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ummary" sheetId="1" r:id="rId1"/>
    <sheet name="14598175" sheetId="2" r:id="rId2"/>
    <sheet name="14598432" sheetId="3" r:id="rId3"/>
    <sheet name="14600445" sheetId="4" r:id="rId4"/>
    <sheet name="14602340" sheetId="5" r:id="rId5"/>
    <sheet name="14613228" sheetId="6" r:id="rId6"/>
    <sheet name="14615136" sheetId="7" r:id="rId7"/>
    <sheet name="14615865" sheetId="8" r:id="rId8"/>
    <sheet name="14620278" sheetId="9" r:id="rId9"/>
    <sheet name="14630010" sheetId="10" r:id="rId10"/>
    <sheet name="14633550" sheetId="11" r:id="rId11"/>
    <sheet name="14653360" sheetId="12" r:id="rId12"/>
    <sheet name="14653377" sheetId="13" r:id="rId13"/>
    <sheet name="14653382" sheetId="14" r:id="rId14"/>
    <sheet name="14657310" sheetId="15" r:id="rId15"/>
    <sheet name="14657315" sheetId="16" r:id="rId16"/>
    <sheet name="14658885" sheetId="17" r:id="rId17"/>
    <sheet name="14663014" sheetId="18" r:id="rId18"/>
    <sheet name="14664700" sheetId="19" r:id="rId19"/>
    <sheet name="14666103" sheetId="20" r:id="rId20"/>
    <sheet name="14666106" sheetId="21" r:id="rId21"/>
    <sheet name="14666142" sheetId="22" r:id="rId22"/>
    <sheet name="14674047" sheetId="23" r:id="rId23"/>
    <sheet name="14697972" sheetId="24" r:id="rId24"/>
    <sheet name="14703445" sheetId="25" r:id="rId25"/>
    <sheet name="14710469" sheetId="26" r:id="rId26"/>
    <sheet name="14712012" sheetId="27" r:id="rId27"/>
  </sheets>
  <calcPr calcId="191029"/>
</workbook>
</file>

<file path=xl/calcChain.xml><?xml version="1.0" encoding="utf-8"?>
<calcChain xmlns="http://schemas.openxmlformats.org/spreadsheetml/2006/main">
  <c r="N576" i="27" l="1"/>
  <c r="N575" i="27"/>
  <c r="N574" i="27"/>
  <c r="N573" i="27"/>
  <c r="N572" i="27"/>
  <c r="N571" i="27"/>
  <c r="N570" i="27"/>
  <c r="N569" i="27"/>
  <c r="N568" i="27"/>
  <c r="N567" i="27"/>
  <c r="N566" i="27"/>
  <c r="N565" i="27"/>
  <c r="N564" i="27"/>
  <c r="N563" i="27"/>
  <c r="N562" i="27"/>
  <c r="N561" i="27"/>
  <c r="N560" i="27"/>
  <c r="N559" i="27"/>
  <c r="N558" i="27"/>
  <c r="N557" i="27"/>
  <c r="N556" i="27"/>
  <c r="N555" i="27"/>
  <c r="N554" i="27"/>
  <c r="N553" i="27"/>
  <c r="N552" i="27"/>
  <c r="N551" i="27"/>
  <c r="N550" i="27"/>
  <c r="N549" i="27"/>
  <c r="N548" i="27"/>
  <c r="N547" i="27"/>
  <c r="N546" i="27"/>
  <c r="N545" i="27"/>
  <c r="N544" i="27"/>
  <c r="N543" i="27"/>
  <c r="N542" i="27"/>
  <c r="N541" i="27"/>
  <c r="N540" i="27"/>
  <c r="N539" i="27"/>
  <c r="N538" i="27"/>
  <c r="N537" i="27"/>
  <c r="N536" i="27"/>
  <c r="N535" i="27"/>
  <c r="N534" i="27"/>
  <c r="N533" i="27"/>
  <c r="N532" i="27"/>
  <c r="N531" i="27"/>
  <c r="N530" i="27"/>
  <c r="N529" i="27"/>
  <c r="N528" i="27"/>
  <c r="N527" i="27"/>
  <c r="N526" i="27"/>
  <c r="N525" i="27"/>
  <c r="N524" i="27"/>
  <c r="N523" i="27"/>
  <c r="N522" i="27"/>
  <c r="N521" i="27"/>
  <c r="N520" i="27"/>
  <c r="N519" i="27"/>
  <c r="N518" i="27"/>
  <c r="N517" i="27"/>
  <c r="N516" i="27"/>
  <c r="N515" i="27"/>
  <c r="N514" i="27"/>
  <c r="N513" i="27"/>
  <c r="N512" i="27"/>
  <c r="N511" i="27"/>
  <c r="N510" i="27"/>
  <c r="N509" i="27"/>
  <c r="N508" i="27"/>
  <c r="N507" i="27"/>
  <c r="N506" i="27"/>
  <c r="N505" i="27"/>
  <c r="N504" i="27"/>
  <c r="N503" i="27"/>
  <c r="N502" i="27"/>
  <c r="N501" i="27"/>
  <c r="N500" i="27"/>
  <c r="N499" i="27"/>
  <c r="N498" i="27"/>
  <c r="N497" i="27"/>
  <c r="N496" i="27"/>
  <c r="N495" i="27"/>
  <c r="N494" i="27"/>
  <c r="N493" i="27"/>
  <c r="N492" i="27"/>
  <c r="N491" i="27"/>
  <c r="N490" i="27"/>
  <c r="N489" i="27"/>
  <c r="N488" i="27"/>
  <c r="N487" i="27"/>
  <c r="N486" i="27"/>
  <c r="N485" i="27"/>
  <c r="N484" i="27"/>
  <c r="N483" i="27"/>
  <c r="N482" i="27"/>
  <c r="N481" i="27"/>
  <c r="N480" i="27"/>
  <c r="N479" i="27"/>
  <c r="N478" i="27"/>
  <c r="N477" i="27"/>
  <c r="N476" i="27"/>
  <c r="N475" i="27"/>
  <c r="N474" i="27"/>
  <c r="N473" i="27"/>
  <c r="N472" i="27"/>
  <c r="N471" i="27"/>
  <c r="N470" i="27"/>
  <c r="N469" i="27"/>
  <c r="N468" i="27"/>
  <c r="N467" i="27"/>
  <c r="N466" i="27"/>
  <c r="N465" i="27"/>
  <c r="N464" i="27"/>
  <c r="N463" i="27"/>
  <c r="N462" i="27"/>
  <c r="N461" i="27"/>
  <c r="N460" i="27"/>
  <c r="N459" i="27"/>
  <c r="N458" i="27"/>
  <c r="N457" i="27"/>
  <c r="N456" i="27"/>
  <c r="N455" i="27"/>
  <c r="N454" i="27"/>
  <c r="N453" i="27"/>
  <c r="N452" i="27"/>
  <c r="N451" i="27"/>
  <c r="N450" i="27"/>
  <c r="N449" i="27"/>
  <c r="N448" i="27"/>
  <c r="N447" i="27"/>
  <c r="N446" i="27"/>
  <c r="N445" i="27"/>
  <c r="N444" i="27"/>
  <c r="N443" i="27"/>
  <c r="N442" i="27"/>
  <c r="N441" i="27"/>
  <c r="N440" i="27"/>
  <c r="N439" i="27"/>
  <c r="N438" i="27"/>
  <c r="N437" i="27"/>
  <c r="N436" i="27"/>
  <c r="N435" i="27"/>
  <c r="N434" i="27"/>
  <c r="N433" i="27"/>
  <c r="N432" i="27"/>
  <c r="N431" i="27"/>
  <c r="N430" i="27"/>
  <c r="N429" i="27"/>
  <c r="N428" i="27"/>
  <c r="N427" i="27"/>
  <c r="N426" i="27"/>
  <c r="N425" i="27"/>
  <c r="N424" i="27"/>
  <c r="N423" i="27"/>
  <c r="N422" i="27"/>
  <c r="N421" i="27"/>
  <c r="N420" i="27"/>
  <c r="N419" i="27"/>
  <c r="N418" i="27"/>
  <c r="N417" i="27"/>
  <c r="N416" i="27"/>
  <c r="N415" i="27"/>
  <c r="N414" i="27"/>
  <c r="N413" i="27"/>
  <c r="N412" i="27"/>
  <c r="N411" i="27"/>
  <c r="N410" i="27"/>
  <c r="N409" i="27"/>
  <c r="N408" i="27"/>
  <c r="N407" i="27"/>
  <c r="N406" i="27"/>
  <c r="N405" i="27"/>
  <c r="N404" i="27"/>
  <c r="N403" i="27"/>
  <c r="N402" i="27"/>
  <c r="N401" i="27"/>
  <c r="N400" i="27"/>
  <c r="N399" i="27"/>
  <c r="N398" i="27"/>
  <c r="N397" i="27"/>
  <c r="N396" i="27"/>
  <c r="N395" i="27"/>
  <c r="N394" i="27"/>
  <c r="N393" i="27"/>
  <c r="N392" i="27"/>
  <c r="N391" i="27"/>
  <c r="N390" i="27"/>
  <c r="N389" i="27"/>
  <c r="N388" i="27"/>
  <c r="N387" i="27"/>
  <c r="N386" i="27"/>
  <c r="N385" i="27"/>
  <c r="N384" i="27"/>
  <c r="N383" i="27"/>
  <c r="N382" i="27"/>
  <c r="N381" i="27"/>
  <c r="N380" i="27"/>
  <c r="N379" i="27"/>
  <c r="N378" i="27"/>
  <c r="N377" i="27"/>
  <c r="N376" i="27"/>
  <c r="N375" i="27"/>
  <c r="N374" i="27"/>
  <c r="N373" i="27"/>
  <c r="N372" i="27"/>
  <c r="N371" i="27"/>
  <c r="N370" i="27"/>
  <c r="N369" i="27"/>
  <c r="N368" i="27"/>
  <c r="N367" i="27"/>
  <c r="N366" i="27"/>
  <c r="N365" i="27"/>
  <c r="N364" i="27"/>
  <c r="N363" i="27"/>
  <c r="N362" i="27"/>
  <c r="N361" i="27"/>
  <c r="N360" i="27"/>
  <c r="N359" i="27"/>
  <c r="N358" i="27"/>
  <c r="N357" i="27"/>
  <c r="N356" i="27"/>
  <c r="N355" i="27"/>
  <c r="N354" i="27"/>
  <c r="N353" i="27"/>
  <c r="N352" i="27"/>
  <c r="N351" i="27"/>
  <c r="N350" i="27"/>
  <c r="N349" i="27"/>
  <c r="N348" i="27"/>
  <c r="N347" i="27"/>
  <c r="N346" i="27"/>
  <c r="N345" i="27"/>
  <c r="N344" i="27"/>
  <c r="N343" i="27"/>
  <c r="N342" i="27"/>
  <c r="N341" i="27"/>
  <c r="N340" i="27"/>
  <c r="N339" i="27"/>
  <c r="N338" i="27"/>
  <c r="N337" i="27"/>
  <c r="N336" i="27"/>
  <c r="N335" i="27"/>
  <c r="N334" i="27"/>
  <c r="N333" i="27"/>
  <c r="N332" i="27"/>
  <c r="N331" i="27"/>
  <c r="N330" i="27"/>
  <c r="N329" i="27"/>
  <c r="N328" i="27"/>
  <c r="N327" i="27"/>
  <c r="N326" i="27"/>
  <c r="N325" i="27"/>
  <c r="N324" i="27"/>
  <c r="N323" i="27"/>
  <c r="N322" i="27"/>
  <c r="N321" i="27"/>
  <c r="N320" i="27"/>
  <c r="N319" i="27"/>
  <c r="N318" i="27"/>
  <c r="N317" i="27"/>
  <c r="N316" i="27"/>
  <c r="N315" i="27"/>
  <c r="N314" i="27"/>
  <c r="N313" i="27"/>
  <c r="N312" i="27"/>
  <c r="N311" i="27"/>
  <c r="N310" i="27"/>
  <c r="N309" i="27"/>
  <c r="N308" i="27"/>
  <c r="N307" i="27"/>
  <c r="N306" i="27"/>
  <c r="N305" i="27"/>
  <c r="N304" i="27"/>
  <c r="N303" i="27"/>
  <c r="N302" i="27"/>
  <c r="N301" i="27"/>
  <c r="N300" i="27"/>
  <c r="N299" i="27"/>
  <c r="N298" i="27"/>
  <c r="N297" i="27"/>
  <c r="N296" i="27"/>
  <c r="N295" i="27"/>
  <c r="N294" i="27"/>
  <c r="N293" i="27"/>
  <c r="N292" i="27"/>
  <c r="N291" i="27"/>
  <c r="N290" i="27"/>
  <c r="N289" i="27"/>
  <c r="N288" i="27"/>
  <c r="N287" i="27"/>
  <c r="N286" i="27"/>
  <c r="N285" i="27"/>
  <c r="N284" i="27"/>
  <c r="N283" i="27"/>
  <c r="N282" i="27"/>
  <c r="N281" i="27"/>
  <c r="N280" i="27"/>
  <c r="N279" i="27"/>
  <c r="N278" i="27"/>
  <c r="N277" i="27"/>
  <c r="N276" i="27"/>
  <c r="N275" i="27"/>
  <c r="N274" i="27"/>
  <c r="N273" i="27"/>
  <c r="N272" i="27"/>
  <c r="N271" i="27"/>
  <c r="N270" i="27"/>
  <c r="N269" i="27"/>
  <c r="N268" i="27"/>
  <c r="N267" i="27"/>
  <c r="N266" i="27"/>
  <c r="N265" i="27"/>
  <c r="N264" i="27"/>
  <c r="N263" i="27"/>
  <c r="N262" i="27"/>
  <c r="N261" i="27"/>
  <c r="N260" i="27"/>
  <c r="N259" i="27"/>
  <c r="N258" i="27"/>
  <c r="N257" i="27"/>
  <c r="N256" i="27"/>
  <c r="N255" i="27"/>
  <c r="N254" i="27"/>
  <c r="N253" i="27"/>
  <c r="N252" i="27"/>
  <c r="N251" i="27"/>
  <c r="N250" i="27"/>
  <c r="N249" i="27"/>
  <c r="N248" i="27"/>
  <c r="N247" i="27"/>
  <c r="N246" i="27"/>
  <c r="N245" i="27"/>
  <c r="N244" i="27"/>
  <c r="N243" i="27"/>
  <c r="N242" i="27"/>
  <c r="N241" i="27"/>
  <c r="N240" i="27"/>
  <c r="N239" i="27"/>
  <c r="N238" i="27"/>
  <c r="N237" i="27"/>
  <c r="N236" i="27"/>
  <c r="N235" i="27"/>
  <c r="N234" i="27"/>
  <c r="N233" i="27"/>
  <c r="N232" i="27"/>
  <c r="N231" i="27"/>
  <c r="N230" i="27"/>
  <c r="N229" i="27"/>
  <c r="N228" i="27"/>
  <c r="N227" i="27"/>
  <c r="N226" i="27"/>
  <c r="N225" i="27"/>
  <c r="N224" i="27"/>
  <c r="N223" i="27"/>
  <c r="N222" i="27"/>
  <c r="N221" i="27"/>
  <c r="N220" i="27"/>
  <c r="N219" i="27"/>
  <c r="N218" i="27"/>
  <c r="N217" i="27"/>
  <c r="N216" i="27"/>
  <c r="N215" i="27"/>
  <c r="N214" i="27"/>
  <c r="N213" i="27"/>
  <c r="N212" i="27"/>
  <c r="N211" i="27"/>
  <c r="N210" i="27"/>
  <c r="N209" i="27"/>
  <c r="N208" i="27"/>
  <c r="N207" i="27"/>
  <c r="N206" i="27"/>
  <c r="N205" i="27"/>
  <c r="N204" i="27"/>
  <c r="N203" i="27"/>
  <c r="N202" i="27"/>
  <c r="N201" i="27"/>
  <c r="N200" i="27"/>
  <c r="N199" i="27"/>
  <c r="N198" i="27"/>
  <c r="N197" i="27"/>
  <c r="N196" i="27"/>
  <c r="N195" i="27"/>
  <c r="N194" i="27"/>
  <c r="N193" i="27"/>
  <c r="N192" i="27"/>
  <c r="N191" i="27"/>
  <c r="N190" i="27"/>
  <c r="N189" i="27"/>
  <c r="N188" i="27"/>
  <c r="N187" i="27"/>
  <c r="N186" i="27"/>
  <c r="N185" i="27"/>
  <c r="N184" i="27"/>
  <c r="N183" i="27"/>
  <c r="N182" i="27"/>
  <c r="N181" i="27"/>
  <c r="N180" i="27"/>
  <c r="N179" i="27"/>
  <c r="N178" i="27"/>
  <c r="N177" i="27"/>
  <c r="N176" i="27"/>
  <c r="N175" i="27"/>
  <c r="N174" i="27"/>
  <c r="N173" i="27"/>
  <c r="N172" i="27"/>
  <c r="N171" i="27"/>
  <c r="N170" i="27"/>
  <c r="N169" i="27"/>
  <c r="N168" i="27"/>
  <c r="N167" i="27"/>
  <c r="N166" i="27"/>
  <c r="N165" i="27"/>
  <c r="N164" i="27"/>
  <c r="N163" i="27"/>
  <c r="N162" i="27"/>
  <c r="N161" i="27"/>
  <c r="N160" i="27"/>
  <c r="N159" i="27"/>
  <c r="N158" i="27"/>
  <c r="N157" i="27"/>
  <c r="N156" i="27"/>
  <c r="N155" i="27"/>
  <c r="N154" i="27"/>
  <c r="N153" i="27"/>
  <c r="N152" i="27"/>
  <c r="N151" i="27"/>
  <c r="N150" i="27"/>
  <c r="N149" i="27"/>
  <c r="N148" i="27"/>
  <c r="N147" i="27"/>
  <c r="N146" i="27"/>
  <c r="N145" i="27"/>
  <c r="N144" i="27"/>
  <c r="N143" i="27"/>
  <c r="N142" i="27"/>
  <c r="N141" i="27"/>
  <c r="N140" i="27"/>
  <c r="N139" i="27"/>
  <c r="N138" i="27"/>
  <c r="N137" i="27"/>
  <c r="N136" i="27"/>
  <c r="N135" i="27"/>
  <c r="N134" i="27"/>
  <c r="N133" i="27"/>
  <c r="N132" i="27"/>
  <c r="N131" i="27"/>
  <c r="N130" i="27"/>
  <c r="N129" i="27"/>
  <c r="N128" i="27"/>
  <c r="N127" i="27"/>
  <c r="N126" i="27"/>
  <c r="N125" i="27"/>
  <c r="N124" i="27"/>
  <c r="N123" i="27"/>
  <c r="N122" i="27"/>
  <c r="N121" i="27"/>
  <c r="N120" i="27"/>
  <c r="N119" i="27"/>
  <c r="N118" i="27"/>
  <c r="N117" i="27"/>
  <c r="N116" i="27"/>
  <c r="N115" i="27"/>
  <c r="N114" i="27"/>
  <c r="N113" i="27"/>
  <c r="N112" i="27"/>
  <c r="N111" i="27"/>
  <c r="N110" i="27"/>
  <c r="N109" i="27"/>
  <c r="N108" i="27"/>
  <c r="N107" i="27"/>
  <c r="N106" i="27"/>
  <c r="N105" i="27"/>
  <c r="N104" i="27"/>
  <c r="N103" i="27"/>
  <c r="N102" i="27"/>
  <c r="N101" i="27"/>
  <c r="N100" i="27"/>
  <c r="N99" i="27"/>
  <c r="N98" i="27"/>
  <c r="N97" i="27"/>
  <c r="N96" i="27"/>
  <c r="N95" i="27"/>
  <c r="N94" i="27"/>
  <c r="N93" i="27"/>
  <c r="N92" i="27"/>
  <c r="N91" i="27"/>
  <c r="N90" i="27"/>
  <c r="N89" i="27"/>
  <c r="N88" i="27"/>
  <c r="N87" i="27"/>
  <c r="N86" i="27"/>
  <c r="N85" i="27"/>
  <c r="N84" i="27"/>
  <c r="N83" i="27"/>
  <c r="N82" i="27"/>
  <c r="N81" i="27"/>
  <c r="N80" i="27"/>
  <c r="N79" i="27"/>
  <c r="N78" i="27"/>
  <c r="N77" i="27"/>
  <c r="N76" i="27"/>
  <c r="N75" i="27"/>
  <c r="N74" i="27"/>
  <c r="N73" i="27"/>
  <c r="N72" i="27"/>
  <c r="N71" i="27"/>
  <c r="N70" i="27"/>
  <c r="N69" i="27"/>
  <c r="N68" i="27"/>
  <c r="N67" i="27"/>
  <c r="N66" i="27"/>
  <c r="N65" i="27"/>
  <c r="N64" i="27"/>
  <c r="N63" i="27"/>
  <c r="N62" i="27"/>
  <c r="N61" i="27"/>
  <c r="N60" i="27"/>
  <c r="N59" i="27"/>
  <c r="N58" i="27"/>
  <c r="N57" i="27"/>
  <c r="N56" i="27"/>
  <c r="N55" i="27"/>
  <c r="N54" i="27"/>
  <c r="N53" i="27"/>
  <c r="N52" i="27"/>
  <c r="N51" i="27"/>
  <c r="N50" i="27"/>
  <c r="N49" i="27"/>
  <c r="N48" i="27"/>
  <c r="N47" i="27"/>
  <c r="N46" i="27"/>
  <c r="N45" i="27"/>
  <c r="N44" i="27"/>
  <c r="N4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30" i="27"/>
  <c r="N29" i="27"/>
  <c r="N28" i="27"/>
  <c r="N27" i="27"/>
  <c r="N26" i="27"/>
  <c r="N25" i="27"/>
  <c r="N24" i="27"/>
  <c r="N23" i="27"/>
  <c r="N22" i="27"/>
  <c r="N21" i="27"/>
  <c r="N20" i="27"/>
  <c r="N19" i="27"/>
  <c r="N18" i="27"/>
  <c r="N17" i="27"/>
  <c r="N16" i="27"/>
  <c r="N15" i="27"/>
  <c r="N14" i="27"/>
  <c r="N13" i="27"/>
  <c r="N12" i="27"/>
  <c r="N11" i="27"/>
  <c r="N10" i="27"/>
  <c r="N9" i="27"/>
  <c r="N8" i="27"/>
  <c r="N7" i="27"/>
  <c r="N6" i="27"/>
  <c r="N5" i="27"/>
  <c r="N4" i="27"/>
  <c r="N3" i="27"/>
  <c r="N2" i="27"/>
  <c r="N339" i="26"/>
  <c r="N338" i="26"/>
  <c r="N337" i="26"/>
  <c r="N336" i="26"/>
  <c r="N335" i="26"/>
  <c r="N334" i="26"/>
  <c r="N333" i="26"/>
  <c r="N332" i="26"/>
  <c r="N331" i="26"/>
  <c r="N330" i="26"/>
  <c r="N329" i="26"/>
  <c r="N328" i="26"/>
  <c r="N327" i="26"/>
  <c r="N326" i="26"/>
  <c r="N325" i="26"/>
  <c r="N324" i="26"/>
  <c r="N323" i="26"/>
  <c r="N322" i="26"/>
  <c r="N321" i="26"/>
  <c r="N320" i="26"/>
  <c r="N319" i="26"/>
  <c r="N318" i="26"/>
  <c r="N317" i="26"/>
  <c r="N316" i="26"/>
  <c r="N315" i="26"/>
  <c r="N314" i="26"/>
  <c r="N313" i="26"/>
  <c r="N312" i="26"/>
  <c r="N311" i="26"/>
  <c r="N310" i="26"/>
  <c r="N309" i="26"/>
  <c r="N308" i="26"/>
  <c r="N307" i="26"/>
  <c r="N306" i="26"/>
  <c r="N305" i="26"/>
  <c r="N304" i="26"/>
  <c r="N303" i="26"/>
  <c r="N302" i="26"/>
  <c r="N301" i="26"/>
  <c r="N300" i="26"/>
  <c r="N299" i="26"/>
  <c r="N298" i="26"/>
  <c r="N297" i="26"/>
  <c r="N296" i="26"/>
  <c r="N295" i="26"/>
  <c r="N294" i="26"/>
  <c r="N293" i="26"/>
  <c r="N292" i="26"/>
  <c r="N291" i="26"/>
  <c r="N290" i="26"/>
  <c r="N289" i="26"/>
  <c r="N288" i="26"/>
  <c r="N287" i="26"/>
  <c r="N286" i="26"/>
  <c r="N285" i="26"/>
  <c r="N284" i="26"/>
  <c r="N283" i="26"/>
  <c r="N282" i="26"/>
  <c r="N281" i="26"/>
  <c r="N280" i="26"/>
  <c r="N279" i="26"/>
  <c r="N278" i="26"/>
  <c r="N277" i="26"/>
  <c r="N276" i="26"/>
  <c r="N275" i="26"/>
  <c r="N274" i="26"/>
  <c r="N273" i="26"/>
  <c r="N272" i="26"/>
  <c r="N271" i="26"/>
  <c r="N270" i="26"/>
  <c r="N269" i="26"/>
  <c r="N268" i="26"/>
  <c r="N267" i="26"/>
  <c r="N266" i="26"/>
  <c r="N265" i="26"/>
  <c r="N264" i="26"/>
  <c r="N263" i="26"/>
  <c r="N262" i="26"/>
  <c r="N261" i="26"/>
  <c r="N260" i="26"/>
  <c r="N259" i="26"/>
  <c r="N258" i="26"/>
  <c r="N257" i="26"/>
  <c r="N256" i="26"/>
  <c r="N255" i="26"/>
  <c r="N254" i="26"/>
  <c r="N253" i="26"/>
  <c r="N252" i="26"/>
  <c r="N251" i="26"/>
  <c r="N250" i="26"/>
  <c r="N249" i="26"/>
  <c r="N248" i="26"/>
  <c r="N247" i="26"/>
  <c r="N246" i="26"/>
  <c r="N245" i="26"/>
  <c r="N244" i="26"/>
  <c r="N243" i="26"/>
  <c r="N242" i="26"/>
  <c r="N241" i="26"/>
  <c r="N240" i="26"/>
  <c r="N239" i="26"/>
  <c r="N238" i="26"/>
  <c r="N237" i="26"/>
  <c r="N236" i="26"/>
  <c r="N235" i="26"/>
  <c r="N234" i="26"/>
  <c r="N233" i="26"/>
  <c r="N232" i="26"/>
  <c r="N231" i="26"/>
  <c r="N230" i="26"/>
  <c r="N229" i="26"/>
  <c r="N228" i="26"/>
  <c r="N227" i="26"/>
  <c r="N226" i="26"/>
  <c r="N225" i="26"/>
  <c r="N224" i="26"/>
  <c r="N223" i="26"/>
  <c r="N222" i="26"/>
  <c r="N221" i="26"/>
  <c r="N220" i="26"/>
  <c r="N219" i="26"/>
  <c r="N218" i="26"/>
  <c r="N217" i="26"/>
  <c r="N216" i="26"/>
  <c r="N215" i="26"/>
  <c r="N214" i="26"/>
  <c r="N213" i="26"/>
  <c r="N212" i="26"/>
  <c r="N211" i="26"/>
  <c r="N210" i="26"/>
  <c r="N209" i="26"/>
  <c r="N208" i="26"/>
  <c r="N207" i="26"/>
  <c r="N206" i="26"/>
  <c r="N205" i="26"/>
  <c r="N204" i="26"/>
  <c r="N203" i="26"/>
  <c r="N202" i="26"/>
  <c r="N201" i="26"/>
  <c r="N200" i="26"/>
  <c r="N199" i="26"/>
  <c r="N198" i="26"/>
  <c r="N197" i="26"/>
  <c r="N196" i="26"/>
  <c r="N195" i="26"/>
  <c r="N194" i="26"/>
  <c r="N193" i="26"/>
  <c r="N192" i="26"/>
  <c r="N191" i="26"/>
  <c r="N190" i="26"/>
  <c r="N189" i="26"/>
  <c r="N188" i="26"/>
  <c r="N187" i="26"/>
  <c r="N186" i="26"/>
  <c r="N185" i="26"/>
  <c r="N184" i="26"/>
  <c r="N183" i="26"/>
  <c r="N182" i="26"/>
  <c r="N181" i="26"/>
  <c r="N180" i="26"/>
  <c r="N179" i="26"/>
  <c r="N178" i="26"/>
  <c r="N177" i="26"/>
  <c r="N176" i="26"/>
  <c r="N175" i="26"/>
  <c r="N174" i="26"/>
  <c r="N173" i="26"/>
  <c r="N172" i="26"/>
  <c r="N171" i="26"/>
  <c r="N170" i="26"/>
  <c r="N169" i="26"/>
  <c r="N168" i="26"/>
  <c r="N167" i="26"/>
  <c r="N166" i="26"/>
  <c r="N165" i="26"/>
  <c r="N164" i="26"/>
  <c r="N163" i="26"/>
  <c r="N162" i="26"/>
  <c r="N161" i="26"/>
  <c r="N160" i="26"/>
  <c r="N159" i="26"/>
  <c r="N158" i="26"/>
  <c r="N157" i="26"/>
  <c r="N156" i="26"/>
  <c r="N155" i="26"/>
  <c r="N154" i="26"/>
  <c r="N153" i="26"/>
  <c r="N152" i="26"/>
  <c r="N151" i="26"/>
  <c r="N150" i="26"/>
  <c r="N149" i="26"/>
  <c r="N148" i="26"/>
  <c r="N147" i="26"/>
  <c r="N146" i="26"/>
  <c r="N145" i="26"/>
  <c r="N144" i="26"/>
  <c r="N143" i="26"/>
  <c r="N142" i="26"/>
  <c r="N141" i="26"/>
  <c r="N140" i="26"/>
  <c r="N139" i="26"/>
  <c r="N138" i="26"/>
  <c r="N137" i="26"/>
  <c r="N136" i="26"/>
  <c r="N135" i="26"/>
  <c r="N134" i="26"/>
  <c r="N133" i="26"/>
  <c r="N132" i="26"/>
  <c r="N131" i="26"/>
  <c r="N130" i="26"/>
  <c r="N129" i="26"/>
  <c r="N128" i="26"/>
  <c r="N127" i="26"/>
  <c r="N126" i="26"/>
  <c r="N125" i="26"/>
  <c r="N124" i="26"/>
  <c r="N123" i="26"/>
  <c r="N122" i="26"/>
  <c r="N121" i="26"/>
  <c r="N120" i="26"/>
  <c r="N119" i="26"/>
  <c r="N118" i="26"/>
  <c r="N117" i="26"/>
  <c r="N116" i="26"/>
  <c r="N115" i="26"/>
  <c r="N114" i="26"/>
  <c r="N113" i="26"/>
  <c r="N112" i="26"/>
  <c r="N111" i="26"/>
  <c r="N110" i="26"/>
  <c r="N109" i="26"/>
  <c r="N108" i="26"/>
  <c r="N107" i="26"/>
  <c r="N106" i="26"/>
  <c r="N105" i="26"/>
  <c r="N104" i="26"/>
  <c r="N103" i="26"/>
  <c r="N102" i="26"/>
  <c r="N101" i="26"/>
  <c r="N100" i="26"/>
  <c r="N99" i="26"/>
  <c r="N98" i="26"/>
  <c r="N97" i="26"/>
  <c r="N96" i="26"/>
  <c r="N95" i="26"/>
  <c r="N94" i="26"/>
  <c r="N93" i="26"/>
  <c r="N92" i="26"/>
  <c r="N91" i="26"/>
  <c r="N90" i="26"/>
  <c r="N89" i="26"/>
  <c r="N88" i="26"/>
  <c r="N87" i="26"/>
  <c r="N86" i="26"/>
  <c r="N85" i="26"/>
  <c r="N84" i="26"/>
  <c r="N83" i="26"/>
  <c r="N82" i="26"/>
  <c r="N81" i="26"/>
  <c r="N80" i="26"/>
  <c r="N79" i="26"/>
  <c r="N78" i="26"/>
  <c r="N77" i="26"/>
  <c r="N76" i="26"/>
  <c r="N75" i="26"/>
  <c r="N74" i="26"/>
  <c r="N73" i="26"/>
  <c r="N72" i="26"/>
  <c r="N71" i="26"/>
  <c r="N70" i="26"/>
  <c r="N69" i="26"/>
  <c r="N68" i="26"/>
  <c r="N67" i="26"/>
  <c r="N66" i="26"/>
  <c r="N65" i="26"/>
  <c r="N64" i="26"/>
  <c r="N63" i="26"/>
  <c r="N62" i="26"/>
  <c r="N61" i="26"/>
  <c r="N60" i="26"/>
  <c r="N59" i="26"/>
  <c r="N58" i="26"/>
  <c r="N57" i="26"/>
  <c r="N56" i="26"/>
  <c r="N55" i="26"/>
  <c r="N54" i="26"/>
  <c r="N53" i="26"/>
  <c r="N52" i="26"/>
  <c r="N51" i="26"/>
  <c r="N50" i="26"/>
  <c r="N49" i="26"/>
  <c r="N48" i="26"/>
  <c r="N47" i="26"/>
  <c r="N46" i="26"/>
  <c r="N45" i="26"/>
  <c r="N44" i="26"/>
  <c r="N43" i="26"/>
  <c r="N42" i="26"/>
  <c r="N41" i="26"/>
  <c r="N40" i="26"/>
  <c r="N39" i="26"/>
  <c r="N38" i="26"/>
  <c r="N37" i="26"/>
  <c r="N36" i="26"/>
  <c r="N35" i="26"/>
  <c r="N34" i="26"/>
  <c r="N33" i="26"/>
  <c r="N32" i="26"/>
  <c r="N31" i="26"/>
  <c r="N30" i="26"/>
  <c r="N29" i="26"/>
  <c r="N28" i="26"/>
  <c r="N27" i="26"/>
  <c r="N26" i="26"/>
  <c r="N25" i="26"/>
  <c r="N24" i="26"/>
  <c r="N23" i="26"/>
  <c r="N22" i="26"/>
  <c r="N21" i="26"/>
  <c r="N20" i="26"/>
  <c r="N19" i="26"/>
  <c r="N18" i="26"/>
  <c r="N17" i="26"/>
  <c r="N16" i="26"/>
  <c r="N15" i="26"/>
  <c r="N14" i="26"/>
  <c r="N13" i="26"/>
  <c r="N12" i="26"/>
  <c r="N11" i="26"/>
  <c r="N10" i="26"/>
  <c r="N9" i="26"/>
  <c r="N8" i="26"/>
  <c r="N7" i="26"/>
  <c r="N6" i="26"/>
  <c r="N5" i="26"/>
  <c r="N4" i="26"/>
  <c r="N3" i="26"/>
  <c r="N2" i="26"/>
  <c r="N574" i="25"/>
  <c r="N573" i="25"/>
  <c r="N572" i="25"/>
  <c r="N571" i="25"/>
  <c r="N570" i="25"/>
  <c r="N569" i="25"/>
  <c r="N568" i="25"/>
  <c r="N567" i="25"/>
  <c r="N566" i="25"/>
  <c r="N565" i="25"/>
  <c r="N564" i="25"/>
  <c r="N563" i="25"/>
  <c r="N562" i="25"/>
  <c r="N561" i="25"/>
  <c r="N560" i="25"/>
  <c r="N559" i="25"/>
  <c r="N558" i="25"/>
  <c r="N557" i="25"/>
  <c r="N556" i="25"/>
  <c r="N555" i="25"/>
  <c r="N554" i="25"/>
  <c r="N553" i="25"/>
  <c r="N552" i="25"/>
  <c r="N551" i="25"/>
  <c r="N550" i="25"/>
  <c r="N549" i="25"/>
  <c r="N548" i="25"/>
  <c r="N547" i="25"/>
  <c r="N546" i="25"/>
  <c r="N545" i="25"/>
  <c r="N544" i="25"/>
  <c r="N543" i="25"/>
  <c r="N542" i="25"/>
  <c r="N541" i="25"/>
  <c r="N540" i="25"/>
  <c r="N539" i="25"/>
  <c r="N538" i="25"/>
  <c r="N537" i="25"/>
  <c r="N536" i="25"/>
  <c r="N535" i="25"/>
  <c r="N534" i="25"/>
  <c r="N533" i="25"/>
  <c r="N532" i="25"/>
  <c r="N531" i="25"/>
  <c r="N530" i="25"/>
  <c r="N529" i="25"/>
  <c r="N528" i="25"/>
  <c r="N527" i="25"/>
  <c r="N526" i="25"/>
  <c r="N525" i="25"/>
  <c r="N524" i="25"/>
  <c r="N523" i="25"/>
  <c r="N522" i="25"/>
  <c r="N521" i="25"/>
  <c r="N520" i="25"/>
  <c r="N519" i="25"/>
  <c r="N518" i="25"/>
  <c r="N517" i="25"/>
  <c r="N516" i="25"/>
  <c r="N515" i="25"/>
  <c r="N514" i="25"/>
  <c r="N513" i="25"/>
  <c r="N512" i="25"/>
  <c r="N511" i="25"/>
  <c r="N510" i="25"/>
  <c r="N509" i="25"/>
  <c r="N508" i="25"/>
  <c r="N507" i="25"/>
  <c r="N506" i="25"/>
  <c r="N505" i="25"/>
  <c r="N504" i="25"/>
  <c r="N503" i="25"/>
  <c r="N502" i="25"/>
  <c r="N501" i="25"/>
  <c r="N500" i="25"/>
  <c r="N499" i="25"/>
  <c r="N498" i="25"/>
  <c r="N497" i="25"/>
  <c r="N496" i="25"/>
  <c r="N495" i="25"/>
  <c r="N494" i="25"/>
  <c r="N493" i="25"/>
  <c r="N492" i="25"/>
  <c r="N491" i="25"/>
  <c r="N490" i="25"/>
  <c r="N489" i="25"/>
  <c r="N488" i="25"/>
  <c r="N487" i="25"/>
  <c r="N486" i="25"/>
  <c r="N485" i="25"/>
  <c r="N484" i="25"/>
  <c r="N483" i="25"/>
  <c r="N482" i="25"/>
  <c r="N481" i="25"/>
  <c r="N480" i="25"/>
  <c r="N479" i="25"/>
  <c r="N478" i="25"/>
  <c r="N477" i="25"/>
  <c r="N476" i="25"/>
  <c r="N475" i="25"/>
  <c r="N474" i="25"/>
  <c r="N473" i="25"/>
  <c r="N472" i="25"/>
  <c r="N471" i="25"/>
  <c r="N470" i="25"/>
  <c r="N469" i="25"/>
  <c r="N468" i="25"/>
  <c r="N467" i="25"/>
  <c r="N466" i="25"/>
  <c r="N465" i="25"/>
  <c r="N464" i="25"/>
  <c r="N463" i="25"/>
  <c r="N462" i="25"/>
  <c r="N461" i="25"/>
  <c r="N460" i="25"/>
  <c r="N459" i="25"/>
  <c r="N458" i="25"/>
  <c r="N457" i="25"/>
  <c r="N456" i="25"/>
  <c r="N455" i="25"/>
  <c r="N454" i="25"/>
  <c r="N453" i="25"/>
  <c r="N452" i="25"/>
  <c r="N451" i="25"/>
  <c r="N450" i="25"/>
  <c r="N449" i="25"/>
  <c r="N448" i="25"/>
  <c r="N447" i="25"/>
  <c r="N446" i="25"/>
  <c r="N445" i="25"/>
  <c r="N444" i="25"/>
  <c r="N443" i="25"/>
  <c r="N442" i="25"/>
  <c r="N441" i="25"/>
  <c r="N440" i="25"/>
  <c r="N439" i="25"/>
  <c r="N438" i="25"/>
  <c r="N437" i="25"/>
  <c r="N436" i="25"/>
  <c r="N435" i="25"/>
  <c r="N434" i="25"/>
  <c r="N433" i="25"/>
  <c r="N432" i="25"/>
  <c r="N431" i="25"/>
  <c r="N430" i="25"/>
  <c r="N429" i="25"/>
  <c r="N428" i="25"/>
  <c r="N427" i="25"/>
  <c r="N426" i="25"/>
  <c r="N425" i="25"/>
  <c r="N424" i="25"/>
  <c r="N423" i="25"/>
  <c r="N422" i="25"/>
  <c r="N421" i="25"/>
  <c r="N420" i="25"/>
  <c r="N419" i="25"/>
  <c r="N418" i="25"/>
  <c r="N417" i="25"/>
  <c r="N416" i="25"/>
  <c r="N415" i="25"/>
  <c r="N414" i="25"/>
  <c r="N413" i="25"/>
  <c r="N412" i="25"/>
  <c r="N411" i="25"/>
  <c r="N410" i="25"/>
  <c r="N409" i="25"/>
  <c r="N408" i="25"/>
  <c r="N407" i="25"/>
  <c r="N406" i="25"/>
  <c r="N405" i="25"/>
  <c r="N404" i="25"/>
  <c r="N403" i="25"/>
  <c r="N402" i="25"/>
  <c r="N401" i="25"/>
  <c r="N400" i="25"/>
  <c r="N399" i="25"/>
  <c r="N398" i="25"/>
  <c r="N397" i="25"/>
  <c r="N396" i="25"/>
  <c r="N395" i="25"/>
  <c r="N394" i="25"/>
  <c r="N393" i="25"/>
  <c r="N392" i="25"/>
  <c r="N391" i="25"/>
  <c r="N390" i="25"/>
  <c r="N389" i="25"/>
  <c r="N388" i="25"/>
  <c r="N387" i="25"/>
  <c r="N386" i="25"/>
  <c r="N385" i="25"/>
  <c r="N384" i="25"/>
  <c r="N383" i="25"/>
  <c r="N382" i="25"/>
  <c r="N381" i="25"/>
  <c r="N380" i="25"/>
  <c r="N379" i="25"/>
  <c r="N378" i="25"/>
  <c r="N377" i="25"/>
  <c r="N376" i="25"/>
  <c r="N375" i="25"/>
  <c r="N374" i="25"/>
  <c r="N373" i="25"/>
  <c r="N372" i="25"/>
  <c r="N371" i="25"/>
  <c r="N370" i="25"/>
  <c r="N369" i="25"/>
  <c r="N368" i="25"/>
  <c r="N367" i="25"/>
  <c r="N366" i="25"/>
  <c r="N365" i="25"/>
  <c r="N364" i="25"/>
  <c r="N363" i="25"/>
  <c r="N362" i="25"/>
  <c r="N361" i="25"/>
  <c r="N360" i="25"/>
  <c r="N359" i="25"/>
  <c r="N358" i="25"/>
  <c r="N357" i="25"/>
  <c r="N356" i="25"/>
  <c r="N355" i="25"/>
  <c r="N354" i="25"/>
  <c r="N353" i="25"/>
  <c r="N352" i="25"/>
  <c r="N351" i="25"/>
  <c r="N350" i="25"/>
  <c r="N349" i="25"/>
  <c r="N348" i="25"/>
  <c r="N347" i="25"/>
  <c r="N346" i="25"/>
  <c r="N345" i="25"/>
  <c r="N344" i="25"/>
  <c r="N343" i="25"/>
  <c r="N342" i="25"/>
  <c r="N341" i="25"/>
  <c r="N340" i="25"/>
  <c r="N339" i="25"/>
  <c r="N338" i="25"/>
  <c r="N337" i="25"/>
  <c r="N336" i="25"/>
  <c r="N335" i="25"/>
  <c r="N334" i="25"/>
  <c r="N333" i="25"/>
  <c r="N332" i="25"/>
  <c r="N331" i="25"/>
  <c r="N330" i="25"/>
  <c r="N329" i="25"/>
  <c r="N328" i="25"/>
  <c r="N327" i="25"/>
  <c r="N326" i="25"/>
  <c r="N325" i="25"/>
  <c r="N324" i="25"/>
  <c r="N323" i="25"/>
  <c r="N322" i="25"/>
  <c r="N321" i="25"/>
  <c r="N320" i="25"/>
  <c r="N319" i="25"/>
  <c r="N318" i="25"/>
  <c r="N317" i="25"/>
  <c r="N316" i="25"/>
  <c r="N315" i="25"/>
  <c r="N314" i="25"/>
  <c r="N313" i="25"/>
  <c r="N312" i="25"/>
  <c r="N311" i="25"/>
  <c r="N310" i="25"/>
  <c r="N309" i="25"/>
  <c r="N308" i="25"/>
  <c r="N307" i="25"/>
  <c r="N306" i="25"/>
  <c r="N305" i="25"/>
  <c r="N304" i="25"/>
  <c r="N303" i="25"/>
  <c r="N302" i="25"/>
  <c r="N301" i="25"/>
  <c r="N300" i="25"/>
  <c r="N299" i="25"/>
  <c r="N298" i="25"/>
  <c r="N297" i="25"/>
  <c r="N296" i="25"/>
  <c r="N295" i="25"/>
  <c r="N294" i="25"/>
  <c r="N293" i="25"/>
  <c r="N292" i="25"/>
  <c r="N291" i="25"/>
  <c r="N290" i="25"/>
  <c r="N289" i="25"/>
  <c r="N288" i="25"/>
  <c r="N287" i="25"/>
  <c r="N286" i="25"/>
  <c r="N285" i="25"/>
  <c r="N284" i="25"/>
  <c r="N283" i="25"/>
  <c r="N282" i="25"/>
  <c r="N281" i="25"/>
  <c r="N280" i="25"/>
  <c r="N279" i="25"/>
  <c r="N278" i="25"/>
  <c r="N277" i="25"/>
  <c r="N276" i="25"/>
  <c r="N275" i="25"/>
  <c r="N274" i="25"/>
  <c r="N273" i="25"/>
  <c r="N272" i="25"/>
  <c r="N271" i="25"/>
  <c r="N270" i="25"/>
  <c r="N269" i="25"/>
  <c r="N268" i="25"/>
  <c r="N267" i="25"/>
  <c r="N266" i="25"/>
  <c r="N265" i="25"/>
  <c r="N264" i="25"/>
  <c r="N263" i="25"/>
  <c r="N262" i="25"/>
  <c r="N261" i="25"/>
  <c r="N260" i="25"/>
  <c r="N259" i="25"/>
  <c r="N258" i="25"/>
  <c r="N257" i="25"/>
  <c r="N256" i="25"/>
  <c r="N255" i="25"/>
  <c r="N254" i="25"/>
  <c r="N253" i="25"/>
  <c r="N252" i="25"/>
  <c r="N251" i="25"/>
  <c r="N250" i="25"/>
  <c r="N249" i="25"/>
  <c r="N248" i="25"/>
  <c r="N247" i="25"/>
  <c r="N246" i="25"/>
  <c r="N245" i="25"/>
  <c r="N244" i="25"/>
  <c r="N243" i="25"/>
  <c r="N242" i="25"/>
  <c r="N241" i="25"/>
  <c r="N240" i="25"/>
  <c r="N239" i="25"/>
  <c r="N238" i="25"/>
  <c r="N237" i="25"/>
  <c r="N236" i="25"/>
  <c r="N235" i="25"/>
  <c r="N234" i="25"/>
  <c r="N233" i="25"/>
  <c r="N232" i="25"/>
  <c r="N231" i="25"/>
  <c r="N230" i="25"/>
  <c r="N229" i="25"/>
  <c r="N228" i="25"/>
  <c r="N227" i="25"/>
  <c r="N226" i="25"/>
  <c r="N225" i="25"/>
  <c r="N224" i="25"/>
  <c r="N223" i="25"/>
  <c r="N222" i="25"/>
  <c r="N221" i="25"/>
  <c r="N220" i="25"/>
  <c r="N219" i="25"/>
  <c r="N218" i="25"/>
  <c r="N217" i="25"/>
  <c r="N216" i="25"/>
  <c r="N215" i="25"/>
  <c r="N214" i="25"/>
  <c r="N213" i="25"/>
  <c r="N212" i="25"/>
  <c r="N211" i="25"/>
  <c r="N210" i="25"/>
  <c r="N209" i="25"/>
  <c r="N208" i="25"/>
  <c r="N207" i="25"/>
  <c r="N206" i="25"/>
  <c r="N205" i="25"/>
  <c r="N204" i="25"/>
  <c r="N203" i="25"/>
  <c r="N202" i="25"/>
  <c r="N201" i="25"/>
  <c r="N200" i="25"/>
  <c r="N199" i="25"/>
  <c r="N198" i="25"/>
  <c r="N197" i="25"/>
  <c r="N196" i="25"/>
  <c r="N195" i="25"/>
  <c r="N194" i="25"/>
  <c r="N193" i="25"/>
  <c r="N192" i="25"/>
  <c r="N191" i="25"/>
  <c r="N190" i="25"/>
  <c r="N189" i="25"/>
  <c r="N188" i="25"/>
  <c r="N187" i="25"/>
  <c r="N186" i="25"/>
  <c r="N185" i="25"/>
  <c r="N184" i="25"/>
  <c r="N183" i="25"/>
  <c r="N182" i="25"/>
  <c r="N181" i="25"/>
  <c r="N180" i="25"/>
  <c r="N179" i="25"/>
  <c r="N178" i="25"/>
  <c r="N177" i="25"/>
  <c r="N176" i="25"/>
  <c r="N175" i="25"/>
  <c r="N174" i="25"/>
  <c r="N173" i="25"/>
  <c r="N172" i="25"/>
  <c r="N171" i="25"/>
  <c r="N170" i="25"/>
  <c r="N169" i="25"/>
  <c r="N168" i="25"/>
  <c r="N167" i="25"/>
  <c r="N166" i="25"/>
  <c r="N165" i="25"/>
  <c r="N164" i="25"/>
  <c r="N163" i="25"/>
  <c r="N162" i="25"/>
  <c r="N161" i="25"/>
  <c r="N160" i="25"/>
  <c r="N159" i="25"/>
  <c r="N158" i="25"/>
  <c r="N157" i="25"/>
  <c r="N156" i="25"/>
  <c r="N155" i="25"/>
  <c r="N154" i="25"/>
  <c r="N153" i="25"/>
  <c r="N152" i="25"/>
  <c r="N151" i="25"/>
  <c r="N150" i="25"/>
  <c r="N149" i="25"/>
  <c r="N148" i="25"/>
  <c r="N147" i="25"/>
  <c r="N146" i="25"/>
  <c r="N145" i="25"/>
  <c r="N144" i="25"/>
  <c r="N143" i="25"/>
  <c r="N142" i="25"/>
  <c r="N141" i="25"/>
  <c r="N140" i="25"/>
  <c r="N139" i="25"/>
  <c r="N138" i="25"/>
  <c r="N137" i="25"/>
  <c r="N136" i="25"/>
  <c r="N135" i="25"/>
  <c r="N134" i="25"/>
  <c r="N133" i="25"/>
  <c r="N132" i="25"/>
  <c r="N131" i="25"/>
  <c r="N130" i="25"/>
  <c r="N129" i="25"/>
  <c r="N128" i="25"/>
  <c r="N127" i="25"/>
  <c r="N126" i="25"/>
  <c r="N125" i="25"/>
  <c r="N124" i="25"/>
  <c r="N123" i="25"/>
  <c r="N122" i="25"/>
  <c r="N121" i="25"/>
  <c r="N120" i="25"/>
  <c r="N119" i="25"/>
  <c r="N118" i="25"/>
  <c r="N117" i="25"/>
  <c r="N116" i="25"/>
  <c r="N115" i="25"/>
  <c r="N114" i="25"/>
  <c r="N113" i="25"/>
  <c r="N112" i="25"/>
  <c r="N111" i="25"/>
  <c r="N110" i="25"/>
  <c r="N109" i="25"/>
  <c r="N108" i="25"/>
  <c r="N107" i="25"/>
  <c r="N106" i="25"/>
  <c r="N105" i="25"/>
  <c r="N104" i="25"/>
  <c r="N103" i="25"/>
  <c r="N102" i="25"/>
  <c r="N101" i="25"/>
  <c r="N100" i="25"/>
  <c r="N99" i="25"/>
  <c r="N98" i="25"/>
  <c r="N97" i="25"/>
  <c r="N96" i="25"/>
  <c r="N95" i="25"/>
  <c r="N94" i="25"/>
  <c r="N93" i="25"/>
  <c r="N92" i="25"/>
  <c r="N91" i="25"/>
  <c r="N90" i="25"/>
  <c r="N89" i="25"/>
  <c r="N88" i="25"/>
  <c r="N87" i="25"/>
  <c r="N86" i="25"/>
  <c r="N85" i="25"/>
  <c r="N84" i="25"/>
  <c r="N83" i="25"/>
  <c r="N82" i="25"/>
  <c r="N81" i="25"/>
  <c r="N80" i="25"/>
  <c r="N79" i="25"/>
  <c r="N78" i="25"/>
  <c r="N77" i="25"/>
  <c r="N76" i="25"/>
  <c r="N75" i="25"/>
  <c r="N74" i="25"/>
  <c r="N73" i="25"/>
  <c r="N72" i="25"/>
  <c r="N71" i="25"/>
  <c r="N70" i="25"/>
  <c r="N69" i="25"/>
  <c r="N68" i="25"/>
  <c r="N67" i="25"/>
  <c r="N66" i="25"/>
  <c r="N65" i="25"/>
  <c r="N64" i="25"/>
  <c r="N63" i="25"/>
  <c r="N62" i="25"/>
  <c r="N61" i="25"/>
  <c r="N60" i="25"/>
  <c r="N59" i="25"/>
  <c r="N58" i="25"/>
  <c r="N57" i="25"/>
  <c r="N56" i="25"/>
  <c r="N55" i="25"/>
  <c r="N54" i="25"/>
  <c r="N53" i="25"/>
  <c r="N52" i="25"/>
  <c r="N51" i="25"/>
  <c r="N50" i="25"/>
  <c r="N49" i="25"/>
  <c r="N48" i="25"/>
  <c r="N47" i="25"/>
  <c r="N46" i="25"/>
  <c r="N45" i="25"/>
  <c r="N44" i="25"/>
  <c r="N43" i="25"/>
  <c r="N42" i="25"/>
  <c r="N41" i="25"/>
  <c r="N40" i="25"/>
  <c r="N39" i="25"/>
  <c r="N38" i="25"/>
  <c r="N37" i="25"/>
  <c r="N36" i="25"/>
  <c r="N35" i="25"/>
  <c r="N34" i="25"/>
  <c r="N33" i="25"/>
  <c r="N32" i="25"/>
  <c r="N31" i="25"/>
  <c r="N30" i="25"/>
  <c r="N29" i="25"/>
  <c r="N28" i="25"/>
  <c r="N27" i="25"/>
  <c r="N26" i="25"/>
  <c r="N25" i="25"/>
  <c r="N24" i="25"/>
  <c r="N23" i="25"/>
  <c r="N22" i="25"/>
  <c r="N21" i="25"/>
  <c r="N20" i="25"/>
  <c r="N19" i="25"/>
  <c r="N18" i="25"/>
  <c r="N17" i="25"/>
  <c r="N16" i="25"/>
  <c r="N15" i="25"/>
  <c r="N14" i="25"/>
  <c r="N13" i="25"/>
  <c r="N12" i="25"/>
  <c r="N11" i="25"/>
  <c r="N10" i="25"/>
  <c r="N9" i="25"/>
  <c r="N8" i="25"/>
  <c r="N7" i="25"/>
  <c r="N6" i="25"/>
  <c r="N5" i="25"/>
  <c r="N4" i="25"/>
  <c r="N3" i="25"/>
  <c r="N2" i="25"/>
  <c r="N458" i="24"/>
  <c r="N457" i="24"/>
  <c r="N456" i="24"/>
  <c r="N455" i="24"/>
  <c r="N454" i="24"/>
  <c r="N453" i="24"/>
  <c r="N452" i="24"/>
  <c r="N451" i="24"/>
  <c r="N450" i="24"/>
  <c r="N449" i="24"/>
  <c r="N448" i="24"/>
  <c r="N447" i="24"/>
  <c r="N446" i="24"/>
  <c r="N445" i="24"/>
  <c r="N444" i="24"/>
  <c r="N443" i="24"/>
  <c r="N442" i="24"/>
  <c r="N441" i="24"/>
  <c r="N440" i="24"/>
  <c r="N439" i="24"/>
  <c r="N438" i="24"/>
  <c r="N437" i="24"/>
  <c r="N436" i="24"/>
  <c r="N435" i="24"/>
  <c r="N434" i="24"/>
  <c r="N433" i="24"/>
  <c r="N432" i="24"/>
  <c r="N431" i="24"/>
  <c r="N430" i="24"/>
  <c r="N429" i="24"/>
  <c r="N428" i="24"/>
  <c r="N427" i="24"/>
  <c r="N426" i="24"/>
  <c r="N425" i="24"/>
  <c r="N424" i="24"/>
  <c r="N423" i="24"/>
  <c r="N422" i="24"/>
  <c r="N421" i="24"/>
  <c r="N420" i="24"/>
  <c r="N419" i="24"/>
  <c r="N418" i="24"/>
  <c r="N417" i="24"/>
  <c r="N416" i="24"/>
  <c r="N415" i="24"/>
  <c r="N414" i="24"/>
  <c r="N413" i="24"/>
  <c r="N412" i="24"/>
  <c r="N411" i="24"/>
  <c r="N410" i="24"/>
  <c r="N409" i="24"/>
  <c r="N408" i="24"/>
  <c r="N407" i="24"/>
  <c r="N406" i="24"/>
  <c r="N405" i="24"/>
  <c r="N404" i="24"/>
  <c r="N403" i="24"/>
  <c r="N402" i="24"/>
  <c r="N401" i="24"/>
  <c r="N400" i="24"/>
  <c r="N399" i="24"/>
  <c r="N398" i="24"/>
  <c r="N397" i="24"/>
  <c r="N396" i="24"/>
  <c r="N395" i="24"/>
  <c r="N394" i="24"/>
  <c r="N393" i="24"/>
  <c r="N392" i="24"/>
  <c r="N391" i="24"/>
  <c r="N390" i="24"/>
  <c r="N389" i="24"/>
  <c r="N388" i="24"/>
  <c r="N387" i="24"/>
  <c r="N386" i="24"/>
  <c r="N385" i="24"/>
  <c r="N384" i="24"/>
  <c r="N383" i="24"/>
  <c r="N382" i="24"/>
  <c r="N381" i="24"/>
  <c r="N380" i="24"/>
  <c r="N379" i="24"/>
  <c r="N378" i="24"/>
  <c r="N377" i="24"/>
  <c r="N376" i="24"/>
  <c r="N375" i="24"/>
  <c r="N374" i="24"/>
  <c r="N373" i="24"/>
  <c r="N372" i="24"/>
  <c r="N371" i="24"/>
  <c r="N370" i="24"/>
  <c r="N369" i="24"/>
  <c r="N368" i="24"/>
  <c r="N367" i="24"/>
  <c r="N366" i="24"/>
  <c r="N365" i="24"/>
  <c r="N364" i="24"/>
  <c r="N363" i="24"/>
  <c r="N362" i="24"/>
  <c r="N361" i="24"/>
  <c r="N360" i="24"/>
  <c r="N359" i="24"/>
  <c r="N358" i="24"/>
  <c r="N357" i="24"/>
  <c r="N356" i="24"/>
  <c r="N355" i="24"/>
  <c r="N354" i="24"/>
  <c r="N353" i="24"/>
  <c r="N352" i="24"/>
  <c r="N351" i="24"/>
  <c r="N350" i="24"/>
  <c r="N349" i="24"/>
  <c r="N348" i="24"/>
  <c r="N347" i="24"/>
  <c r="N346" i="24"/>
  <c r="N345" i="24"/>
  <c r="N344" i="24"/>
  <c r="N343" i="24"/>
  <c r="N342" i="24"/>
  <c r="N341" i="24"/>
  <c r="N340" i="24"/>
  <c r="N339" i="24"/>
  <c r="N338" i="24"/>
  <c r="N337" i="24"/>
  <c r="N336" i="24"/>
  <c r="N335" i="24"/>
  <c r="N334" i="24"/>
  <c r="N333" i="24"/>
  <c r="N332" i="24"/>
  <c r="N331" i="24"/>
  <c r="N330" i="24"/>
  <c r="N329" i="24"/>
  <c r="N328" i="24"/>
  <c r="N327" i="24"/>
  <c r="N326" i="24"/>
  <c r="N325" i="24"/>
  <c r="N324" i="24"/>
  <c r="N323" i="24"/>
  <c r="N322" i="24"/>
  <c r="N321" i="24"/>
  <c r="N320" i="24"/>
  <c r="N319" i="24"/>
  <c r="N318" i="24"/>
  <c r="N317" i="24"/>
  <c r="N316" i="24"/>
  <c r="N315" i="24"/>
  <c r="N314" i="24"/>
  <c r="N313" i="24"/>
  <c r="N312" i="24"/>
  <c r="N311" i="24"/>
  <c r="N310" i="24"/>
  <c r="N309" i="24"/>
  <c r="N308" i="24"/>
  <c r="N307" i="24"/>
  <c r="N306" i="24"/>
  <c r="N305" i="24"/>
  <c r="N304" i="24"/>
  <c r="N303" i="24"/>
  <c r="N302" i="24"/>
  <c r="N301" i="24"/>
  <c r="N300" i="24"/>
  <c r="N299" i="24"/>
  <c r="N298" i="24"/>
  <c r="N297" i="24"/>
  <c r="N296" i="24"/>
  <c r="N295" i="24"/>
  <c r="N294" i="24"/>
  <c r="N293" i="24"/>
  <c r="N292" i="24"/>
  <c r="N291" i="24"/>
  <c r="N290" i="24"/>
  <c r="N289" i="24"/>
  <c r="N288" i="24"/>
  <c r="N287" i="24"/>
  <c r="N286" i="24"/>
  <c r="N285" i="24"/>
  <c r="N284" i="24"/>
  <c r="N283" i="24"/>
  <c r="N282" i="24"/>
  <c r="N281" i="24"/>
  <c r="N280" i="24"/>
  <c r="N279" i="24"/>
  <c r="N278" i="24"/>
  <c r="N277" i="24"/>
  <c r="N276" i="24"/>
  <c r="N275" i="24"/>
  <c r="N274" i="24"/>
  <c r="N273" i="24"/>
  <c r="N272" i="24"/>
  <c r="N271" i="24"/>
  <c r="N270" i="24"/>
  <c r="N269" i="24"/>
  <c r="N268" i="24"/>
  <c r="N267" i="24"/>
  <c r="N266" i="24"/>
  <c r="N265" i="24"/>
  <c r="N264" i="24"/>
  <c r="N263" i="24"/>
  <c r="N262" i="24"/>
  <c r="N261" i="24"/>
  <c r="N260" i="24"/>
  <c r="N259" i="24"/>
  <c r="N258" i="24"/>
  <c r="N257" i="24"/>
  <c r="N256" i="24"/>
  <c r="N255" i="24"/>
  <c r="N254" i="24"/>
  <c r="N253" i="24"/>
  <c r="N252" i="24"/>
  <c r="N251" i="24"/>
  <c r="N250" i="24"/>
  <c r="N249" i="24"/>
  <c r="N248" i="24"/>
  <c r="N247" i="24"/>
  <c r="N246" i="24"/>
  <c r="N245" i="24"/>
  <c r="N244" i="24"/>
  <c r="N243" i="24"/>
  <c r="N242" i="24"/>
  <c r="N241" i="24"/>
  <c r="N240" i="24"/>
  <c r="N239" i="24"/>
  <c r="N238" i="24"/>
  <c r="N237" i="24"/>
  <c r="N236" i="24"/>
  <c r="N235" i="24"/>
  <c r="N234" i="24"/>
  <c r="N233" i="24"/>
  <c r="N232" i="24"/>
  <c r="N231" i="24"/>
  <c r="N230" i="24"/>
  <c r="N229" i="24"/>
  <c r="N228" i="24"/>
  <c r="N227" i="24"/>
  <c r="N226" i="24"/>
  <c r="N225" i="24"/>
  <c r="N224" i="24"/>
  <c r="N223" i="24"/>
  <c r="N222" i="24"/>
  <c r="N221" i="24"/>
  <c r="N220" i="24"/>
  <c r="N219" i="24"/>
  <c r="N218" i="24"/>
  <c r="N217" i="24"/>
  <c r="N216" i="24"/>
  <c r="N215" i="24"/>
  <c r="N214" i="24"/>
  <c r="N213" i="24"/>
  <c r="N212" i="24"/>
  <c r="N211" i="24"/>
  <c r="N210" i="24"/>
  <c r="N209" i="24"/>
  <c r="N208" i="24"/>
  <c r="N207" i="24"/>
  <c r="N206" i="24"/>
  <c r="N205" i="24"/>
  <c r="N204" i="24"/>
  <c r="N203" i="24"/>
  <c r="N202" i="24"/>
  <c r="N201" i="24"/>
  <c r="N200" i="24"/>
  <c r="N199" i="24"/>
  <c r="N198" i="24"/>
  <c r="N197" i="24"/>
  <c r="N196" i="24"/>
  <c r="N195" i="24"/>
  <c r="N194" i="24"/>
  <c r="N193" i="24"/>
  <c r="N192" i="24"/>
  <c r="N191" i="24"/>
  <c r="N190" i="24"/>
  <c r="N189" i="24"/>
  <c r="N188" i="24"/>
  <c r="N187" i="24"/>
  <c r="N186" i="24"/>
  <c r="N185" i="24"/>
  <c r="N184" i="24"/>
  <c r="N183" i="24"/>
  <c r="N182" i="24"/>
  <c r="N181" i="24"/>
  <c r="N180" i="24"/>
  <c r="N179" i="24"/>
  <c r="N178" i="24"/>
  <c r="N177" i="24"/>
  <c r="N176" i="24"/>
  <c r="N175" i="24"/>
  <c r="N174" i="24"/>
  <c r="N173" i="24"/>
  <c r="N172" i="24"/>
  <c r="N171" i="24"/>
  <c r="N170" i="24"/>
  <c r="N169" i="24"/>
  <c r="N168" i="24"/>
  <c r="N167" i="24"/>
  <c r="N166" i="24"/>
  <c r="N165" i="24"/>
  <c r="N164" i="24"/>
  <c r="N163" i="24"/>
  <c r="N162" i="24"/>
  <c r="N161" i="24"/>
  <c r="N160" i="24"/>
  <c r="N159" i="24"/>
  <c r="N158" i="24"/>
  <c r="N157" i="24"/>
  <c r="N156" i="24"/>
  <c r="N155" i="24"/>
  <c r="N154" i="24"/>
  <c r="N153" i="24"/>
  <c r="N152" i="24"/>
  <c r="N151" i="24"/>
  <c r="N150" i="24"/>
  <c r="N149" i="24"/>
  <c r="N148" i="24"/>
  <c r="N147" i="24"/>
  <c r="N146" i="24"/>
  <c r="N145" i="24"/>
  <c r="N144" i="24"/>
  <c r="N143" i="24"/>
  <c r="N142" i="24"/>
  <c r="N141" i="24"/>
  <c r="N140" i="24"/>
  <c r="N139" i="24"/>
  <c r="N138" i="24"/>
  <c r="N137" i="24"/>
  <c r="N136" i="24"/>
  <c r="N135" i="24"/>
  <c r="N134" i="24"/>
  <c r="N133" i="24"/>
  <c r="N132" i="24"/>
  <c r="N131" i="24"/>
  <c r="N130" i="24"/>
  <c r="N129" i="24"/>
  <c r="N128" i="24"/>
  <c r="N127" i="24"/>
  <c r="N126" i="24"/>
  <c r="N125" i="24"/>
  <c r="N124" i="24"/>
  <c r="N123" i="24"/>
  <c r="N122" i="24"/>
  <c r="N121" i="24"/>
  <c r="N120" i="24"/>
  <c r="N119" i="24"/>
  <c r="N118" i="24"/>
  <c r="N117" i="24"/>
  <c r="N116" i="24"/>
  <c r="N115" i="24"/>
  <c r="N114" i="24"/>
  <c r="N113" i="24"/>
  <c r="N112" i="24"/>
  <c r="N111" i="24"/>
  <c r="N110" i="24"/>
  <c r="N109" i="24"/>
  <c r="N108" i="24"/>
  <c r="N107" i="24"/>
  <c r="N106" i="24"/>
  <c r="N105" i="24"/>
  <c r="N104" i="24"/>
  <c r="N103" i="24"/>
  <c r="N102" i="24"/>
  <c r="N101" i="24"/>
  <c r="N100" i="24"/>
  <c r="N99" i="24"/>
  <c r="N98" i="24"/>
  <c r="N97" i="24"/>
  <c r="N96" i="24"/>
  <c r="N95" i="24"/>
  <c r="N94" i="24"/>
  <c r="N93" i="24"/>
  <c r="N92" i="24"/>
  <c r="N91" i="24"/>
  <c r="N90" i="24"/>
  <c r="N89" i="24"/>
  <c r="N88" i="24"/>
  <c r="N87" i="24"/>
  <c r="N86" i="24"/>
  <c r="N85" i="24"/>
  <c r="N84" i="24"/>
  <c r="N83" i="24"/>
  <c r="N82" i="24"/>
  <c r="N81" i="24"/>
  <c r="N80" i="24"/>
  <c r="N79" i="24"/>
  <c r="N78" i="24"/>
  <c r="N77" i="24"/>
  <c r="N76" i="24"/>
  <c r="N75" i="24"/>
  <c r="N74" i="24"/>
  <c r="N73" i="24"/>
  <c r="N72" i="24"/>
  <c r="N71" i="24"/>
  <c r="N70" i="24"/>
  <c r="N69" i="24"/>
  <c r="N68" i="24"/>
  <c r="N67" i="24"/>
  <c r="N66" i="24"/>
  <c r="N65" i="24"/>
  <c r="N64" i="24"/>
  <c r="N63" i="24"/>
  <c r="N62" i="24"/>
  <c r="N61" i="24"/>
  <c r="N60" i="24"/>
  <c r="N59" i="24"/>
  <c r="N58" i="24"/>
  <c r="N57" i="24"/>
  <c r="N56" i="24"/>
  <c r="N55" i="24"/>
  <c r="N54" i="24"/>
  <c r="N53" i="24"/>
  <c r="N52" i="24"/>
  <c r="N51" i="24"/>
  <c r="N50" i="24"/>
  <c r="N49" i="24"/>
  <c r="N48" i="24"/>
  <c r="N47" i="24"/>
  <c r="N46" i="24"/>
  <c r="N45" i="24"/>
  <c r="N44" i="24"/>
  <c r="N43" i="24"/>
  <c r="N42" i="24"/>
  <c r="N41" i="24"/>
  <c r="N40" i="24"/>
  <c r="N39" i="24"/>
  <c r="N38" i="24"/>
  <c r="N37" i="24"/>
  <c r="N36" i="24"/>
  <c r="N35" i="24"/>
  <c r="N34" i="24"/>
  <c r="N33" i="24"/>
  <c r="N32" i="24"/>
  <c r="N31" i="24"/>
  <c r="N30" i="24"/>
  <c r="N29" i="24"/>
  <c r="N28" i="24"/>
  <c r="N27" i="24"/>
  <c r="N26" i="24"/>
  <c r="N25" i="24"/>
  <c r="N24" i="24"/>
  <c r="N23" i="24"/>
  <c r="N22" i="24"/>
  <c r="N21" i="24"/>
  <c r="N20" i="24"/>
  <c r="N19" i="24"/>
  <c r="N18" i="24"/>
  <c r="N17" i="24"/>
  <c r="N16" i="24"/>
  <c r="N15" i="24"/>
  <c r="N14" i="24"/>
  <c r="N13" i="24"/>
  <c r="N12" i="24"/>
  <c r="N11" i="24"/>
  <c r="N10" i="24"/>
  <c r="N9" i="24"/>
  <c r="N8" i="24"/>
  <c r="N7" i="24"/>
  <c r="N6" i="24"/>
  <c r="N5" i="24"/>
  <c r="N4" i="24"/>
  <c r="N3" i="24"/>
  <c r="N2" i="24"/>
  <c r="N734" i="23"/>
  <c r="N733" i="23"/>
  <c r="N732" i="23"/>
  <c r="N731" i="23"/>
  <c r="N730" i="23"/>
  <c r="N729" i="23"/>
  <c r="N728" i="23"/>
  <c r="N727" i="23"/>
  <c r="N726" i="23"/>
  <c r="N725" i="23"/>
  <c r="N724" i="23"/>
  <c r="N723" i="23"/>
  <c r="N722" i="23"/>
  <c r="N721" i="23"/>
  <c r="N720" i="23"/>
  <c r="N719" i="23"/>
  <c r="N718" i="23"/>
  <c r="N717" i="23"/>
  <c r="N716" i="23"/>
  <c r="N715" i="23"/>
  <c r="N714" i="23"/>
  <c r="N713" i="23"/>
  <c r="N712" i="23"/>
  <c r="N711" i="23"/>
  <c r="N710" i="23"/>
  <c r="N709" i="23"/>
  <c r="N708" i="23"/>
  <c r="N707" i="23"/>
  <c r="N706" i="23"/>
  <c r="N705" i="23"/>
  <c r="N704" i="23"/>
  <c r="N703" i="23"/>
  <c r="N702" i="23"/>
  <c r="N701" i="23"/>
  <c r="N700" i="23"/>
  <c r="N699" i="23"/>
  <c r="N698" i="23"/>
  <c r="N697" i="23"/>
  <c r="N696" i="23"/>
  <c r="N695" i="23"/>
  <c r="N694" i="23"/>
  <c r="N693" i="23"/>
  <c r="N692" i="23"/>
  <c r="N691" i="23"/>
  <c r="N690" i="23"/>
  <c r="N689" i="23"/>
  <c r="N688" i="23"/>
  <c r="N687" i="23"/>
  <c r="N686" i="23"/>
  <c r="N685" i="23"/>
  <c r="N684" i="23"/>
  <c r="N683" i="23"/>
  <c r="N682" i="23"/>
  <c r="N681" i="23"/>
  <c r="N680" i="23"/>
  <c r="N679" i="23"/>
  <c r="N678" i="23"/>
  <c r="N677" i="23"/>
  <c r="N676" i="23"/>
  <c r="N675" i="23"/>
  <c r="N674" i="23"/>
  <c r="N673" i="23"/>
  <c r="N672" i="23"/>
  <c r="N671" i="23"/>
  <c r="N670" i="23"/>
  <c r="N669" i="23"/>
  <c r="N668" i="23"/>
  <c r="N667" i="23"/>
  <c r="N666" i="23"/>
  <c r="N665" i="23"/>
  <c r="N664" i="23"/>
  <c r="N663" i="23"/>
  <c r="N662" i="23"/>
  <c r="N661" i="23"/>
  <c r="N660" i="23"/>
  <c r="N659" i="23"/>
  <c r="N658" i="23"/>
  <c r="N657" i="23"/>
  <c r="N656" i="23"/>
  <c r="N655" i="23"/>
  <c r="N654" i="23"/>
  <c r="N653" i="23"/>
  <c r="N652" i="23"/>
  <c r="N651" i="23"/>
  <c r="N650" i="23"/>
  <c r="N649" i="23"/>
  <c r="N648" i="23"/>
  <c r="N647" i="23"/>
  <c r="N646" i="23"/>
  <c r="N645" i="23"/>
  <c r="N644" i="23"/>
  <c r="N643" i="23"/>
  <c r="N642" i="23"/>
  <c r="N641" i="23"/>
  <c r="N640" i="23"/>
  <c r="N639" i="23"/>
  <c r="N638" i="23"/>
  <c r="N637" i="23"/>
  <c r="N636" i="23"/>
  <c r="N635" i="23"/>
  <c r="N634" i="23"/>
  <c r="N633" i="23"/>
  <c r="N632" i="23"/>
  <c r="N631" i="23"/>
  <c r="N630" i="23"/>
  <c r="N629" i="23"/>
  <c r="N628" i="23"/>
  <c r="N627" i="23"/>
  <c r="N626" i="23"/>
  <c r="N625" i="23"/>
  <c r="N624" i="23"/>
  <c r="N623" i="23"/>
  <c r="N622" i="23"/>
  <c r="N621" i="23"/>
  <c r="N620" i="23"/>
  <c r="N619" i="23"/>
  <c r="N618" i="23"/>
  <c r="N617" i="23"/>
  <c r="N616" i="23"/>
  <c r="N615" i="23"/>
  <c r="N614" i="23"/>
  <c r="N613" i="23"/>
  <c r="N612" i="23"/>
  <c r="N611" i="23"/>
  <c r="N610" i="23"/>
  <c r="N609" i="23"/>
  <c r="N608" i="23"/>
  <c r="N607" i="23"/>
  <c r="N606" i="23"/>
  <c r="N605" i="23"/>
  <c r="N604" i="23"/>
  <c r="N603" i="23"/>
  <c r="N602" i="23"/>
  <c r="N601" i="23"/>
  <c r="N600" i="23"/>
  <c r="N599" i="23"/>
  <c r="N598" i="23"/>
  <c r="N597" i="23"/>
  <c r="N596" i="23"/>
  <c r="N595" i="23"/>
  <c r="N594" i="23"/>
  <c r="N593" i="23"/>
  <c r="N592" i="23"/>
  <c r="N591" i="23"/>
  <c r="N590" i="23"/>
  <c r="N589" i="23"/>
  <c r="N588" i="23"/>
  <c r="N587" i="23"/>
  <c r="N586" i="23"/>
  <c r="N585" i="23"/>
  <c r="N584" i="23"/>
  <c r="N583" i="23"/>
  <c r="N582" i="23"/>
  <c r="N581" i="23"/>
  <c r="N580" i="23"/>
  <c r="N579" i="23"/>
  <c r="N578" i="23"/>
  <c r="N577" i="23"/>
  <c r="N576" i="23"/>
  <c r="N575" i="23"/>
  <c r="N574" i="23"/>
  <c r="N573" i="23"/>
  <c r="N572" i="23"/>
  <c r="N571" i="23"/>
  <c r="N570" i="23"/>
  <c r="N569" i="23"/>
  <c r="N568" i="23"/>
  <c r="N567" i="23"/>
  <c r="N566" i="23"/>
  <c r="N565" i="23"/>
  <c r="N564" i="23"/>
  <c r="N563" i="23"/>
  <c r="N562" i="23"/>
  <c r="N561" i="23"/>
  <c r="N560" i="23"/>
  <c r="N559" i="23"/>
  <c r="N558" i="23"/>
  <c r="N557" i="23"/>
  <c r="N556" i="23"/>
  <c r="N555" i="23"/>
  <c r="N554" i="23"/>
  <c r="N553" i="23"/>
  <c r="N552" i="23"/>
  <c r="N551" i="23"/>
  <c r="N550" i="23"/>
  <c r="N549" i="23"/>
  <c r="N548" i="23"/>
  <c r="N547" i="23"/>
  <c r="N546" i="23"/>
  <c r="N545" i="23"/>
  <c r="N544" i="23"/>
  <c r="N543" i="23"/>
  <c r="N542" i="23"/>
  <c r="N541" i="23"/>
  <c r="N540" i="23"/>
  <c r="N539" i="23"/>
  <c r="N538" i="23"/>
  <c r="N537" i="23"/>
  <c r="N536" i="23"/>
  <c r="N535" i="23"/>
  <c r="N534" i="23"/>
  <c r="N533" i="23"/>
  <c r="N532" i="23"/>
  <c r="N531" i="23"/>
  <c r="N530" i="23"/>
  <c r="N529" i="23"/>
  <c r="N528" i="23"/>
  <c r="N527" i="23"/>
  <c r="N526" i="23"/>
  <c r="N525" i="23"/>
  <c r="N524" i="23"/>
  <c r="N523" i="23"/>
  <c r="N522" i="23"/>
  <c r="N521" i="23"/>
  <c r="N520" i="23"/>
  <c r="N519" i="23"/>
  <c r="N518" i="23"/>
  <c r="N517" i="23"/>
  <c r="N516" i="23"/>
  <c r="N515" i="23"/>
  <c r="N514" i="23"/>
  <c r="N513" i="23"/>
  <c r="N512" i="23"/>
  <c r="N511" i="23"/>
  <c r="N510" i="23"/>
  <c r="N509" i="23"/>
  <c r="N508" i="23"/>
  <c r="N507" i="23"/>
  <c r="N506" i="23"/>
  <c r="N505" i="23"/>
  <c r="N504" i="23"/>
  <c r="N503" i="23"/>
  <c r="N502" i="23"/>
  <c r="N501" i="23"/>
  <c r="N500" i="23"/>
  <c r="N499" i="23"/>
  <c r="N498" i="23"/>
  <c r="N497" i="23"/>
  <c r="N496" i="23"/>
  <c r="N495" i="23"/>
  <c r="N494" i="23"/>
  <c r="N493" i="23"/>
  <c r="N492" i="23"/>
  <c r="N491" i="23"/>
  <c r="N490" i="23"/>
  <c r="N489" i="23"/>
  <c r="N488" i="23"/>
  <c r="N487" i="23"/>
  <c r="N486" i="23"/>
  <c r="N485" i="23"/>
  <c r="N484" i="23"/>
  <c r="N483" i="23"/>
  <c r="N482" i="23"/>
  <c r="N481" i="23"/>
  <c r="N480" i="23"/>
  <c r="N479" i="23"/>
  <c r="N478" i="23"/>
  <c r="N477" i="23"/>
  <c r="N476" i="23"/>
  <c r="N475" i="23"/>
  <c r="N474" i="23"/>
  <c r="N473" i="23"/>
  <c r="N472" i="23"/>
  <c r="N471" i="23"/>
  <c r="N470" i="23"/>
  <c r="N469" i="23"/>
  <c r="N468" i="23"/>
  <c r="N467" i="23"/>
  <c r="N466" i="23"/>
  <c r="N465" i="23"/>
  <c r="N464" i="23"/>
  <c r="N463" i="23"/>
  <c r="N462" i="23"/>
  <c r="N461" i="23"/>
  <c r="N460" i="23"/>
  <c r="N459" i="23"/>
  <c r="N458" i="23"/>
  <c r="N457" i="23"/>
  <c r="N456" i="23"/>
  <c r="N455" i="23"/>
  <c r="N454" i="23"/>
  <c r="N453" i="23"/>
  <c r="N452" i="23"/>
  <c r="N451" i="23"/>
  <c r="N450" i="23"/>
  <c r="N449" i="23"/>
  <c r="N448" i="23"/>
  <c r="N447" i="23"/>
  <c r="N446" i="23"/>
  <c r="N445" i="23"/>
  <c r="N444" i="23"/>
  <c r="N443" i="23"/>
  <c r="N442" i="23"/>
  <c r="N441" i="23"/>
  <c r="N440" i="23"/>
  <c r="N439" i="23"/>
  <c r="N438" i="23"/>
  <c r="N437" i="23"/>
  <c r="N436" i="23"/>
  <c r="N435" i="23"/>
  <c r="N434" i="23"/>
  <c r="N433" i="23"/>
  <c r="N432" i="23"/>
  <c r="N431" i="23"/>
  <c r="N430" i="23"/>
  <c r="N429" i="23"/>
  <c r="N428" i="23"/>
  <c r="N427" i="23"/>
  <c r="N426" i="23"/>
  <c r="N425" i="23"/>
  <c r="N424" i="23"/>
  <c r="N423" i="23"/>
  <c r="N422" i="23"/>
  <c r="N421" i="23"/>
  <c r="N420" i="23"/>
  <c r="N419" i="23"/>
  <c r="N418" i="23"/>
  <c r="N417" i="23"/>
  <c r="N416" i="23"/>
  <c r="N415" i="23"/>
  <c r="N414" i="23"/>
  <c r="N413" i="23"/>
  <c r="N412" i="23"/>
  <c r="N411" i="23"/>
  <c r="N410" i="23"/>
  <c r="N409" i="23"/>
  <c r="N408" i="23"/>
  <c r="N407" i="23"/>
  <c r="N406" i="23"/>
  <c r="N405" i="23"/>
  <c r="N404" i="23"/>
  <c r="N403" i="23"/>
  <c r="N402" i="23"/>
  <c r="N401" i="23"/>
  <c r="N400" i="23"/>
  <c r="N399" i="23"/>
  <c r="N398" i="23"/>
  <c r="N397" i="23"/>
  <c r="N396" i="23"/>
  <c r="N395" i="23"/>
  <c r="N394" i="23"/>
  <c r="N393" i="23"/>
  <c r="N392" i="23"/>
  <c r="N391" i="23"/>
  <c r="N390" i="23"/>
  <c r="N389" i="23"/>
  <c r="N388" i="23"/>
  <c r="N387" i="23"/>
  <c r="N386" i="23"/>
  <c r="N385" i="23"/>
  <c r="N384" i="23"/>
  <c r="N383" i="23"/>
  <c r="N382" i="23"/>
  <c r="N381" i="23"/>
  <c r="N380" i="23"/>
  <c r="N379" i="23"/>
  <c r="N378" i="23"/>
  <c r="N377" i="23"/>
  <c r="N376" i="23"/>
  <c r="N375" i="23"/>
  <c r="N374" i="23"/>
  <c r="N373" i="23"/>
  <c r="N372" i="23"/>
  <c r="N371" i="23"/>
  <c r="N370" i="23"/>
  <c r="N369" i="23"/>
  <c r="N368" i="23"/>
  <c r="N367" i="23"/>
  <c r="N366" i="23"/>
  <c r="N365" i="23"/>
  <c r="N364" i="23"/>
  <c r="N363" i="23"/>
  <c r="N362" i="23"/>
  <c r="N361" i="23"/>
  <c r="N360" i="23"/>
  <c r="N359" i="23"/>
  <c r="N358" i="23"/>
  <c r="N357" i="23"/>
  <c r="N356" i="23"/>
  <c r="N355" i="23"/>
  <c r="N354" i="23"/>
  <c r="N353" i="23"/>
  <c r="N352" i="23"/>
  <c r="N351" i="23"/>
  <c r="N350" i="23"/>
  <c r="N349" i="23"/>
  <c r="N348" i="23"/>
  <c r="N347" i="23"/>
  <c r="N346" i="23"/>
  <c r="N345" i="23"/>
  <c r="N344" i="23"/>
  <c r="N343" i="23"/>
  <c r="N342" i="23"/>
  <c r="N341" i="23"/>
  <c r="N340" i="23"/>
  <c r="N339" i="23"/>
  <c r="N338" i="23"/>
  <c r="N337" i="23"/>
  <c r="N336" i="23"/>
  <c r="N335" i="23"/>
  <c r="N334" i="23"/>
  <c r="N333" i="23"/>
  <c r="N332" i="23"/>
  <c r="N331" i="23"/>
  <c r="N330" i="23"/>
  <c r="N329" i="23"/>
  <c r="N328" i="23"/>
  <c r="N327" i="23"/>
  <c r="N326" i="23"/>
  <c r="N325" i="23"/>
  <c r="N324" i="23"/>
  <c r="N323" i="23"/>
  <c r="N322" i="23"/>
  <c r="N321" i="23"/>
  <c r="N320" i="23"/>
  <c r="N319" i="23"/>
  <c r="N318" i="23"/>
  <c r="N317" i="23"/>
  <c r="N316" i="23"/>
  <c r="N315" i="23"/>
  <c r="N314" i="23"/>
  <c r="N313" i="23"/>
  <c r="N312" i="23"/>
  <c r="N311" i="23"/>
  <c r="N310" i="23"/>
  <c r="N309" i="23"/>
  <c r="N308" i="23"/>
  <c r="N307" i="23"/>
  <c r="N306" i="23"/>
  <c r="N305" i="23"/>
  <c r="N304" i="23"/>
  <c r="N303" i="23"/>
  <c r="N302" i="23"/>
  <c r="N301" i="23"/>
  <c r="N300" i="23"/>
  <c r="N299" i="23"/>
  <c r="N298" i="23"/>
  <c r="N297" i="23"/>
  <c r="N296" i="23"/>
  <c r="N295" i="23"/>
  <c r="N294" i="23"/>
  <c r="N293" i="23"/>
  <c r="N292" i="23"/>
  <c r="N291" i="23"/>
  <c r="N290" i="23"/>
  <c r="N289" i="23"/>
  <c r="N288" i="23"/>
  <c r="N287" i="23"/>
  <c r="N286" i="23"/>
  <c r="N285" i="23"/>
  <c r="N284" i="23"/>
  <c r="N283" i="23"/>
  <c r="N282" i="23"/>
  <c r="N281" i="23"/>
  <c r="N280" i="23"/>
  <c r="N279" i="23"/>
  <c r="N278" i="23"/>
  <c r="N277" i="23"/>
  <c r="N276" i="23"/>
  <c r="N275" i="23"/>
  <c r="N274" i="23"/>
  <c r="N273" i="23"/>
  <c r="N272" i="23"/>
  <c r="N271" i="23"/>
  <c r="N270" i="23"/>
  <c r="N269" i="23"/>
  <c r="N268" i="23"/>
  <c r="N267" i="23"/>
  <c r="N266" i="23"/>
  <c r="N265" i="23"/>
  <c r="N264" i="23"/>
  <c r="N263" i="23"/>
  <c r="N262" i="23"/>
  <c r="N261" i="23"/>
  <c r="N260" i="23"/>
  <c r="N259" i="23"/>
  <c r="N258" i="23"/>
  <c r="N257" i="23"/>
  <c r="N256" i="23"/>
  <c r="N255" i="23"/>
  <c r="N254" i="23"/>
  <c r="N253" i="23"/>
  <c r="N252" i="23"/>
  <c r="N251" i="23"/>
  <c r="N250" i="23"/>
  <c r="N249" i="23"/>
  <c r="N248" i="23"/>
  <c r="N247" i="23"/>
  <c r="N246" i="23"/>
  <c r="N245" i="23"/>
  <c r="N244" i="23"/>
  <c r="N243" i="23"/>
  <c r="N242" i="23"/>
  <c r="N241" i="23"/>
  <c r="N240" i="23"/>
  <c r="N239" i="23"/>
  <c r="N238" i="23"/>
  <c r="N237" i="23"/>
  <c r="N236" i="23"/>
  <c r="N235" i="23"/>
  <c r="N234" i="23"/>
  <c r="N233" i="23"/>
  <c r="N232" i="23"/>
  <c r="N231" i="23"/>
  <c r="N230" i="23"/>
  <c r="N229" i="23"/>
  <c r="N228" i="23"/>
  <c r="N227" i="23"/>
  <c r="N226" i="23"/>
  <c r="N225" i="23"/>
  <c r="N224" i="23"/>
  <c r="N223" i="23"/>
  <c r="N222" i="23"/>
  <c r="N221" i="23"/>
  <c r="N220" i="23"/>
  <c r="N219" i="23"/>
  <c r="N218" i="23"/>
  <c r="N217" i="23"/>
  <c r="N216" i="23"/>
  <c r="N215" i="23"/>
  <c r="N214" i="23"/>
  <c r="N213" i="23"/>
  <c r="N212" i="23"/>
  <c r="N211" i="23"/>
  <c r="N210" i="23"/>
  <c r="N209" i="23"/>
  <c r="N208" i="23"/>
  <c r="N207" i="23"/>
  <c r="N206" i="23"/>
  <c r="N205" i="23"/>
  <c r="N204" i="23"/>
  <c r="N203" i="23"/>
  <c r="N202" i="23"/>
  <c r="N201" i="23"/>
  <c r="N200" i="23"/>
  <c r="N199" i="23"/>
  <c r="N198" i="23"/>
  <c r="N197" i="23"/>
  <c r="N196" i="23"/>
  <c r="N195" i="23"/>
  <c r="N194" i="23"/>
  <c r="N193" i="23"/>
  <c r="N192" i="23"/>
  <c r="N191" i="23"/>
  <c r="N190" i="23"/>
  <c r="N189" i="23"/>
  <c r="N188" i="23"/>
  <c r="N187" i="23"/>
  <c r="N186" i="23"/>
  <c r="N185" i="23"/>
  <c r="N184" i="23"/>
  <c r="N183" i="23"/>
  <c r="N182" i="23"/>
  <c r="N181" i="23"/>
  <c r="N180" i="23"/>
  <c r="N179" i="23"/>
  <c r="N178" i="23"/>
  <c r="N177" i="23"/>
  <c r="N176" i="23"/>
  <c r="N175" i="23"/>
  <c r="N174" i="23"/>
  <c r="N173" i="23"/>
  <c r="N172" i="23"/>
  <c r="N171" i="23"/>
  <c r="N170" i="23"/>
  <c r="N169" i="23"/>
  <c r="N168" i="23"/>
  <c r="N167" i="23"/>
  <c r="N166" i="23"/>
  <c r="N165" i="23"/>
  <c r="N164" i="23"/>
  <c r="N163" i="23"/>
  <c r="N162" i="23"/>
  <c r="N161" i="23"/>
  <c r="N160" i="23"/>
  <c r="N159" i="23"/>
  <c r="N158" i="23"/>
  <c r="N157" i="23"/>
  <c r="N156" i="23"/>
  <c r="N155" i="23"/>
  <c r="N154" i="23"/>
  <c r="N153" i="23"/>
  <c r="N152" i="23"/>
  <c r="N151" i="23"/>
  <c r="N150" i="23"/>
  <c r="N149" i="23"/>
  <c r="N148" i="23"/>
  <c r="N147" i="23"/>
  <c r="N146" i="23"/>
  <c r="N145" i="23"/>
  <c r="N144" i="23"/>
  <c r="N143" i="23"/>
  <c r="N142" i="23"/>
  <c r="N141" i="23"/>
  <c r="N140" i="23"/>
  <c r="N139" i="23"/>
  <c r="N138" i="23"/>
  <c r="N137" i="23"/>
  <c r="N136" i="23"/>
  <c r="N135" i="23"/>
  <c r="N134" i="23"/>
  <c r="N133" i="23"/>
  <c r="N132" i="23"/>
  <c r="N131" i="23"/>
  <c r="N130" i="23"/>
  <c r="N129" i="23"/>
  <c r="N128" i="23"/>
  <c r="N127" i="23"/>
  <c r="N126" i="23"/>
  <c r="N125" i="23"/>
  <c r="N124" i="23"/>
  <c r="N123" i="23"/>
  <c r="N122" i="23"/>
  <c r="N121" i="23"/>
  <c r="N120" i="23"/>
  <c r="N119" i="23"/>
  <c r="N118" i="23"/>
  <c r="N117" i="23"/>
  <c r="N116" i="23"/>
  <c r="N115" i="23"/>
  <c r="N114" i="23"/>
  <c r="N113" i="23"/>
  <c r="N112" i="23"/>
  <c r="N111" i="23"/>
  <c r="N110" i="23"/>
  <c r="N109" i="23"/>
  <c r="N108" i="23"/>
  <c r="N107" i="23"/>
  <c r="N106" i="23"/>
  <c r="N105" i="23"/>
  <c r="N104" i="23"/>
  <c r="N103" i="23"/>
  <c r="N102" i="23"/>
  <c r="N101" i="23"/>
  <c r="N100" i="23"/>
  <c r="N99" i="23"/>
  <c r="N98" i="23"/>
  <c r="N97" i="23"/>
  <c r="N96" i="23"/>
  <c r="N95" i="23"/>
  <c r="N94" i="23"/>
  <c r="N93" i="23"/>
  <c r="N92" i="23"/>
  <c r="N91" i="23"/>
  <c r="N90" i="23"/>
  <c r="N89" i="23"/>
  <c r="N88" i="23"/>
  <c r="N87" i="23"/>
  <c r="N86" i="23"/>
  <c r="N85" i="23"/>
  <c r="N84" i="23"/>
  <c r="N83" i="23"/>
  <c r="N82" i="23"/>
  <c r="N81" i="23"/>
  <c r="N80" i="23"/>
  <c r="N79" i="23"/>
  <c r="N78" i="23"/>
  <c r="N77" i="23"/>
  <c r="N76" i="23"/>
  <c r="N75" i="23"/>
  <c r="N74" i="23"/>
  <c r="N73" i="23"/>
  <c r="N72" i="23"/>
  <c r="N71" i="23"/>
  <c r="N70" i="23"/>
  <c r="N69" i="23"/>
  <c r="N68" i="23"/>
  <c r="N67" i="23"/>
  <c r="N66" i="23"/>
  <c r="N65" i="23"/>
  <c r="N64" i="23"/>
  <c r="N63" i="23"/>
  <c r="N62" i="23"/>
  <c r="N61" i="23"/>
  <c r="N60" i="23"/>
  <c r="N59" i="23"/>
  <c r="N58" i="23"/>
  <c r="N57" i="23"/>
  <c r="N56" i="23"/>
  <c r="N55" i="23"/>
  <c r="N54" i="23"/>
  <c r="N53" i="23"/>
  <c r="N52" i="23"/>
  <c r="N51" i="23"/>
  <c r="N50" i="23"/>
  <c r="N49" i="23"/>
  <c r="N48" i="23"/>
  <c r="N47" i="23"/>
  <c r="N46" i="23"/>
  <c r="N45" i="23"/>
  <c r="N44" i="23"/>
  <c r="N43" i="23"/>
  <c r="N42" i="23"/>
  <c r="N41" i="23"/>
  <c r="N40" i="23"/>
  <c r="N39" i="23"/>
  <c r="N38" i="23"/>
  <c r="N37" i="23"/>
  <c r="N36" i="23"/>
  <c r="N35" i="23"/>
  <c r="N34" i="23"/>
  <c r="N33" i="23"/>
  <c r="N32" i="23"/>
  <c r="N31" i="23"/>
  <c r="N30" i="23"/>
  <c r="N29" i="23"/>
  <c r="N28" i="23"/>
  <c r="N27" i="23"/>
  <c r="N26" i="23"/>
  <c r="N25" i="23"/>
  <c r="N24" i="23"/>
  <c r="N23" i="23"/>
  <c r="N22" i="23"/>
  <c r="N21" i="23"/>
  <c r="N20" i="23"/>
  <c r="N19" i="23"/>
  <c r="N18" i="23"/>
  <c r="N17" i="23"/>
  <c r="N16" i="23"/>
  <c r="N15" i="23"/>
  <c r="N14" i="23"/>
  <c r="N13" i="23"/>
  <c r="N12" i="23"/>
  <c r="N11" i="23"/>
  <c r="N10" i="23"/>
  <c r="N9" i="23"/>
  <c r="N8" i="23"/>
  <c r="N7" i="23"/>
  <c r="N6" i="23"/>
  <c r="N5" i="23"/>
  <c r="N4" i="23"/>
  <c r="N3" i="23"/>
  <c r="N2" i="23"/>
  <c r="N353" i="22"/>
  <c r="N352" i="22"/>
  <c r="N351" i="22"/>
  <c r="N350" i="22"/>
  <c r="N349" i="22"/>
  <c r="N348" i="22"/>
  <c r="N347" i="22"/>
  <c r="N346" i="22"/>
  <c r="N345" i="22"/>
  <c r="N344" i="22"/>
  <c r="N343" i="22"/>
  <c r="N342" i="22"/>
  <c r="N341" i="22"/>
  <c r="N340" i="22"/>
  <c r="N339" i="22"/>
  <c r="N338" i="22"/>
  <c r="N337" i="22"/>
  <c r="N336" i="22"/>
  <c r="N335" i="22"/>
  <c r="N334" i="22"/>
  <c r="N333" i="22"/>
  <c r="N332" i="22"/>
  <c r="N331" i="22"/>
  <c r="N330" i="22"/>
  <c r="N329" i="22"/>
  <c r="N328" i="22"/>
  <c r="N327" i="22"/>
  <c r="N326" i="22"/>
  <c r="N325" i="22"/>
  <c r="N324" i="22"/>
  <c r="N323" i="22"/>
  <c r="N322" i="22"/>
  <c r="N321" i="22"/>
  <c r="N320" i="22"/>
  <c r="N319" i="22"/>
  <c r="N318" i="22"/>
  <c r="N317" i="22"/>
  <c r="N316" i="22"/>
  <c r="N315" i="22"/>
  <c r="N314" i="22"/>
  <c r="N313" i="22"/>
  <c r="N312" i="22"/>
  <c r="N311" i="22"/>
  <c r="N310" i="22"/>
  <c r="N309" i="22"/>
  <c r="N308" i="22"/>
  <c r="N307" i="22"/>
  <c r="N306" i="22"/>
  <c r="N305" i="22"/>
  <c r="N304" i="22"/>
  <c r="N303" i="22"/>
  <c r="N302" i="22"/>
  <c r="N301" i="22"/>
  <c r="N300" i="22"/>
  <c r="N299" i="22"/>
  <c r="N298" i="22"/>
  <c r="N297" i="22"/>
  <c r="N296" i="22"/>
  <c r="N295" i="22"/>
  <c r="N294" i="22"/>
  <c r="N293" i="22"/>
  <c r="N292" i="22"/>
  <c r="N291" i="22"/>
  <c r="N290" i="22"/>
  <c r="N289" i="22"/>
  <c r="N288" i="22"/>
  <c r="N287" i="22"/>
  <c r="N286" i="22"/>
  <c r="N285" i="22"/>
  <c r="N284" i="22"/>
  <c r="N283" i="22"/>
  <c r="N282" i="22"/>
  <c r="N281" i="22"/>
  <c r="N280" i="22"/>
  <c r="N279" i="22"/>
  <c r="N278" i="22"/>
  <c r="N277" i="22"/>
  <c r="N276" i="22"/>
  <c r="N275" i="22"/>
  <c r="N274" i="22"/>
  <c r="N273" i="22"/>
  <c r="N272" i="22"/>
  <c r="N271" i="22"/>
  <c r="N270" i="22"/>
  <c r="N269" i="22"/>
  <c r="N268" i="22"/>
  <c r="N267" i="22"/>
  <c r="N266" i="22"/>
  <c r="N265" i="22"/>
  <c r="N264" i="22"/>
  <c r="N263" i="22"/>
  <c r="N262" i="22"/>
  <c r="N261" i="22"/>
  <c r="N260" i="22"/>
  <c r="N259" i="22"/>
  <c r="N258" i="22"/>
  <c r="N257" i="22"/>
  <c r="N256" i="22"/>
  <c r="N255" i="22"/>
  <c r="N254" i="22"/>
  <c r="N253" i="22"/>
  <c r="N252" i="22"/>
  <c r="N251" i="22"/>
  <c r="N250" i="22"/>
  <c r="N249" i="22"/>
  <c r="N248" i="22"/>
  <c r="N247" i="22"/>
  <c r="N246" i="22"/>
  <c r="N245" i="22"/>
  <c r="N244" i="22"/>
  <c r="N243" i="22"/>
  <c r="N242" i="22"/>
  <c r="N241" i="22"/>
  <c r="N240" i="22"/>
  <c r="N239" i="22"/>
  <c r="N238" i="22"/>
  <c r="N237" i="22"/>
  <c r="N236" i="22"/>
  <c r="N235" i="22"/>
  <c r="N234" i="22"/>
  <c r="N233" i="22"/>
  <c r="N232" i="22"/>
  <c r="N231" i="22"/>
  <c r="N230" i="22"/>
  <c r="N229" i="22"/>
  <c r="N228" i="22"/>
  <c r="N227" i="22"/>
  <c r="N226" i="22"/>
  <c r="N225" i="22"/>
  <c r="N224" i="22"/>
  <c r="N223" i="22"/>
  <c r="N222" i="22"/>
  <c r="N221" i="22"/>
  <c r="N220" i="22"/>
  <c r="N219" i="22"/>
  <c r="N218" i="22"/>
  <c r="N217" i="22"/>
  <c r="N216" i="22"/>
  <c r="N215" i="22"/>
  <c r="N214" i="22"/>
  <c r="N213" i="22"/>
  <c r="N212" i="22"/>
  <c r="N211" i="22"/>
  <c r="N210" i="22"/>
  <c r="N209" i="22"/>
  <c r="N208" i="22"/>
  <c r="N207" i="22"/>
  <c r="N206" i="22"/>
  <c r="N205" i="22"/>
  <c r="N204" i="22"/>
  <c r="N203" i="22"/>
  <c r="N202" i="22"/>
  <c r="N201" i="22"/>
  <c r="N200" i="22"/>
  <c r="N199" i="22"/>
  <c r="N198" i="22"/>
  <c r="N197" i="22"/>
  <c r="N196" i="22"/>
  <c r="N195" i="22"/>
  <c r="N194" i="22"/>
  <c r="N193" i="22"/>
  <c r="N192" i="22"/>
  <c r="N191" i="22"/>
  <c r="N190" i="22"/>
  <c r="N189" i="22"/>
  <c r="N188" i="22"/>
  <c r="N187" i="22"/>
  <c r="N186" i="22"/>
  <c r="N185" i="22"/>
  <c r="N184" i="22"/>
  <c r="N183" i="22"/>
  <c r="N182" i="22"/>
  <c r="N181" i="22"/>
  <c r="N180" i="22"/>
  <c r="N179" i="22"/>
  <c r="N178" i="22"/>
  <c r="N177" i="22"/>
  <c r="N176" i="22"/>
  <c r="N175" i="22"/>
  <c r="N174" i="22"/>
  <c r="N173" i="22"/>
  <c r="N172" i="22"/>
  <c r="N171" i="22"/>
  <c r="N170" i="22"/>
  <c r="N169" i="22"/>
  <c r="N168" i="22"/>
  <c r="N167" i="22"/>
  <c r="N166" i="22"/>
  <c r="N165" i="22"/>
  <c r="N164" i="22"/>
  <c r="N163" i="22"/>
  <c r="N162" i="22"/>
  <c r="N161" i="22"/>
  <c r="N160" i="22"/>
  <c r="N159" i="22"/>
  <c r="N158" i="22"/>
  <c r="N157" i="22"/>
  <c r="N156" i="22"/>
  <c r="N155" i="22"/>
  <c r="N154" i="22"/>
  <c r="N153" i="22"/>
  <c r="N152" i="22"/>
  <c r="N151" i="22"/>
  <c r="N150" i="22"/>
  <c r="N149" i="22"/>
  <c r="N148" i="22"/>
  <c r="N147" i="22"/>
  <c r="N146" i="22"/>
  <c r="N145" i="22"/>
  <c r="N144" i="22"/>
  <c r="N143" i="22"/>
  <c r="N142" i="22"/>
  <c r="N141" i="22"/>
  <c r="N140" i="22"/>
  <c r="N139" i="22"/>
  <c r="N138" i="22"/>
  <c r="N137" i="22"/>
  <c r="N136" i="22"/>
  <c r="N135" i="22"/>
  <c r="N134" i="22"/>
  <c r="N133" i="22"/>
  <c r="N132" i="22"/>
  <c r="N131" i="22"/>
  <c r="N130" i="22"/>
  <c r="N129" i="22"/>
  <c r="N128" i="22"/>
  <c r="N127" i="22"/>
  <c r="N126" i="22"/>
  <c r="N125" i="22"/>
  <c r="N124" i="22"/>
  <c r="N123" i="22"/>
  <c r="N122" i="22"/>
  <c r="N121" i="22"/>
  <c r="N120" i="22"/>
  <c r="N119" i="22"/>
  <c r="N118" i="22"/>
  <c r="N117" i="22"/>
  <c r="N116" i="22"/>
  <c r="N115" i="22"/>
  <c r="N114" i="22"/>
  <c r="N113" i="22"/>
  <c r="N112" i="22"/>
  <c r="N111" i="22"/>
  <c r="N110" i="22"/>
  <c r="N109" i="22"/>
  <c r="N108" i="22"/>
  <c r="N107" i="22"/>
  <c r="N106" i="22"/>
  <c r="N105" i="22"/>
  <c r="N104" i="22"/>
  <c r="N103" i="22"/>
  <c r="N102" i="22"/>
  <c r="N101" i="22"/>
  <c r="N100" i="22"/>
  <c r="N99" i="22"/>
  <c r="N98" i="22"/>
  <c r="N97" i="22"/>
  <c r="N96" i="22"/>
  <c r="N95" i="22"/>
  <c r="N94" i="22"/>
  <c r="N93" i="22"/>
  <c r="N92" i="22"/>
  <c r="N91" i="22"/>
  <c r="N90" i="22"/>
  <c r="N89" i="22"/>
  <c r="N88" i="22"/>
  <c r="N87" i="22"/>
  <c r="N86" i="22"/>
  <c r="N85" i="22"/>
  <c r="N84" i="22"/>
  <c r="N83" i="22"/>
  <c r="N82" i="22"/>
  <c r="N81" i="22"/>
  <c r="N80" i="22"/>
  <c r="N79" i="22"/>
  <c r="N78" i="22"/>
  <c r="N77" i="22"/>
  <c r="N76" i="22"/>
  <c r="N75" i="22"/>
  <c r="N74" i="22"/>
  <c r="N73" i="22"/>
  <c r="N72" i="22"/>
  <c r="N71" i="22"/>
  <c r="N70" i="22"/>
  <c r="N69" i="22"/>
  <c r="N68" i="22"/>
  <c r="N67" i="22"/>
  <c r="N66" i="22"/>
  <c r="N65" i="22"/>
  <c r="N64" i="22"/>
  <c r="N63" i="22"/>
  <c r="N62" i="22"/>
  <c r="N61" i="22"/>
  <c r="N60" i="22"/>
  <c r="N59" i="22"/>
  <c r="N58" i="22"/>
  <c r="N57" i="22"/>
  <c r="N56" i="22"/>
  <c r="N55" i="22"/>
  <c r="N54" i="22"/>
  <c r="N53" i="22"/>
  <c r="N52" i="22"/>
  <c r="N51" i="22"/>
  <c r="N50" i="22"/>
  <c r="N49" i="22"/>
  <c r="N48" i="22"/>
  <c r="N47" i="22"/>
  <c r="N46" i="22"/>
  <c r="N45" i="22"/>
  <c r="N44" i="22"/>
  <c r="N43" i="22"/>
  <c r="N42" i="22"/>
  <c r="N41" i="22"/>
  <c r="N40" i="22"/>
  <c r="N39" i="22"/>
  <c r="N38" i="22"/>
  <c r="N37" i="22"/>
  <c r="N36" i="22"/>
  <c r="N35" i="22"/>
  <c r="N34" i="22"/>
  <c r="N33" i="22"/>
  <c r="N32" i="22"/>
  <c r="N31" i="22"/>
  <c r="N30" i="22"/>
  <c r="N29" i="22"/>
  <c r="N28" i="22"/>
  <c r="N27" i="22"/>
  <c r="N26" i="22"/>
  <c r="N25" i="22"/>
  <c r="N24" i="22"/>
  <c r="N23" i="22"/>
  <c r="N22" i="22"/>
  <c r="N21" i="22"/>
  <c r="N20" i="22"/>
  <c r="N19" i="22"/>
  <c r="N18" i="22"/>
  <c r="N17" i="22"/>
  <c r="N16" i="22"/>
  <c r="N15" i="22"/>
  <c r="N14" i="22"/>
  <c r="N13" i="22"/>
  <c r="N12" i="22"/>
  <c r="N11" i="22"/>
  <c r="N10" i="22"/>
  <c r="N9" i="22"/>
  <c r="N8" i="22"/>
  <c r="N7" i="22"/>
  <c r="N6" i="22"/>
  <c r="N5" i="22"/>
  <c r="N4" i="22"/>
  <c r="N3" i="22"/>
  <c r="N2" i="22"/>
  <c r="N333" i="21"/>
  <c r="N332" i="21"/>
  <c r="N331" i="21"/>
  <c r="N330" i="21"/>
  <c r="N329" i="21"/>
  <c r="N328" i="21"/>
  <c r="N327" i="21"/>
  <c r="N326" i="21"/>
  <c r="N325" i="21"/>
  <c r="N324" i="21"/>
  <c r="N323" i="21"/>
  <c r="N322" i="21"/>
  <c r="N321" i="21"/>
  <c r="N320" i="21"/>
  <c r="N319" i="21"/>
  <c r="N318" i="21"/>
  <c r="N317" i="21"/>
  <c r="N316" i="21"/>
  <c r="N315" i="21"/>
  <c r="N314" i="21"/>
  <c r="N313" i="21"/>
  <c r="N312" i="21"/>
  <c r="N311" i="21"/>
  <c r="N310" i="21"/>
  <c r="N309" i="21"/>
  <c r="N308" i="21"/>
  <c r="N307" i="21"/>
  <c r="N306" i="21"/>
  <c r="N305" i="21"/>
  <c r="N304" i="21"/>
  <c r="N303" i="21"/>
  <c r="N302" i="21"/>
  <c r="N301" i="21"/>
  <c r="N300" i="21"/>
  <c r="N299" i="21"/>
  <c r="N298" i="21"/>
  <c r="N297" i="21"/>
  <c r="N296" i="21"/>
  <c r="N295" i="21"/>
  <c r="N294" i="21"/>
  <c r="N293" i="21"/>
  <c r="N292" i="21"/>
  <c r="N291" i="21"/>
  <c r="N290" i="21"/>
  <c r="N289" i="21"/>
  <c r="N288" i="21"/>
  <c r="N287" i="21"/>
  <c r="N286" i="21"/>
  <c r="N285" i="21"/>
  <c r="N284" i="21"/>
  <c r="N283" i="21"/>
  <c r="N282" i="21"/>
  <c r="N281" i="21"/>
  <c r="N280" i="21"/>
  <c r="N279" i="21"/>
  <c r="N278" i="21"/>
  <c r="N277" i="21"/>
  <c r="N276" i="21"/>
  <c r="N275" i="21"/>
  <c r="N274" i="21"/>
  <c r="N273" i="21"/>
  <c r="N272" i="21"/>
  <c r="N271" i="21"/>
  <c r="N270" i="21"/>
  <c r="N269" i="21"/>
  <c r="N268" i="21"/>
  <c r="N267" i="21"/>
  <c r="N266" i="21"/>
  <c r="N265" i="21"/>
  <c r="N264" i="21"/>
  <c r="N263" i="21"/>
  <c r="N262" i="21"/>
  <c r="N261" i="21"/>
  <c r="N260" i="21"/>
  <c r="N259" i="21"/>
  <c r="N258" i="21"/>
  <c r="N257" i="21"/>
  <c r="N256" i="21"/>
  <c r="N255" i="21"/>
  <c r="N254" i="21"/>
  <c r="N253" i="21"/>
  <c r="N252" i="21"/>
  <c r="N251" i="21"/>
  <c r="N250" i="21"/>
  <c r="N249" i="21"/>
  <c r="N248" i="21"/>
  <c r="N247" i="21"/>
  <c r="N246" i="21"/>
  <c r="N245" i="21"/>
  <c r="N244" i="21"/>
  <c r="N243" i="21"/>
  <c r="N242" i="21"/>
  <c r="N241" i="21"/>
  <c r="N240" i="21"/>
  <c r="N239" i="21"/>
  <c r="N238" i="21"/>
  <c r="N237" i="21"/>
  <c r="N236" i="21"/>
  <c r="N235" i="21"/>
  <c r="N234" i="21"/>
  <c r="N233" i="21"/>
  <c r="N232" i="21"/>
  <c r="N231" i="21"/>
  <c r="N230" i="21"/>
  <c r="N229" i="21"/>
  <c r="N228" i="21"/>
  <c r="N227" i="21"/>
  <c r="N226" i="21"/>
  <c r="N225" i="21"/>
  <c r="N224" i="21"/>
  <c r="N223" i="21"/>
  <c r="N222" i="21"/>
  <c r="N221" i="21"/>
  <c r="N220" i="21"/>
  <c r="N219" i="21"/>
  <c r="N218" i="21"/>
  <c r="N217" i="21"/>
  <c r="N216" i="21"/>
  <c r="N215" i="21"/>
  <c r="N214" i="21"/>
  <c r="N213" i="21"/>
  <c r="N212" i="21"/>
  <c r="N211" i="21"/>
  <c r="N210" i="21"/>
  <c r="N209" i="21"/>
  <c r="N208" i="21"/>
  <c r="N207" i="21"/>
  <c r="N206" i="21"/>
  <c r="N205" i="21"/>
  <c r="N204" i="21"/>
  <c r="N203" i="21"/>
  <c r="N202" i="21"/>
  <c r="N201" i="21"/>
  <c r="N200" i="21"/>
  <c r="N199" i="21"/>
  <c r="N198" i="21"/>
  <c r="N197" i="21"/>
  <c r="N196" i="21"/>
  <c r="N195" i="21"/>
  <c r="N194" i="21"/>
  <c r="N193" i="21"/>
  <c r="N192" i="21"/>
  <c r="N191" i="21"/>
  <c r="N190" i="21"/>
  <c r="N189" i="21"/>
  <c r="N188" i="21"/>
  <c r="N187" i="21"/>
  <c r="N186" i="21"/>
  <c r="N185" i="21"/>
  <c r="N184" i="21"/>
  <c r="N183" i="21"/>
  <c r="N182" i="21"/>
  <c r="N181" i="21"/>
  <c r="N180" i="21"/>
  <c r="N179" i="21"/>
  <c r="N178" i="21"/>
  <c r="N177" i="21"/>
  <c r="N176" i="21"/>
  <c r="N175" i="21"/>
  <c r="N174" i="21"/>
  <c r="N173" i="21"/>
  <c r="N172" i="21"/>
  <c r="N171" i="21"/>
  <c r="N170" i="21"/>
  <c r="N169" i="21"/>
  <c r="N168" i="21"/>
  <c r="N167" i="21"/>
  <c r="N166" i="21"/>
  <c r="N165" i="21"/>
  <c r="N164" i="21"/>
  <c r="N163" i="21"/>
  <c r="N162" i="21"/>
  <c r="N161" i="21"/>
  <c r="N160" i="21"/>
  <c r="N159" i="21"/>
  <c r="N158" i="21"/>
  <c r="N157" i="21"/>
  <c r="N156" i="21"/>
  <c r="N155" i="21"/>
  <c r="N154" i="21"/>
  <c r="N153" i="21"/>
  <c r="N152" i="21"/>
  <c r="N151" i="21"/>
  <c r="N150" i="21"/>
  <c r="N149" i="21"/>
  <c r="N148" i="21"/>
  <c r="N147" i="21"/>
  <c r="N146" i="21"/>
  <c r="N145" i="21"/>
  <c r="N144" i="21"/>
  <c r="N143" i="21"/>
  <c r="N142" i="21"/>
  <c r="N141" i="21"/>
  <c r="N140" i="21"/>
  <c r="N139" i="21"/>
  <c r="N138" i="21"/>
  <c r="N137" i="21"/>
  <c r="N136" i="21"/>
  <c r="N135" i="21"/>
  <c r="N134" i="21"/>
  <c r="N133" i="21"/>
  <c r="N132" i="21"/>
  <c r="N131" i="21"/>
  <c r="N130" i="21"/>
  <c r="N129" i="21"/>
  <c r="N128" i="21"/>
  <c r="N127" i="21"/>
  <c r="N126" i="21"/>
  <c r="N125" i="21"/>
  <c r="N124" i="21"/>
  <c r="N123" i="21"/>
  <c r="N122" i="21"/>
  <c r="N121" i="21"/>
  <c r="N120" i="21"/>
  <c r="N119" i="21"/>
  <c r="N118" i="21"/>
  <c r="N117" i="21"/>
  <c r="N116" i="21"/>
  <c r="N115" i="21"/>
  <c r="N114" i="21"/>
  <c r="N113" i="21"/>
  <c r="N112" i="21"/>
  <c r="N111" i="21"/>
  <c r="N110" i="21"/>
  <c r="N109" i="21"/>
  <c r="N108" i="21"/>
  <c r="N107" i="21"/>
  <c r="N106" i="21"/>
  <c r="N105" i="21"/>
  <c r="N104" i="21"/>
  <c r="N103" i="21"/>
  <c r="N102" i="21"/>
  <c r="N101" i="21"/>
  <c r="N100" i="21"/>
  <c r="N99" i="21"/>
  <c r="N98" i="21"/>
  <c r="N97" i="21"/>
  <c r="N96" i="21"/>
  <c r="N95" i="21"/>
  <c r="N94" i="21"/>
  <c r="N93" i="21"/>
  <c r="N92" i="21"/>
  <c r="N91" i="21"/>
  <c r="N90" i="21"/>
  <c r="N89" i="21"/>
  <c r="N88" i="21"/>
  <c r="N87" i="21"/>
  <c r="N86" i="21"/>
  <c r="N85" i="21"/>
  <c r="N84" i="21"/>
  <c r="N83" i="21"/>
  <c r="N82" i="21"/>
  <c r="N81" i="21"/>
  <c r="N80" i="21"/>
  <c r="N79" i="21"/>
  <c r="N78" i="21"/>
  <c r="N77" i="21"/>
  <c r="N76" i="21"/>
  <c r="N75" i="21"/>
  <c r="N74" i="21"/>
  <c r="N73" i="21"/>
  <c r="N72" i="21"/>
  <c r="N71" i="21"/>
  <c r="N70" i="21"/>
  <c r="N69" i="21"/>
  <c r="N68" i="21"/>
  <c r="N67" i="21"/>
  <c r="N66" i="21"/>
  <c r="N65" i="21"/>
  <c r="N64" i="21"/>
  <c r="N63" i="21"/>
  <c r="N62" i="21"/>
  <c r="N61" i="21"/>
  <c r="N60" i="21"/>
  <c r="N59" i="21"/>
  <c r="N58" i="21"/>
  <c r="N57" i="21"/>
  <c r="N56" i="21"/>
  <c r="N55" i="21"/>
  <c r="N54" i="21"/>
  <c r="N53" i="21"/>
  <c r="N52" i="21"/>
  <c r="N51" i="21"/>
  <c r="N50" i="21"/>
  <c r="N49" i="21"/>
  <c r="N48" i="21"/>
  <c r="N47" i="21"/>
  <c r="N46" i="21"/>
  <c r="N45" i="21"/>
  <c r="N44" i="21"/>
  <c r="N43" i="21"/>
  <c r="N42" i="21"/>
  <c r="N41" i="21"/>
  <c r="N40" i="21"/>
  <c r="N39" i="21"/>
  <c r="N38" i="21"/>
  <c r="N37" i="21"/>
  <c r="N36" i="21"/>
  <c r="N35" i="21"/>
  <c r="N34" i="21"/>
  <c r="N33" i="21"/>
  <c r="N32" i="21"/>
  <c r="N31" i="21"/>
  <c r="N30" i="21"/>
  <c r="N29" i="21"/>
  <c r="N28" i="21"/>
  <c r="N27" i="21"/>
  <c r="N26" i="21"/>
  <c r="N25" i="21"/>
  <c r="N24" i="21"/>
  <c r="N23" i="21"/>
  <c r="N22" i="21"/>
  <c r="N21" i="21"/>
  <c r="N20" i="21"/>
  <c r="N19" i="21"/>
  <c r="N18" i="21"/>
  <c r="N17" i="21"/>
  <c r="N16" i="21"/>
  <c r="N15" i="21"/>
  <c r="N14" i="21"/>
  <c r="N13" i="21"/>
  <c r="N12" i="21"/>
  <c r="N11" i="21"/>
  <c r="N10" i="21"/>
  <c r="N9" i="21"/>
  <c r="N8" i="21"/>
  <c r="N7" i="21"/>
  <c r="N6" i="21"/>
  <c r="N5" i="21"/>
  <c r="N4" i="21"/>
  <c r="N3" i="21"/>
  <c r="N2" i="21"/>
  <c r="N411" i="20"/>
  <c r="N410" i="20"/>
  <c r="N409" i="20"/>
  <c r="N408" i="20"/>
  <c r="N407" i="20"/>
  <c r="N406" i="20"/>
  <c r="N405" i="20"/>
  <c r="N404" i="20"/>
  <c r="N403" i="20"/>
  <c r="N402" i="20"/>
  <c r="N401" i="20"/>
  <c r="N400" i="20"/>
  <c r="N399" i="20"/>
  <c r="N398" i="20"/>
  <c r="N397" i="20"/>
  <c r="N396" i="20"/>
  <c r="N395" i="20"/>
  <c r="N394" i="20"/>
  <c r="N393" i="20"/>
  <c r="N392" i="20"/>
  <c r="N391" i="20"/>
  <c r="N390" i="20"/>
  <c r="N389" i="20"/>
  <c r="N388" i="20"/>
  <c r="N387" i="20"/>
  <c r="N386" i="20"/>
  <c r="N385" i="20"/>
  <c r="N384" i="20"/>
  <c r="N383" i="20"/>
  <c r="N382" i="20"/>
  <c r="N381" i="20"/>
  <c r="N380" i="20"/>
  <c r="N379" i="20"/>
  <c r="N378" i="20"/>
  <c r="N377" i="20"/>
  <c r="N376" i="20"/>
  <c r="N375" i="20"/>
  <c r="N374" i="20"/>
  <c r="N373" i="20"/>
  <c r="N372" i="20"/>
  <c r="N371" i="20"/>
  <c r="N370" i="20"/>
  <c r="N369" i="20"/>
  <c r="N368" i="20"/>
  <c r="N367" i="20"/>
  <c r="N366" i="20"/>
  <c r="N365" i="20"/>
  <c r="N364" i="20"/>
  <c r="N363" i="20"/>
  <c r="N362" i="20"/>
  <c r="N361" i="20"/>
  <c r="N360" i="20"/>
  <c r="N359" i="20"/>
  <c r="N358" i="20"/>
  <c r="N357" i="20"/>
  <c r="N356" i="20"/>
  <c r="N355" i="20"/>
  <c r="N354" i="20"/>
  <c r="N353" i="20"/>
  <c r="N352" i="20"/>
  <c r="N351" i="20"/>
  <c r="N350" i="20"/>
  <c r="N349" i="20"/>
  <c r="N348" i="20"/>
  <c r="N347" i="20"/>
  <c r="N346" i="20"/>
  <c r="N345" i="20"/>
  <c r="N344" i="20"/>
  <c r="N343" i="20"/>
  <c r="N342" i="20"/>
  <c r="N341" i="20"/>
  <c r="N340" i="20"/>
  <c r="N339" i="20"/>
  <c r="N338" i="20"/>
  <c r="N337" i="20"/>
  <c r="N336" i="20"/>
  <c r="N335" i="20"/>
  <c r="N334" i="20"/>
  <c r="N333" i="20"/>
  <c r="N332" i="20"/>
  <c r="N331" i="20"/>
  <c r="N330" i="20"/>
  <c r="N329" i="20"/>
  <c r="N328" i="20"/>
  <c r="N327" i="20"/>
  <c r="N326" i="20"/>
  <c r="N325" i="20"/>
  <c r="N324" i="20"/>
  <c r="N323" i="20"/>
  <c r="N322" i="20"/>
  <c r="N321" i="20"/>
  <c r="N320" i="20"/>
  <c r="N319" i="20"/>
  <c r="N318" i="20"/>
  <c r="N317" i="20"/>
  <c r="N316" i="20"/>
  <c r="N315" i="20"/>
  <c r="N314" i="20"/>
  <c r="N313" i="20"/>
  <c r="N312" i="20"/>
  <c r="N311" i="20"/>
  <c r="N310" i="20"/>
  <c r="N309" i="20"/>
  <c r="N308" i="20"/>
  <c r="N307" i="20"/>
  <c r="N306" i="20"/>
  <c r="N305" i="20"/>
  <c r="N304" i="20"/>
  <c r="N303" i="20"/>
  <c r="N302" i="20"/>
  <c r="N301" i="20"/>
  <c r="N300" i="20"/>
  <c r="N299" i="20"/>
  <c r="N298" i="20"/>
  <c r="N297" i="20"/>
  <c r="N296" i="20"/>
  <c r="N295" i="20"/>
  <c r="N294" i="20"/>
  <c r="N293" i="20"/>
  <c r="N292" i="20"/>
  <c r="N291" i="20"/>
  <c r="N290" i="20"/>
  <c r="N289" i="20"/>
  <c r="N288" i="20"/>
  <c r="N287" i="20"/>
  <c r="N286" i="20"/>
  <c r="N285" i="20"/>
  <c r="N284" i="20"/>
  <c r="N283" i="20"/>
  <c r="N282" i="20"/>
  <c r="N281" i="20"/>
  <c r="N280" i="20"/>
  <c r="N279" i="20"/>
  <c r="N278" i="20"/>
  <c r="N277" i="20"/>
  <c r="N276" i="20"/>
  <c r="N275" i="20"/>
  <c r="N274" i="20"/>
  <c r="N273" i="20"/>
  <c r="N272" i="20"/>
  <c r="N271" i="20"/>
  <c r="N270" i="20"/>
  <c r="N269" i="20"/>
  <c r="N268" i="20"/>
  <c r="N267" i="20"/>
  <c r="N266" i="20"/>
  <c r="N265" i="20"/>
  <c r="N264" i="20"/>
  <c r="N263" i="20"/>
  <c r="N262" i="20"/>
  <c r="N261" i="20"/>
  <c r="N260" i="20"/>
  <c r="N259" i="20"/>
  <c r="N258" i="20"/>
  <c r="N257" i="20"/>
  <c r="N256" i="20"/>
  <c r="N255" i="20"/>
  <c r="N254" i="20"/>
  <c r="N253" i="20"/>
  <c r="N252" i="20"/>
  <c r="N251" i="20"/>
  <c r="N250" i="20"/>
  <c r="N249" i="20"/>
  <c r="N248" i="20"/>
  <c r="N247" i="20"/>
  <c r="N246" i="20"/>
  <c r="N245" i="20"/>
  <c r="N244" i="20"/>
  <c r="N243" i="20"/>
  <c r="N242" i="20"/>
  <c r="N241" i="20"/>
  <c r="N240" i="20"/>
  <c r="N239" i="20"/>
  <c r="N238" i="20"/>
  <c r="N237" i="20"/>
  <c r="N236" i="20"/>
  <c r="N235" i="20"/>
  <c r="N234" i="20"/>
  <c r="N233" i="20"/>
  <c r="N232" i="20"/>
  <c r="N231" i="20"/>
  <c r="N230" i="20"/>
  <c r="N229" i="20"/>
  <c r="N228" i="20"/>
  <c r="N227" i="20"/>
  <c r="N226" i="20"/>
  <c r="N225" i="20"/>
  <c r="N224" i="20"/>
  <c r="N223" i="20"/>
  <c r="N222" i="20"/>
  <c r="N221" i="20"/>
  <c r="N220" i="20"/>
  <c r="N219" i="20"/>
  <c r="N218" i="20"/>
  <c r="N217" i="20"/>
  <c r="N216" i="20"/>
  <c r="N215" i="20"/>
  <c r="N214" i="20"/>
  <c r="N213" i="20"/>
  <c r="N212" i="20"/>
  <c r="N211" i="20"/>
  <c r="N210" i="20"/>
  <c r="N209" i="20"/>
  <c r="N208" i="20"/>
  <c r="N207" i="20"/>
  <c r="N206" i="20"/>
  <c r="N205" i="20"/>
  <c r="N204" i="20"/>
  <c r="N203" i="20"/>
  <c r="N202" i="20"/>
  <c r="N201" i="20"/>
  <c r="N200" i="20"/>
  <c r="N199" i="20"/>
  <c r="N198" i="20"/>
  <c r="N197" i="20"/>
  <c r="N196" i="20"/>
  <c r="N195" i="20"/>
  <c r="N194" i="20"/>
  <c r="N193" i="20"/>
  <c r="N192" i="20"/>
  <c r="N191" i="20"/>
  <c r="N190" i="20"/>
  <c r="N189" i="20"/>
  <c r="N188" i="20"/>
  <c r="N187" i="20"/>
  <c r="N186" i="20"/>
  <c r="N185" i="20"/>
  <c r="N184" i="20"/>
  <c r="N183" i="20"/>
  <c r="N182" i="20"/>
  <c r="N181" i="20"/>
  <c r="N180" i="20"/>
  <c r="N179" i="20"/>
  <c r="N178" i="20"/>
  <c r="N177" i="20"/>
  <c r="N176" i="20"/>
  <c r="N175" i="20"/>
  <c r="N174" i="20"/>
  <c r="N173" i="20"/>
  <c r="N172" i="20"/>
  <c r="N171" i="20"/>
  <c r="N170" i="20"/>
  <c r="N169" i="20"/>
  <c r="N168" i="20"/>
  <c r="N167" i="20"/>
  <c r="N166" i="20"/>
  <c r="N165" i="20"/>
  <c r="N164" i="20"/>
  <c r="N163" i="20"/>
  <c r="N162" i="20"/>
  <c r="N161" i="20"/>
  <c r="N160" i="20"/>
  <c r="N159" i="20"/>
  <c r="N158" i="20"/>
  <c r="N157" i="20"/>
  <c r="N156" i="20"/>
  <c r="N155" i="20"/>
  <c r="N154" i="20"/>
  <c r="N153" i="20"/>
  <c r="N152" i="20"/>
  <c r="N151" i="20"/>
  <c r="N150" i="20"/>
  <c r="N149" i="20"/>
  <c r="N148" i="20"/>
  <c r="N147" i="20"/>
  <c r="N146" i="20"/>
  <c r="N145" i="20"/>
  <c r="N144" i="20"/>
  <c r="N143" i="20"/>
  <c r="N142" i="20"/>
  <c r="N141" i="20"/>
  <c r="N140" i="20"/>
  <c r="N139" i="20"/>
  <c r="N138" i="20"/>
  <c r="N137" i="20"/>
  <c r="N136" i="20"/>
  <c r="N135" i="20"/>
  <c r="N134" i="20"/>
  <c r="N133" i="20"/>
  <c r="N132" i="20"/>
  <c r="N131" i="20"/>
  <c r="N130" i="20"/>
  <c r="N129" i="20"/>
  <c r="N128" i="20"/>
  <c r="N127" i="20"/>
  <c r="N126" i="20"/>
  <c r="N125" i="20"/>
  <c r="N124" i="20"/>
  <c r="N123" i="20"/>
  <c r="N122" i="20"/>
  <c r="N121" i="20"/>
  <c r="N120" i="20"/>
  <c r="N119" i="20"/>
  <c r="N118" i="20"/>
  <c r="N117" i="20"/>
  <c r="N116" i="20"/>
  <c r="N115" i="20"/>
  <c r="N114" i="20"/>
  <c r="N113" i="20"/>
  <c r="N112" i="20"/>
  <c r="N111" i="20"/>
  <c r="N110" i="20"/>
  <c r="N109" i="20"/>
  <c r="N108" i="20"/>
  <c r="N107" i="20"/>
  <c r="N106" i="20"/>
  <c r="N105" i="20"/>
  <c r="N104" i="20"/>
  <c r="N103" i="20"/>
  <c r="N102" i="20"/>
  <c r="N101" i="20"/>
  <c r="N100" i="20"/>
  <c r="N99" i="20"/>
  <c r="N98" i="20"/>
  <c r="N97" i="20"/>
  <c r="N96" i="20"/>
  <c r="N95" i="20"/>
  <c r="N94" i="20"/>
  <c r="N93" i="20"/>
  <c r="N92" i="20"/>
  <c r="N91" i="20"/>
  <c r="N90" i="20"/>
  <c r="N89" i="20"/>
  <c r="N88" i="20"/>
  <c r="N87" i="20"/>
  <c r="N86" i="20"/>
  <c r="N85" i="20"/>
  <c r="N84" i="20"/>
  <c r="N83" i="20"/>
  <c r="N82" i="20"/>
  <c r="N81" i="20"/>
  <c r="N80" i="20"/>
  <c r="N79" i="20"/>
  <c r="N78" i="20"/>
  <c r="N77" i="20"/>
  <c r="N76" i="20"/>
  <c r="N75" i="20"/>
  <c r="N74" i="20"/>
  <c r="N73" i="20"/>
  <c r="N72" i="20"/>
  <c r="N71" i="20"/>
  <c r="N70" i="20"/>
  <c r="N69" i="20"/>
  <c r="N68" i="20"/>
  <c r="N67" i="20"/>
  <c r="N66" i="20"/>
  <c r="N65" i="20"/>
  <c r="N64" i="20"/>
  <c r="N63" i="20"/>
  <c r="N62" i="20"/>
  <c r="N61" i="20"/>
  <c r="N60" i="20"/>
  <c r="N59" i="20"/>
  <c r="N58" i="20"/>
  <c r="N57" i="20"/>
  <c r="N56" i="20"/>
  <c r="N55" i="20"/>
  <c r="N54" i="20"/>
  <c r="N53" i="20"/>
  <c r="N52" i="20"/>
  <c r="N51" i="20"/>
  <c r="N50" i="20"/>
  <c r="N49" i="20"/>
  <c r="N48" i="20"/>
  <c r="N47" i="20"/>
  <c r="N46" i="20"/>
  <c r="N45" i="20"/>
  <c r="N44" i="20"/>
  <c r="N43" i="20"/>
  <c r="N42" i="20"/>
  <c r="N41" i="20"/>
  <c r="N40" i="20"/>
  <c r="N39" i="20"/>
  <c r="N38" i="20"/>
  <c r="N37" i="20"/>
  <c r="N36" i="20"/>
  <c r="N35" i="20"/>
  <c r="N34" i="20"/>
  <c r="N33" i="20"/>
  <c r="N32" i="20"/>
  <c r="N31" i="20"/>
  <c r="N30" i="20"/>
  <c r="N29" i="20"/>
  <c r="N28" i="20"/>
  <c r="N27" i="20"/>
  <c r="N26" i="20"/>
  <c r="N25" i="20"/>
  <c r="N24" i="20"/>
  <c r="N23" i="20"/>
  <c r="N22" i="20"/>
  <c r="N21" i="20"/>
  <c r="N20" i="20"/>
  <c r="N19" i="20"/>
  <c r="N18" i="20"/>
  <c r="N17" i="20"/>
  <c r="N16" i="20"/>
  <c r="N15" i="20"/>
  <c r="N14" i="20"/>
  <c r="N13" i="20"/>
  <c r="N12" i="20"/>
  <c r="N11" i="20"/>
  <c r="N10" i="20"/>
  <c r="N9" i="20"/>
  <c r="N8" i="20"/>
  <c r="N7" i="20"/>
  <c r="N6" i="20"/>
  <c r="N5" i="20"/>
  <c r="N4" i="20"/>
  <c r="N3" i="20"/>
  <c r="N2" i="20"/>
  <c r="N700" i="19"/>
  <c r="N699" i="19"/>
  <c r="N698" i="19"/>
  <c r="N697" i="19"/>
  <c r="N696" i="19"/>
  <c r="N695" i="19"/>
  <c r="N694" i="19"/>
  <c r="N693" i="19"/>
  <c r="N692" i="19"/>
  <c r="N691" i="19"/>
  <c r="N690" i="19"/>
  <c r="N689" i="19"/>
  <c r="N688" i="19"/>
  <c r="N687" i="19"/>
  <c r="N686" i="19"/>
  <c r="N685" i="19"/>
  <c r="N684" i="19"/>
  <c r="N683" i="19"/>
  <c r="N682" i="19"/>
  <c r="N681" i="19"/>
  <c r="N680" i="19"/>
  <c r="N679" i="19"/>
  <c r="N678" i="19"/>
  <c r="N677" i="19"/>
  <c r="N676" i="19"/>
  <c r="N675" i="19"/>
  <c r="N674" i="19"/>
  <c r="N673" i="19"/>
  <c r="N672" i="19"/>
  <c r="N671" i="19"/>
  <c r="N670" i="19"/>
  <c r="N669" i="19"/>
  <c r="N668" i="19"/>
  <c r="N667" i="19"/>
  <c r="N666" i="19"/>
  <c r="N665" i="19"/>
  <c r="N664" i="19"/>
  <c r="N663" i="19"/>
  <c r="N662" i="19"/>
  <c r="N661" i="19"/>
  <c r="N660" i="19"/>
  <c r="N659" i="19"/>
  <c r="N658" i="19"/>
  <c r="N657" i="19"/>
  <c r="N656" i="19"/>
  <c r="N655" i="19"/>
  <c r="N654" i="19"/>
  <c r="N653" i="19"/>
  <c r="N652" i="19"/>
  <c r="N651" i="19"/>
  <c r="N650" i="19"/>
  <c r="N649" i="19"/>
  <c r="N648" i="19"/>
  <c r="N647" i="19"/>
  <c r="N646" i="19"/>
  <c r="N645" i="19"/>
  <c r="N644" i="19"/>
  <c r="N643" i="19"/>
  <c r="N642" i="19"/>
  <c r="N641" i="19"/>
  <c r="N640" i="19"/>
  <c r="N639" i="19"/>
  <c r="N638" i="19"/>
  <c r="N637" i="19"/>
  <c r="N636" i="19"/>
  <c r="N635" i="19"/>
  <c r="N634" i="19"/>
  <c r="N633" i="19"/>
  <c r="N632" i="19"/>
  <c r="N631" i="19"/>
  <c r="N630" i="19"/>
  <c r="N629" i="19"/>
  <c r="N628" i="19"/>
  <c r="N627" i="19"/>
  <c r="N626" i="19"/>
  <c r="N625" i="19"/>
  <c r="N624" i="19"/>
  <c r="N623" i="19"/>
  <c r="N622" i="19"/>
  <c r="N621" i="19"/>
  <c r="N620" i="19"/>
  <c r="N619" i="19"/>
  <c r="N618" i="19"/>
  <c r="N617" i="19"/>
  <c r="N616" i="19"/>
  <c r="N615" i="19"/>
  <c r="N614" i="19"/>
  <c r="N613" i="19"/>
  <c r="N612" i="19"/>
  <c r="N611" i="19"/>
  <c r="N610" i="19"/>
  <c r="N609" i="19"/>
  <c r="N608" i="19"/>
  <c r="N607" i="19"/>
  <c r="N606" i="19"/>
  <c r="N605" i="19"/>
  <c r="N604" i="19"/>
  <c r="N603" i="19"/>
  <c r="N602" i="19"/>
  <c r="N601" i="19"/>
  <c r="N600" i="19"/>
  <c r="N599" i="19"/>
  <c r="N598" i="19"/>
  <c r="N597" i="19"/>
  <c r="N596" i="19"/>
  <c r="N595" i="19"/>
  <c r="N594" i="19"/>
  <c r="N593" i="19"/>
  <c r="N592" i="19"/>
  <c r="N591" i="19"/>
  <c r="N590" i="19"/>
  <c r="N589" i="19"/>
  <c r="N588" i="19"/>
  <c r="N587" i="19"/>
  <c r="N586" i="19"/>
  <c r="N585" i="19"/>
  <c r="N584" i="19"/>
  <c r="N583" i="19"/>
  <c r="N582" i="19"/>
  <c r="N581" i="19"/>
  <c r="N580" i="19"/>
  <c r="N579" i="19"/>
  <c r="N578" i="19"/>
  <c r="N577" i="19"/>
  <c r="N576" i="19"/>
  <c r="N575" i="19"/>
  <c r="N574" i="19"/>
  <c r="N573" i="19"/>
  <c r="N572" i="19"/>
  <c r="N571" i="19"/>
  <c r="N570" i="19"/>
  <c r="N569" i="19"/>
  <c r="N568" i="19"/>
  <c r="N567" i="19"/>
  <c r="N566" i="19"/>
  <c r="N565" i="19"/>
  <c r="N564" i="19"/>
  <c r="N563" i="19"/>
  <c r="N562" i="19"/>
  <c r="N561" i="19"/>
  <c r="N560" i="19"/>
  <c r="N559" i="19"/>
  <c r="N558" i="19"/>
  <c r="N557" i="19"/>
  <c r="N556" i="19"/>
  <c r="N555" i="19"/>
  <c r="N554" i="19"/>
  <c r="N553" i="19"/>
  <c r="N552" i="19"/>
  <c r="N551" i="19"/>
  <c r="N550" i="19"/>
  <c r="N549" i="19"/>
  <c r="N548" i="19"/>
  <c r="N547" i="19"/>
  <c r="N546" i="19"/>
  <c r="N545" i="19"/>
  <c r="N544" i="19"/>
  <c r="N543" i="19"/>
  <c r="N542" i="19"/>
  <c r="N541" i="19"/>
  <c r="N540" i="19"/>
  <c r="N539" i="19"/>
  <c r="N538" i="19"/>
  <c r="N537" i="19"/>
  <c r="N536" i="19"/>
  <c r="N535" i="19"/>
  <c r="N534" i="19"/>
  <c r="N533" i="19"/>
  <c r="N532" i="19"/>
  <c r="N531" i="19"/>
  <c r="N530" i="19"/>
  <c r="N529" i="19"/>
  <c r="N528" i="19"/>
  <c r="N527" i="19"/>
  <c r="N526" i="19"/>
  <c r="N525" i="19"/>
  <c r="N524" i="19"/>
  <c r="N523" i="19"/>
  <c r="N522" i="19"/>
  <c r="N521" i="19"/>
  <c r="N520" i="19"/>
  <c r="N519" i="19"/>
  <c r="N518" i="19"/>
  <c r="N517" i="19"/>
  <c r="N516" i="19"/>
  <c r="N515" i="19"/>
  <c r="N514" i="19"/>
  <c r="N513" i="19"/>
  <c r="N512" i="19"/>
  <c r="N511" i="19"/>
  <c r="N510" i="19"/>
  <c r="N509" i="19"/>
  <c r="N508" i="19"/>
  <c r="N507" i="19"/>
  <c r="N506" i="19"/>
  <c r="N505" i="19"/>
  <c r="N504" i="19"/>
  <c r="N503" i="19"/>
  <c r="N502" i="19"/>
  <c r="N501" i="19"/>
  <c r="N500" i="19"/>
  <c r="N499" i="19"/>
  <c r="N498" i="19"/>
  <c r="N497" i="19"/>
  <c r="N496" i="19"/>
  <c r="N495" i="19"/>
  <c r="N494" i="19"/>
  <c r="N493" i="19"/>
  <c r="N492" i="19"/>
  <c r="N491" i="19"/>
  <c r="N490" i="19"/>
  <c r="N489" i="19"/>
  <c r="N488" i="19"/>
  <c r="N487" i="19"/>
  <c r="N486" i="19"/>
  <c r="N485" i="19"/>
  <c r="N484" i="19"/>
  <c r="N483" i="19"/>
  <c r="N482" i="19"/>
  <c r="N481" i="19"/>
  <c r="N480" i="19"/>
  <c r="N479" i="19"/>
  <c r="N478" i="19"/>
  <c r="N477" i="19"/>
  <c r="N476" i="19"/>
  <c r="N475" i="19"/>
  <c r="N474" i="19"/>
  <c r="N473" i="19"/>
  <c r="N472" i="19"/>
  <c r="N471" i="19"/>
  <c r="N470" i="19"/>
  <c r="N469" i="19"/>
  <c r="N468" i="19"/>
  <c r="N467" i="19"/>
  <c r="N466" i="19"/>
  <c r="N465" i="19"/>
  <c r="N464" i="19"/>
  <c r="N463" i="19"/>
  <c r="N462" i="19"/>
  <c r="N461" i="19"/>
  <c r="N460" i="19"/>
  <c r="N459" i="19"/>
  <c r="N458" i="19"/>
  <c r="N457" i="19"/>
  <c r="N456" i="19"/>
  <c r="N455" i="19"/>
  <c r="N454" i="19"/>
  <c r="N453" i="19"/>
  <c r="N452" i="19"/>
  <c r="N451" i="19"/>
  <c r="N450" i="19"/>
  <c r="N449" i="19"/>
  <c r="N448" i="19"/>
  <c r="N447" i="19"/>
  <c r="N446" i="19"/>
  <c r="N445" i="19"/>
  <c r="N444" i="19"/>
  <c r="N443" i="19"/>
  <c r="N442" i="19"/>
  <c r="N441" i="19"/>
  <c r="N440" i="19"/>
  <c r="N439" i="19"/>
  <c r="N438" i="19"/>
  <c r="N437" i="19"/>
  <c r="N436" i="19"/>
  <c r="N435" i="19"/>
  <c r="N434" i="19"/>
  <c r="N433" i="19"/>
  <c r="N432" i="19"/>
  <c r="N431" i="19"/>
  <c r="N430" i="19"/>
  <c r="N429" i="19"/>
  <c r="N428" i="19"/>
  <c r="N427" i="19"/>
  <c r="N426" i="19"/>
  <c r="N425" i="19"/>
  <c r="N424" i="19"/>
  <c r="N423" i="19"/>
  <c r="N422" i="19"/>
  <c r="N421" i="19"/>
  <c r="N420" i="19"/>
  <c r="N419" i="19"/>
  <c r="N418" i="19"/>
  <c r="N417" i="19"/>
  <c r="N416" i="19"/>
  <c r="N415" i="19"/>
  <c r="N414" i="19"/>
  <c r="N413" i="19"/>
  <c r="N412" i="19"/>
  <c r="N411" i="19"/>
  <c r="N410" i="19"/>
  <c r="N409" i="19"/>
  <c r="N408" i="19"/>
  <c r="N407" i="19"/>
  <c r="N406" i="19"/>
  <c r="N405" i="19"/>
  <c r="N404" i="19"/>
  <c r="N403" i="19"/>
  <c r="N402" i="19"/>
  <c r="N401" i="19"/>
  <c r="N400" i="19"/>
  <c r="N399" i="19"/>
  <c r="N398" i="19"/>
  <c r="N397" i="19"/>
  <c r="N396" i="19"/>
  <c r="N395" i="19"/>
  <c r="N394" i="19"/>
  <c r="N393" i="19"/>
  <c r="N392" i="19"/>
  <c r="N391" i="19"/>
  <c r="N390" i="19"/>
  <c r="N389" i="19"/>
  <c r="N388" i="19"/>
  <c r="N387" i="19"/>
  <c r="N386" i="19"/>
  <c r="N385" i="19"/>
  <c r="N384" i="19"/>
  <c r="N383" i="19"/>
  <c r="N382" i="19"/>
  <c r="N381" i="19"/>
  <c r="N380" i="19"/>
  <c r="N379" i="19"/>
  <c r="N378" i="19"/>
  <c r="N377" i="19"/>
  <c r="N376" i="19"/>
  <c r="N375" i="19"/>
  <c r="N374" i="19"/>
  <c r="N373" i="19"/>
  <c r="N372" i="19"/>
  <c r="N371" i="19"/>
  <c r="N370" i="19"/>
  <c r="N369" i="19"/>
  <c r="N368" i="19"/>
  <c r="N367" i="19"/>
  <c r="N366" i="19"/>
  <c r="N365" i="19"/>
  <c r="N364" i="19"/>
  <c r="N363" i="19"/>
  <c r="N362" i="19"/>
  <c r="N361" i="19"/>
  <c r="N360" i="19"/>
  <c r="N359" i="19"/>
  <c r="N358" i="19"/>
  <c r="N357" i="19"/>
  <c r="N356" i="19"/>
  <c r="N355" i="19"/>
  <c r="N354" i="19"/>
  <c r="N353" i="19"/>
  <c r="N352" i="19"/>
  <c r="N351" i="19"/>
  <c r="N350" i="19"/>
  <c r="N349" i="19"/>
  <c r="N348" i="19"/>
  <c r="N347" i="19"/>
  <c r="N346" i="19"/>
  <c r="N345" i="19"/>
  <c r="N344" i="19"/>
  <c r="N343" i="19"/>
  <c r="N342" i="19"/>
  <c r="N341" i="19"/>
  <c r="N340" i="19"/>
  <c r="N339" i="19"/>
  <c r="N338" i="19"/>
  <c r="N337" i="19"/>
  <c r="N336" i="19"/>
  <c r="N335" i="19"/>
  <c r="N334" i="19"/>
  <c r="N333" i="19"/>
  <c r="N332" i="19"/>
  <c r="N331" i="19"/>
  <c r="N330" i="19"/>
  <c r="N329" i="19"/>
  <c r="N328" i="19"/>
  <c r="N327" i="19"/>
  <c r="N326" i="19"/>
  <c r="N325" i="19"/>
  <c r="N324" i="19"/>
  <c r="N323" i="19"/>
  <c r="N322" i="19"/>
  <c r="N321" i="19"/>
  <c r="N320" i="19"/>
  <c r="N319" i="19"/>
  <c r="N318" i="19"/>
  <c r="N317" i="19"/>
  <c r="N316" i="19"/>
  <c r="N315" i="19"/>
  <c r="N314" i="19"/>
  <c r="N313" i="19"/>
  <c r="N312" i="19"/>
  <c r="N311" i="19"/>
  <c r="N310" i="19"/>
  <c r="N309" i="19"/>
  <c r="N308" i="19"/>
  <c r="N307" i="19"/>
  <c r="N306" i="19"/>
  <c r="N305" i="19"/>
  <c r="N304" i="19"/>
  <c r="N303" i="19"/>
  <c r="N302" i="19"/>
  <c r="N301" i="19"/>
  <c r="N300" i="19"/>
  <c r="N299" i="19"/>
  <c r="N298" i="19"/>
  <c r="N297" i="19"/>
  <c r="N296" i="19"/>
  <c r="N295" i="19"/>
  <c r="N294" i="19"/>
  <c r="N293" i="19"/>
  <c r="N292" i="19"/>
  <c r="N291" i="19"/>
  <c r="N290" i="19"/>
  <c r="N289" i="19"/>
  <c r="N288" i="19"/>
  <c r="N287" i="19"/>
  <c r="N286" i="19"/>
  <c r="N285" i="19"/>
  <c r="N284" i="19"/>
  <c r="N283" i="19"/>
  <c r="N282" i="19"/>
  <c r="N281" i="19"/>
  <c r="N280" i="19"/>
  <c r="N279" i="19"/>
  <c r="N278" i="19"/>
  <c r="N277" i="19"/>
  <c r="N276" i="19"/>
  <c r="N275" i="19"/>
  <c r="N274" i="19"/>
  <c r="N273" i="19"/>
  <c r="N272" i="19"/>
  <c r="N271" i="19"/>
  <c r="N270" i="19"/>
  <c r="N269" i="19"/>
  <c r="N268" i="19"/>
  <c r="N267" i="19"/>
  <c r="N266" i="19"/>
  <c r="N265" i="19"/>
  <c r="N264" i="19"/>
  <c r="N263" i="19"/>
  <c r="N262" i="19"/>
  <c r="N261" i="19"/>
  <c r="N260" i="19"/>
  <c r="N259" i="19"/>
  <c r="N258" i="19"/>
  <c r="N257" i="19"/>
  <c r="N256" i="19"/>
  <c r="N255" i="19"/>
  <c r="N254" i="19"/>
  <c r="N253" i="19"/>
  <c r="N252" i="19"/>
  <c r="N251" i="19"/>
  <c r="N250" i="19"/>
  <c r="N249" i="19"/>
  <c r="N248" i="19"/>
  <c r="N247" i="19"/>
  <c r="N246" i="19"/>
  <c r="N245" i="19"/>
  <c r="N244" i="19"/>
  <c r="N243" i="19"/>
  <c r="N242" i="19"/>
  <c r="N241" i="19"/>
  <c r="N240" i="19"/>
  <c r="N239" i="19"/>
  <c r="N238" i="19"/>
  <c r="N237" i="19"/>
  <c r="N236" i="19"/>
  <c r="N235" i="19"/>
  <c r="N234" i="19"/>
  <c r="N233" i="19"/>
  <c r="N232" i="19"/>
  <c r="N231" i="19"/>
  <c r="N230" i="19"/>
  <c r="N229" i="19"/>
  <c r="N228" i="19"/>
  <c r="N227" i="19"/>
  <c r="N226" i="19"/>
  <c r="N225" i="19"/>
  <c r="N224" i="19"/>
  <c r="N223" i="19"/>
  <c r="N222" i="19"/>
  <c r="N221" i="19"/>
  <c r="N220" i="19"/>
  <c r="N219" i="19"/>
  <c r="N218" i="19"/>
  <c r="N217" i="19"/>
  <c r="N216" i="19"/>
  <c r="N215" i="19"/>
  <c r="N214" i="19"/>
  <c r="N213" i="19"/>
  <c r="N212" i="19"/>
  <c r="N211" i="19"/>
  <c r="N210" i="19"/>
  <c r="N209" i="19"/>
  <c r="N208" i="19"/>
  <c r="N207" i="19"/>
  <c r="N206" i="19"/>
  <c r="N205" i="19"/>
  <c r="N204" i="19"/>
  <c r="N203" i="19"/>
  <c r="N202" i="19"/>
  <c r="N201" i="19"/>
  <c r="N200" i="19"/>
  <c r="N199" i="19"/>
  <c r="N198" i="19"/>
  <c r="N197" i="19"/>
  <c r="N196" i="19"/>
  <c r="N195" i="19"/>
  <c r="N194" i="19"/>
  <c r="N193" i="19"/>
  <c r="N192" i="19"/>
  <c r="N191" i="19"/>
  <c r="N190" i="19"/>
  <c r="N189" i="19"/>
  <c r="N188" i="19"/>
  <c r="N187" i="19"/>
  <c r="N186" i="19"/>
  <c r="N185" i="19"/>
  <c r="N184" i="19"/>
  <c r="N183" i="19"/>
  <c r="N182" i="19"/>
  <c r="N181" i="19"/>
  <c r="N180" i="19"/>
  <c r="N179" i="19"/>
  <c r="N178" i="19"/>
  <c r="N177" i="19"/>
  <c r="N176" i="19"/>
  <c r="N175" i="19"/>
  <c r="N174" i="19"/>
  <c r="N173" i="19"/>
  <c r="N172" i="19"/>
  <c r="N171" i="19"/>
  <c r="N170" i="19"/>
  <c r="N169" i="19"/>
  <c r="N168" i="19"/>
  <c r="N167" i="19"/>
  <c r="N166" i="19"/>
  <c r="N165" i="19"/>
  <c r="N164" i="19"/>
  <c r="N163" i="19"/>
  <c r="N162" i="19"/>
  <c r="N161" i="19"/>
  <c r="N160" i="19"/>
  <c r="N159" i="19"/>
  <c r="N158" i="19"/>
  <c r="N157" i="19"/>
  <c r="N156" i="19"/>
  <c r="N155" i="19"/>
  <c r="N154" i="19"/>
  <c r="N153" i="19"/>
  <c r="N152" i="19"/>
  <c r="N151" i="19"/>
  <c r="N150" i="19"/>
  <c r="N149" i="19"/>
  <c r="N148" i="19"/>
  <c r="N147" i="19"/>
  <c r="N146" i="19"/>
  <c r="N145" i="19"/>
  <c r="N144" i="19"/>
  <c r="N143" i="19"/>
  <c r="N142" i="19"/>
  <c r="N141" i="19"/>
  <c r="N140" i="19"/>
  <c r="N139" i="19"/>
  <c r="N138" i="19"/>
  <c r="N137" i="19"/>
  <c r="N136" i="19"/>
  <c r="N135" i="19"/>
  <c r="N134" i="19"/>
  <c r="N133" i="19"/>
  <c r="N132" i="19"/>
  <c r="N131" i="19"/>
  <c r="N130" i="19"/>
  <c r="N129" i="19"/>
  <c r="N128" i="19"/>
  <c r="N127" i="19"/>
  <c r="N126" i="19"/>
  <c r="N125" i="19"/>
  <c r="N124" i="19"/>
  <c r="N123" i="19"/>
  <c r="N122" i="19"/>
  <c r="N121" i="19"/>
  <c r="N120" i="19"/>
  <c r="N119" i="19"/>
  <c r="N118" i="19"/>
  <c r="N117" i="19"/>
  <c r="N116" i="19"/>
  <c r="N115" i="19"/>
  <c r="N114" i="19"/>
  <c r="N113" i="19"/>
  <c r="N112" i="19"/>
  <c r="N111" i="19"/>
  <c r="N110" i="19"/>
  <c r="N109" i="19"/>
  <c r="N108" i="19"/>
  <c r="N107" i="19"/>
  <c r="N106" i="19"/>
  <c r="N105" i="19"/>
  <c r="N104" i="19"/>
  <c r="N103" i="19"/>
  <c r="N102" i="19"/>
  <c r="N101" i="19"/>
  <c r="N100" i="19"/>
  <c r="N99" i="19"/>
  <c r="N98" i="19"/>
  <c r="N97" i="19"/>
  <c r="N96" i="19"/>
  <c r="N95" i="19"/>
  <c r="N94" i="19"/>
  <c r="N93" i="19"/>
  <c r="N92" i="19"/>
  <c r="N91" i="19"/>
  <c r="N90" i="19"/>
  <c r="N89" i="19"/>
  <c r="N88" i="19"/>
  <c r="N87" i="19"/>
  <c r="N86" i="19"/>
  <c r="N85" i="19"/>
  <c r="N84" i="19"/>
  <c r="N83" i="19"/>
  <c r="N82" i="19"/>
  <c r="N81" i="19"/>
  <c r="N80" i="19"/>
  <c r="N79" i="19"/>
  <c r="N78" i="19"/>
  <c r="N77" i="19"/>
  <c r="N76" i="19"/>
  <c r="N75" i="19"/>
  <c r="N74" i="19"/>
  <c r="N73" i="19"/>
  <c r="N72" i="19"/>
  <c r="N71" i="19"/>
  <c r="N70" i="19"/>
  <c r="N69" i="19"/>
  <c r="N68" i="19"/>
  <c r="N67" i="19"/>
  <c r="N66" i="19"/>
  <c r="N65" i="19"/>
  <c r="N64" i="19"/>
  <c r="N63" i="19"/>
  <c r="N62" i="19"/>
  <c r="N61" i="19"/>
  <c r="N60" i="19"/>
  <c r="N59" i="19"/>
  <c r="N58" i="19"/>
  <c r="N57" i="19"/>
  <c r="N56" i="19"/>
  <c r="N55" i="19"/>
  <c r="N54" i="19"/>
  <c r="N53" i="19"/>
  <c r="N52" i="19"/>
  <c r="N51" i="19"/>
  <c r="N50" i="19"/>
  <c r="N49" i="19"/>
  <c r="N48" i="19"/>
  <c r="N47" i="19"/>
  <c r="N46" i="19"/>
  <c r="N45" i="19"/>
  <c r="N44" i="19"/>
  <c r="N43" i="19"/>
  <c r="N42" i="19"/>
  <c r="N41" i="19"/>
  <c r="N40" i="19"/>
  <c r="N39" i="19"/>
  <c r="N38" i="19"/>
  <c r="N37" i="19"/>
  <c r="N36" i="19"/>
  <c r="N35" i="19"/>
  <c r="N34" i="19"/>
  <c r="N33" i="19"/>
  <c r="N32" i="19"/>
  <c r="N31" i="19"/>
  <c r="N30" i="19"/>
  <c r="N29" i="19"/>
  <c r="N28" i="19"/>
  <c r="N27" i="19"/>
  <c r="N26" i="19"/>
  <c r="N25" i="19"/>
  <c r="N24" i="19"/>
  <c r="N23" i="19"/>
  <c r="N22" i="19"/>
  <c r="N21" i="19"/>
  <c r="N20" i="19"/>
  <c r="N19" i="19"/>
  <c r="N18" i="19"/>
  <c r="N17" i="19"/>
  <c r="N16" i="19"/>
  <c r="N15" i="19"/>
  <c r="N14" i="19"/>
  <c r="N13" i="19"/>
  <c r="N12" i="19"/>
  <c r="N11" i="19"/>
  <c r="N10" i="19"/>
  <c r="N9" i="19"/>
  <c r="N8" i="19"/>
  <c r="N7" i="19"/>
  <c r="N6" i="19"/>
  <c r="N5" i="19"/>
  <c r="N4" i="19"/>
  <c r="N3" i="19"/>
  <c r="N2" i="19"/>
  <c r="N649" i="18"/>
  <c r="N648" i="18"/>
  <c r="N647" i="18"/>
  <c r="N646" i="18"/>
  <c r="N645" i="18"/>
  <c r="N644" i="18"/>
  <c r="N643" i="18"/>
  <c r="N642" i="18"/>
  <c r="N641" i="18"/>
  <c r="N640" i="18"/>
  <c r="N639" i="18"/>
  <c r="N638" i="18"/>
  <c r="N637" i="18"/>
  <c r="N636" i="18"/>
  <c r="N635" i="18"/>
  <c r="N634" i="18"/>
  <c r="N633" i="18"/>
  <c r="N632" i="18"/>
  <c r="N631" i="18"/>
  <c r="N630" i="18"/>
  <c r="N629" i="18"/>
  <c r="N628" i="18"/>
  <c r="N627" i="18"/>
  <c r="N626" i="18"/>
  <c r="N625" i="18"/>
  <c r="N624" i="18"/>
  <c r="N623" i="18"/>
  <c r="N622" i="18"/>
  <c r="N621" i="18"/>
  <c r="N620" i="18"/>
  <c r="N619" i="18"/>
  <c r="N618" i="18"/>
  <c r="N617" i="18"/>
  <c r="N616" i="18"/>
  <c r="N615" i="18"/>
  <c r="N614" i="18"/>
  <c r="N613" i="18"/>
  <c r="N612" i="18"/>
  <c r="N611" i="18"/>
  <c r="N610" i="18"/>
  <c r="N609" i="18"/>
  <c r="N608" i="18"/>
  <c r="N607" i="18"/>
  <c r="N606" i="18"/>
  <c r="N605" i="18"/>
  <c r="N604" i="18"/>
  <c r="N603" i="18"/>
  <c r="N602" i="18"/>
  <c r="N601" i="18"/>
  <c r="N600" i="18"/>
  <c r="N599" i="18"/>
  <c r="N598" i="18"/>
  <c r="N597" i="18"/>
  <c r="N596" i="18"/>
  <c r="N595" i="18"/>
  <c r="N594" i="18"/>
  <c r="N593" i="18"/>
  <c r="N592" i="18"/>
  <c r="N591" i="18"/>
  <c r="N590" i="18"/>
  <c r="N589" i="18"/>
  <c r="N588" i="18"/>
  <c r="N587" i="18"/>
  <c r="N586" i="18"/>
  <c r="N585" i="18"/>
  <c r="N584" i="18"/>
  <c r="N583" i="18"/>
  <c r="N582" i="18"/>
  <c r="N581" i="18"/>
  <c r="N580" i="18"/>
  <c r="N579" i="18"/>
  <c r="N578" i="18"/>
  <c r="N577" i="18"/>
  <c r="N576" i="18"/>
  <c r="N575" i="18"/>
  <c r="N574" i="18"/>
  <c r="N573" i="18"/>
  <c r="N572" i="18"/>
  <c r="N571" i="18"/>
  <c r="N570" i="18"/>
  <c r="N569" i="18"/>
  <c r="N568" i="18"/>
  <c r="N567" i="18"/>
  <c r="N566" i="18"/>
  <c r="N565" i="18"/>
  <c r="N564" i="18"/>
  <c r="N563" i="18"/>
  <c r="N562" i="18"/>
  <c r="N561" i="18"/>
  <c r="N560" i="18"/>
  <c r="N559" i="18"/>
  <c r="N558" i="18"/>
  <c r="N557" i="18"/>
  <c r="N556" i="18"/>
  <c r="N555" i="18"/>
  <c r="N554" i="18"/>
  <c r="N553" i="18"/>
  <c r="N552" i="18"/>
  <c r="N551" i="18"/>
  <c r="N550" i="18"/>
  <c r="N549" i="18"/>
  <c r="N548" i="18"/>
  <c r="N547" i="18"/>
  <c r="N546" i="18"/>
  <c r="N545" i="18"/>
  <c r="N544" i="18"/>
  <c r="N543" i="18"/>
  <c r="N542" i="18"/>
  <c r="N541" i="18"/>
  <c r="N540" i="18"/>
  <c r="N539" i="18"/>
  <c r="N538" i="18"/>
  <c r="N537" i="18"/>
  <c r="N536" i="18"/>
  <c r="N535" i="18"/>
  <c r="N534" i="18"/>
  <c r="N533" i="18"/>
  <c r="N532" i="18"/>
  <c r="N531" i="18"/>
  <c r="N530" i="18"/>
  <c r="N529" i="18"/>
  <c r="N528" i="18"/>
  <c r="N527" i="18"/>
  <c r="N526" i="18"/>
  <c r="N525" i="18"/>
  <c r="N524" i="18"/>
  <c r="N523" i="18"/>
  <c r="N522" i="18"/>
  <c r="N521" i="18"/>
  <c r="N520" i="18"/>
  <c r="N519" i="18"/>
  <c r="N518" i="18"/>
  <c r="N517" i="18"/>
  <c r="N516" i="18"/>
  <c r="N515" i="18"/>
  <c r="N514" i="18"/>
  <c r="N513" i="18"/>
  <c r="N512" i="18"/>
  <c r="N511" i="18"/>
  <c r="N510" i="18"/>
  <c r="N509" i="18"/>
  <c r="N508" i="18"/>
  <c r="N507" i="18"/>
  <c r="N506" i="18"/>
  <c r="N505" i="18"/>
  <c r="N504" i="18"/>
  <c r="N503" i="18"/>
  <c r="N502" i="18"/>
  <c r="N501" i="18"/>
  <c r="N500" i="18"/>
  <c r="N499" i="18"/>
  <c r="N498" i="18"/>
  <c r="N497" i="18"/>
  <c r="N496" i="18"/>
  <c r="N495" i="18"/>
  <c r="N494" i="18"/>
  <c r="N493" i="18"/>
  <c r="N492" i="18"/>
  <c r="N491" i="18"/>
  <c r="N490" i="18"/>
  <c r="N489" i="18"/>
  <c r="N488" i="18"/>
  <c r="N487" i="18"/>
  <c r="N486" i="18"/>
  <c r="N485" i="18"/>
  <c r="N484" i="18"/>
  <c r="N483" i="18"/>
  <c r="N482" i="18"/>
  <c r="N481" i="18"/>
  <c r="N480" i="18"/>
  <c r="N479" i="18"/>
  <c r="N478" i="18"/>
  <c r="N477" i="18"/>
  <c r="N476" i="18"/>
  <c r="N475" i="18"/>
  <c r="N474" i="18"/>
  <c r="N473" i="18"/>
  <c r="N472" i="18"/>
  <c r="N471" i="18"/>
  <c r="N470" i="18"/>
  <c r="N469" i="18"/>
  <c r="N468" i="18"/>
  <c r="N467" i="18"/>
  <c r="N466" i="18"/>
  <c r="N465" i="18"/>
  <c r="N464" i="18"/>
  <c r="N463" i="18"/>
  <c r="N462" i="18"/>
  <c r="N461" i="18"/>
  <c r="N460" i="18"/>
  <c r="N459" i="18"/>
  <c r="N458" i="18"/>
  <c r="N457" i="18"/>
  <c r="N456" i="18"/>
  <c r="N455" i="18"/>
  <c r="N454" i="18"/>
  <c r="N453" i="18"/>
  <c r="N452" i="18"/>
  <c r="N451" i="18"/>
  <c r="N450" i="18"/>
  <c r="N449" i="18"/>
  <c r="N448" i="18"/>
  <c r="N447" i="18"/>
  <c r="N446" i="18"/>
  <c r="N445" i="18"/>
  <c r="N444" i="18"/>
  <c r="N443" i="18"/>
  <c r="N442" i="18"/>
  <c r="N441" i="18"/>
  <c r="N440" i="18"/>
  <c r="N439" i="18"/>
  <c r="N438" i="18"/>
  <c r="N437" i="18"/>
  <c r="N436" i="18"/>
  <c r="N435" i="18"/>
  <c r="N434" i="18"/>
  <c r="N433" i="18"/>
  <c r="N432" i="18"/>
  <c r="N431" i="18"/>
  <c r="N430" i="18"/>
  <c r="N429" i="18"/>
  <c r="N428" i="18"/>
  <c r="N427" i="18"/>
  <c r="N426" i="18"/>
  <c r="N425" i="18"/>
  <c r="N424" i="18"/>
  <c r="N423" i="18"/>
  <c r="N422" i="18"/>
  <c r="N421" i="18"/>
  <c r="N420" i="18"/>
  <c r="N419" i="18"/>
  <c r="N418" i="18"/>
  <c r="N417" i="18"/>
  <c r="N416" i="18"/>
  <c r="N415" i="18"/>
  <c r="N414" i="18"/>
  <c r="N413" i="18"/>
  <c r="N412" i="18"/>
  <c r="N411" i="18"/>
  <c r="N410" i="18"/>
  <c r="N409" i="18"/>
  <c r="N408" i="18"/>
  <c r="N407" i="18"/>
  <c r="N406" i="18"/>
  <c r="N405" i="18"/>
  <c r="N404" i="18"/>
  <c r="N403" i="18"/>
  <c r="N402" i="18"/>
  <c r="N401" i="18"/>
  <c r="N400" i="18"/>
  <c r="N399" i="18"/>
  <c r="N398" i="18"/>
  <c r="N397" i="18"/>
  <c r="N396" i="18"/>
  <c r="N395" i="18"/>
  <c r="N394" i="18"/>
  <c r="N393" i="18"/>
  <c r="N392" i="18"/>
  <c r="N391" i="18"/>
  <c r="N390" i="18"/>
  <c r="N389" i="18"/>
  <c r="N388" i="18"/>
  <c r="N387" i="18"/>
  <c r="N386" i="18"/>
  <c r="N385" i="18"/>
  <c r="N384" i="18"/>
  <c r="N383" i="18"/>
  <c r="N382" i="18"/>
  <c r="N381" i="18"/>
  <c r="N380" i="18"/>
  <c r="N379" i="18"/>
  <c r="N378" i="18"/>
  <c r="N377" i="18"/>
  <c r="N376" i="18"/>
  <c r="N375" i="18"/>
  <c r="N374" i="18"/>
  <c r="N373" i="18"/>
  <c r="N372" i="18"/>
  <c r="N371" i="18"/>
  <c r="N370" i="18"/>
  <c r="N369" i="18"/>
  <c r="N368" i="18"/>
  <c r="N367" i="18"/>
  <c r="N366" i="18"/>
  <c r="N365" i="18"/>
  <c r="N364" i="18"/>
  <c r="N363" i="18"/>
  <c r="N362" i="18"/>
  <c r="N361" i="18"/>
  <c r="N360" i="18"/>
  <c r="N359" i="18"/>
  <c r="N358" i="18"/>
  <c r="N357" i="18"/>
  <c r="N356" i="18"/>
  <c r="N355" i="18"/>
  <c r="N354" i="18"/>
  <c r="N353" i="18"/>
  <c r="N352" i="18"/>
  <c r="N351" i="18"/>
  <c r="N350" i="18"/>
  <c r="N349" i="18"/>
  <c r="N348" i="18"/>
  <c r="N347" i="18"/>
  <c r="N346" i="18"/>
  <c r="N345" i="18"/>
  <c r="N344" i="18"/>
  <c r="N343" i="18"/>
  <c r="N342" i="18"/>
  <c r="N341" i="18"/>
  <c r="N340" i="18"/>
  <c r="N339" i="18"/>
  <c r="N338" i="18"/>
  <c r="N337" i="18"/>
  <c r="N336" i="18"/>
  <c r="N335" i="18"/>
  <c r="N334" i="18"/>
  <c r="N333" i="18"/>
  <c r="N332" i="18"/>
  <c r="N331" i="18"/>
  <c r="N330" i="18"/>
  <c r="N329" i="18"/>
  <c r="N328" i="18"/>
  <c r="N327" i="18"/>
  <c r="N326" i="18"/>
  <c r="N325" i="18"/>
  <c r="N324" i="18"/>
  <c r="N323" i="18"/>
  <c r="N322" i="18"/>
  <c r="N321" i="18"/>
  <c r="N320" i="18"/>
  <c r="N319" i="18"/>
  <c r="N318" i="18"/>
  <c r="N317" i="18"/>
  <c r="N316" i="18"/>
  <c r="N315" i="18"/>
  <c r="N314" i="18"/>
  <c r="N313" i="18"/>
  <c r="N312" i="18"/>
  <c r="N311" i="18"/>
  <c r="N310" i="18"/>
  <c r="N309" i="18"/>
  <c r="N308" i="18"/>
  <c r="N307" i="18"/>
  <c r="N306" i="18"/>
  <c r="N305" i="18"/>
  <c r="N304" i="18"/>
  <c r="N303" i="18"/>
  <c r="N302" i="18"/>
  <c r="N301" i="18"/>
  <c r="N300" i="18"/>
  <c r="N299" i="18"/>
  <c r="N298" i="18"/>
  <c r="N297" i="18"/>
  <c r="N296" i="18"/>
  <c r="N295" i="18"/>
  <c r="N294" i="18"/>
  <c r="N293" i="18"/>
  <c r="N292" i="18"/>
  <c r="N291" i="18"/>
  <c r="N290" i="18"/>
  <c r="N289" i="18"/>
  <c r="N288" i="18"/>
  <c r="N287" i="18"/>
  <c r="N286" i="18"/>
  <c r="N285" i="18"/>
  <c r="N284" i="18"/>
  <c r="N283" i="18"/>
  <c r="N282" i="18"/>
  <c r="N281" i="18"/>
  <c r="N280" i="18"/>
  <c r="N279" i="18"/>
  <c r="N278" i="18"/>
  <c r="N277" i="18"/>
  <c r="N276" i="18"/>
  <c r="N275" i="18"/>
  <c r="N274" i="18"/>
  <c r="N273" i="18"/>
  <c r="N272" i="18"/>
  <c r="N271" i="18"/>
  <c r="N270" i="18"/>
  <c r="N269" i="18"/>
  <c r="N268" i="18"/>
  <c r="N267" i="18"/>
  <c r="N266" i="18"/>
  <c r="N265" i="18"/>
  <c r="N264" i="18"/>
  <c r="N263" i="18"/>
  <c r="N262" i="18"/>
  <c r="N261" i="18"/>
  <c r="N260" i="18"/>
  <c r="N259" i="18"/>
  <c r="N258" i="18"/>
  <c r="N257" i="18"/>
  <c r="N256" i="18"/>
  <c r="N255" i="18"/>
  <c r="N254" i="18"/>
  <c r="N253" i="18"/>
  <c r="N252" i="18"/>
  <c r="N251" i="18"/>
  <c r="N250" i="18"/>
  <c r="N249" i="18"/>
  <c r="N248" i="18"/>
  <c r="N247" i="18"/>
  <c r="N246" i="18"/>
  <c r="N245" i="18"/>
  <c r="N244" i="18"/>
  <c r="N243" i="18"/>
  <c r="N242" i="18"/>
  <c r="N241" i="18"/>
  <c r="N240" i="18"/>
  <c r="N239" i="18"/>
  <c r="N238" i="18"/>
  <c r="N237" i="18"/>
  <c r="N236" i="18"/>
  <c r="N235" i="18"/>
  <c r="N234" i="18"/>
  <c r="N233" i="18"/>
  <c r="N232" i="18"/>
  <c r="N231" i="18"/>
  <c r="N230" i="18"/>
  <c r="N229" i="18"/>
  <c r="N228" i="18"/>
  <c r="N227" i="18"/>
  <c r="N226" i="18"/>
  <c r="N225" i="18"/>
  <c r="N224" i="18"/>
  <c r="N223" i="18"/>
  <c r="N222" i="18"/>
  <c r="N221" i="18"/>
  <c r="N220" i="18"/>
  <c r="N219" i="18"/>
  <c r="N218" i="18"/>
  <c r="N217" i="18"/>
  <c r="N216" i="18"/>
  <c r="N215" i="18"/>
  <c r="N214" i="18"/>
  <c r="N213" i="18"/>
  <c r="N212" i="18"/>
  <c r="N211" i="18"/>
  <c r="N210" i="18"/>
  <c r="N209" i="18"/>
  <c r="N208" i="18"/>
  <c r="N207" i="18"/>
  <c r="N206" i="18"/>
  <c r="N205" i="18"/>
  <c r="N204" i="18"/>
  <c r="N203" i="18"/>
  <c r="N202" i="18"/>
  <c r="N201" i="18"/>
  <c r="N200" i="18"/>
  <c r="N199" i="18"/>
  <c r="N198" i="18"/>
  <c r="N197" i="18"/>
  <c r="N196" i="18"/>
  <c r="N195" i="18"/>
  <c r="N194" i="18"/>
  <c r="N193" i="18"/>
  <c r="N192" i="18"/>
  <c r="N191" i="18"/>
  <c r="N190" i="18"/>
  <c r="N189" i="18"/>
  <c r="N188" i="18"/>
  <c r="N187" i="18"/>
  <c r="N186" i="18"/>
  <c r="N185" i="18"/>
  <c r="N184" i="18"/>
  <c r="N183" i="18"/>
  <c r="N182" i="18"/>
  <c r="N181" i="18"/>
  <c r="N180" i="18"/>
  <c r="N179" i="18"/>
  <c r="N178" i="18"/>
  <c r="N177" i="18"/>
  <c r="N176" i="18"/>
  <c r="N175" i="18"/>
  <c r="N174" i="18"/>
  <c r="N173" i="18"/>
  <c r="N172" i="18"/>
  <c r="N171" i="18"/>
  <c r="N170" i="18"/>
  <c r="N169" i="18"/>
  <c r="N168" i="18"/>
  <c r="N167" i="18"/>
  <c r="N166" i="18"/>
  <c r="N165" i="18"/>
  <c r="N164" i="18"/>
  <c r="N163" i="18"/>
  <c r="N162" i="18"/>
  <c r="N161" i="18"/>
  <c r="N160" i="18"/>
  <c r="N159" i="18"/>
  <c r="N158" i="18"/>
  <c r="N157" i="18"/>
  <c r="N156" i="18"/>
  <c r="N155" i="18"/>
  <c r="N154" i="18"/>
  <c r="N153" i="18"/>
  <c r="N152" i="18"/>
  <c r="N151" i="18"/>
  <c r="N150" i="18"/>
  <c r="N149" i="18"/>
  <c r="N148" i="18"/>
  <c r="N147" i="18"/>
  <c r="N146" i="18"/>
  <c r="N145" i="18"/>
  <c r="N144" i="18"/>
  <c r="N143" i="18"/>
  <c r="N142" i="18"/>
  <c r="N141" i="18"/>
  <c r="N140" i="18"/>
  <c r="N139" i="18"/>
  <c r="N138" i="18"/>
  <c r="N137" i="18"/>
  <c r="N136" i="18"/>
  <c r="N135" i="18"/>
  <c r="N134" i="18"/>
  <c r="N133" i="18"/>
  <c r="N132" i="18"/>
  <c r="N131" i="18"/>
  <c r="N130" i="18"/>
  <c r="N129" i="18"/>
  <c r="N128" i="18"/>
  <c r="N127" i="18"/>
  <c r="N126" i="18"/>
  <c r="N125" i="18"/>
  <c r="N124" i="18"/>
  <c r="N123" i="18"/>
  <c r="N122" i="18"/>
  <c r="N121" i="18"/>
  <c r="N120" i="18"/>
  <c r="N119" i="18"/>
  <c r="N118" i="18"/>
  <c r="N117" i="18"/>
  <c r="N116" i="18"/>
  <c r="N115" i="18"/>
  <c r="N114" i="18"/>
  <c r="N113" i="18"/>
  <c r="N112" i="18"/>
  <c r="N111" i="18"/>
  <c r="N110" i="18"/>
  <c r="N109" i="18"/>
  <c r="N108" i="18"/>
  <c r="N107" i="18"/>
  <c r="N106" i="18"/>
  <c r="N105" i="18"/>
  <c r="N104" i="18"/>
  <c r="N103" i="18"/>
  <c r="N102" i="18"/>
  <c r="N101" i="18"/>
  <c r="N100" i="18"/>
  <c r="N99" i="18"/>
  <c r="N98" i="18"/>
  <c r="N97" i="18"/>
  <c r="N96" i="18"/>
  <c r="N95" i="18"/>
  <c r="N94" i="18"/>
  <c r="N93" i="18"/>
  <c r="N92" i="18"/>
  <c r="N91" i="18"/>
  <c r="N90" i="18"/>
  <c r="N89" i="18"/>
  <c r="N88" i="18"/>
  <c r="N87" i="18"/>
  <c r="N86" i="18"/>
  <c r="N85" i="18"/>
  <c r="N84" i="18"/>
  <c r="N83" i="18"/>
  <c r="N82" i="18"/>
  <c r="N81" i="18"/>
  <c r="N80" i="18"/>
  <c r="N79" i="18"/>
  <c r="N78" i="18"/>
  <c r="N77" i="18"/>
  <c r="N76" i="18"/>
  <c r="N75" i="18"/>
  <c r="N74" i="18"/>
  <c r="N73" i="18"/>
  <c r="N72" i="18"/>
  <c r="N71" i="18"/>
  <c r="N70" i="18"/>
  <c r="N69" i="18"/>
  <c r="N68" i="18"/>
  <c r="N67" i="18"/>
  <c r="N66" i="18"/>
  <c r="N65" i="18"/>
  <c r="N64" i="18"/>
  <c r="N63" i="18"/>
  <c r="N62" i="18"/>
  <c r="N61" i="18"/>
  <c r="N60" i="18"/>
  <c r="N59" i="18"/>
  <c r="N58" i="18"/>
  <c r="N57" i="18"/>
  <c r="N56" i="18"/>
  <c r="N55" i="18"/>
  <c r="N54" i="18"/>
  <c r="N53" i="18"/>
  <c r="N52" i="18"/>
  <c r="N51" i="18"/>
  <c r="N50" i="18"/>
  <c r="N49" i="18"/>
  <c r="N48" i="18"/>
  <c r="N47" i="18"/>
  <c r="N46" i="18"/>
  <c r="N45" i="18"/>
  <c r="N44" i="18"/>
  <c r="N43" i="18"/>
  <c r="N42" i="18"/>
  <c r="N41" i="18"/>
  <c r="N40" i="18"/>
  <c r="N39" i="18"/>
  <c r="N38" i="18"/>
  <c r="N37" i="18"/>
  <c r="N36" i="18"/>
  <c r="N35" i="18"/>
  <c r="N34" i="18"/>
  <c r="N33" i="18"/>
  <c r="N32" i="18"/>
  <c r="N31" i="18"/>
  <c r="N30" i="18"/>
  <c r="N29" i="18"/>
  <c r="N28" i="18"/>
  <c r="N27" i="18"/>
  <c r="N26" i="18"/>
  <c r="N25" i="18"/>
  <c r="N24" i="18"/>
  <c r="N23" i="18"/>
  <c r="N22" i="18"/>
  <c r="N21" i="18"/>
  <c r="N20" i="18"/>
  <c r="N19" i="18"/>
  <c r="N18" i="18"/>
  <c r="N17" i="18"/>
  <c r="N16" i="18"/>
  <c r="N15" i="18"/>
  <c r="N14" i="18"/>
  <c r="N13" i="18"/>
  <c r="N12" i="18"/>
  <c r="N11" i="18"/>
  <c r="N10" i="18"/>
  <c r="N9" i="18"/>
  <c r="N8" i="18"/>
  <c r="N7" i="18"/>
  <c r="N6" i="18"/>
  <c r="N5" i="18"/>
  <c r="N4" i="18"/>
  <c r="N3" i="18"/>
  <c r="N2" i="18"/>
  <c r="N720" i="17"/>
  <c r="N719" i="17"/>
  <c r="N718" i="17"/>
  <c r="N717" i="17"/>
  <c r="N716" i="17"/>
  <c r="N715" i="17"/>
  <c r="N714" i="17"/>
  <c r="N713" i="17"/>
  <c r="N712" i="17"/>
  <c r="N711" i="17"/>
  <c r="N710" i="17"/>
  <c r="N709" i="17"/>
  <c r="N708" i="17"/>
  <c r="N707" i="17"/>
  <c r="N706" i="17"/>
  <c r="N705" i="17"/>
  <c r="N704" i="17"/>
  <c r="N703" i="17"/>
  <c r="N702" i="17"/>
  <c r="N701" i="17"/>
  <c r="N700" i="17"/>
  <c r="N699" i="17"/>
  <c r="N698" i="17"/>
  <c r="N697" i="17"/>
  <c r="N696" i="17"/>
  <c r="N695" i="17"/>
  <c r="N694" i="17"/>
  <c r="N693" i="17"/>
  <c r="N692" i="17"/>
  <c r="N691" i="17"/>
  <c r="N690" i="17"/>
  <c r="N689" i="17"/>
  <c r="N688" i="17"/>
  <c r="N687" i="17"/>
  <c r="N686" i="17"/>
  <c r="N685" i="17"/>
  <c r="N684" i="17"/>
  <c r="N683" i="17"/>
  <c r="N682" i="17"/>
  <c r="N681" i="17"/>
  <c r="N680" i="17"/>
  <c r="N679" i="17"/>
  <c r="N678" i="17"/>
  <c r="N677" i="17"/>
  <c r="N676" i="17"/>
  <c r="N675" i="17"/>
  <c r="N674" i="17"/>
  <c r="N673" i="17"/>
  <c r="N672" i="17"/>
  <c r="N671" i="17"/>
  <c r="N670" i="17"/>
  <c r="N669" i="17"/>
  <c r="N668" i="17"/>
  <c r="N667" i="17"/>
  <c r="N666" i="17"/>
  <c r="N665" i="17"/>
  <c r="N664" i="17"/>
  <c r="N663" i="17"/>
  <c r="N662" i="17"/>
  <c r="N661" i="17"/>
  <c r="N660" i="17"/>
  <c r="N659" i="17"/>
  <c r="N658" i="17"/>
  <c r="N657" i="17"/>
  <c r="N656" i="17"/>
  <c r="N655" i="17"/>
  <c r="N654" i="17"/>
  <c r="N653" i="17"/>
  <c r="N652" i="17"/>
  <c r="N651" i="17"/>
  <c r="N650" i="17"/>
  <c r="N649" i="17"/>
  <c r="N648" i="17"/>
  <c r="N647" i="17"/>
  <c r="N646" i="17"/>
  <c r="N645" i="17"/>
  <c r="N644" i="17"/>
  <c r="N643" i="17"/>
  <c r="N642" i="17"/>
  <c r="N641" i="17"/>
  <c r="N640" i="17"/>
  <c r="N639" i="17"/>
  <c r="N638" i="17"/>
  <c r="N637" i="17"/>
  <c r="N636" i="17"/>
  <c r="N635" i="17"/>
  <c r="N634" i="17"/>
  <c r="N633" i="17"/>
  <c r="N632" i="17"/>
  <c r="N631" i="17"/>
  <c r="N630" i="17"/>
  <c r="N629" i="17"/>
  <c r="N628" i="17"/>
  <c r="N627" i="17"/>
  <c r="N626" i="17"/>
  <c r="N625" i="17"/>
  <c r="N624" i="17"/>
  <c r="N623" i="17"/>
  <c r="N622" i="17"/>
  <c r="N621" i="17"/>
  <c r="N620" i="17"/>
  <c r="N619" i="17"/>
  <c r="N618" i="17"/>
  <c r="N617" i="17"/>
  <c r="N616" i="17"/>
  <c r="N615" i="17"/>
  <c r="N614" i="17"/>
  <c r="N613" i="17"/>
  <c r="N612" i="17"/>
  <c r="N611" i="17"/>
  <c r="N610" i="17"/>
  <c r="N609" i="17"/>
  <c r="N608" i="17"/>
  <c r="N607" i="17"/>
  <c r="N606" i="17"/>
  <c r="N605" i="17"/>
  <c r="N604" i="17"/>
  <c r="N603" i="17"/>
  <c r="N602" i="17"/>
  <c r="N601" i="17"/>
  <c r="N600" i="17"/>
  <c r="N599" i="17"/>
  <c r="N598" i="17"/>
  <c r="N597" i="17"/>
  <c r="N596" i="17"/>
  <c r="N595" i="17"/>
  <c r="N594" i="17"/>
  <c r="N593" i="17"/>
  <c r="N592" i="17"/>
  <c r="N591" i="17"/>
  <c r="N590" i="17"/>
  <c r="N589" i="17"/>
  <c r="N588" i="17"/>
  <c r="N587" i="17"/>
  <c r="N586" i="17"/>
  <c r="N585" i="17"/>
  <c r="N584" i="17"/>
  <c r="N583" i="17"/>
  <c r="N582" i="17"/>
  <c r="N581" i="17"/>
  <c r="N580" i="17"/>
  <c r="N579" i="17"/>
  <c r="N578" i="17"/>
  <c r="N577" i="17"/>
  <c r="N576" i="17"/>
  <c r="N575" i="17"/>
  <c r="N574" i="17"/>
  <c r="N573" i="17"/>
  <c r="N572" i="17"/>
  <c r="N571" i="17"/>
  <c r="N570" i="17"/>
  <c r="N569" i="17"/>
  <c r="N568" i="17"/>
  <c r="N567" i="17"/>
  <c r="N566" i="17"/>
  <c r="N565" i="17"/>
  <c r="N564" i="17"/>
  <c r="N563" i="17"/>
  <c r="N562" i="17"/>
  <c r="N561" i="17"/>
  <c r="N560" i="17"/>
  <c r="N559" i="17"/>
  <c r="N558" i="17"/>
  <c r="N557" i="17"/>
  <c r="N556" i="17"/>
  <c r="N555" i="17"/>
  <c r="N554" i="17"/>
  <c r="N553" i="17"/>
  <c r="N552" i="17"/>
  <c r="N551" i="17"/>
  <c r="N550" i="17"/>
  <c r="N549" i="17"/>
  <c r="N548" i="17"/>
  <c r="N547" i="17"/>
  <c r="N546" i="17"/>
  <c r="N545" i="17"/>
  <c r="N544" i="17"/>
  <c r="N543" i="17"/>
  <c r="N542" i="17"/>
  <c r="N541" i="17"/>
  <c r="N540" i="17"/>
  <c r="N539" i="17"/>
  <c r="N538" i="17"/>
  <c r="N537" i="17"/>
  <c r="N536" i="17"/>
  <c r="N535" i="17"/>
  <c r="N534" i="17"/>
  <c r="N533" i="17"/>
  <c r="N532" i="17"/>
  <c r="N531" i="17"/>
  <c r="N530" i="17"/>
  <c r="N529" i="17"/>
  <c r="N528" i="17"/>
  <c r="N527" i="17"/>
  <c r="N526" i="17"/>
  <c r="N525" i="17"/>
  <c r="N524" i="17"/>
  <c r="N523" i="17"/>
  <c r="N522" i="17"/>
  <c r="N521" i="17"/>
  <c r="N520" i="17"/>
  <c r="N519" i="17"/>
  <c r="N518" i="17"/>
  <c r="N517" i="17"/>
  <c r="N516" i="17"/>
  <c r="N515" i="17"/>
  <c r="N514" i="17"/>
  <c r="N513" i="17"/>
  <c r="N512" i="17"/>
  <c r="N511" i="17"/>
  <c r="N510" i="17"/>
  <c r="N509" i="17"/>
  <c r="N508" i="17"/>
  <c r="N507" i="17"/>
  <c r="N506" i="17"/>
  <c r="N505" i="17"/>
  <c r="N504" i="17"/>
  <c r="N503" i="17"/>
  <c r="N502" i="17"/>
  <c r="N501" i="17"/>
  <c r="N500" i="17"/>
  <c r="N499" i="17"/>
  <c r="N498" i="17"/>
  <c r="N497" i="17"/>
  <c r="N496" i="17"/>
  <c r="N495" i="17"/>
  <c r="N494" i="17"/>
  <c r="N493" i="17"/>
  <c r="N492" i="17"/>
  <c r="N491" i="17"/>
  <c r="N490" i="17"/>
  <c r="N489" i="17"/>
  <c r="N488" i="17"/>
  <c r="N487" i="17"/>
  <c r="N486" i="17"/>
  <c r="N485" i="17"/>
  <c r="N484" i="17"/>
  <c r="N483" i="17"/>
  <c r="N482" i="17"/>
  <c r="N481" i="17"/>
  <c r="N480" i="17"/>
  <c r="N479" i="17"/>
  <c r="N478" i="17"/>
  <c r="N477" i="17"/>
  <c r="N476" i="17"/>
  <c r="N475" i="17"/>
  <c r="N474" i="17"/>
  <c r="N473" i="17"/>
  <c r="N472" i="17"/>
  <c r="N471" i="17"/>
  <c r="N470" i="17"/>
  <c r="N469" i="17"/>
  <c r="N468" i="17"/>
  <c r="N467" i="17"/>
  <c r="N466" i="17"/>
  <c r="N465" i="17"/>
  <c r="N464" i="17"/>
  <c r="N463" i="17"/>
  <c r="N462" i="17"/>
  <c r="N461" i="17"/>
  <c r="N460" i="17"/>
  <c r="N459" i="17"/>
  <c r="N458" i="17"/>
  <c r="N457" i="17"/>
  <c r="N456" i="17"/>
  <c r="N455" i="17"/>
  <c r="N454" i="17"/>
  <c r="N453" i="17"/>
  <c r="N452" i="17"/>
  <c r="N451" i="17"/>
  <c r="N450" i="17"/>
  <c r="N449" i="17"/>
  <c r="N448" i="17"/>
  <c r="N447" i="17"/>
  <c r="N446" i="17"/>
  <c r="N445" i="17"/>
  <c r="N444" i="17"/>
  <c r="N443" i="17"/>
  <c r="N442" i="17"/>
  <c r="N441" i="17"/>
  <c r="N440" i="17"/>
  <c r="N439" i="17"/>
  <c r="N438" i="17"/>
  <c r="N437" i="17"/>
  <c r="N436" i="17"/>
  <c r="N435" i="17"/>
  <c r="N434" i="17"/>
  <c r="N433" i="17"/>
  <c r="N432" i="17"/>
  <c r="N431" i="17"/>
  <c r="N430" i="17"/>
  <c r="N429" i="17"/>
  <c r="N428" i="17"/>
  <c r="N427" i="17"/>
  <c r="N426" i="17"/>
  <c r="N425" i="17"/>
  <c r="N424" i="17"/>
  <c r="N423" i="17"/>
  <c r="N422" i="17"/>
  <c r="N421" i="17"/>
  <c r="N420" i="17"/>
  <c r="N419" i="17"/>
  <c r="N418" i="17"/>
  <c r="N417" i="17"/>
  <c r="N416" i="17"/>
  <c r="N415" i="17"/>
  <c r="N414" i="17"/>
  <c r="N413" i="17"/>
  <c r="N412" i="17"/>
  <c r="N411" i="17"/>
  <c r="N410" i="17"/>
  <c r="N409" i="17"/>
  <c r="N408" i="17"/>
  <c r="N407" i="17"/>
  <c r="N406" i="17"/>
  <c r="N405" i="17"/>
  <c r="N404" i="17"/>
  <c r="N403" i="17"/>
  <c r="N402" i="17"/>
  <c r="N401" i="17"/>
  <c r="N400" i="17"/>
  <c r="N399" i="17"/>
  <c r="N398" i="17"/>
  <c r="N397" i="17"/>
  <c r="N396" i="17"/>
  <c r="N395" i="17"/>
  <c r="N394" i="17"/>
  <c r="N393" i="17"/>
  <c r="N392" i="17"/>
  <c r="N391" i="17"/>
  <c r="N390" i="17"/>
  <c r="N389" i="17"/>
  <c r="N388" i="17"/>
  <c r="N387" i="17"/>
  <c r="N386" i="17"/>
  <c r="N385" i="17"/>
  <c r="N384" i="17"/>
  <c r="N383" i="17"/>
  <c r="N382" i="17"/>
  <c r="N381" i="17"/>
  <c r="N380" i="17"/>
  <c r="N379" i="17"/>
  <c r="N378" i="17"/>
  <c r="N377" i="17"/>
  <c r="N376" i="17"/>
  <c r="N375" i="17"/>
  <c r="N374" i="17"/>
  <c r="N373" i="17"/>
  <c r="N372" i="17"/>
  <c r="N371" i="17"/>
  <c r="N370" i="17"/>
  <c r="N369" i="17"/>
  <c r="N368" i="17"/>
  <c r="N367" i="17"/>
  <c r="N366" i="17"/>
  <c r="N365" i="17"/>
  <c r="N364" i="17"/>
  <c r="N363" i="17"/>
  <c r="N362" i="17"/>
  <c r="N361" i="17"/>
  <c r="N360" i="17"/>
  <c r="N359" i="17"/>
  <c r="N358" i="17"/>
  <c r="N357" i="17"/>
  <c r="N356" i="17"/>
  <c r="N355" i="17"/>
  <c r="N354" i="17"/>
  <c r="N353" i="17"/>
  <c r="N352" i="17"/>
  <c r="N351" i="17"/>
  <c r="N350" i="17"/>
  <c r="N349" i="17"/>
  <c r="N348" i="17"/>
  <c r="N347" i="17"/>
  <c r="N346" i="17"/>
  <c r="N345" i="17"/>
  <c r="N344" i="17"/>
  <c r="N343" i="17"/>
  <c r="N342" i="17"/>
  <c r="N341" i="17"/>
  <c r="N340" i="17"/>
  <c r="N339" i="17"/>
  <c r="N338" i="17"/>
  <c r="N337" i="17"/>
  <c r="N336" i="17"/>
  <c r="N335" i="17"/>
  <c r="N334" i="17"/>
  <c r="N333" i="17"/>
  <c r="N332" i="17"/>
  <c r="N331" i="17"/>
  <c r="N330" i="17"/>
  <c r="N329" i="17"/>
  <c r="N328" i="17"/>
  <c r="N327" i="17"/>
  <c r="N326" i="17"/>
  <c r="N325" i="17"/>
  <c r="N324" i="17"/>
  <c r="N323" i="17"/>
  <c r="N322" i="17"/>
  <c r="N321" i="17"/>
  <c r="N320" i="17"/>
  <c r="N319" i="17"/>
  <c r="N318" i="17"/>
  <c r="N317" i="17"/>
  <c r="N316" i="17"/>
  <c r="N315" i="17"/>
  <c r="N314" i="17"/>
  <c r="N313" i="17"/>
  <c r="N312" i="17"/>
  <c r="N311" i="17"/>
  <c r="N310" i="17"/>
  <c r="N309" i="17"/>
  <c r="N308" i="17"/>
  <c r="N307" i="17"/>
  <c r="N306" i="17"/>
  <c r="N305" i="17"/>
  <c r="N304" i="17"/>
  <c r="N303" i="17"/>
  <c r="N302" i="17"/>
  <c r="N301" i="17"/>
  <c r="N300" i="17"/>
  <c r="N299" i="17"/>
  <c r="N298" i="17"/>
  <c r="N297" i="17"/>
  <c r="N296" i="17"/>
  <c r="N295" i="17"/>
  <c r="N294" i="17"/>
  <c r="N293" i="17"/>
  <c r="N292" i="17"/>
  <c r="N291" i="17"/>
  <c r="N290" i="17"/>
  <c r="N289" i="17"/>
  <c r="N288" i="17"/>
  <c r="N287" i="17"/>
  <c r="N286" i="17"/>
  <c r="N285" i="17"/>
  <c r="N284" i="17"/>
  <c r="N283" i="17"/>
  <c r="N282" i="17"/>
  <c r="N281" i="17"/>
  <c r="N280" i="17"/>
  <c r="N279" i="17"/>
  <c r="N278" i="17"/>
  <c r="N277" i="17"/>
  <c r="N276" i="17"/>
  <c r="N275" i="17"/>
  <c r="N274" i="17"/>
  <c r="N273" i="17"/>
  <c r="N272" i="17"/>
  <c r="N271" i="17"/>
  <c r="N270" i="17"/>
  <c r="N269" i="17"/>
  <c r="N268" i="17"/>
  <c r="N267" i="17"/>
  <c r="N266" i="17"/>
  <c r="N265" i="17"/>
  <c r="N264" i="17"/>
  <c r="N263" i="17"/>
  <c r="N262" i="17"/>
  <c r="N261" i="17"/>
  <c r="N260" i="17"/>
  <c r="N259" i="17"/>
  <c r="N258" i="17"/>
  <c r="N257" i="17"/>
  <c r="N256" i="17"/>
  <c r="N255" i="17"/>
  <c r="N254" i="17"/>
  <c r="N253" i="17"/>
  <c r="N252" i="17"/>
  <c r="N251" i="17"/>
  <c r="N250" i="17"/>
  <c r="N249" i="17"/>
  <c r="N248" i="17"/>
  <c r="N247" i="17"/>
  <c r="N246" i="17"/>
  <c r="N245" i="17"/>
  <c r="N244" i="17"/>
  <c r="N243" i="17"/>
  <c r="N242" i="17"/>
  <c r="N241" i="17"/>
  <c r="N240" i="17"/>
  <c r="N239" i="17"/>
  <c r="N238" i="17"/>
  <c r="N237" i="17"/>
  <c r="N236" i="17"/>
  <c r="N235" i="17"/>
  <c r="N234" i="17"/>
  <c r="N233" i="17"/>
  <c r="N232" i="17"/>
  <c r="N231" i="17"/>
  <c r="N230" i="17"/>
  <c r="N229" i="17"/>
  <c r="N228" i="17"/>
  <c r="N227" i="17"/>
  <c r="N226" i="17"/>
  <c r="N225" i="17"/>
  <c r="N224" i="17"/>
  <c r="N223" i="17"/>
  <c r="N222" i="17"/>
  <c r="N221" i="17"/>
  <c r="N220" i="17"/>
  <c r="N219" i="17"/>
  <c r="N218" i="17"/>
  <c r="N217" i="17"/>
  <c r="N216" i="17"/>
  <c r="N215" i="17"/>
  <c r="N214" i="17"/>
  <c r="N213" i="17"/>
  <c r="N212" i="17"/>
  <c r="N211" i="17"/>
  <c r="N210" i="17"/>
  <c r="N209" i="17"/>
  <c r="N208" i="17"/>
  <c r="N207" i="17"/>
  <c r="N206" i="17"/>
  <c r="N205" i="17"/>
  <c r="N204" i="17"/>
  <c r="N203" i="17"/>
  <c r="N202" i="17"/>
  <c r="N201" i="17"/>
  <c r="N200" i="17"/>
  <c r="N199" i="17"/>
  <c r="N198" i="17"/>
  <c r="N197" i="17"/>
  <c r="N196" i="17"/>
  <c r="N195" i="17"/>
  <c r="N194" i="17"/>
  <c r="N193" i="17"/>
  <c r="N192" i="17"/>
  <c r="N191" i="17"/>
  <c r="N190" i="17"/>
  <c r="N189" i="17"/>
  <c r="N188" i="17"/>
  <c r="N187" i="17"/>
  <c r="N186" i="17"/>
  <c r="N185" i="17"/>
  <c r="N184" i="17"/>
  <c r="N183" i="17"/>
  <c r="N182" i="17"/>
  <c r="N181" i="17"/>
  <c r="N180" i="17"/>
  <c r="N179" i="17"/>
  <c r="N178" i="17"/>
  <c r="N177" i="17"/>
  <c r="N176" i="17"/>
  <c r="N175" i="17"/>
  <c r="N174" i="17"/>
  <c r="N173" i="17"/>
  <c r="N172" i="17"/>
  <c r="N171" i="17"/>
  <c r="N170" i="17"/>
  <c r="N169" i="17"/>
  <c r="N168" i="17"/>
  <c r="N167" i="17"/>
  <c r="N166" i="17"/>
  <c r="N165" i="17"/>
  <c r="N164" i="17"/>
  <c r="N163" i="17"/>
  <c r="N162" i="17"/>
  <c r="N161" i="17"/>
  <c r="N160" i="17"/>
  <c r="N159" i="17"/>
  <c r="N158" i="17"/>
  <c r="N157" i="17"/>
  <c r="N156" i="17"/>
  <c r="N155" i="17"/>
  <c r="N154" i="17"/>
  <c r="N153" i="17"/>
  <c r="N152" i="17"/>
  <c r="N151" i="17"/>
  <c r="N150" i="17"/>
  <c r="N149" i="17"/>
  <c r="N148" i="17"/>
  <c r="N147" i="17"/>
  <c r="N146" i="17"/>
  <c r="N145" i="17"/>
  <c r="N144" i="17"/>
  <c r="N143" i="17"/>
  <c r="N142" i="17"/>
  <c r="N141" i="17"/>
  <c r="N140" i="17"/>
  <c r="N139" i="17"/>
  <c r="N138" i="17"/>
  <c r="N137" i="17"/>
  <c r="N136" i="17"/>
  <c r="N135" i="17"/>
  <c r="N134" i="17"/>
  <c r="N133" i="17"/>
  <c r="N132" i="17"/>
  <c r="N131" i="17"/>
  <c r="N130" i="17"/>
  <c r="N129" i="17"/>
  <c r="N128" i="17"/>
  <c r="N127" i="17"/>
  <c r="N126" i="17"/>
  <c r="N125" i="17"/>
  <c r="N124" i="17"/>
  <c r="N123" i="17"/>
  <c r="N122" i="17"/>
  <c r="N121" i="17"/>
  <c r="N120" i="17"/>
  <c r="N119" i="17"/>
  <c r="N118" i="17"/>
  <c r="N117" i="17"/>
  <c r="N116" i="17"/>
  <c r="N115" i="17"/>
  <c r="N114" i="17"/>
  <c r="N113" i="17"/>
  <c r="N112" i="17"/>
  <c r="N111" i="17"/>
  <c r="N110" i="17"/>
  <c r="N109" i="17"/>
  <c r="N108" i="17"/>
  <c r="N107" i="17"/>
  <c r="N106" i="17"/>
  <c r="N105" i="17"/>
  <c r="N104" i="17"/>
  <c r="N103" i="17"/>
  <c r="N102" i="17"/>
  <c r="N101" i="17"/>
  <c r="N100" i="17"/>
  <c r="N99" i="17"/>
  <c r="N98" i="17"/>
  <c r="N97" i="17"/>
  <c r="N96" i="17"/>
  <c r="N95" i="17"/>
  <c r="N94" i="17"/>
  <c r="N93" i="17"/>
  <c r="N92" i="17"/>
  <c r="N91" i="17"/>
  <c r="N90" i="17"/>
  <c r="N89" i="17"/>
  <c r="N88" i="17"/>
  <c r="N87" i="17"/>
  <c r="N86" i="17"/>
  <c r="N85" i="17"/>
  <c r="N84" i="17"/>
  <c r="N83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N24" i="17"/>
  <c r="N23" i="17"/>
  <c r="N22" i="17"/>
  <c r="N21" i="17"/>
  <c r="N20" i="17"/>
  <c r="N19" i="17"/>
  <c r="N18" i="17"/>
  <c r="N17" i="17"/>
  <c r="N16" i="17"/>
  <c r="N15" i="17"/>
  <c r="N14" i="17"/>
  <c r="N13" i="17"/>
  <c r="N12" i="17"/>
  <c r="N11" i="17"/>
  <c r="N10" i="17"/>
  <c r="N9" i="17"/>
  <c r="N8" i="17"/>
  <c r="N7" i="17"/>
  <c r="N6" i="17"/>
  <c r="N5" i="17"/>
  <c r="N4" i="17"/>
  <c r="N3" i="17"/>
  <c r="N2" i="17"/>
  <c r="N287" i="16"/>
  <c r="N286" i="16"/>
  <c r="N285" i="16"/>
  <c r="N284" i="16"/>
  <c r="N283" i="16"/>
  <c r="N282" i="16"/>
  <c r="N281" i="16"/>
  <c r="N280" i="16"/>
  <c r="N279" i="16"/>
  <c r="N278" i="16"/>
  <c r="N277" i="16"/>
  <c r="N276" i="16"/>
  <c r="N275" i="16"/>
  <c r="N274" i="16"/>
  <c r="N273" i="16"/>
  <c r="N272" i="16"/>
  <c r="N271" i="16"/>
  <c r="N270" i="16"/>
  <c r="N269" i="16"/>
  <c r="N268" i="16"/>
  <c r="N267" i="16"/>
  <c r="N266" i="16"/>
  <c r="N265" i="16"/>
  <c r="N264" i="16"/>
  <c r="N263" i="16"/>
  <c r="N262" i="16"/>
  <c r="N261" i="16"/>
  <c r="N260" i="16"/>
  <c r="N259" i="16"/>
  <c r="N258" i="16"/>
  <c r="N257" i="16"/>
  <c r="N256" i="16"/>
  <c r="N255" i="16"/>
  <c r="N254" i="16"/>
  <c r="N253" i="16"/>
  <c r="N252" i="16"/>
  <c r="N251" i="16"/>
  <c r="N250" i="16"/>
  <c r="N249" i="16"/>
  <c r="N248" i="16"/>
  <c r="N247" i="16"/>
  <c r="N246" i="16"/>
  <c r="N245" i="16"/>
  <c r="N244" i="16"/>
  <c r="N243" i="16"/>
  <c r="N242" i="16"/>
  <c r="N241" i="16"/>
  <c r="N240" i="16"/>
  <c r="N239" i="16"/>
  <c r="N238" i="16"/>
  <c r="N237" i="16"/>
  <c r="N236" i="16"/>
  <c r="N235" i="16"/>
  <c r="N234" i="16"/>
  <c r="N233" i="16"/>
  <c r="N232" i="16"/>
  <c r="N231" i="16"/>
  <c r="N230" i="16"/>
  <c r="N229" i="16"/>
  <c r="N228" i="16"/>
  <c r="N227" i="16"/>
  <c r="N226" i="16"/>
  <c r="N225" i="16"/>
  <c r="N224" i="16"/>
  <c r="N223" i="16"/>
  <c r="N222" i="16"/>
  <c r="N221" i="16"/>
  <c r="N220" i="16"/>
  <c r="N219" i="16"/>
  <c r="N218" i="16"/>
  <c r="N217" i="16"/>
  <c r="N216" i="16"/>
  <c r="N215" i="16"/>
  <c r="N214" i="16"/>
  <c r="N213" i="16"/>
  <c r="N212" i="16"/>
  <c r="N211" i="16"/>
  <c r="N210" i="16"/>
  <c r="N209" i="16"/>
  <c r="N208" i="16"/>
  <c r="N207" i="16"/>
  <c r="N206" i="16"/>
  <c r="N205" i="16"/>
  <c r="N204" i="16"/>
  <c r="N203" i="16"/>
  <c r="N202" i="16"/>
  <c r="N201" i="16"/>
  <c r="N200" i="16"/>
  <c r="N199" i="16"/>
  <c r="N198" i="16"/>
  <c r="N197" i="16"/>
  <c r="N196" i="16"/>
  <c r="N195" i="16"/>
  <c r="N194" i="16"/>
  <c r="N193" i="16"/>
  <c r="N192" i="16"/>
  <c r="N191" i="16"/>
  <c r="N190" i="16"/>
  <c r="N189" i="16"/>
  <c r="N188" i="16"/>
  <c r="N187" i="16"/>
  <c r="N186" i="16"/>
  <c r="N185" i="16"/>
  <c r="N184" i="16"/>
  <c r="N183" i="16"/>
  <c r="N182" i="16"/>
  <c r="N181" i="16"/>
  <c r="N180" i="16"/>
  <c r="N179" i="16"/>
  <c r="N178" i="16"/>
  <c r="N177" i="16"/>
  <c r="N176" i="16"/>
  <c r="N175" i="16"/>
  <c r="N174" i="16"/>
  <c r="N173" i="16"/>
  <c r="N172" i="16"/>
  <c r="N171" i="16"/>
  <c r="N170" i="16"/>
  <c r="N169" i="16"/>
  <c r="N168" i="16"/>
  <c r="N167" i="16"/>
  <c r="N166" i="16"/>
  <c r="N165" i="16"/>
  <c r="N164" i="16"/>
  <c r="N163" i="16"/>
  <c r="N162" i="16"/>
  <c r="N161" i="16"/>
  <c r="N160" i="16"/>
  <c r="N159" i="16"/>
  <c r="N158" i="16"/>
  <c r="N157" i="16"/>
  <c r="N156" i="16"/>
  <c r="N155" i="16"/>
  <c r="N154" i="16"/>
  <c r="N153" i="16"/>
  <c r="N152" i="16"/>
  <c r="N151" i="16"/>
  <c r="N150" i="16"/>
  <c r="N149" i="16"/>
  <c r="N148" i="16"/>
  <c r="N147" i="16"/>
  <c r="N146" i="16"/>
  <c r="N145" i="16"/>
  <c r="N144" i="16"/>
  <c r="N143" i="16"/>
  <c r="N142" i="16"/>
  <c r="N141" i="16"/>
  <c r="N140" i="16"/>
  <c r="N139" i="16"/>
  <c r="N138" i="16"/>
  <c r="N137" i="16"/>
  <c r="N136" i="16"/>
  <c r="N135" i="16"/>
  <c r="N134" i="16"/>
  <c r="N133" i="16"/>
  <c r="N132" i="16"/>
  <c r="N131" i="16"/>
  <c r="N130" i="16"/>
  <c r="N129" i="16"/>
  <c r="N128" i="16"/>
  <c r="N127" i="16"/>
  <c r="N126" i="16"/>
  <c r="N125" i="16"/>
  <c r="N124" i="16"/>
  <c r="N123" i="16"/>
  <c r="N122" i="16"/>
  <c r="N121" i="16"/>
  <c r="N120" i="16"/>
  <c r="N119" i="16"/>
  <c r="N118" i="16"/>
  <c r="N117" i="16"/>
  <c r="N116" i="16"/>
  <c r="N115" i="16"/>
  <c r="N114" i="16"/>
  <c r="N113" i="16"/>
  <c r="N112" i="16"/>
  <c r="N111" i="16"/>
  <c r="N110" i="16"/>
  <c r="N109" i="16"/>
  <c r="N108" i="16"/>
  <c r="N107" i="16"/>
  <c r="N106" i="16"/>
  <c r="N105" i="16"/>
  <c r="N104" i="16"/>
  <c r="N103" i="16"/>
  <c r="N102" i="16"/>
  <c r="N101" i="16"/>
  <c r="N100" i="16"/>
  <c r="N99" i="16"/>
  <c r="N98" i="16"/>
  <c r="N97" i="16"/>
  <c r="N96" i="16"/>
  <c r="N95" i="16"/>
  <c r="N94" i="16"/>
  <c r="N93" i="16"/>
  <c r="N92" i="16"/>
  <c r="N91" i="16"/>
  <c r="N90" i="16"/>
  <c r="N89" i="16"/>
  <c r="N88" i="16"/>
  <c r="N87" i="16"/>
  <c r="N86" i="16"/>
  <c r="N85" i="16"/>
  <c r="N84" i="16"/>
  <c r="N83" i="16"/>
  <c r="N82" i="16"/>
  <c r="N81" i="16"/>
  <c r="N80" i="16"/>
  <c r="N79" i="16"/>
  <c r="N78" i="16"/>
  <c r="N77" i="16"/>
  <c r="N76" i="16"/>
  <c r="N75" i="16"/>
  <c r="N74" i="16"/>
  <c r="N73" i="16"/>
  <c r="N72" i="16"/>
  <c r="N71" i="16"/>
  <c r="N70" i="16"/>
  <c r="N69" i="16"/>
  <c r="N68" i="16"/>
  <c r="N67" i="16"/>
  <c r="N66" i="16"/>
  <c r="N65" i="16"/>
  <c r="N64" i="16"/>
  <c r="N63" i="16"/>
  <c r="N62" i="16"/>
  <c r="N61" i="16"/>
  <c r="N60" i="16"/>
  <c r="N59" i="16"/>
  <c r="N58" i="16"/>
  <c r="N57" i="16"/>
  <c r="N56" i="16"/>
  <c r="N55" i="16"/>
  <c r="N54" i="16"/>
  <c r="N53" i="16"/>
  <c r="N52" i="16"/>
  <c r="N51" i="16"/>
  <c r="N50" i="16"/>
  <c r="N49" i="16"/>
  <c r="N48" i="16"/>
  <c r="N47" i="16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16" i="16"/>
  <c r="N15" i="16"/>
  <c r="N14" i="16"/>
  <c r="N13" i="16"/>
  <c r="N12" i="16"/>
  <c r="N11" i="16"/>
  <c r="N10" i="16"/>
  <c r="N9" i="16"/>
  <c r="N8" i="16"/>
  <c r="N7" i="16"/>
  <c r="N6" i="16"/>
  <c r="N5" i="16"/>
  <c r="N4" i="16"/>
  <c r="N3" i="16"/>
  <c r="N2" i="16"/>
  <c r="N160" i="15"/>
  <c r="N159" i="15"/>
  <c r="N158" i="15"/>
  <c r="N157" i="15"/>
  <c r="N156" i="15"/>
  <c r="N155" i="15"/>
  <c r="N154" i="15"/>
  <c r="N153" i="15"/>
  <c r="N152" i="15"/>
  <c r="N151" i="15"/>
  <c r="N150" i="15"/>
  <c r="N149" i="15"/>
  <c r="N148" i="15"/>
  <c r="N147" i="15"/>
  <c r="N146" i="15"/>
  <c r="N145" i="15"/>
  <c r="N144" i="15"/>
  <c r="N143" i="15"/>
  <c r="N142" i="15"/>
  <c r="N141" i="15"/>
  <c r="N140" i="15"/>
  <c r="N139" i="15"/>
  <c r="N138" i="15"/>
  <c r="N137" i="15"/>
  <c r="N136" i="15"/>
  <c r="N135" i="15"/>
  <c r="N134" i="15"/>
  <c r="N133" i="15"/>
  <c r="N132" i="15"/>
  <c r="N131" i="15"/>
  <c r="N130" i="15"/>
  <c r="N129" i="15"/>
  <c r="N128" i="15"/>
  <c r="N127" i="15"/>
  <c r="N126" i="15"/>
  <c r="N125" i="15"/>
  <c r="N124" i="15"/>
  <c r="N123" i="15"/>
  <c r="N122" i="15"/>
  <c r="N121" i="15"/>
  <c r="N120" i="15"/>
  <c r="N119" i="15"/>
  <c r="N118" i="15"/>
  <c r="N117" i="15"/>
  <c r="N116" i="15"/>
  <c r="N115" i="15"/>
  <c r="N114" i="15"/>
  <c r="N113" i="15"/>
  <c r="N112" i="15"/>
  <c r="N111" i="15"/>
  <c r="N110" i="15"/>
  <c r="N109" i="15"/>
  <c r="N108" i="15"/>
  <c r="N107" i="15"/>
  <c r="N106" i="15"/>
  <c r="N105" i="15"/>
  <c r="N104" i="15"/>
  <c r="N103" i="15"/>
  <c r="N102" i="15"/>
  <c r="N101" i="15"/>
  <c r="N100" i="15"/>
  <c r="N99" i="15"/>
  <c r="N98" i="15"/>
  <c r="N97" i="15"/>
  <c r="N96" i="15"/>
  <c r="N95" i="15"/>
  <c r="N94" i="15"/>
  <c r="N93" i="15"/>
  <c r="N92" i="15"/>
  <c r="N91" i="15"/>
  <c r="N90" i="15"/>
  <c r="N89" i="15"/>
  <c r="N88" i="15"/>
  <c r="N87" i="15"/>
  <c r="N86" i="15"/>
  <c r="N85" i="15"/>
  <c r="N84" i="15"/>
  <c r="N83" i="15"/>
  <c r="N82" i="15"/>
  <c r="N81" i="15"/>
  <c r="N80" i="15"/>
  <c r="N79" i="15"/>
  <c r="N78" i="15"/>
  <c r="N77" i="15"/>
  <c r="N76" i="15"/>
  <c r="N75" i="15"/>
  <c r="N74" i="15"/>
  <c r="N73" i="15"/>
  <c r="N72" i="15"/>
  <c r="N71" i="15"/>
  <c r="N70" i="15"/>
  <c r="N69" i="15"/>
  <c r="N68" i="15"/>
  <c r="N67" i="15"/>
  <c r="N66" i="15"/>
  <c r="N65" i="15"/>
  <c r="N64" i="15"/>
  <c r="N63" i="15"/>
  <c r="N62" i="15"/>
  <c r="N61" i="15"/>
  <c r="N60" i="15"/>
  <c r="N59" i="15"/>
  <c r="N58" i="15"/>
  <c r="N57" i="15"/>
  <c r="N56" i="15"/>
  <c r="N55" i="15"/>
  <c r="N54" i="15"/>
  <c r="N53" i="15"/>
  <c r="N52" i="15"/>
  <c r="N51" i="15"/>
  <c r="N50" i="15"/>
  <c r="N49" i="15"/>
  <c r="N48" i="15"/>
  <c r="N47" i="15"/>
  <c r="N46" i="15"/>
  <c r="N45" i="15"/>
  <c r="N44" i="15"/>
  <c r="N43" i="15"/>
  <c r="N42" i="15"/>
  <c r="N41" i="15"/>
  <c r="N40" i="15"/>
  <c r="N39" i="15"/>
  <c r="N38" i="15"/>
  <c r="N37" i="15"/>
  <c r="N36" i="15"/>
  <c r="N35" i="15"/>
  <c r="N34" i="15"/>
  <c r="N33" i="15"/>
  <c r="N32" i="15"/>
  <c r="N31" i="15"/>
  <c r="N30" i="15"/>
  <c r="N29" i="15"/>
  <c r="N28" i="15"/>
  <c r="N27" i="15"/>
  <c r="N26" i="15"/>
  <c r="N25" i="15"/>
  <c r="N24" i="15"/>
  <c r="N23" i="15"/>
  <c r="N22" i="15"/>
  <c r="N21" i="15"/>
  <c r="N20" i="15"/>
  <c r="N19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N6" i="15"/>
  <c r="N5" i="15"/>
  <c r="N4" i="15"/>
  <c r="N3" i="15"/>
  <c r="N2" i="15"/>
  <c r="N122" i="14"/>
  <c r="N121" i="14"/>
  <c r="N120" i="14"/>
  <c r="N119" i="14"/>
  <c r="N118" i="14"/>
  <c r="N117" i="14"/>
  <c r="N116" i="14"/>
  <c r="N115" i="14"/>
  <c r="N114" i="14"/>
  <c r="N113" i="14"/>
  <c r="N112" i="14"/>
  <c r="N111" i="14"/>
  <c r="N110" i="14"/>
  <c r="N109" i="14"/>
  <c r="N108" i="14"/>
  <c r="N107" i="14"/>
  <c r="N106" i="14"/>
  <c r="N105" i="14"/>
  <c r="N104" i="14"/>
  <c r="N103" i="14"/>
  <c r="N102" i="14"/>
  <c r="N101" i="14"/>
  <c r="N100" i="14"/>
  <c r="N99" i="14"/>
  <c r="N98" i="14"/>
  <c r="N97" i="14"/>
  <c r="N96" i="14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N4" i="14"/>
  <c r="N3" i="14"/>
  <c r="N2" i="14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7" i="13"/>
  <c r="N126" i="13"/>
  <c r="N125" i="13"/>
  <c r="N124" i="13"/>
  <c r="N123" i="13"/>
  <c r="N122" i="13"/>
  <c r="N121" i="13"/>
  <c r="N120" i="13"/>
  <c r="N119" i="13"/>
  <c r="N118" i="13"/>
  <c r="N117" i="13"/>
  <c r="N116" i="13"/>
  <c r="N115" i="13"/>
  <c r="N114" i="13"/>
  <c r="N113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3" i="13"/>
  <c r="N82" i="13"/>
  <c r="N81" i="13"/>
  <c r="N80" i="13"/>
  <c r="N79" i="13"/>
  <c r="N78" i="13"/>
  <c r="N77" i="13"/>
  <c r="N76" i="13"/>
  <c r="N75" i="13"/>
  <c r="N74" i="13"/>
  <c r="N73" i="13"/>
  <c r="N72" i="13"/>
  <c r="N71" i="13"/>
  <c r="N70" i="13"/>
  <c r="N69" i="13"/>
  <c r="N68" i="13"/>
  <c r="N67" i="13"/>
  <c r="N66" i="13"/>
  <c r="N65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N7" i="13"/>
  <c r="N6" i="13"/>
  <c r="N5" i="13"/>
  <c r="N4" i="13"/>
  <c r="N3" i="13"/>
  <c r="N2" i="13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N3" i="12"/>
  <c r="N2" i="12"/>
  <c r="N189" i="11"/>
  <c r="N188" i="11"/>
  <c r="N187" i="11"/>
  <c r="N186" i="11"/>
  <c r="N185" i="11"/>
  <c r="N184" i="11"/>
  <c r="N183" i="11"/>
  <c r="N182" i="11"/>
  <c r="N181" i="11"/>
  <c r="N180" i="11"/>
  <c r="N179" i="11"/>
  <c r="N178" i="11"/>
  <c r="N177" i="11"/>
  <c r="N176" i="11"/>
  <c r="N175" i="11"/>
  <c r="N174" i="11"/>
  <c r="N173" i="11"/>
  <c r="N172" i="11"/>
  <c r="N171" i="11"/>
  <c r="N170" i="11"/>
  <c r="N169" i="11"/>
  <c r="N168" i="11"/>
  <c r="N167" i="11"/>
  <c r="N166" i="11"/>
  <c r="N165" i="11"/>
  <c r="N164" i="11"/>
  <c r="N163" i="11"/>
  <c r="N162" i="11"/>
  <c r="N161" i="11"/>
  <c r="N160" i="11"/>
  <c r="N159" i="11"/>
  <c r="N158" i="11"/>
  <c r="N157" i="11"/>
  <c r="N156" i="11"/>
  <c r="N155" i="11"/>
  <c r="N154" i="11"/>
  <c r="N153" i="11"/>
  <c r="N152" i="11"/>
  <c r="N151" i="11"/>
  <c r="N150" i="11"/>
  <c r="N149" i="11"/>
  <c r="N148" i="11"/>
  <c r="N147" i="11"/>
  <c r="N146" i="11"/>
  <c r="N145" i="11"/>
  <c r="N144" i="11"/>
  <c r="N143" i="11"/>
  <c r="N142" i="11"/>
  <c r="N141" i="11"/>
  <c r="N140" i="11"/>
  <c r="N139" i="11"/>
  <c r="N138" i="11"/>
  <c r="N137" i="11"/>
  <c r="N136" i="11"/>
  <c r="N135" i="11"/>
  <c r="N134" i="11"/>
  <c r="N133" i="11"/>
  <c r="N132" i="11"/>
  <c r="N131" i="11"/>
  <c r="N130" i="11"/>
  <c r="N129" i="11"/>
  <c r="N128" i="11"/>
  <c r="N127" i="11"/>
  <c r="N126" i="11"/>
  <c r="N125" i="11"/>
  <c r="N124" i="11"/>
  <c r="N123" i="11"/>
  <c r="N122" i="11"/>
  <c r="N121" i="11"/>
  <c r="N120" i="11"/>
  <c r="N119" i="11"/>
  <c r="N118" i="11"/>
  <c r="N117" i="11"/>
  <c r="N116" i="11"/>
  <c r="N115" i="11"/>
  <c r="N114" i="11"/>
  <c r="N113" i="11"/>
  <c r="N112" i="11"/>
  <c r="N111" i="11"/>
  <c r="N110" i="11"/>
  <c r="N109" i="11"/>
  <c r="N108" i="11"/>
  <c r="N107" i="11"/>
  <c r="N106" i="11"/>
  <c r="N105" i="11"/>
  <c r="N104" i="11"/>
  <c r="N103" i="11"/>
  <c r="N102" i="11"/>
  <c r="N101" i="11"/>
  <c r="N100" i="11"/>
  <c r="N99" i="11"/>
  <c r="N98" i="11"/>
  <c r="N97" i="11"/>
  <c r="N96" i="11"/>
  <c r="N95" i="11"/>
  <c r="N94" i="11"/>
  <c r="N93" i="11"/>
  <c r="N92" i="11"/>
  <c r="N91" i="11"/>
  <c r="N90" i="11"/>
  <c r="N89" i="11"/>
  <c r="N88" i="11"/>
  <c r="N87" i="11"/>
  <c r="N86" i="11"/>
  <c r="N85" i="11"/>
  <c r="N84" i="11"/>
  <c r="N83" i="11"/>
  <c r="N82" i="11"/>
  <c r="N81" i="11"/>
  <c r="N80" i="11"/>
  <c r="N79" i="11"/>
  <c r="N78" i="11"/>
  <c r="N77" i="11"/>
  <c r="N76" i="11"/>
  <c r="N75" i="11"/>
  <c r="N74" i="11"/>
  <c r="N73" i="11"/>
  <c r="N72" i="11"/>
  <c r="N71" i="11"/>
  <c r="N70" i="11"/>
  <c r="N69" i="11"/>
  <c r="N68" i="11"/>
  <c r="N67" i="11"/>
  <c r="N66" i="11"/>
  <c r="N65" i="11"/>
  <c r="N64" i="11"/>
  <c r="N63" i="11"/>
  <c r="N62" i="11"/>
  <c r="N61" i="11"/>
  <c r="N60" i="11"/>
  <c r="N59" i="11"/>
  <c r="N58" i="11"/>
  <c r="N57" i="11"/>
  <c r="N56" i="11"/>
  <c r="N55" i="11"/>
  <c r="N54" i="11"/>
  <c r="N53" i="11"/>
  <c r="N52" i="11"/>
  <c r="N51" i="11"/>
  <c r="N50" i="11"/>
  <c r="N49" i="11"/>
  <c r="N48" i="11"/>
  <c r="N47" i="1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14" i="11"/>
  <c r="N13" i="11"/>
  <c r="N12" i="11"/>
  <c r="N11" i="11"/>
  <c r="N10" i="11"/>
  <c r="N9" i="11"/>
  <c r="N8" i="11"/>
  <c r="N7" i="11"/>
  <c r="N6" i="11"/>
  <c r="N5" i="11"/>
  <c r="N4" i="11"/>
  <c r="N3" i="11"/>
  <c r="N2" i="11"/>
  <c r="N630" i="10"/>
  <c r="N629" i="10"/>
  <c r="N628" i="10"/>
  <c r="N627" i="10"/>
  <c r="N626" i="10"/>
  <c r="N625" i="10"/>
  <c r="N624" i="10"/>
  <c r="N623" i="10"/>
  <c r="N622" i="10"/>
  <c r="N621" i="10"/>
  <c r="N620" i="10"/>
  <c r="N619" i="10"/>
  <c r="N618" i="10"/>
  <c r="N617" i="10"/>
  <c r="N616" i="10"/>
  <c r="N615" i="10"/>
  <c r="N614" i="10"/>
  <c r="N613" i="10"/>
  <c r="N612" i="10"/>
  <c r="N611" i="10"/>
  <c r="N610" i="10"/>
  <c r="N609" i="10"/>
  <c r="N608" i="10"/>
  <c r="N607" i="10"/>
  <c r="N606" i="10"/>
  <c r="N605" i="10"/>
  <c r="N604" i="10"/>
  <c r="N603" i="10"/>
  <c r="N602" i="10"/>
  <c r="N601" i="10"/>
  <c r="N600" i="10"/>
  <c r="N599" i="10"/>
  <c r="N598" i="10"/>
  <c r="N597" i="10"/>
  <c r="N596" i="10"/>
  <c r="N595" i="10"/>
  <c r="N594" i="10"/>
  <c r="N593" i="10"/>
  <c r="N592" i="10"/>
  <c r="N591" i="10"/>
  <c r="N590" i="10"/>
  <c r="N589" i="10"/>
  <c r="N588" i="10"/>
  <c r="N587" i="10"/>
  <c r="N586" i="10"/>
  <c r="N585" i="10"/>
  <c r="N584" i="10"/>
  <c r="N583" i="10"/>
  <c r="N582" i="10"/>
  <c r="N581" i="10"/>
  <c r="N580" i="10"/>
  <c r="N579" i="10"/>
  <c r="N578" i="10"/>
  <c r="N577" i="10"/>
  <c r="N576" i="10"/>
  <c r="N575" i="10"/>
  <c r="N574" i="10"/>
  <c r="N573" i="10"/>
  <c r="N572" i="10"/>
  <c r="N571" i="10"/>
  <c r="N570" i="10"/>
  <c r="N569" i="10"/>
  <c r="N568" i="10"/>
  <c r="N567" i="10"/>
  <c r="N566" i="10"/>
  <c r="N565" i="10"/>
  <c r="N564" i="10"/>
  <c r="N563" i="10"/>
  <c r="N562" i="10"/>
  <c r="N561" i="10"/>
  <c r="N560" i="10"/>
  <c r="N559" i="10"/>
  <c r="N558" i="10"/>
  <c r="N557" i="10"/>
  <c r="N556" i="10"/>
  <c r="N555" i="10"/>
  <c r="N554" i="10"/>
  <c r="N553" i="10"/>
  <c r="N552" i="10"/>
  <c r="N551" i="10"/>
  <c r="N550" i="10"/>
  <c r="N549" i="10"/>
  <c r="N548" i="10"/>
  <c r="N547" i="10"/>
  <c r="N546" i="10"/>
  <c r="N545" i="10"/>
  <c r="N544" i="10"/>
  <c r="N543" i="10"/>
  <c r="N542" i="10"/>
  <c r="N541" i="10"/>
  <c r="N540" i="10"/>
  <c r="N539" i="10"/>
  <c r="N538" i="10"/>
  <c r="N537" i="10"/>
  <c r="N536" i="10"/>
  <c r="N535" i="10"/>
  <c r="N534" i="10"/>
  <c r="N533" i="10"/>
  <c r="N532" i="10"/>
  <c r="N531" i="10"/>
  <c r="N530" i="10"/>
  <c r="N529" i="10"/>
  <c r="N528" i="10"/>
  <c r="N527" i="10"/>
  <c r="N526" i="10"/>
  <c r="N525" i="10"/>
  <c r="N524" i="10"/>
  <c r="N523" i="10"/>
  <c r="N522" i="10"/>
  <c r="N521" i="10"/>
  <c r="N520" i="10"/>
  <c r="N519" i="10"/>
  <c r="N518" i="10"/>
  <c r="N517" i="10"/>
  <c r="N516" i="10"/>
  <c r="N515" i="10"/>
  <c r="N514" i="10"/>
  <c r="N513" i="10"/>
  <c r="N512" i="10"/>
  <c r="N511" i="10"/>
  <c r="N510" i="10"/>
  <c r="N509" i="10"/>
  <c r="N508" i="10"/>
  <c r="N507" i="10"/>
  <c r="N506" i="10"/>
  <c r="N505" i="10"/>
  <c r="N504" i="10"/>
  <c r="N503" i="10"/>
  <c r="N502" i="10"/>
  <c r="N501" i="10"/>
  <c r="N500" i="10"/>
  <c r="N499" i="10"/>
  <c r="N498" i="10"/>
  <c r="N497" i="10"/>
  <c r="N496" i="10"/>
  <c r="N495" i="10"/>
  <c r="N494" i="10"/>
  <c r="N493" i="10"/>
  <c r="N492" i="10"/>
  <c r="N491" i="10"/>
  <c r="N490" i="10"/>
  <c r="N489" i="10"/>
  <c r="N488" i="10"/>
  <c r="N487" i="10"/>
  <c r="N486" i="10"/>
  <c r="N485" i="10"/>
  <c r="N484" i="10"/>
  <c r="N483" i="10"/>
  <c r="N482" i="10"/>
  <c r="N481" i="10"/>
  <c r="N480" i="10"/>
  <c r="N479" i="10"/>
  <c r="N478" i="10"/>
  <c r="N477" i="10"/>
  <c r="N476" i="10"/>
  <c r="N475" i="10"/>
  <c r="N474" i="10"/>
  <c r="N473" i="10"/>
  <c r="N472" i="10"/>
  <c r="N471" i="10"/>
  <c r="N470" i="10"/>
  <c r="N469" i="10"/>
  <c r="N468" i="10"/>
  <c r="N467" i="10"/>
  <c r="N466" i="10"/>
  <c r="N465" i="10"/>
  <c r="N464" i="10"/>
  <c r="N463" i="10"/>
  <c r="N462" i="10"/>
  <c r="N461" i="10"/>
  <c r="N460" i="10"/>
  <c r="N459" i="10"/>
  <c r="N458" i="10"/>
  <c r="N457" i="10"/>
  <c r="N456" i="10"/>
  <c r="N455" i="10"/>
  <c r="N454" i="10"/>
  <c r="N453" i="10"/>
  <c r="N452" i="10"/>
  <c r="N451" i="10"/>
  <c r="N450" i="10"/>
  <c r="N449" i="10"/>
  <c r="N448" i="10"/>
  <c r="N447" i="10"/>
  <c r="N446" i="10"/>
  <c r="N445" i="10"/>
  <c r="N444" i="10"/>
  <c r="N443" i="10"/>
  <c r="N442" i="10"/>
  <c r="N441" i="10"/>
  <c r="N440" i="10"/>
  <c r="N439" i="10"/>
  <c r="N438" i="10"/>
  <c r="N437" i="10"/>
  <c r="N436" i="10"/>
  <c r="N435" i="10"/>
  <c r="N434" i="10"/>
  <c r="N433" i="10"/>
  <c r="N432" i="10"/>
  <c r="N431" i="10"/>
  <c r="N430" i="10"/>
  <c r="N429" i="10"/>
  <c r="N428" i="10"/>
  <c r="N427" i="10"/>
  <c r="N426" i="10"/>
  <c r="N425" i="10"/>
  <c r="N424" i="10"/>
  <c r="N423" i="10"/>
  <c r="N422" i="10"/>
  <c r="N421" i="10"/>
  <c r="N420" i="10"/>
  <c r="N419" i="10"/>
  <c r="N418" i="10"/>
  <c r="N417" i="10"/>
  <c r="N416" i="10"/>
  <c r="N415" i="10"/>
  <c r="N414" i="10"/>
  <c r="N413" i="10"/>
  <c r="N412" i="10"/>
  <c r="N411" i="10"/>
  <c r="N410" i="10"/>
  <c r="N409" i="10"/>
  <c r="N408" i="10"/>
  <c r="N407" i="10"/>
  <c r="N406" i="10"/>
  <c r="N405" i="10"/>
  <c r="N404" i="10"/>
  <c r="N403" i="10"/>
  <c r="N402" i="10"/>
  <c r="N401" i="10"/>
  <c r="N400" i="10"/>
  <c r="N399" i="10"/>
  <c r="N398" i="10"/>
  <c r="N397" i="10"/>
  <c r="N396" i="10"/>
  <c r="N395" i="10"/>
  <c r="N394" i="10"/>
  <c r="N393" i="10"/>
  <c r="N392" i="10"/>
  <c r="N391" i="10"/>
  <c r="N390" i="10"/>
  <c r="N389" i="10"/>
  <c r="N388" i="10"/>
  <c r="N387" i="10"/>
  <c r="N386" i="10"/>
  <c r="N385" i="10"/>
  <c r="N384" i="10"/>
  <c r="N383" i="10"/>
  <c r="N382" i="10"/>
  <c r="N381" i="10"/>
  <c r="N380" i="10"/>
  <c r="N379" i="10"/>
  <c r="N378" i="10"/>
  <c r="N377" i="10"/>
  <c r="N376" i="10"/>
  <c r="N375" i="10"/>
  <c r="N374" i="10"/>
  <c r="N373" i="10"/>
  <c r="N372" i="10"/>
  <c r="N371" i="10"/>
  <c r="N370" i="10"/>
  <c r="N369" i="10"/>
  <c r="N368" i="10"/>
  <c r="N367" i="10"/>
  <c r="N366" i="10"/>
  <c r="N365" i="10"/>
  <c r="N364" i="10"/>
  <c r="N363" i="10"/>
  <c r="N362" i="10"/>
  <c r="N361" i="10"/>
  <c r="N360" i="10"/>
  <c r="N359" i="10"/>
  <c r="N358" i="10"/>
  <c r="N357" i="10"/>
  <c r="N356" i="10"/>
  <c r="N355" i="10"/>
  <c r="N354" i="10"/>
  <c r="N353" i="10"/>
  <c r="N352" i="10"/>
  <c r="N351" i="10"/>
  <c r="N350" i="10"/>
  <c r="N349" i="10"/>
  <c r="N348" i="10"/>
  <c r="N347" i="10"/>
  <c r="N346" i="10"/>
  <c r="N345" i="10"/>
  <c r="N344" i="10"/>
  <c r="N343" i="10"/>
  <c r="N342" i="10"/>
  <c r="N341" i="10"/>
  <c r="N340" i="10"/>
  <c r="N339" i="10"/>
  <c r="N338" i="10"/>
  <c r="N337" i="10"/>
  <c r="N336" i="10"/>
  <c r="N335" i="10"/>
  <c r="N334" i="10"/>
  <c r="N333" i="10"/>
  <c r="N332" i="10"/>
  <c r="N331" i="10"/>
  <c r="N330" i="10"/>
  <c r="N329" i="10"/>
  <c r="N328" i="10"/>
  <c r="N327" i="10"/>
  <c r="N326" i="10"/>
  <c r="N325" i="10"/>
  <c r="N324" i="10"/>
  <c r="N323" i="10"/>
  <c r="N322" i="10"/>
  <c r="N321" i="10"/>
  <c r="N320" i="10"/>
  <c r="N319" i="10"/>
  <c r="N318" i="10"/>
  <c r="N317" i="10"/>
  <c r="N316" i="10"/>
  <c r="N315" i="10"/>
  <c r="N314" i="10"/>
  <c r="N313" i="10"/>
  <c r="N312" i="10"/>
  <c r="N311" i="10"/>
  <c r="N310" i="10"/>
  <c r="N309" i="10"/>
  <c r="N308" i="10"/>
  <c r="N307" i="10"/>
  <c r="N306" i="10"/>
  <c r="N305" i="10"/>
  <c r="N304" i="10"/>
  <c r="N303" i="10"/>
  <c r="N302" i="10"/>
  <c r="N301" i="10"/>
  <c r="N300" i="10"/>
  <c r="N299" i="10"/>
  <c r="N298" i="10"/>
  <c r="N297" i="10"/>
  <c r="N296" i="10"/>
  <c r="N295" i="10"/>
  <c r="N294" i="10"/>
  <c r="N293" i="10"/>
  <c r="N292" i="10"/>
  <c r="N291" i="10"/>
  <c r="N290" i="10"/>
  <c r="N289" i="10"/>
  <c r="N288" i="10"/>
  <c r="N287" i="10"/>
  <c r="N286" i="10"/>
  <c r="N285" i="10"/>
  <c r="N284" i="10"/>
  <c r="N283" i="10"/>
  <c r="N282" i="10"/>
  <c r="N281" i="10"/>
  <c r="N280" i="10"/>
  <c r="N279" i="10"/>
  <c r="N278" i="10"/>
  <c r="N277" i="10"/>
  <c r="N276" i="10"/>
  <c r="N275" i="10"/>
  <c r="N274" i="10"/>
  <c r="N273" i="10"/>
  <c r="N272" i="10"/>
  <c r="N271" i="10"/>
  <c r="N270" i="10"/>
  <c r="N269" i="10"/>
  <c r="N268" i="10"/>
  <c r="N267" i="10"/>
  <c r="N266" i="10"/>
  <c r="N265" i="10"/>
  <c r="N264" i="10"/>
  <c r="N263" i="10"/>
  <c r="N262" i="10"/>
  <c r="N261" i="10"/>
  <c r="N260" i="10"/>
  <c r="N259" i="10"/>
  <c r="N258" i="10"/>
  <c r="N257" i="10"/>
  <c r="N256" i="10"/>
  <c r="N255" i="10"/>
  <c r="N254" i="10"/>
  <c r="N253" i="10"/>
  <c r="N252" i="10"/>
  <c r="N251" i="10"/>
  <c r="N250" i="10"/>
  <c r="N249" i="10"/>
  <c r="N248" i="10"/>
  <c r="N247" i="10"/>
  <c r="N246" i="10"/>
  <c r="N245" i="10"/>
  <c r="N244" i="10"/>
  <c r="N243" i="10"/>
  <c r="N242" i="10"/>
  <c r="N241" i="10"/>
  <c r="N240" i="10"/>
  <c r="N239" i="10"/>
  <c r="N238" i="10"/>
  <c r="N237" i="10"/>
  <c r="N236" i="10"/>
  <c r="N235" i="10"/>
  <c r="N234" i="10"/>
  <c r="N233" i="10"/>
  <c r="N232" i="10"/>
  <c r="N231" i="10"/>
  <c r="N230" i="10"/>
  <c r="N229" i="10"/>
  <c r="N228" i="10"/>
  <c r="N227" i="10"/>
  <c r="N226" i="10"/>
  <c r="N225" i="10"/>
  <c r="N224" i="10"/>
  <c r="N223" i="10"/>
  <c r="N222" i="10"/>
  <c r="N221" i="10"/>
  <c r="N220" i="10"/>
  <c r="N219" i="10"/>
  <c r="N218" i="10"/>
  <c r="N217" i="10"/>
  <c r="N216" i="10"/>
  <c r="N215" i="10"/>
  <c r="N214" i="10"/>
  <c r="N213" i="10"/>
  <c r="N212" i="10"/>
  <c r="N211" i="10"/>
  <c r="N210" i="10"/>
  <c r="N209" i="10"/>
  <c r="N208" i="10"/>
  <c r="N207" i="10"/>
  <c r="N206" i="10"/>
  <c r="N205" i="10"/>
  <c r="N204" i="10"/>
  <c r="N203" i="10"/>
  <c r="N202" i="10"/>
  <c r="N201" i="10"/>
  <c r="N200" i="10"/>
  <c r="N199" i="10"/>
  <c r="N198" i="10"/>
  <c r="N197" i="10"/>
  <c r="N196" i="10"/>
  <c r="N195" i="10"/>
  <c r="N194" i="10"/>
  <c r="N193" i="10"/>
  <c r="N192" i="10"/>
  <c r="N191" i="10"/>
  <c r="N190" i="10"/>
  <c r="N189" i="10"/>
  <c r="N188" i="10"/>
  <c r="N187" i="10"/>
  <c r="N186" i="10"/>
  <c r="N185" i="10"/>
  <c r="N184" i="10"/>
  <c r="N183" i="10"/>
  <c r="N182" i="10"/>
  <c r="N181" i="10"/>
  <c r="N180" i="10"/>
  <c r="N179" i="10"/>
  <c r="N178" i="10"/>
  <c r="N177" i="10"/>
  <c r="N176" i="10"/>
  <c r="N175" i="10"/>
  <c r="N174" i="10"/>
  <c r="N173" i="10"/>
  <c r="N172" i="10"/>
  <c r="N171" i="10"/>
  <c r="N170" i="10"/>
  <c r="N169" i="10"/>
  <c r="N168" i="10"/>
  <c r="N167" i="10"/>
  <c r="N166" i="10"/>
  <c r="N165" i="10"/>
  <c r="N164" i="10"/>
  <c r="N163" i="10"/>
  <c r="N162" i="10"/>
  <c r="N161" i="10"/>
  <c r="N160" i="10"/>
  <c r="N159" i="10"/>
  <c r="N158" i="10"/>
  <c r="N157" i="10"/>
  <c r="N156" i="10"/>
  <c r="N155" i="10"/>
  <c r="N154" i="10"/>
  <c r="N153" i="10"/>
  <c r="N152" i="10"/>
  <c r="N151" i="10"/>
  <c r="N150" i="10"/>
  <c r="N149" i="10"/>
  <c r="N148" i="10"/>
  <c r="N147" i="10"/>
  <c r="N146" i="10"/>
  <c r="N145" i="10"/>
  <c r="N144" i="10"/>
  <c r="N143" i="10"/>
  <c r="N142" i="10"/>
  <c r="N141" i="10"/>
  <c r="N140" i="10"/>
  <c r="N139" i="10"/>
  <c r="N138" i="10"/>
  <c r="N137" i="10"/>
  <c r="N136" i="10"/>
  <c r="N135" i="10"/>
  <c r="N134" i="10"/>
  <c r="N133" i="10"/>
  <c r="N132" i="10"/>
  <c r="N131" i="10"/>
  <c r="N130" i="10"/>
  <c r="N129" i="10"/>
  <c r="N128" i="10"/>
  <c r="N127" i="10"/>
  <c r="N126" i="10"/>
  <c r="N125" i="10"/>
  <c r="N124" i="10"/>
  <c r="N123" i="10"/>
  <c r="N122" i="10"/>
  <c r="N121" i="10"/>
  <c r="N120" i="10"/>
  <c r="N119" i="10"/>
  <c r="N118" i="10"/>
  <c r="N117" i="10"/>
  <c r="N116" i="10"/>
  <c r="N115" i="10"/>
  <c r="N114" i="10"/>
  <c r="N113" i="10"/>
  <c r="N112" i="10"/>
  <c r="N111" i="10"/>
  <c r="N110" i="10"/>
  <c r="N109" i="10"/>
  <c r="N108" i="10"/>
  <c r="N107" i="10"/>
  <c r="N106" i="10"/>
  <c r="N105" i="10"/>
  <c r="N104" i="10"/>
  <c r="N103" i="10"/>
  <c r="N102" i="10"/>
  <c r="N101" i="10"/>
  <c r="N100" i="10"/>
  <c r="N99" i="10"/>
  <c r="N98" i="10"/>
  <c r="N97" i="10"/>
  <c r="N96" i="10"/>
  <c r="N95" i="10"/>
  <c r="N94" i="10"/>
  <c r="N93" i="10"/>
  <c r="N92" i="10"/>
  <c r="N91" i="10"/>
  <c r="N90" i="10"/>
  <c r="N89" i="10"/>
  <c r="N88" i="10"/>
  <c r="N87" i="10"/>
  <c r="N86" i="10"/>
  <c r="N85" i="10"/>
  <c r="N84" i="10"/>
  <c r="N83" i="10"/>
  <c r="N82" i="10"/>
  <c r="N81" i="10"/>
  <c r="N80" i="10"/>
  <c r="N79" i="10"/>
  <c r="N78" i="10"/>
  <c r="N77" i="10"/>
  <c r="N76" i="10"/>
  <c r="N75" i="10"/>
  <c r="N74" i="10"/>
  <c r="N73" i="10"/>
  <c r="N72" i="10"/>
  <c r="N71" i="10"/>
  <c r="N70" i="10"/>
  <c r="N69" i="10"/>
  <c r="N68" i="10"/>
  <c r="N67" i="10"/>
  <c r="N66" i="10"/>
  <c r="N65" i="10"/>
  <c r="N64" i="10"/>
  <c r="N63" i="10"/>
  <c r="N62" i="10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10" i="10"/>
  <c r="N9" i="10"/>
  <c r="N8" i="10"/>
  <c r="N7" i="10"/>
  <c r="N6" i="10"/>
  <c r="N5" i="10"/>
  <c r="N4" i="10"/>
  <c r="N3" i="10"/>
  <c r="N2" i="10"/>
  <c r="N578" i="9"/>
  <c r="N577" i="9"/>
  <c r="N576" i="9"/>
  <c r="N575" i="9"/>
  <c r="N574" i="9"/>
  <c r="N573" i="9"/>
  <c r="N572" i="9"/>
  <c r="N571" i="9"/>
  <c r="N570" i="9"/>
  <c r="N569" i="9"/>
  <c r="N568" i="9"/>
  <c r="N567" i="9"/>
  <c r="N566" i="9"/>
  <c r="N565" i="9"/>
  <c r="N564" i="9"/>
  <c r="N563" i="9"/>
  <c r="N562" i="9"/>
  <c r="N561" i="9"/>
  <c r="N560" i="9"/>
  <c r="N559" i="9"/>
  <c r="N558" i="9"/>
  <c r="N557" i="9"/>
  <c r="N556" i="9"/>
  <c r="N555" i="9"/>
  <c r="N554" i="9"/>
  <c r="N553" i="9"/>
  <c r="N552" i="9"/>
  <c r="N551" i="9"/>
  <c r="N550" i="9"/>
  <c r="N549" i="9"/>
  <c r="N548" i="9"/>
  <c r="N547" i="9"/>
  <c r="N546" i="9"/>
  <c r="N545" i="9"/>
  <c r="N544" i="9"/>
  <c r="N543" i="9"/>
  <c r="N542" i="9"/>
  <c r="N541" i="9"/>
  <c r="N540" i="9"/>
  <c r="N539" i="9"/>
  <c r="N538" i="9"/>
  <c r="N537" i="9"/>
  <c r="N536" i="9"/>
  <c r="N535" i="9"/>
  <c r="N534" i="9"/>
  <c r="N533" i="9"/>
  <c r="N532" i="9"/>
  <c r="N531" i="9"/>
  <c r="N530" i="9"/>
  <c r="N529" i="9"/>
  <c r="N528" i="9"/>
  <c r="N527" i="9"/>
  <c r="N526" i="9"/>
  <c r="N525" i="9"/>
  <c r="N524" i="9"/>
  <c r="N523" i="9"/>
  <c r="N522" i="9"/>
  <c r="N521" i="9"/>
  <c r="N520" i="9"/>
  <c r="N519" i="9"/>
  <c r="N518" i="9"/>
  <c r="N517" i="9"/>
  <c r="N516" i="9"/>
  <c r="N515" i="9"/>
  <c r="N514" i="9"/>
  <c r="N513" i="9"/>
  <c r="N512" i="9"/>
  <c r="N511" i="9"/>
  <c r="N510" i="9"/>
  <c r="N509" i="9"/>
  <c r="N508" i="9"/>
  <c r="N507" i="9"/>
  <c r="N506" i="9"/>
  <c r="N505" i="9"/>
  <c r="N504" i="9"/>
  <c r="N503" i="9"/>
  <c r="N502" i="9"/>
  <c r="N501" i="9"/>
  <c r="N500" i="9"/>
  <c r="N499" i="9"/>
  <c r="N498" i="9"/>
  <c r="N497" i="9"/>
  <c r="N496" i="9"/>
  <c r="N495" i="9"/>
  <c r="N494" i="9"/>
  <c r="N493" i="9"/>
  <c r="N492" i="9"/>
  <c r="N491" i="9"/>
  <c r="N490" i="9"/>
  <c r="N489" i="9"/>
  <c r="N488" i="9"/>
  <c r="N487" i="9"/>
  <c r="N486" i="9"/>
  <c r="N485" i="9"/>
  <c r="N484" i="9"/>
  <c r="N483" i="9"/>
  <c r="N482" i="9"/>
  <c r="N481" i="9"/>
  <c r="N480" i="9"/>
  <c r="N479" i="9"/>
  <c r="N478" i="9"/>
  <c r="N477" i="9"/>
  <c r="N476" i="9"/>
  <c r="N475" i="9"/>
  <c r="N474" i="9"/>
  <c r="N473" i="9"/>
  <c r="N472" i="9"/>
  <c r="N471" i="9"/>
  <c r="N470" i="9"/>
  <c r="N469" i="9"/>
  <c r="N468" i="9"/>
  <c r="N467" i="9"/>
  <c r="N466" i="9"/>
  <c r="N465" i="9"/>
  <c r="N464" i="9"/>
  <c r="N463" i="9"/>
  <c r="N462" i="9"/>
  <c r="N461" i="9"/>
  <c r="N460" i="9"/>
  <c r="N459" i="9"/>
  <c r="N458" i="9"/>
  <c r="N457" i="9"/>
  <c r="N456" i="9"/>
  <c r="N455" i="9"/>
  <c r="N454" i="9"/>
  <c r="N453" i="9"/>
  <c r="N452" i="9"/>
  <c r="N451" i="9"/>
  <c r="N450" i="9"/>
  <c r="N449" i="9"/>
  <c r="N448" i="9"/>
  <c r="N447" i="9"/>
  <c r="N446" i="9"/>
  <c r="N445" i="9"/>
  <c r="N444" i="9"/>
  <c r="N443" i="9"/>
  <c r="N442" i="9"/>
  <c r="N441" i="9"/>
  <c r="N440" i="9"/>
  <c r="N439" i="9"/>
  <c r="N438" i="9"/>
  <c r="N437" i="9"/>
  <c r="N436" i="9"/>
  <c r="N435" i="9"/>
  <c r="N434" i="9"/>
  <c r="N433" i="9"/>
  <c r="N432" i="9"/>
  <c r="N431" i="9"/>
  <c r="N430" i="9"/>
  <c r="N429" i="9"/>
  <c r="N428" i="9"/>
  <c r="N427" i="9"/>
  <c r="N426" i="9"/>
  <c r="N425" i="9"/>
  <c r="N424" i="9"/>
  <c r="N423" i="9"/>
  <c r="N422" i="9"/>
  <c r="N421" i="9"/>
  <c r="N420" i="9"/>
  <c r="N419" i="9"/>
  <c r="N418" i="9"/>
  <c r="N417" i="9"/>
  <c r="N416" i="9"/>
  <c r="N415" i="9"/>
  <c r="N414" i="9"/>
  <c r="N413" i="9"/>
  <c r="N412" i="9"/>
  <c r="N411" i="9"/>
  <c r="N410" i="9"/>
  <c r="N409" i="9"/>
  <c r="N408" i="9"/>
  <c r="N407" i="9"/>
  <c r="N406" i="9"/>
  <c r="N405" i="9"/>
  <c r="N404" i="9"/>
  <c r="N403" i="9"/>
  <c r="N402" i="9"/>
  <c r="N401" i="9"/>
  <c r="N400" i="9"/>
  <c r="N399" i="9"/>
  <c r="N398" i="9"/>
  <c r="N397" i="9"/>
  <c r="N396" i="9"/>
  <c r="N395" i="9"/>
  <c r="N394" i="9"/>
  <c r="N393" i="9"/>
  <c r="N392" i="9"/>
  <c r="N391" i="9"/>
  <c r="N390" i="9"/>
  <c r="N389" i="9"/>
  <c r="N388" i="9"/>
  <c r="N387" i="9"/>
  <c r="N386" i="9"/>
  <c r="N385" i="9"/>
  <c r="N384" i="9"/>
  <c r="N383" i="9"/>
  <c r="N382" i="9"/>
  <c r="N381" i="9"/>
  <c r="N380" i="9"/>
  <c r="N379" i="9"/>
  <c r="N378" i="9"/>
  <c r="N377" i="9"/>
  <c r="N376" i="9"/>
  <c r="N375" i="9"/>
  <c r="N374" i="9"/>
  <c r="N373" i="9"/>
  <c r="N372" i="9"/>
  <c r="N371" i="9"/>
  <c r="N370" i="9"/>
  <c r="N369" i="9"/>
  <c r="N368" i="9"/>
  <c r="N367" i="9"/>
  <c r="N366" i="9"/>
  <c r="N365" i="9"/>
  <c r="N364" i="9"/>
  <c r="N363" i="9"/>
  <c r="N362" i="9"/>
  <c r="N361" i="9"/>
  <c r="N360" i="9"/>
  <c r="N359" i="9"/>
  <c r="N358" i="9"/>
  <c r="N357" i="9"/>
  <c r="N356" i="9"/>
  <c r="N355" i="9"/>
  <c r="N354" i="9"/>
  <c r="N353" i="9"/>
  <c r="N352" i="9"/>
  <c r="N351" i="9"/>
  <c r="N350" i="9"/>
  <c r="N349" i="9"/>
  <c r="N348" i="9"/>
  <c r="N347" i="9"/>
  <c r="N346" i="9"/>
  <c r="N345" i="9"/>
  <c r="N344" i="9"/>
  <c r="N343" i="9"/>
  <c r="N342" i="9"/>
  <c r="N341" i="9"/>
  <c r="N340" i="9"/>
  <c r="N339" i="9"/>
  <c r="N338" i="9"/>
  <c r="N337" i="9"/>
  <c r="N336" i="9"/>
  <c r="N335" i="9"/>
  <c r="N334" i="9"/>
  <c r="N333" i="9"/>
  <c r="N332" i="9"/>
  <c r="N331" i="9"/>
  <c r="N330" i="9"/>
  <c r="N329" i="9"/>
  <c r="N328" i="9"/>
  <c r="N327" i="9"/>
  <c r="N326" i="9"/>
  <c r="N325" i="9"/>
  <c r="N324" i="9"/>
  <c r="N323" i="9"/>
  <c r="N322" i="9"/>
  <c r="N321" i="9"/>
  <c r="N320" i="9"/>
  <c r="N319" i="9"/>
  <c r="N318" i="9"/>
  <c r="N317" i="9"/>
  <c r="N316" i="9"/>
  <c r="N315" i="9"/>
  <c r="N314" i="9"/>
  <c r="N313" i="9"/>
  <c r="N312" i="9"/>
  <c r="N311" i="9"/>
  <c r="N310" i="9"/>
  <c r="N309" i="9"/>
  <c r="N308" i="9"/>
  <c r="N307" i="9"/>
  <c r="N306" i="9"/>
  <c r="N305" i="9"/>
  <c r="N304" i="9"/>
  <c r="N303" i="9"/>
  <c r="N302" i="9"/>
  <c r="N301" i="9"/>
  <c r="N300" i="9"/>
  <c r="N299" i="9"/>
  <c r="N298" i="9"/>
  <c r="N297" i="9"/>
  <c r="N296" i="9"/>
  <c r="N295" i="9"/>
  <c r="N294" i="9"/>
  <c r="N293" i="9"/>
  <c r="N292" i="9"/>
  <c r="N291" i="9"/>
  <c r="N290" i="9"/>
  <c r="N289" i="9"/>
  <c r="N288" i="9"/>
  <c r="N287" i="9"/>
  <c r="N286" i="9"/>
  <c r="N285" i="9"/>
  <c r="N284" i="9"/>
  <c r="N283" i="9"/>
  <c r="N282" i="9"/>
  <c r="N281" i="9"/>
  <c r="N280" i="9"/>
  <c r="N279" i="9"/>
  <c r="N278" i="9"/>
  <c r="N277" i="9"/>
  <c r="N276" i="9"/>
  <c r="N275" i="9"/>
  <c r="N274" i="9"/>
  <c r="N273" i="9"/>
  <c r="N272" i="9"/>
  <c r="N271" i="9"/>
  <c r="N270" i="9"/>
  <c r="N269" i="9"/>
  <c r="N268" i="9"/>
  <c r="N267" i="9"/>
  <c r="N266" i="9"/>
  <c r="N265" i="9"/>
  <c r="N264" i="9"/>
  <c r="N263" i="9"/>
  <c r="N262" i="9"/>
  <c r="N261" i="9"/>
  <c r="N260" i="9"/>
  <c r="N259" i="9"/>
  <c r="N258" i="9"/>
  <c r="N257" i="9"/>
  <c r="N256" i="9"/>
  <c r="N255" i="9"/>
  <c r="N254" i="9"/>
  <c r="N253" i="9"/>
  <c r="N252" i="9"/>
  <c r="N251" i="9"/>
  <c r="N250" i="9"/>
  <c r="N249" i="9"/>
  <c r="N248" i="9"/>
  <c r="N247" i="9"/>
  <c r="N246" i="9"/>
  <c r="N245" i="9"/>
  <c r="N244" i="9"/>
  <c r="N243" i="9"/>
  <c r="N242" i="9"/>
  <c r="N241" i="9"/>
  <c r="N240" i="9"/>
  <c r="N239" i="9"/>
  <c r="N238" i="9"/>
  <c r="N237" i="9"/>
  <c r="N236" i="9"/>
  <c r="N235" i="9"/>
  <c r="N234" i="9"/>
  <c r="N233" i="9"/>
  <c r="N232" i="9"/>
  <c r="N231" i="9"/>
  <c r="N230" i="9"/>
  <c r="N229" i="9"/>
  <c r="N228" i="9"/>
  <c r="N227" i="9"/>
  <c r="N226" i="9"/>
  <c r="N225" i="9"/>
  <c r="N224" i="9"/>
  <c r="N223" i="9"/>
  <c r="N222" i="9"/>
  <c r="N221" i="9"/>
  <c r="N220" i="9"/>
  <c r="N219" i="9"/>
  <c r="N218" i="9"/>
  <c r="N217" i="9"/>
  <c r="N216" i="9"/>
  <c r="N215" i="9"/>
  <c r="N214" i="9"/>
  <c r="N213" i="9"/>
  <c r="N212" i="9"/>
  <c r="N211" i="9"/>
  <c r="N210" i="9"/>
  <c r="N209" i="9"/>
  <c r="N208" i="9"/>
  <c r="N207" i="9"/>
  <c r="N206" i="9"/>
  <c r="N205" i="9"/>
  <c r="N204" i="9"/>
  <c r="N203" i="9"/>
  <c r="N202" i="9"/>
  <c r="N201" i="9"/>
  <c r="N200" i="9"/>
  <c r="N199" i="9"/>
  <c r="N198" i="9"/>
  <c r="N197" i="9"/>
  <c r="N196" i="9"/>
  <c r="N195" i="9"/>
  <c r="N194" i="9"/>
  <c r="N193" i="9"/>
  <c r="N192" i="9"/>
  <c r="N191" i="9"/>
  <c r="N190" i="9"/>
  <c r="N189" i="9"/>
  <c r="N188" i="9"/>
  <c r="N187" i="9"/>
  <c r="N186" i="9"/>
  <c r="N185" i="9"/>
  <c r="N184" i="9"/>
  <c r="N183" i="9"/>
  <c r="N182" i="9"/>
  <c r="N181" i="9"/>
  <c r="N180" i="9"/>
  <c r="N179" i="9"/>
  <c r="N178" i="9"/>
  <c r="N177" i="9"/>
  <c r="N176" i="9"/>
  <c r="N175" i="9"/>
  <c r="N174" i="9"/>
  <c r="N173" i="9"/>
  <c r="N172" i="9"/>
  <c r="N171" i="9"/>
  <c r="N170" i="9"/>
  <c r="N169" i="9"/>
  <c r="N168" i="9"/>
  <c r="N167" i="9"/>
  <c r="N166" i="9"/>
  <c r="N165" i="9"/>
  <c r="N164" i="9"/>
  <c r="N163" i="9"/>
  <c r="N162" i="9"/>
  <c r="N161" i="9"/>
  <c r="N160" i="9"/>
  <c r="N159" i="9"/>
  <c r="N158" i="9"/>
  <c r="N157" i="9"/>
  <c r="N156" i="9"/>
  <c r="N155" i="9"/>
  <c r="N154" i="9"/>
  <c r="N153" i="9"/>
  <c r="N152" i="9"/>
  <c r="N151" i="9"/>
  <c r="N150" i="9"/>
  <c r="N149" i="9"/>
  <c r="N148" i="9"/>
  <c r="N147" i="9"/>
  <c r="N146" i="9"/>
  <c r="N145" i="9"/>
  <c r="N144" i="9"/>
  <c r="N143" i="9"/>
  <c r="N142" i="9"/>
  <c r="N141" i="9"/>
  <c r="N140" i="9"/>
  <c r="N139" i="9"/>
  <c r="N138" i="9"/>
  <c r="N137" i="9"/>
  <c r="N136" i="9"/>
  <c r="N135" i="9"/>
  <c r="N134" i="9"/>
  <c r="N133" i="9"/>
  <c r="N132" i="9"/>
  <c r="N131" i="9"/>
  <c r="N130" i="9"/>
  <c r="N129" i="9"/>
  <c r="N128" i="9"/>
  <c r="N127" i="9"/>
  <c r="N126" i="9"/>
  <c r="N125" i="9"/>
  <c r="N124" i="9"/>
  <c r="N123" i="9"/>
  <c r="N122" i="9"/>
  <c r="N121" i="9"/>
  <c r="N120" i="9"/>
  <c r="N119" i="9"/>
  <c r="N118" i="9"/>
  <c r="N117" i="9"/>
  <c r="N116" i="9"/>
  <c r="N115" i="9"/>
  <c r="N114" i="9"/>
  <c r="N113" i="9"/>
  <c r="N112" i="9"/>
  <c r="N111" i="9"/>
  <c r="N110" i="9"/>
  <c r="N109" i="9"/>
  <c r="N108" i="9"/>
  <c r="N107" i="9"/>
  <c r="N106" i="9"/>
  <c r="N105" i="9"/>
  <c r="N104" i="9"/>
  <c r="N103" i="9"/>
  <c r="N102" i="9"/>
  <c r="N101" i="9"/>
  <c r="N100" i="9"/>
  <c r="N99" i="9"/>
  <c r="N98" i="9"/>
  <c r="N97" i="9"/>
  <c r="N96" i="9"/>
  <c r="N95" i="9"/>
  <c r="N94" i="9"/>
  <c r="N93" i="9"/>
  <c r="N92" i="9"/>
  <c r="N91" i="9"/>
  <c r="N90" i="9"/>
  <c r="N89" i="9"/>
  <c r="N88" i="9"/>
  <c r="N87" i="9"/>
  <c r="N86" i="9"/>
  <c r="N85" i="9"/>
  <c r="N84" i="9"/>
  <c r="N83" i="9"/>
  <c r="N82" i="9"/>
  <c r="N81" i="9"/>
  <c r="N80" i="9"/>
  <c r="N79" i="9"/>
  <c r="N78" i="9"/>
  <c r="N77" i="9"/>
  <c r="N76" i="9"/>
  <c r="N75" i="9"/>
  <c r="N74" i="9"/>
  <c r="N73" i="9"/>
  <c r="N72" i="9"/>
  <c r="N71" i="9"/>
  <c r="N70" i="9"/>
  <c r="N69" i="9"/>
  <c r="N68" i="9"/>
  <c r="N67" i="9"/>
  <c r="N66" i="9"/>
  <c r="N65" i="9"/>
  <c r="N64" i="9"/>
  <c r="N63" i="9"/>
  <c r="N62" i="9"/>
  <c r="N61" i="9"/>
  <c r="N60" i="9"/>
  <c r="N59" i="9"/>
  <c r="N58" i="9"/>
  <c r="N57" i="9"/>
  <c r="N56" i="9"/>
  <c r="N55" i="9"/>
  <c r="N54" i="9"/>
  <c r="N53" i="9"/>
  <c r="N52" i="9"/>
  <c r="N51" i="9"/>
  <c r="N50" i="9"/>
  <c r="N49" i="9"/>
  <c r="N48" i="9"/>
  <c r="N47" i="9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14" i="9"/>
  <c r="N13" i="9"/>
  <c r="N12" i="9"/>
  <c r="N11" i="9"/>
  <c r="N10" i="9"/>
  <c r="N9" i="9"/>
  <c r="N8" i="9"/>
  <c r="N7" i="9"/>
  <c r="N6" i="9"/>
  <c r="N5" i="9"/>
  <c r="N4" i="9"/>
  <c r="N3" i="9"/>
  <c r="N2" i="9"/>
  <c r="N170" i="8"/>
  <c r="N169" i="8"/>
  <c r="N168" i="8"/>
  <c r="N167" i="8"/>
  <c r="N166" i="8"/>
  <c r="N165" i="8"/>
  <c r="N164" i="8"/>
  <c r="N163" i="8"/>
  <c r="N162" i="8"/>
  <c r="N161" i="8"/>
  <c r="N160" i="8"/>
  <c r="N159" i="8"/>
  <c r="N158" i="8"/>
  <c r="N157" i="8"/>
  <c r="N156" i="8"/>
  <c r="N155" i="8"/>
  <c r="N154" i="8"/>
  <c r="N153" i="8"/>
  <c r="N152" i="8"/>
  <c r="N151" i="8"/>
  <c r="N150" i="8"/>
  <c r="N149" i="8"/>
  <c r="N148" i="8"/>
  <c r="N147" i="8"/>
  <c r="N146" i="8"/>
  <c r="N145" i="8"/>
  <c r="N144" i="8"/>
  <c r="N143" i="8"/>
  <c r="N142" i="8"/>
  <c r="N141" i="8"/>
  <c r="N140" i="8"/>
  <c r="N139" i="8"/>
  <c r="N138" i="8"/>
  <c r="N137" i="8"/>
  <c r="N136" i="8"/>
  <c r="N135" i="8"/>
  <c r="N134" i="8"/>
  <c r="N133" i="8"/>
  <c r="N132" i="8"/>
  <c r="N131" i="8"/>
  <c r="N130" i="8"/>
  <c r="N129" i="8"/>
  <c r="N128" i="8"/>
  <c r="N127" i="8"/>
  <c r="N126" i="8"/>
  <c r="N125" i="8"/>
  <c r="N124" i="8"/>
  <c r="N123" i="8"/>
  <c r="N122" i="8"/>
  <c r="N121" i="8"/>
  <c r="N120" i="8"/>
  <c r="N119" i="8"/>
  <c r="N118" i="8"/>
  <c r="N117" i="8"/>
  <c r="N116" i="8"/>
  <c r="N115" i="8"/>
  <c r="N114" i="8"/>
  <c r="N113" i="8"/>
  <c r="N112" i="8"/>
  <c r="N111" i="8"/>
  <c r="N110" i="8"/>
  <c r="N109" i="8"/>
  <c r="N108" i="8"/>
  <c r="N107" i="8"/>
  <c r="N106" i="8"/>
  <c r="N105" i="8"/>
  <c r="N104" i="8"/>
  <c r="N103" i="8"/>
  <c r="N102" i="8"/>
  <c r="N101" i="8"/>
  <c r="N100" i="8"/>
  <c r="N99" i="8"/>
  <c r="N98" i="8"/>
  <c r="N97" i="8"/>
  <c r="N96" i="8"/>
  <c r="N95" i="8"/>
  <c r="N94" i="8"/>
  <c r="N93" i="8"/>
  <c r="N92" i="8"/>
  <c r="N91" i="8"/>
  <c r="N90" i="8"/>
  <c r="N89" i="8"/>
  <c r="N88" i="8"/>
  <c r="N87" i="8"/>
  <c r="N86" i="8"/>
  <c r="N85" i="8"/>
  <c r="N84" i="8"/>
  <c r="N83" i="8"/>
  <c r="N82" i="8"/>
  <c r="N81" i="8"/>
  <c r="N80" i="8"/>
  <c r="N79" i="8"/>
  <c r="N78" i="8"/>
  <c r="N77" i="8"/>
  <c r="N76" i="8"/>
  <c r="N75" i="8"/>
  <c r="N74" i="8"/>
  <c r="N73" i="8"/>
  <c r="N72" i="8"/>
  <c r="N71" i="8"/>
  <c r="N70" i="8"/>
  <c r="N69" i="8"/>
  <c r="N68" i="8"/>
  <c r="N67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7" i="8"/>
  <c r="N6" i="8"/>
  <c r="N5" i="8"/>
  <c r="N4" i="8"/>
  <c r="N3" i="8"/>
  <c r="N2" i="8"/>
  <c r="N623" i="7"/>
  <c r="N622" i="7"/>
  <c r="N621" i="7"/>
  <c r="N620" i="7"/>
  <c r="N619" i="7"/>
  <c r="N618" i="7"/>
  <c r="N617" i="7"/>
  <c r="N616" i="7"/>
  <c r="N615" i="7"/>
  <c r="N614" i="7"/>
  <c r="N613" i="7"/>
  <c r="N612" i="7"/>
  <c r="N611" i="7"/>
  <c r="N610" i="7"/>
  <c r="N609" i="7"/>
  <c r="N608" i="7"/>
  <c r="N607" i="7"/>
  <c r="N606" i="7"/>
  <c r="N605" i="7"/>
  <c r="N604" i="7"/>
  <c r="N603" i="7"/>
  <c r="N602" i="7"/>
  <c r="N601" i="7"/>
  <c r="N600" i="7"/>
  <c r="N599" i="7"/>
  <c r="N598" i="7"/>
  <c r="N597" i="7"/>
  <c r="N596" i="7"/>
  <c r="N595" i="7"/>
  <c r="N594" i="7"/>
  <c r="N593" i="7"/>
  <c r="N592" i="7"/>
  <c r="N591" i="7"/>
  <c r="N590" i="7"/>
  <c r="N589" i="7"/>
  <c r="N588" i="7"/>
  <c r="N587" i="7"/>
  <c r="N586" i="7"/>
  <c r="N585" i="7"/>
  <c r="N584" i="7"/>
  <c r="N583" i="7"/>
  <c r="N582" i="7"/>
  <c r="N581" i="7"/>
  <c r="N580" i="7"/>
  <c r="N579" i="7"/>
  <c r="N578" i="7"/>
  <c r="N577" i="7"/>
  <c r="N576" i="7"/>
  <c r="N575" i="7"/>
  <c r="N574" i="7"/>
  <c r="N573" i="7"/>
  <c r="N572" i="7"/>
  <c r="N571" i="7"/>
  <c r="N570" i="7"/>
  <c r="N569" i="7"/>
  <c r="N568" i="7"/>
  <c r="N567" i="7"/>
  <c r="N566" i="7"/>
  <c r="N565" i="7"/>
  <c r="N564" i="7"/>
  <c r="N563" i="7"/>
  <c r="N562" i="7"/>
  <c r="N561" i="7"/>
  <c r="N560" i="7"/>
  <c r="N559" i="7"/>
  <c r="N558" i="7"/>
  <c r="N557" i="7"/>
  <c r="N556" i="7"/>
  <c r="N555" i="7"/>
  <c r="N554" i="7"/>
  <c r="N553" i="7"/>
  <c r="N552" i="7"/>
  <c r="N551" i="7"/>
  <c r="N550" i="7"/>
  <c r="N549" i="7"/>
  <c r="N548" i="7"/>
  <c r="N547" i="7"/>
  <c r="N546" i="7"/>
  <c r="N545" i="7"/>
  <c r="N544" i="7"/>
  <c r="N543" i="7"/>
  <c r="N542" i="7"/>
  <c r="N541" i="7"/>
  <c r="N540" i="7"/>
  <c r="N539" i="7"/>
  <c r="N538" i="7"/>
  <c r="N537" i="7"/>
  <c r="N536" i="7"/>
  <c r="N535" i="7"/>
  <c r="N534" i="7"/>
  <c r="N533" i="7"/>
  <c r="N532" i="7"/>
  <c r="N531" i="7"/>
  <c r="N530" i="7"/>
  <c r="N529" i="7"/>
  <c r="N528" i="7"/>
  <c r="N527" i="7"/>
  <c r="N526" i="7"/>
  <c r="N525" i="7"/>
  <c r="N524" i="7"/>
  <c r="N523" i="7"/>
  <c r="N522" i="7"/>
  <c r="N521" i="7"/>
  <c r="N520" i="7"/>
  <c r="N519" i="7"/>
  <c r="N518" i="7"/>
  <c r="N517" i="7"/>
  <c r="N516" i="7"/>
  <c r="N515" i="7"/>
  <c r="N514" i="7"/>
  <c r="N513" i="7"/>
  <c r="N512" i="7"/>
  <c r="N511" i="7"/>
  <c r="N510" i="7"/>
  <c r="N509" i="7"/>
  <c r="N508" i="7"/>
  <c r="N507" i="7"/>
  <c r="N506" i="7"/>
  <c r="N505" i="7"/>
  <c r="N504" i="7"/>
  <c r="N503" i="7"/>
  <c r="N502" i="7"/>
  <c r="N501" i="7"/>
  <c r="N500" i="7"/>
  <c r="N499" i="7"/>
  <c r="N498" i="7"/>
  <c r="N497" i="7"/>
  <c r="N496" i="7"/>
  <c r="N495" i="7"/>
  <c r="N494" i="7"/>
  <c r="N493" i="7"/>
  <c r="N492" i="7"/>
  <c r="N491" i="7"/>
  <c r="N490" i="7"/>
  <c r="N489" i="7"/>
  <c r="N488" i="7"/>
  <c r="N487" i="7"/>
  <c r="N486" i="7"/>
  <c r="N485" i="7"/>
  <c r="N484" i="7"/>
  <c r="N483" i="7"/>
  <c r="N482" i="7"/>
  <c r="N481" i="7"/>
  <c r="N480" i="7"/>
  <c r="N479" i="7"/>
  <c r="N478" i="7"/>
  <c r="N477" i="7"/>
  <c r="N476" i="7"/>
  <c r="N475" i="7"/>
  <c r="N474" i="7"/>
  <c r="N473" i="7"/>
  <c r="N472" i="7"/>
  <c r="N471" i="7"/>
  <c r="N470" i="7"/>
  <c r="N469" i="7"/>
  <c r="N468" i="7"/>
  <c r="N467" i="7"/>
  <c r="N466" i="7"/>
  <c r="N465" i="7"/>
  <c r="N464" i="7"/>
  <c r="N463" i="7"/>
  <c r="N462" i="7"/>
  <c r="N461" i="7"/>
  <c r="N460" i="7"/>
  <c r="N459" i="7"/>
  <c r="N458" i="7"/>
  <c r="N457" i="7"/>
  <c r="N456" i="7"/>
  <c r="N455" i="7"/>
  <c r="N454" i="7"/>
  <c r="N453" i="7"/>
  <c r="N452" i="7"/>
  <c r="N451" i="7"/>
  <c r="N450" i="7"/>
  <c r="N449" i="7"/>
  <c r="N448" i="7"/>
  <c r="N447" i="7"/>
  <c r="N446" i="7"/>
  <c r="N445" i="7"/>
  <c r="N444" i="7"/>
  <c r="N443" i="7"/>
  <c r="N442" i="7"/>
  <c r="N441" i="7"/>
  <c r="N440" i="7"/>
  <c r="N439" i="7"/>
  <c r="N438" i="7"/>
  <c r="N437" i="7"/>
  <c r="N436" i="7"/>
  <c r="N435" i="7"/>
  <c r="N434" i="7"/>
  <c r="N433" i="7"/>
  <c r="N432" i="7"/>
  <c r="N431" i="7"/>
  <c r="N430" i="7"/>
  <c r="N429" i="7"/>
  <c r="N428" i="7"/>
  <c r="N427" i="7"/>
  <c r="N426" i="7"/>
  <c r="N425" i="7"/>
  <c r="N424" i="7"/>
  <c r="N423" i="7"/>
  <c r="N422" i="7"/>
  <c r="N421" i="7"/>
  <c r="N420" i="7"/>
  <c r="N419" i="7"/>
  <c r="N418" i="7"/>
  <c r="N417" i="7"/>
  <c r="N416" i="7"/>
  <c r="N415" i="7"/>
  <c r="N414" i="7"/>
  <c r="N413" i="7"/>
  <c r="N412" i="7"/>
  <c r="N411" i="7"/>
  <c r="N410" i="7"/>
  <c r="N409" i="7"/>
  <c r="N408" i="7"/>
  <c r="N407" i="7"/>
  <c r="N406" i="7"/>
  <c r="N405" i="7"/>
  <c r="N404" i="7"/>
  <c r="N403" i="7"/>
  <c r="N402" i="7"/>
  <c r="N401" i="7"/>
  <c r="N400" i="7"/>
  <c r="N399" i="7"/>
  <c r="N398" i="7"/>
  <c r="N397" i="7"/>
  <c r="N396" i="7"/>
  <c r="N395" i="7"/>
  <c r="N394" i="7"/>
  <c r="N393" i="7"/>
  <c r="N392" i="7"/>
  <c r="N391" i="7"/>
  <c r="N390" i="7"/>
  <c r="N389" i="7"/>
  <c r="N388" i="7"/>
  <c r="N387" i="7"/>
  <c r="N386" i="7"/>
  <c r="N385" i="7"/>
  <c r="N384" i="7"/>
  <c r="N383" i="7"/>
  <c r="N382" i="7"/>
  <c r="N381" i="7"/>
  <c r="N380" i="7"/>
  <c r="N379" i="7"/>
  <c r="N378" i="7"/>
  <c r="N377" i="7"/>
  <c r="N376" i="7"/>
  <c r="N375" i="7"/>
  <c r="N374" i="7"/>
  <c r="N373" i="7"/>
  <c r="N372" i="7"/>
  <c r="N371" i="7"/>
  <c r="N370" i="7"/>
  <c r="N369" i="7"/>
  <c r="N368" i="7"/>
  <c r="N367" i="7"/>
  <c r="N366" i="7"/>
  <c r="N365" i="7"/>
  <c r="N364" i="7"/>
  <c r="N363" i="7"/>
  <c r="N362" i="7"/>
  <c r="N361" i="7"/>
  <c r="N360" i="7"/>
  <c r="N359" i="7"/>
  <c r="N358" i="7"/>
  <c r="N357" i="7"/>
  <c r="N356" i="7"/>
  <c r="N355" i="7"/>
  <c r="N354" i="7"/>
  <c r="N353" i="7"/>
  <c r="N352" i="7"/>
  <c r="N351" i="7"/>
  <c r="N350" i="7"/>
  <c r="N349" i="7"/>
  <c r="N348" i="7"/>
  <c r="N347" i="7"/>
  <c r="N346" i="7"/>
  <c r="N345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N311" i="7"/>
  <c r="N310" i="7"/>
  <c r="N309" i="7"/>
  <c r="N308" i="7"/>
  <c r="N307" i="7"/>
  <c r="N306" i="7"/>
  <c r="N305" i="7"/>
  <c r="N304" i="7"/>
  <c r="N303" i="7"/>
  <c r="N302" i="7"/>
  <c r="N301" i="7"/>
  <c r="N300" i="7"/>
  <c r="N299" i="7"/>
  <c r="N298" i="7"/>
  <c r="N297" i="7"/>
  <c r="N296" i="7"/>
  <c r="N295" i="7"/>
  <c r="N294" i="7"/>
  <c r="N293" i="7"/>
  <c r="N292" i="7"/>
  <c r="N291" i="7"/>
  <c r="N290" i="7"/>
  <c r="N289" i="7"/>
  <c r="N288" i="7"/>
  <c r="N287" i="7"/>
  <c r="N286" i="7"/>
  <c r="N285" i="7"/>
  <c r="N284" i="7"/>
  <c r="N283" i="7"/>
  <c r="N282" i="7"/>
  <c r="N281" i="7"/>
  <c r="N280" i="7"/>
  <c r="N279" i="7"/>
  <c r="N278" i="7"/>
  <c r="N277" i="7"/>
  <c r="N276" i="7"/>
  <c r="N275" i="7"/>
  <c r="N274" i="7"/>
  <c r="N273" i="7"/>
  <c r="N272" i="7"/>
  <c r="N271" i="7"/>
  <c r="N270" i="7"/>
  <c r="N269" i="7"/>
  <c r="N268" i="7"/>
  <c r="N267" i="7"/>
  <c r="N266" i="7"/>
  <c r="N265" i="7"/>
  <c r="N264" i="7"/>
  <c r="N263" i="7"/>
  <c r="N262" i="7"/>
  <c r="N261" i="7"/>
  <c r="N260" i="7"/>
  <c r="N259" i="7"/>
  <c r="N258" i="7"/>
  <c r="N257" i="7"/>
  <c r="N256" i="7"/>
  <c r="N255" i="7"/>
  <c r="N254" i="7"/>
  <c r="N253" i="7"/>
  <c r="N252" i="7"/>
  <c r="N251" i="7"/>
  <c r="N250" i="7"/>
  <c r="N249" i="7"/>
  <c r="N248" i="7"/>
  <c r="N247" i="7"/>
  <c r="N246" i="7"/>
  <c r="N245" i="7"/>
  <c r="N244" i="7"/>
  <c r="N243" i="7"/>
  <c r="N242" i="7"/>
  <c r="N241" i="7"/>
  <c r="N240" i="7"/>
  <c r="N239" i="7"/>
  <c r="N238" i="7"/>
  <c r="N237" i="7"/>
  <c r="N236" i="7"/>
  <c r="N235" i="7"/>
  <c r="N234" i="7"/>
  <c r="N233" i="7"/>
  <c r="N232" i="7"/>
  <c r="N231" i="7"/>
  <c r="N230" i="7"/>
  <c r="N229" i="7"/>
  <c r="N228" i="7"/>
  <c r="N227" i="7"/>
  <c r="N226" i="7"/>
  <c r="N225" i="7"/>
  <c r="N224" i="7"/>
  <c r="N223" i="7"/>
  <c r="N222" i="7"/>
  <c r="N221" i="7"/>
  <c r="N220" i="7"/>
  <c r="N219" i="7"/>
  <c r="N218" i="7"/>
  <c r="N217" i="7"/>
  <c r="N216" i="7"/>
  <c r="N215" i="7"/>
  <c r="N214" i="7"/>
  <c r="N213" i="7"/>
  <c r="N212" i="7"/>
  <c r="N211" i="7"/>
  <c r="N210" i="7"/>
  <c r="N209" i="7"/>
  <c r="N208" i="7"/>
  <c r="N207" i="7"/>
  <c r="N206" i="7"/>
  <c r="N205" i="7"/>
  <c r="N204" i="7"/>
  <c r="N203" i="7"/>
  <c r="N202" i="7"/>
  <c r="N201" i="7"/>
  <c r="N200" i="7"/>
  <c r="N199" i="7"/>
  <c r="N198" i="7"/>
  <c r="N197" i="7"/>
  <c r="N196" i="7"/>
  <c r="N195" i="7"/>
  <c r="N194" i="7"/>
  <c r="N193" i="7"/>
  <c r="N192" i="7"/>
  <c r="N191" i="7"/>
  <c r="N190" i="7"/>
  <c r="N189" i="7"/>
  <c r="N188" i="7"/>
  <c r="N187" i="7"/>
  <c r="N186" i="7"/>
  <c r="N185" i="7"/>
  <c r="N184" i="7"/>
  <c r="N183" i="7"/>
  <c r="N182" i="7"/>
  <c r="N181" i="7"/>
  <c r="N180" i="7"/>
  <c r="N179" i="7"/>
  <c r="N178" i="7"/>
  <c r="N177" i="7"/>
  <c r="N176" i="7"/>
  <c r="N175" i="7"/>
  <c r="N174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N158" i="7"/>
  <c r="N157" i="7"/>
  <c r="N156" i="7"/>
  <c r="N155" i="7"/>
  <c r="N154" i="7"/>
  <c r="N153" i="7"/>
  <c r="N152" i="7"/>
  <c r="N151" i="7"/>
  <c r="N150" i="7"/>
  <c r="N149" i="7"/>
  <c r="N148" i="7"/>
  <c r="N147" i="7"/>
  <c r="N146" i="7"/>
  <c r="N145" i="7"/>
  <c r="N144" i="7"/>
  <c r="N143" i="7"/>
  <c r="N142" i="7"/>
  <c r="N141" i="7"/>
  <c r="N140" i="7"/>
  <c r="N139" i="7"/>
  <c r="N138" i="7"/>
  <c r="N137" i="7"/>
  <c r="N136" i="7"/>
  <c r="N135" i="7"/>
  <c r="N134" i="7"/>
  <c r="N133" i="7"/>
  <c r="N132" i="7"/>
  <c r="N131" i="7"/>
  <c r="N130" i="7"/>
  <c r="N129" i="7"/>
  <c r="N128" i="7"/>
  <c r="N127" i="7"/>
  <c r="N126" i="7"/>
  <c r="N125" i="7"/>
  <c r="N124" i="7"/>
  <c r="N123" i="7"/>
  <c r="N12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N4" i="7"/>
  <c r="N3" i="7"/>
  <c r="N2" i="7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N4" i="6"/>
  <c r="N3" i="6"/>
  <c r="N2" i="6"/>
  <c r="N613" i="4"/>
  <c r="N612" i="4"/>
  <c r="N611" i="4"/>
  <c r="N610" i="4"/>
  <c r="N609" i="4"/>
  <c r="N608" i="4"/>
  <c r="N607" i="4"/>
  <c r="N606" i="4"/>
  <c r="N605" i="4"/>
  <c r="N604" i="4"/>
  <c r="N603" i="4"/>
  <c r="N602" i="4"/>
  <c r="N601" i="4"/>
  <c r="N600" i="4"/>
  <c r="N599" i="4"/>
  <c r="N598" i="4"/>
  <c r="N597" i="4"/>
  <c r="N596" i="4"/>
  <c r="N595" i="4"/>
  <c r="N594" i="4"/>
  <c r="N593" i="4"/>
  <c r="N592" i="4"/>
  <c r="N591" i="4"/>
  <c r="N590" i="4"/>
  <c r="N589" i="4"/>
  <c r="N588" i="4"/>
  <c r="N587" i="4"/>
  <c r="N586" i="4"/>
  <c r="N585" i="4"/>
  <c r="N584" i="4"/>
  <c r="N583" i="4"/>
  <c r="N582" i="4"/>
  <c r="N581" i="4"/>
  <c r="N580" i="4"/>
  <c r="N579" i="4"/>
  <c r="N578" i="4"/>
  <c r="N577" i="4"/>
  <c r="N576" i="4"/>
  <c r="N575" i="4"/>
  <c r="N574" i="4"/>
  <c r="N573" i="4"/>
  <c r="N572" i="4"/>
  <c r="N571" i="4"/>
  <c r="N570" i="4"/>
  <c r="N569" i="4"/>
  <c r="N568" i="4"/>
  <c r="N567" i="4"/>
  <c r="N566" i="4"/>
  <c r="N565" i="4"/>
  <c r="N564" i="4"/>
  <c r="N563" i="4"/>
  <c r="N562" i="4"/>
  <c r="N561" i="4"/>
  <c r="N560" i="4"/>
  <c r="N559" i="4"/>
  <c r="N558" i="4"/>
  <c r="N557" i="4"/>
  <c r="N556" i="4"/>
  <c r="N555" i="4"/>
  <c r="N554" i="4"/>
  <c r="N553" i="4"/>
  <c r="N552" i="4"/>
  <c r="N551" i="4"/>
  <c r="N550" i="4"/>
  <c r="N549" i="4"/>
  <c r="N548" i="4"/>
  <c r="N547" i="4"/>
  <c r="N546" i="4"/>
  <c r="N545" i="4"/>
  <c r="N544" i="4"/>
  <c r="N543" i="4"/>
  <c r="N542" i="4"/>
  <c r="N541" i="4"/>
  <c r="N540" i="4"/>
  <c r="N539" i="4"/>
  <c r="N538" i="4"/>
  <c r="N537" i="4"/>
  <c r="N536" i="4"/>
  <c r="N535" i="4"/>
  <c r="N534" i="4"/>
  <c r="N533" i="4"/>
  <c r="N532" i="4"/>
  <c r="N531" i="4"/>
  <c r="N530" i="4"/>
  <c r="N529" i="4"/>
  <c r="N528" i="4"/>
  <c r="N527" i="4"/>
  <c r="N526" i="4"/>
  <c r="N525" i="4"/>
  <c r="N524" i="4"/>
  <c r="N523" i="4"/>
  <c r="N522" i="4"/>
  <c r="N521" i="4"/>
  <c r="N520" i="4"/>
  <c r="N519" i="4"/>
  <c r="N518" i="4"/>
  <c r="N517" i="4"/>
  <c r="N516" i="4"/>
  <c r="N515" i="4"/>
  <c r="N514" i="4"/>
  <c r="N513" i="4"/>
  <c r="N512" i="4"/>
  <c r="N511" i="4"/>
  <c r="N510" i="4"/>
  <c r="N509" i="4"/>
  <c r="N508" i="4"/>
  <c r="N507" i="4"/>
  <c r="N506" i="4"/>
  <c r="N505" i="4"/>
  <c r="N504" i="4"/>
  <c r="N503" i="4"/>
  <c r="N502" i="4"/>
  <c r="N501" i="4"/>
  <c r="N500" i="4"/>
  <c r="N499" i="4"/>
  <c r="N498" i="4"/>
  <c r="N497" i="4"/>
  <c r="N496" i="4"/>
  <c r="N495" i="4"/>
  <c r="N494" i="4"/>
  <c r="N493" i="4"/>
  <c r="N492" i="4"/>
  <c r="N491" i="4"/>
  <c r="N490" i="4"/>
  <c r="N489" i="4"/>
  <c r="N488" i="4"/>
  <c r="N487" i="4"/>
  <c r="N486" i="4"/>
  <c r="N485" i="4"/>
  <c r="N484" i="4"/>
  <c r="N483" i="4"/>
  <c r="N482" i="4"/>
  <c r="N481" i="4"/>
  <c r="N480" i="4"/>
  <c r="N479" i="4"/>
  <c r="N478" i="4"/>
  <c r="N477" i="4"/>
  <c r="N476" i="4"/>
  <c r="N475" i="4"/>
  <c r="N474" i="4"/>
  <c r="N473" i="4"/>
  <c r="N472" i="4"/>
  <c r="N471" i="4"/>
  <c r="N470" i="4"/>
  <c r="N469" i="4"/>
  <c r="N468" i="4"/>
  <c r="N467" i="4"/>
  <c r="N466" i="4"/>
  <c r="N465" i="4"/>
  <c r="N464" i="4"/>
  <c r="N463" i="4"/>
  <c r="N462" i="4"/>
  <c r="N461" i="4"/>
  <c r="N460" i="4"/>
  <c r="N459" i="4"/>
  <c r="N458" i="4"/>
  <c r="N457" i="4"/>
  <c r="N456" i="4"/>
  <c r="N455" i="4"/>
  <c r="N454" i="4"/>
  <c r="N453" i="4"/>
  <c r="N452" i="4"/>
  <c r="N451" i="4"/>
  <c r="N450" i="4"/>
  <c r="N449" i="4"/>
  <c r="N448" i="4"/>
  <c r="N447" i="4"/>
  <c r="N446" i="4"/>
  <c r="N445" i="4"/>
  <c r="N444" i="4"/>
  <c r="N443" i="4"/>
  <c r="N442" i="4"/>
  <c r="N441" i="4"/>
  <c r="N440" i="4"/>
  <c r="N439" i="4"/>
  <c r="N438" i="4"/>
  <c r="N437" i="4"/>
  <c r="N436" i="4"/>
  <c r="N435" i="4"/>
  <c r="N434" i="4"/>
  <c r="N433" i="4"/>
  <c r="N432" i="4"/>
  <c r="N431" i="4"/>
  <c r="N430" i="4"/>
  <c r="N429" i="4"/>
  <c r="N428" i="4"/>
  <c r="N427" i="4"/>
  <c r="N426" i="4"/>
  <c r="N425" i="4"/>
  <c r="N424" i="4"/>
  <c r="N423" i="4"/>
  <c r="N422" i="4"/>
  <c r="N421" i="4"/>
  <c r="N420" i="4"/>
  <c r="N419" i="4"/>
  <c r="N418" i="4"/>
  <c r="N417" i="4"/>
  <c r="N416" i="4"/>
  <c r="N415" i="4"/>
  <c r="N414" i="4"/>
  <c r="N413" i="4"/>
  <c r="N412" i="4"/>
  <c r="N411" i="4"/>
  <c r="N410" i="4"/>
  <c r="N409" i="4"/>
  <c r="N408" i="4"/>
  <c r="N407" i="4"/>
  <c r="N406" i="4"/>
  <c r="N405" i="4"/>
  <c r="N404" i="4"/>
  <c r="N403" i="4"/>
  <c r="N402" i="4"/>
  <c r="N401" i="4"/>
  <c r="N400" i="4"/>
  <c r="N399" i="4"/>
  <c r="N398" i="4"/>
  <c r="N397" i="4"/>
  <c r="N396" i="4"/>
  <c r="N395" i="4"/>
  <c r="N394" i="4"/>
  <c r="N393" i="4"/>
  <c r="N392" i="4"/>
  <c r="N391" i="4"/>
  <c r="N390" i="4"/>
  <c r="N389" i="4"/>
  <c r="N388" i="4"/>
  <c r="N387" i="4"/>
  <c r="N386" i="4"/>
  <c r="N385" i="4"/>
  <c r="N384" i="4"/>
  <c r="N383" i="4"/>
  <c r="N382" i="4"/>
  <c r="N381" i="4"/>
  <c r="N380" i="4"/>
  <c r="N379" i="4"/>
  <c r="N378" i="4"/>
  <c r="N377" i="4"/>
  <c r="N376" i="4"/>
  <c r="N375" i="4"/>
  <c r="N374" i="4"/>
  <c r="N373" i="4"/>
  <c r="N372" i="4"/>
  <c r="N371" i="4"/>
  <c r="N370" i="4"/>
  <c r="N369" i="4"/>
  <c r="N368" i="4"/>
  <c r="N367" i="4"/>
  <c r="N366" i="4"/>
  <c r="N365" i="4"/>
  <c r="N364" i="4"/>
  <c r="N363" i="4"/>
  <c r="N362" i="4"/>
  <c r="N361" i="4"/>
  <c r="N360" i="4"/>
  <c r="N359" i="4"/>
  <c r="N358" i="4"/>
  <c r="N357" i="4"/>
  <c r="N356" i="4"/>
  <c r="N355" i="4"/>
  <c r="N354" i="4"/>
  <c r="N353" i="4"/>
  <c r="N352" i="4"/>
  <c r="N351" i="4"/>
  <c r="N350" i="4"/>
  <c r="N349" i="4"/>
  <c r="N348" i="4"/>
  <c r="N347" i="4"/>
  <c r="N346" i="4"/>
  <c r="N345" i="4"/>
  <c r="N344" i="4"/>
  <c r="N343" i="4"/>
  <c r="N342" i="4"/>
  <c r="N341" i="4"/>
  <c r="N340" i="4"/>
  <c r="N339" i="4"/>
  <c r="N338" i="4"/>
  <c r="N337" i="4"/>
  <c r="N336" i="4"/>
  <c r="N335" i="4"/>
  <c r="N334" i="4"/>
  <c r="N333" i="4"/>
  <c r="N332" i="4"/>
  <c r="N331" i="4"/>
  <c r="N330" i="4"/>
  <c r="N329" i="4"/>
  <c r="N328" i="4"/>
  <c r="N327" i="4"/>
  <c r="N326" i="4"/>
  <c r="N325" i="4"/>
  <c r="N324" i="4"/>
  <c r="N323" i="4"/>
  <c r="N322" i="4"/>
  <c r="N321" i="4"/>
  <c r="N320" i="4"/>
  <c r="N319" i="4"/>
  <c r="N318" i="4"/>
  <c r="N317" i="4"/>
  <c r="N316" i="4"/>
  <c r="N315" i="4"/>
  <c r="N314" i="4"/>
  <c r="N313" i="4"/>
  <c r="N312" i="4"/>
  <c r="N311" i="4"/>
  <c r="N310" i="4"/>
  <c r="N309" i="4"/>
  <c r="N308" i="4"/>
  <c r="N307" i="4"/>
  <c r="N306" i="4"/>
  <c r="N305" i="4"/>
  <c r="N304" i="4"/>
  <c r="N303" i="4"/>
  <c r="N302" i="4"/>
  <c r="N301" i="4"/>
  <c r="N300" i="4"/>
  <c r="N299" i="4"/>
  <c r="N298" i="4"/>
  <c r="N297" i="4"/>
  <c r="N296" i="4"/>
  <c r="N295" i="4"/>
  <c r="N294" i="4"/>
  <c r="N293" i="4"/>
  <c r="N292" i="4"/>
  <c r="N291" i="4"/>
  <c r="N290" i="4"/>
  <c r="N289" i="4"/>
  <c r="N288" i="4"/>
  <c r="N287" i="4"/>
  <c r="N286" i="4"/>
  <c r="N285" i="4"/>
  <c r="N284" i="4"/>
  <c r="N283" i="4"/>
  <c r="N282" i="4"/>
  <c r="N281" i="4"/>
  <c r="N280" i="4"/>
  <c r="N279" i="4"/>
  <c r="N278" i="4"/>
  <c r="N277" i="4"/>
  <c r="N276" i="4"/>
  <c r="N275" i="4"/>
  <c r="N274" i="4"/>
  <c r="N273" i="4"/>
  <c r="N272" i="4"/>
  <c r="N271" i="4"/>
  <c r="N270" i="4"/>
  <c r="N269" i="4"/>
  <c r="N268" i="4"/>
  <c r="N267" i="4"/>
  <c r="N266" i="4"/>
  <c r="N265" i="4"/>
  <c r="N264" i="4"/>
  <c r="N263" i="4"/>
  <c r="N262" i="4"/>
  <c r="N261" i="4"/>
  <c r="N260" i="4"/>
  <c r="N259" i="4"/>
  <c r="N258" i="4"/>
  <c r="N257" i="4"/>
  <c r="N256" i="4"/>
  <c r="N255" i="4"/>
  <c r="N254" i="4"/>
  <c r="N253" i="4"/>
  <c r="N252" i="4"/>
  <c r="N251" i="4"/>
  <c r="N250" i="4"/>
  <c r="N249" i="4"/>
  <c r="N248" i="4"/>
  <c r="N247" i="4"/>
  <c r="N246" i="4"/>
  <c r="N245" i="4"/>
  <c r="N244" i="4"/>
  <c r="N243" i="4"/>
  <c r="N242" i="4"/>
  <c r="N241" i="4"/>
  <c r="N240" i="4"/>
  <c r="N239" i="4"/>
  <c r="N238" i="4"/>
  <c r="N237" i="4"/>
  <c r="N236" i="4"/>
  <c r="N235" i="4"/>
  <c r="N234" i="4"/>
  <c r="N233" i="4"/>
  <c r="N232" i="4"/>
  <c r="N231" i="4"/>
  <c r="N230" i="4"/>
  <c r="N229" i="4"/>
  <c r="N228" i="4"/>
  <c r="N227" i="4"/>
  <c r="N226" i="4"/>
  <c r="N225" i="4"/>
  <c r="N224" i="4"/>
  <c r="N223" i="4"/>
  <c r="N222" i="4"/>
  <c r="N221" i="4"/>
  <c r="N220" i="4"/>
  <c r="N219" i="4"/>
  <c r="N218" i="4"/>
  <c r="N217" i="4"/>
  <c r="N216" i="4"/>
  <c r="N215" i="4"/>
  <c r="N214" i="4"/>
  <c r="N213" i="4"/>
  <c r="N212" i="4"/>
  <c r="N211" i="4"/>
  <c r="N210" i="4"/>
  <c r="N209" i="4"/>
  <c r="N208" i="4"/>
  <c r="N207" i="4"/>
  <c r="N206" i="4"/>
  <c r="N205" i="4"/>
  <c r="N204" i="4"/>
  <c r="N203" i="4"/>
  <c r="N202" i="4"/>
  <c r="N201" i="4"/>
  <c r="N200" i="4"/>
  <c r="N199" i="4"/>
  <c r="N198" i="4"/>
  <c r="N197" i="4"/>
  <c r="N196" i="4"/>
  <c r="N195" i="4"/>
  <c r="N194" i="4"/>
  <c r="N193" i="4"/>
  <c r="N192" i="4"/>
  <c r="N191" i="4"/>
  <c r="N190" i="4"/>
  <c r="N189" i="4"/>
  <c r="N188" i="4"/>
  <c r="N187" i="4"/>
  <c r="N186" i="4"/>
  <c r="N185" i="4"/>
  <c r="N184" i="4"/>
  <c r="N183" i="4"/>
  <c r="N182" i="4"/>
  <c r="N181" i="4"/>
  <c r="N180" i="4"/>
  <c r="N179" i="4"/>
  <c r="N178" i="4"/>
  <c r="N177" i="4"/>
  <c r="N176" i="4"/>
  <c r="N175" i="4"/>
  <c r="N174" i="4"/>
  <c r="N173" i="4"/>
  <c r="N172" i="4"/>
  <c r="N171" i="4"/>
  <c r="N170" i="4"/>
  <c r="N169" i="4"/>
  <c r="N168" i="4"/>
  <c r="N167" i="4"/>
  <c r="N166" i="4"/>
  <c r="N165" i="4"/>
  <c r="N164" i="4"/>
  <c r="N16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50" i="4"/>
  <c r="N149" i="4"/>
  <c r="N148" i="4"/>
  <c r="N147" i="4"/>
  <c r="N146" i="4"/>
  <c r="N145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32" i="4"/>
  <c r="N131" i="4"/>
  <c r="N130" i="4"/>
  <c r="N129" i="4"/>
  <c r="N128" i="4"/>
  <c r="N127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14" i="4"/>
  <c r="N113" i="4"/>
  <c r="N112" i="4"/>
  <c r="N111" i="4"/>
  <c r="N110" i="4"/>
  <c r="N109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6" i="4"/>
  <c r="N95" i="4"/>
  <c r="N94" i="4"/>
  <c r="N93" i="4"/>
  <c r="N92" i="4"/>
  <c r="N91" i="4"/>
  <c r="N90" i="4"/>
  <c r="N89" i="4"/>
  <c r="N88" i="4"/>
  <c r="N87" i="4"/>
  <c r="N86" i="4"/>
  <c r="N85" i="4"/>
  <c r="N84" i="4"/>
  <c r="N83" i="4"/>
  <c r="N82" i="4"/>
  <c r="N81" i="4"/>
  <c r="N80" i="4"/>
  <c r="N79" i="4"/>
  <c r="N78" i="4"/>
  <c r="N77" i="4"/>
  <c r="N76" i="4"/>
  <c r="N75" i="4"/>
  <c r="N74" i="4"/>
  <c r="N73" i="4"/>
  <c r="N72" i="4"/>
  <c r="N71" i="4"/>
  <c r="N70" i="4"/>
  <c r="N69" i="4"/>
  <c r="N68" i="4"/>
  <c r="N67" i="4"/>
  <c r="N66" i="4"/>
  <c r="N65" i="4"/>
  <c r="N64" i="4"/>
  <c r="N63" i="4"/>
  <c r="N62" i="4"/>
  <c r="N61" i="4"/>
  <c r="N60" i="4"/>
  <c r="N59" i="4"/>
  <c r="N58" i="4"/>
  <c r="N57" i="4"/>
  <c r="N56" i="4"/>
  <c r="N55" i="4"/>
  <c r="N54" i="4"/>
  <c r="N53" i="4"/>
  <c r="N52" i="4"/>
  <c r="N51" i="4"/>
  <c r="N50" i="4"/>
  <c r="N49" i="4"/>
  <c r="N48" i="4"/>
  <c r="N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N5" i="4"/>
  <c r="N4" i="4"/>
  <c r="N3" i="4"/>
  <c r="N2" i="4"/>
  <c r="N682" i="5"/>
  <c r="N681" i="5"/>
  <c r="N680" i="5"/>
  <c r="N679" i="5"/>
  <c r="N678" i="5"/>
  <c r="N677" i="5"/>
  <c r="N676" i="5"/>
  <c r="N675" i="5"/>
  <c r="N674" i="5"/>
  <c r="N673" i="5"/>
  <c r="N672" i="5"/>
  <c r="N671" i="5"/>
  <c r="N670" i="5"/>
  <c r="N669" i="5"/>
  <c r="N668" i="5"/>
  <c r="N667" i="5"/>
  <c r="N666" i="5"/>
  <c r="N665" i="5"/>
  <c r="N664" i="5"/>
  <c r="N663" i="5"/>
  <c r="N662" i="5"/>
  <c r="N661" i="5"/>
  <c r="N660" i="5"/>
  <c r="N659" i="5"/>
  <c r="N658" i="5"/>
  <c r="N657" i="5"/>
  <c r="N656" i="5"/>
  <c r="N655" i="5"/>
  <c r="N654" i="5"/>
  <c r="N653" i="5"/>
  <c r="N652" i="5"/>
  <c r="N651" i="5"/>
  <c r="N650" i="5"/>
  <c r="N649" i="5"/>
  <c r="N648" i="5"/>
  <c r="N647" i="5"/>
  <c r="N646" i="5"/>
  <c r="N645" i="5"/>
  <c r="N644" i="5"/>
  <c r="N643" i="5"/>
  <c r="N642" i="5"/>
  <c r="N641" i="5"/>
  <c r="N640" i="5"/>
  <c r="N639" i="5"/>
  <c r="N638" i="5"/>
  <c r="N637" i="5"/>
  <c r="N636" i="5"/>
  <c r="N635" i="5"/>
  <c r="N634" i="5"/>
  <c r="N633" i="5"/>
  <c r="N632" i="5"/>
  <c r="N631" i="5"/>
  <c r="N630" i="5"/>
  <c r="N629" i="5"/>
  <c r="N628" i="5"/>
  <c r="N627" i="5"/>
  <c r="N626" i="5"/>
  <c r="N625" i="5"/>
  <c r="N624" i="5"/>
  <c r="N623" i="5"/>
  <c r="N622" i="5"/>
  <c r="N621" i="5"/>
  <c r="N620" i="5"/>
  <c r="N619" i="5"/>
  <c r="N618" i="5"/>
  <c r="N617" i="5"/>
  <c r="N616" i="5"/>
  <c r="N615" i="5"/>
  <c r="N614" i="5"/>
  <c r="N613" i="5"/>
  <c r="N612" i="5"/>
  <c r="N611" i="5"/>
  <c r="N610" i="5"/>
  <c r="N609" i="5"/>
  <c r="N608" i="5"/>
  <c r="N607" i="5"/>
  <c r="N606" i="5"/>
  <c r="N605" i="5"/>
  <c r="N604" i="5"/>
  <c r="N603" i="5"/>
  <c r="N602" i="5"/>
  <c r="N601" i="5"/>
  <c r="N600" i="5"/>
  <c r="N599" i="5"/>
  <c r="N598" i="5"/>
  <c r="N597" i="5"/>
  <c r="N596" i="5"/>
  <c r="N595" i="5"/>
  <c r="N594" i="5"/>
  <c r="N593" i="5"/>
  <c r="N592" i="5"/>
  <c r="N591" i="5"/>
  <c r="N590" i="5"/>
  <c r="N589" i="5"/>
  <c r="N588" i="5"/>
  <c r="N587" i="5"/>
  <c r="N586" i="5"/>
  <c r="N585" i="5"/>
  <c r="N584" i="5"/>
  <c r="N583" i="5"/>
  <c r="N582" i="5"/>
  <c r="N581" i="5"/>
  <c r="N580" i="5"/>
  <c r="N579" i="5"/>
  <c r="N578" i="5"/>
  <c r="N577" i="5"/>
  <c r="N576" i="5"/>
  <c r="N575" i="5"/>
  <c r="N574" i="5"/>
  <c r="N573" i="5"/>
  <c r="N572" i="5"/>
  <c r="N571" i="5"/>
  <c r="N570" i="5"/>
  <c r="N569" i="5"/>
  <c r="N568" i="5"/>
  <c r="N567" i="5"/>
  <c r="N566" i="5"/>
  <c r="N565" i="5"/>
  <c r="N564" i="5"/>
  <c r="N563" i="5"/>
  <c r="N562" i="5"/>
  <c r="N561" i="5"/>
  <c r="N560" i="5"/>
  <c r="N559" i="5"/>
  <c r="N558" i="5"/>
  <c r="N557" i="5"/>
  <c r="N556" i="5"/>
  <c r="N555" i="5"/>
  <c r="N554" i="5"/>
  <c r="N553" i="5"/>
  <c r="N552" i="5"/>
  <c r="N551" i="5"/>
  <c r="N550" i="5"/>
  <c r="N549" i="5"/>
  <c r="N548" i="5"/>
  <c r="N547" i="5"/>
  <c r="N546" i="5"/>
  <c r="N545" i="5"/>
  <c r="N544" i="5"/>
  <c r="N543" i="5"/>
  <c r="N542" i="5"/>
  <c r="N541" i="5"/>
  <c r="N540" i="5"/>
  <c r="N539" i="5"/>
  <c r="N538" i="5"/>
  <c r="N537" i="5"/>
  <c r="N536" i="5"/>
  <c r="N535" i="5"/>
  <c r="N534" i="5"/>
  <c r="N533" i="5"/>
  <c r="N532" i="5"/>
  <c r="N531" i="5"/>
  <c r="N530" i="5"/>
  <c r="N529" i="5"/>
  <c r="N528" i="5"/>
  <c r="N527" i="5"/>
  <c r="N526" i="5"/>
  <c r="N525" i="5"/>
  <c r="N524" i="5"/>
  <c r="N523" i="5"/>
  <c r="N522" i="5"/>
  <c r="N521" i="5"/>
  <c r="N520" i="5"/>
  <c r="N519" i="5"/>
  <c r="N518" i="5"/>
  <c r="N517" i="5"/>
  <c r="N516" i="5"/>
  <c r="N515" i="5"/>
  <c r="N514" i="5"/>
  <c r="N513" i="5"/>
  <c r="N512" i="5"/>
  <c r="N511" i="5"/>
  <c r="N510" i="5"/>
  <c r="N509" i="5"/>
  <c r="N508" i="5"/>
  <c r="N507" i="5"/>
  <c r="N506" i="5"/>
  <c r="N505" i="5"/>
  <c r="N504" i="5"/>
  <c r="N503" i="5"/>
  <c r="N502" i="5"/>
  <c r="N501" i="5"/>
  <c r="N500" i="5"/>
  <c r="N499" i="5"/>
  <c r="N498" i="5"/>
  <c r="N497" i="5"/>
  <c r="N496" i="5"/>
  <c r="N495" i="5"/>
  <c r="N494" i="5"/>
  <c r="N493" i="5"/>
  <c r="N492" i="5"/>
  <c r="N491" i="5"/>
  <c r="N490" i="5"/>
  <c r="N489" i="5"/>
  <c r="N488" i="5"/>
  <c r="N487" i="5"/>
  <c r="N486" i="5"/>
  <c r="N485" i="5"/>
  <c r="N484" i="5"/>
  <c r="N483" i="5"/>
  <c r="N482" i="5"/>
  <c r="N481" i="5"/>
  <c r="N480" i="5"/>
  <c r="N479" i="5"/>
  <c r="N478" i="5"/>
  <c r="N477" i="5"/>
  <c r="N476" i="5"/>
  <c r="N475" i="5"/>
  <c r="N474" i="5"/>
  <c r="N473" i="5"/>
  <c r="N472" i="5"/>
  <c r="N471" i="5"/>
  <c r="N470" i="5"/>
  <c r="N469" i="5"/>
  <c r="N468" i="5"/>
  <c r="N467" i="5"/>
  <c r="N466" i="5"/>
  <c r="N465" i="5"/>
  <c r="N464" i="5"/>
  <c r="N463" i="5"/>
  <c r="N462" i="5"/>
  <c r="N461" i="5"/>
  <c r="N460" i="5"/>
  <c r="N459" i="5"/>
  <c r="N458" i="5"/>
  <c r="N457" i="5"/>
  <c r="N456" i="5"/>
  <c r="N455" i="5"/>
  <c r="N454" i="5"/>
  <c r="N453" i="5"/>
  <c r="N452" i="5"/>
  <c r="N451" i="5"/>
  <c r="N450" i="5"/>
  <c r="N449" i="5"/>
  <c r="N448" i="5"/>
  <c r="N447" i="5"/>
  <c r="N446" i="5"/>
  <c r="N445" i="5"/>
  <c r="N444" i="5"/>
  <c r="N443" i="5"/>
  <c r="N442" i="5"/>
  <c r="N441" i="5"/>
  <c r="N440" i="5"/>
  <c r="N439" i="5"/>
  <c r="N438" i="5"/>
  <c r="N437" i="5"/>
  <c r="N436" i="5"/>
  <c r="N435" i="5"/>
  <c r="N434" i="5"/>
  <c r="N433" i="5"/>
  <c r="N432" i="5"/>
  <c r="N431" i="5"/>
  <c r="N430" i="5"/>
  <c r="N429" i="5"/>
  <c r="N428" i="5"/>
  <c r="N427" i="5"/>
  <c r="N426" i="5"/>
  <c r="N425" i="5"/>
  <c r="N424" i="5"/>
  <c r="N423" i="5"/>
  <c r="N422" i="5"/>
  <c r="N421" i="5"/>
  <c r="N420" i="5"/>
  <c r="N419" i="5"/>
  <c r="N418" i="5"/>
  <c r="N417" i="5"/>
  <c r="N416" i="5"/>
  <c r="N415" i="5"/>
  <c r="N414" i="5"/>
  <c r="N413" i="5"/>
  <c r="N412" i="5"/>
  <c r="N411" i="5"/>
  <c r="N410" i="5"/>
  <c r="N409" i="5"/>
  <c r="N408" i="5"/>
  <c r="N407" i="5"/>
  <c r="N406" i="5"/>
  <c r="N405" i="5"/>
  <c r="N404" i="5"/>
  <c r="N403" i="5"/>
  <c r="N402" i="5"/>
  <c r="N401" i="5"/>
  <c r="N400" i="5"/>
  <c r="N399" i="5"/>
  <c r="N398" i="5"/>
  <c r="N397" i="5"/>
  <c r="N396" i="5"/>
  <c r="N395" i="5"/>
  <c r="N394" i="5"/>
  <c r="N393" i="5"/>
  <c r="N392" i="5"/>
  <c r="N391" i="5"/>
  <c r="N390" i="5"/>
  <c r="N389" i="5"/>
  <c r="N388" i="5"/>
  <c r="N387" i="5"/>
  <c r="N386" i="5"/>
  <c r="N385" i="5"/>
  <c r="N384" i="5"/>
  <c r="N383" i="5"/>
  <c r="N382" i="5"/>
  <c r="N381" i="5"/>
  <c r="N380" i="5"/>
  <c r="N379" i="5"/>
  <c r="N378" i="5"/>
  <c r="N377" i="5"/>
  <c r="N376" i="5"/>
  <c r="N375" i="5"/>
  <c r="N374" i="5"/>
  <c r="N373" i="5"/>
  <c r="N372" i="5"/>
  <c r="N371" i="5"/>
  <c r="N370" i="5"/>
  <c r="N369" i="5"/>
  <c r="N368" i="5"/>
  <c r="N367" i="5"/>
  <c r="N366" i="5"/>
  <c r="N365" i="5"/>
  <c r="N364" i="5"/>
  <c r="N363" i="5"/>
  <c r="N362" i="5"/>
  <c r="N361" i="5"/>
  <c r="N360" i="5"/>
  <c r="N359" i="5"/>
  <c r="N358" i="5"/>
  <c r="N357" i="5"/>
  <c r="N356" i="5"/>
  <c r="N355" i="5"/>
  <c r="N354" i="5"/>
  <c r="N353" i="5"/>
  <c r="N352" i="5"/>
  <c r="N351" i="5"/>
  <c r="N350" i="5"/>
  <c r="N349" i="5"/>
  <c r="N348" i="5"/>
  <c r="N347" i="5"/>
  <c r="N346" i="5"/>
  <c r="N345" i="5"/>
  <c r="N344" i="5"/>
  <c r="N343" i="5"/>
  <c r="N342" i="5"/>
  <c r="N341" i="5"/>
  <c r="N340" i="5"/>
  <c r="N339" i="5"/>
  <c r="N338" i="5"/>
  <c r="N337" i="5"/>
  <c r="N336" i="5"/>
  <c r="N335" i="5"/>
  <c r="N334" i="5"/>
  <c r="N333" i="5"/>
  <c r="N332" i="5"/>
  <c r="N331" i="5"/>
  <c r="N330" i="5"/>
  <c r="N329" i="5"/>
  <c r="N328" i="5"/>
  <c r="N327" i="5"/>
  <c r="N326" i="5"/>
  <c r="N325" i="5"/>
  <c r="N324" i="5"/>
  <c r="N323" i="5"/>
  <c r="N322" i="5"/>
  <c r="N321" i="5"/>
  <c r="N320" i="5"/>
  <c r="N319" i="5"/>
  <c r="N318" i="5"/>
  <c r="N317" i="5"/>
  <c r="N316" i="5"/>
  <c r="N315" i="5"/>
  <c r="N314" i="5"/>
  <c r="N313" i="5"/>
  <c r="N312" i="5"/>
  <c r="N311" i="5"/>
  <c r="N310" i="5"/>
  <c r="N309" i="5"/>
  <c r="N308" i="5"/>
  <c r="N307" i="5"/>
  <c r="N306" i="5"/>
  <c r="N305" i="5"/>
  <c r="N304" i="5"/>
  <c r="N303" i="5"/>
  <c r="N302" i="5"/>
  <c r="N301" i="5"/>
  <c r="N300" i="5"/>
  <c r="N299" i="5"/>
  <c r="N298" i="5"/>
  <c r="N297" i="5"/>
  <c r="N296" i="5"/>
  <c r="N295" i="5"/>
  <c r="N294" i="5"/>
  <c r="N293" i="5"/>
  <c r="N292" i="5"/>
  <c r="N291" i="5"/>
  <c r="N290" i="5"/>
  <c r="N289" i="5"/>
  <c r="N288" i="5"/>
  <c r="N287" i="5"/>
  <c r="N286" i="5"/>
  <c r="N285" i="5"/>
  <c r="N284" i="5"/>
  <c r="N283" i="5"/>
  <c r="N282" i="5"/>
  <c r="N281" i="5"/>
  <c r="N280" i="5"/>
  <c r="N279" i="5"/>
  <c r="N278" i="5"/>
  <c r="N277" i="5"/>
  <c r="N276" i="5"/>
  <c r="N275" i="5"/>
  <c r="N274" i="5"/>
  <c r="N273" i="5"/>
  <c r="N272" i="5"/>
  <c r="N271" i="5"/>
  <c r="N270" i="5"/>
  <c r="N269" i="5"/>
  <c r="N268" i="5"/>
  <c r="N267" i="5"/>
  <c r="N266" i="5"/>
  <c r="N265" i="5"/>
  <c r="N264" i="5"/>
  <c r="N263" i="5"/>
  <c r="N262" i="5"/>
  <c r="N261" i="5"/>
  <c r="N260" i="5"/>
  <c r="N259" i="5"/>
  <c r="N258" i="5"/>
  <c r="N257" i="5"/>
  <c r="N256" i="5"/>
  <c r="N255" i="5"/>
  <c r="N254" i="5"/>
  <c r="N253" i="5"/>
  <c r="N252" i="5"/>
  <c r="N251" i="5"/>
  <c r="N250" i="5"/>
  <c r="N249" i="5"/>
  <c r="N248" i="5"/>
  <c r="N247" i="5"/>
  <c r="N246" i="5"/>
  <c r="N245" i="5"/>
  <c r="N244" i="5"/>
  <c r="N243" i="5"/>
  <c r="N242" i="5"/>
  <c r="N241" i="5"/>
  <c r="N240" i="5"/>
  <c r="N239" i="5"/>
  <c r="N238" i="5"/>
  <c r="N237" i="5"/>
  <c r="N236" i="5"/>
  <c r="N235" i="5"/>
  <c r="N234" i="5"/>
  <c r="N233" i="5"/>
  <c r="N232" i="5"/>
  <c r="N231" i="5"/>
  <c r="N230" i="5"/>
  <c r="N229" i="5"/>
  <c r="N228" i="5"/>
  <c r="N227" i="5"/>
  <c r="N226" i="5"/>
  <c r="N225" i="5"/>
  <c r="N224" i="5"/>
  <c r="N223" i="5"/>
  <c r="N222" i="5"/>
  <c r="N221" i="5"/>
  <c r="N220" i="5"/>
  <c r="N219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N205" i="5"/>
  <c r="N204" i="5"/>
  <c r="N203" i="5"/>
  <c r="N202" i="5"/>
  <c r="N201" i="5"/>
  <c r="N200" i="5"/>
  <c r="N199" i="5"/>
  <c r="N198" i="5"/>
  <c r="N197" i="5"/>
  <c r="N196" i="5"/>
  <c r="N195" i="5"/>
  <c r="N194" i="5"/>
  <c r="N193" i="5"/>
  <c r="N192" i="5"/>
  <c r="N191" i="5"/>
  <c r="N190" i="5"/>
  <c r="N189" i="5"/>
  <c r="N188" i="5"/>
  <c r="N187" i="5"/>
  <c r="N186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N3" i="5"/>
  <c r="N2" i="5"/>
  <c r="N748" i="3"/>
  <c r="N747" i="3"/>
  <c r="N746" i="3"/>
  <c r="N745" i="3"/>
  <c r="N744" i="3"/>
  <c r="N743" i="3"/>
  <c r="N742" i="3"/>
  <c r="N741" i="3"/>
  <c r="N740" i="3"/>
  <c r="N739" i="3"/>
  <c r="N738" i="3"/>
  <c r="N737" i="3"/>
  <c r="N736" i="3"/>
  <c r="N735" i="3"/>
  <c r="N734" i="3"/>
  <c r="N733" i="3"/>
  <c r="N732" i="3"/>
  <c r="N731" i="3"/>
  <c r="N730" i="3"/>
  <c r="N729" i="3"/>
  <c r="N728" i="3"/>
  <c r="N727" i="3"/>
  <c r="N726" i="3"/>
  <c r="N725" i="3"/>
  <c r="N724" i="3"/>
  <c r="N723" i="3"/>
  <c r="N722" i="3"/>
  <c r="N721" i="3"/>
  <c r="N720" i="3"/>
  <c r="N719" i="3"/>
  <c r="N718" i="3"/>
  <c r="N717" i="3"/>
  <c r="N716" i="3"/>
  <c r="N715" i="3"/>
  <c r="N714" i="3"/>
  <c r="N713" i="3"/>
  <c r="N712" i="3"/>
  <c r="N711" i="3"/>
  <c r="N710" i="3"/>
  <c r="N709" i="3"/>
  <c r="N708" i="3"/>
  <c r="N707" i="3"/>
  <c r="N706" i="3"/>
  <c r="N705" i="3"/>
  <c r="N704" i="3"/>
  <c r="N703" i="3"/>
  <c r="N702" i="3"/>
  <c r="N701" i="3"/>
  <c r="N700" i="3"/>
  <c r="N699" i="3"/>
  <c r="N698" i="3"/>
  <c r="N697" i="3"/>
  <c r="N696" i="3"/>
  <c r="N695" i="3"/>
  <c r="N694" i="3"/>
  <c r="N693" i="3"/>
  <c r="N692" i="3"/>
  <c r="N691" i="3"/>
  <c r="N690" i="3"/>
  <c r="N689" i="3"/>
  <c r="N688" i="3"/>
  <c r="N687" i="3"/>
  <c r="N686" i="3"/>
  <c r="N685" i="3"/>
  <c r="N684" i="3"/>
  <c r="N683" i="3"/>
  <c r="N682" i="3"/>
  <c r="N681" i="3"/>
  <c r="N680" i="3"/>
  <c r="N679" i="3"/>
  <c r="N678" i="3"/>
  <c r="N677" i="3"/>
  <c r="N676" i="3"/>
  <c r="N675" i="3"/>
  <c r="N674" i="3"/>
  <c r="N673" i="3"/>
  <c r="N672" i="3"/>
  <c r="N671" i="3"/>
  <c r="N670" i="3"/>
  <c r="N669" i="3"/>
  <c r="N668" i="3"/>
  <c r="N667" i="3"/>
  <c r="N666" i="3"/>
  <c r="N665" i="3"/>
  <c r="N664" i="3"/>
  <c r="N663" i="3"/>
  <c r="N662" i="3"/>
  <c r="N661" i="3"/>
  <c r="N660" i="3"/>
  <c r="N659" i="3"/>
  <c r="N658" i="3"/>
  <c r="N657" i="3"/>
  <c r="N656" i="3"/>
  <c r="N655" i="3"/>
  <c r="N654" i="3"/>
  <c r="N653" i="3"/>
  <c r="N652" i="3"/>
  <c r="N651" i="3"/>
  <c r="N650" i="3"/>
  <c r="N649" i="3"/>
  <c r="N648" i="3"/>
  <c r="N647" i="3"/>
  <c r="N646" i="3"/>
  <c r="N645" i="3"/>
  <c r="N644" i="3"/>
  <c r="N643" i="3"/>
  <c r="N642" i="3"/>
  <c r="N641" i="3"/>
  <c r="N640" i="3"/>
  <c r="N639" i="3"/>
  <c r="N638" i="3"/>
  <c r="N637" i="3"/>
  <c r="N636" i="3"/>
  <c r="N635" i="3"/>
  <c r="N634" i="3"/>
  <c r="N633" i="3"/>
  <c r="N632" i="3"/>
  <c r="N631" i="3"/>
  <c r="N630" i="3"/>
  <c r="N629" i="3"/>
  <c r="N628" i="3"/>
  <c r="N627" i="3"/>
  <c r="N626" i="3"/>
  <c r="N625" i="3"/>
  <c r="N624" i="3"/>
  <c r="N623" i="3"/>
  <c r="N622" i="3"/>
  <c r="N621" i="3"/>
  <c r="N620" i="3"/>
  <c r="N619" i="3"/>
  <c r="N618" i="3"/>
  <c r="N617" i="3"/>
  <c r="N616" i="3"/>
  <c r="N615" i="3"/>
  <c r="N614" i="3"/>
  <c r="N613" i="3"/>
  <c r="N612" i="3"/>
  <c r="N611" i="3"/>
  <c r="N610" i="3"/>
  <c r="N609" i="3"/>
  <c r="N608" i="3"/>
  <c r="N607" i="3"/>
  <c r="N606" i="3"/>
  <c r="N605" i="3"/>
  <c r="N604" i="3"/>
  <c r="N603" i="3"/>
  <c r="N602" i="3"/>
  <c r="N601" i="3"/>
  <c r="N600" i="3"/>
  <c r="N599" i="3"/>
  <c r="N598" i="3"/>
  <c r="N597" i="3"/>
  <c r="N596" i="3"/>
  <c r="N595" i="3"/>
  <c r="N594" i="3"/>
  <c r="N593" i="3"/>
  <c r="N592" i="3"/>
  <c r="N591" i="3"/>
  <c r="N590" i="3"/>
  <c r="N589" i="3"/>
  <c r="N588" i="3"/>
  <c r="N587" i="3"/>
  <c r="N586" i="3"/>
  <c r="N585" i="3"/>
  <c r="N584" i="3"/>
  <c r="N583" i="3"/>
  <c r="N582" i="3"/>
  <c r="N581" i="3"/>
  <c r="N580" i="3"/>
  <c r="N579" i="3"/>
  <c r="N578" i="3"/>
  <c r="N577" i="3"/>
  <c r="N576" i="3"/>
  <c r="N575" i="3"/>
  <c r="N574" i="3"/>
  <c r="N573" i="3"/>
  <c r="N572" i="3"/>
  <c r="N571" i="3"/>
  <c r="N570" i="3"/>
  <c r="N569" i="3"/>
  <c r="N568" i="3"/>
  <c r="N567" i="3"/>
  <c r="N566" i="3"/>
  <c r="N565" i="3"/>
  <c r="N564" i="3"/>
  <c r="N563" i="3"/>
  <c r="N562" i="3"/>
  <c r="N561" i="3"/>
  <c r="N560" i="3"/>
  <c r="N559" i="3"/>
  <c r="N558" i="3"/>
  <c r="N557" i="3"/>
  <c r="N556" i="3"/>
  <c r="N555" i="3"/>
  <c r="N554" i="3"/>
  <c r="N553" i="3"/>
  <c r="N552" i="3"/>
  <c r="N551" i="3"/>
  <c r="N550" i="3"/>
  <c r="N549" i="3"/>
  <c r="N548" i="3"/>
  <c r="N547" i="3"/>
  <c r="N546" i="3"/>
  <c r="N545" i="3"/>
  <c r="N544" i="3"/>
  <c r="N543" i="3"/>
  <c r="N542" i="3"/>
  <c r="N541" i="3"/>
  <c r="N540" i="3"/>
  <c r="N539" i="3"/>
  <c r="N538" i="3"/>
  <c r="N537" i="3"/>
  <c r="N536" i="3"/>
  <c r="N535" i="3"/>
  <c r="N534" i="3"/>
  <c r="N533" i="3"/>
  <c r="N532" i="3"/>
  <c r="N531" i="3"/>
  <c r="N530" i="3"/>
  <c r="N529" i="3"/>
  <c r="N528" i="3"/>
  <c r="N527" i="3"/>
  <c r="N526" i="3"/>
  <c r="N525" i="3"/>
  <c r="N524" i="3"/>
  <c r="N523" i="3"/>
  <c r="N522" i="3"/>
  <c r="N521" i="3"/>
  <c r="N520" i="3"/>
  <c r="N519" i="3"/>
  <c r="N518" i="3"/>
  <c r="N517" i="3"/>
  <c r="N516" i="3"/>
  <c r="N515" i="3"/>
  <c r="N514" i="3"/>
  <c r="N513" i="3"/>
  <c r="N512" i="3"/>
  <c r="N511" i="3"/>
  <c r="N510" i="3"/>
  <c r="N509" i="3"/>
  <c r="N508" i="3"/>
  <c r="N507" i="3"/>
  <c r="N506" i="3"/>
  <c r="N505" i="3"/>
  <c r="N504" i="3"/>
  <c r="N503" i="3"/>
  <c r="N502" i="3"/>
  <c r="N501" i="3"/>
  <c r="N500" i="3"/>
  <c r="N499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G28" i="1"/>
  <c r="F28" i="1"/>
  <c r="E28" i="1"/>
</calcChain>
</file>

<file path=xl/sharedStrings.xml><?xml version="1.0" encoding="utf-8"?>
<sst xmlns="http://schemas.openxmlformats.org/spreadsheetml/2006/main" count="101560" uniqueCount="20325">
  <si>
    <t>Polo Ralph Lauren Big Boys Big Pony Color-Blocke Heritage Royal Multi M 1012</t>
  </si>
  <si>
    <t>194753159006</t>
  </si>
  <si>
    <t>Tommy Hilfiger Tommy Hilfiger Big Girls Long Crystal Rose 8-10</t>
  </si>
  <si>
    <t>TGFDM11S-680</t>
  </si>
  <si>
    <t>882925026477</t>
  </si>
  <si>
    <t>Polo Ralph Lauren Polo Ralph Lauren Big Girls Co White S</t>
  </si>
  <si>
    <t>882925884459</t>
  </si>
  <si>
    <t>Polo Ralph Lauren Little Boys Color-Blocked Spa Andover Heather Multi 6</t>
  </si>
  <si>
    <t>742728412436</t>
  </si>
  <si>
    <t>Nike Nike Toddler Boys Wordmark Tap Black White 3T</t>
  </si>
  <si>
    <t>76G796G</t>
  </si>
  <si>
    <t>194870763094</t>
  </si>
  <si>
    <t>adidas Little Girls Tricot Jacket and Acid Red 5</t>
  </si>
  <si>
    <t>AG4585C</t>
  </si>
  <si>
    <t>194870762295</t>
  </si>
  <si>
    <t>adidas Toddler Girls Printed Tricot T Clear Sky 3T</t>
  </si>
  <si>
    <t>AG4586C</t>
  </si>
  <si>
    <t>882925854391</t>
  </si>
  <si>
    <t>Polo Ralph Lauren Little Boys Straight Fit Flex Liberty Blue 6</t>
  </si>
  <si>
    <t>882925239747</t>
  </si>
  <si>
    <t>Polo Ralph Lauren Baby Girls Striped Oxford Bubb Harbor Island Bluewhite 3 months</t>
  </si>
  <si>
    <t>Polo Ralph Lauren Big Boys Color-Blocked Pocket Andover Heather Multi L 1416</t>
  </si>
  <si>
    <t>882925728340</t>
  </si>
  <si>
    <t>Polo Ralph Lauren Polo Ralph Lauren Big Boys Dra Liberty M 1012</t>
  </si>
  <si>
    <t>882925882660</t>
  </si>
  <si>
    <t>Polo Ralph Lauren Little Boys Polo Pony Mesh T-s Lake Blue Multi 7</t>
  </si>
  <si>
    <t>194511672778</t>
  </si>
  <si>
    <t>Under Armour Under Armour Big Boys Armour B Green XL 1820</t>
  </si>
  <si>
    <t>617845243099</t>
  </si>
  <si>
    <t>Levis 502 Regular Taper-Fit Jeans, Valencia 20</t>
  </si>
  <si>
    <t>915502F</t>
  </si>
  <si>
    <t>652874419527</t>
  </si>
  <si>
    <t>Speechless Speechless Big Girls Lace Dres Off White 16</t>
  </si>
  <si>
    <t>192042493077</t>
  </si>
  <si>
    <t>Calvin Klein Boys Infinite Blue Pants Blue 12 Husky</t>
  </si>
  <si>
    <t>K8D0064</t>
  </si>
  <si>
    <t>190618770713</t>
  </si>
  <si>
    <t>Polo Ralph Lauren Polo Ralph Lauren Little Boys Andover Heather 4</t>
  </si>
  <si>
    <t>190618958395</t>
  </si>
  <si>
    <t>Polo Ralph Lauren Toddler Boys Big Pony Jersey T Polo Black 44T</t>
  </si>
  <si>
    <t>190618961685</t>
  </si>
  <si>
    <t>Polo Ralph Lauren Little Boys Big Pony Jersey T- Sapphire Star 6</t>
  </si>
  <si>
    <t>882925886972</t>
  </si>
  <si>
    <t>Polo Ralph Lauren Little Boys Camo Jersey T-shir Southern Orange Montauk Camo 5</t>
  </si>
  <si>
    <t>190618768284</t>
  </si>
  <si>
    <t>Polo Ralph Lauren Toddler Boys Big Pony Jersey T White 4T</t>
  </si>
  <si>
    <t>190618768253</t>
  </si>
  <si>
    <t>Polo Ralph Lauren Toddler Boys Big Pony Jersey T Cruise Navy 4T</t>
  </si>
  <si>
    <t>190618961838</t>
  </si>
  <si>
    <t>Polo Ralph Lauren Little Boys Big Pony Jersey T- Polo Black 5</t>
  </si>
  <si>
    <t>194870762639</t>
  </si>
  <si>
    <t>adidas Baby Girls 2 Piece Printed Tri Pink with Multicolor 12 months</t>
  </si>
  <si>
    <t>AG4586N</t>
  </si>
  <si>
    <t>194870449585</t>
  </si>
  <si>
    <t>adidas Baby Boys Zip Front Printed Tr Collegiate Navy 18 months</t>
  </si>
  <si>
    <t>AG6330N</t>
  </si>
  <si>
    <t>194870576359</t>
  </si>
  <si>
    <t>adidas Big Girls Allover Print Foil F Black with Silver-Tone L 1416</t>
  </si>
  <si>
    <t>194870576366</t>
  </si>
  <si>
    <t>adidas Big Girls Allover Print Foil F Black with Silver-Tone XL 1820</t>
  </si>
  <si>
    <t>191539871114</t>
  </si>
  <si>
    <t>Bonnie Baby Baby Girls Pinafore Linen Look Multi 18 months</t>
  </si>
  <si>
    <t>194870755785</t>
  </si>
  <si>
    <t>adidas Little Boys Printed Cotton T-S White 4</t>
  </si>
  <si>
    <t>AG6367C</t>
  </si>
  <si>
    <t>807421581039</t>
  </si>
  <si>
    <t>Nike Nike Baby Girls Essentials, 2 Black 24 months</t>
  </si>
  <si>
    <t>807421581022</t>
  </si>
  <si>
    <t>Nike Nike Baby Girls Essentials, 2 Black 18 months</t>
  </si>
  <si>
    <t>195238046446</t>
  </si>
  <si>
    <t>Nike Nike Big Girls Dri-Fit One Leg Black, White X-Large</t>
  </si>
  <si>
    <t>807421694449</t>
  </si>
  <si>
    <t>Hurley Hurley Big Boys Tie Dye Pull O Black XL 1820</t>
  </si>
  <si>
    <t>985473E</t>
  </si>
  <si>
    <t>195958598867</t>
  </si>
  <si>
    <t>Calvin Klein Big Boys Cuff Denim Shorts Zach 20</t>
  </si>
  <si>
    <t>195958598836</t>
  </si>
  <si>
    <t>Calvin Klein Big Boys Cuff Denim Shorts Zach 14</t>
  </si>
  <si>
    <t>195958660441</t>
  </si>
  <si>
    <t>Tommy Hilfiger Tommy Hilfiger Big Boys Twill Bright White 18</t>
  </si>
  <si>
    <t>825663386694</t>
  </si>
  <si>
    <t>Nike 3BRAND by Russell Wilson Big Boys Shadow Print Shorts Russell Wilson Blue S 8</t>
  </si>
  <si>
    <t>807421554217</t>
  </si>
  <si>
    <t>Nike Nike Little Boys Block Dri-FIT Black 7</t>
  </si>
  <si>
    <t>86J195G</t>
  </si>
  <si>
    <t>193666736274</t>
  </si>
  <si>
    <t>Calvin Klein Big Girls 6 Pack Hipster Set Crystal Pink, Black, Nude, Hea Medium</t>
  </si>
  <si>
    <t>7624302484295</t>
  </si>
  <si>
    <t>GUESS Big Boys Organic Stretch Denim Blue 10</t>
  </si>
  <si>
    <t>7624302484332</t>
  </si>
  <si>
    <t>GUESS Big Boys Organic Stretch Denim Blue 18</t>
  </si>
  <si>
    <t>7624302484301</t>
  </si>
  <si>
    <t>GUESS Big Boys Organic Stretch Denim Blue 12</t>
  </si>
  <si>
    <t>7624302485773</t>
  </si>
  <si>
    <t>GUESS Big Boys Organic Stretch Bull White 10</t>
  </si>
  <si>
    <t>L1RD03WE620</t>
  </si>
  <si>
    <t>7624302485797</t>
  </si>
  <si>
    <t>GUESS Big Boys Organic Stretch Bull White 14</t>
  </si>
  <si>
    <t>7624302485803</t>
  </si>
  <si>
    <t>GUESS Big Boys Organic Stretch Bull White 16</t>
  </si>
  <si>
    <t>7624302484325</t>
  </si>
  <si>
    <t>GUESS Big Boys Organic Stretch Denim Blue 16</t>
  </si>
  <si>
    <t>7624302484288</t>
  </si>
  <si>
    <t>GUESS Big Boys Organic Stretch Denim Blue 8</t>
  </si>
  <si>
    <t>7624302485810</t>
  </si>
  <si>
    <t>GUESS Big Boys Organic Stretch Bull White 18</t>
  </si>
  <si>
    <t>7624302485766</t>
  </si>
  <si>
    <t>GUESS Big Boys Organic Stretch Bull White 8</t>
  </si>
  <si>
    <t>742728639734</t>
  </si>
  <si>
    <t>Levis Levis Toddler Boys Skinny Fit Prime Time 4T</t>
  </si>
  <si>
    <t>742728639710</t>
  </si>
  <si>
    <t>Levis Levis Toddler Boys Skinny Fit Prime Time 2T</t>
  </si>
  <si>
    <t>194170412326</t>
  </si>
  <si>
    <t>Rare Editions Big Girls Rib Knit Top and Pri Mustard 14</t>
  </si>
  <si>
    <t>194753549807</t>
  </si>
  <si>
    <t>Under Armour Big Boys Soundwaves Volley Sho Blue Circuit S 78</t>
  </si>
  <si>
    <t>UASEK09F-430</t>
  </si>
  <si>
    <t>UNDER ARMOUR SWIM/KHQ INVESTMENT</t>
  </si>
  <si>
    <t>195861101840</t>
  </si>
  <si>
    <t>Carters Little Strawberry Halloween Co Pink 24 months</t>
  </si>
  <si>
    <t>195861099352</t>
  </si>
  <si>
    <t>Carters Little Bumble Bee Halloween Co Stripe 18 months</t>
  </si>
  <si>
    <t>194894651667</t>
  </si>
  <si>
    <t>Columbia Columbia Big Girls Sandy Shore Wild Fuchsia Do S</t>
  </si>
  <si>
    <t>194894651650</t>
  </si>
  <si>
    <t>Columbia Columbia Big Girls Sandy Shore Wild Fuchsia Do L</t>
  </si>
  <si>
    <t>660168567410</t>
  </si>
  <si>
    <t>Hudson Baby Hudson Baby Baby Girls Sugar S Multi 6-9 months</t>
  </si>
  <si>
    <t>193654705947</t>
  </si>
  <si>
    <t>Nike B NK CORE TRAINING SHORT Red L 1416</t>
  </si>
  <si>
    <t>CJ9272</t>
  </si>
  <si>
    <t>196027059760</t>
  </si>
  <si>
    <t>F2393GLLMA</t>
  </si>
  <si>
    <t>196325161622</t>
  </si>
  <si>
    <t>Disney Toddler Girls Minnie Mouse Bik Multi 2T</t>
  </si>
  <si>
    <t>194870722794</t>
  </si>
  <si>
    <t>adidas Big Girls Elastic Waistband Om Crew Blue S 8</t>
  </si>
  <si>
    <t>742728612492</t>
  </si>
  <si>
    <t>Nike Nike Baby Boys 2 Piece ClubHi Light Smoke Gray, Blue 18 months</t>
  </si>
  <si>
    <t>66H837G</t>
  </si>
  <si>
    <t>195861282570</t>
  </si>
  <si>
    <t>Carters Carters Little Boys Dinosaur Gray 4</t>
  </si>
  <si>
    <t>3N992010</t>
  </si>
  <si>
    <t>195861286363</t>
  </si>
  <si>
    <t>Carters Carters Little Girls Pajama a Peace Out 6</t>
  </si>
  <si>
    <t>195958570276</t>
  </si>
  <si>
    <t>Calvin Klein Calvin Klein Baby Girls Logo T Coral 24 months</t>
  </si>
  <si>
    <t>3M00104-99</t>
  </si>
  <si>
    <t>825663265647</t>
  </si>
  <si>
    <t>Nike Nike Baby Boys Dri-Fit Just Do Midnight Navy 12 months</t>
  </si>
  <si>
    <t>66J541G</t>
  </si>
  <si>
    <t>742728689449</t>
  </si>
  <si>
    <t>Levis Levis Big Girls Long Sleeve T Fragrant Lilac L</t>
  </si>
  <si>
    <t>41C713F</t>
  </si>
  <si>
    <t>194870576540</t>
  </si>
  <si>
    <t>adidas Big Girls Long Sleeve Aeroread Clear Lilac Heather M 1012</t>
  </si>
  <si>
    <t>AA4901</t>
  </si>
  <si>
    <t>BRIGHT PUR</t>
  </si>
  <si>
    <t>196027178874</t>
  </si>
  <si>
    <t>196027127810</t>
  </si>
  <si>
    <t>Minecraft Minecraft Big Boys 4-Piece Paj Assorted 8</t>
  </si>
  <si>
    <t>MF387BSOMA</t>
  </si>
  <si>
    <t>196325074984</t>
  </si>
  <si>
    <t>Mickey Mouse Little Boys Karate Mickey Acti Blue Black Combo 6</t>
  </si>
  <si>
    <t>2JBDNY4324</t>
  </si>
  <si>
    <t>194257661722</t>
  </si>
  <si>
    <t>Champion Champion Big Girls French Terr Pink Candy L 1416</t>
  </si>
  <si>
    <t>CHG420</t>
  </si>
  <si>
    <t>766380222042</t>
  </si>
  <si>
    <t>First Impressions Baby Boys Denim Overalls Authentic Wash 18 months</t>
  </si>
  <si>
    <t>807421581268</t>
  </si>
  <si>
    <t>Nike Nike Baby Girls Essentials Dre White 18 months</t>
  </si>
  <si>
    <t>194870764350</t>
  </si>
  <si>
    <t>adidas Baby Girls Sleeveless Polo Dre Clear Pink 24 months</t>
  </si>
  <si>
    <t>AZ4614</t>
  </si>
  <si>
    <t>194870764343</t>
  </si>
  <si>
    <t>adidas Baby Girls Sleeveless Polo Dre Clear Pink 18 months</t>
  </si>
  <si>
    <t>194170421960</t>
  </si>
  <si>
    <t>Rare Editions Baby Girls Animal Print Charme Tan 6-9 months</t>
  </si>
  <si>
    <t>194870764879</t>
  </si>
  <si>
    <t>adidas Baby Girls Short Sleeve Polo D Clear Sky 24 months</t>
  </si>
  <si>
    <t>AZ4613</t>
  </si>
  <si>
    <t>195958653627</t>
  </si>
  <si>
    <t>Tommy Hilfiger Tommy Hilfiger Little Boys Col Red Plant 4</t>
  </si>
  <si>
    <t>TBSFC07J-614</t>
  </si>
  <si>
    <t>196027169896</t>
  </si>
  <si>
    <t>AME Mickey Mouse Baby Boys Pajamas Assorted 12 months</t>
  </si>
  <si>
    <t>766360656645</t>
  </si>
  <si>
    <t>Epic Threads Toddler Girls Floral Top and S Angel White 4T</t>
  </si>
  <si>
    <t>100145410LG</t>
  </si>
  <si>
    <t>196325130239</t>
  </si>
  <si>
    <t>Disney Little Girls Princess Ariel Dr Purple 6X</t>
  </si>
  <si>
    <t>195958577954</t>
  </si>
  <si>
    <t>Caterpillar Caterpillar Toddler Boys Brand Navy 4T</t>
  </si>
  <si>
    <t>733004291401</t>
  </si>
  <si>
    <t>First Impressions Baby Girls 2-Pc. Ruffled Sweat Cherry Red 12 months</t>
  </si>
  <si>
    <t>100129478BG</t>
  </si>
  <si>
    <t>195958633612</t>
  </si>
  <si>
    <t>Calvin Klein Big Boys Logo Waistband Fleece Black XL 1820</t>
  </si>
  <si>
    <t>CKSFC07F-001</t>
  </si>
  <si>
    <t>195958057296</t>
  </si>
  <si>
    <t>Tommy Hilfiger Tommy Hilfiger Baby Boys 2 Pie Navy 12 months</t>
  </si>
  <si>
    <t>61L70020-99</t>
  </si>
  <si>
    <t>195958147430</t>
  </si>
  <si>
    <t>Tommy Hilfiger Baby Girls 2-Pc. Striped Logo Pink 24 months</t>
  </si>
  <si>
    <t>61L02009-99</t>
  </si>
  <si>
    <t>807421756031</t>
  </si>
  <si>
    <t>Nike Nike Baby Girls Fashion Club B Violet Shock 9 months</t>
  </si>
  <si>
    <t>194135949539</t>
  </si>
  <si>
    <t>Carters Toddler Girls 4-Piece Snug Fit Pink 5T</t>
  </si>
  <si>
    <t>194135942707</t>
  </si>
  <si>
    <t>Carters Carters Baby Boys 4-Piece Din Print 18 months</t>
  </si>
  <si>
    <t>1N001210</t>
  </si>
  <si>
    <t>194135942691</t>
  </si>
  <si>
    <t>Carters Carters Baby Boys 4-Piece Din Print 12 months</t>
  </si>
  <si>
    <t>194135942714</t>
  </si>
  <si>
    <t>Carters Carters Baby Boys 4-Piece Din Print 24 months</t>
  </si>
  <si>
    <t>195861281863</t>
  </si>
  <si>
    <t>Carters Carters Toddler Boys Long Sle Khaki 3T</t>
  </si>
  <si>
    <t>195861281856</t>
  </si>
  <si>
    <t>Carters Carters Toddler Boys Long Sle Khaki 2T</t>
  </si>
  <si>
    <t>194135943780</t>
  </si>
  <si>
    <t>Carters Toddler Boys 4-Piece Snug Fit Print 4T</t>
  </si>
  <si>
    <t>195239424236</t>
  </si>
  <si>
    <t>Nike Nike Big Girls Sportswear Crop Black S 8</t>
  </si>
  <si>
    <t>DJ6932</t>
  </si>
  <si>
    <t>195861385523</t>
  </si>
  <si>
    <t>Carters Carters Baby Girls T-shirt, C Pink, Navy Newborn</t>
  </si>
  <si>
    <t>1N965910</t>
  </si>
  <si>
    <t>196010401781</t>
  </si>
  <si>
    <t>The North Face Big Boys Graphic T-shirt Safety Green XXS</t>
  </si>
  <si>
    <t>NF0A5J47D6S</t>
  </si>
  <si>
    <t>196010401880</t>
  </si>
  <si>
    <t>The North Face Big Boys Short Sleeve Graphic Asphalt Gray and Summit Gold-t XXS</t>
  </si>
  <si>
    <t>NF0A5J47S95</t>
  </si>
  <si>
    <t>196010401774</t>
  </si>
  <si>
    <t>The North Face Big Boys Graphic T-shirt Meld Gray XXS</t>
  </si>
  <si>
    <t>NF0A5J47A91</t>
  </si>
  <si>
    <t>196325120926</t>
  </si>
  <si>
    <t>Disney Toddler Girls Minnie Mouse Flo Multi 3T</t>
  </si>
  <si>
    <t>762120970129</t>
  </si>
  <si>
    <t>ID Ideology Big Girls Core Zip-Front Jacke Indigo Sea S 78</t>
  </si>
  <si>
    <t>762120970075</t>
  </si>
  <si>
    <t>ID Ideology Big Girls Core Zip-Front Jacke Hthr Grey S 78</t>
  </si>
  <si>
    <t>196019037998</t>
  </si>
  <si>
    <t>Breaking Waves Big Girls 2-Pc. Cheetah-Print BlackWhite 10</t>
  </si>
  <si>
    <t>191021293554</t>
  </si>
  <si>
    <t>adidas 0 Solar Yellowwhite XL 1820</t>
  </si>
  <si>
    <t>CE9756</t>
  </si>
  <si>
    <t>50% POLYESTER/50% REC.PES</t>
  </si>
  <si>
    <t>194135862456</t>
  </si>
  <si>
    <t>Carters Carters Baby Girls Fruit Tank Fruit Multi 12 months</t>
  </si>
  <si>
    <t>194135866829</t>
  </si>
  <si>
    <t>Carters Carters Baby Girls 5-Pack Tan Pink 12 months</t>
  </si>
  <si>
    <t>1N043310</t>
  </si>
  <si>
    <t>194135866867</t>
  </si>
  <si>
    <t>Carters Carters Baby Girls 5-Pack Tan Pink 6 months</t>
  </si>
  <si>
    <t>195958492967</t>
  </si>
  <si>
    <t>194257755889</t>
  </si>
  <si>
    <t>Champion Champion Toddler Boys Script F Black 2T</t>
  </si>
  <si>
    <t>CHY744</t>
  </si>
  <si>
    <t>652874379081</t>
  </si>
  <si>
    <t>Speechless Speechless Big Girls Floral Sq Coral Large</t>
  </si>
  <si>
    <t>194135888883</t>
  </si>
  <si>
    <t>Carters Carters Baby Girls 3-Piece Su Yellow 24 months</t>
  </si>
  <si>
    <t>1N035210</t>
  </si>
  <si>
    <t>733004951732</t>
  </si>
  <si>
    <t>First Impressions Baby Boys or Girls 4-Pack Prin Angel White 3-6 months</t>
  </si>
  <si>
    <t>194135317635</t>
  </si>
  <si>
    <t>Carters Baby Girl 5-Pack Multi-Pattern Bluepink Multi Newborn</t>
  </si>
  <si>
    <t>1L767010</t>
  </si>
  <si>
    <t>194135317512</t>
  </si>
  <si>
    <t>Carters Baby Boy 5-Pack Short-Sleeve B Stripes 3 months</t>
  </si>
  <si>
    <t>194135550599</t>
  </si>
  <si>
    <t>Carters Baby Boys 4-Pk. Multi-Color Lo Multi Stripe 6 months</t>
  </si>
  <si>
    <t>194257645388</t>
  </si>
  <si>
    <t>Champion Champion Big Boys French Terry Lakeside Green M 1012</t>
  </si>
  <si>
    <t>CHB548</t>
  </si>
  <si>
    <t>766360138912</t>
  </si>
  <si>
    <t>First Impressions Baby Girls 4-Pk. Bodysuits Bright White Newborn</t>
  </si>
  <si>
    <t>766360138950</t>
  </si>
  <si>
    <t>First Impressions Baby Girls 4-Pk. Bodysuits Bright White 18 months</t>
  </si>
  <si>
    <t>196027072301</t>
  </si>
  <si>
    <t>LOL Surprise Big Girls Lol Surpise Coat Paj Assorted 8</t>
  </si>
  <si>
    <t>LZ222GCLMA</t>
  </si>
  <si>
    <t>194870826485</t>
  </si>
  <si>
    <t>adidas Little Boys AEROREADY Gradient Glory Blue 5</t>
  </si>
  <si>
    <t>766370878792</t>
  </si>
  <si>
    <t>First Impressions Baby Boys 2-Pc. Scenic-Print S Bright White 6-9 months</t>
  </si>
  <si>
    <t>766370878778</t>
  </si>
  <si>
    <t>First Impressions Baby Boys 2-Pc. Scenic-Print S Bright White 12 months</t>
  </si>
  <si>
    <t>766370878891</t>
  </si>
  <si>
    <t>First Impressions Baby Boys 2-Pc. Scenic-Print S Bright White 18 months</t>
  </si>
  <si>
    <t>766370878785</t>
  </si>
  <si>
    <t>First Impressions Baby Boys 2-Pc. Scenic-Print S Bright White 3-6 months</t>
  </si>
  <si>
    <t>696114412077</t>
  </si>
  <si>
    <t>Sleep On It Big Boys 3 Piece Top, Pajama a Navy M 810</t>
  </si>
  <si>
    <t>56969-MA</t>
  </si>
  <si>
    <t>196122522558</t>
  </si>
  <si>
    <t>Koala Baby Koala Baby Baby Boys Moose Bod Olive 6-9 months</t>
  </si>
  <si>
    <t>696114450932</t>
  </si>
  <si>
    <t>Sleep On It Big Girls T-shirt and Shorts w Pink Large</t>
  </si>
  <si>
    <t>194870738641</t>
  </si>
  <si>
    <t>adidas Toddler Boys Short Sleeve Glit Medium Gray Heather 3T</t>
  </si>
  <si>
    <t>194753903562</t>
  </si>
  <si>
    <t>Under Armour Little Boys Cloud Camo Basketb Tech Blue 5</t>
  </si>
  <si>
    <t>UAFEC25J-420</t>
  </si>
  <si>
    <t>194753903548</t>
  </si>
  <si>
    <t>Under Armour Little Boys Cloud Camo Basketb Tech Blue 4</t>
  </si>
  <si>
    <t>194135316553</t>
  </si>
  <si>
    <t>Carters Baby Boys 3-Pc. Cotton Footed Navy Multi 3 months</t>
  </si>
  <si>
    <t>1L761510</t>
  </si>
  <si>
    <t>194135872806</t>
  </si>
  <si>
    <t>Carters Carters Baby Boys 3-Piece Tie Blue Newborn</t>
  </si>
  <si>
    <t>1N036010</t>
  </si>
  <si>
    <t>196258076789</t>
  </si>
  <si>
    <t>Maidenform Big Girls 3-Pack Cropped Br Multbrstw L 1416</t>
  </si>
  <si>
    <t>7624302494508</t>
  </si>
  <si>
    <t>GUESS Big Boys Digital Print Slanted Blue 18</t>
  </si>
  <si>
    <t>L2RI22K8HM0</t>
  </si>
  <si>
    <t>194135927674</t>
  </si>
  <si>
    <t>2N230110</t>
  </si>
  <si>
    <t>194257551535</t>
  </si>
  <si>
    <t>Champion Big Boys Long Sleeve Hooded Ou Black L 1416</t>
  </si>
  <si>
    <t>CHB012</t>
  </si>
  <si>
    <t>194135927537</t>
  </si>
  <si>
    <t>Carters Toddler Girls 2-Piece Striped Assorted 4T</t>
  </si>
  <si>
    <t>2N085710</t>
  </si>
  <si>
    <t>194135927681</t>
  </si>
  <si>
    <t>Carters Toddler Girls 2-Piece Striped Assorted 3T</t>
  </si>
  <si>
    <t>193666331998</t>
  </si>
  <si>
    <t>Playground Pals Little Girls 3-Pack Mini Bike Blkgrywh S 68</t>
  </si>
  <si>
    <t>193666331981</t>
  </si>
  <si>
    <t>Playground Pals Little Girls 3-Pack Mini Bike Blkgrywh M 78</t>
  </si>
  <si>
    <t>193666331974</t>
  </si>
  <si>
    <t>Playground Pals Little Girls 3-Pack Mini Bike Blkgrywh L 1416</t>
  </si>
  <si>
    <t>46094769492</t>
  </si>
  <si>
    <t>Playground Pals Little Girls 3-Pack Mini Bike Magwhblk M 78</t>
  </si>
  <si>
    <t>193666332001</t>
  </si>
  <si>
    <t>Playground Pals Little Girls 3-Pack Mini Bike Blkgrywh XL 1820</t>
  </si>
  <si>
    <t>766360649319</t>
  </si>
  <si>
    <t>ID Ideology Toddler Little Girls Colorbl Hthr Grey 5</t>
  </si>
  <si>
    <t>766360439569</t>
  </si>
  <si>
    <t>ID Ideology Toddler Little Girls 2-Pc. T Barely Pink 6</t>
  </si>
  <si>
    <t>195861096429</t>
  </si>
  <si>
    <t>Carters Carters Baby Girls 4th of Jul Red 18 months</t>
  </si>
  <si>
    <t>194135906303</t>
  </si>
  <si>
    <t>Carters Carters Baby Girls 3-Piece Li Stripe 12 months</t>
  </si>
  <si>
    <t>194135317017</t>
  </si>
  <si>
    <t>Carters Baby Girls 2-Pc. Floral Bodysu Pink 12 months</t>
  </si>
  <si>
    <t>195861162735</t>
  </si>
  <si>
    <t>Carters Toddler Girls Stripe-Print Shi Floral 5T</t>
  </si>
  <si>
    <t>195861162704</t>
  </si>
  <si>
    <t>Carters Toddler Girls Stripe-Print Shi Floral 2T</t>
  </si>
  <si>
    <t>195958406247</t>
  </si>
  <si>
    <t>Calvin Klein Calvin Klein Performance Big G Crystal Rose L 1416</t>
  </si>
  <si>
    <t>CATFA03S-680</t>
  </si>
  <si>
    <t>194135862616</t>
  </si>
  <si>
    <t>Carters Carters Baby Boys Short Sleev BlueOrange 3 months</t>
  </si>
  <si>
    <t>194135864610</t>
  </si>
  <si>
    <t>Carters Carters Baby Girls Short Slee Yellow Newborn</t>
  </si>
  <si>
    <t>1N042410</t>
  </si>
  <si>
    <t>194135870918</t>
  </si>
  <si>
    <t>Carters Carters Baby Boys Shark Short Blue 12 months</t>
  </si>
  <si>
    <t>1N042310</t>
  </si>
  <si>
    <t>194135864566</t>
  </si>
  <si>
    <t>Carters Carters Baby Girls Short Slee Yellow 24 months</t>
  </si>
  <si>
    <t>194257662163</t>
  </si>
  <si>
    <t>Champion Little Girls Tie Dye Script Le Black 4</t>
  </si>
  <si>
    <t>807421966867</t>
  </si>
  <si>
    <t>Levis Levis Big Boys Printed T-shir White XL 1820</t>
  </si>
  <si>
    <t>91E426F</t>
  </si>
  <si>
    <t>194135315655</t>
  </si>
  <si>
    <t>Carters Baby Boys 3-Pc. Lion Little Ch Yellow 3 months</t>
  </si>
  <si>
    <t>666980131914</t>
  </si>
  <si>
    <t>Nautica Plus Girls Short Sleeve Interl Burgundy M 8 Plus10 Plus</t>
  </si>
  <si>
    <t>NJA0204E</t>
  </si>
  <si>
    <t>762120061391</t>
  </si>
  <si>
    <t>ID Ideology Big Boys Knit Joggers Deep Black M</t>
  </si>
  <si>
    <t>762120061414</t>
  </si>
  <si>
    <t>ID Ideology Big Boys Knit Joggers Deep Black XL</t>
  </si>
  <si>
    <t>194257526663</t>
  </si>
  <si>
    <t>Champion Champion Toddler Drop Shadow L Oxford Heather 3T</t>
  </si>
  <si>
    <t>194135858107</t>
  </si>
  <si>
    <t>Carters Carters Baby Boys 2-Piece Pla Multi 3 months</t>
  </si>
  <si>
    <t>1M992410</t>
  </si>
  <si>
    <t>733004785962</t>
  </si>
  <si>
    <t>Epic Threads Toddler Girls All Over Print V Aqua 4T</t>
  </si>
  <si>
    <t>100138279LG</t>
  </si>
  <si>
    <t>193666319460</t>
  </si>
  <si>
    <t>Calvin Klein Calvin Klein Big Girls Printed Heather Gray M 78</t>
  </si>
  <si>
    <t>807421597252</t>
  </si>
  <si>
    <t>Nike Nike Little Girls Run Wild T-s Black 5</t>
  </si>
  <si>
    <t>36J092G</t>
  </si>
  <si>
    <t>194257732521</t>
  </si>
  <si>
    <t>Champion Champion Big Boys Contrast Bin Navy, White S 8</t>
  </si>
  <si>
    <t>CHB545</t>
  </si>
  <si>
    <t>193666924947</t>
  </si>
  <si>
    <t>Maidenform Big Girls 3-Pack Cropped Cotto Pink Stripebegonia Pinkwhite L 1416</t>
  </si>
  <si>
    <t>193666924923</t>
  </si>
  <si>
    <t>Maidenform Big Girls 3-Pack Cropped Cotto Ski Llamasairby Bluewhite S 68</t>
  </si>
  <si>
    <t>766360132668</t>
  </si>
  <si>
    <t>First Impressions Baby Boys Light-Wash Denim Sho Light Wash 18 months</t>
  </si>
  <si>
    <t>194135976573</t>
  </si>
  <si>
    <t>Carters Toddler Boys Pull-on Poplin Sh Khaki 5T</t>
  </si>
  <si>
    <t>2N263510</t>
  </si>
  <si>
    <t>194257241528</t>
  </si>
  <si>
    <t>Champion Big Boys Contrast Binding C Pa Navy, Bozetto Blue XL 1820</t>
  </si>
  <si>
    <t>8547CB</t>
  </si>
  <si>
    <t>766360140113</t>
  </si>
  <si>
    <t>100141519BG</t>
  </si>
  <si>
    <t>194135318809</t>
  </si>
  <si>
    <t>Carters Baby Girls 2-Pack Pull-On Pant Pinkgreen 24 months</t>
  </si>
  <si>
    <t>194135318854</t>
  </si>
  <si>
    <t>Carters Baby Girls 2-Pack Pull-On Pant Pinkgreen Newborn</t>
  </si>
  <si>
    <t>194135320307</t>
  </si>
  <si>
    <t>Carters Baby Boys 2-Pk. Cotton Pull-On Navygreen 18 months</t>
  </si>
  <si>
    <t>194135320345</t>
  </si>
  <si>
    <t>Carters Baby Boys 2-Pk. Cotton Pull-On Navygreen 9 months</t>
  </si>
  <si>
    <t>194135316904</t>
  </si>
  <si>
    <t>Carters Baby 2-Pk. Cotton Jogger-Style Greengrey Newborn</t>
  </si>
  <si>
    <t>194135320314</t>
  </si>
  <si>
    <t>Carters Baby Boys 2-Pk. Cotton Pull-On Navygreen 24 months</t>
  </si>
  <si>
    <t>194135909151</t>
  </si>
  <si>
    <t>Carters Little Boys Color Block Pocket Green 5</t>
  </si>
  <si>
    <t>3N295110</t>
  </si>
  <si>
    <t>766360129798</t>
  </si>
  <si>
    <t>First Impressions Baby Girls Light-Wash Denim Pa Lt Medium Wash 18 months</t>
  </si>
  <si>
    <t>766360129811</t>
  </si>
  <si>
    <t>First Impressions Baby Girls Light-Wash Denim Pa Lt Medium Wash 0-3 months</t>
  </si>
  <si>
    <t>195861129264</t>
  </si>
  <si>
    <t>Carters Toddler Boys Pull-On Knit Carg Navy 4T</t>
  </si>
  <si>
    <t>2N608210</t>
  </si>
  <si>
    <t>195861137153</t>
  </si>
  <si>
    <t>Carters Toddler Boys Pull-On Knit Carg Gray 2T</t>
  </si>
  <si>
    <t>194257873057</t>
  </si>
  <si>
    <t>Champion Big Boys All Over Print Solid Swiss Blue L</t>
  </si>
  <si>
    <t>23616527563</t>
  </si>
  <si>
    <t>Calvin Klein Calvin Klein Big Boys Quarter White, Grey, Black M</t>
  </si>
  <si>
    <t>RCK3005USAS1M</t>
  </si>
  <si>
    <t>194257852472</t>
  </si>
  <si>
    <t>Champion Champion Big Boys Vertical Scr Capri Orange M 1012</t>
  </si>
  <si>
    <t>194135887732</t>
  </si>
  <si>
    <t>Carters Carters Baby Boys Chambray Po Navy 6 months</t>
  </si>
  <si>
    <t>195861100805</t>
  </si>
  <si>
    <t>Carters Baby Girls Yellow Floral-Print Yellow 3 months</t>
  </si>
  <si>
    <t>195861290421</t>
  </si>
  <si>
    <t>Carters Carters Toddler Girls Long Sl Cream 5T</t>
  </si>
  <si>
    <t>193712372685</t>
  </si>
  <si>
    <t>Imperial Star Big Girls Athleisure Shorts Pastel Td S</t>
  </si>
  <si>
    <t>195861135333</t>
  </si>
  <si>
    <t>Carters Toddler Boys Colorblocked Pock Green 4T</t>
  </si>
  <si>
    <t>766360649111</t>
  </si>
  <si>
    <t>Epic Threads Epic Threads Toddler Girls All Orchid Bloom 3T</t>
  </si>
  <si>
    <t>194257638298</t>
  </si>
  <si>
    <t>Champion Big Boys Champion Globe Tee Black M 1012</t>
  </si>
  <si>
    <t>194257638311</t>
  </si>
  <si>
    <t>Champion Big Boys Champion Globe Tee Black XL 1820</t>
  </si>
  <si>
    <t>194257714541</t>
  </si>
  <si>
    <t>Champion Champion Big Boys Sunrise Scri Kelly Green L 1416</t>
  </si>
  <si>
    <t>196325134749</t>
  </si>
  <si>
    <t>Hybrid Toddler Boys NASA Short Sleeve Royal Heather 3T</t>
  </si>
  <si>
    <t>2JNAS1313</t>
  </si>
  <si>
    <t>766370894501</t>
  </si>
  <si>
    <t>ID Ideology Big Boys Mesh Break Shorts Lime Popsicle L</t>
  </si>
  <si>
    <t>194257534699</t>
  </si>
  <si>
    <t>Champion Toddler Boys Short Sleeve All Crayon Orange 3T</t>
  </si>
  <si>
    <t>CHY007</t>
  </si>
  <si>
    <t>194257518729</t>
  </si>
  <si>
    <t>Champion Toddler Girls Champion Leopard Azalea Pink 2T</t>
  </si>
  <si>
    <t>194257622464</t>
  </si>
  <si>
    <t>Champion Little Boys Ko Script Long Sle Black 5</t>
  </si>
  <si>
    <t>194257518828</t>
  </si>
  <si>
    <t>Champion Toddler Girls Champion Leopard White 2T</t>
  </si>
  <si>
    <t>194135859982</t>
  </si>
  <si>
    <t>Carters Baby Boys Green Dinosaur Cotto Transportation Premie</t>
  </si>
  <si>
    <t>1N044110</t>
  </si>
  <si>
    <t>195861404989</t>
  </si>
  <si>
    <t>Carters Carters Baby Girls Heart 2-Wa Yellow 6 months</t>
  </si>
  <si>
    <t>1O018010</t>
  </si>
  <si>
    <t>194135318762</t>
  </si>
  <si>
    <t>Carters Baby Girls 2-Pc. Cap Zip-Up Pink Newborn</t>
  </si>
  <si>
    <t>766360144210</t>
  </si>
  <si>
    <t>First Impressions Baby Boys 2-Pk. Leggings Yellow Light 12 months</t>
  </si>
  <si>
    <t>766360144258</t>
  </si>
  <si>
    <t>First Impressions Baby Boys 2-Pk. Leggings Yellow Light 24 months</t>
  </si>
  <si>
    <t>194257454294</t>
  </si>
  <si>
    <t>Champion Champion Toddler Girls Rainbow White 3T</t>
  </si>
  <si>
    <t>194257454324</t>
  </si>
  <si>
    <t>Champion Champion Little Girls Rainbow White 6</t>
  </si>
  <si>
    <t>194257660183</t>
  </si>
  <si>
    <t>Champion Toddler Girls T-shirt Mint 2T</t>
  </si>
  <si>
    <t>194257891464</t>
  </si>
  <si>
    <t>Champion Champion Little Boys Script Ab Swiss Blue 7</t>
  </si>
  <si>
    <t>CHY215</t>
  </si>
  <si>
    <t>766380272283</t>
  </si>
  <si>
    <t>Epic Threads Epic Threads Big Girls Dye Leg Coral Topaz M 810</t>
  </si>
  <si>
    <t>766370156609</t>
  </si>
  <si>
    <t>Epic Threads Epic Threads Big Girls Side St Ghost Heather XL 16</t>
  </si>
  <si>
    <t>766360438814</t>
  </si>
  <si>
    <t>ID Ideology Toddler Little Girls Strong Bright White 6</t>
  </si>
  <si>
    <t>762120856843</t>
  </si>
  <si>
    <t>ID Ideology Big Boys Active Polo Deep Black M</t>
  </si>
  <si>
    <t>766370620087</t>
  </si>
  <si>
    <t>First Impressions Baby Girls Jungle-Print Cotton Bright White 6-9 months</t>
  </si>
  <si>
    <t>100148763BG</t>
  </si>
  <si>
    <t>766370620094</t>
  </si>
  <si>
    <t>First Impressions Baby Girls Jungle-Print Cotton Bright White 18 months</t>
  </si>
  <si>
    <t>194135259232</t>
  </si>
  <si>
    <t>Carters Baby Boys Car 2-Way Zip Cotton Blue 9 months</t>
  </si>
  <si>
    <t>196325200130</t>
  </si>
  <si>
    <t>Marvel Big Boys Marvel Spiderman Knoc Cardinal XL</t>
  </si>
  <si>
    <t>2YBMVL2294</t>
  </si>
  <si>
    <t>193666517286</t>
  </si>
  <si>
    <t>Maidenform Little Big Girls Cropped Ruc Knock Out Pink XL 1820</t>
  </si>
  <si>
    <t>766360127800</t>
  </si>
  <si>
    <t>First Impressions Baby Boys Striped Polo Romper Light Grey Hthr 18 months</t>
  </si>
  <si>
    <t>100143054BB</t>
  </si>
  <si>
    <t>733001912446</t>
  </si>
  <si>
    <t>First Impressions Baby Boys Giraffe Cotton Sunsu Sunny Yellow 6-9 months</t>
  </si>
  <si>
    <t>884411620985</t>
  </si>
  <si>
    <t>Hello Kitty Little Girls Bow Trail Legging Heather Gray 6X</t>
  </si>
  <si>
    <t>194973041440</t>
  </si>
  <si>
    <t>Hello Kitty Toddler Girls Stars Graphic T- Rose 3T</t>
  </si>
  <si>
    <t>TS5805GHK0897</t>
  </si>
  <si>
    <t>766360156039</t>
  </si>
  <si>
    <t>First Impressions Baby Boys Walrus Sunsuit Ski Patrol 6-9 months</t>
  </si>
  <si>
    <t>194135873834</t>
  </si>
  <si>
    <t>Carters Baby Boys Dinosaur Snap-Up Rom Heather 18 months</t>
  </si>
  <si>
    <t>1N055410</t>
  </si>
  <si>
    <t>194135889132</t>
  </si>
  <si>
    <t>Carters Carters Baby Girls Snap-Up Ro Yellow 3 months</t>
  </si>
  <si>
    <t>1N056010</t>
  </si>
  <si>
    <t>766370168794</t>
  </si>
  <si>
    <t>ID Ideology Toddler Little Girls ID POWE Bright White 6</t>
  </si>
  <si>
    <t>766370168817</t>
  </si>
  <si>
    <t>ID Ideology Toddler Little Girls ID POWE Bright White 3T</t>
  </si>
  <si>
    <t>766370168787</t>
  </si>
  <si>
    <t>ID Ideology Toddler Little Girls ID POWE Bright White 5</t>
  </si>
  <si>
    <t>766370168831</t>
  </si>
  <si>
    <t>ID Ideology Toddler Little Girls ID POWE Bright White 6X</t>
  </si>
  <si>
    <t>80538128766</t>
  </si>
  <si>
    <t>Trimfit Little Big Girls 2-Pk. Metal Navyivory 10-14</t>
  </si>
  <si>
    <t>766360828820</t>
  </si>
  <si>
    <t>ID Ideology Big Boys Core Training Shirt Deep Charc S</t>
  </si>
  <si>
    <t>766360828837</t>
  </si>
  <si>
    <t>ID Ideology Big Boys Core Training Shirt Deep Charc M</t>
  </si>
  <si>
    <t>733001914266</t>
  </si>
  <si>
    <t>First Impressions Baby Girls Pink Cat Cotton Sun Bright White 24 months</t>
  </si>
  <si>
    <t>100112863BG</t>
  </si>
  <si>
    <t>733001914228</t>
  </si>
  <si>
    <t>First Impressions Baby Girls Pink Cat Cotton Sun Bright White 12 months</t>
  </si>
  <si>
    <t>766370620148</t>
  </si>
  <si>
    <t>First Impressions Baby Girls Sammy Striped Smock First Kiss 3-6 months</t>
  </si>
  <si>
    <t>100148765BG</t>
  </si>
  <si>
    <t>195861118930</t>
  </si>
  <si>
    <t>Carters Toddler Boys Colorblock Tank Coral 5T</t>
  </si>
  <si>
    <t>2N671810</t>
  </si>
  <si>
    <t>766370902329</t>
  </si>
  <si>
    <t>ID Ideology Little Girls Graphic-Print T-S Lime Peel 3T</t>
  </si>
  <si>
    <t>766370446564</t>
  </si>
  <si>
    <t>Epic Threads Little Girls Denim Bermuda Sho Dark Denim 6X</t>
  </si>
  <si>
    <t>766370875340</t>
  </si>
  <si>
    <t>First Impressions Toddler Boys Striped Jogger Pa Skygaze 2T</t>
  </si>
  <si>
    <t>766370874893</t>
  </si>
  <si>
    <t>First Impressions Toddler Boys Underwater-Print Peppermintfrost 2T</t>
  </si>
  <si>
    <t>762120085533</t>
  </si>
  <si>
    <t>Epic Threads Toddler Girls Stripe Based Leg Ghost Heather 4T</t>
  </si>
  <si>
    <t>766380266954</t>
  </si>
  <si>
    <t>Epic Threads Toddler Girls Side Tape Leggin Sky Gaze 2T</t>
  </si>
  <si>
    <t>766380266961</t>
  </si>
  <si>
    <t>Epic Threads Toddler Girls Side Tape Leggin Sky Gaze 3T</t>
  </si>
  <si>
    <t>766370446373</t>
  </si>
  <si>
    <t>Epic Threads Little Girls All Over Printed Ghost Heather 6X</t>
  </si>
  <si>
    <t>100145200LG</t>
  </si>
  <si>
    <t>766370446298</t>
  </si>
  <si>
    <t>Epic Threads Toddler Girls All Over Printed Maize Yellow 3T</t>
  </si>
  <si>
    <t>766370446304</t>
  </si>
  <si>
    <t>Epic Threads Toddler Girls All Over Printed Maize Yellow 4T</t>
  </si>
  <si>
    <t>762120085762</t>
  </si>
  <si>
    <t>Epic Threads Little Girls Astro Heart All-O Deep Black 5</t>
  </si>
  <si>
    <t>766360643171</t>
  </si>
  <si>
    <t>Epic Threads Epic Threads Little Girls Unic Angel White 5</t>
  </si>
  <si>
    <t>100145041LG</t>
  </si>
  <si>
    <t>766360645823</t>
  </si>
  <si>
    <t>Epic Threads Little Girls Strawberry Graphi Angel White 5</t>
  </si>
  <si>
    <t>766380265568</t>
  </si>
  <si>
    <t>Epic Threads Epic Threads Little Girls Surf Sky Gaze 5</t>
  </si>
  <si>
    <t>766380265773</t>
  </si>
  <si>
    <t>Epic Threads Toddler Girls Love Graphic T Gossamer Green 3T</t>
  </si>
  <si>
    <t>766360646547</t>
  </si>
  <si>
    <t>Epic Threads Epic Threads Toddler Girls Cup Ghost Heather 3T</t>
  </si>
  <si>
    <t>766360661939</t>
  </si>
  <si>
    <t>Epic Threads Toddler Girls Short Sleeves St Angel White 3T</t>
  </si>
  <si>
    <t>100145132LG</t>
  </si>
  <si>
    <t>766360661953</t>
  </si>
  <si>
    <t>Epic Threads Little Girls Short Sleeves Str Angel White 6X</t>
  </si>
  <si>
    <t>766380265797</t>
  </si>
  <si>
    <t>Epic Threads Epic Threads Little Girls LOV Gossamer Green 6X</t>
  </si>
  <si>
    <t>766360645120</t>
  </si>
  <si>
    <t>Epic Threads Toddler Girls Unicorn Graphic Washed Indigo 2T</t>
  </si>
  <si>
    <t>766360642419</t>
  </si>
  <si>
    <t>Epic Threads Epic Threads Toddler Girls Sm Angel White 2T</t>
  </si>
  <si>
    <t>766360661960</t>
  </si>
  <si>
    <t>100145133LG</t>
  </si>
  <si>
    <t>762120062381</t>
  </si>
  <si>
    <t>ID Ideology Little Boys Core Training Shir LICORICE RED 4T</t>
  </si>
  <si>
    <t>766370868908</t>
  </si>
  <si>
    <t>First Impressions Baby Girls Tropical-Print Flut Deep Black 12 months</t>
  </si>
  <si>
    <t>766360161552</t>
  </si>
  <si>
    <t>First Impressions Toddler Boys Flag Plaid Shorts Ski Patrol 3T</t>
  </si>
  <si>
    <t>766370868854</t>
  </si>
  <si>
    <t>First Impressions Baby Girls Shell-Print Dress Violet Tulle 3-6 months</t>
  </si>
  <si>
    <t>100150201BG</t>
  </si>
  <si>
    <t>766370868847</t>
  </si>
  <si>
    <t>First Impressions Baby Girls Shell-Print Dress Violet Tulle 12 months</t>
  </si>
  <si>
    <t>766370868618</t>
  </si>
  <si>
    <t>First Impressions Baby Girls Bow-Strap Knit Dres Coral Topaz 6-9 months</t>
  </si>
  <si>
    <t>766370868625</t>
  </si>
  <si>
    <t>First Impressions Baby Girls Bow-Strap Knit Dres Coral Topaz 18 months</t>
  </si>
  <si>
    <t>766370868885</t>
  </si>
  <si>
    <t>First Impressions Baby Girls Shell-Print Dress Violet Tulle 24 months</t>
  </si>
  <si>
    <t>766370868892</t>
  </si>
  <si>
    <t>First Impressions Baby Girls Shell-Print Dress Violet Tulle 0-3 months</t>
  </si>
  <si>
    <t>766370868861</t>
  </si>
  <si>
    <t>First Impressions Baby Girls Shell-Print Dress Violet Tulle 6-9 months</t>
  </si>
  <si>
    <t>766370868878</t>
  </si>
  <si>
    <t>First Impressions Baby Girls Shell-Print Dress Violet Tulle 18 months</t>
  </si>
  <si>
    <t>766370893917</t>
  </si>
  <si>
    <t>ID Ideology Big Boys Core Athletic Tank Licorice Red XL</t>
  </si>
  <si>
    <t>766370860438</t>
  </si>
  <si>
    <t>First Impressions Toddler Girls Tie Dye Palm Tun Hthr Dune 3T</t>
  </si>
  <si>
    <t>100150019TG</t>
  </si>
  <si>
    <t>766370860421</t>
  </si>
  <si>
    <t>First Impressions Toddler Girls Tie Dye Palm Tun Hthr Dune 2T</t>
  </si>
  <si>
    <t>766370860445</t>
  </si>
  <si>
    <t>First Impressions Toddler Girls Tie Dye Palm Tun Hthr Dune 4T</t>
  </si>
  <si>
    <t>766380220345</t>
  </si>
  <si>
    <t>First Impressions Toddler Boys Splatter-Print He Navy Nautical 4T</t>
  </si>
  <si>
    <t>100148784TB</t>
  </si>
  <si>
    <t>766380220321</t>
  </si>
  <si>
    <t>First Impressions Toddler Boys Splatter-Print He Navy Nautical 2T</t>
  </si>
  <si>
    <t>766380221694</t>
  </si>
  <si>
    <t>First Impressions Baby Girls Fashion Bodysuit Pink Fancy 24 months</t>
  </si>
  <si>
    <t>766380221700</t>
  </si>
  <si>
    <t>First Impressions Baby Girls Fashion Bodysuit Pink Fancy 0-3 months</t>
  </si>
  <si>
    <t>766370876088</t>
  </si>
  <si>
    <t>First Impressions oddler Boys Palm-Print Henley Skygaze 3T</t>
  </si>
  <si>
    <t>766360133337</t>
  </si>
  <si>
    <t>First Impressions Toddler Girls Citrus Girl Flut Spring Daffodil 4T</t>
  </si>
  <si>
    <t>100141124TG</t>
  </si>
  <si>
    <t>766370874480</t>
  </si>
  <si>
    <t>First Impressions Baby Boys Stripe-Print Jogger Skygaze 6-9 months</t>
  </si>
  <si>
    <t>733004287084</t>
  </si>
  <si>
    <t>First Impressions Baby Girls Holly-Print Tunic Cherry Red 24 months</t>
  </si>
  <si>
    <t>100131153BG</t>
  </si>
  <si>
    <t>766380220253</t>
  </si>
  <si>
    <t>766370872790</t>
  </si>
  <si>
    <t>First Impressions Baby Boys Plaid Shorts Lime Boost 6-9 months</t>
  </si>
  <si>
    <t>733002944231</t>
  </si>
  <si>
    <t>Epic Threads Toddler Boys Camo Basic Tee Deep Black 4T</t>
  </si>
  <si>
    <t>766360112639</t>
  </si>
  <si>
    <t>Epic Threads Little Girls Wide Stripe T-Shi Deep Black 3T</t>
  </si>
  <si>
    <t>100142697LG</t>
  </si>
  <si>
    <t>766360112653</t>
  </si>
  <si>
    <t>Epic Threads Little Girls Wide Stripe T-Shi Deep Black 6X</t>
  </si>
  <si>
    <t>766360112646</t>
  </si>
  <si>
    <t>Epic Threads Little Girls Wide Stripe T-Shi Deep Black 4T</t>
  </si>
  <si>
    <t>766360112622</t>
  </si>
  <si>
    <t>Epic Threads Little Girls Wide Stripe T-Shi Deep Black 2T</t>
  </si>
  <si>
    <t>766360112615</t>
  </si>
  <si>
    <t>Epic Threads Little Girls Wide Stripe T-Shi Deep Black 6</t>
  </si>
  <si>
    <t>766380513485</t>
  </si>
  <si>
    <t>Epic Threads Little Girls Heart-Print T-Shi Bright White 2T</t>
  </si>
  <si>
    <t>766360963491</t>
  </si>
  <si>
    <t>Epic Threads Epic Threads Little Girls Soli Spring Daffodil 5</t>
  </si>
  <si>
    <t>193666517934</t>
  </si>
  <si>
    <t>762120126878</t>
  </si>
  <si>
    <t>First Impressions Baby Boys Polo Angel White 3-6 months</t>
  </si>
  <si>
    <t>766360113193</t>
  </si>
  <si>
    <t>Epic Threads Little Girls Daisy-Print T-Shi Apple Blossom 5</t>
  </si>
  <si>
    <t>766360113209</t>
  </si>
  <si>
    <t>Epic Threads Little Girls Daisy-Print T-Shi Apple Blossom 6</t>
  </si>
  <si>
    <t>766370869745</t>
  </si>
  <si>
    <t>First Impressions Baby Boys Jeep-Print Shirt Hthr Dune 24 months</t>
  </si>
  <si>
    <t>766360151225</t>
  </si>
  <si>
    <t>First Impressions Baby Girl RUFFLE BACK LEGGING Apple Blossom 6-9 months</t>
  </si>
  <si>
    <t>766360151515</t>
  </si>
  <si>
    <t>First Impressions Baby Girl RUFFLE BACK LEGGING Shell Pink 24 months</t>
  </si>
  <si>
    <t>766370860797</t>
  </si>
  <si>
    <t>First Impressions Baby Girls Summer Vibes Tank Island Orange 3-6 months</t>
  </si>
  <si>
    <t>766360111809</t>
  </si>
  <si>
    <t>Epic Threads Little Girls Basic T-Shirt Shell Pink 3T</t>
  </si>
  <si>
    <t>733002286034</t>
  </si>
  <si>
    <t>Epic Threads Toddler Boys Basic Solid T-shi Tango Red 4T</t>
  </si>
  <si>
    <t>766360162368</t>
  </si>
  <si>
    <t>First Impressions Toddler Boys Cotton Sailing T- Blue 3T</t>
  </si>
  <si>
    <t>766390163878</t>
  </si>
  <si>
    <t>First Impressions Baby Boys Polar Bear Facts T-S Harbor Blue 24 months</t>
  </si>
  <si>
    <t>100157396BB</t>
  </si>
  <si>
    <t>766370869646</t>
  </si>
  <si>
    <t>First Impressions Baby Boys Sun and Surf-Graphic Turq Splash 24 months</t>
  </si>
  <si>
    <t>766370869639</t>
  </si>
  <si>
    <t>First Impressions Baby Boys Sun and Surf-Graphic Turq Splash 18 months</t>
  </si>
  <si>
    <t>762120127073</t>
  </si>
  <si>
    <t>First Impressions Baby Boys Cool Graphic T-Shirt Deep Black 3-6 months</t>
  </si>
  <si>
    <t>100138639BB</t>
  </si>
  <si>
    <t>726108385671</t>
  </si>
  <si>
    <t>191539937353</t>
  </si>
  <si>
    <t>Bonnie Baby Baby Girls Short Sleeved Metal Rose 12 months</t>
  </si>
  <si>
    <t>191539919793</t>
  </si>
  <si>
    <t>Bonnie Baby Baby Girls Sleeveless Pinafore Blue 12 months</t>
  </si>
  <si>
    <t>191539856364</t>
  </si>
  <si>
    <t>Bonnie Baby Baby Girls Sleeveless Floral E Multi 3-6 months</t>
  </si>
  <si>
    <t>194134662019</t>
  </si>
  <si>
    <t>7 For All Mankind Toddler Boys Denim Jeans and S Navy Heather 2T</t>
  </si>
  <si>
    <t>SVM21197</t>
  </si>
  <si>
    <t>7FAM 5STAR/O5 MD LLC</t>
  </si>
  <si>
    <t>191539917829</t>
  </si>
  <si>
    <t>Bonnie Baby Baby Girls Three Quarter Sleev Ivory 18 months</t>
  </si>
  <si>
    <t>194135319677</t>
  </si>
  <si>
    <t>Carters Baby Boy 5-Pack Short-Sleeve B Blue 18 months</t>
  </si>
  <si>
    <t>194135047952</t>
  </si>
  <si>
    <t>Carters Big Girls Cardigan Sweater Ivory 7</t>
  </si>
  <si>
    <t>3K396610</t>
  </si>
  <si>
    <t>193666756074</t>
  </si>
  <si>
    <t>DRAFT - 3 PACK MULTI SILO BUND Blue S 68</t>
  </si>
  <si>
    <t>194870761656</t>
  </si>
  <si>
    <t>adidas Baby Girls Short Sleeve Printe Clear Sky 6 months</t>
  </si>
  <si>
    <t>AM1039</t>
  </si>
  <si>
    <t>195861291695</t>
  </si>
  <si>
    <t>Carters Carters Baby Boys Long Sleeve Print 24 months</t>
  </si>
  <si>
    <t>195861296850</t>
  </si>
  <si>
    <t>Carters Carters Baby Boys Bear T-shir RustNavy 24 months</t>
  </si>
  <si>
    <t>195861296874</t>
  </si>
  <si>
    <t>Carters Carters Baby Boys Bear T-shir RustNavy 6 months</t>
  </si>
  <si>
    <t>195861374411</t>
  </si>
  <si>
    <t>Carters Carters Baby Girls Heart Flut Yellow 24 months</t>
  </si>
  <si>
    <t>194257806192</t>
  </si>
  <si>
    <t>766360662103</t>
  </si>
  <si>
    <t>Epic Threads Toddler Girls Short Sleeves Gr Ghost Heather 3T</t>
  </si>
  <si>
    <t>100145134LG</t>
  </si>
  <si>
    <t>Polo Ralph Lauren Polo Ralph Lauren Baby Boys Pa Blue Paisley Multi OS</t>
  </si>
  <si>
    <t>194257795373</t>
  </si>
  <si>
    <t>Champion Little Girls Leggings Oxford Heather 6</t>
  </si>
  <si>
    <t>CHL737</t>
  </si>
  <si>
    <t>195861154822</t>
  </si>
  <si>
    <t>Carters Carters Baby Girls Jersey Dre Print 9 months</t>
  </si>
  <si>
    <t>1N669110</t>
  </si>
  <si>
    <t>696114451748</t>
  </si>
  <si>
    <t>Max Olivia Baby Girls All Over Printed Pa Pink I 18 months</t>
  </si>
  <si>
    <t>751423-MA</t>
  </si>
  <si>
    <t>196027148105</t>
  </si>
  <si>
    <t>AME Toddler Boys Baby Shark Pajama Assorted 2T</t>
  </si>
  <si>
    <t>UI117ESLMA</t>
  </si>
  <si>
    <t>196027168356</t>
  </si>
  <si>
    <t>AME Disney Princess Baby Girls Paj Assorted 24 months</t>
  </si>
  <si>
    <t>194134687760</t>
  </si>
  <si>
    <t>Koala Baby Koala Baby Girls Take Me Home Pink Heather 0-3 months</t>
  </si>
  <si>
    <t>KLF01782</t>
  </si>
  <si>
    <t>194135316294</t>
  </si>
  <si>
    <t>Carters Baby Boys 3-Pc. Car Little Cha Blue 12 months</t>
  </si>
  <si>
    <t>807421633271</t>
  </si>
  <si>
    <t>Converse Converse Big Boys Oversized Mu Lunar Rock Heather M 1012</t>
  </si>
  <si>
    <t>9CC347E</t>
  </si>
  <si>
    <t>194135956278</t>
  </si>
  <si>
    <t>Carters Carters Baby Girls Striped On Print 6 months</t>
  </si>
  <si>
    <t>194135956070</t>
  </si>
  <si>
    <t>Carters Carters Baby Girls Leopard On Print 12 months</t>
  </si>
  <si>
    <t>1N151610</t>
  </si>
  <si>
    <t>195861161813</t>
  </si>
  <si>
    <t>Carters Carters Baby Girls Pineapple Print 18 months</t>
  </si>
  <si>
    <t>196122373167</t>
  </si>
  <si>
    <t>Koala Baby Baby Boys Shorts, Bodysuit and Green 9-12 months</t>
  </si>
  <si>
    <t>KLM12336</t>
  </si>
  <si>
    <t>762120212250</t>
  </si>
  <si>
    <t>ID Ideology Big Boys Knit Joggers Stormy Hthr XL</t>
  </si>
  <si>
    <t>762120690195</t>
  </si>
  <si>
    <t>ID Ideology Toddler Little Girls Basic B Violet Tulle 4T</t>
  </si>
  <si>
    <t>192042759685</t>
  </si>
  <si>
    <t>Nautica Big Boys Stretch Double Pique Gold L 1416</t>
  </si>
  <si>
    <t>NUFBB03F-718</t>
  </si>
  <si>
    <t>192042759210</t>
  </si>
  <si>
    <t>Nautica Big Boys Stretch Double Pique White S 8</t>
  </si>
  <si>
    <t>NUFBB03F-100</t>
  </si>
  <si>
    <t>733004039539</t>
  </si>
  <si>
    <t>Epic Threads Little Girls Short Flutter Sle Pink Dogwood 5</t>
  </si>
  <si>
    <t>100133126LG</t>
  </si>
  <si>
    <t>762120213950</t>
  </si>
  <si>
    <t>ID Ideology Big Girls Neon Sweatshirt Training Yellow S 78</t>
  </si>
  <si>
    <t>733004948763</t>
  </si>
  <si>
    <t>First Impressions Baby Girls 2-Pc. Floral-Print Aqua Pool 3-6 months</t>
  </si>
  <si>
    <t>100136060BG</t>
  </si>
  <si>
    <t>766380221373</t>
  </si>
  <si>
    <t>First Impressions Toddler Boys Doodle Zip Hoodie Snow Owl Hthr 3T</t>
  </si>
  <si>
    <t>807421548094</t>
  </si>
  <si>
    <t>Nike Nike Little Boys Practice Make Black 6</t>
  </si>
  <si>
    <t>86J140G</t>
  </si>
  <si>
    <t>696114413272</t>
  </si>
  <si>
    <t>Max Olivia Max Olivia Baby Boys Onesie Blue 12 months</t>
  </si>
  <si>
    <t>36100-MA</t>
  </si>
  <si>
    <t>887407905936</t>
  </si>
  <si>
    <t>Kenneth Cole Little Big Girls Copy Tappy Oxford 5 Youth</t>
  </si>
  <si>
    <t>KENNETH COLE/SYNCLAIRE BRANDS</t>
  </si>
  <si>
    <t>MANMADE UPPER; RUBBER SOLE</t>
  </si>
  <si>
    <t>762120060172</t>
  </si>
  <si>
    <t>ID Ideology Toddler Little Boys Knit Hoo INDIGO SEA 2T</t>
  </si>
  <si>
    <t>195958702325</t>
  </si>
  <si>
    <t>Tommy Hilfiger Little Boys TSP Exploded Flag Bright White 4</t>
  </si>
  <si>
    <t>TBSFB0EJ-100</t>
  </si>
  <si>
    <t>766360129613</t>
  </si>
  <si>
    <t>First Impressions Baby Girls Eyelet Shirt Spring Daffodil 12 months</t>
  </si>
  <si>
    <t>766380221281</t>
  </si>
  <si>
    <t>First Impressions Toddler Boys Smile Full-Zip Ja Blue Poppy 2T</t>
  </si>
  <si>
    <t>194135901285</t>
  </si>
  <si>
    <t>Carters Baby Boys 2-Pc. Truck-Print Bo Chameleon 3 months</t>
  </si>
  <si>
    <t>1N051510</t>
  </si>
  <si>
    <t>195861378051</t>
  </si>
  <si>
    <t>Carters Carters Baby Girls Daddys Li White, Pink 18 months</t>
  </si>
  <si>
    <t>762120024921</t>
  </si>
  <si>
    <t>191655264098</t>
  </si>
  <si>
    <t>Chickpea Chickpea Baby Boys or Baby Gir Gray 3-9 months</t>
  </si>
  <si>
    <t>HE02228973</t>
  </si>
  <si>
    <t>196122332058</t>
  </si>
  <si>
    <t>Koala Baby Baby Boys Rib Pants, Pack of 2 Navy 18-24 months</t>
  </si>
  <si>
    <t>766370210561</t>
  </si>
  <si>
    <t>Epic Threads StellaBlaise Big Girls Stella Bright White L</t>
  </si>
  <si>
    <t>100152154GR</t>
  </si>
  <si>
    <t>762120329323</t>
  </si>
  <si>
    <t>ID Ideology Big Boys Printed Camo T-Shirt Silver Ice L</t>
  </si>
  <si>
    <t>762120023764</t>
  </si>
  <si>
    <t>ID Ideology Big Boys Printed Camo T-Shirt Deep Black L</t>
  </si>
  <si>
    <t>762120023740</t>
  </si>
  <si>
    <t>ID Ideology Big Boys Printed Camo T-Shirt Deep Black S</t>
  </si>
  <si>
    <t>762120329316</t>
  </si>
  <si>
    <t>ID Ideology Big Boys Printed Camo T-Shirt Silver Ice M</t>
  </si>
  <si>
    <t>766370765627</t>
  </si>
  <si>
    <t>Epic Threads Little Boys Terry Shorts Skygaze 5</t>
  </si>
  <si>
    <t>733002789597</t>
  </si>
  <si>
    <t>Epic Threads Big Boys Short Sleeves Tie Dye Bright White S 810</t>
  </si>
  <si>
    <t>100124737BO</t>
  </si>
  <si>
    <t>194257638199</t>
  </si>
  <si>
    <t>Champion Champion Big Boys Brush Stroke Electric Cyan L 1416</t>
  </si>
  <si>
    <t>191159215701</t>
  </si>
  <si>
    <t>Happy Threads Baby Girls Harry Potter Set, 3 Red Multi 0-3 months</t>
  </si>
  <si>
    <t>191655248388</t>
  </si>
  <si>
    <t>Chickpea Chickpea Baby Boys Quilted Car Green 0-3 months</t>
  </si>
  <si>
    <t>191655263626</t>
  </si>
  <si>
    <t>Chickpea Chickpea Baby Girls Top, Jogge Gold Tone 6-9 months</t>
  </si>
  <si>
    <t>640013960573</t>
  </si>
  <si>
    <t>Univibe Big Boys Walker Sketchy Pocket White M 1012</t>
  </si>
  <si>
    <t>UB121480</t>
  </si>
  <si>
    <t>640013960597</t>
  </si>
  <si>
    <t>Univibe Big Boys Walker Sketchy Pocket White XL 1820</t>
  </si>
  <si>
    <t>640013960580</t>
  </si>
  <si>
    <t>Univibe Big Boys Walker Sketchy Pocket White L 1416</t>
  </si>
  <si>
    <t>640013960566</t>
  </si>
  <si>
    <t>Univibe Big Boys Walker Sketchy Pocket White S 8</t>
  </si>
  <si>
    <t>766360448981</t>
  </si>
  <si>
    <t>ID Ideology Toddler Little Girls Geo-Pri Pistachio Green 6X</t>
  </si>
  <si>
    <t>194135914056</t>
  </si>
  <si>
    <t>Carters Carters Baby Boys Pull-On Act Khaki 3 months</t>
  </si>
  <si>
    <t>194257505583</t>
  </si>
  <si>
    <t>Champion Big Girls Vertical Drop Shadow Pink Candy XLarge</t>
  </si>
  <si>
    <t>CHG051</t>
  </si>
  <si>
    <t>766360446949</t>
  </si>
  <si>
    <t>ID Ideology Big Girls Geo-Print Capri Legg Jet Ski M 1012</t>
  </si>
  <si>
    <t>762120082556</t>
  </si>
  <si>
    <t>Epic Threads Big Girls Drop Waist Dress Lavender Pool M</t>
  </si>
  <si>
    <t>766380221038</t>
  </si>
  <si>
    <t>First Impressions Baby Girls Graffiti Heart Hood Snow Owl Hthr 24 months</t>
  </si>
  <si>
    <t>762120691383</t>
  </si>
  <si>
    <t>ID Ideology Big Girls Twist-Front Top Pistachio Green L 14</t>
  </si>
  <si>
    <t>194257721563</t>
  </si>
  <si>
    <t>Champion Toddler Girls T-shirt Capri Orange 3T</t>
  </si>
  <si>
    <t>194257870704</t>
  </si>
  <si>
    <t>Champion Champion Toddler Girls Tossed Deep Forte Blue 2T</t>
  </si>
  <si>
    <t>194257667854</t>
  </si>
  <si>
    <t>Champion Champion Big Boys Champion Cla Natural, Electric Cyan M 1012</t>
  </si>
  <si>
    <t>194257873583</t>
  </si>
  <si>
    <t>Champion Big Boys Script Aberration Cir Swiss Blue M 1012</t>
  </si>
  <si>
    <t>194257660138</t>
  </si>
  <si>
    <t>Champion Big Girls Short Sleeves T-shir Mint XL 1820</t>
  </si>
  <si>
    <t>CHG144</t>
  </si>
  <si>
    <t>192136852407</t>
  </si>
  <si>
    <t>Carters Little Big Boys 6-Pk. Crew S 999 Ast 8-10</t>
  </si>
  <si>
    <t>3H798510</t>
  </si>
  <si>
    <t>762120819756</t>
  </si>
  <si>
    <t>ID Ideology Big Boys Colorblocked Shorts Deep Black XL</t>
  </si>
  <si>
    <t>194257619242</t>
  </si>
  <si>
    <t>Champion Champion Little Girls Boxy T-s White 6X</t>
  </si>
  <si>
    <t>195861404941</t>
  </si>
  <si>
    <t>Carters Carters Baby Girls Dog Snap-U Blue 9 months</t>
  </si>
  <si>
    <t>1O017810</t>
  </si>
  <si>
    <t>191655280715</t>
  </si>
  <si>
    <t>Chickpea Chickpea Baby Boys T-shirt and Navy 18 months</t>
  </si>
  <si>
    <t>766380724096</t>
  </si>
  <si>
    <t>First Impressions Baby Boys Girls Smiley Splas Deep Black 12 months</t>
  </si>
  <si>
    <t>766370167384</t>
  </si>
  <si>
    <t>ID Ideology Little Girls Marble-Print Shor Pistachio Green 4T</t>
  </si>
  <si>
    <t>733003081638</t>
  </si>
  <si>
    <t>ID Ideology Little Girls Flex Leggings Indigo Sea 3T</t>
  </si>
  <si>
    <t>194257660220</t>
  </si>
  <si>
    <t>Champion Little Girls T-shirt Mint 5</t>
  </si>
  <si>
    <t>766360667863</t>
  </si>
  <si>
    <t>Epic Threads Epic Threads Big Girls Heart A Blush Pink S 810</t>
  </si>
  <si>
    <t>733002283439</t>
  </si>
  <si>
    <t>Epic Threads Big Boys Short Sleeve All Over Nebulas Blue XL 20</t>
  </si>
  <si>
    <t>100120956BO</t>
  </si>
  <si>
    <t>194257656179</t>
  </si>
  <si>
    <t>Champion Toddler Girls Graphic T-shirt Aruba Blue 2T</t>
  </si>
  <si>
    <t>CHL119</t>
  </si>
  <si>
    <t>194257656223</t>
  </si>
  <si>
    <t>Champion Little Girls Graphic T-shirt Aruba Blue 6X</t>
  </si>
  <si>
    <t>194257656216</t>
  </si>
  <si>
    <t>Champion Little Girls Graphic T-shirt Aruba Blue 6</t>
  </si>
  <si>
    <t>733003577308</t>
  </si>
  <si>
    <t>Epic Threads Big Boys Short Sleeve Color Bl Bright Clover L 1618</t>
  </si>
  <si>
    <t>100133718BO</t>
  </si>
  <si>
    <t>194257657046</t>
  </si>
  <si>
    <t>Champion Little Girls Graphic T-shirt Oxford Heather 6X</t>
  </si>
  <si>
    <t>191655253757</t>
  </si>
  <si>
    <t>Chickpea Chickpea Baby Boys Bodysuit, J Navy 3-6 months</t>
  </si>
  <si>
    <t>HE22228827</t>
  </si>
  <si>
    <t>733003081263</t>
  </si>
  <si>
    <t>ID Ideology Big Girl Core Stretch Capri Le Vibrant Blue M 1012</t>
  </si>
  <si>
    <t>766370877597</t>
  </si>
  <si>
    <t>First Impressions Baby Boys Shirt Ultra Lime 12 months</t>
  </si>
  <si>
    <t>766370749443</t>
  </si>
  <si>
    <t>Epic Threads Epic Threads Little Girls Knit Sweet Berry 5</t>
  </si>
  <si>
    <t>766370893108</t>
  </si>
  <si>
    <t>ID Ideology Big Boys Stripe-Print T-Shirt Jaffa Orange L</t>
  </si>
  <si>
    <t>194135900745</t>
  </si>
  <si>
    <t>Carters Carters Baby Girls Striped Su Stripe 6 months</t>
  </si>
  <si>
    <t>1N069910</t>
  </si>
  <si>
    <t>194135906136</t>
  </si>
  <si>
    <t>Carters Carters Baby Boys Striped Hen Yellow 6 months</t>
  </si>
  <si>
    <t>766360648718</t>
  </si>
  <si>
    <t>Epic Threads Little Girls Stripe Flutter Sl Washed Indigo 5</t>
  </si>
  <si>
    <t>100145355LG</t>
  </si>
  <si>
    <t>766370064089</t>
  </si>
  <si>
    <t>Epic Threads Epic Threads Big Girls Tie-Dye Spacious Skies M 810</t>
  </si>
  <si>
    <t>100145146GR</t>
  </si>
  <si>
    <t>733004750762</t>
  </si>
  <si>
    <t>Epic Threads Big Girls Long Sleeve Graphic Sunset Flamingo S 810</t>
  </si>
  <si>
    <t>194135260252</t>
  </si>
  <si>
    <t>Carters Baby Girls 2-Way Zip Cotton Sl Blue Newborn</t>
  </si>
  <si>
    <t>195861159162</t>
  </si>
  <si>
    <t>Carters Toddler Girls Pull-on Terry Sh Turquoise 2T</t>
  </si>
  <si>
    <t>2N683410</t>
  </si>
  <si>
    <t>766370168909</t>
  </si>
  <si>
    <t>ID Ideology Toddler Little Girls Dreamer Heather Grey 5</t>
  </si>
  <si>
    <t>195861118183</t>
  </si>
  <si>
    <t>Carters Carters Baby Boys Jersey Tee Gray 24 months</t>
  </si>
  <si>
    <t>196325117766</t>
  </si>
  <si>
    <t>Batman Little Boys Batmobile Short Sl White 7</t>
  </si>
  <si>
    <t>80538128278</t>
  </si>
  <si>
    <t>Trimfit Little Big Girls 2-Pk. Ribbe Roseblack 4-6</t>
  </si>
  <si>
    <t>640013539601</t>
  </si>
  <si>
    <t>Univibe Big Boys Pocket T-Shirt Grey Heather S 8</t>
  </si>
  <si>
    <t>UB2181706</t>
  </si>
  <si>
    <t>762120347280</t>
  </si>
  <si>
    <t>First Impressions Baby Boy CLOSED TOE SANDAL Bright White 4</t>
  </si>
  <si>
    <t>733001985365</t>
  </si>
  <si>
    <t>First Impressions Baby Girls Flower Border Cotto Bright White 6-9 months</t>
  </si>
  <si>
    <t>100112864BG</t>
  </si>
  <si>
    <t>733003084189</t>
  </si>
  <si>
    <t>ID Ideology Big Girls Core Tank Top Chic Pink XL 16</t>
  </si>
  <si>
    <t>766360668884</t>
  </si>
  <si>
    <t>Epic Threads Epic Threads Big Girls Bike Sh Art Deco Green M 1012</t>
  </si>
  <si>
    <t>733002155163</t>
  </si>
  <si>
    <t>Epic Threads Big Boys Color-block Snow Jers Med Heather Gray S 810</t>
  </si>
  <si>
    <t>100117744BO</t>
  </si>
  <si>
    <t>766370425071</t>
  </si>
  <si>
    <t>Epic Threads Little Girls Short Sleeves Hea Washed Indigo 6X</t>
  </si>
  <si>
    <t>766370425057</t>
  </si>
  <si>
    <t>Epic Threads Toddler Girls Short Sleeves He Washed Indigo 3T</t>
  </si>
  <si>
    <t>766360647742</t>
  </si>
  <si>
    <t>Epic Threads Epic Threads Little Girls Berm Shell Pink 6X</t>
  </si>
  <si>
    <t>733002945009</t>
  </si>
  <si>
    <t>Epic Threads Little Boys Graphic T-shirt, C Light Gray Heather 7</t>
  </si>
  <si>
    <t>100124722LB</t>
  </si>
  <si>
    <t>766360645717</t>
  </si>
  <si>
    <t>Epic Threads Epic Threads Little Girls Love Orchid Bloom 6</t>
  </si>
  <si>
    <t>766360645977</t>
  </si>
  <si>
    <t>Epic Threads Little Girls Smile T-shirt Washed Indigo 6X</t>
  </si>
  <si>
    <t>766360645656</t>
  </si>
  <si>
    <t>Epic Threads Little Girls Cherry Print T-sh Spacious Sky 6</t>
  </si>
  <si>
    <t>766360646530</t>
  </si>
  <si>
    <t>Epic Threads Epic Threads Toddler Girls Cup Ghost Heather 2T</t>
  </si>
  <si>
    <t>766380265490</t>
  </si>
  <si>
    <t>Epic Threads Little Girls Tropical Rainbow Angel White 6X</t>
  </si>
  <si>
    <t>766360646394</t>
  </si>
  <si>
    <t>Epic Threads Little Girls Butterfly Pocket Orchid Bloom 5</t>
  </si>
  <si>
    <t>766360646202</t>
  </si>
  <si>
    <t>Epic Threads Toddler Girls Butterfly Graphi Art Deco Green 2T</t>
  </si>
  <si>
    <t>100145043LG</t>
  </si>
  <si>
    <t>766360645427</t>
  </si>
  <si>
    <t>Epic Threads Toddler Girls Change the World Angel White 2T</t>
  </si>
  <si>
    <t>100145093LG</t>
  </si>
  <si>
    <t>766360646288</t>
  </si>
  <si>
    <t>Epic Threads Little Girls Tie Front Stripe Washed Indigo 6</t>
  </si>
  <si>
    <t>766360646318</t>
  </si>
  <si>
    <t>Epic Threads Toddler Girls Tie Front Stripe Washed Indigo 4T</t>
  </si>
  <si>
    <t>766360646400</t>
  </si>
  <si>
    <t>Epic Threads Little Girls Butterfly Pocket Orchid Bloom 6</t>
  </si>
  <si>
    <t>766360645687</t>
  </si>
  <si>
    <t>Epic Threads Toddler Girls Cherry All Over Spacious Sky 4T</t>
  </si>
  <si>
    <t>766380211909</t>
  </si>
  <si>
    <t>First Impressions Toddler Girls Splatter-Print P Navy Nautical 4T</t>
  </si>
  <si>
    <t>100150144TG</t>
  </si>
  <si>
    <t>733002942343</t>
  </si>
  <si>
    <t>Epic Threads Epic Threads Big Boys Camo Bas Gossamer Green XL 20</t>
  </si>
  <si>
    <t>733002942336</t>
  </si>
  <si>
    <t>Epic Threads Epic Threads Big Boys Camo Bas Gossamer Green L 1416</t>
  </si>
  <si>
    <t>733002942329</t>
  </si>
  <si>
    <t>Epic Threads Epic Threads Big Boys Camo Bas Gossamer Green M 1214</t>
  </si>
  <si>
    <t>733002942312</t>
  </si>
  <si>
    <t>Epic Threads Epic Threads Big Boys Camo Bas Gossamer Green S 810</t>
  </si>
  <si>
    <t>762120819145</t>
  </si>
  <si>
    <t>ID Ideology Big Boys Core Athletic Tank Native Green M</t>
  </si>
  <si>
    <t>194135878570</t>
  </si>
  <si>
    <t>Carters Carters Baby Girls Grandpas Yellow 9 months</t>
  </si>
  <si>
    <t>1N075210</t>
  </si>
  <si>
    <t>733002942497</t>
  </si>
  <si>
    <t>Epic Threads Epic Threads Big Boys Camo Poc Gossamer Green L 1416</t>
  </si>
  <si>
    <t>100129426BO</t>
  </si>
  <si>
    <t>766380217819</t>
  </si>
  <si>
    <t>First Impressions Baby Boys Pocket Jogger Pants Safflower 24 months</t>
  </si>
  <si>
    <t>766380216539</t>
  </si>
  <si>
    <t>First Impressions Baby Boys Pocket Jogger Pants Tomato Puree 3-6 months</t>
  </si>
  <si>
    <t>766380217949</t>
  </si>
  <si>
    <t>First Impressions Baby Boys Knee Patch Jogger Pa Snow Owl Hthr 6-9 months</t>
  </si>
  <si>
    <t>766380221892</t>
  </si>
  <si>
    <t>First Impressions Baby Girls Fashion Bodysuit Safflower 18 months</t>
  </si>
  <si>
    <t>766380221687</t>
  </si>
  <si>
    <t>First Impressions Baby Girls Fashion Bodysuit Pink Fancy 18 months</t>
  </si>
  <si>
    <t>766370874145</t>
  </si>
  <si>
    <t>First Impressions Baby Boys Stripe-Print Jogger Angel White 6-9 months</t>
  </si>
  <si>
    <t>766370876149</t>
  </si>
  <si>
    <t>First Impressions Toddler Boys Jeep Jam Henley Hthr Dune 3T</t>
  </si>
  <si>
    <t>766360135287</t>
  </si>
  <si>
    <t>First Impressions Toddler Girls Fruit Fun Capri Bright White 4T</t>
  </si>
  <si>
    <t>733002283699</t>
  </si>
  <si>
    <t>Epic Threads Epic Threads Big Boys Solid Ba Heather Gray M 1214</t>
  </si>
  <si>
    <t>733001037798</t>
  </si>
  <si>
    <t>762120858014</t>
  </si>
  <si>
    <t>ID Ideology Toddler Little Boys Core Tan Deep Black 4T</t>
  </si>
  <si>
    <t>733003922870</t>
  </si>
  <si>
    <t>First Impressions Baby Girl DOT VELOUR TOP Cherry Red 24 months</t>
  </si>
  <si>
    <t>100101664BG</t>
  </si>
  <si>
    <t>766370874831</t>
  </si>
  <si>
    <t>First Impressions Toddler Boys Solid Mesh Shorts Island Orange 2T</t>
  </si>
  <si>
    <t>766370874671</t>
  </si>
  <si>
    <t>First Impressions Toddler Boys Solid Mesh Shorts Skygaze 2T</t>
  </si>
  <si>
    <t>766360160821</t>
  </si>
  <si>
    <t>First Impressions Baby Boy SOLID WOVEN SHORTS Ski Patrol 24 months</t>
  </si>
  <si>
    <t>766380220376</t>
  </si>
  <si>
    <t>First Impressions Toddler Boys Doodle T-Shirt Snow Owl Hthr 4T</t>
  </si>
  <si>
    <t>100151877TB</t>
  </si>
  <si>
    <t>766380220369</t>
  </si>
  <si>
    <t>766380211558</t>
  </si>
  <si>
    <t>100151861BG</t>
  </si>
  <si>
    <t>766380211541</t>
  </si>
  <si>
    <t>766360138004</t>
  </si>
  <si>
    <t>First Impressions Baby Boys Colorblocked Knit Sh Navy Nautical 24 months</t>
  </si>
  <si>
    <t>766380727165</t>
  </si>
  <si>
    <t>First Impressions Baby Girls Twisted Shirt Berry Blue Hthr 24 months</t>
  </si>
  <si>
    <t>100156945BG</t>
  </si>
  <si>
    <t>766360137939</t>
  </si>
  <si>
    <t>First Impressions Baby Boys Solid Grey Shorts Slate Hthr 6-9 months</t>
  </si>
  <si>
    <t>100141596BB</t>
  </si>
  <si>
    <t>766360158224</t>
  </si>
  <si>
    <t>First Impressions Baby Girls Eyelet Shorts Ski Patrol 6-9 months</t>
  </si>
  <si>
    <t>733003924249</t>
  </si>
  <si>
    <t>First Impressions Baby Girls Fair Isle Bow Long- Foxglove 3-6 months</t>
  </si>
  <si>
    <t>100131145BG</t>
  </si>
  <si>
    <t>766380215211</t>
  </si>
  <si>
    <t>First Impressions Baby Boys Colorblocked Shirt Safflower 24 months</t>
  </si>
  <si>
    <t>766360124359</t>
  </si>
  <si>
    <t>First Impressions Baby Girls Boys Gingham Bunn Cocoa Butter 6-9 months</t>
  </si>
  <si>
    <t>733004919374</t>
  </si>
  <si>
    <t>First Impressions Baby Girls Fair-Isle-Print Leg Angel White 6-9 months</t>
  </si>
  <si>
    <t>100137294BG</t>
  </si>
  <si>
    <t>766380211732</t>
  </si>
  <si>
    <t>First Impressions Toddler Girls Crayon Heart T-S Angel White 3T</t>
  </si>
  <si>
    <t>762120020176</t>
  </si>
  <si>
    <t>First Impressions Baby Girls Velour Ruffle Sweat Sugar Blue 18 months</t>
  </si>
  <si>
    <t>766360151157</t>
  </si>
  <si>
    <t>First Impressions Baby Girl RUFFLE BACK LEGGING Light Grey Hthr 12 months</t>
  </si>
  <si>
    <t>762120113120</t>
  </si>
  <si>
    <t>First Impressions Baby Boys Long-Sleeve Snow Con Slate Heather 12 months</t>
  </si>
  <si>
    <t>762120497534</t>
  </si>
  <si>
    <t>First Impressions Baby Girls Mama Duck-Graphic S Apple Blossom 24 months</t>
  </si>
  <si>
    <t>762120127707</t>
  </si>
  <si>
    <t>First Impressions Baby Boys Rocket T-Shirt Deep Black 24 months</t>
  </si>
  <si>
    <t>100138635BB</t>
  </si>
  <si>
    <t>766380215839</t>
  </si>
  <si>
    <t>First Impressions Baby Boys Colorblocked T-Shirt Safflower 6-9 months</t>
  </si>
  <si>
    <t>766370873094</t>
  </si>
  <si>
    <t>First Impressions Baby Boys Solid Mesh Shorts Aquarius 12 months</t>
  </si>
  <si>
    <t>766360134259</t>
  </si>
  <si>
    <t>First Impressions Baby Girls Daisy-Print Bloomer Apple Blossom 12 months</t>
  </si>
  <si>
    <t>766360134303</t>
  </si>
  <si>
    <t>First Impressions Baby Girls Daisy-Print Bloomer Apple Blossom 18 months</t>
  </si>
  <si>
    <t>766370874107</t>
  </si>
  <si>
    <t>First Impressions Baby Boys Joggers Island Orange 18 months</t>
  </si>
  <si>
    <t>733001668879</t>
  </si>
  <si>
    <t>First Impressions Baby Boys Tie Suspenders T-S Snow Owl Hthr 18 months</t>
  </si>
  <si>
    <t>766360136598</t>
  </si>
  <si>
    <t>First Impressions Baby Boys Balloon T-Shirt Spacious Skies 24 months</t>
  </si>
  <si>
    <t>733004745690</t>
  </si>
  <si>
    <t>First Impressions Baby Boys Popsicle Dude Long-S Willow Hedge 6-9 months</t>
  </si>
  <si>
    <t>766360149826</t>
  </si>
  <si>
    <t>First Impressions Baby Girls Tunic Shirt Apple Blossom 18 months</t>
  </si>
  <si>
    <t>762120497619</t>
  </si>
  <si>
    <t>First Impressions Baby Girls Graphic-Print Shirt Bright White 6-9 months</t>
  </si>
  <si>
    <t>733003927240</t>
  </si>
  <si>
    <t>First Impressions Baby Boy Ss Elk Tee Bone Hthr 18 months</t>
  </si>
  <si>
    <t>733003927219</t>
  </si>
  <si>
    <t>First Impressions Baby Boy Ss Elk Tee Bone Hthr 12 months</t>
  </si>
  <si>
    <t>766360159955</t>
  </si>
  <si>
    <t>First Impressions Baby Boys Sail-Print T-Shirt Daybreak Blue 18 months</t>
  </si>
  <si>
    <t>766370869301</t>
  </si>
  <si>
    <t>First Impressions Baby Boys Palm-Print Tank Aquarius 18 months</t>
  </si>
  <si>
    <t>807421645328</t>
  </si>
  <si>
    <t>Hurley Hurley Baby Boys Scuba 3-Piec Aurora Green 18 months</t>
  </si>
  <si>
    <t>195958723504</t>
  </si>
  <si>
    <t>Blueberi Boulevard Baby Girls Shrug Cardigan and Multi 24 months</t>
  </si>
  <si>
    <t>194170434496</t>
  </si>
  <si>
    <t>Rare Editions Big Girls Thermal Top with Tie Mustard 3-6 months</t>
  </si>
  <si>
    <t>191539865694</t>
  </si>
  <si>
    <t>Bonnie Baby Baby Girls Three Quarter Sleev Pink 24 months</t>
  </si>
  <si>
    <t>R54968-PT</t>
  </si>
  <si>
    <t>825663226099</t>
  </si>
  <si>
    <t>Nike Nike Baby Girl Tank Top and Bi Atmosphere 12 months</t>
  </si>
  <si>
    <t>16J591G</t>
  </si>
  <si>
    <t>7628067471668</t>
  </si>
  <si>
    <t>GUESS Baby Girls Eyelet and Stretch White 3-6 months</t>
  </si>
  <si>
    <t>S2GG11J1300</t>
  </si>
  <si>
    <t>191539882479</t>
  </si>
  <si>
    <t>Bonnie Baby Baby Girls Short Sleeved Mash Pink 24 months</t>
  </si>
  <si>
    <t>195861100058</t>
  </si>
  <si>
    <t>Carters Baby Boys Short Sleeve T-shirt Brown 6 months</t>
  </si>
  <si>
    <t>1N617110</t>
  </si>
  <si>
    <t>195861100041</t>
  </si>
  <si>
    <t>Carters Baby Boys Short Sleeve T-shirt Brown 3 months</t>
  </si>
  <si>
    <t>195861098058</t>
  </si>
  <si>
    <t>Carters Baby Boys Hooded Shirt Jacket Multi 3 months</t>
  </si>
  <si>
    <t>1N617410</t>
  </si>
  <si>
    <t>191539909114</t>
  </si>
  <si>
    <t>Bonnie Baby Baby Girls Flutter Sleeved Kni Yellow 24 months</t>
  </si>
  <si>
    <t>S5-10143-PV</t>
  </si>
  <si>
    <t>840028950730</t>
  </si>
  <si>
    <t>earth by art eden Baby Boys 2-Pc. T-Shirt Shor Marina 12 months</t>
  </si>
  <si>
    <t>6061MAH</t>
  </si>
  <si>
    <t>194133483165</t>
  </si>
  <si>
    <t>DRAFT - DEL F20 navy active mo Navy 10</t>
  </si>
  <si>
    <t>3J286210</t>
  </si>
  <si>
    <t>195861113997</t>
  </si>
  <si>
    <t>Carters Big Boys 2-Pc. Skateboard-Prin Print 5</t>
  </si>
  <si>
    <t>3N713710</t>
  </si>
  <si>
    <t>194134687388</t>
  </si>
  <si>
    <t>Koala Baby Koala Baby Girls Drawstring Pa Pink 6-9 months</t>
  </si>
  <si>
    <t>KLF01575</t>
  </si>
  <si>
    <t>194135950764</t>
  </si>
  <si>
    <t>Carters Little Girls Pocket Dress Stripe 5</t>
  </si>
  <si>
    <t>3N275510</t>
  </si>
  <si>
    <t>195861101413</t>
  </si>
  <si>
    <t>Carters Baby Girls 2-Pc. Crocheted Bod Pink Newborn</t>
  </si>
  <si>
    <t>195861121770</t>
  </si>
  <si>
    <t>Carters Little Boys Astronaut Basketba Print 6</t>
  </si>
  <si>
    <t>3N672710</t>
  </si>
  <si>
    <t>195861368625</t>
  </si>
  <si>
    <t>Carters Carters Baby Girls Floral Zip Green 3 months</t>
  </si>
  <si>
    <t>194257806222</t>
  </si>
  <si>
    <t>194133812408</t>
  </si>
  <si>
    <t>Carters Carters Baby Boys Alligator 2 Multi 3 months</t>
  </si>
  <si>
    <t>1J933810</t>
  </si>
  <si>
    <t>195861152521</t>
  </si>
  <si>
    <t>Carters Carters Baby Girls Printed Bi Tropical 3 months</t>
  </si>
  <si>
    <t>195861152538</t>
  </si>
  <si>
    <t>Carters Carters Baby Girls Printed Bi Tropical 6 months</t>
  </si>
  <si>
    <t>194135903685</t>
  </si>
  <si>
    <t>Carters Carters Baby Girls Grandmas Mint Newborn</t>
  </si>
  <si>
    <t>194135888944</t>
  </si>
  <si>
    <t>Carters Carters Baby Boys Mommy Love Green 12 months</t>
  </si>
  <si>
    <t>195861091028</t>
  </si>
  <si>
    <t>Carters Carters Baby Girls Tank Top B Blue 12 months</t>
  </si>
  <si>
    <t>190618924901</t>
  </si>
  <si>
    <t>LSBLOOMBEAR-SV-PLO</t>
  </si>
  <si>
    <t>8719323587861</t>
  </si>
  <si>
    <t>OppoSuits TEEN BOYS Black Knight Black 14</t>
  </si>
  <si>
    <t>195238038298</t>
  </si>
  <si>
    <t>Nike Nike Big Girls Sportswear High Black, White M 1012</t>
  </si>
  <si>
    <t>DD6302</t>
  </si>
  <si>
    <t>882925088055</t>
  </si>
  <si>
    <t>Polo Ralph Lauren Baby Girls Ruffled Jersey Top Elite Blue 6 months</t>
  </si>
  <si>
    <t>195242242476</t>
  </si>
  <si>
    <t>Nike Nike Big Girls Sportswear Crew Black, Cashmere S 8</t>
  </si>
  <si>
    <t>DJ5827</t>
  </si>
  <si>
    <t>885031553615</t>
  </si>
  <si>
    <t>Polo Ralph Lauren Little Girls Fleece Graphic Jo Garden Pink 5</t>
  </si>
  <si>
    <t>885031284595</t>
  </si>
  <si>
    <t>Polo Ralph Lauren Polo Ralph Lauren Big Boys Mes Newport Navy XL 1820</t>
  </si>
  <si>
    <t>190618965942</t>
  </si>
  <si>
    <t>Polo Ralph Lauren Big Boys Big Pony Long-Sleeve White S 810</t>
  </si>
  <si>
    <t>747941626554</t>
  </si>
  <si>
    <t>Speechless Speechless Big Girls Floral Hi Navy Blush 12</t>
  </si>
  <si>
    <t>747941499080</t>
  </si>
  <si>
    <t>Speechless Speechless Big Girls Social Ro Pale Blush 10</t>
  </si>
  <si>
    <t>SC224D19H908</t>
  </si>
  <si>
    <t>747941911032</t>
  </si>
  <si>
    <t>Speechless Speechless Big Girls Floral Dr Purple 7</t>
  </si>
  <si>
    <t>882925807113</t>
  </si>
  <si>
    <t>Polo Ralph Lauren Polo Ralph Lauren Toddler Boys White 4T</t>
  </si>
  <si>
    <t>193392910924</t>
  </si>
  <si>
    <t>The North Face Big Girls Printed Amphibious C Wisteria Purple L Regular</t>
  </si>
  <si>
    <t>193392911082</t>
  </si>
  <si>
    <t>The North Face Big Girls Printed Amphibious C Wisteria Purple XL Regular</t>
  </si>
  <si>
    <t>193392910504</t>
  </si>
  <si>
    <t>The North Face Big Girls Printed Amphibious C Wisteria Purple XXS REG</t>
  </si>
  <si>
    <t>825663220035</t>
  </si>
  <si>
    <t>Converse Converse Converse x Clements T Black M 1012</t>
  </si>
  <si>
    <t>4CC765E</t>
  </si>
  <si>
    <t>194170369699</t>
  </si>
  <si>
    <t>Rare Editions Big Girls Tank Top, Wide Leg P Yellow 12</t>
  </si>
  <si>
    <t>E491672</t>
  </si>
  <si>
    <t>194170369453</t>
  </si>
  <si>
    <t>Rare Editions Little Girls Denim Vest, Knit Blush 5</t>
  </si>
  <si>
    <t>194870729953</t>
  </si>
  <si>
    <t>adidas Big Girls Aeroready Ombre Tigh Black L 14</t>
  </si>
  <si>
    <t>194753904361</t>
  </si>
  <si>
    <t>Under Armour Under Armour Toddler Boys Hybr Black 2T</t>
  </si>
  <si>
    <t>UAFEI40J-001</t>
  </si>
  <si>
    <t>195958598003</t>
  </si>
  <si>
    <t>Calvin Klein Big Boys 5 Pocket Shorts Tan 18</t>
  </si>
  <si>
    <t>CKMFC01F-262</t>
  </si>
  <si>
    <t>195958598812</t>
  </si>
  <si>
    <t>Calvin Klein Big Boys Cuff Denim Shorts Zach 10</t>
  </si>
  <si>
    <t>CKSFC01F-476</t>
  </si>
  <si>
    <t>194170354954</t>
  </si>
  <si>
    <t>Rare Editions Big Girls Chiffon Dress and De Lilac 12</t>
  </si>
  <si>
    <t>194170354961</t>
  </si>
  <si>
    <t>Rare Editions Big Girls Chiffon Dress and De Lilac 14</t>
  </si>
  <si>
    <t>194170354947</t>
  </si>
  <si>
    <t>Rare Editions Big Girls Chiffon Dress and De Lilac 10</t>
  </si>
  <si>
    <t>742728639727</t>
  </si>
  <si>
    <t>Levis Levis Toddler Boys Skinny Fit Prime Time 3T</t>
  </si>
  <si>
    <t>71D613F</t>
  </si>
  <si>
    <t>194870729205</t>
  </si>
  <si>
    <t>adidas Big Girls Aeroready All Over P Shadow Navy XL 1820</t>
  </si>
  <si>
    <t>195958623453</t>
  </si>
  <si>
    <t>Timberland Big Boys Pull On Knit Shorts White M 1012</t>
  </si>
  <si>
    <t>TLSFC00F-100</t>
  </si>
  <si>
    <t>807421699628</t>
  </si>
  <si>
    <t>Hurley Hurley Little Boys Stretch Hyb Blue Gaze 6</t>
  </si>
  <si>
    <t>885540E</t>
  </si>
  <si>
    <t>194114858593</t>
  </si>
  <si>
    <t>The North Face Big Boys Graphic T-shirt Navy Heather S</t>
  </si>
  <si>
    <t>NF0A53CZNNV</t>
  </si>
  <si>
    <t>39 HUSKY</t>
  </si>
  <si>
    <t>193392918463</t>
  </si>
  <si>
    <t>The North Face Big Boys Never Stop Knit Train Blue XS Regular</t>
  </si>
  <si>
    <t>NF0A7QNTCZ6</t>
  </si>
  <si>
    <t>196010402467</t>
  </si>
  <si>
    <t>The North Face Big Boys Never Stop Knit Train Blue XXS REG</t>
  </si>
  <si>
    <t>195958091078</t>
  </si>
  <si>
    <t>Tommy Hilfiger Tommy Hilfiger Big Boys Color Gray Heather L 1618</t>
  </si>
  <si>
    <t>TBFEB04F-004</t>
  </si>
  <si>
    <t>194170355135</t>
  </si>
  <si>
    <t>Rare Editions Big Girls Pleated Chiffon Dres Pink 16</t>
  </si>
  <si>
    <t>194170355111</t>
  </si>
  <si>
    <t>Rare Editions Big Girls Pleated Chiffon Dres Pink 12</t>
  </si>
  <si>
    <t>194170355043</t>
  </si>
  <si>
    <t>Rare Editions Big Girls Denim Topper with Me Pink 14</t>
  </si>
  <si>
    <t>E491722</t>
  </si>
  <si>
    <t>652874408002</t>
  </si>
  <si>
    <t>Speechless Speechless Big Girls Dot Scoot Mustard, White Small</t>
  </si>
  <si>
    <t>194170412203</t>
  </si>
  <si>
    <t>Rare Editions Toddler Girls Knit Top with Bu Navy 2T</t>
  </si>
  <si>
    <t>S714872</t>
  </si>
  <si>
    <t>195958542471</t>
  </si>
  <si>
    <t>Calvin Klein Calvin Klein Toddler Boys 2 Pi White 4T</t>
  </si>
  <si>
    <t>195958542501</t>
  </si>
  <si>
    <t>Calvin Klein Calvin Klein Little Boys 2 Pie Navy 6</t>
  </si>
  <si>
    <t>3M52068-99</t>
  </si>
  <si>
    <t>766370777453</t>
  </si>
  <si>
    <t>Epic Threads Epic Threads Big Girls Shortal Angel White 8</t>
  </si>
  <si>
    <t>882925299444</t>
  </si>
  <si>
    <t>Polo Ralph Lauren Little Boys Jersey Crewneck T- Pacific Royal 6</t>
  </si>
  <si>
    <t>193666320824</t>
  </si>
  <si>
    <t>Calvin Klein Calvin Klein Big Boys 4 Pack B Basic Pack L 1416</t>
  </si>
  <si>
    <t>196027127650</t>
  </si>
  <si>
    <t>AME Big Boys Minecraft T-shirt, Pa Assorted 8</t>
  </si>
  <si>
    <t>MF389BZSMA</t>
  </si>
  <si>
    <t>193579002107</t>
  </si>
  <si>
    <t>Lucky Brand Lucky Brand Big Girl Deandra B Denim 10</t>
  </si>
  <si>
    <t>645163986442</t>
  </si>
  <si>
    <t>Levis Big Boys 511 Slim-Fit Stret Medium Blue 16</t>
  </si>
  <si>
    <t>91B084F</t>
  </si>
  <si>
    <t>682510062473</t>
  </si>
  <si>
    <t>Lucky Brand Lucky Brand Big Girls Zoe Skin Ada Wash 8</t>
  </si>
  <si>
    <t>42D35002-88</t>
  </si>
  <si>
    <t>194257611734</t>
  </si>
  <si>
    <t>Champion Big Boys Signature Fleece Hood Blue Seaglass S 8</t>
  </si>
  <si>
    <t>99909030683</t>
  </si>
  <si>
    <t>Nike Nike Big Boys Short Sleeve Hyd Black M</t>
  </si>
  <si>
    <t>NESSC841DS</t>
  </si>
  <si>
    <t>99909030676</t>
  </si>
  <si>
    <t>Nike Nike Big Boys Short Sleeve Hyd Black S</t>
  </si>
  <si>
    <t>195861083238</t>
  </si>
  <si>
    <t>Carters Carters Baby Boys 4-Piece Snu Print 24 months</t>
  </si>
  <si>
    <t>194135952461</t>
  </si>
  <si>
    <t>Carters Carters Baby Girls 4-Piece Sn PinkYellow 24 months</t>
  </si>
  <si>
    <t>1M976310</t>
  </si>
  <si>
    <t>195861368571</t>
  </si>
  <si>
    <t>Carters Carters Baby Girls Floral T-s Denim 3 months</t>
  </si>
  <si>
    <t>1N965010</t>
  </si>
  <si>
    <t>193391975351</t>
  </si>
  <si>
    <t>The North Face Big Girls Tri-Blend Tank TNF Black S</t>
  </si>
  <si>
    <t>NF0A5A25KS7</t>
  </si>
  <si>
    <t>193391975528</t>
  </si>
  <si>
    <t>The North Face Big Girls Tri-Blend Tank TNF Black L</t>
  </si>
  <si>
    <t>196010401620</t>
  </si>
  <si>
    <t>The North Face Big Girls Graphic T-shirt Wisteria Purple XXS</t>
  </si>
  <si>
    <t>NF0A5J46A7M</t>
  </si>
  <si>
    <t>193391975290</t>
  </si>
  <si>
    <t>The North Face Big Girls Tri-Blend Tank TNF Black XS</t>
  </si>
  <si>
    <t>193391975252</t>
  </si>
  <si>
    <t>The North Face Big Girls Tri-Blend Tank TNF Black XXS</t>
  </si>
  <si>
    <t>193391975627</t>
  </si>
  <si>
    <t>The North Face Big Girls Tri-Blend Tank TNF Black XL</t>
  </si>
  <si>
    <t>196325120933</t>
  </si>
  <si>
    <t>Disney Little Girls Minnie Mouse Flor Multi 4</t>
  </si>
  <si>
    <t>195861385264</t>
  </si>
  <si>
    <t>Carters Carters Baby Boys Car Long Sl Print 18 months</t>
  </si>
  <si>
    <t>766360670962</t>
  </si>
  <si>
    <t>Epic Threads Big Girls Butterfly Baby Doll Apple Blossom XL 1820</t>
  </si>
  <si>
    <t>100145621GR</t>
  </si>
  <si>
    <t>640013818423</t>
  </si>
  <si>
    <t>Univibe Univibe Big Boys Stone Dale Pe White XLarge</t>
  </si>
  <si>
    <t>640013818416</t>
  </si>
  <si>
    <t>Univibe Univibe Big Boys Stone Dale Pe White Large</t>
  </si>
  <si>
    <t>640013818409</t>
  </si>
  <si>
    <t>Univibe Univibe Big Boys Stone Dale Pe White Medium</t>
  </si>
  <si>
    <t>640013818393</t>
  </si>
  <si>
    <t>Univibe Univibe Big Boys Stone Dale Pe White Small</t>
  </si>
  <si>
    <t>194257454560</t>
  </si>
  <si>
    <t>Champion Little Boys Signature Fleece H White 6</t>
  </si>
  <si>
    <t>195958374355</t>
  </si>
  <si>
    <t>Kids Headquarters Kids Headquarters Toddler Girl Assorted 3T</t>
  </si>
  <si>
    <t>11M12011-99</t>
  </si>
  <si>
    <t>191021300504</t>
  </si>
  <si>
    <t>adidas 0 Power Red White XL 1820</t>
  </si>
  <si>
    <t>CF1050</t>
  </si>
  <si>
    <t>807421556297</t>
  </si>
  <si>
    <t>Nike Nike Little Boys Blocked Dri-F Black 7</t>
  </si>
  <si>
    <t>195958361454</t>
  </si>
  <si>
    <t>Tommy Hilfiger Tommy Hilfiger Baby Girls Shor Pink 6-9 months</t>
  </si>
  <si>
    <t>61M80079-99</t>
  </si>
  <si>
    <t>194870752142</t>
  </si>
  <si>
    <t>adidas Big Girls Short Sleeve Scoop N Crew Blue L 1416</t>
  </si>
  <si>
    <t>AA4965</t>
  </si>
  <si>
    <t>47852943277</t>
  </si>
  <si>
    <t>Ralph Lauren Girls or Little Girls 3 Pack NavyWhitePink 4-6</t>
  </si>
  <si>
    <t>G42000GPK</t>
  </si>
  <si>
    <t>4-6X</t>
  </si>
  <si>
    <t>9357755720372</t>
  </si>
  <si>
    <t>COTTON ON Toddler Boys Marlo Trackpants Turtle Green, Free Rider 2T</t>
  </si>
  <si>
    <t>7341199-38</t>
  </si>
  <si>
    <t>194513933365</t>
  </si>
  <si>
    <t>Under Armour Big Girls Play Up Solid Shorts Black Small</t>
  </si>
  <si>
    <t>192401208557</t>
  </si>
  <si>
    <t>Ring of Fire Ring of Fire Big Boys Biker Tw Black XL 1820</t>
  </si>
  <si>
    <t>RBB0010S</t>
  </si>
  <si>
    <t>766370911826</t>
  </si>
  <si>
    <t>ID Ideology Little Girls 2-Pc. T-Shirt S Rose Shadow 2T</t>
  </si>
  <si>
    <t>100148306LG</t>
  </si>
  <si>
    <t>733004294396</t>
  </si>
  <si>
    <t>First Impressions Baby Girls 2-Pc. Fuzzy Fleece Cherry Red 12 months</t>
  </si>
  <si>
    <t>100126838BG</t>
  </si>
  <si>
    <t>194257423863</t>
  </si>
  <si>
    <t>Champion Champion Little Girls Script F Black 6X</t>
  </si>
  <si>
    <t>762120819350</t>
  </si>
  <si>
    <t>ID Ideology Big Boys Solid Pullover Hoodie Stormy Hthr L</t>
  </si>
  <si>
    <t>742728089133</t>
  </si>
  <si>
    <t>Converse Converse Big Girls High-Waiste Black XLarge</t>
  </si>
  <si>
    <t>4CB332E</t>
  </si>
  <si>
    <t>194870733967</t>
  </si>
  <si>
    <t>adidas Big Boys Short Sleeve Two Colo Navy with Blue S 8</t>
  </si>
  <si>
    <t>194135922082</t>
  </si>
  <si>
    <t>Carters Toddler Girls Fruit Sweatshirt Ivory 2T</t>
  </si>
  <si>
    <t>195861303190</t>
  </si>
  <si>
    <t>Carters Carters Little Boys Drawstrin Navy 5</t>
  </si>
  <si>
    <t>3O003810</t>
  </si>
  <si>
    <t>45299038136</t>
  </si>
  <si>
    <t>Disney 7-Pk. Shopkins Underwear, Litt Shopkins 6</t>
  </si>
  <si>
    <t>194135929067</t>
  </si>
  <si>
    <t>Carters Toddler Girls 2-Piece Tie-Dye Assorted 2T</t>
  </si>
  <si>
    <t>2N087210</t>
  </si>
  <si>
    <t>192042807942</t>
  </si>
  <si>
    <t>Nautica Young Men Short Sleeve Double Light Blue XL</t>
  </si>
  <si>
    <t>NUFBB031-483</t>
  </si>
  <si>
    <t>192042807836</t>
  </si>
  <si>
    <t>Nautica Young Men Short Sleeve Double Navy L</t>
  </si>
  <si>
    <t>NUFBB031-410</t>
  </si>
  <si>
    <t>617844576914</t>
  </si>
  <si>
    <t>Nike Nike Toddler Girls Legging Dark Gray 2T</t>
  </si>
  <si>
    <t>26C723G</t>
  </si>
  <si>
    <t>192042807874</t>
  </si>
  <si>
    <t>Nautica Young Men Short Sleeve Double Burgundy L</t>
  </si>
  <si>
    <t>NUFBB031-601</t>
  </si>
  <si>
    <t>807421814236</t>
  </si>
  <si>
    <t>Jordan Jordan Little Boys Smoke Dye J Gym Red 4</t>
  </si>
  <si>
    <t>85B253G</t>
  </si>
  <si>
    <t>194135884694</t>
  </si>
  <si>
    <t>Carters Carters Baby Girls 2-Piece Ca Gray 18 months</t>
  </si>
  <si>
    <t>1N039310</t>
  </si>
  <si>
    <t>194135319059</t>
  </si>
  <si>
    <t>Carters Baby Cotton Hooded Elephant To Grey ONE SIZE</t>
  </si>
  <si>
    <t>1L932310</t>
  </si>
  <si>
    <t>9357754198493</t>
  </si>
  <si>
    <t>COTTON ON Toddler Boys Bailey Board Shor Smashed Avocado, Yin Yang 3Y</t>
  </si>
  <si>
    <t>7340274-82</t>
  </si>
  <si>
    <t>766390157662</t>
  </si>
  <si>
    <t>First Impressions Baby Boys 2-Pc. Star-Print Shi Sweet Raspberry 24 months</t>
  </si>
  <si>
    <t>100153918BB</t>
  </si>
  <si>
    <t>194135319080</t>
  </si>
  <si>
    <t>Carters Baby Girls 2-Pack Sleeper Gown Pink Multi 3 months</t>
  </si>
  <si>
    <t>1L778110</t>
  </si>
  <si>
    <t>807421550028</t>
  </si>
  <si>
    <t>Nike Nike Little Boys Air Hook T-sh Black 4</t>
  </si>
  <si>
    <t>86J152G</t>
  </si>
  <si>
    <t>194257662194</t>
  </si>
  <si>
    <t>Champion Little Girls Tie Dye Script Le Black 6X</t>
  </si>
  <si>
    <t>766360443771</t>
  </si>
  <si>
    <t>ID Ideology Toddler Little Girls Colorbl Jet Ski 6X</t>
  </si>
  <si>
    <t>766360314569</t>
  </si>
  <si>
    <t>ID Ideology Toddler Little Boys Pullover Deep Cobal 7</t>
  </si>
  <si>
    <t>191159170741</t>
  </si>
  <si>
    <t>Happy Threads Baby Boys Harry Potter Bodysui Multi 0-3 months</t>
  </si>
  <si>
    <t>HPB175ST</t>
  </si>
  <si>
    <t>196027072677</t>
  </si>
  <si>
    <t>Minnie Mouse Toddler Girls Minnie Mouse Paj Assorted 2T</t>
  </si>
  <si>
    <t>MW1139TLLMA</t>
  </si>
  <si>
    <t>38257555806</t>
  </si>
  <si>
    <t>Hanes Big Boys Ultimate Ankle Socks, White 9-11</t>
  </si>
  <si>
    <t>HBUDA0</t>
  </si>
  <si>
    <t>9359194314402</t>
  </si>
  <si>
    <t>COTTON ON Baby Boys Sawyer Shorts Frosty Blue, Dinos Night 3-6 months</t>
  </si>
  <si>
    <t>791923-57</t>
  </si>
  <si>
    <t>652874368993</t>
  </si>
  <si>
    <t>Speechless Speechless Big Girls Smocked T Turquoise M 810</t>
  </si>
  <si>
    <t>194257659927</t>
  </si>
  <si>
    <t>Champion Big Girls Brush Stroke Piecing Pink Candy S 8</t>
  </si>
  <si>
    <t>CHG526</t>
  </si>
  <si>
    <t>762120956970</t>
  </si>
  <si>
    <t>ID Ideology Big Girls Tonal Marble Legging Pistachio Green XL 16</t>
  </si>
  <si>
    <t>100141272GR</t>
  </si>
  <si>
    <t>762120956963</t>
  </si>
  <si>
    <t>ID Ideology Big Girls Tonal Marble Legging Pistachio Green L 14</t>
  </si>
  <si>
    <t>762120957144</t>
  </si>
  <si>
    <t>ID Ideology Big Girls Tonal Marble Legging Jet Ski XL 16</t>
  </si>
  <si>
    <t>766360447823</t>
  </si>
  <si>
    <t>ID Ideology Big Girls Petal-Print Leggings Tropic Blue S 78</t>
  </si>
  <si>
    <t>766360652043</t>
  </si>
  <si>
    <t>ID Ideology Big Girls Shirred Joggers Jet Ski L 14</t>
  </si>
  <si>
    <t>762120161244</t>
  </si>
  <si>
    <t>ID Ideology Big Girls Marble-Print Legging Deep Black S 78</t>
  </si>
  <si>
    <t>100136774GR</t>
  </si>
  <si>
    <t>195861102397</t>
  </si>
  <si>
    <t>Carters aby Girls 2-PC. Floral-Print B Ivory 24 months</t>
  </si>
  <si>
    <t>195861101352</t>
  </si>
  <si>
    <t>Carters Baby Girls 2-Pc. Crocheted Bod Pink 18 months</t>
  </si>
  <si>
    <t>194257234193</t>
  </si>
  <si>
    <t>Champion Big Girls Solid Varsity Woven Land Ice, White Large</t>
  </si>
  <si>
    <t>766370879935</t>
  </si>
  <si>
    <t>First Impressions Baby Girls 2-Pc. Terrycloth Sh Lime Boost 18 months</t>
  </si>
  <si>
    <t>191655254662</t>
  </si>
  <si>
    <t>Chickpea Chickpea Baby Boys or Baby Gir Oatmeal 3-9 months</t>
  </si>
  <si>
    <t>HE02228970</t>
  </si>
  <si>
    <t>766360129804</t>
  </si>
  <si>
    <t>First Impressions Baby Girls Light-Wash Denim Pa Lt Medium Wash 24 months</t>
  </si>
  <si>
    <t>100140986BG</t>
  </si>
  <si>
    <t>194257876751</t>
  </si>
  <si>
    <t>Champion Champion Big Girls Tossed Scri Deep Forte Blue M 1012</t>
  </si>
  <si>
    <t>CHG150</t>
  </si>
  <si>
    <t>195861284413</t>
  </si>
  <si>
    <t>Carters Carters Toddler Girls Long Sl Navy 2T</t>
  </si>
  <si>
    <t>733004948909</t>
  </si>
  <si>
    <t>First Impressions Baby Girls Mermazing 1-Pc. Swi Blue Glow 18 months</t>
  </si>
  <si>
    <t>100136061BG</t>
  </si>
  <si>
    <t>194257619631</t>
  </si>
  <si>
    <t>Champion Big Boys Short Sleeve Signatur Blue Seaglass XL 1820</t>
  </si>
  <si>
    <t>194257713056</t>
  </si>
  <si>
    <t>Champion Champion Big Boys Sunrise Scri Black L 1416</t>
  </si>
  <si>
    <t>195861153313</t>
  </si>
  <si>
    <t>Carters Toddler Girls Graphic-Print Fl Cream 5T</t>
  </si>
  <si>
    <t>195861153122</t>
  </si>
  <si>
    <t>Carters Toddler Girls Jersey Tank Top Blue 5T</t>
  </si>
  <si>
    <t>2N692510</t>
  </si>
  <si>
    <t>194135321991</t>
  </si>
  <si>
    <t>Carters Baby Boys or Girls 2-Pc. Cap Yellow Multi 3 months</t>
  </si>
  <si>
    <t>194257082916</t>
  </si>
  <si>
    <t>Champion Champion Big Girls Rainbow Scr Pink Small</t>
  </si>
  <si>
    <t>7199CG</t>
  </si>
  <si>
    <t>195958841703</t>
  </si>
  <si>
    <t>Tommy Hilfiger Tommy Hilfiger Big Girls Foil Teaberry L 1214</t>
  </si>
  <si>
    <t>195958841734</t>
  </si>
  <si>
    <t>Tommy Hilfiger Tommy Hilfiger Big Girls Foil Teaberry XL 16</t>
  </si>
  <si>
    <t>762120691123</t>
  </si>
  <si>
    <t>ID Ideology Big Girls Fearless Top Barely Pink S 78</t>
  </si>
  <si>
    <t>100141259GR</t>
  </si>
  <si>
    <t>766380272290</t>
  </si>
  <si>
    <t>Epic Threads Epic Threads Big Girls Dye Leg Coral Topaz L 1214</t>
  </si>
  <si>
    <t>100153019GR</t>
  </si>
  <si>
    <t>766360439354</t>
  </si>
  <si>
    <t>ID Ideology Toddler Little Girls Strong Bright White 3T</t>
  </si>
  <si>
    <t>733003081409</t>
  </si>
  <si>
    <t>ID Ideology Big Girl Core Stretch Capri Le Chic Pink S 78</t>
  </si>
  <si>
    <t>766360438777</t>
  </si>
  <si>
    <t>ID Ideology Toddler Little Girls Fearles Barely Pink 6X</t>
  </si>
  <si>
    <t>766360666880</t>
  </si>
  <si>
    <t>Epic Threads Big Girls Tie Front Pocket T-s Art Deco Green S 810</t>
  </si>
  <si>
    <t>9357754538169</t>
  </si>
  <si>
    <t>COTTON ON Baby Girls The Bandana Bib Earth Clay, Bruny Daisy ONE SIZE</t>
  </si>
  <si>
    <t>7341068-92</t>
  </si>
  <si>
    <t>9357754538145</t>
  </si>
  <si>
    <t>COTTON ON Baby Girls The Tie Headband Cloud Marle, Norfolk Daisy Fie ONE SIZE</t>
  </si>
  <si>
    <t>791833-151</t>
  </si>
  <si>
    <t>9357754545433</t>
  </si>
  <si>
    <t>COTTON ON Baby Neutral The Square Bib Rainy Day, Peace Love and Mud ONE SIZE</t>
  </si>
  <si>
    <t>7341069-148</t>
  </si>
  <si>
    <t>196325188223</t>
  </si>
  <si>
    <t>Marvel Big Boys Marvel Avengers Crew Royal XLarge</t>
  </si>
  <si>
    <t>9357754545426</t>
  </si>
  <si>
    <t>COTTON ON COTTON ON Baby Girls Square Bi Rainy Day, Big Flower ONE SIZE</t>
  </si>
  <si>
    <t>7341069-147</t>
  </si>
  <si>
    <t>9357754538176</t>
  </si>
  <si>
    <t>COTTON ON Baby Boys The Bandana Bib Rainy Day, Peace Signs ONE SIZE</t>
  </si>
  <si>
    <t>7341068-93</t>
  </si>
  <si>
    <t>9357754545440</t>
  </si>
  <si>
    <t>COTTON ON Baby Neutral The Square Bib Frosty Blue, Kombi Vans ONE SIZE</t>
  </si>
  <si>
    <t>7341069-149</t>
  </si>
  <si>
    <t>766370273047</t>
  </si>
  <si>
    <t>Epic Threads Epic Threads Big Girls Positiv Gossamer Green M 810</t>
  </si>
  <si>
    <t>194135322097</t>
  </si>
  <si>
    <t>Carters Baby Boys 2-Pack Caps Blue 0-3 months</t>
  </si>
  <si>
    <t>1L777210</t>
  </si>
  <si>
    <t>762120824392</t>
  </si>
  <si>
    <t>ID Ideology Toddler Little Boys Polo Bright White 5</t>
  </si>
  <si>
    <t>194135952935</t>
  </si>
  <si>
    <t>Carters Toddler Girls Capri Leggings Pink 3T</t>
  </si>
  <si>
    <t>194135905610</t>
  </si>
  <si>
    <t>Carters Carters Baby Girls Fruit Orig Purple 12 months</t>
  </si>
  <si>
    <t>762120821919</t>
  </si>
  <si>
    <t>ID Ideology Toddler Little Boys Solid Kn Deep Black 6</t>
  </si>
  <si>
    <t>192136681946</t>
  </si>
  <si>
    <t>Carters Little Big Girls 2-Pc. Cotto White 6-6X</t>
  </si>
  <si>
    <t>3H740910</t>
  </si>
  <si>
    <t>WILLIAM CARTER CO-UNDERWEAR GIRLS</t>
  </si>
  <si>
    <t>766380267593</t>
  </si>
  <si>
    <t>Epic Threads Epic Threads Toddler Girls Rib Sweet Berry 3T</t>
  </si>
  <si>
    <t>766370446281</t>
  </si>
  <si>
    <t>Epic Threads Toddler Girls All Over Printed Maize Yellow 2T</t>
  </si>
  <si>
    <t>762120085809</t>
  </si>
  <si>
    <t>Epic Threads Toddler Girls Astro Heart All- Deep Black 4T</t>
  </si>
  <si>
    <t>766380267609</t>
  </si>
  <si>
    <t>Epic Threads Epic Threads Toddler Girls Rib Sweet Berry 4T</t>
  </si>
  <si>
    <t>766390317073</t>
  </si>
  <si>
    <t>First Impressions Toddler Girls Floral-Print Ank Eucalyptus 3T</t>
  </si>
  <si>
    <t>100153960TG</t>
  </si>
  <si>
    <t>766360644970</t>
  </si>
  <si>
    <t>Epic Threads Toddler Girls Butterfly Peace Spacious Sky 3T</t>
  </si>
  <si>
    <t>100145049LG</t>
  </si>
  <si>
    <t>766370777835</t>
  </si>
  <si>
    <t>Epic Threads Epic Threads Little Girls Palm Angel White 5</t>
  </si>
  <si>
    <t>762120819114</t>
  </si>
  <si>
    <t>ID Ideology Big Boys Core Athletic Tank Bright White L</t>
  </si>
  <si>
    <t>766370874862</t>
  </si>
  <si>
    <t>First Impressions Toddler Boys Palm Tree Shorts Skygaze 2T</t>
  </si>
  <si>
    <t>766380513799</t>
  </si>
  <si>
    <t>Epic Threads Little Girls Heart-Print Leggi Bright White 3T</t>
  </si>
  <si>
    <t>100149796LG</t>
  </si>
  <si>
    <t>766370864641</t>
  </si>
  <si>
    <t>First Impressions Toddler Girls Seashell-Print B Violet Tulle 3T</t>
  </si>
  <si>
    <t>100149896TG</t>
  </si>
  <si>
    <t>762120496339</t>
  </si>
  <si>
    <t>First Impressions Toddler Girl Eyelet Shorts Bright White 4T</t>
  </si>
  <si>
    <t>766360963958</t>
  </si>
  <si>
    <t>Epic Threads Little Girls Striped Leggings Apple Blossom 5</t>
  </si>
  <si>
    <t>766380513553</t>
  </si>
  <si>
    <t>Epic Threads Little Girls Unicorn-Print T-S Sweet Berry 6</t>
  </si>
  <si>
    <t>100154091LG</t>
  </si>
  <si>
    <t>766380211640</t>
  </si>
  <si>
    <t>First Impressions Toddler Girls Wild Free Long Hthr Sterling 3T</t>
  </si>
  <si>
    <t>766380220352</t>
  </si>
  <si>
    <t>766360150860</t>
  </si>
  <si>
    <t>First Impressions Toddler Girls Peplum Cotton Tu Shell Pink 3T</t>
  </si>
  <si>
    <t>766370860346</t>
  </si>
  <si>
    <t>First Impressions Toddler Girls Solid Flutter Tu Hthr Dune 3T</t>
  </si>
  <si>
    <t>733002285860</t>
  </si>
  <si>
    <t>Epic Threads Epic Threads Little Boys Solid Medium Grey 6</t>
  </si>
  <si>
    <t>766370919389</t>
  </si>
  <si>
    <t>First Impressions Baby Boys Vacation Stripe-Prin Skygaze 12 months</t>
  </si>
  <si>
    <t>733001668855</t>
  </si>
  <si>
    <t>First Impressions Baby Boys Tie Suspenders T-S Snow Owl Hthr 3-6 months</t>
  </si>
  <si>
    <t>766360136550</t>
  </si>
  <si>
    <t>First Impressions Baby Boys Balloon T-Shirt Spacious Skies 12 months</t>
  </si>
  <si>
    <t>766380211008</t>
  </si>
  <si>
    <t>677838741407</t>
  </si>
  <si>
    <t>NKB HEATHER THERMA FZ SE</t>
  </si>
  <si>
    <t>86G806G</t>
  </si>
  <si>
    <t>652874419640</t>
  </si>
  <si>
    <t>DRESS KNEE LENGTH SQ</t>
  </si>
  <si>
    <t>S4235D02EPC</t>
  </si>
  <si>
    <t>652874419701</t>
  </si>
  <si>
    <t>DRESS KNEE LENGTH SU</t>
  </si>
  <si>
    <t>S4247D01WA24</t>
  </si>
  <si>
    <t>807421826475</t>
  </si>
  <si>
    <t>DRAFT - Levis Spring Chill Sh Truth Unfolds 6X</t>
  </si>
  <si>
    <t>190618846128</t>
  </si>
  <si>
    <t>Polo Ralph Lauren Baby Girls Polo Pony Interlock Delicate Pink ONE SIZE</t>
  </si>
  <si>
    <t>842999173200</t>
  </si>
  <si>
    <t>EASY MAGNETIC CLOSE Baby Girls Magnetic Footed Cov Lavender Tie-Dye 0-3 months</t>
  </si>
  <si>
    <t>195958361409</t>
  </si>
  <si>
    <t>Tommy Hilfiger Tommy Hilfiger Baby Girls Shor Red 0-3 months</t>
  </si>
  <si>
    <t>193666756067</t>
  </si>
  <si>
    <t>DRAFT - 3 PACK MULTI SILO BUND Blue M 78</t>
  </si>
  <si>
    <t>195861296881</t>
  </si>
  <si>
    <t>Carters Carters Baby Boys Bear T-shir RustNavy 9 months</t>
  </si>
  <si>
    <t>1N955710</t>
  </si>
  <si>
    <t>9357754931083</t>
  </si>
  <si>
    <t>COTTON ON Toddler Boys Max Short Sleeve Phantom, Frontier Trail 2Y</t>
  </si>
  <si>
    <t>7340322-231</t>
  </si>
  <si>
    <t>194135910393</t>
  </si>
  <si>
    <t>882925891525</t>
  </si>
  <si>
    <t>Polo Ralph Lauren Big Boys Logo Double-Knit Tear Heritage Royal Multi L 1416</t>
  </si>
  <si>
    <t>882925939272</t>
  </si>
  <si>
    <t>Polo Ralph Lauren Big Girls Velour Jogger Pant Navy XL 16</t>
  </si>
  <si>
    <t>194953490053</t>
  </si>
  <si>
    <t>Nike Nike Sportswear Big Boys 2 Pie Smoke Gray, Light Smoke Gray, Large</t>
  </si>
  <si>
    <t>885031844300</t>
  </si>
  <si>
    <t>Polo Ralph Lauren Big Boys Sullivan Slim Stretch Dell White 18</t>
  </si>
  <si>
    <t>882925889041</t>
  </si>
  <si>
    <t>Polo Ralph Lauren Big Boys Sullivan Slim Stretch Summit Wash 20</t>
  </si>
  <si>
    <t>885031316609</t>
  </si>
  <si>
    <t>Polo Ralph Lauren Little Girls Tie-Dye Spa Terry Rl 2000 Red, French Turquoise 6X</t>
  </si>
  <si>
    <t>882925889362</t>
  </si>
  <si>
    <t>Polo Ralph Lauren Big Boys Striped Mesh Polo Shi Empire Yellow, Lake Blue L 1416</t>
  </si>
  <si>
    <t>882925891891</t>
  </si>
  <si>
    <t>Carters Carters Baby Girls Grandmas Mint 3 months</t>
  </si>
  <si>
    <t>1N078310</t>
  </si>
  <si>
    <t>194135889644</t>
  </si>
  <si>
    <t>Carters Carters Baby Boys Mom and Dad Mint 18 months</t>
  </si>
  <si>
    <t>628735545865</t>
  </si>
  <si>
    <t>Lauren Ralph Lauren Lauren Ralph Lauren Big Boys S Charcoal 20R</t>
  </si>
  <si>
    <t>BXBU11PA0784</t>
  </si>
  <si>
    <t>194931283516</t>
  </si>
  <si>
    <t>Calvin Klein Big Boys Stretch Plain Weave J Light Gray 16</t>
  </si>
  <si>
    <t>194931283530</t>
  </si>
  <si>
    <t>Calvin Klein Big Boys Stretch Plain Weave J Light Gray 20</t>
  </si>
  <si>
    <t>627736311714</t>
  </si>
  <si>
    <t>Lauren Ralph Lauren Big Boys Logo Blazer Navy 20R</t>
  </si>
  <si>
    <t>BLWE11DB0000</t>
  </si>
  <si>
    <t>POLYESTER/RAYON/LYCRA® SPANDEX</t>
  </si>
  <si>
    <t>8719323587854</t>
  </si>
  <si>
    <t>OppoSuits TEEN BOYS Black Knight Black 12</t>
  </si>
  <si>
    <t>885031765742</t>
  </si>
  <si>
    <t>Polo Ralph Lauren Big Boys Big Pony Mesh Polo Sh White Multi M 1012</t>
  </si>
  <si>
    <t>882925854605</t>
  </si>
  <si>
    <t>Polo Ralph Lauren Little Boys Polo Prepster Stre White 7</t>
  </si>
  <si>
    <t>195438212344</t>
  </si>
  <si>
    <t>The North Face The North Face Baby Boys Gir Moab Khaki 6 months</t>
  </si>
  <si>
    <t>NF0A3Y6KZ74</t>
  </si>
  <si>
    <t>NORTH FACE/VF OUTDOOR INC/V F CORP</t>
  </si>
  <si>
    <t>885031096150</t>
  </si>
  <si>
    <t>Polo Ralph Lauren Big Boys Seersucker Short Slee Stripe Funshirt L 1416</t>
  </si>
  <si>
    <t>196361208244</t>
  </si>
  <si>
    <t>Steve Madden Steve Madden Little Girls Fash Iridescent 3M</t>
  </si>
  <si>
    <t>JRIVET</t>
  </si>
  <si>
    <t>195189417548</t>
  </si>
  <si>
    <t>Steve Madden Steve Madden Big Girls Studs S Tan 4M</t>
  </si>
  <si>
    <t>JTRAVEL</t>
  </si>
  <si>
    <t>POLYURETHANE UPPER AND LINING, SYNTHETIC SOLE</t>
  </si>
  <si>
    <t>192297480686</t>
  </si>
  <si>
    <t>Michael Kors Michael Kors Big Girls Emma Be Black 5M</t>
  </si>
  <si>
    <t>MK100141C</t>
  </si>
  <si>
    <t>BBC INTERNATIONAL LLC</t>
  </si>
  <si>
    <t>192410699650</t>
  </si>
  <si>
    <t>Teva Kids Hurricane XLT 2 Sandals Kishi Dark Blue 3</t>
  </si>
  <si>
    <t>1019390C</t>
  </si>
  <si>
    <t>195251594696</t>
  </si>
  <si>
    <t>Under Armour Big Girls Coldgear Novelty Lon Black Large</t>
  </si>
  <si>
    <t>194894145333</t>
  </si>
  <si>
    <t>Columbia Columbia Big Boys Park Jogger Mineral Pink Large</t>
  </si>
  <si>
    <t>194109745761</t>
  </si>
  <si>
    <t>ONeill Big Girls Nima Short Sleeve Sh Faded Rose L</t>
  </si>
  <si>
    <t>SP2816002</t>
  </si>
  <si>
    <t>O'NEILL SPORTSWEAR</t>
  </si>
  <si>
    <t>195251385591</t>
  </si>
  <si>
    <t>Under Armour Under Armour Big Girls Armour Cerise M 1012</t>
  </si>
  <si>
    <t>194715862227</t>
  </si>
  <si>
    <t>Teva Kids Original Universal Sandal Bright Multi 3</t>
  </si>
  <si>
    <t>1116656C</t>
  </si>
  <si>
    <t>882925097125</t>
  </si>
  <si>
    <t>Polo Ralph Lauren Little Boys Performance Stretc French Navy 7</t>
  </si>
  <si>
    <t>882925785961</t>
  </si>
  <si>
    <t>Polo Ralph Lauren Toddler Boys Camo Short Surplus Camo 44T</t>
  </si>
  <si>
    <t>766390023240</t>
  </si>
  <si>
    <t>Epic Threads Big Boys Blaise Hoodie Skygaze L 1618</t>
  </si>
  <si>
    <t>766390023233</t>
  </si>
  <si>
    <t>Epic Threads Big Boys Blaise Hoodie Skygaze M 1214</t>
  </si>
  <si>
    <t>194931287316</t>
  </si>
  <si>
    <t>Nautica Toddler Boys Herringbone Twill Khaki 2T</t>
  </si>
  <si>
    <t>NDSFR20J-231</t>
  </si>
  <si>
    <t>190618768345</t>
  </si>
  <si>
    <t>Polo Ralph Lauren Toddler Boys Basketball-Print Cruise Navy 4T</t>
  </si>
  <si>
    <t>766390024254</t>
  </si>
  <si>
    <t>Epic Threads Big Boys Blaise Denim Jeans Lt Medium Wash 16</t>
  </si>
  <si>
    <t>100158785BO</t>
  </si>
  <si>
    <t>766390024261</t>
  </si>
  <si>
    <t>Epic Threads Big Boys Blaise Denim Jeans Lt Medium Wash 18</t>
  </si>
  <si>
    <t>193605878782</t>
  </si>
  <si>
    <t>Nautica Little Boys Lake Edge Low-cut White 2</t>
  </si>
  <si>
    <t>LAKE EDGE</t>
  </si>
  <si>
    <t>888435461579</t>
  </si>
  <si>
    <t>Puma Little Boys Muscle T-shirt, Sh White Traditional 6</t>
  </si>
  <si>
    <t>PSP22V73-03353</t>
  </si>
  <si>
    <t>677838864779</t>
  </si>
  <si>
    <t>Nike Nike Baby Boys Thermal Half Zi Black 12 months</t>
  </si>
  <si>
    <t>194870732434</t>
  </si>
  <si>
    <t>adidas Big Girls Sleeveless Curved He Black M 1012</t>
  </si>
  <si>
    <t>AZ4611</t>
  </si>
  <si>
    <t>194870761793</t>
  </si>
  <si>
    <t>adidas Little Girls Printed T-shirt a White 4</t>
  </si>
  <si>
    <t>AG4577C</t>
  </si>
  <si>
    <t>194170354886</t>
  </si>
  <si>
    <t>Rare Editions Rare Editions Big Girls Mesh D Ivory 14</t>
  </si>
  <si>
    <t>E491702</t>
  </si>
  <si>
    <t>887096808693</t>
  </si>
  <si>
    <t>Lauren Ralph Lauren Lauren Ralph Lauren Big Boys D Gray 16R</t>
  </si>
  <si>
    <t>BEDGPZ1Y0700</t>
  </si>
  <si>
    <t>16 REG/MED</t>
  </si>
  <si>
    <t>766360660086</t>
  </si>
  <si>
    <t>Sun Stone Big Boys Kiva Sneaker Camo 4M</t>
  </si>
  <si>
    <t>766360660123</t>
  </si>
  <si>
    <t>Sun Stone Little Boys Kiva Sneakers Camo 13M</t>
  </si>
  <si>
    <t>766360660109</t>
  </si>
  <si>
    <t>Sun Stone Little Boys Kiva Sneakers Camo 11M</t>
  </si>
  <si>
    <t>766360660116</t>
  </si>
  <si>
    <t>Sun Stone Little Boys Kiva Sneakers Camo 12M</t>
  </si>
  <si>
    <t>617844455455</t>
  </si>
  <si>
    <t>Levis Levis Big Girls 710 Super Ski Blue Asphalt 14</t>
  </si>
  <si>
    <t>41R702F</t>
  </si>
  <si>
    <t>766360654658</t>
  </si>
  <si>
    <t>INC International Concepts INC International Concepts Lit Black 1M</t>
  </si>
  <si>
    <t>195958660526</t>
  </si>
  <si>
    <t>Tommy Hilfiger Tommy Hilfiger Big Boys Twill Crystal Coral 20</t>
  </si>
  <si>
    <t>TBSFC13F-672</t>
  </si>
  <si>
    <t>195958660465</t>
  </si>
  <si>
    <t>Tommy Hilfiger Tommy Hilfiger Big Boys Twill Bright White 8</t>
  </si>
  <si>
    <t>TBSFC13F-100</t>
  </si>
  <si>
    <t>766370347014</t>
  </si>
  <si>
    <t>INC International Concepts INC International Concepts Lit Black 2M</t>
  </si>
  <si>
    <t>825663386649</t>
  </si>
  <si>
    <t>Nike 3BRAND by Russell Wilson 3Brand by Russell Wilson Big B Obsidian Small</t>
  </si>
  <si>
    <t>742728738185</t>
  </si>
  <si>
    <t>Nike Nike Baby Girl Dri-fit Tunic a Charcoal Heather 12 months</t>
  </si>
  <si>
    <t>16I062G</t>
  </si>
  <si>
    <t>195958616417</t>
  </si>
  <si>
    <t>Timberland Big Boys Utility Pull On Short Humus S 8</t>
  </si>
  <si>
    <t>TLSFC03F-210Z</t>
  </si>
  <si>
    <t>195737704168</t>
  </si>
  <si>
    <t>adidas Big Girls High-Waisted Cycling Carbon, Black, White L 1416</t>
  </si>
  <si>
    <t>HC7067</t>
  </si>
  <si>
    <t>195861100126</t>
  </si>
  <si>
    <t>Carters Little Hot Dog Costume Set, 3 Multi 3-6 months</t>
  </si>
  <si>
    <t>192504636516</t>
  </si>
  <si>
    <t>Quiksilver Toddler Boys All Time Rash Gua Black 2T</t>
  </si>
  <si>
    <t>EQKWR03082</t>
  </si>
  <si>
    <t>2AVGREGMED</t>
  </si>
  <si>
    <t>194894704240</t>
  </si>
  <si>
    <t>Columbia Columbia Big Boys Sandy Shores Collegiate Navy L</t>
  </si>
  <si>
    <t>194870827512</t>
  </si>
  <si>
    <t>adidas Big Boys Aeroready Gradient 3- Glory Blue S 8</t>
  </si>
  <si>
    <t>194257611789</t>
  </si>
  <si>
    <t>Champion Champion Big Girls Printed Dip Ice Cake, Collage Blue, White XL 16</t>
  </si>
  <si>
    <t>CHG359</t>
  </si>
  <si>
    <t>195958243255</t>
  </si>
  <si>
    <t>Tommy Hilfiger Tommy Hilfiger Toddler Girls M Navy 4T</t>
  </si>
  <si>
    <t>TGHDH13V-405</t>
  </si>
  <si>
    <t>196258080908</t>
  </si>
  <si>
    <t>Calvin Klein Big Girls T-shirt and Short Se CK Lilac Leo M</t>
  </si>
  <si>
    <t>195958660212</t>
  </si>
  <si>
    <t>TBSFC10F-451</t>
  </si>
  <si>
    <t>652874407593</t>
  </si>
  <si>
    <t>Speechless Speechless Big Girls Stripe Ti Ivory, Navy Medium</t>
  </si>
  <si>
    <t>742728757025</t>
  </si>
  <si>
    <t>Nike Little Girls Luminous Leggings Arctic Punch 6X</t>
  </si>
  <si>
    <t>73% VISCOSE/22% POLYESTER/5% ELASTANE</t>
  </si>
  <si>
    <t>652874408491</t>
  </si>
  <si>
    <t>Speechless Big Girls Printed Scooter Top Turquoise, Pink, Ivory M 810</t>
  </si>
  <si>
    <t>S4253D89GD45</t>
  </si>
  <si>
    <t>762120672795</t>
  </si>
  <si>
    <t>INC International Concepts Little Girls Quinn Ballet Flat Black 1M</t>
  </si>
  <si>
    <t>195958408234</t>
  </si>
  <si>
    <t>766380221946</t>
  </si>
  <si>
    <t>First Impressions Baby Girls Floral-Print Top Blush Pink 6-9 months</t>
  </si>
  <si>
    <t>196027169919</t>
  </si>
  <si>
    <t>AME Mickey Mouse Baby Boys Pajamas Assorted 24 months</t>
  </si>
  <si>
    <t>MK917YSOMA</t>
  </si>
  <si>
    <t>194257619822</t>
  </si>
  <si>
    <t>Champion Toddler Girls Glitter C Script Black 3T</t>
  </si>
  <si>
    <t>888435516552</t>
  </si>
  <si>
    <t>Puma Big Boys Summer Break Mesh Sho Black XL 1820</t>
  </si>
  <si>
    <t>PSP22V9B-03445</t>
  </si>
  <si>
    <t>887224576388</t>
  </si>
  <si>
    <t>Nike Nike Big Girls Dri-Fit Tempo R Black L 14</t>
  </si>
  <si>
    <t>766380723075</t>
  </si>
  <si>
    <t>First Impressions Baby Girls 2-Pc. Tartan Bloome Winter Ivory 24 months</t>
  </si>
  <si>
    <t>766380274034</t>
  </si>
  <si>
    <t>Epic Threads Epic Threads Big Girls Dress w Angel White S 7</t>
  </si>
  <si>
    <t>193579002114</t>
  </si>
  <si>
    <t>Lucky Brand Lucky Brand Big Girl Deandra B Denim 12</t>
  </si>
  <si>
    <t>LBFCC12S-441</t>
  </si>
  <si>
    <t>195958628427</t>
  </si>
  <si>
    <t>Nautica Nautica Big Girls Logo Rashgua Navy L 1214</t>
  </si>
  <si>
    <t>NSSFK05S-417</t>
  </si>
  <si>
    <t>766370765290</t>
  </si>
  <si>
    <t>Epic Threads Toddler Boys T-shirt and Short Angel White 3T</t>
  </si>
  <si>
    <t>100151807LB</t>
  </si>
  <si>
    <t>196019037844</t>
  </si>
  <si>
    <t>Breaking Waves Big Girls One-in-a-Melon Swims Multi 16</t>
  </si>
  <si>
    <t>195958376298</t>
  </si>
  <si>
    <t>Kids Headquarters Kids Headquarters Toddler Girl Purple 2T</t>
  </si>
  <si>
    <t>11M12005-99</t>
  </si>
  <si>
    <t>766390062294</t>
  </si>
  <si>
    <t>Epic Threads Big Girls Stella Summer Vibes Angel White M 810</t>
  </si>
  <si>
    <t>100158788GR</t>
  </si>
  <si>
    <t>195958493452</t>
  </si>
  <si>
    <t>Kids Headquarters Kids Headquarters Little Boys Navy 7</t>
  </si>
  <si>
    <t>195958493438</t>
  </si>
  <si>
    <t>Kids Headquarters Kids Headquarters Little Boys Navy 5</t>
  </si>
  <si>
    <t>766360147938</t>
  </si>
  <si>
    <t>First Impressions Baby 2-Pk. Picnic Buddies Cove Light Grey Hthr 0-3 months</t>
  </si>
  <si>
    <t>766380515496</t>
  </si>
  <si>
    <t>Epic Threads Big Girls 3-Pack T-Shirts Apple Blossom XL 16</t>
  </si>
  <si>
    <t>100150782GR</t>
  </si>
  <si>
    <t>766380723372</t>
  </si>
  <si>
    <t>First Impressions Baby Boys Mixed Bodysuits, Pac Snow Owl Hthr 6-9 months</t>
  </si>
  <si>
    <t>766380723976</t>
  </si>
  <si>
    <t>First Impressions Baby Boys Girls Mixed Bodysu Deep Black 6-9 months</t>
  </si>
  <si>
    <t>889799991191</t>
  </si>
  <si>
    <t>Minecraft Big Boys Minecraft Pajamas, 2 Assorted 10</t>
  </si>
  <si>
    <t>MF325BLLMA</t>
  </si>
  <si>
    <t>195861129820</t>
  </si>
  <si>
    <t>Carters Carters Big Boys Joshua Tree Denim 8</t>
  </si>
  <si>
    <t>3N596410</t>
  </si>
  <si>
    <t>766370085237</t>
  </si>
  <si>
    <t>Epic Threads Toddler Boys Shorts Sleeve Hoo Light Heather Gray 4T</t>
  </si>
  <si>
    <t>194135318984</t>
  </si>
  <si>
    <t>Carters Baby Girls 5-Pk. Cotton Multi- Pink Multi 24 months</t>
  </si>
  <si>
    <t>1L780910</t>
  </si>
  <si>
    <t>192401174203</t>
  </si>
  <si>
    <t>Ring of Fire Ring of Fire Big Boys Cool Spa Black L 1416</t>
  </si>
  <si>
    <t>766360139049</t>
  </si>
  <si>
    <t>First Impressions Baby Girls 4-Pk. Bodysuits Lilac Moon Newborn</t>
  </si>
  <si>
    <t>766360145927</t>
  </si>
  <si>
    <t>First Impressions Baby Boys 2-Pk. Tie-Dyed Footi Skygaze 0-3 months</t>
  </si>
  <si>
    <t>696114427606</t>
  </si>
  <si>
    <t>Max Olivia Big Girls 3 Piece Holiday Top, Navy M 78</t>
  </si>
  <si>
    <t>552728-MA</t>
  </si>
  <si>
    <t>194870739938</t>
  </si>
  <si>
    <t>adidas Big Boys Short Sleeve Sports 2 Black with Green L 1416</t>
  </si>
  <si>
    <t>196122519626</t>
  </si>
  <si>
    <t>Koala Baby Koala Baby Girls Fox Printed B Blush Newborn</t>
  </si>
  <si>
    <t>194257857880</t>
  </si>
  <si>
    <t>Champion Champion Big Girls Signature S Knockout Pink L 1416</t>
  </si>
  <si>
    <t>CHG728</t>
  </si>
  <si>
    <t>194257877437</t>
  </si>
  <si>
    <t>Champion Champion Big Girls Outline Scr Knockout Pink XL 1820</t>
  </si>
  <si>
    <t>825663289629</t>
  </si>
  <si>
    <t>Nike Nike Little Boys Nikemoji Prin University Blue 4</t>
  </si>
  <si>
    <t>86J513G</t>
  </si>
  <si>
    <t>766370341241</t>
  </si>
  <si>
    <t>Sun Stone Big Boys Bowie Sandals Olive 4M</t>
  </si>
  <si>
    <t>194135873018</t>
  </si>
  <si>
    <t>Carters Carters Baby Boys Short Sleev Multi 3 months</t>
  </si>
  <si>
    <t>1N035910</t>
  </si>
  <si>
    <t>733004764295</t>
  </si>
  <si>
    <t>ID Ideology Big Girls Fleece Hoodie Rose Shadow S 78</t>
  </si>
  <si>
    <t>192042807812</t>
  </si>
  <si>
    <t>Nautica Young Men Short Sleeve Double White S</t>
  </si>
  <si>
    <t>NUFBB031-100</t>
  </si>
  <si>
    <t>194135938731</t>
  </si>
  <si>
    <t>Carters Big Girls Floral Jersey Romper Floral 10</t>
  </si>
  <si>
    <t>733004958724</t>
  </si>
  <si>
    <t>First Impressions Toddler Boys Gray Jeans Grey Wash 2T</t>
  </si>
  <si>
    <t>100135701TB</t>
  </si>
  <si>
    <t>756845971073</t>
  </si>
  <si>
    <t>First Impressions Tulle-Trim Blanket, Baby Girls Baby Pink ONE SIZE</t>
  </si>
  <si>
    <t>2323FI410</t>
  </si>
  <si>
    <t>807421762544</t>
  </si>
  <si>
    <t>Nike Nike Little Girls Icon Boxy T- Violet Shock 6</t>
  </si>
  <si>
    <t>36J078G</t>
  </si>
  <si>
    <t>195861320487</t>
  </si>
  <si>
    <t>194135897588</t>
  </si>
  <si>
    <t>Carters Carters Baby Boys Poplin Romp Blue Check 12 months</t>
  </si>
  <si>
    <t>1N059110</t>
  </si>
  <si>
    <t>194135899124</t>
  </si>
  <si>
    <t>Carters Carters Baby Girls Linen Romp Stripe 3 months</t>
  </si>
  <si>
    <t>1N058110</t>
  </si>
  <si>
    <t>762120690478</t>
  </si>
  <si>
    <t>ID Ideology Toddler Little Girls Marble- Barely Pink 6</t>
  </si>
  <si>
    <t>762120330008</t>
  </si>
  <si>
    <t>ID Ideology Little Toddler Girls Camo-Pr Deep Black 2T</t>
  </si>
  <si>
    <t>762120330176</t>
  </si>
  <si>
    <t>ID Ideology Little Boys Camo-Print Joggers Deep Black 6</t>
  </si>
  <si>
    <t>762120330251</t>
  </si>
  <si>
    <t>ID Ideology Little Boys Camo-Print Joggers Indigo Sea 4T</t>
  </si>
  <si>
    <t>762120330169</t>
  </si>
  <si>
    <t>ID Ideology Little Boys Camo-Print Joggers Deep Black 5</t>
  </si>
  <si>
    <t>194135316393</t>
  </si>
  <si>
    <t>Carters Baby Girls 3-Pc. Cotton Kangar Brown 18 months</t>
  </si>
  <si>
    <t>1L762710</t>
  </si>
  <si>
    <t>194135550520</t>
  </si>
  <si>
    <t>Carters Baby Boys 3-Pc. Lion Little Ch Blue Dino 9 months</t>
  </si>
  <si>
    <t>1M105310</t>
  </si>
  <si>
    <t>807421663490</t>
  </si>
  <si>
    <t>Hurley Hurley Little Boys Short Sleev White 7</t>
  </si>
  <si>
    <t>885415E</t>
  </si>
  <si>
    <t>194135857810</t>
  </si>
  <si>
    <t>Carters Carters Baby Boys 2-Piece Con Multi 9 months</t>
  </si>
  <si>
    <t>766370762596</t>
  </si>
  <si>
    <t>Epic Threads Big Boys Knit Terry Shorts Gossamer Green S 810</t>
  </si>
  <si>
    <t>766370762695</t>
  </si>
  <si>
    <t>Epic Threads Big Boys Knit Terry Shorts Terra Stone M 1012</t>
  </si>
  <si>
    <t>766370762718</t>
  </si>
  <si>
    <t>Epic Threads Big Boys Knit Terry Shorts Terra Stone XL 1820</t>
  </si>
  <si>
    <t>194135520264</t>
  </si>
  <si>
    <t>Carters Little Girls Floral-Print Pull Print 5</t>
  </si>
  <si>
    <t>3M287310</t>
  </si>
  <si>
    <t>191655283327</t>
  </si>
  <si>
    <t>Chickpea Chickpea Baby Girls Tops and S Yellow 18 months</t>
  </si>
  <si>
    <t>807421597023</t>
  </si>
  <si>
    <t>Nike Nike Little Girls Valentines S Gray Heather 6</t>
  </si>
  <si>
    <t>36J088G</t>
  </si>
  <si>
    <t>194135922679</t>
  </si>
  <si>
    <t>Carters Toddler Girls Cherry-Print Jog Red 4T</t>
  </si>
  <si>
    <t>762120060103</t>
  </si>
  <si>
    <t>ID Ideology Toddler Little Boys Knit Hoo DEEP BLACK 4T</t>
  </si>
  <si>
    <t>762120060097</t>
  </si>
  <si>
    <t>ID Ideology Toddler Little Boys Knit Hoo DEEP BLACK 7</t>
  </si>
  <si>
    <t>756845970106</t>
  </si>
  <si>
    <t>First Impressions 3-Pk. Dots Flowers Bodysuits Mint Multi 3-6 months</t>
  </si>
  <si>
    <t>756845970083</t>
  </si>
  <si>
    <t>First Impressions 3-Pk. Dots Flowers Bodysuits Mint Multi 0-3 months</t>
  </si>
  <si>
    <t>195861102304</t>
  </si>
  <si>
    <t>Carters Baby Boys 2-Pc. Truck-Print Bo Stripe 18 months</t>
  </si>
  <si>
    <t>195958495432</t>
  </si>
  <si>
    <t>Tommy Hilfiger Big Boys Stripe Boxer Briefs, Navy Blazer M 810</t>
  </si>
  <si>
    <t>195861097945</t>
  </si>
  <si>
    <t>Carters Baby Girls 2-Pc. Stripe Bodysu Yellow 12 months</t>
  </si>
  <si>
    <t>733002851997</t>
  </si>
  <si>
    <t>First Impressions Baby Boys Safari-Print Cotton Cali Blue 6-9 months</t>
  </si>
  <si>
    <t>100121258BB</t>
  </si>
  <si>
    <t>195861383031</t>
  </si>
  <si>
    <t>Carters Carters Baby Boys Zip-Up Flee Navy 18 months</t>
  </si>
  <si>
    <t>195861368113</t>
  </si>
  <si>
    <t>Carters Carters Baby Girls Unicorn Zi Gray 9 months</t>
  </si>
  <si>
    <t>194135328006</t>
  </si>
  <si>
    <t>Carters Baby Girls 2-Pack Pull-On Pant Greypink 9 months</t>
  </si>
  <si>
    <t>1L931010</t>
  </si>
  <si>
    <t>756845970212</t>
  </si>
  <si>
    <t>First Impressions Flowers Dots Blanket, Baby G Aqua Ice ONE SIZE</t>
  </si>
  <si>
    <t>2327FI410</t>
  </si>
  <si>
    <t>766370877733</t>
  </si>
  <si>
    <t>First Impressions Baby Boys Shirt Island Orange 3-6 months</t>
  </si>
  <si>
    <t>194257837127</t>
  </si>
  <si>
    <t>Champion Big Boys All Over Print Solid Sunbeam Glow, Blue Atoll XL</t>
  </si>
  <si>
    <t>191655248395</t>
  </si>
  <si>
    <t>Chickpea Chickpea Baby Boys Quilted Car Green 3-6 months</t>
  </si>
  <si>
    <t>HE22229099</t>
  </si>
  <si>
    <t>766360443412</t>
  </si>
  <si>
    <t>195861367710</t>
  </si>
  <si>
    <t>Carters Carters Baby Girls Jersey Lon Pink Stripe Newborn</t>
  </si>
  <si>
    <t>194257439871</t>
  </si>
  <si>
    <t>Champion Big Boys Short Sleeve All Over White L 1416</t>
  </si>
  <si>
    <t>194257533722</t>
  </si>
  <si>
    <t>Champion Big Boys All Over Print Script Dark Blue L 1416</t>
  </si>
  <si>
    <t>194257390165</t>
  </si>
  <si>
    <t>Champion Big Boys All Over Print Script Black M 1012</t>
  </si>
  <si>
    <t>194257533746</t>
  </si>
  <si>
    <t>Champion Big Boys All Over Print Script Dark Blue M 1012</t>
  </si>
  <si>
    <t>194257390172</t>
  </si>
  <si>
    <t>Champion Big Boys All Over Print Script Black L 1416</t>
  </si>
  <si>
    <t>195883920856</t>
  </si>
  <si>
    <t>Batman Big Boys DC Batman Short Sleev Black XL</t>
  </si>
  <si>
    <t>766360448820</t>
  </si>
  <si>
    <t>ID Ideology Big Girls Colorblocked Legging Hthr Grey 5</t>
  </si>
  <si>
    <t>766360649135</t>
  </si>
  <si>
    <t>Epic Threads Epic Threads Little Girls Lemo Orchid Bloom 6X</t>
  </si>
  <si>
    <t>640013834249</t>
  </si>
  <si>
    <t>Univibe Univibe Big Boys Toto Blocked Mohawk Large</t>
  </si>
  <si>
    <t>640013834256</t>
  </si>
  <si>
    <t>Univibe Univibe Big Boys Toto Blocked Mohawk XLarge</t>
  </si>
  <si>
    <t>766380816630</t>
  </si>
  <si>
    <t>Epic Threads Big Boys Short Sleeves Camo Po Blue Ash Stone S 810</t>
  </si>
  <si>
    <t>194257651006</t>
  </si>
  <si>
    <t>Champion Champion Big Boys Champion Cla Navy S 8</t>
  </si>
  <si>
    <t>194257640536</t>
  </si>
  <si>
    <t>Champion Champion Big Boys Champion Cla Lakeside Green M 1012</t>
  </si>
  <si>
    <t>194257869753</t>
  </si>
  <si>
    <t>Champion Champion Big Girls Classic Scr Sizzling Mint Green L 1416</t>
  </si>
  <si>
    <t>766380222363</t>
  </si>
  <si>
    <t>First Impressions Baby Boys Hooded Bodysuit Nikko Blue 0-3 months</t>
  </si>
  <si>
    <t>766360828936</t>
  </si>
  <si>
    <t>ID Ideology Big Boys Mesh Break Shorts Deep Charc L</t>
  </si>
  <si>
    <t>766370894471</t>
  </si>
  <si>
    <t>ID Ideology Big Boys Mesh Break Shorts Licorice Red XL</t>
  </si>
  <si>
    <t>766370894457</t>
  </si>
  <si>
    <t>ID Ideology Big Boys Mesh Break Shorts Licorice Red M</t>
  </si>
  <si>
    <t>766370894464</t>
  </si>
  <si>
    <t>ID Ideology Big Boys Mesh Break Shorts Licorice Red L</t>
  </si>
  <si>
    <t>762120023948</t>
  </si>
  <si>
    <t>ID Ideology Toddler Little Boys Camo-Pri DEEP BLACK 7</t>
  </si>
  <si>
    <t>762120329804</t>
  </si>
  <si>
    <t>ID Ideology Toddler Little Boys Camo-Pri Silver Ice 3T</t>
  </si>
  <si>
    <t>762120023931</t>
  </si>
  <si>
    <t>ID Ideology Toddler Little Boys Camo-Pri DEEP BLACK 6</t>
  </si>
  <si>
    <t>762120819893</t>
  </si>
  <si>
    <t>ID Ideology Big Boys Colorblocked Shorts Native Green S</t>
  </si>
  <si>
    <t>762120820035</t>
  </si>
  <si>
    <t>ID Ideology Big Boys Colorblocked Shorts Indigo Sea M</t>
  </si>
  <si>
    <t>762120819732</t>
  </si>
  <si>
    <t>ID Ideology Big Boys Colorblocked Shorts Deep Black M</t>
  </si>
  <si>
    <t>195861137016</t>
  </si>
  <si>
    <t>Carters Baby Boys Sports-Print Footie Print 12 months</t>
  </si>
  <si>
    <t>194135928565</t>
  </si>
  <si>
    <t>Carters Carters Baby Girls One-Piece Pink Cherry 18 months</t>
  </si>
  <si>
    <t>1N048210</t>
  </si>
  <si>
    <t>195861364320</t>
  </si>
  <si>
    <t>Carters Carters Baby Boys Dinosaur 2- Cream 6 months</t>
  </si>
  <si>
    <t>1O018410</t>
  </si>
  <si>
    <t>194135928855</t>
  </si>
  <si>
    <t>Carters Toddler Boys One-Piece Snug Fi Transportation Print 5T</t>
  </si>
  <si>
    <t>2N032510</t>
  </si>
  <si>
    <t>191655280708</t>
  </si>
  <si>
    <t>Chickpea Chickpea Baby Boys T-shirt and Navy 12 months</t>
  </si>
  <si>
    <t>PE23232065</t>
  </si>
  <si>
    <t>762120060271</t>
  </si>
  <si>
    <t>ID Ideology Little Boys Knit Joggers DEEP BLACK 7</t>
  </si>
  <si>
    <t>762120212342</t>
  </si>
  <si>
    <t>ID Ideology Little Boys Knit Joggers Stormy Heather 2T</t>
  </si>
  <si>
    <t>762120060301</t>
  </si>
  <si>
    <t>ID Ideology Little Boys Knit Joggers DEEP BLACK 3T</t>
  </si>
  <si>
    <t>762120060578</t>
  </si>
  <si>
    <t>ID Ideology Little Boys Knit Joggers INDIGO SEA 2T</t>
  </si>
  <si>
    <t>762120060547</t>
  </si>
  <si>
    <t>ID Ideology Little Boys Knit Joggers INDIGO SEA 6</t>
  </si>
  <si>
    <t>194257497369</t>
  </si>
  <si>
    <t>Champion Champion Big Girls Drop Shadow Black Small</t>
  </si>
  <si>
    <t>CHG052</t>
  </si>
  <si>
    <t>766380723426</t>
  </si>
  <si>
    <t>First Impressions Baby Boys Critters Solid Pan Snow Owl Hthr 12 months</t>
  </si>
  <si>
    <t>195861147909</t>
  </si>
  <si>
    <t>Carters Toddler Girls Printed Sleevele Floral 2T</t>
  </si>
  <si>
    <t>2N679910</t>
  </si>
  <si>
    <t>766390156238</t>
  </si>
  <si>
    <t>First Impressions Baby Boys Holly Plaid Suspende Pewter Hthr 12 months</t>
  </si>
  <si>
    <t>766390156283</t>
  </si>
  <si>
    <t>First Impressions Baby Boys Holly Plaid Suspende Pewter Hthr 0-3 months</t>
  </si>
  <si>
    <t>766390156245</t>
  </si>
  <si>
    <t>First Impressions Baby Boys Holly Plaid Suspende Pewter Hthr 3-6 months</t>
  </si>
  <si>
    <t>194257660190</t>
  </si>
  <si>
    <t>Champion Toddler Girls T-shirt Mint 3T</t>
  </si>
  <si>
    <t>194257796905</t>
  </si>
  <si>
    <t>Champion Toddler Boys Classic Short Sle Natural 3T</t>
  </si>
  <si>
    <t>191655254549</t>
  </si>
  <si>
    <t>Chickpea Chickpea Baby Girls Bodysuit, Coral Pink 6-9 months</t>
  </si>
  <si>
    <t>191655254822</t>
  </si>
  <si>
    <t>Chickpea Chickpea Baby Girls Bodysuit, Light Pink 3-6 months</t>
  </si>
  <si>
    <t>196325089568</t>
  </si>
  <si>
    <t>Disney Toddler Girls The Child Sunset White 3T</t>
  </si>
  <si>
    <t>766380725796</t>
  </si>
  <si>
    <t>First Impressions Baby Girls Dot-Print Sunsuit RedWinter Ivory 6-9 months</t>
  </si>
  <si>
    <t>196325169314</t>
  </si>
  <si>
    <t>Star Wars Star Wars Big Boys Comic Graph Red Large</t>
  </si>
  <si>
    <t>196325191872</t>
  </si>
  <si>
    <t>Star Wars Big Boys Star Wars Rainbow Tro Heather Gray L 1416</t>
  </si>
  <si>
    <t>2YSWC4913</t>
  </si>
  <si>
    <t>766360125424</t>
  </si>
  <si>
    <t>First Impressions Baby Boys Cotton Sport-Print P Navy Nautical 0-3 months</t>
  </si>
  <si>
    <t>100141708BB</t>
  </si>
  <si>
    <t>766360125394</t>
  </si>
  <si>
    <t>First Impressions Baby Boys Cotton Sport-Print P Navy Nautical 6-9 months</t>
  </si>
  <si>
    <t>766360828790</t>
  </si>
  <si>
    <t>ID Ideology Toddler Little Boys Mesh Sho Deep Charc 4T</t>
  </si>
  <si>
    <t>762120959568</t>
  </si>
  <si>
    <t>ID Ideology Little Girls Lace-Up Top Violet Tulle 6X</t>
  </si>
  <si>
    <t>762120824620</t>
  </si>
  <si>
    <t>ID Ideology Toddler Little Boys Polo Indigo Sea 7</t>
  </si>
  <si>
    <t>726895466751</t>
  </si>
  <si>
    <t>First Impressions Striped Skirted Sun Suit, Baby Deep Black 24 months</t>
  </si>
  <si>
    <t>100005544R</t>
  </si>
  <si>
    <t>766360156077</t>
  </si>
  <si>
    <t>First Impressions Baby Girl DOT SUNSUIT Fiery Red 12 months</t>
  </si>
  <si>
    <t>762120498579</t>
  </si>
  <si>
    <t>First Impressions Baby Girls Watermelon Cotton S Peony Pink 12 months</t>
  </si>
  <si>
    <t>766380515205</t>
  </si>
  <si>
    <t>Epic Threads Big Girls Unicorn-Print Leggin Sweet Berry XL 16</t>
  </si>
  <si>
    <t>100154396GR</t>
  </si>
  <si>
    <t>766370770645</t>
  </si>
  <si>
    <t>Epic Threads Epic Threads Big Girls Bike Sh Sweet Berry XL 16</t>
  </si>
  <si>
    <t>194135898028</t>
  </si>
  <si>
    <t>Carters Baby Boys Faux Denim Pants Navy 6 months</t>
  </si>
  <si>
    <t>1M979810</t>
  </si>
  <si>
    <t>195861378204</t>
  </si>
  <si>
    <t>Carters Carters Baby Girls Pull-On Pa Gray 12 months</t>
  </si>
  <si>
    <t>1N989410</t>
  </si>
  <si>
    <t>762120822305</t>
  </si>
  <si>
    <t>ID Ideology Toddler Little Boys Solid Kn Deep Black 2T</t>
  </si>
  <si>
    <t>766380514635</t>
  </si>
  <si>
    <t>Epic Threads Big Girls Heart-Print Leggings Bright White S 7</t>
  </si>
  <si>
    <t>100149796GR</t>
  </si>
  <si>
    <t>766360647162</t>
  </si>
  <si>
    <t>Epic Threads Toddler Girls Stripe Leggings Angel White 3T</t>
  </si>
  <si>
    <t>100145117LG</t>
  </si>
  <si>
    <t>762120085366</t>
  </si>
  <si>
    <t>Epic Threads Toddler Girls Ruched Heart Kne Lavender Pool 3T</t>
  </si>
  <si>
    <t>766360686024</t>
  </si>
  <si>
    <t>Epic Threads Little Boys Shark Graphic T-sh Sparkling Blue 6</t>
  </si>
  <si>
    <t>762120823715</t>
  </si>
  <si>
    <t>ID Ideology Little Boys Core Training Shir Lime Popsicle 2T</t>
  </si>
  <si>
    <t>766360314484</t>
  </si>
  <si>
    <t>ID Ideology Little Boys Core Training Shir Deep Cobal 5</t>
  </si>
  <si>
    <t>762120123853</t>
  </si>
  <si>
    <t>First Impressions Toddler Girls Sweetheart Dot L Sunset Flamingo 4T</t>
  </si>
  <si>
    <t>100137319TG</t>
  </si>
  <si>
    <t>766370893801</t>
  </si>
  <si>
    <t>ID Ideology Big Boys Core Athletic Tank Licorice Red M</t>
  </si>
  <si>
    <t>196325169161</t>
  </si>
  <si>
    <t>Hybrid Big Boys NASA Explore Graphic Royal Heather XLarge</t>
  </si>
  <si>
    <t>2YNAS1306</t>
  </si>
  <si>
    <t>196325087342</t>
  </si>
  <si>
    <t>Hybrid Big Boys Generic Controller Gr Heather Gray M</t>
  </si>
  <si>
    <t>1YB1716</t>
  </si>
  <si>
    <t>766360968205</t>
  </si>
  <si>
    <t>Epic Threads Big Girls Solid Leggings Shell Pink L 1214</t>
  </si>
  <si>
    <t>100142601GR</t>
  </si>
  <si>
    <t>766360968199</t>
  </si>
  <si>
    <t>Epic Threads Big Girls Solid Leggings Shell Pink M 810</t>
  </si>
  <si>
    <t>762120496384</t>
  </si>
  <si>
    <t>First Impressions Toddler Girl Eyelet Shorts Spring Daffodil 3T</t>
  </si>
  <si>
    <t>766370873872</t>
  </si>
  <si>
    <t>First Impressions Baby Boys Underwater Adventure Peppermintfrost 24 months</t>
  </si>
  <si>
    <t>766380514369</t>
  </si>
  <si>
    <t>Epic Threads Big Girls Solid Shirt Light Blue M 810</t>
  </si>
  <si>
    <t>766380720111</t>
  </si>
  <si>
    <t>First Impressions Baby Girls Bear Hugs T-Shirt Winter Ivory 18 months</t>
  </si>
  <si>
    <t>766380211411</t>
  </si>
  <si>
    <t>First Impressions Baby Girls Floral-Print Tunic Blush Pink 6-9 months</t>
  </si>
  <si>
    <t>733002944224</t>
  </si>
  <si>
    <t>Epic Threads Little Boys Camo Basic Tee, Cr Deep Black 7</t>
  </si>
  <si>
    <t>762120497398</t>
  </si>
  <si>
    <t>First Impressions Baby Girls Tie-Dye Horizontal Apple Blossom 18 months</t>
  </si>
  <si>
    <t>766380215228</t>
  </si>
  <si>
    <t>First Impressions Baby Boys Splatter-Print Henle Navy Nautical 12 months</t>
  </si>
  <si>
    <t>733004883835</t>
  </si>
  <si>
    <t>First Impressions Baby Boys Snow Cone Slim-Fit T Sundrop 0-3 months</t>
  </si>
  <si>
    <t>766380213002</t>
  </si>
  <si>
    <t>First Impressions Baby Girls Heart-Print Legging Snow Owl Hthr 3-6 months</t>
  </si>
  <si>
    <t>766370861220</t>
  </si>
  <si>
    <t>First Impressions Baby Girls Sleeveless Palm Tun Sweet Berry 12 months</t>
  </si>
  <si>
    <t>100150021BG</t>
  </si>
  <si>
    <t>762120020206</t>
  </si>
  <si>
    <t>First Impressions Baby Girls Velour Ruffle Sweat Strawberry Pink 3-6 months</t>
  </si>
  <si>
    <t>100137299BG</t>
  </si>
  <si>
    <t>733004738999</t>
  </si>
  <si>
    <t>First Impressions Baby Girls Puppy Stroll Long-S Sunset Flamingo 18 months</t>
  </si>
  <si>
    <t>100137313BG</t>
  </si>
  <si>
    <t>766380215051</t>
  </si>
  <si>
    <t>First Impressions Baby Boys Dino-Print T-Shirt Blue Poppy 18 months</t>
  </si>
  <si>
    <t>733001668848</t>
  </si>
  <si>
    <t>First Impressions Baby Boys Tie Suspenders T-S Snow Owl Hthr 12 months</t>
  </si>
  <si>
    <t>100104792BB</t>
  </si>
  <si>
    <t>762120113632</t>
  </si>
  <si>
    <t>First Impressions Baby Boys Colorblocked Cotton Willow Hedge 24 months</t>
  </si>
  <si>
    <t>100138659BB</t>
  </si>
  <si>
    <t>733003927554</t>
  </si>
  <si>
    <t>First Impressions Baby Boys Tree on a Car T-Shir Black Hthr 24 months</t>
  </si>
  <si>
    <t>733003927233</t>
  </si>
  <si>
    <t>First Impressions Baby Boy Ss Elk Tee Bone Hthr 6-9 months</t>
  </si>
  <si>
    <t>766370869264</t>
  </si>
  <si>
    <t>First Impressions Baby Boys Summer Graphic T-Shi White Frog 24 months</t>
  </si>
  <si>
    <t>191539946027</t>
  </si>
  <si>
    <t>Bonnie Baby Baby Girls Floral Long Sleeved Multi 12 months</t>
  </si>
  <si>
    <t>882925925008</t>
  </si>
  <si>
    <t>Polo Ralph Lauren Baby Boys Polo Bear Cotton Jer Green 3 months</t>
  </si>
  <si>
    <t>825663214966</t>
  </si>
  <si>
    <t>Nike Nike Baby Girls Summer Daze Bo Doll 6 months</t>
  </si>
  <si>
    <t>195861387381</t>
  </si>
  <si>
    <t>Carters Carters Baby Girls Hooded Car Print 24 months</t>
  </si>
  <si>
    <t>745644763026</t>
  </si>
  <si>
    <t>Little Me Baby Boys 2-Pack Sharks Romper Multi 3 months</t>
  </si>
  <si>
    <t>LCR11878N</t>
  </si>
  <si>
    <t>886252346062</t>
  </si>
  <si>
    <t>Baby Essentials Baby Essentials Baby Girls Lit Creme 6 months</t>
  </si>
  <si>
    <t>194135944985</t>
  </si>
  <si>
    <t>Carters Carters Baby Boys 4-Piece Snu Planes 24 months</t>
  </si>
  <si>
    <t>194135943384</t>
  </si>
  <si>
    <t>Carters Toddler Girls 4-Piece Snug Fit Butterfly 4T</t>
  </si>
  <si>
    <t>2M975510</t>
  </si>
  <si>
    <t>194135945647</t>
  </si>
  <si>
    <t>Carters Toddler Boys 4-Piece Snug Fit Orange 4T</t>
  </si>
  <si>
    <t>2N016110</t>
  </si>
  <si>
    <t>194135083745</t>
  </si>
  <si>
    <t>Carters Big Girls Floral Shirt Dress Pink 10</t>
  </si>
  <si>
    <t>3K397010</t>
  </si>
  <si>
    <t>193573915038</t>
  </si>
  <si>
    <t>FOUR UP SS TEE</t>
  </si>
  <si>
    <t>Y3542131</t>
  </si>
  <si>
    <t>195861099895</t>
  </si>
  <si>
    <t>Carters Baby Boys 2-Pc. Dog Bodysuit Green 6 months</t>
  </si>
  <si>
    <t>195958472624</t>
  </si>
  <si>
    <t>Calvin Klein Calvin Klein Baby Boys One-Pie Tan 0-3 months</t>
  </si>
  <si>
    <t>3M90038-99</t>
  </si>
  <si>
    <t>195861149842</t>
  </si>
  <si>
    <t>Carters Big Girls Horses-Graphic Flutt Cream 8</t>
  </si>
  <si>
    <t>3N701210</t>
  </si>
  <si>
    <t>194135952942</t>
  </si>
  <si>
    <t>Carters Toddler Girls Capri Leggings Pink 4T</t>
  </si>
  <si>
    <t>809115617772</t>
  </si>
  <si>
    <t>Us Angels Big Girls Hi-Lo Tulle and Sati White 8</t>
  </si>
  <si>
    <t>C1201</t>
  </si>
  <si>
    <t>US ANGELS/S &amp; C BRIDAL LLC</t>
  </si>
  <si>
    <t>194654507005</t>
  </si>
  <si>
    <t>Stride Rite Stride Rite Little Girls Gwend Black 12M</t>
  </si>
  <si>
    <t>CG019501</t>
  </si>
  <si>
    <t>STRIDE RITE/VIDA SHOES INT'L INC</t>
  </si>
  <si>
    <t>93412710933</t>
  </si>
  <si>
    <t>Nina Girls or Little Girls Nataly White 3 Youth</t>
  </si>
  <si>
    <t>190618761131</t>
  </si>
  <si>
    <t>Polo Ralph Lauren Baby Girls Oxford Shirt Dress Morgan Floral 3 months</t>
  </si>
  <si>
    <t>885031287268</t>
  </si>
  <si>
    <t>Polo Ralph Lauren Little Boys Striped Interlock Derby Blue Heagther and Jamaic 5</t>
  </si>
  <si>
    <t>882925088291</t>
  </si>
  <si>
    <t>Polo Ralph Lauren Baby Girls Polo Pony Pique Pol Adirondack Rose 6 months</t>
  </si>
  <si>
    <t>882925200945</t>
  </si>
  <si>
    <t>Polo Ralph Lauren Baby Boys Striped Cotton Top Beryl Bluewhite Newborn</t>
  </si>
  <si>
    <t>882925088079</t>
  </si>
  <si>
    <t>Polo Ralph Lauren Baby Girls Color-Blocked Pique Adirondack Rose 12 months</t>
  </si>
  <si>
    <t>747941626578</t>
  </si>
  <si>
    <t>Speechless Speechless Big Girls Floral Hi Navy Blush 16</t>
  </si>
  <si>
    <t>882925932884</t>
  </si>
  <si>
    <t>Polo Ralph Lauren Big Boys Waffle-Knit Long-Slee Madison Red L 1416</t>
  </si>
  <si>
    <t>882925239754</t>
  </si>
  <si>
    <t>Polo Ralph Lauren Baby Girls Striped Oxford Bubb Harbor Island Bluewhite 6 months</t>
  </si>
  <si>
    <t>882925700285</t>
  </si>
  <si>
    <t>Polo Ralph Lauren Baby Girls Cotton Rugby Dress Andover Heather Delicate Pink 6 months</t>
  </si>
  <si>
    <t>882925278401</t>
  </si>
  <si>
    <t>Polo Ralph Lauren Polo Ralph Lauren Toddler and Andover Heather 2T</t>
  </si>
  <si>
    <t>885031038099</t>
  </si>
  <si>
    <t>Polo Ralph Lauren Baby Boys Gingham Cotton Polo Chatham Blue Multi 18 months</t>
  </si>
  <si>
    <t>807421645311</t>
  </si>
  <si>
    <t>Hurley Hurley Baby Boys Scuba 3-Piec Aurora Green 12 months</t>
  </si>
  <si>
    <t>685441E</t>
  </si>
  <si>
    <t>726108378161</t>
  </si>
  <si>
    <t>S Rothschild CO Baby Girls Colorblocked Tech P Candy Pink 18 months</t>
  </si>
  <si>
    <t>11367F-R1</t>
  </si>
  <si>
    <t>ROTHSCHILD/S ROTHSCHILD &amp; CO INC</t>
  </si>
  <si>
    <t>883288071470</t>
  </si>
  <si>
    <t>Polo Ralph Lauren Baby Boys Cotton Footed Covera Blue Multi Newborn</t>
  </si>
  <si>
    <t>194501661249</t>
  </si>
  <si>
    <t>Nike Nike Big Boys Dri-Fit Elite Ba White, Black Small</t>
  </si>
  <si>
    <t>194931287712</t>
  </si>
  <si>
    <t>Nautica Nautica Baby Boys 4-Piece Marl Blue 12 months</t>
  </si>
  <si>
    <t>194870730041</t>
  </si>
  <si>
    <t>adidas Big Girls Aeroready Ombre Tigh Shadow Navy S 8</t>
  </si>
  <si>
    <t>194870730065</t>
  </si>
  <si>
    <t>adidas Big Girls Aeroready Ombre Tigh Shadow Navy L 1416</t>
  </si>
  <si>
    <t>742728734989</t>
  </si>
  <si>
    <t>Nike Nike Little Boys Pullover Hood Light Smoke Gray 7</t>
  </si>
  <si>
    <t>194870730058</t>
  </si>
  <si>
    <t>adidas Big Girls Aeroready Ombre Tigh Shadow Navy M 1012</t>
  </si>
  <si>
    <t>807421690427</t>
  </si>
  <si>
    <t>Hurley Hurley Little Boys Tie Dye Pul Black 6</t>
  </si>
  <si>
    <t>885471E</t>
  </si>
  <si>
    <t>194931288313</t>
  </si>
  <si>
    <t>Nautica Nautica Baby Boys 4-Piece Line Light Khaki 18 months</t>
  </si>
  <si>
    <t>840028942292</t>
  </si>
  <si>
    <t>earth by art eden Baby Boys 2-Pc. Overalls Sle Angel Blue Multi 18 months</t>
  </si>
  <si>
    <t>807421766788</t>
  </si>
  <si>
    <t>Nike Nike Little Girls Mesh Shorts Mint Foam 4</t>
  </si>
  <si>
    <t>36J336G</t>
  </si>
  <si>
    <t>807421766801</t>
  </si>
  <si>
    <t>Nike Nike Little Girls Mesh Shorts Mint Foam 6</t>
  </si>
  <si>
    <t>807421600310</t>
  </si>
  <si>
    <t>Nike Nike Little Girls Space Dye Dr Violet Shock 6X</t>
  </si>
  <si>
    <t>36J136G</t>
  </si>
  <si>
    <t>762120162234</t>
  </si>
  <si>
    <t>Epic Threads Toddler Girls Quilted Sweatshi Angel White 2T</t>
  </si>
  <si>
    <t>100138536LG</t>
  </si>
  <si>
    <t>194931144596</t>
  </si>
  <si>
    <t>Nautica Baby Boys Shirt, Vest, Pants Mouse Grey 24 months</t>
  </si>
  <si>
    <t>NDSER13C-052</t>
  </si>
  <si>
    <t>766380714615</t>
  </si>
  <si>
    <t>First Impressions Baby Boys Dino Snowsuit Grey Jewel 3-6 months</t>
  </si>
  <si>
    <t>100153844BB</t>
  </si>
  <si>
    <t>191358903874</t>
  </si>
  <si>
    <t>adidas Baby Girls Hooded Coverall Light Pink 18M</t>
  </si>
  <si>
    <t>191539860804</t>
  </si>
  <si>
    <t>Bonnie Baby Baby Girls Chambray Striped Dr Chambray 3-6 months</t>
  </si>
  <si>
    <t>R54914-PS</t>
  </si>
  <si>
    <t>825663375568</t>
  </si>
  <si>
    <t>Nike 3BRAND by Russell Wilson Big Boys Grid Shadow Dri-Fit T Russell Wilson Blue M 1012</t>
  </si>
  <si>
    <t>9Q0193G</t>
  </si>
  <si>
    <t>194870780824</t>
  </si>
  <si>
    <t>adidas Big Girls Plus Size Zip Front Black with Silver XL PLUS</t>
  </si>
  <si>
    <t>AP4535P</t>
  </si>
  <si>
    <t>194748159585</t>
  </si>
  <si>
    <t>Dreamwave Toddler Mario Swimsuit, 2 Piec Multi 2T</t>
  </si>
  <si>
    <t>2250688NU</t>
  </si>
  <si>
    <t>194894704295</t>
  </si>
  <si>
    <t>Columbia Columbia Big Boys Sandy Shores Bright Indigo M</t>
  </si>
  <si>
    <t>766370068841</t>
  </si>
  <si>
    <t>Epic Threads Epic Threads Big Girls All Ove Light Wash Floral 14</t>
  </si>
  <si>
    <t>888133174238</t>
  </si>
  <si>
    <t>DKNY DKNY Little Girls Maddie Knit Gray 12M</t>
  </si>
  <si>
    <t>DKN065</t>
  </si>
  <si>
    <t>195958650398</t>
  </si>
  <si>
    <t>Tommy Hilfiger Tommy Hilfiger Baby Boys Knit Red 18 months</t>
  </si>
  <si>
    <t>196258080816</t>
  </si>
  <si>
    <t>Calvin Klein Big Girls T-shirt and Short Se CK Swirl L</t>
  </si>
  <si>
    <t>192532133100</t>
  </si>
  <si>
    <t>Mac Moon Baby Girls Stripes Dots Covera Multi Print 3 months</t>
  </si>
  <si>
    <t>DS22M1720</t>
  </si>
  <si>
    <t>196027127728</t>
  </si>
  <si>
    <t>Star Wars Big Boys 4-Pc. Mandalorian Cot Assorted 6</t>
  </si>
  <si>
    <t>UT161BSOMA</t>
  </si>
  <si>
    <t>825663246929</t>
  </si>
  <si>
    <t>Jordan Jordan Baby Boys Ombre Jumpman Gym Red 6 months</t>
  </si>
  <si>
    <t>55B576G</t>
  </si>
  <si>
    <t>193666884814</t>
  </si>
  <si>
    <t>Calvin Klein Calvin Klein Big Boys Pants Se Blue Large</t>
  </si>
  <si>
    <t>194170175511</t>
  </si>
  <si>
    <t>Rare Editions Rare Editions Little Girls Lin Orange 5</t>
  </si>
  <si>
    <t>E787091</t>
  </si>
  <si>
    <t>652874407531</t>
  </si>
  <si>
    <t>Speechless Big Girls Floral Tie Front Top Fuchsia, Coral M 810</t>
  </si>
  <si>
    <t>195883917368</t>
  </si>
  <si>
    <t>Batman Toddler Boys Batman Active Tan Yellow 3T</t>
  </si>
  <si>
    <t>2JDCB2012</t>
  </si>
  <si>
    <t>195958332348</t>
  </si>
  <si>
    <t>Calvin Klein Calvin Klein Little Boys Contr Blue 4</t>
  </si>
  <si>
    <t>3M52036-99</t>
  </si>
  <si>
    <t>766370777552</t>
  </si>
  <si>
    <t>Epic Threads Epic Threads Big Girls Distres Harlow Wash 10</t>
  </si>
  <si>
    <t>192042768342</t>
  </si>
  <si>
    <t>Nautica Big Boys Lowell Stretch Moistu Med Khaki 8</t>
  </si>
  <si>
    <t>NUFCC46F-261</t>
  </si>
  <si>
    <t>196027140611</t>
  </si>
  <si>
    <t>Spider-Man Spider-Man and Friends Toddler Assorted 4T</t>
  </si>
  <si>
    <t>196027142653</t>
  </si>
  <si>
    <t>The Mandalorian Little Boys Mandalorian T-shir Assorted 6</t>
  </si>
  <si>
    <t>UT159BZSMA</t>
  </si>
  <si>
    <t>195958071322</t>
  </si>
  <si>
    <t>Calvin Klein Baby Girls 2-Pc. Hooded Fleece Oatmeal Heather 3-6 months</t>
  </si>
  <si>
    <t>3L80141-99</t>
  </si>
  <si>
    <t>195958559417</t>
  </si>
  <si>
    <t>Tommy Hilfiger Tommy Hilfiger Toddler Girl St Light Blue 2T</t>
  </si>
  <si>
    <t>TGSFK05Q-446</t>
  </si>
  <si>
    <t>TOMMY HILFIGER GIRL SWIM/KHQ INVEST</t>
  </si>
  <si>
    <t>196027141014</t>
  </si>
  <si>
    <t>LOL Surprise Big Girls LOL Pajama, 3 Piece Assorted 8</t>
  </si>
  <si>
    <t>LZ250GZTMA</t>
  </si>
  <si>
    <t>883914672873</t>
  </si>
  <si>
    <t>Pink Violet Big Girls Rope Neck Printed Bo Blush 12</t>
  </si>
  <si>
    <t>SR429349Y</t>
  </si>
  <si>
    <t>PINK &amp; VIOLET/VESTURE GROUP INC</t>
  </si>
  <si>
    <t>194257384775</t>
  </si>
  <si>
    <t>Champion Little Boys All Over Print Cam Camo Concrete 4</t>
  </si>
  <si>
    <t>733003959494</t>
  </si>
  <si>
    <t>Epic Threads Big Boys Short Sleeve Basic T- Multi 1 XL 20</t>
  </si>
  <si>
    <t>100129429BO</t>
  </si>
  <si>
    <t>733003959524</t>
  </si>
  <si>
    <t>Epic Threads Big Boys Short Sleeve Basic T- Multi L 1618</t>
  </si>
  <si>
    <t>100129430BO</t>
  </si>
  <si>
    <t>733003959401</t>
  </si>
  <si>
    <t>Epic Threads Big Boys Short Sleeve Basic T- Multi 1 S 810</t>
  </si>
  <si>
    <t>733003959425</t>
  </si>
  <si>
    <t>Epic Threads Big Boys Short Sleeve Basic T- Multi 1 M 1214</t>
  </si>
  <si>
    <t>733003959517</t>
  </si>
  <si>
    <t>Epic Threads Big Boys Short Sleeve Basic T- Multi M 1214</t>
  </si>
  <si>
    <t>733003959531</t>
  </si>
  <si>
    <t>Epic Threads Big Boys Short Sleeve Basic T- Multi XL 20</t>
  </si>
  <si>
    <t>195958633346</t>
  </si>
  <si>
    <t>Calvin Klein Calvin Klein Big Boys Knit Sho Light Stone L 1416</t>
  </si>
  <si>
    <t>CKSFC03F-244</t>
  </si>
  <si>
    <t>733004952371</t>
  </si>
  <si>
    <t>First Impressions Baby Boys 2-Pc. Hooded Rash Gu Cherry Flame 6-9 months</t>
  </si>
  <si>
    <t>195958410282</t>
  </si>
  <si>
    <t>Tommy Hilfiger Tommy Hilfiger Baby Boys Tie-d Navy 12 months</t>
  </si>
  <si>
    <t>61M72031-99</t>
  </si>
  <si>
    <t>195958350748</t>
  </si>
  <si>
    <t>Calvin Klein Calvin Klein Baby Girls Flutte Blue 18 months</t>
  </si>
  <si>
    <t>195958356740</t>
  </si>
  <si>
    <t>Tommy Hilfiger Tommy Hilfiger Baby Boys Tippe White and Blue 24 months</t>
  </si>
  <si>
    <t>61M72016-99</t>
  </si>
  <si>
    <t>195958473027</t>
  </si>
  <si>
    <t>Calvin Klein Calvin Klein Baby Girls Floral Cream 18 months</t>
  </si>
  <si>
    <t>195958557673</t>
  </si>
  <si>
    <t>Tommy Hilfiger Tommy Hilfiger Baby Girls Itha Light Blue 18M</t>
  </si>
  <si>
    <t>TGSFK05P-446</t>
  </si>
  <si>
    <t>807421756543</t>
  </si>
  <si>
    <t>Nike Nike Baby Girls Space Dye Romp Bright Mango 18 months</t>
  </si>
  <si>
    <t>16J218G</t>
  </si>
  <si>
    <t>195861087441</t>
  </si>
  <si>
    <t>Carters Toddler Boys 4-Pc. Snug Fit Pi Whale 3T</t>
  </si>
  <si>
    <t>2N708610</t>
  </si>
  <si>
    <t>194135947252</t>
  </si>
  <si>
    <t>Carters Toddler Girls 4-Piece Snug Fit Yellow 2T</t>
  </si>
  <si>
    <t>2M976310</t>
  </si>
  <si>
    <t>195861083610</t>
  </si>
  <si>
    <t>Carters Toddler Boys 4-Pc. Snug Fit Pi Pirate 2T</t>
  </si>
  <si>
    <t>194135952553</t>
  </si>
  <si>
    <t>Carters Toddler Girls 4-Piece Snug Fit Print 2T</t>
  </si>
  <si>
    <t>2M976210</t>
  </si>
  <si>
    <t>195861282426</t>
  </si>
  <si>
    <t>Carters Carters Baby Boys Snug Fit Co Brown 9 months</t>
  </si>
  <si>
    <t>1O024510</t>
  </si>
  <si>
    <t>194257661937</t>
  </si>
  <si>
    <t>Champion Little Girls French Terry Hood Oxford Heather 5</t>
  </si>
  <si>
    <t>733003959692</t>
  </si>
  <si>
    <t>Epic Threads Big Boys Basic Tee Bundle, Set CobaltWhiteBlack XL 20</t>
  </si>
  <si>
    <t>100138302BO</t>
  </si>
  <si>
    <t>733003959555</t>
  </si>
  <si>
    <t>Epic Threads Big Boys Basic Tee Bundle, Set Heather GreyNavyRed M 1214</t>
  </si>
  <si>
    <t>100138301BO</t>
  </si>
  <si>
    <t>733003959685</t>
  </si>
  <si>
    <t>Epic Threads Big Boys Basic Tee Bundle, Set CobaltWhiteBlack L 1618</t>
  </si>
  <si>
    <t>733003959548</t>
  </si>
  <si>
    <t>Epic Threads Big Boys Basic Tee Bundle, Set Heather GreyNavyRed S 810</t>
  </si>
  <si>
    <t>733003959562</t>
  </si>
  <si>
    <t>Epic Threads Big Boys Basic Tee Bundle, Set Heather GreyNavyRed L 1618</t>
  </si>
  <si>
    <t>733003959579</t>
  </si>
  <si>
    <t>Epic Threads Big Boys Basic Tee Bundle, Set Heather GreyNavyRed XL 20</t>
  </si>
  <si>
    <t>733003959586</t>
  </si>
  <si>
    <t>Epic Threads Big Boys Basic Tee Bundle, Set CobaltWhiteBlack S 810</t>
  </si>
  <si>
    <t>733003959678</t>
  </si>
  <si>
    <t>Epic Threads Big Boys Basic Tee Bundle, Set CobaltWhiteBlack M 1214</t>
  </si>
  <si>
    <t>766360131036</t>
  </si>
  <si>
    <t>First Impressions Baby Boys 2-Pc. Overall Set Navy Nautical 24 months</t>
  </si>
  <si>
    <t>193712367179</t>
  </si>
  <si>
    <t>Imperial Star Imperial Star Big Girls Denim Faith Wash 8</t>
  </si>
  <si>
    <t>766360131029</t>
  </si>
  <si>
    <t>First Impressions Baby Boys 2-Pc. Overall Set Navy Nautical 18 months</t>
  </si>
  <si>
    <t>Imperial Star Imperial Star Big Girls Denim Faith Wash 12</t>
  </si>
  <si>
    <t>195861303039</t>
  </si>
  <si>
    <t>Carters Carters Little Boys Long Slee Heather 7</t>
  </si>
  <si>
    <t>3O003610</t>
  </si>
  <si>
    <t>195861155164</t>
  </si>
  <si>
    <t>1N881410</t>
  </si>
  <si>
    <t>194870721728</t>
  </si>
  <si>
    <t>adidas Big Girls Elastic Waistband 3 Black with Real Magenta L 1416</t>
  </si>
  <si>
    <t>192042833026</t>
  </si>
  <si>
    <t>Nautica Juniors Sateen Bermuda with Ad Navy 9</t>
  </si>
  <si>
    <t>NUFBC040-414</t>
  </si>
  <si>
    <t>60% COTTON 37% POLYESTER 3% SPANDEX</t>
  </si>
  <si>
    <t>196325130048</t>
  </si>
  <si>
    <t>Disney Little Girls Rainbow Minnie Dr Heather Gray 6</t>
  </si>
  <si>
    <t>195958416031</t>
  </si>
  <si>
    <t>Nautica Nautica Baby Boys Striped Polo Blue 18M</t>
  </si>
  <si>
    <t>192042832968</t>
  </si>
  <si>
    <t>Nautica Juniors Sateen Bermuda with Ad Navy 11</t>
  </si>
  <si>
    <t>766370066915</t>
  </si>
  <si>
    <t>Epic Threads Epic Threads Big Girls All Ove Blush Pink XL 16</t>
  </si>
  <si>
    <t>194870434543</t>
  </si>
  <si>
    <t>adidas Big Girls Short Sleeve Crossov Black with Multi M 1012</t>
  </si>
  <si>
    <t>AA4922</t>
  </si>
  <si>
    <t>766370066984</t>
  </si>
  <si>
    <t>Epic Threads Epic Threads Big Girls Strawbe Angel White L 1214</t>
  </si>
  <si>
    <t>194257393654</t>
  </si>
  <si>
    <t>Champion Big Boys Signature Fleece Jogg Natural Small</t>
  </si>
  <si>
    <t>766360142063</t>
  </si>
  <si>
    <t>First Impressions Baby Girls 2-Pk. Coveralls Ultra Lime 6-9 months</t>
  </si>
  <si>
    <t>766380724010</t>
  </si>
  <si>
    <t>First Impressions Baby Boys Girls Mixed Bodysu Angel White Newborn</t>
  </si>
  <si>
    <t>194753782969</t>
  </si>
  <si>
    <t>Tommy Hilfiger Tommy Hilfiger Big Girls Jogge Navy L 1214</t>
  </si>
  <si>
    <t>TGFEC01S-405</t>
  </si>
  <si>
    <t>807421767495</t>
  </si>
  <si>
    <t>Nike Nike Toddler Girls Animal Prin Ghost Green 4T</t>
  </si>
  <si>
    <t>36J350G</t>
  </si>
  <si>
    <t>807421767594</t>
  </si>
  <si>
    <t>Nike Nike Little Girls Animal Print Bright Mango 5</t>
  </si>
  <si>
    <t>807421767501</t>
  </si>
  <si>
    <t>Nike Nike Little Girls Animal Print Ghost Green 4</t>
  </si>
  <si>
    <t>194257679178</t>
  </si>
  <si>
    <t>Champion Little Girls T-shirt and Short Pink Candy, Aruba Blue 6</t>
  </si>
  <si>
    <t>CHL887</t>
  </si>
  <si>
    <t>194257679161</t>
  </si>
  <si>
    <t>Champion Little Girls T-shirt and Short Pink Candy, Aruba Blue 5</t>
  </si>
  <si>
    <t>196027126035</t>
  </si>
  <si>
    <t>Disney AME Little Girls Raya Pajamas, Assorted 4</t>
  </si>
  <si>
    <t>194870725429</t>
  </si>
  <si>
    <t>adidas Toddler Boys Elastic Waistband Vivid Red 4T</t>
  </si>
  <si>
    <t>733004951961</t>
  </si>
  <si>
    <t>First Impressions Baby Boys 2-Pc. Surf Local Ras Navy Sea 6-9 months</t>
  </si>
  <si>
    <t>192401317006</t>
  </si>
  <si>
    <t>Ring of Fire Ring of Fire Big Boys Griffin Black Storm M 1012</t>
  </si>
  <si>
    <t>696114427682</t>
  </si>
  <si>
    <t>Max Olivia Little Girls 3 Piece Holiday T Navy S 66X</t>
  </si>
  <si>
    <t>195958408555</t>
  </si>
  <si>
    <t>Calvin Klein Calvin Klein Performance Big G Black M 1012</t>
  </si>
  <si>
    <t>CASFC10S-001</t>
  </si>
  <si>
    <t>196027142936</t>
  </si>
  <si>
    <t>Disney Princess Frozen Toddler Girls Gown with Assorted 2T</t>
  </si>
  <si>
    <t>F2452TDTMA</t>
  </si>
  <si>
    <t>195958375123</t>
  </si>
  <si>
    <t>Kids Headquarters Kids Headquarters Baby Girls D Blue 12M</t>
  </si>
  <si>
    <t>11M02002-99</t>
  </si>
  <si>
    <t>195958612785</t>
  </si>
  <si>
    <t>Kids Headquarters Kids Headquarters Baby Girls D Blue 24M</t>
  </si>
  <si>
    <t>196289006946</t>
  </si>
  <si>
    <t>Bentex Baby Girls 2-Pack Minnie Mouse Multi 6-9 months</t>
  </si>
  <si>
    <t>51N3455MI</t>
  </si>
  <si>
    <t>196122522534</t>
  </si>
  <si>
    <t>Koala Baby Koala Baby Baby Boys Moose Bod Olive 0-3 months</t>
  </si>
  <si>
    <t>KLM02712</t>
  </si>
  <si>
    <t>762120854993</t>
  </si>
  <si>
    <t>Epic Threads Little Boys 3-Pk. T-Shirts Bright White 7</t>
  </si>
  <si>
    <t>100142747LB</t>
  </si>
  <si>
    <t>194135322738</t>
  </si>
  <si>
    <t>Carters Baby Boys or Girls 3-Pack Frui Yellowgreen Multi 24 months</t>
  </si>
  <si>
    <t>195958684881</t>
  </si>
  <si>
    <t>Calvin Klein Calvin Klein Performance Big G Strawberry Pink M 810</t>
  </si>
  <si>
    <t>CASEA04S-661</t>
  </si>
  <si>
    <t>196258052738</t>
  </si>
  <si>
    <t>Calvin Klein Big Girls Hipster Set, 3 Piece Pink Logo Tie Dye, Heather Gra M</t>
  </si>
  <si>
    <t>194170141615</t>
  </si>
  <si>
    <t>Rare Editions Baby Girls Check Seersucker to Lime 18 months</t>
  </si>
  <si>
    <t>7620207515515</t>
  </si>
  <si>
    <t>GUESS Baby Boys and Girls Printed Lo Light Stone Heather 12 months</t>
  </si>
  <si>
    <t>H02W00KA6W0</t>
  </si>
  <si>
    <t>193666517750</t>
  </si>
  <si>
    <t>Maidenform Little Big Girls 2-Pack Seam Black Heather Gray L 1416</t>
  </si>
  <si>
    <t>840028944197</t>
  </si>
  <si>
    <t>earth by art eden Baby Girls 2-Pk. Mix Match B Candy Pink 12 months</t>
  </si>
  <si>
    <t>2014CPK</t>
  </si>
  <si>
    <t>195861088905</t>
  </si>
  <si>
    <t>Carters Carters Baby Girls 2-Piece T- Blue Multi 3 months</t>
  </si>
  <si>
    <t>194135322554</t>
  </si>
  <si>
    <t>Carters Baby Boys or Girls 4-Pc. Veggi Green 9 months</t>
  </si>
  <si>
    <t>1L782910</t>
  </si>
  <si>
    <t>190618799547</t>
  </si>
  <si>
    <t>733002399031</t>
  </si>
  <si>
    <t>Epic Threads Big Girls Solid Basic Tee Bund Bright White L 1416</t>
  </si>
  <si>
    <t>100120503GR</t>
  </si>
  <si>
    <t>660168727494</t>
  </si>
  <si>
    <t>Little Treasure Little Treasure Baby Boys Mr H Multi 3-6 months</t>
  </si>
  <si>
    <t>192401317013</t>
  </si>
  <si>
    <t>Ring of Fire Ring of Fire Big Boys Griffin Black Storm L 1416</t>
  </si>
  <si>
    <t>RBB0570A</t>
  </si>
  <si>
    <t>696114433782</t>
  </si>
  <si>
    <t>Sleep On It Big Boys Pajama Set, 2 Piece Navy 8-10</t>
  </si>
  <si>
    <t>733004399183</t>
  </si>
  <si>
    <t>ID Ideology Little Girls Quarter-Zip Fleec Lipstick Red 6X</t>
  </si>
  <si>
    <t>194135968844</t>
  </si>
  <si>
    <t>Carters Carters Baby Girls One-Piece Floral 3 months</t>
  </si>
  <si>
    <t>1N151810</t>
  </si>
  <si>
    <t>194870739945</t>
  </si>
  <si>
    <t>adidas Big Boys Short Sleeve Sports 2 Black with Green XL 1820</t>
  </si>
  <si>
    <t>AA7382</t>
  </si>
  <si>
    <t>195958173446</t>
  </si>
  <si>
    <t>Kids Headquarters Kids Headquarters Baby Girls C White 18 months</t>
  </si>
  <si>
    <t>194870778432</t>
  </si>
  <si>
    <t>adidas Big Boys Short Sleeve Basket B White with Multi S 8</t>
  </si>
  <si>
    <t>AA7378</t>
  </si>
  <si>
    <t>194135857544</t>
  </si>
  <si>
    <t>Carters Carters Baby Girls 3-Piece Sh Purple 9 months</t>
  </si>
  <si>
    <t>1N041310</t>
  </si>
  <si>
    <t>195958481732</t>
  </si>
  <si>
    <t>Tommy Hilfiger Tommy Hilfiger Baby Boys Sleev Navy 0-3 months</t>
  </si>
  <si>
    <t>194257876089</t>
  </si>
  <si>
    <t>Champion Champion Big Girls Tie Dye Gra Oxford Heather, Sizzling Mint XL 1820</t>
  </si>
  <si>
    <t>195958485952</t>
  </si>
  <si>
    <t>Kids Headquarters Kids Headquarters Toddler Boys Black 2T</t>
  </si>
  <si>
    <t>195958836709</t>
  </si>
  <si>
    <t>Calvin Klein Calvin Klein Performance Big G Multi 16</t>
  </si>
  <si>
    <t>194170340452</t>
  </si>
  <si>
    <t>Rare Editions Baby Girls Check Seersucker Dr Navy 3-6 months</t>
  </si>
  <si>
    <t>S812062</t>
  </si>
  <si>
    <t>194870744734</t>
  </si>
  <si>
    <t>adidas Toddler Boys Short Sleeve Aero Collegiate Navy 2T</t>
  </si>
  <si>
    <t>194870738191</t>
  </si>
  <si>
    <t>adidas adidas Toddler Boys Short Slee White with Blue 2T</t>
  </si>
  <si>
    <t>194870744796</t>
  </si>
  <si>
    <t>adidas Little Boys Short Sleeve Aeror Collegiate Navy 7</t>
  </si>
  <si>
    <t>193666722833</t>
  </si>
  <si>
    <t>Calvin Klein Big Girls Hipster, Pack of 3 White, Heather Gray, Deep Viol Medium</t>
  </si>
  <si>
    <t>193666722611</t>
  </si>
  <si>
    <t>Calvin Klein Big Girls Bralette, Pack of 2 Warm Calvin Klein Tie Dye, Hea Medium</t>
  </si>
  <si>
    <t>193666722635</t>
  </si>
  <si>
    <t>Calvin Klein Big Girls Bralette, Pack of 2 White, Deep Violet Block Logo Small</t>
  </si>
  <si>
    <t>194135860148</t>
  </si>
  <si>
    <t>Carters Carters Baby Girls 2-Piece Ro Multi 3 months</t>
  </si>
  <si>
    <t>196258076819</t>
  </si>
  <si>
    <t>Maidenform Big Girls 3-Pack Cropped Br Multbrstw XL 1820</t>
  </si>
  <si>
    <t>194257500359</t>
  </si>
  <si>
    <t>Champion Champion Big Girls Drop Shadow Pink Candy Medium</t>
  </si>
  <si>
    <t>CHG702</t>
  </si>
  <si>
    <t>196258052936</t>
  </si>
  <si>
    <t>Calvin Klein Big Girls Bralette Set, 2 Piec Pink Logo Tie Dye, Heather Gra XL</t>
  </si>
  <si>
    <t>196122459151</t>
  </si>
  <si>
    <t>Koala Baby Koala Baby Girls Printed Short Blush 0-3 months</t>
  </si>
  <si>
    <t>196122459113</t>
  </si>
  <si>
    <t>Koala Baby Koala Baby Girls Printed Short WhitePink 3-6 months</t>
  </si>
  <si>
    <t>193579317164</t>
  </si>
  <si>
    <t>Tommy Hilfiger Little Big Boys Cotton T-Shi Bright White M 810</t>
  </si>
  <si>
    <t>TBFCJ11K-100</t>
  </si>
  <si>
    <t>762120692038</t>
  </si>
  <si>
    <t>762120691987</t>
  </si>
  <si>
    <t>ID Ideology Big Girls Sunset Strip Rash Gu Barely Pink M 1012</t>
  </si>
  <si>
    <t>762120692014</t>
  </si>
  <si>
    <t>ID Ideology Big Girls Sunset Strip Rash Gu Barely Pink XXL 18</t>
  </si>
  <si>
    <t>766360656836</t>
  </si>
  <si>
    <t>Epic Threads Little Girls Tanks and Shorts, Shell Pink 6X</t>
  </si>
  <si>
    <t>762120499583</t>
  </si>
  <si>
    <t>First Impressions Baby Boys Seersucker Blazer Washed Sky 0-3 months</t>
  </si>
  <si>
    <t>100140059BB</t>
  </si>
  <si>
    <t>194135906310</t>
  </si>
  <si>
    <t>Carters Carters Baby Girls 3-Piece Li Stripe 18 months</t>
  </si>
  <si>
    <t>194135874213</t>
  </si>
  <si>
    <t>Carters Carters Baby Boys 3-Piece Lit Multi 9 months</t>
  </si>
  <si>
    <t>1N046110</t>
  </si>
  <si>
    <t>191655199468</t>
  </si>
  <si>
    <t>Chickpea Baby Girls 4-Pc. Tops Shorts Coral 3-6 months</t>
  </si>
  <si>
    <t>HE12224848</t>
  </si>
  <si>
    <t>191655199475</t>
  </si>
  <si>
    <t>Chickpea Baby Girls 4-Pc. Tops Shorts Coral 6-9 months</t>
  </si>
  <si>
    <t>195958833678</t>
  </si>
  <si>
    <t>Calvin Klein Calvin Klein Big Girls Rainbow Black M 810</t>
  </si>
  <si>
    <t>CKMFH01S-003</t>
  </si>
  <si>
    <t>194135322219</t>
  </si>
  <si>
    <t>Carters Baby Boys Two-Pack Jumpsuits Blue Multi Newborn</t>
  </si>
  <si>
    <t>194135321731</t>
  </si>
  <si>
    <t>Carters Baby Boys Three-Piece Little D Blue Multi 3 months</t>
  </si>
  <si>
    <t>1L776010</t>
  </si>
  <si>
    <t>195958387218</t>
  </si>
  <si>
    <t>Tommy Hilfiger Tommy Hilfiger Big Girls Bra, Multi L 1214</t>
  </si>
  <si>
    <t>TSSFJ18X-652</t>
  </si>
  <si>
    <t>195958387249</t>
  </si>
  <si>
    <t>Tommy Hilfiger Tommy Hilfiger Big Girls Bra, Multi XL 16</t>
  </si>
  <si>
    <t>195958387232</t>
  </si>
  <si>
    <t>Tommy Hilfiger Tommy Hilfiger Big Girls Bra, Multi S 67</t>
  </si>
  <si>
    <t>195958387225</t>
  </si>
  <si>
    <t>Tommy Hilfiger Tommy Hilfiger Big Girls Bra, Multi M 810</t>
  </si>
  <si>
    <t>195958259959</t>
  </si>
  <si>
    <t>CAHEA00S-001</t>
  </si>
  <si>
    <t>195958208933</t>
  </si>
  <si>
    <t>Calvin Klein Calvin Klein Performance Big G White XL 16</t>
  </si>
  <si>
    <t>CAFEA02S-100</t>
  </si>
  <si>
    <t>733004072840</t>
  </si>
  <si>
    <t>Epic Threads Big Girls Cozy Fleece Pullover Steel Gray Medium</t>
  </si>
  <si>
    <t>100133109GR</t>
  </si>
  <si>
    <t>733004072895</t>
  </si>
  <si>
    <t>Epic Threads Big Girls Cozy Fleece Pullover Pastel Tie Dye Large</t>
  </si>
  <si>
    <t>100134324GR</t>
  </si>
  <si>
    <t>733004591815</t>
  </si>
  <si>
    <t>First Impressions Baby Velour Sherpa Fleece Blan Navy Nautical ONE SIZE</t>
  </si>
  <si>
    <t>194135951716</t>
  </si>
  <si>
    <t>Carters Carters Baby Girls Floral Jer Floral 9 months</t>
  </si>
  <si>
    <t>1N444610</t>
  </si>
  <si>
    <t>888435542087</t>
  </si>
  <si>
    <t>Puma Big Boys Basketball All Tourna Black M 1012</t>
  </si>
  <si>
    <t>PSP22M9T-03732</t>
  </si>
  <si>
    <t>PUMA KIDS/PUMA UNITED NORTH AMERICA</t>
  </si>
  <si>
    <t>888435542094</t>
  </si>
  <si>
    <t>Puma Big Boys Basketball All Tourna Black S 8</t>
  </si>
  <si>
    <t>696114451625</t>
  </si>
  <si>
    <t>Max Olivia Baby Girls All Over Printed Pa Aqua 18 months</t>
  </si>
  <si>
    <t>751303-MA</t>
  </si>
  <si>
    <t>696114452356</t>
  </si>
  <si>
    <t>Max Olivia Baby Boys All Over Printed Paj Navy 18 months</t>
  </si>
  <si>
    <t>733004759413</t>
  </si>
  <si>
    <t>ID Ideology Big Girls Colorblocked Legging Pebble Hthr M 1012</t>
  </si>
  <si>
    <t>766360131449</t>
  </si>
  <si>
    <t>First Impressions Baby Boys Light-Wash Denim Jog Light Wash 12 months</t>
  </si>
  <si>
    <t>194135315648</t>
  </si>
  <si>
    <t>Carters Baby Boys 3-Pc. Lion Little Ch Yellow 24 months</t>
  </si>
  <si>
    <t>1L762010</t>
  </si>
  <si>
    <t>733003643652</t>
  </si>
  <si>
    <t>ID Ideology Little Girl Rainbow Fleece Hoo Rose Shadow 6</t>
  </si>
  <si>
    <t>733003799779</t>
  </si>
  <si>
    <t>Epic Threads Big Girls All Over Print Dress Camo Large</t>
  </si>
  <si>
    <t>100138966GR</t>
  </si>
  <si>
    <t>733002219698</t>
  </si>
  <si>
    <t>Epic Threads Big Girls All Over Print Tie S Tie Dye S 810</t>
  </si>
  <si>
    <t>100117665GR</t>
  </si>
  <si>
    <t>194135667051</t>
  </si>
  <si>
    <t>Carters Baby Boys 2-Pc Dog Top Pants Assorted-st 24 months</t>
  </si>
  <si>
    <t>1M700510</t>
  </si>
  <si>
    <t>194257526656</t>
  </si>
  <si>
    <t>Champion Champion Toddler Drop Shadow L Oxford Heather 2T</t>
  </si>
  <si>
    <t>CHL701</t>
  </si>
  <si>
    <t>766370762626</t>
  </si>
  <si>
    <t>Epic Threads Big Boys Knit Terry Shorts Gossamer Green XL 1820</t>
  </si>
  <si>
    <t>733003192723</t>
  </si>
  <si>
    <t>ID Ideology Big Girls Jogger Pants Indigo Sea M 1012</t>
  </si>
  <si>
    <t>733003192624</t>
  </si>
  <si>
    <t>ID Ideology Big Girls Jogger Pants Deep Black M 1012</t>
  </si>
  <si>
    <t>46094705261</t>
  </si>
  <si>
    <t>Calvin Klein 2-Pack Cotton Boxer Briefs, To Heather Gray L 1214</t>
  </si>
  <si>
    <t>766360445928</t>
  </si>
  <si>
    <t>ID Ideology Big Girls Layered-Look Tank To Jet Ski M 1012</t>
  </si>
  <si>
    <t>196258047062</t>
  </si>
  <si>
    <t>Calvin Klein Big Boys Boxer Brief, Pack of Deep Moat Blue, Black Iris XL</t>
  </si>
  <si>
    <t>193712355534</t>
  </si>
  <si>
    <t>Imperial Star Big Girls Fleece Joggers Gray Pastel Tie Dye S</t>
  </si>
  <si>
    <t>IS421E1582</t>
  </si>
  <si>
    <t>742728931128</t>
  </si>
  <si>
    <t>Converse Converse Big Girls Star Sequin Black Large</t>
  </si>
  <si>
    <t>4CB791E</t>
  </si>
  <si>
    <t>742728430539</t>
  </si>
  <si>
    <t>Converse Converse Big Girls Shoe Stack White Medium</t>
  </si>
  <si>
    <t>4CB441E</t>
  </si>
  <si>
    <t>193666723243</t>
  </si>
  <si>
    <t>Calvin Klein Calvin Klein Big Girls Printed Nude Small</t>
  </si>
  <si>
    <t>BODY AND LINING: NYLON/SPANDEX</t>
  </si>
  <si>
    <t>196258046942</t>
  </si>
  <si>
    <t>Calvin Klein Big Boys Boxer Brief, Pack of Deep Moat Blue, Black Iris M</t>
  </si>
  <si>
    <t>733004085901</t>
  </si>
  <si>
    <t>Epic Threads Big Girls Tie Dye Sherpa Jogge Sugar Blue XLarge</t>
  </si>
  <si>
    <t>100133063GR</t>
  </si>
  <si>
    <t>733004591907</t>
  </si>
  <si>
    <t>First Impressions Baby Boys or Girls Velour Cove Navy Nautical 6-9 months</t>
  </si>
  <si>
    <t>194135010918</t>
  </si>
  <si>
    <t>Carters Carters Baby Girls Strawberry Pink 3 months</t>
  </si>
  <si>
    <t>1K349310</t>
  </si>
  <si>
    <t>194135113343</t>
  </si>
  <si>
    <t>Carters Carters Baby Boys Shark Cotto Blue 6 months</t>
  </si>
  <si>
    <t>1K380410</t>
  </si>
  <si>
    <t>194135050532</t>
  </si>
  <si>
    <t>Carters Carters Baby Boys Leopard Bas Open 6 months</t>
  </si>
  <si>
    <t>1K378810</t>
  </si>
  <si>
    <t>733004785993</t>
  </si>
  <si>
    <t>Epic Threads Little Girls All Over Print Ve Tie Dye 6</t>
  </si>
  <si>
    <t>100138280LG</t>
  </si>
  <si>
    <t>196325120063</t>
  </si>
  <si>
    <t>Peppa Pig Little Girls Peppa Pig Lettuce Multi 6</t>
  </si>
  <si>
    <t>46094831571</t>
  </si>
  <si>
    <t>Maidenform Maidenform Little Big Girls White 30A</t>
  </si>
  <si>
    <t>193666757934</t>
  </si>
  <si>
    <t>Maidenform Big Girls 3-Pack Cropped Cotto Uniblublk S 68</t>
  </si>
  <si>
    <t>193666924961</t>
  </si>
  <si>
    <t>Maidenform Big Girls 3-Pack Cropped Cotto Pink Stripebegonia Pinkwhite S 68</t>
  </si>
  <si>
    <t>193666757927</t>
  </si>
  <si>
    <t>Maidenform Big Girls 3-Pack Cropped Cotto Uniblublk M 78</t>
  </si>
  <si>
    <t>756845970120</t>
  </si>
  <si>
    <t>First Impressions 3-Pk. Dots Flowers Bodysuits Mint Multi Newborn</t>
  </si>
  <si>
    <t>2324FI410</t>
  </si>
  <si>
    <t>733004752964</t>
  </si>
  <si>
    <t>Epic Threads Big Girls Fair Isle Fleece Lin Strawberry Pink S 810</t>
  </si>
  <si>
    <t>100138504GR</t>
  </si>
  <si>
    <t>733004752926</t>
  </si>
  <si>
    <t>Epic Threads Big Girls Fair Isle Fleece Lin Violet Light S 810</t>
  </si>
  <si>
    <t>733004752940</t>
  </si>
  <si>
    <t>Epic Threads Big Girls Fair Isle Fleece Lin Violet Light L 1416</t>
  </si>
  <si>
    <t>733004752988</t>
  </si>
  <si>
    <t>Epic Threads Big Girls Fair Isle Fleece Lin Strawberry Pink L 1416</t>
  </si>
  <si>
    <t>733004752476</t>
  </si>
  <si>
    <t>Epic Threads Big Girls Short Sleeve Happy S Sunset Flamingo M 1012</t>
  </si>
  <si>
    <t>100138488GR</t>
  </si>
  <si>
    <t>194135893702</t>
  </si>
  <si>
    <t>Carters Carters Baby Girls 2-Piece Fl Gray 18 months</t>
  </si>
  <si>
    <t>194135893719</t>
  </si>
  <si>
    <t>Carters Carters Baby Girls 2-Piece Fl Gray 24 months</t>
  </si>
  <si>
    <t>194257234209</t>
  </si>
  <si>
    <t>Champion Big Girls Solid Varsity Woven Land Ice, White XLarge</t>
  </si>
  <si>
    <t>7562CG</t>
  </si>
  <si>
    <t>194257534149</t>
  </si>
  <si>
    <t>Champion Champion Big Girls Solid Varsi Black, Azalea Pink M 1012</t>
  </si>
  <si>
    <t>194257534132</t>
  </si>
  <si>
    <t>Champion Champion Big Girls Solid Varsi Black, Azalea Pink S 8</t>
  </si>
  <si>
    <t>196122329997</t>
  </si>
  <si>
    <t>Koala Baby Baby Girls Ribbed Pants, Pack Green 9-12 months</t>
  </si>
  <si>
    <t>191655254648</t>
  </si>
  <si>
    <t>Chickpea Chickpea Baby Girls Grow with YellowPink 3-9 months</t>
  </si>
  <si>
    <t>HE12228967</t>
  </si>
  <si>
    <t>733004293641</t>
  </si>
  <si>
    <t>First Impressions Baby Boy Tuxedo Jeans Black Wash 24 months</t>
  </si>
  <si>
    <t>100126828BB</t>
  </si>
  <si>
    <t>194753531680</t>
  </si>
  <si>
    <t>Under Armour Under Armour Toddler Boys Prot Academy 2T</t>
  </si>
  <si>
    <t>UASEC31D-410</t>
  </si>
  <si>
    <t>766380220642</t>
  </si>
  <si>
    <t>First Impressions Baby Girls Ruffled Hoodie Angel White 3-6 months</t>
  </si>
  <si>
    <t>762120329330</t>
  </si>
  <si>
    <t>ID Ideology Big Boys Printed Camo T-Shirt Silver Ice XL</t>
  </si>
  <si>
    <t>100137756BO</t>
  </si>
  <si>
    <t>762120329293</t>
  </si>
  <si>
    <t>ID Ideology Big Boys Printed Camo T-Shirt Silver Ice S</t>
  </si>
  <si>
    <t>766370766365</t>
  </si>
  <si>
    <t>Epic Threads Little Boys Terry Shorts Skygaze 7</t>
  </si>
  <si>
    <t>766370765474</t>
  </si>
  <si>
    <t>Epic Threads Little Boys Terry Shorts Gossamer Green 6</t>
  </si>
  <si>
    <t>766370765467</t>
  </si>
  <si>
    <t>Epic Threads Little Boys Terry Shorts Gossamer Green 5</t>
  </si>
  <si>
    <t>733001612650</t>
  </si>
  <si>
    <t>First Impressions Baby Girl Faux Fur Vest Cherry Red 18 months</t>
  </si>
  <si>
    <t>100100652BG</t>
  </si>
  <si>
    <t>733001612674</t>
  </si>
  <si>
    <t>First Impressions Baby Girl Faux Fur Vest Cherry Red 0-3 months</t>
  </si>
  <si>
    <t>194135703063</t>
  </si>
  <si>
    <t>Carters Toddler Boys 2-Pc. Snug-Fit Pe Blue 3T</t>
  </si>
  <si>
    <t>2M676510</t>
  </si>
  <si>
    <t>194133542107</t>
  </si>
  <si>
    <t>Carters Toddler Boys 2-Pc. Snug Fit Fo B Fox 2 Pc 4T</t>
  </si>
  <si>
    <t>2J178910</t>
  </si>
  <si>
    <t>194257720580</t>
  </si>
  <si>
    <t>Champion Big Girls Boxy T-shirt Capri Orange M 1012</t>
  </si>
  <si>
    <t>CHG137</t>
  </si>
  <si>
    <t>194257837110</t>
  </si>
  <si>
    <t>Champion Big Boys All Over Print Solid Sunbeam Glow, Blue Atoll M</t>
  </si>
  <si>
    <t>CHB192</t>
  </si>
  <si>
    <t>194257837134</t>
  </si>
  <si>
    <t>Champion Big Boys All Over Print Solid Sunbeam Glow, Blue Atoll L</t>
  </si>
  <si>
    <t>766380191409</t>
  </si>
  <si>
    <t>ID Ideology Big Girls Zebra Print Leggings Deep Black XL 16</t>
  </si>
  <si>
    <t>195861312055</t>
  </si>
  <si>
    <t>Carters Carters Baby Girls One Piece PinkDots 12 months</t>
  </si>
  <si>
    <t>1O026510</t>
  </si>
  <si>
    <t>733004801211</t>
  </si>
  <si>
    <t>Epic Threads Toddler Girls Fair Isle Fleece Violet Light 4T</t>
  </si>
  <si>
    <t>766360449001</t>
  </si>
  <si>
    <t>ID Ideology Toddler Little Girls Marble Violet Tulle 6</t>
  </si>
  <si>
    <t>194257329714</t>
  </si>
  <si>
    <t>Champion Big Boys All Over Print Script Oxford Heather XLarge</t>
  </si>
  <si>
    <t>8220CB</t>
  </si>
  <si>
    <t>194257329677</t>
  </si>
  <si>
    <t>Champion Big Boys All Over Print Script Oxford Heather Small</t>
  </si>
  <si>
    <t>766360446932</t>
  </si>
  <si>
    <t>ID Ideology Big Girls Geo-Print Capri Legg Jet Ski S 78</t>
  </si>
  <si>
    <t>194135896475</t>
  </si>
  <si>
    <t>Carters Carters Baby Girls Eyelet Sna Mint 3 months</t>
  </si>
  <si>
    <t>194257512789</t>
  </si>
  <si>
    <t>Champion Champion Big Girls Sunburst Bo Ice Fall Medium</t>
  </si>
  <si>
    <t>CHG056</t>
  </si>
  <si>
    <t>195958836624</t>
  </si>
  <si>
    <t>Calvin Klein Calvin Klein Performance Big G Beach Glass XL 1820</t>
  </si>
  <si>
    <t>CASFA11S-446</t>
  </si>
  <si>
    <t>196325119968</t>
  </si>
  <si>
    <t>Disney Toddler Girls Baby Shark Lettu Heather Gray 2T</t>
  </si>
  <si>
    <t>762120691239</t>
  </si>
  <si>
    <t>ID Ideology Big Girls Lace-Up T-Shirt Violet Tulle L 14</t>
  </si>
  <si>
    <t>195883381190</t>
  </si>
  <si>
    <t>Hybrid Toddler Boys NASA T-shirt Navy 2T</t>
  </si>
  <si>
    <t>2TNAS1062</t>
  </si>
  <si>
    <t>766360438142</t>
  </si>
  <si>
    <t>ID Ideology Big Girls Future Lace-Up Top Tropic Blue L 14</t>
  </si>
  <si>
    <t>766360674649</t>
  </si>
  <si>
    <t>Epic Threads Big Girls Rainbow All Over Pri Washed Indigo XL 1820</t>
  </si>
  <si>
    <t>100145351GR</t>
  </si>
  <si>
    <t>733002918126</t>
  </si>
  <si>
    <t>ID Ideology Big Girls Solid Biker Shorts Deep Black S 78</t>
  </si>
  <si>
    <t>100121852GR</t>
  </si>
  <si>
    <t>733004723674</t>
  </si>
  <si>
    <t>First Impressions Baby Boys Lightning Bolt Hoode Sundrop 0-3 months</t>
  </si>
  <si>
    <t>194135414310</t>
  </si>
  <si>
    <t>Carters Baby Boys Colorblock Jersey T- Navy 9 months</t>
  </si>
  <si>
    <t>1M007810</t>
  </si>
  <si>
    <t>733004952838</t>
  </si>
  <si>
    <t>First Impressions Baby Boys Sugar Splash Tie-Dye Washed Indigo 0-3 months</t>
  </si>
  <si>
    <t>100136911BB</t>
  </si>
  <si>
    <t>81715949617</t>
  </si>
  <si>
    <t>Berkshire Little Boys Mickey Mouse Hat Red ONE SIZE</t>
  </si>
  <si>
    <t>MKM1487</t>
  </si>
  <si>
    <t>762120691376</t>
  </si>
  <si>
    <t>ID Ideology Big Girls Twist-Front Top Pistachio Green M 1012</t>
  </si>
  <si>
    <t>194257637598</t>
  </si>
  <si>
    <t>Champion Big Boys Abstract Camo Script Swiss Blue M</t>
  </si>
  <si>
    <t>194257667458</t>
  </si>
  <si>
    <t>Champion Big Boys Champion Globe Tee White, Lakeside Green S 8</t>
  </si>
  <si>
    <t>194257642233</t>
  </si>
  <si>
    <t>Champion Champion Big Boys Wavy Box Scr Scarlet S 8</t>
  </si>
  <si>
    <t>CHB221</t>
  </si>
  <si>
    <t>194257664365</t>
  </si>
  <si>
    <t>Champion Champion Big Boys Quick Script Oxford Heather M 1012</t>
  </si>
  <si>
    <t>194257486271</t>
  </si>
  <si>
    <t>Champion Big Boys Short Sleeve Signatur Purple M 1012</t>
  </si>
  <si>
    <t>194257667861</t>
  </si>
  <si>
    <t>Champion Champion Big Boys Champion Cla Natural, Electric Cyan L 1416</t>
  </si>
  <si>
    <t>194257393777</t>
  </si>
  <si>
    <t>Champion Big Boys Short Sleeve Signatur Black S 8</t>
  </si>
  <si>
    <t>191603349938</t>
  </si>
  <si>
    <t>Nintendo Little Boys Mario Icon Graphic Red Heather 4</t>
  </si>
  <si>
    <t>762120162333</t>
  </si>
  <si>
    <t>Epic Threads Little Girls Graphic T-shirt Sunset Flamingo 5</t>
  </si>
  <si>
    <t>195883922898</t>
  </si>
  <si>
    <t>Batman Toddler Boys Batman Short Slee Blue Tie Dye 3T</t>
  </si>
  <si>
    <t>2JDCB2013</t>
  </si>
  <si>
    <t>766360129897</t>
  </si>
  <si>
    <t>First Impressions Baby Girls Daisy Shorts Lt Medium Wash 24 months</t>
  </si>
  <si>
    <t>762120162388</t>
  </si>
  <si>
    <t>Epic Threads Little Girls Graphic T-shirt Sunset Flamingo 6X</t>
  </si>
  <si>
    <t>766360828943</t>
  </si>
  <si>
    <t>ID Ideology Big Boys Mesh Break Shorts Deep Charc XL</t>
  </si>
  <si>
    <t>766360828868</t>
  </si>
  <si>
    <t>ID Ideology Big Boys Mesh Break Shorts Deep Charc S</t>
  </si>
  <si>
    <t>194135491328</t>
  </si>
  <si>
    <t>Carters Toddler Girls 1-Piece Butterfl Print 3T</t>
  </si>
  <si>
    <t>2M071410</t>
  </si>
  <si>
    <t>194257501660</t>
  </si>
  <si>
    <t>Champion Champion Little Girls Script A Pink Candy 6X</t>
  </si>
  <si>
    <t>CHL060</t>
  </si>
  <si>
    <t>762120084291</t>
  </si>
  <si>
    <t>Epic Threads Big Girls Long Sleeve Graphic Violet Light M</t>
  </si>
  <si>
    <t>733003083588</t>
  </si>
  <si>
    <t>ID Ideology Big Girl Core Stretch Leggings Fresh Orchid XL 16</t>
  </si>
  <si>
    <t>733004779862</t>
  </si>
  <si>
    <t>Epic Threads Toddler Girls Solid Skirt Legg Sunset Flamingo 3T</t>
  </si>
  <si>
    <t>100138528LG</t>
  </si>
  <si>
    <t>194257303967</t>
  </si>
  <si>
    <t>Champion Big Boys Camo Fill Script Jers Melted Butter Medium</t>
  </si>
  <si>
    <t>8395CB</t>
  </si>
  <si>
    <t>762120688260</t>
  </si>
  <si>
    <t>ID Ideology Big Girl Core Woven Shorts Violet Tulle XXL 18</t>
  </si>
  <si>
    <t>194135294080</t>
  </si>
  <si>
    <t>Carters Baby Boys Pull-On French Terry Red 24 months</t>
  </si>
  <si>
    <t>1L739910</t>
  </si>
  <si>
    <t>194135294158</t>
  </si>
  <si>
    <t>Carters Baby Boys Knit Short Blue 24 months</t>
  </si>
  <si>
    <t>1L730910</t>
  </si>
  <si>
    <t>733003081799</t>
  </si>
  <si>
    <t>ID Ideology Little Girls Flex Leggings Fresh Orchid 5</t>
  </si>
  <si>
    <t>762120960526</t>
  </si>
  <si>
    <t>ID Ideology Little Girls Flex Leggings Jet Ski 5</t>
  </si>
  <si>
    <t>733003608989</t>
  </si>
  <si>
    <t>Epic Threads Little Boys Long Sleeve Color Bright White 6</t>
  </si>
  <si>
    <t>100133709LB</t>
  </si>
  <si>
    <t>766370079526</t>
  </si>
  <si>
    <t>Epic Threads Big Boys Racecar Graphic T-shi Deep Black L 1618</t>
  </si>
  <si>
    <t>766370169623</t>
  </si>
  <si>
    <t>ID Ideology Toddler Little Girls FIERCE Pear Passion 3T</t>
  </si>
  <si>
    <t>194135893320</t>
  </si>
  <si>
    <t>Carters Carters Baby Girls Flower Pow Multi 3 months</t>
  </si>
  <si>
    <t>762120084086</t>
  </si>
  <si>
    <t>Epic Threads Big Girls Rainbow Camo Legging Ghost Heather S</t>
  </si>
  <si>
    <t>100138499GR</t>
  </si>
  <si>
    <t>766360648817</t>
  </si>
  <si>
    <t>Epic Threads Toddler Girls Cold Shoulder Dr Orchid Bloom 3T</t>
  </si>
  <si>
    <t>195861116257</t>
  </si>
  <si>
    <t>Carters Toddler Boys Jersey Graphic T- Navy 2T</t>
  </si>
  <si>
    <t>2N669810</t>
  </si>
  <si>
    <t>195861135517</t>
  </si>
  <si>
    <t>Carters Toddler Boys Explorer-Graphic Navy 2T</t>
  </si>
  <si>
    <t>2N610310</t>
  </si>
  <si>
    <t>733003091194</t>
  </si>
  <si>
    <t>Epic Threads Big Girls Short Sleeve Nasa T- Pink Dogwood M 1214</t>
  </si>
  <si>
    <t>100129860GR</t>
  </si>
  <si>
    <t>194135262539</t>
  </si>
  <si>
    <t>Carters Carters Baby Boys Snap Front Gray Newborn</t>
  </si>
  <si>
    <t>1L749810</t>
  </si>
  <si>
    <t>194135260276</t>
  </si>
  <si>
    <t>Carters Baby Boys Zip-Up Footless Slee White 6 months</t>
  </si>
  <si>
    <t>1L724010</t>
  </si>
  <si>
    <t>196325117506</t>
  </si>
  <si>
    <t>Batman Batman Big Boys Bats Graphic T Sunflower Medium</t>
  </si>
  <si>
    <t>2YBATM0017</t>
  </si>
  <si>
    <t>195883880143</t>
  </si>
  <si>
    <t>Pokemon Big Boys Pokemon Group Graphic Red Heather Medium</t>
  </si>
  <si>
    <t>2YPKM3804</t>
  </si>
  <si>
    <t>195883880051</t>
  </si>
  <si>
    <t>Batman Big Boys Batman Skyline Graphi White Small</t>
  </si>
  <si>
    <t>2YDCB2011</t>
  </si>
  <si>
    <t>80538129848</t>
  </si>
  <si>
    <t>Keds 10-Pk. Half-Cushion Low-Cut So Charcoal Small-Medium</t>
  </si>
  <si>
    <t>191655190809</t>
  </si>
  <si>
    <t>Chickpea Baby Girls 3-Pc. Cotton Bodysu White Multi 6-9 months</t>
  </si>
  <si>
    <t>HE12224522</t>
  </si>
  <si>
    <t>766370827660</t>
  </si>
  <si>
    <t>Epic Threads Epic Threads Big Girls Hawaii Angel White L 1214</t>
  </si>
  <si>
    <t>100153003GR</t>
  </si>
  <si>
    <t>733003581152</t>
  </si>
  <si>
    <t>First Impressions Baby Boys Dino Spike Long-Slee Sterling Hthr 6-9 months</t>
  </si>
  <si>
    <t>100129566BB</t>
  </si>
  <si>
    <t>80538131315</t>
  </si>
  <si>
    <t>Trimfit Trimfit Big Girls Glitter Cher White, Pink 6-8</t>
  </si>
  <si>
    <t>TR0054</t>
  </si>
  <si>
    <t>190322119723</t>
  </si>
  <si>
    <t>Epic Threads Criss-Cross Shelf Camisole, Bi Bright White L 1416</t>
  </si>
  <si>
    <t>766380383439</t>
  </si>
  <si>
    <t>ID Ideology Little Girls Lace-Up Top Pink Hustl 6X</t>
  </si>
  <si>
    <t>733003093914</t>
  </si>
  <si>
    <t>Epic Threads Big Girls All Over Print Leggi Blue Ash Stone M 1214</t>
  </si>
  <si>
    <t>100129865GR</t>
  </si>
  <si>
    <t>766360125356</t>
  </si>
  <si>
    <t>First Impressions Baby Bunny Cardigan Vanilla Bean 6-9 months</t>
  </si>
  <si>
    <t>766370619913</t>
  </si>
  <si>
    <t>First Impressions Baby Girls Safari Sunsuit Playful Pink 3-6 months</t>
  </si>
  <si>
    <t>766360129361</t>
  </si>
  <si>
    <t>First Impressions Baby Girls Cotton Gingham Suns Sodalite Blue 0-3 months</t>
  </si>
  <si>
    <t>762120498593</t>
  </si>
  <si>
    <t>First Impressions Baby Girls Watermelon Cotton S Peony Pink 6-9 months</t>
  </si>
  <si>
    <t>100112865BG</t>
  </si>
  <si>
    <t>766360128357</t>
  </si>
  <si>
    <t>First Impressions Baby Girls Lovely Swans Bodysu Spring Daffodil 3-6 months</t>
  </si>
  <si>
    <t>100141046BG</t>
  </si>
  <si>
    <t>733003799229</t>
  </si>
  <si>
    <t>Epic Threads Big Girls Allover Camo Print B Camo L 1416</t>
  </si>
  <si>
    <t>100138982GR</t>
  </si>
  <si>
    <t>733003799205</t>
  </si>
  <si>
    <t>Epic Threads Big Girls Allover Camo Print B Camo S 810</t>
  </si>
  <si>
    <t>195883642208</t>
  </si>
  <si>
    <t>Star Wars Toddler Boys The Perfect Child Red Heather 3T</t>
  </si>
  <si>
    <t>2JSWM0506</t>
  </si>
  <si>
    <t>766360685225</t>
  </si>
  <si>
    <t>Epic Threads Toddler Boys Multi Stripe T-sh Bright White 3T</t>
  </si>
  <si>
    <t>100144714LB</t>
  </si>
  <si>
    <t>766360685201</t>
  </si>
  <si>
    <t>Epic Threads Toddler Boys Multi Stripe T-sh Bright White 4T</t>
  </si>
  <si>
    <t>766360685218</t>
  </si>
  <si>
    <t>Epic Threads Toddler Boys Multi Stripe T-sh Bright White 2T</t>
  </si>
  <si>
    <t>762120085748</t>
  </si>
  <si>
    <t>Epic Threads Toddler Girls Glitter Tutu Ski Sundrop 4T</t>
  </si>
  <si>
    <t>100138324LG</t>
  </si>
  <si>
    <t>766370425125</t>
  </si>
  <si>
    <t>Epic Threads Toddler Girls Short Sleeves He Sweet Berry 2T</t>
  </si>
  <si>
    <t>733001235354</t>
  </si>
  <si>
    <t>ID Ideology Little Girls Scalloped-Edge Gr Cradle Pink 6X</t>
  </si>
  <si>
    <t>100100512LG</t>
  </si>
  <si>
    <t>IDEOLOGY-EDI/2-6X</t>
  </si>
  <si>
    <t>733003621063</t>
  </si>
  <si>
    <t>First Impressions Toddler Boys Camo-Print Jogger Navy Nautical 3T</t>
  </si>
  <si>
    <t>100130686TB</t>
  </si>
  <si>
    <t>762120161237</t>
  </si>
  <si>
    <t>Epic Threads Little Girls Polka Dot Print S Cherry Flame 6X</t>
  </si>
  <si>
    <t>100140752LG</t>
  </si>
  <si>
    <t>762120085502</t>
  </si>
  <si>
    <t>Epic Threads Little Girls Stripe Based Legg Ghost Heather 6</t>
  </si>
  <si>
    <t>762120085427</t>
  </si>
  <si>
    <t>Epic Threads Little Girls Ruched Heart Knee Lavender Pool 6X</t>
  </si>
  <si>
    <t>762120085359</t>
  </si>
  <si>
    <t>Epic Threads Toddler Girls Ruched Heart Kne Lavender Pool 2T</t>
  </si>
  <si>
    <t>766370446489</t>
  </si>
  <si>
    <t>Epic Threads Toddler Girls Knee Graphic Leg Blush Pink 4T</t>
  </si>
  <si>
    <t>733002788163</t>
  </si>
  <si>
    <t>Epic Threads Little Girls All Over Print Be Lemon Zest 6</t>
  </si>
  <si>
    <t>100124601LG</t>
  </si>
  <si>
    <t>733002787982</t>
  </si>
  <si>
    <t>Epic Threads Little Girls Graphic Leggings Peacoat 6</t>
  </si>
  <si>
    <t>100124598LG</t>
  </si>
  <si>
    <t>733004730535</t>
  </si>
  <si>
    <t>Epic Threads Little Boys Camo All Over Prin Artichoke 6</t>
  </si>
  <si>
    <t>762120077101</t>
  </si>
  <si>
    <t>Epic Threads Little Boys Peace Graphic T-sh Medium Heather Gray 7</t>
  </si>
  <si>
    <t>762120077118</t>
  </si>
  <si>
    <t>Epic Threads Toddler Boys Peace sign Graphi Medium Heather Gray 4T</t>
  </si>
  <si>
    <t>733004730542</t>
  </si>
  <si>
    <t>Epic Threads Little Boys Camo All Over Prin Artichoke 7</t>
  </si>
  <si>
    <t>733004041365</t>
  </si>
  <si>
    <t>Epic Threads Little Boys Short Sleeve All O Red Pop 6</t>
  </si>
  <si>
    <t>100133749LB</t>
  </si>
  <si>
    <t>733004112645</t>
  </si>
  <si>
    <t>Epic Threads Little Boys Short Sleeve Plaid Cocoa Butter 6</t>
  </si>
  <si>
    <t>100133758LB</t>
  </si>
  <si>
    <t>762120023191</t>
  </si>
  <si>
    <t>First Impressions Baby Boys Striped Cotton Jogge Passion Blue 12 months</t>
  </si>
  <si>
    <t>733003082529</t>
  </si>
  <si>
    <t>ID Ideology Little Girls Lace-Up Top Fresh Orchid 6</t>
  </si>
  <si>
    <t>733003700843</t>
  </si>
  <si>
    <t>Epic Threads Epic Threads Toddler Girls Sho Candy Fizz 2T</t>
  </si>
  <si>
    <t>100132892LG</t>
  </si>
  <si>
    <t>733004779107</t>
  </si>
  <si>
    <t>Epic Threads Toddler Girls Fair Isle Neckli Sundrop 3T</t>
  </si>
  <si>
    <t>100138294LG</t>
  </si>
  <si>
    <t>733004780202</t>
  </si>
  <si>
    <t>Epic Threads Toddler Girls Ski Sloth Graphi Sugar Blue 3T</t>
  </si>
  <si>
    <t>100138299LG</t>
  </si>
  <si>
    <t>733004779046</t>
  </si>
  <si>
    <t>Epic Threads Toddler Girls Always Chase You Strawberry Pink 3T</t>
  </si>
  <si>
    <t>100138293LG</t>
  </si>
  <si>
    <t>762120084550</t>
  </si>
  <si>
    <t>Epic Threads Little Girls Candy Graphic T-s Lavender Pool 6</t>
  </si>
  <si>
    <t>100138310LG</t>
  </si>
  <si>
    <t>733004779053</t>
  </si>
  <si>
    <t>Epic Threads Toddler Girls Always Chase You Strawberry Pink 4T</t>
  </si>
  <si>
    <t>733004779428</t>
  </si>
  <si>
    <t>Epic Threads Little Girls Long Sleeve T-shi Holiday Ivory 6X</t>
  </si>
  <si>
    <t>100138295LG</t>
  </si>
  <si>
    <t>733004779268</t>
  </si>
  <si>
    <t>Epic Threads Little Girls Long Sleeve T-shi Holiday Ivory 6</t>
  </si>
  <si>
    <t>733004779015</t>
  </si>
  <si>
    <t>Epic Threads Little Girls Bow Back Always C Strawberry Pink 5</t>
  </si>
  <si>
    <t>762120084482</t>
  </si>
  <si>
    <t>Epic Threads Little Girls Rainbow Unicorn T Holiday Ivory 5</t>
  </si>
  <si>
    <t>100138309LG</t>
  </si>
  <si>
    <t>766370827240</t>
  </si>
  <si>
    <t>Epic Threads Toddler Girls Aloha Graphic T- Angel White 4T</t>
  </si>
  <si>
    <t>766360645311</t>
  </si>
  <si>
    <t>Epic Threads Toddler Girls Multi Stripe T-s Washed Indigo 3T</t>
  </si>
  <si>
    <t>766360645281</t>
  </si>
  <si>
    <t>Epic Threads Little Girls Multi Stripe T-sh Washed Indigo 5</t>
  </si>
  <si>
    <t>733004036088</t>
  </si>
  <si>
    <t>Epic Threads Little Girls Rockstar Cold Sho Candy Fizz 6X</t>
  </si>
  <si>
    <t>100132946LG</t>
  </si>
  <si>
    <t>766360645328</t>
  </si>
  <si>
    <t>Epic Threads Toddler Girls Multi Stripe T-s Washed Indigo 4T</t>
  </si>
  <si>
    <t>766360646004</t>
  </si>
  <si>
    <t>Epic Threads Epic Threads Toddler Girls Lad Blush Pink 2T</t>
  </si>
  <si>
    <t>766360661519</t>
  </si>
  <si>
    <t>Epic Threads Epic Threads Little Girls Suns Blush Pink 6X</t>
  </si>
  <si>
    <t>766360661649</t>
  </si>
  <si>
    <t>Epic Threads Epic Threads Toddler Girls Tie Multi Tie Dye 2T</t>
  </si>
  <si>
    <t>766360661670</t>
  </si>
  <si>
    <t>Epic Threads Epic Threads Little Girls Shor Multi Tie Dye 6X</t>
  </si>
  <si>
    <t>733004780233</t>
  </si>
  <si>
    <t>Epic Threads Little Girls Heart Graphic Vel Sugar Blue 5</t>
  </si>
  <si>
    <t>762120084772</t>
  </si>
  <si>
    <t>Epic Threads Little Girls Good Vibes Long S Angel White 5</t>
  </si>
  <si>
    <t>100138529LG</t>
  </si>
  <si>
    <t>766360109981</t>
  </si>
  <si>
    <t>Epic Threads Big Girls Wide Stripe-Print Sh Bright White M 810</t>
  </si>
  <si>
    <t>732999993079</t>
  </si>
  <si>
    <t>Epic Threads Big Girls Solid Basic Legging, Pale Pink XL 16</t>
  </si>
  <si>
    <t>732999993055</t>
  </si>
  <si>
    <t>Epic Threads Big Girls Solid Basic Legging, Pale Pink M 1012</t>
  </si>
  <si>
    <t>766370868601</t>
  </si>
  <si>
    <t>First Impressions Baby Girls Bow-Strap Knit Dres Coral Topaz 3-6 months</t>
  </si>
  <si>
    <t>194135892163</t>
  </si>
  <si>
    <t>Carters Carters Baby Girls Cousin Cre Purple 9 months</t>
  </si>
  <si>
    <t>1N078010</t>
  </si>
  <si>
    <t>733001035480</t>
  </si>
  <si>
    <t>First Impressions Baby Boy Camo Jogger Blue Nile Heather 6-9 months</t>
  </si>
  <si>
    <t>733003920524</t>
  </si>
  <si>
    <t>First Impressions Toddler Girls Striped Heart Ve Deep Black 4T</t>
  </si>
  <si>
    <t>100130838TG</t>
  </si>
  <si>
    <t>762120127240</t>
  </si>
  <si>
    <t>First Impressions Baby Boys Planet-Print Hooded Deep Black 18 months</t>
  </si>
  <si>
    <t>100136307BB</t>
  </si>
  <si>
    <t>733004747762</t>
  </si>
  <si>
    <t>First Impressions Baby Boys Polar Stripe Jogger Slate Heather 12 months</t>
  </si>
  <si>
    <t>100136284BB</t>
  </si>
  <si>
    <t>762120964517</t>
  </si>
  <si>
    <t>ID Ideology Big Girls Core Tank Top Violet Tulle M 1012</t>
  </si>
  <si>
    <t>733004747786</t>
  </si>
  <si>
    <t>First Impressions Baby Boys Polar Stripe Jogger Slate Heather 6-9 months</t>
  </si>
  <si>
    <t>762120128704</t>
  </si>
  <si>
    <t>First Impressions Toddler Boys Panda Long-Sleeve Slate Heather 3T</t>
  </si>
  <si>
    <t>100136323TB</t>
  </si>
  <si>
    <t>732996901572</t>
  </si>
  <si>
    <t>First Impressions Baby Boys Knee Patch French Te Blue Nile 24 months</t>
  </si>
  <si>
    <t>733004745546</t>
  </si>
  <si>
    <t>First Impressions Baby Girls Velour Legging Sugar Blue 6-9 months</t>
  </si>
  <si>
    <t>733004883675</t>
  </si>
  <si>
    <t>First Impressions Baby Boys Sleepy Cloud Bodysui Sundrop 6-9 months</t>
  </si>
  <si>
    <t>733001037910</t>
  </si>
  <si>
    <t>Epic Threads Epic Threads Big Boys Solid Ba Blue Nubuck S 810</t>
  </si>
  <si>
    <t>733004747410</t>
  </si>
  <si>
    <t>First Impressions Baby Boys Snowboard Toss Jogge Washed Indigo 6-9 months</t>
  </si>
  <si>
    <t>733004747434</t>
  </si>
  <si>
    <t>First Impressions Baby Boys Snowboard Toss Jogge Washed Indigo 24 months</t>
  </si>
  <si>
    <t>733003620790</t>
  </si>
  <si>
    <t>First Impressions Baby Boys Camo-Print Jogger Pa Navy Nautical 24 months</t>
  </si>
  <si>
    <t>100130686BB</t>
  </si>
  <si>
    <t>733004743092</t>
  </si>
  <si>
    <t>First Impressions Toddler Girls Skater Girl Long Angel White 3T</t>
  </si>
  <si>
    <t>100137285TG</t>
  </si>
  <si>
    <t>733002930456</t>
  </si>
  <si>
    <t>Epic Threads Big Girls Floral Basic Tee, Cr Pink Dogwood S 810</t>
  </si>
  <si>
    <t>100129817GR</t>
  </si>
  <si>
    <t>762120125741</t>
  </si>
  <si>
    <t>First Impressions Baby Boys Jogger Pants Cherry Flame 12 months</t>
  </si>
  <si>
    <t>100136342BB</t>
  </si>
  <si>
    <t>762120125925</t>
  </si>
  <si>
    <t>First Impressions Baby Boys Tiny Stripe Joggers Berry Blue Heather 18 months</t>
  </si>
  <si>
    <t>100137827BB</t>
  </si>
  <si>
    <t>733003143299</t>
  </si>
  <si>
    <t>First Impressions Baby Boys Dash-Print Jogger Pa Agave Green 3-6 months</t>
  </si>
  <si>
    <t>100121212BB</t>
  </si>
  <si>
    <t>762120125888</t>
  </si>
  <si>
    <t>First Impressions Baby Boys Jogger Pants Cherry Flame 24 months</t>
  </si>
  <si>
    <t>733003621001</t>
  </si>
  <si>
    <t>First Impressions Baby Boys Rainbow Knee Patch J Stormy Gry Hthr 12 months</t>
  </si>
  <si>
    <t>100130693BB</t>
  </si>
  <si>
    <t>733003617844</t>
  </si>
  <si>
    <t>First Impressions Baby Girls Party Striped Leggi Medieval Blue 3-6 months</t>
  </si>
  <si>
    <t>100130833BG</t>
  </si>
  <si>
    <t>762120023269</t>
  </si>
  <si>
    <t>First Impressions Baby Boys Cotton Sunrise Strip Washed Indigo 6-9 months</t>
  </si>
  <si>
    <t>100136074BB</t>
  </si>
  <si>
    <t>762120127974</t>
  </si>
  <si>
    <t>First Impressions Toddler Blast Off Rocket Long- Cherry Flame 2T</t>
  </si>
  <si>
    <t>100136308TB</t>
  </si>
  <si>
    <t>733004746260</t>
  </si>
  <si>
    <t>First Impressions Baby Boys Polar Bear Long-Slee Slate Heather 18 months</t>
  </si>
  <si>
    <t>733004746246</t>
  </si>
  <si>
    <t>First Impressions Baby Boys Polar Bear Long-Slee Slate Heather 3-6 months</t>
  </si>
  <si>
    <t>733001124085</t>
  </si>
  <si>
    <t>First Impressions Baby Girl BOW VELOUR TOP Angel White 6-9 months</t>
  </si>
  <si>
    <t>762120023160</t>
  </si>
  <si>
    <t>First Impressions Baby Boys Colorblocked Cotton Willow Hedge 6-9 months</t>
  </si>
  <si>
    <t>100136052BB</t>
  </si>
  <si>
    <t>733003928407</t>
  </si>
  <si>
    <t>First Impressions Toddler Boys Beanie Critters L Cherry Red 3T</t>
  </si>
  <si>
    <t>762120261869</t>
  </si>
  <si>
    <t>First Impressions Baby Boys Striped Kangaroo Pan Angel White 6-9 months</t>
  </si>
  <si>
    <t>100136310BB</t>
  </si>
  <si>
    <t>762120023177</t>
  </si>
  <si>
    <t>First Impressions Baby Boys Colorblocked Cotton Willow Hedge 18 months</t>
  </si>
  <si>
    <t>762120261876</t>
  </si>
  <si>
    <t>First Impressions Baby Boys Striped Kangaroo Pan Angel White 18 months</t>
  </si>
  <si>
    <t>762120261852</t>
  </si>
  <si>
    <t>First Impressions Baby Boys Striped Kangaroo Pan Angel White 3-6 months</t>
  </si>
  <si>
    <t>762120261883</t>
  </si>
  <si>
    <t>First Impressions Baby Boys Striped Kangaroo Pan Angel White 24 months</t>
  </si>
  <si>
    <t>733003925161</t>
  </si>
  <si>
    <t>First Impressions Baby Girls Lollipop Tunic Stormy Gry Hthr 24 months</t>
  </si>
  <si>
    <t>733003925130</t>
  </si>
  <si>
    <t>First Impressions Baby Girls Lollipop Tunic Stormy Gry Hthr 3-6 months</t>
  </si>
  <si>
    <t>762120120708</t>
  </si>
  <si>
    <t>First Impressions Baby Girls Ruched Heart Tunic Light Grey 24 months</t>
  </si>
  <si>
    <t>762120120685</t>
  </si>
  <si>
    <t>First Impressions Baby Girls Ruched Heart Tunic Light Grey 6-9 months</t>
  </si>
  <si>
    <t>733003924874</t>
  </si>
  <si>
    <t>First Impressions Baby Girls Fair Isle Tunic Angel White 3-6 months</t>
  </si>
  <si>
    <t>733003924904</t>
  </si>
  <si>
    <t>First Impressions Baby Girls Fair Isle Tunic Angel White 24 months</t>
  </si>
  <si>
    <t>733003924881</t>
  </si>
  <si>
    <t>First Impressions Baby Girls Fair Isle Tunic Angel White 6-9 months</t>
  </si>
  <si>
    <t>733003613211</t>
  </si>
  <si>
    <t>100130825BG</t>
  </si>
  <si>
    <t>193666340938</t>
  </si>
  <si>
    <t>Maidenform Maidenform Big Girls Printed S Blushing Bride S 78</t>
  </si>
  <si>
    <t>RM4101HC</t>
  </si>
  <si>
    <t>733003924966</t>
  </si>
  <si>
    <t>First Impressions Baby Girls Lollipop Tunic Stormy Gry Hthr 12 months</t>
  </si>
  <si>
    <t>195883653310</t>
  </si>
  <si>
    <t>Hybrid Big Boys Eat Sleep Repeat Shor Charcoal Heather XL 1820</t>
  </si>
  <si>
    <t>1YBY1710</t>
  </si>
  <si>
    <t>193666340921</t>
  </si>
  <si>
    <t>Maidenform Maidenform Big Girls Printed S Blushing Bride M 78</t>
  </si>
  <si>
    <t>733003872069</t>
  </si>
  <si>
    <t>First Impressions Baby Boys Colorblocked Jogger Navy Nautical 6-9 months</t>
  </si>
  <si>
    <t>100130690BB</t>
  </si>
  <si>
    <t>733004919770</t>
  </si>
  <si>
    <t>First Impressions Baby Girls Soft Striped Leggin Angel White 24 months</t>
  </si>
  <si>
    <t>733004919749</t>
  </si>
  <si>
    <t>First Impressions Baby Girls Soft Striped Leggin Angel White 3-6 months</t>
  </si>
  <si>
    <t>732999791590</t>
  </si>
  <si>
    <t>First Impressions Baby Girls Cotton Floral Medle Rich Periwinkle 6-9 months</t>
  </si>
  <si>
    <t>100092656BG</t>
  </si>
  <si>
    <t>762120023399</t>
  </si>
  <si>
    <t>First Impressions Baby Boys Rib-Trim Cotton Jogg Angel White 24 months</t>
  </si>
  <si>
    <t>733001234678</t>
  </si>
  <si>
    <t>First Impressions Baby Boys Monster Knee Jogger Pewter Hthr 3-6 months</t>
  </si>
  <si>
    <t>100101757BB</t>
  </si>
  <si>
    <t>762120023535</t>
  </si>
  <si>
    <t>First Impressions Baby Boys Rib-Trim Cotton Jogg Salmon Creek 24 months</t>
  </si>
  <si>
    <t>733004884009</t>
  </si>
  <si>
    <t>First Impressions Baby Girls Love Stars Long Sle Blossom Mist 12 months</t>
  </si>
  <si>
    <t>100136255BG</t>
  </si>
  <si>
    <t>733003926700</t>
  </si>
  <si>
    <t>First Impressions Baby Boys Honey Bear Long-Slee True Pine 18 months</t>
  </si>
  <si>
    <t>733003618056</t>
  </si>
  <si>
    <t>First Impressions Baby Boy PIECED ATHLETIC TEE Navy Nautical 3-6 months</t>
  </si>
  <si>
    <t>733003928148</t>
  </si>
  <si>
    <t>First Impressions Baby Boys Striped Henley Pewter Hthr B30 18 months</t>
  </si>
  <si>
    <t>100130719BB</t>
  </si>
  <si>
    <t>733003927929</t>
  </si>
  <si>
    <t>First Impressions Baby Boys Striped Henley Pewter Hthr B30 6-9 months</t>
  </si>
  <si>
    <t>733001812036</t>
  </si>
  <si>
    <t>First Impressions Baby Girls Panda Koala Cotto Angel White 12 months</t>
  </si>
  <si>
    <t>100112614BG</t>
  </si>
  <si>
    <t>762120127455</t>
  </si>
  <si>
    <t>First Impressions Baby Boys Heart Breaker Layere Slate Heather 24 months</t>
  </si>
  <si>
    <t>100136323BB</t>
  </si>
  <si>
    <t>762120126540</t>
  </si>
  <si>
    <t>First Impressions Baby Boys Tiny Stripe Long-Sle Berry Blue Heather 12 months</t>
  </si>
  <si>
    <t>762120127394</t>
  </si>
  <si>
    <t>First Impressions Baby Boys Lift Off Rocket Long Deep Black 18 months</t>
  </si>
  <si>
    <t>733001213765</t>
  </si>
  <si>
    <t>First Impressions Baby Boys Sunday Funday Tee Snow Owl Hthr 24 months</t>
  </si>
  <si>
    <t>100101716BB</t>
  </si>
  <si>
    <t>762120127547</t>
  </si>
  <si>
    <t>First Impressions Baby Boys XO Long-Sleeve Henle Slate Heather 18 months</t>
  </si>
  <si>
    <t>100136344BB</t>
  </si>
  <si>
    <t>733003611040</t>
  </si>
  <si>
    <t>First Impressions Baby Girls Floral Bow Cotton T Sunset Gold 6-9 months</t>
  </si>
  <si>
    <t>100130826BG</t>
  </si>
  <si>
    <t>762120127554</t>
  </si>
  <si>
    <t>First Impressions Baby Boys XO Long-Sleeve Henle Slate Heather 24 months</t>
  </si>
  <si>
    <t>766360124281</t>
  </si>
  <si>
    <t>First Impressions Baby Girls Boys Bunny Bodysu Vanilla Bean 12 months</t>
  </si>
  <si>
    <t>762120127363</t>
  </si>
  <si>
    <t>First Impressions Baby Boys Lift Off Rocket Long Deep Black 12 months</t>
  </si>
  <si>
    <t>733003618902</t>
  </si>
  <si>
    <t>First Impressions Baby Boys Dino Dude Faux-Layer Bright Pine 3-6 months</t>
  </si>
  <si>
    <t>100130674BB</t>
  </si>
  <si>
    <t>733004919695</t>
  </si>
  <si>
    <t>First Impressions Baby Girls Cupcake-Print Leggi Slate Heather 3-6 months</t>
  </si>
  <si>
    <t>100137305BG</t>
  </si>
  <si>
    <t>733003616908</t>
  </si>
  <si>
    <t>First Impressions VELOUR LEGGING Faded Berry 6-9 months</t>
  </si>
  <si>
    <t>733004919558</t>
  </si>
  <si>
    <t>First Impressions Baby Girls Printed Leggings Angel White 24 months</t>
  </si>
  <si>
    <t>100137297BG</t>
  </si>
  <si>
    <t>733004919541</t>
  </si>
  <si>
    <t>First Impressions Baby Girls Printed Leggings Angel White 18 months</t>
  </si>
  <si>
    <t>733004919886</t>
  </si>
  <si>
    <t>First Impressions Baby Girls Solid Ruffle-Hem Le Sundrop Yellow 12 months</t>
  </si>
  <si>
    <t>733004739026</t>
  </si>
  <si>
    <t>First Impressions Baby Girls Rainbow Long-Sleeve Washed Indigo 3-6 months</t>
  </si>
  <si>
    <t>733004739095</t>
  </si>
  <si>
    <t>First Impressions Baby Girls Rainbow Long-Sleeve Washed Indigo 18 months</t>
  </si>
  <si>
    <t>733004739101</t>
  </si>
  <si>
    <t>First Impressions Baby Girls Rainbow Long-Sleeve Washed Indigo 24 months</t>
  </si>
  <si>
    <t>733003618452</t>
  </si>
  <si>
    <t>First Impressions Baby Boys Pocket Cotton Henley Bright Pine 3-6 months</t>
  </si>
  <si>
    <t>100130676BB</t>
  </si>
  <si>
    <t>762120113137</t>
  </si>
  <si>
    <t>First Impressions Baby Boys Long-Sleeve Snow Con Slate Heather 3-6 months</t>
  </si>
  <si>
    <t>762120113151</t>
  </si>
  <si>
    <t>First Impressions Baby Boys Long-Sleeve Snow Con Slate Heather 18 months</t>
  </si>
  <si>
    <t>733004746208</t>
  </si>
  <si>
    <t>First Impressions Baby Boys Yum Long-Sleeve T-Sh Washed Indigo 6-9 months</t>
  </si>
  <si>
    <t>100137814BB</t>
  </si>
  <si>
    <t>733003923969</t>
  </si>
  <si>
    <t>First Impressions Baby Girls Map Long-Sleeve T-S Cherry Red 18 months</t>
  </si>
  <si>
    <t>100131138BG</t>
  </si>
  <si>
    <t>733002003327</t>
  </si>
  <si>
    <t>First Impressions Baby Boys Tiger Face Cotton T- Sunny Yellow 12 months</t>
  </si>
  <si>
    <t>100116986BB</t>
  </si>
  <si>
    <t>733004745645</t>
  </si>
  <si>
    <t>First Impressions Baby Boys Monster Party Long-S Slate Heather 6-9 months</t>
  </si>
  <si>
    <t>733004745737</t>
  </si>
  <si>
    <t>First Impressions Baby Boys Love You Smore Long Angel White 3-6 months</t>
  </si>
  <si>
    <t>733004745720</t>
  </si>
  <si>
    <t>First Impressions Baby Boys Love You Smore Long Angel White 12 months</t>
  </si>
  <si>
    <t>733004745768</t>
  </si>
  <si>
    <t>First Impressions Baby Boys Love You Smore Long Angel White 24 months</t>
  </si>
  <si>
    <t>733004745669</t>
  </si>
  <si>
    <t>First Impressions Baby Boys Monster Party Long-S Slate Heather 24 months</t>
  </si>
  <si>
    <t>762120126410</t>
  </si>
  <si>
    <t>First Impressions Baby Boys Blast Off Long-Sleev Cherry Flame 6-9 months</t>
  </si>
  <si>
    <t>100136308BB</t>
  </si>
  <si>
    <t>762120126526</t>
  </si>
  <si>
    <t>First Impressions Baby Boys Blast Off Long-Sleev Cherry Flame 18 months</t>
  </si>
  <si>
    <t>762120126533</t>
  </si>
  <si>
    <t>First Impressions Baby Boys Blast Off Long-Sleev Cherry Flame 24 months</t>
  </si>
  <si>
    <t>762120113335</t>
  </si>
  <si>
    <t>First Impressions Baby Boys Short-Sleeve Snow Co Slate Heather 18 months</t>
  </si>
  <si>
    <t>762120113304</t>
  </si>
  <si>
    <t>First Impressions Baby Boys Short-Sleeve Snow Co Slate Heather 12 months</t>
  </si>
  <si>
    <t>733003926649</t>
  </si>
  <si>
    <t>First Impressions Baby Boys Cutest Elf Long-Slee Pewter Heather 6-9 months</t>
  </si>
  <si>
    <t>100130715BB</t>
  </si>
  <si>
    <t>733003140038</t>
  </si>
  <si>
    <t>First Impressions Baby Boys Long-Sleeve Bear Cot Sea Angel 18 months</t>
  </si>
  <si>
    <t>100121199BB</t>
  </si>
  <si>
    <t>733003140045</t>
  </si>
  <si>
    <t>First Impressions Baby Boys Long-Sleeve Bear Cot Sea Angel 24 months</t>
  </si>
  <si>
    <t>733003926533</t>
  </si>
  <si>
    <t>First Impressions Baby Boys Bundled Up Fox Long- Washed Blue 3-6 months</t>
  </si>
  <si>
    <t>100130712BB</t>
  </si>
  <si>
    <t>762120126380</t>
  </si>
  <si>
    <t>First Impressions Baby Boys Best Kid Ever Long-S Angel White 24 months</t>
  </si>
  <si>
    <t>100136302BB</t>
  </si>
  <si>
    <t>762120126267</t>
  </si>
  <si>
    <t>First Impressions Baby Boys Best Kid Ever Long-S Angel White 6-9 months</t>
  </si>
  <si>
    <t>762120125963</t>
  </si>
  <si>
    <t>First Impressions Baby Boys Out Of This World T- Berry Blue Heather 6-9 months</t>
  </si>
  <si>
    <t>100112423BB</t>
  </si>
  <si>
    <t>762120126083</t>
  </si>
  <si>
    <t>First Impressions Baby Boys Out Of This World T- Berry Blue Heather 24 months</t>
  </si>
  <si>
    <t>762120126243</t>
  </si>
  <si>
    <t>First Impressions Baby Boys Best Kid Ever Long-S Angel White 12 months</t>
  </si>
  <si>
    <t>762120126786</t>
  </si>
  <si>
    <t>First Impressions Baby Boys Cool Graphic Long-Sl Deep Black 6-9 months</t>
  </si>
  <si>
    <t>762120119375</t>
  </si>
  <si>
    <t>First Impressions Baby Girls Love Note Top Angel White 24 months</t>
  </si>
  <si>
    <t>762120261739</t>
  </si>
  <si>
    <t>First Impressions Baby Boys Chelsea Stripe Faux- Light Grey Hthr 24 months</t>
  </si>
  <si>
    <t>100136309BB</t>
  </si>
  <si>
    <t>762120495813</t>
  </si>
  <si>
    <t>First Impressions Baby Boy Tennis-Graphic Shirt Navy Nautical 24 months</t>
  </si>
  <si>
    <t>762120495530</t>
  </si>
  <si>
    <t>First Impressions Baby Boy Airplane-Graphic Shir Washed Sky 12 months</t>
  </si>
  <si>
    <t>100141396BB</t>
  </si>
  <si>
    <t>762120127486</t>
  </si>
  <si>
    <t>First Impressions Baby Boys Dream T-Shirt Angel White 6-9 months</t>
  </si>
  <si>
    <t>100136335BB</t>
  </si>
  <si>
    <t>762120127509</t>
  </si>
  <si>
    <t>First Impressions Baby Boys Dream T-Shirt Angel White 24 months</t>
  </si>
  <si>
    <t>762120127493</t>
  </si>
  <si>
    <t>First Impressions Baby Boys Dream T-Shirt Angel White 18 months</t>
  </si>
  <si>
    <t>766370862753</t>
  </si>
  <si>
    <t>First Impressions Baby Girls Pineapple-Graphic T Coral Topaz 3-6 months</t>
  </si>
  <si>
    <t>732999784691</t>
  </si>
  <si>
    <t>First Impressions Baby Boys Palm Tree Cotton Tan Snow Owl Hthr 18 months</t>
  </si>
  <si>
    <t>100093165BB</t>
  </si>
  <si>
    <t>885031405457</t>
  </si>
  <si>
    <t>Polo Ralph Lauren Toddler Girls Water-Repellent Collection Navy 2T</t>
  </si>
  <si>
    <t>193579038465</t>
  </si>
  <si>
    <t>OVERPRINT LOGO CREW</t>
  </si>
  <si>
    <t>35H54283-01</t>
  </si>
  <si>
    <t>807421588687</t>
  </si>
  <si>
    <t>807421588670</t>
  </si>
  <si>
    <t>194135952270</t>
  </si>
  <si>
    <t>Carters Big Boys 4-Piece Snug Fit T-sh Navy 8</t>
  </si>
  <si>
    <t>3N003410</t>
  </si>
  <si>
    <t>652874407425</t>
  </si>
  <si>
    <t>492035502183</t>
  </si>
  <si>
    <t>MB INFNT&amp;TDLR</t>
  </si>
  <si>
    <t>MISMATE SKUS MBKS</t>
  </si>
  <si>
    <t>193666756050</t>
  </si>
  <si>
    <t>DRAFT - 3 PACK MULTI SILO BUND Blue L 1416</t>
  </si>
  <si>
    <t>RM4378</t>
  </si>
  <si>
    <t>195861134732</t>
  </si>
  <si>
    <t>Carters Baby Boys Denim Pull-On Denim Denim 24 months</t>
  </si>
  <si>
    <t>1N597210</t>
  </si>
  <si>
    <t>807421445584</t>
  </si>
  <si>
    <t>CNVG STACKED ALL STAR TE</t>
  </si>
  <si>
    <t>4CC225E</t>
  </si>
  <si>
    <t>195861097938</t>
  </si>
  <si>
    <t>Carters Baby Boys 2-Pc. Dog Bodysuit Yellow Newborn</t>
  </si>
  <si>
    <t>195861160403</t>
  </si>
  <si>
    <t>Carters Toddler Girls Tulip Tank Top Pink 3T</t>
  </si>
  <si>
    <t>2N683610</t>
  </si>
  <si>
    <t>194257198822</t>
  </si>
  <si>
    <t>Champion Big Boys Multi Stripe C Script White M</t>
  </si>
  <si>
    <t>8279CB</t>
  </si>
  <si>
    <t>194135892422</t>
  </si>
  <si>
    <t>Carters Carters Baby Girls Baby Sis O Blue Newborn</t>
  </si>
  <si>
    <t>1N077510</t>
  </si>
  <si>
    <t>194135903647</t>
  </si>
  <si>
    <t>Carters Carters Baby Boys 3-Piece Lit Yellow 6 months</t>
  </si>
  <si>
    <t>1N045810</t>
  </si>
  <si>
    <t>191655040678</t>
  </si>
  <si>
    <t>Chickpea Baby Boys 4-Pc. T-Shirts Sho Navy 24 months</t>
  </si>
  <si>
    <t>191655040845</t>
  </si>
  <si>
    <t>Chickpea Chickpea Baby Girls 4-Pc. Tops Coral 18 months</t>
  </si>
  <si>
    <t>194257553881</t>
  </si>
  <si>
    <t>Champion Little Boys All Over Print Hoo White 6</t>
  </si>
  <si>
    <t>194257791108</t>
  </si>
  <si>
    <t>Champion Baby Boys Classic Script T-shi White, Bozetto Blue 24 months</t>
  </si>
  <si>
    <t>CHJ639</t>
  </si>
  <si>
    <t>766380220758</t>
  </si>
  <si>
    <t>First Impressions Toddler Girls Ruffled Hoodie Angel White 2T</t>
  </si>
  <si>
    <t>194753988903</t>
  </si>
  <si>
    <t>Lucky Brand Lucky Brand Big Boys Key Pocke Navy Heather M 1012</t>
  </si>
  <si>
    <t>LBFEB01F-411</t>
  </si>
  <si>
    <t>194753991552</t>
  </si>
  <si>
    <t>Lucky Brand Lucky Brand Big Boys Tie Dye T Black Iris S 8</t>
  </si>
  <si>
    <t>LBFEB09F-410</t>
  </si>
  <si>
    <t>191655281293</t>
  </si>
  <si>
    <t>Chickpea Chickpea Baby Boys Tops and Sh Blue 18 months</t>
  </si>
  <si>
    <t>196289006205</t>
  </si>
  <si>
    <t>Bentex Baby Boys 2-Pc. Fleece Sweatsh Blue 18 months</t>
  </si>
  <si>
    <t>11P4252MM</t>
  </si>
  <si>
    <t>766380221380</t>
  </si>
  <si>
    <t>First Impressions Toddler Boys Doodle Zip Hoodie Snow Owl Hthr 4T</t>
  </si>
  <si>
    <t>100148794TB</t>
  </si>
  <si>
    <t>195958884571</t>
  </si>
  <si>
    <t>Tommy Hilfiger Little Boys Tommy Sports Gradi True Red 4</t>
  </si>
  <si>
    <t>195958701625</t>
  </si>
  <si>
    <t>TBSFB0CJ-100</t>
  </si>
  <si>
    <t>766380221250</t>
  </si>
  <si>
    <t>First Impressions Toddler Boys Smile Full-Zip Ja Hthr Sterling 2T</t>
  </si>
  <si>
    <t>194135892712</t>
  </si>
  <si>
    <t>Carters Baby Boys 2-Pc. Truck-Print Bo Blue 6 months</t>
  </si>
  <si>
    <t>191655274899</t>
  </si>
  <si>
    <t>Chickpea Chickpea Baby Boys or Baby Gir Blue 3-9 months</t>
  </si>
  <si>
    <t>HE02231102</t>
  </si>
  <si>
    <t>196122322981</t>
  </si>
  <si>
    <t>Koala Baby Baby Boys Bodysuit and Pants R Blue Fog 0-3 months</t>
  </si>
  <si>
    <t>45299080203</t>
  </si>
  <si>
    <t>Champion Little Big Boys 6-Pk. Logo C Surf The Web Blu 9-11</t>
  </si>
  <si>
    <t>CP10128</t>
  </si>
  <si>
    <t>CHAMPION SOCKS/HANDCRAFT MFG BOYS</t>
  </si>
  <si>
    <t>POLYESTER/ELASTANE</t>
  </si>
  <si>
    <t>195958667112</t>
  </si>
  <si>
    <t>Tommy Hilfiger Toddler Boys Tie Dye Stripe T- Navy Blazer 2T</t>
  </si>
  <si>
    <t>766370878228</t>
  </si>
  <si>
    <t>First Impressions Baby Boys Shirt Island Orange 0-3 months</t>
  </si>
  <si>
    <t>766360649494</t>
  </si>
  <si>
    <t>ID Ideology Little Girls Colorblocked Jogg Hthr Grey 2T</t>
  </si>
  <si>
    <t>733004801174</t>
  </si>
  <si>
    <t>Epic Threads Little Girls Fair Isle Fleece Violet Light 5</t>
  </si>
  <si>
    <t>762120689854</t>
  </si>
  <si>
    <t>ID Ideology Toddler Little Girls Solid S Rose Shadow 6</t>
  </si>
  <si>
    <t>195861159490</t>
  </si>
  <si>
    <t>Carters Carters Baby Girls Striped Fl Pink 18 months</t>
  </si>
  <si>
    <t>1N683710</t>
  </si>
  <si>
    <t>195861159735</t>
  </si>
  <si>
    <t>Carters Carters Baby Girls Palm Tree Print 24 months</t>
  </si>
  <si>
    <t>1N683910</t>
  </si>
  <si>
    <t>194257455970</t>
  </si>
  <si>
    <t>Champion Big Boys Short Sleeve All Over Bozetto Blue XL 1820</t>
  </si>
  <si>
    <t>195861159506</t>
  </si>
  <si>
    <t>Carters Carters Baby Girls Striped Fl Pink 24 months</t>
  </si>
  <si>
    <t>733003083564</t>
  </si>
  <si>
    <t>ID Ideology Big Girl Core Stretch Leggings Fresh Orchid M 1012</t>
  </si>
  <si>
    <t>766380383064</t>
  </si>
  <si>
    <t>ID Ideology Big Girl Core Stretch Leggings Pink Hustl XXL 18</t>
  </si>
  <si>
    <t>733004752810</t>
  </si>
  <si>
    <t>Epic Threads Big Girls Solid Sweater Leggin Aqua Wash XL 1820</t>
  </si>
  <si>
    <t>733003174194</t>
  </si>
  <si>
    <t>ID Ideology Toddler Girls Daisy Field Shor Fresh Orchid 3T</t>
  </si>
  <si>
    <t>100121922LG</t>
  </si>
  <si>
    <t>762120691437</t>
  </si>
  <si>
    <t>ID Ideology Big Girls Twist-Front Top Violet Tulle L 14</t>
  </si>
  <si>
    <t>195861150855</t>
  </si>
  <si>
    <t>Carters Toddler Girls Jersey Tank Top Green 2T</t>
  </si>
  <si>
    <t>195861145103</t>
  </si>
  <si>
    <t>Carters Toddler Girls Jersey Tank Top White 5T</t>
  </si>
  <si>
    <t>766370912625</t>
  </si>
  <si>
    <t>ID Ideology Big Girls Dream Chaser T-Shirt Deep Black L 14</t>
  </si>
  <si>
    <t>100148241GR</t>
  </si>
  <si>
    <t>194257517845</t>
  </si>
  <si>
    <t>Champion Champion Big Girls Knockout C Black S 8</t>
  </si>
  <si>
    <t>CHG097</t>
  </si>
  <si>
    <t>194257517890</t>
  </si>
  <si>
    <t>Champion Champion Big Girls Knockout C Oxford Heather M 1012</t>
  </si>
  <si>
    <t>194257486486</t>
  </si>
  <si>
    <t>Champion Big Boys Short Sleeve Signatur Scarlet-Navy XL 1820</t>
  </si>
  <si>
    <t>766360147693</t>
  </si>
  <si>
    <t>First Impressions Baby Boys or Girls 2-Pack Jogg Light Grey Hthr 24 months</t>
  </si>
  <si>
    <t>733004730818</t>
  </si>
  <si>
    <t>Epic Threads Little Boys Flip Sequin Graphi Canyon Clay 5</t>
  </si>
  <si>
    <t>100138393LB</t>
  </si>
  <si>
    <t>196258066667</t>
  </si>
  <si>
    <t>Maidenform Little Big Girls Cropped Ruc White S 68</t>
  </si>
  <si>
    <t>195861116370</t>
  </si>
  <si>
    <t>Carters Toddler Boys Turtle Jersey T-s Yellow 4T</t>
  </si>
  <si>
    <t>2N669710</t>
  </si>
  <si>
    <t>733002486397</t>
  </si>
  <si>
    <t>First Impressions Baby Girls Stars Cotton Romper Medieval Blue 12 months</t>
  </si>
  <si>
    <t>100116966BG</t>
  </si>
  <si>
    <t>194134757944</t>
  </si>
  <si>
    <t>Koala Baby Baby Girls Deer Cotton Coveral Turquoise 12 months</t>
  </si>
  <si>
    <t>KLF11895</t>
  </si>
  <si>
    <t>195861117735</t>
  </si>
  <si>
    <t>Carters Toddler Boys Insect Jersey T-s Gray 2T</t>
  </si>
  <si>
    <t>2N107610</t>
  </si>
  <si>
    <t>196258066490</t>
  </si>
  <si>
    <t>Maidenform Little Big Girls Cropped Ruc Med pink M 78</t>
  </si>
  <si>
    <t>733003084028</t>
  </si>
  <si>
    <t>ID Ideology Big Girls Core Tank Top Vibrant Blue L 14</t>
  </si>
  <si>
    <t>100121221GR</t>
  </si>
  <si>
    <t>733004747878</t>
  </si>
  <si>
    <t>First Impressions Toddler Boys Snowboard Toss Jo Washed Indigo 3T</t>
  </si>
  <si>
    <t>766380219790</t>
  </si>
  <si>
    <t>First Impressions Toddler Boys Solid Shorts Blue Poppy 2T</t>
  </si>
  <si>
    <t>766380219813</t>
  </si>
  <si>
    <t>First Impressions Toddler Boys Solid Shorts Blue Poppy 4T</t>
  </si>
  <si>
    <t>766370868649</t>
  </si>
  <si>
    <t>First Impressions Baby Girls Bow-Strap Knit Dres Coral Topaz 0-3 months</t>
  </si>
  <si>
    <t>195861091097</t>
  </si>
  <si>
    <t>Carters Carters Baby Girls Tank Top B Blue Newborn</t>
  </si>
  <si>
    <t>195861092728</t>
  </si>
  <si>
    <t>Carters Carters Baby Boy or Baby Girl Navy 18 months</t>
  </si>
  <si>
    <t>1N614310</t>
  </si>
  <si>
    <t>766370874886</t>
  </si>
  <si>
    <t>First Impressions Toddler Boys Palm Tree Shorts Skygaze 4T</t>
  </si>
  <si>
    <t>766360109912</t>
  </si>
  <si>
    <t>Epic Threads Big Girls Daisy-Print Shirt Navy Nautical L</t>
  </si>
  <si>
    <t>733004745584</t>
  </si>
  <si>
    <t>First Impressions Baby Girls Velour Legging Strawberry Pink 3-6 months</t>
  </si>
  <si>
    <t>733004295034</t>
  </si>
  <si>
    <t>First Impressions Toddler Girl T RUFFLE BACK LE Horizon Blue 3T</t>
  </si>
  <si>
    <t>733004294990</t>
  </si>
  <si>
    <t>First Impressions Toddler Girl T RUFFLE BACK LE Horizon Blue 2T</t>
  </si>
  <si>
    <t>733003135263</t>
  </si>
  <si>
    <t>First Impressions Toddler Girls Heart-Print Legg Slate Hthr 4T</t>
  </si>
  <si>
    <t>100121179TG</t>
  </si>
  <si>
    <t>766370866188</t>
  </si>
  <si>
    <t>First Impressions Toddler Girls Print Bow-Ankle Blue Shells 4T</t>
  </si>
  <si>
    <t>766380220246</t>
  </si>
  <si>
    <t>First Impressions Toddler Boys Doodle T-Shirt Snow Owl Hthr 3T</t>
  </si>
  <si>
    <t>733004738487</t>
  </si>
  <si>
    <t>First Impressions Baby Girls Sweet Donut Peplum Angel White 18 months</t>
  </si>
  <si>
    <t>766370876569</t>
  </si>
  <si>
    <t>First Impressions Toddler Boys Stripe Faux-Pocke Bright White 3T</t>
  </si>
  <si>
    <t>733004739767</t>
  </si>
  <si>
    <t>First Impressions Baby Girls Cupcake Dot Long-Sl Slate Heather 6-9 months</t>
  </si>
  <si>
    <t>100137304BG</t>
  </si>
  <si>
    <t>766380211756</t>
  </si>
  <si>
    <t>First Impressions Baby Girls Skater Pup T-Shirt Blush Pink 2T</t>
  </si>
  <si>
    <t>766370919464</t>
  </si>
  <si>
    <t>First Impressions Toddler Boys Vacation Stripe T Skygaze 2T</t>
  </si>
  <si>
    <t>733003924515</t>
  </si>
  <si>
    <t>First Impressions Baby Girls Velour Lollipop Shi Foxglove 12 months</t>
  </si>
  <si>
    <t>100131151BG</t>
  </si>
  <si>
    <t>766360161088</t>
  </si>
  <si>
    <t>First Impressions Baby Boys Tie Dye Shorts Sodalite Blue 6-9 months</t>
  </si>
  <si>
    <t>766360133689</t>
  </si>
  <si>
    <t>First Impressions Baby Girls Eyelet Shorts Green Brilliance 18 months</t>
  </si>
  <si>
    <t>733003131708</t>
  </si>
  <si>
    <t>First Impressions Baby Girl RUFFLE BACK LEGGIN Neo Natural 6-9 months</t>
  </si>
  <si>
    <t>766380211749</t>
  </si>
  <si>
    <t>First Impressions Toddler Girls Crayon Heart T-S Angel White 4T</t>
  </si>
  <si>
    <t>100151855TG</t>
  </si>
  <si>
    <t>766380211725</t>
  </si>
  <si>
    <t>First Impressions Toddler Girls Crayon Heart T-S Angel White 2T</t>
  </si>
  <si>
    <t>732999977499</t>
  </si>
  <si>
    <t>Epic Threads Toddler Girls Short Sleeve Sol Black 2T</t>
  </si>
  <si>
    <t>733003143916</t>
  </si>
  <si>
    <t>First Impressions Toddler Boys Adventure Car Cot Neo Natural 2T</t>
  </si>
  <si>
    <t>100121196TB</t>
  </si>
  <si>
    <t>733002922215</t>
  </si>
  <si>
    <t>Epic Threads Epic Threads Little Girls All Peacoat 6</t>
  </si>
  <si>
    <t>100128891LG</t>
  </si>
  <si>
    <t>762120127646</t>
  </si>
  <si>
    <t>First Impressions Baby Boys Panda T-Shirt Slate Heather 18 months</t>
  </si>
  <si>
    <t>100138634BB</t>
  </si>
  <si>
    <t>766360133955</t>
  </si>
  <si>
    <t>First Impressions Baby Girls Fruit Fun Capri Pan Bright White 18 months</t>
  </si>
  <si>
    <t>766380214771</t>
  </si>
  <si>
    <t>First Impressions Baby Boys Rad T-Shirt Navy Nautical 6-9 months</t>
  </si>
  <si>
    <t>766380214719</t>
  </si>
  <si>
    <t>First Impressions Baby Boys Say Cheese T-Shirt Angel White 3-6 months</t>
  </si>
  <si>
    <t>766380216034</t>
  </si>
  <si>
    <t>First Impressions Baby Boys Colorblocked T-Shirt Safflower 24 months</t>
  </si>
  <si>
    <t>766370864252</t>
  </si>
  <si>
    <t>First Impressions Baby Girls Tropical-Print Shor Deep Black 3-6 months</t>
  </si>
  <si>
    <t>766370872868</t>
  </si>
  <si>
    <t>First Impressions Baby Boys Solid Mesh Shorts Lime Boost 24 months</t>
  </si>
  <si>
    <t>766370872844</t>
  </si>
  <si>
    <t>First Impressions Baby Boys Solid Mesh Shorts Lime Boost 6-9 months</t>
  </si>
  <si>
    <t>766360134266</t>
  </si>
  <si>
    <t>First Impressions Baby Girls Daisy-Print Bloomer Apple Blossom 3-6 months</t>
  </si>
  <si>
    <t>100141137BG</t>
  </si>
  <si>
    <t>766370862593</t>
  </si>
  <si>
    <t>First Impressions Baby Girls Toucan Friends T-Sh Sweet Berry 3-6 months</t>
  </si>
  <si>
    <t>733004883743</t>
  </si>
  <si>
    <t>First Impressions Baby Girls Wide Ribbed Legging Blossom Mist Newborn</t>
  </si>
  <si>
    <t>766380211138</t>
  </si>
  <si>
    <t>First Impressions Baby Girls Skater Pup T-Shirt Blush Pink 12 months</t>
  </si>
  <si>
    <t>766380211145</t>
  </si>
  <si>
    <t>First Impressions Baby Girls Skater Pup T-Shirt Blush Pink 3-6 months</t>
  </si>
  <si>
    <t>766380215297</t>
  </si>
  <si>
    <t>First Impressions Baby Boys Doodle T-Shirt Snow Owl Hthr 6-9 months</t>
  </si>
  <si>
    <t>766360149260</t>
  </si>
  <si>
    <t>First Impressions Baby Girls Tunic Shirt Light Grey Hthr 3-6 months</t>
  </si>
  <si>
    <t>766370869752</t>
  </si>
  <si>
    <t>First Impressions Baby Boys Summer Graphic T-Shi Orange Surf 12 months</t>
  </si>
  <si>
    <t>766380211121</t>
  </si>
  <si>
    <t>766380211244</t>
  </si>
  <si>
    <t>First Impressions Baby Girls Wild Free T-Shirt Hthr Sterling 6-9 months</t>
  </si>
  <si>
    <t>766380211220</t>
  </si>
  <si>
    <t>First Impressions Baby Girls Wild Free T-Shirt Hthr Sterling 12 months</t>
  </si>
  <si>
    <t>766360136505</t>
  </si>
  <si>
    <t>First Impressions Baby Boys Be Kind T-Shirt Navy Nautical 12 months</t>
  </si>
  <si>
    <t>766370869394</t>
  </si>
  <si>
    <t>First Impressions Baby Boys Tropical Smudge Tank Peppermintfrost 6-9 months</t>
  </si>
  <si>
    <t>191539897015</t>
  </si>
  <si>
    <t>Bonnie Baby Baby Girls Sleeveless Knit to Aqua 3-6 months</t>
  </si>
  <si>
    <t>S5-10118-PV</t>
  </si>
  <si>
    <t>883288806966</t>
  </si>
  <si>
    <t>Polo Ralph Lauren Baby Boys Allover Pony Print M Blue 3-9 months</t>
  </si>
  <si>
    <t>195861105824</t>
  </si>
  <si>
    <t>Carters Big Boys 2-Pc. Video Game-Prin Print 8</t>
  </si>
  <si>
    <t>3N708710</t>
  </si>
  <si>
    <t>195958612679</t>
  </si>
  <si>
    <t>Kids Headquarters Kids Headquarters Baby Girls P White 18M</t>
  </si>
  <si>
    <t>195958612778</t>
  </si>
  <si>
    <t>Kids Headquarters Kids Headquarters Baby Girls D Blue 18M</t>
  </si>
  <si>
    <t>11M02040-99</t>
  </si>
  <si>
    <t>195958405783</t>
  </si>
  <si>
    <t>Nautica Nautica Baby Boys Snap-Close A White Heather 12M</t>
  </si>
  <si>
    <t>62M70007-99</t>
  </si>
  <si>
    <t>194135319066</t>
  </si>
  <si>
    <t>Carters Baby Hooded Cotton Bear Bathro White 0-9 months</t>
  </si>
  <si>
    <t>1L933110</t>
  </si>
  <si>
    <t>0-9 MOS</t>
  </si>
  <si>
    <t>194748076851</t>
  </si>
  <si>
    <t>DRAFT - LOL SURPRISE SWIMSUIT Multi 56</t>
  </si>
  <si>
    <t>194257796332</t>
  </si>
  <si>
    <t>Champion Baby Boys Diagonal Script T-sh Black, Blue Atoll 18 months</t>
  </si>
  <si>
    <t>CHJ644</t>
  </si>
  <si>
    <t>195861151845</t>
  </si>
  <si>
    <t>Carters Toddler Girls Jersey Tank Top Heather Gray 5T</t>
  </si>
  <si>
    <t>195861147145</t>
  </si>
  <si>
    <t>Carters Carters Baby Girls Jersey Tan Orange 3 months</t>
  </si>
  <si>
    <t>194973995118</t>
  </si>
  <si>
    <t>DRAFT - Minecraft Creeper Grid Navy Heather L 1416</t>
  </si>
  <si>
    <t>2YBMCT0017</t>
  </si>
  <si>
    <t>195861088769</t>
  </si>
  <si>
    <t>Carters Carters Baby Boys Camping Tan Green 9 months</t>
  </si>
  <si>
    <t>195861087632</t>
  </si>
  <si>
    <t>Carters Carters Baby Boys Chameleon T Blue Newborn</t>
  </si>
  <si>
    <t>1N614810</t>
  </si>
  <si>
    <t>195861090557</t>
  </si>
  <si>
    <t>Carters Carters Baby Boy or Baby Girl Yellow 18 months</t>
  </si>
  <si>
    <t>195861090717</t>
  </si>
  <si>
    <t>Carters Carters Baby Girls Tank Top B Pink 18 months</t>
  </si>
  <si>
    <t>882925725059</t>
  </si>
  <si>
    <t>Polo Ralph Lauren Little Boys Big Pony Fleece Fu Light Navy 7</t>
  </si>
  <si>
    <t>194870720882</t>
  </si>
  <si>
    <t>adidas Big Girls French Terry Hooded Acid Red L 1416</t>
  </si>
  <si>
    <t>AA4956</t>
  </si>
  <si>
    <t>652874292991</t>
  </si>
  <si>
    <t>Speechless Speechless Big Girls High Neck Black with Red 7</t>
  </si>
  <si>
    <t>SC803D02QC46</t>
  </si>
  <si>
    <t>885031337420</t>
  </si>
  <si>
    <t>Polo Ralph Lauren Little Boys Team USA Tie-Dye C Blue Tie Dye 5</t>
  </si>
  <si>
    <t>816523027598</t>
  </si>
  <si>
    <t>Skip Hop Dream Shine Sleep Trainer Multi</t>
  </si>
  <si>
    <t>ACRYLONITRILE BUTADIENE STYRENE</t>
  </si>
  <si>
    <t>617844318125</t>
  </si>
  <si>
    <t>Levis Boys 511 Performance Jeans Well Worn 16</t>
  </si>
  <si>
    <t>617844318095</t>
  </si>
  <si>
    <t>Levis Boys 511 Performance Jeans Well Worn 10</t>
  </si>
  <si>
    <t>660168669657</t>
  </si>
  <si>
    <t>Touched by Nature Touched by Nature Baby Boy and Farm Friends 9-12 months</t>
  </si>
  <si>
    <t>66961XL</t>
  </si>
  <si>
    <t>194170279660</t>
  </si>
  <si>
    <t>Rare Editions Baby Girls Mesh Ruffle Dress Dark Pink 18 months</t>
  </si>
  <si>
    <t>H830441</t>
  </si>
  <si>
    <t>840238405723</t>
  </si>
  <si>
    <t>Purple Rose Baby Girls Floral Dress Shru White 6-9 months</t>
  </si>
  <si>
    <t>SDN132</t>
  </si>
  <si>
    <t>660168660227</t>
  </si>
  <si>
    <t>Touched by Nature Touched by Nature Baby Girl Lo Blue 18-24 months</t>
  </si>
  <si>
    <t>66017-24</t>
  </si>
  <si>
    <t>191539897022</t>
  </si>
  <si>
    <t>Bonnie Baby Baby Girls Sleeveless Knit to Aqua 6-9 months</t>
  </si>
  <si>
    <t>195958623514</t>
  </si>
  <si>
    <t>Timberland Timberland Big Boys Tree Logo Black L 1416</t>
  </si>
  <si>
    <t>191539896988</t>
  </si>
  <si>
    <t>Bonnie Baby Baby Girls Sleeveless Knit to Aqua 12 months</t>
  </si>
  <si>
    <t>194170272746</t>
  </si>
  <si>
    <t>Rare Editions Baby Girls Textured Peplum Leg Pink 3-6 months</t>
  </si>
  <si>
    <t>F892071</t>
  </si>
  <si>
    <t>191539798664</t>
  </si>
  <si>
    <t>Bonnie Jean Little Girls Three Quarter Sle Red 6</t>
  </si>
  <si>
    <t>W64220-DT</t>
  </si>
  <si>
    <t>195958366176</t>
  </si>
  <si>
    <t>Calvin Klein Calvin Klein Baby Boys Brushed White 24 months</t>
  </si>
  <si>
    <t>886785499372</t>
  </si>
  <si>
    <t>CB Sports CB Sports Big Girls Puffer Jac White Marble Print 16</t>
  </si>
  <si>
    <t>O3ZSE4G</t>
  </si>
  <si>
    <t>WEATHERPROOF/SAMSUNG C&amp;T AMER GIRLS</t>
  </si>
  <si>
    <t>766370304246</t>
  </si>
  <si>
    <t>Epic Threads Epic Threads Big Girls Graphic Royal Ink L 1214</t>
  </si>
  <si>
    <t>100145634GR</t>
  </si>
  <si>
    <t>195958659308</t>
  </si>
  <si>
    <t>Tommy Hilfiger Tommy Hilfiger Big Boys Pull O Kelp S 810</t>
  </si>
  <si>
    <t>194870450703</t>
  </si>
  <si>
    <t>adidas Big Boys Clashing 3-Stripes Sh College Navy with Pulse Aqua Small</t>
  </si>
  <si>
    <t>AH5543</t>
  </si>
  <si>
    <t>791088943623</t>
  </si>
  <si>
    <t>Rare Editions Little Girls Seersucker Short Navy 6</t>
  </si>
  <si>
    <t>S796790</t>
  </si>
  <si>
    <t>617845414994</t>
  </si>
  <si>
    <t>Jordan Jordan Big Boys Jumpman Logo G Dark Gray Heather S 8</t>
  </si>
  <si>
    <t>952423G</t>
  </si>
  <si>
    <t>194870723272</t>
  </si>
  <si>
    <t>adidas Big Girls Elastic Waistband Al Black L 1416</t>
  </si>
  <si>
    <t>194931205136</t>
  </si>
  <si>
    <t>Nautica Big Boys Full Zip Camo Print F Blue Camo M 1012</t>
  </si>
  <si>
    <t>NUFEB12F-460</t>
  </si>
  <si>
    <t>825663411198</t>
  </si>
  <si>
    <t>Nike Nike Girls Fuel Pack Lunch Bag Black, Smoke Gray One Size Fits All</t>
  </si>
  <si>
    <t>9A2747A</t>
  </si>
  <si>
    <t>733003580667</t>
  </si>
  <si>
    <t>First Impressions Baby Girls Glossy Puffer Coat Raspberry Pink 6-9 months</t>
  </si>
  <si>
    <t>100129401BG</t>
  </si>
  <si>
    <t>1925321313976</t>
  </si>
  <si>
    <t>Mac Moon Baby Neutral Solid and Puppy D Taupe 3 months</t>
  </si>
  <si>
    <t>DS22M1683</t>
  </si>
  <si>
    <t>195958485211</t>
  </si>
  <si>
    <t>Lucky Brand Lucky Brand Big Girls Swirl T- Silver-Tone Pink S 7</t>
  </si>
  <si>
    <t>LBSFH02S-679</t>
  </si>
  <si>
    <t>195958577909</t>
  </si>
  <si>
    <t>Caterpillar Caterpillar Toddler Boys Ameri Gray Heather 2T</t>
  </si>
  <si>
    <t>840028945101</t>
  </si>
  <si>
    <t>earth by art eden 2-Pc. Shortall Bodysuit Set Deep Cobalt Multi 12 months</t>
  </si>
  <si>
    <t>840028945088</t>
  </si>
  <si>
    <t>earth by art eden 2-Pc. Shortall Bodysuit Set Deep Cobalt Multi 6 months</t>
  </si>
  <si>
    <t>195958052857</t>
  </si>
  <si>
    <t>Tommy Hilfiger Tommy Hilfiger Baby Boys Fleec Navy 12 months</t>
  </si>
  <si>
    <t>196027095102</t>
  </si>
  <si>
    <t>Tommy Hilfiger Toddler Boys Coat Set, 2 Piece Assorted 4T</t>
  </si>
  <si>
    <t>5D015ECLMA</t>
  </si>
  <si>
    <t>194257545862</t>
  </si>
  <si>
    <t>Champion Big Boys Signature Fleece Swea Natural CA Medium</t>
  </si>
  <si>
    <t>CHB303</t>
  </si>
  <si>
    <t>194870721933</t>
  </si>
  <si>
    <t>adidas Big Girls Elastic Waistband 3 Acid Red XL 1820</t>
  </si>
  <si>
    <t>AH4338</t>
  </si>
  <si>
    <t>191539533227</t>
  </si>
  <si>
    <t>Bonnie Jean Big Girls Full Fashioned Cardi Pink M</t>
  </si>
  <si>
    <t>R40325-SL</t>
  </si>
  <si>
    <t>840028945668</t>
  </si>
  <si>
    <t>earth by art eden Baby Boys 2-Pc. T-Shirt Shor Deep Cobalt Multi 12 months</t>
  </si>
  <si>
    <t>840028941882</t>
  </si>
  <si>
    <t>earth by art eden Baby Girls 2-Pc. Tropical-Prin Pink Carnation Multi 24 months</t>
  </si>
  <si>
    <t>196027073117</t>
  </si>
  <si>
    <t>Spider-Man Big Boys Spiderman Coat Pajama Assorted 10</t>
  </si>
  <si>
    <t>194135962729</t>
  </si>
  <si>
    <t>Carters Carters Baby Girls 2-Piece Fl Floral 18 months</t>
  </si>
  <si>
    <t>1N150510</t>
  </si>
  <si>
    <t>696114426531</t>
  </si>
  <si>
    <t>Sleep On It Toddler Boys Shark Footed Paja Blue 4T</t>
  </si>
  <si>
    <t>35863-MA</t>
  </si>
  <si>
    <t>194135449688</t>
  </si>
  <si>
    <t>Carters Toddler Girls Chambray Top and Blue 4T</t>
  </si>
  <si>
    <t>2M007110</t>
  </si>
  <si>
    <t>733004763175</t>
  </si>
  <si>
    <t>ID Ideology Toddler Little Girls Girls Violet Light 4T</t>
  </si>
  <si>
    <t>733004763144</t>
  </si>
  <si>
    <t>ID Ideology Toddler Little Girls Girls Violet Light 6</t>
  </si>
  <si>
    <t>733002411344</t>
  </si>
  <si>
    <t>Epic Threads Little Boys Solid Basic Tee Bu Bright White 7</t>
  </si>
  <si>
    <t>100120791LB</t>
  </si>
  <si>
    <t>195958494350</t>
  </si>
  <si>
    <t>Kids Headquarters Kids Headquarters Baby Boys St Gray 12 months</t>
  </si>
  <si>
    <t>194870748572</t>
  </si>
  <si>
    <t>adidas Little Girls Sleeveless Front White 5</t>
  </si>
  <si>
    <t>196258047208</t>
  </si>
  <si>
    <t>Calvin Klein Big Boys Performance Boxer Bri Ocean Blue Marble, Sky High M</t>
  </si>
  <si>
    <t>194135879195</t>
  </si>
  <si>
    <t>Carters Carters Baby Boys 3-Piece Lit Yellow 3 months</t>
  </si>
  <si>
    <t>766360132712</t>
  </si>
  <si>
    <t>First Impressions Toddler Boys Light-Wash Denim Light Wash 4T</t>
  </si>
  <si>
    <t>100141039TB</t>
  </si>
  <si>
    <t>29534522451</t>
  </si>
  <si>
    <t>Disney Baby Girls 2-Pc. Minnie Mouse Blue 0-3 months</t>
  </si>
  <si>
    <t>422MCS31</t>
  </si>
  <si>
    <t>DISNEY BABY/BABYFAIR INC</t>
  </si>
  <si>
    <t>762120330046</t>
  </si>
  <si>
    <t>ID Ideology Little Toddler Girls Camo-Pr Indigo Sea 7</t>
  </si>
  <si>
    <t>766370878235</t>
  </si>
  <si>
    <t>First Impressions Toddler Boys Knit Gauze Button Ultra Lime 2T</t>
  </si>
  <si>
    <t>191655283419</t>
  </si>
  <si>
    <t>Chickpea Chickpea Baby Girls Tops and S Green 3-6 months</t>
  </si>
  <si>
    <t>191159213677</t>
  </si>
  <si>
    <t>Happy Threads Baby Girls Harry Potter Bodysu Red Multi 0-3 months</t>
  </si>
  <si>
    <t>HPG199PK</t>
  </si>
  <si>
    <t>191655210750</t>
  </si>
  <si>
    <t>Chickpea Chickpea Baby Boys Jogger and Navy 6-9 months</t>
  </si>
  <si>
    <t>HE22525219</t>
  </si>
  <si>
    <t>194135316928</t>
  </si>
  <si>
    <t>Carters Baby Boys 6-Pk. Washcloths Medium Blue ONE SIZE</t>
  </si>
  <si>
    <t>1L932910</t>
  </si>
  <si>
    <t>195958152830</t>
  </si>
  <si>
    <t>Tommy Hilfiger Tommy Hilfiger Big Girls Bra S Multi Large</t>
  </si>
  <si>
    <t>TSFEJ19X-001</t>
  </si>
  <si>
    <t>196258061037</t>
  </si>
  <si>
    <t>Maidenform Big Girls 3-Pack Cropped Cotto Navy Cosmic L 1416</t>
  </si>
  <si>
    <t>733003644208</t>
  </si>
  <si>
    <t>ID Ideology Little Girls Fleece Jogger Pan Candy Fizz 6X</t>
  </si>
  <si>
    <t>100133042LG</t>
  </si>
  <si>
    <t>23616528348</t>
  </si>
  <si>
    <t>Calvin Klein Calvin Klein Big Boys Crew Len White, Gray, Black S</t>
  </si>
  <si>
    <t>RCK3006USAS1S</t>
  </si>
  <si>
    <t>CALVIN KLEIN SOCKS/DELTA GALIL BOYS</t>
  </si>
  <si>
    <t>194135895928</t>
  </si>
  <si>
    <t>Carters Carters Baby Girls 2-Piece Ta Blue 3 months</t>
  </si>
  <si>
    <t>194135975873</t>
  </si>
  <si>
    <t>Carters Toddler Boys Plaid Button-Fron Plaid 3T</t>
  </si>
  <si>
    <t>196122328938</t>
  </si>
  <si>
    <t>Koala Baby Baby Girls Ribbed Pants, Pack Green Newborn</t>
  </si>
  <si>
    <t>195958667280</t>
  </si>
  <si>
    <t>Tommy Hilfiger Tommy Hilfiger Little Boys Tie Nebulas Blue 7</t>
  </si>
  <si>
    <t>766360448998</t>
  </si>
  <si>
    <t>ID Ideology Toddler Little Girls Marble Violet Tulle 5</t>
  </si>
  <si>
    <t>696114360262</t>
  </si>
  <si>
    <t>Max Olivia Big Girl Ombre Sleepshirt with Pink 1416</t>
  </si>
  <si>
    <t>150398-MA</t>
  </si>
  <si>
    <t>195861159452</t>
  </si>
  <si>
    <t>Carters Toddler Girls Tulip Tank Top White 4T</t>
  </si>
  <si>
    <t>2N683110</t>
  </si>
  <si>
    <t>194882051806</t>
  </si>
  <si>
    <t>Tommy Hilfiger Tommy Hilfiger Big Girls Cushi White Medium</t>
  </si>
  <si>
    <t>THU211NS02</t>
  </si>
  <si>
    <t>TOMMY HILFIGER/PVH LEGWEAR LLC</t>
  </si>
  <si>
    <t>733004752858</t>
  </si>
  <si>
    <t>Epic Threads Big Girls Solid Sweater Leggin Lavender Pool M 1012</t>
  </si>
  <si>
    <t>640013314079</t>
  </si>
  <si>
    <t>Univibe Big Boys Andrews Short Sleeve Blue M 1012</t>
  </si>
  <si>
    <t>UB121438</t>
  </si>
  <si>
    <t>194257870735</t>
  </si>
  <si>
    <t>Champion Champion Little Girls Tossed S Deep Forte Blue 5</t>
  </si>
  <si>
    <t>640013923592</t>
  </si>
  <si>
    <t>Univibe Univibe Big Boys Liam Striped Black Medium</t>
  </si>
  <si>
    <t>UB220400</t>
  </si>
  <si>
    <t>195883922829</t>
  </si>
  <si>
    <t>Mickey Mouse Toddler Boys Disney Mickey Sho Red Tie Dye 3T</t>
  </si>
  <si>
    <t>194135506305</t>
  </si>
  <si>
    <t>Carters Baby Girls Cozy Leggings Black 5T</t>
  </si>
  <si>
    <t>2M064111</t>
  </si>
  <si>
    <t>194135932869</t>
  </si>
  <si>
    <t>Carters Carters Baby Girls One-Piece Heart Print 18 months</t>
  </si>
  <si>
    <t>1N047910</t>
  </si>
  <si>
    <t>191159214537</t>
  </si>
  <si>
    <t>Happy Threads Baby Girls Yoda Sleep and Play Gray Multi 6-9 months</t>
  </si>
  <si>
    <t>STG277FT</t>
  </si>
  <si>
    <t>194257326515</t>
  </si>
  <si>
    <t>Champion Big Boys Boxed C Script Tee Sweet Green Medium</t>
  </si>
  <si>
    <t>8492CB</t>
  </si>
  <si>
    <t>766370878723</t>
  </si>
  <si>
    <t>First Impressions Baby Boys Stripe-Print Terrycl Island Orange 3-6 months</t>
  </si>
  <si>
    <t>196122290044</t>
  </si>
  <si>
    <t>Koala Baby Baby Boys Bodysuit and Pants, Blue Print 3-6 months</t>
  </si>
  <si>
    <t>766380221571</t>
  </si>
  <si>
    <t>First Impressions Baby Boys Colorblocked Hoodie Safflower 18 months</t>
  </si>
  <si>
    <t>191655254525</t>
  </si>
  <si>
    <t>Chickpea Chickpea Baby Girls Bodysuit, Coral Pink 0-3 months</t>
  </si>
  <si>
    <t>HE12228855</t>
  </si>
  <si>
    <t>192136807155</t>
  </si>
  <si>
    <t>Carters Baby Boys Cotton French Terry Denim 18 months</t>
  </si>
  <si>
    <t>1H314810</t>
  </si>
  <si>
    <t>196325089629</t>
  </si>
  <si>
    <t>Hello Kitty Toddler Girls Happy Hello Kitt Heather Gray 3T</t>
  </si>
  <si>
    <t>T000126GHK1169</t>
  </si>
  <si>
    <t>766370064126</t>
  </si>
  <si>
    <t>Epic Threads Epic Threads Big Girls Youre Shell Pink M 810</t>
  </si>
  <si>
    <t>195861159049</t>
  </si>
  <si>
    <t>Carters Carters Baby Girls Pull-On Te Pink 18 months</t>
  </si>
  <si>
    <t>1N684010</t>
  </si>
  <si>
    <t>195861115786</t>
  </si>
  <si>
    <t>Carters Toddler Boys Striped Pocket T- Stripe 2T</t>
  </si>
  <si>
    <t>2N669910</t>
  </si>
  <si>
    <t>766370894020</t>
  </si>
  <si>
    <t>ID Ideology Big Boy Striped Tank Top Vivid Turq M</t>
  </si>
  <si>
    <t>100148316BO</t>
  </si>
  <si>
    <t>196122126916</t>
  </si>
  <si>
    <t>Koala Baby Baby Girls 1 Piece Sleep and P Rose Newborn</t>
  </si>
  <si>
    <t>KLF02139</t>
  </si>
  <si>
    <t>762120498852</t>
  </si>
  <si>
    <t>First Impressions Baby Girl DOT SUNSUIT Spring Daffodil 18 months</t>
  </si>
  <si>
    <t>733004747885</t>
  </si>
  <si>
    <t>First Impressions Toddler Boys Snowboard Toss Jo Washed Indigo 4T</t>
  </si>
  <si>
    <t>766370874589</t>
  </si>
  <si>
    <t>First Impressions Toddler Boys Cotton Simple Pal Aquarius 2T</t>
  </si>
  <si>
    <t>100148755TB</t>
  </si>
  <si>
    <t>733003135799</t>
  </si>
  <si>
    <t>First Impressions Toddler Girls Zebra Peplum Cot Blushing Bloom 4T</t>
  </si>
  <si>
    <t>100121166TG</t>
  </si>
  <si>
    <t>733002930050</t>
  </si>
  <si>
    <t>Epic Threads Big Girls Star Print Basic Leg Gray L 1416</t>
  </si>
  <si>
    <t>100129828GR</t>
  </si>
  <si>
    <t>195861087595</t>
  </si>
  <si>
    <t>Carters Carters Baby Boys Chameleon T Blue 3 months</t>
  </si>
  <si>
    <t>766380212197</t>
  </si>
  <si>
    <t>100151861TG</t>
  </si>
  <si>
    <t>766380221847</t>
  </si>
  <si>
    <t>First Impressions Baby Girls Fashion Bodysuit Blush Pink 24 months</t>
  </si>
  <si>
    <t>766370860513</t>
  </si>
  <si>
    <t>First Impressions Toddler Girls Flutter-Sleeve S Ultra Lime 2T</t>
  </si>
  <si>
    <t>733004047909</t>
  </si>
  <si>
    <t>Epic Threads Little Boys Long Sleeve Solid Bright White 5</t>
  </si>
  <si>
    <t>100135947LB</t>
  </si>
  <si>
    <t>762120497145</t>
  </si>
  <si>
    <t>First Impressions Toddler Girls Bunny Shirt Spring Daffodil 2T</t>
  </si>
  <si>
    <t>766360125271</t>
  </si>
  <si>
    <t>First Impressions Baby Girls Cotton Ruffle-Trim Ballet Pink Newborn</t>
  </si>
  <si>
    <t>766360125288</t>
  </si>
  <si>
    <t>First Impressions Baby Girls Cotton Ruffle-Trim Ballet Pink 12 months</t>
  </si>
  <si>
    <t>766380218380</t>
  </si>
  <si>
    <t>First Impressions Baby Boys Splatter-Print Short Navy Nautical 12 months</t>
  </si>
  <si>
    <t>766380218403</t>
  </si>
  <si>
    <t>First Impressions Baby Boys Splatter-Print Short Navy Nautical 6-9 months</t>
  </si>
  <si>
    <t>733004746093</t>
  </si>
  <si>
    <t>First Impressions Baby Boys Fun Fair Isle Long-S Washed Indigo 3-6 months</t>
  </si>
  <si>
    <t>100136287BB</t>
  </si>
  <si>
    <t>766360134327</t>
  </si>
  <si>
    <t>First Impressions Baby Girls Cotton Chambray Ruf Dark Blue 12 months</t>
  </si>
  <si>
    <t>766360133733</t>
  </si>
  <si>
    <t>First Impressions Baby Girls Eyelet Shorts Sodalite Blue 6-9 months</t>
  </si>
  <si>
    <t>762120496865</t>
  </si>
  <si>
    <t>First Impressions Baby Girls Floral-Print Leggin Bright White 24 months</t>
  </si>
  <si>
    <t>100141120BG</t>
  </si>
  <si>
    <t>733004919305</t>
  </si>
  <si>
    <t>First Impressions SNOWFAKE SWEETIE LEGGING Washed Indigo 12 months</t>
  </si>
  <si>
    <t>766380211848</t>
  </si>
  <si>
    <t>First Impressions Toddler Girls Wild Free Top Hthr Sterling 4T</t>
  </si>
  <si>
    <t>766370860650</t>
  </si>
  <si>
    <t>First Impressions Toddler Girls Ruffle Shoulder Hthr Dune 4T</t>
  </si>
  <si>
    <t>766380214795</t>
  </si>
  <si>
    <t>First Impressions Baby Boys Rad T-Shirt Navy Nautical 24 months</t>
  </si>
  <si>
    <t>766370873582</t>
  </si>
  <si>
    <t>First Impressions Baby Boys Solid Mesh Shorts Island Orange 18 months</t>
  </si>
  <si>
    <t>733004745706</t>
  </si>
  <si>
    <t>First Impressions Baby Boys Popsicle Dude Long-S Willow Hedge 18 months</t>
  </si>
  <si>
    <t>766360136482</t>
  </si>
  <si>
    <t>First Impressions Baby Boys Tractor T-Shirt Slate Hthr 18 months</t>
  </si>
  <si>
    <t>733001170983</t>
  </si>
  <si>
    <t>First Impressions Baby Boys Cool Dude Raglan Angel White 18 months</t>
  </si>
  <si>
    <t>100101729BB</t>
  </si>
  <si>
    <t>733003926434</t>
  </si>
  <si>
    <t>First Impressions Toddler Girl T Plaid Legging Cherry Red 3-6 months</t>
  </si>
  <si>
    <t>100104801BB</t>
  </si>
  <si>
    <t>733003619244</t>
  </si>
  <si>
    <t>First Impressions Baby Boys Colorful Puppies Cot Sunset Gold 3-6 months</t>
  </si>
  <si>
    <t>100133867BB</t>
  </si>
  <si>
    <t>807421500115</t>
  </si>
  <si>
    <t>Nike Nike Baby Boy Thrill Footless Black 0-3 months</t>
  </si>
  <si>
    <t>195958401112</t>
  </si>
  <si>
    <t>Timberland Timberland Baby Boys 2 Piece S Off White 18 months</t>
  </si>
  <si>
    <t>41M72008-99</t>
  </si>
  <si>
    <t>194514573829</t>
  </si>
  <si>
    <t>Under Armour Big Girls Tech Sportstyle Big Open Blue Large</t>
  </si>
  <si>
    <t>191655278958</t>
  </si>
  <si>
    <t>Chickpea Chickpea Baby Girls Sleeveless Pink Palm Print 18 months</t>
  </si>
  <si>
    <t>PE13232116</t>
  </si>
  <si>
    <t>194133484803</t>
  </si>
  <si>
    <t>DRAFT - DEL F20 camo active pa Open 6</t>
  </si>
  <si>
    <t>3J285310</t>
  </si>
  <si>
    <t>195861159483</t>
  </si>
  <si>
    <t>Carters Carters Baby Girls Striped Fl Pink 12 months</t>
  </si>
  <si>
    <t>195861149569</t>
  </si>
  <si>
    <t>Carters Carters Baby Girls Jersey Tan Green 12 months</t>
  </si>
  <si>
    <t>194973995200</t>
  </si>
  <si>
    <t>DRAFT - Transformer Grid Explo Red XL 1820</t>
  </si>
  <si>
    <t>2YTRF0879</t>
  </si>
  <si>
    <t>628735547302</t>
  </si>
  <si>
    <t>Lauren Ralph Lauren Lauren Ralph Lauren Big Boys P Blue, Pink 20R</t>
  </si>
  <si>
    <t>BXBU11VT0009</t>
  </si>
  <si>
    <t>192660007281</t>
  </si>
  <si>
    <t>Columbia Columbia Big Boys Rugged Ridge Black M 1012</t>
  </si>
  <si>
    <t>SHELL &amp; LINING: POLYESTER</t>
  </si>
  <si>
    <t>882925900807</t>
  </si>
  <si>
    <t>Polo Ralph Lauren Baby Girls Cotton Madras Shirt Turquoise, Red Multi 6 months</t>
  </si>
  <si>
    <t>194843619151</t>
  </si>
  <si>
    <t>Billabong Big Girls So Groovy One Piece Multi 7</t>
  </si>
  <si>
    <t>ABGX100118</t>
  </si>
  <si>
    <t>BILLABONG/BOARDRIDERS WHOLESLE GRLS</t>
  </si>
  <si>
    <t>190618761100</t>
  </si>
  <si>
    <t>Polo Ralph Lauren Baby Girls Oxford Shirt Dress Morgan Floral 12 months</t>
  </si>
  <si>
    <t>885031765520</t>
  </si>
  <si>
    <t>Polo Ralph Lauren Big Boys Striped Mesh Polo Shi Newport Navy Multi XL 1820</t>
  </si>
  <si>
    <t>190618799523</t>
  </si>
  <si>
    <t>Polo Ralph Lauren Polo Ralph Lauren Baby Boys Pa Blue Paisley Multi 9 months</t>
  </si>
  <si>
    <t>194170376666</t>
  </si>
  <si>
    <t>Rare Editions Big Girls Soutache Sleeveless Blue 12</t>
  </si>
  <si>
    <t>E494242</t>
  </si>
  <si>
    <t>194170308681</t>
  </si>
  <si>
    <t>Rare Editions Big Girls Sequin Knit Dress Blush 12</t>
  </si>
  <si>
    <t>H433171</t>
  </si>
  <si>
    <t>195438280381</t>
  </si>
  <si>
    <t>The North Face Big Boys Camp Fleece Pullover The North Face Navy with Hero Medium</t>
  </si>
  <si>
    <t>NF0A5GM724J</t>
  </si>
  <si>
    <t>NORTH FACE/VF OUTDOOR/VF CORP BOYS</t>
  </si>
  <si>
    <t>882925033130</t>
  </si>
  <si>
    <t>Polo Ralph Lauren Polo Ralph Lauren Baby Boys St French Turquoise, White 18 months</t>
  </si>
  <si>
    <t>190618958067</t>
  </si>
  <si>
    <t>Polo Ralph Lauren Toddler Boys Big Pony Long-Sle White 44T</t>
  </si>
  <si>
    <t>882925116802</t>
  </si>
  <si>
    <t>Polo Ralph Lauren Baby Boys Plaid Cotton Interlo Blue Plaid 6 months</t>
  </si>
  <si>
    <t>885031526480</t>
  </si>
  <si>
    <t>Polo Ralph Lauren Little Boys Logo Hooded T-shir Starboard Red 5</t>
  </si>
  <si>
    <t>194829038143</t>
  </si>
  <si>
    <t>adidas adidas Big Boys Sport Pants Bright Blue L 1416</t>
  </si>
  <si>
    <t>H31214</t>
  </si>
  <si>
    <t>195958151475</t>
  </si>
  <si>
    <t>Calvin Klein Calvin Klein Little Girls Jack Pink 5</t>
  </si>
  <si>
    <t>3L23011-99</t>
  </si>
  <si>
    <t>633731562303</t>
  </si>
  <si>
    <t>Levis Big Boys 510 Skinny-Fit Jeans Rinse 16</t>
  </si>
  <si>
    <t>807421565695</t>
  </si>
  <si>
    <t>Jordan Jordan Big Boys Jumpman Elevat Gym Red S 8</t>
  </si>
  <si>
    <t>825663321312</t>
  </si>
  <si>
    <t>Jordan Jordan Big Boys Jumpman Nike S Gym Red M 1012</t>
  </si>
  <si>
    <t>194931288207</t>
  </si>
  <si>
    <t>Nautica Little Boys Micro Texture Vest Khaki 4</t>
  </si>
  <si>
    <t>NDSFR08J-231</t>
  </si>
  <si>
    <t>652874337487</t>
  </si>
  <si>
    <t>Speechless Speechless Big Girls Ruffle Tu Blush 12</t>
  </si>
  <si>
    <t>T1984D01TE15</t>
  </si>
  <si>
    <t>190618961647</t>
  </si>
  <si>
    <t>Polo Ralph Lauren Little Boys Big Pony Jersey T- White 6</t>
  </si>
  <si>
    <t>617847054907</t>
  </si>
  <si>
    <t>Levis Levis Big Boys Knit Denim Jog Sundance Kid L 1618</t>
  </si>
  <si>
    <t>91A661F</t>
  </si>
  <si>
    <t>633716060541</t>
  </si>
  <si>
    <t>Levis Big Boys 502 Regular Tapered- Dress Blues 16</t>
  </si>
  <si>
    <t>912032F</t>
  </si>
  <si>
    <t>633716715236</t>
  </si>
  <si>
    <t>Levis Levis Big Boys 502 Jeans Overtime 16</t>
  </si>
  <si>
    <t>910092F</t>
  </si>
  <si>
    <t>192410706518</t>
  </si>
  <si>
    <t>Teva Toddlers Psyclone XLT Sandals DrizzleDark Gull Grey 4M</t>
  </si>
  <si>
    <t>1019538T</t>
  </si>
  <si>
    <t>TEVA/DECKERS OUTDOOR CORP</t>
  </si>
  <si>
    <t>807421562359</t>
  </si>
  <si>
    <t>Jordan Jordan Big Boys Jumpman Nike F Light Smoke Gray S 8</t>
  </si>
  <si>
    <t>95B135G</t>
  </si>
  <si>
    <t>194870543740</t>
  </si>
  <si>
    <t>adidas Big Girls Cotton Fleece Jogger Halo Mint L 1416</t>
  </si>
  <si>
    <t>AK4773</t>
  </si>
  <si>
    <t>742728959016</t>
  </si>
  <si>
    <t>Nike Nike Little Girls Club Fleece Purple Chalk 4</t>
  </si>
  <si>
    <t>36I284G</t>
  </si>
  <si>
    <t>652874375489</t>
  </si>
  <si>
    <t>Speechless Speechless Little Girls Scallo Navy 6X</t>
  </si>
  <si>
    <t>194870756973</t>
  </si>
  <si>
    <t>adidas Little Boys Graphic Shorts Set Blue Rush Heather 5</t>
  </si>
  <si>
    <t>677838887037</t>
  </si>
  <si>
    <t>LEGO LEGO Toddler Boys Half-Zip Pu Charcoal 3T</t>
  </si>
  <si>
    <t>7G7036K</t>
  </si>
  <si>
    <t>LEGO/HADDAD APPAREL GROUP</t>
  </si>
  <si>
    <t>882925720542</t>
  </si>
  <si>
    <t>Polo Ralph Lauren Toddler Boys Big Pony T-shirt Light Navy 2T</t>
  </si>
  <si>
    <t>807421759490</t>
  </si>
  <si>
    <t>Nike Nike Toddler Girls Dri-FIT Spr Violet Shock 2T</t>
  </si>
  <si>
    <t>194654546387</t>
  </si>
  <si>
    <t>Carters Carters Toddler Boys Ash Boot Print 7M</t>
  </si>
  <si>
    <t>CF21S07B</t>
  </si>
  <si>
    <t>677838626643</t>
  </si>
  <si>
    <t>Nike Nike Baby Boys Dri-Fit Thermal Black, Red 18 months</t>
  </si>
  <si>
    <t>66G801G</t>
  </si>
  <si>
    <t>194257618962</t>
  </si>
  <si>
    <t>Champion Toddler Boys Script Fleece Hoo Dark Blue, Darker Dark Blue 2T</t>
  </si>
  <si>
    <t>807421759261</t>
  </si>
  <si>
    <t>Nike Nike Toddler Girls Colorful Bo Arctic Punch 3T</t>
  </si>
  <si>
    <t>194870729182</t>
  </si>
  <si>
    <t>adidas Big Girls Aeroready All Over P Shadow Navy M 1012</t>
  </si>
  <si>
    <t>825663376237</t>
  </si>
  <si>
    <t>Nike 3BRAND by Russell Wilson Big Boys Dangeruss T-shirt Fluoro Blue M 1012</t>
  </si>
  <si>
    <t>9Q0197G</t>
  </si>
  <si>
    <t>194753855922</t>
  </si>
  <si>
    <t>Calvin Klein Calvin Klein Toddler Boys 2 Pi Blue 3T</t>
  </si>
  <si>
    <t>3L42008-99</t>
  </si>
  <si>
    <t>194170270735</t>
  </si>
  <si>
    <t>Rare Editions Toddler Girls Reindeer Appliqu Red 4T</t>
  </si>
  <si>
    <t>H730341</t>
  </si>
  <si>
    <t>30673989210</t>
  </si>
  <si>
    <t>Nike Nike Big Girls Essential Racer Laser Purple L</t>
  </si>
  <si>
    <t>NESSB711DS</t>
  </si>
  <si>
    <t>NIKE SWIM/SUPREME/PERRY ELLIS GIRLS</t>
  </si>
  <si>
    <t>766360670641</t>
  </si>
  <si>
    <t>Epic Threads Big Girls Eyelet Butterfly Dre Angel White XL 1820</t>
  </si>
  <si>
    <t>100145623GR</t>
  </si>
  <si>
    <t>766370068803</t>
  </si>
  <si>
    <t>Epic Threads Epic Threads Big Girls All Ove Light Wash Floral 7</t>
  </si>
  <si>
    <t>652874327525</t>
  </si>
  <si>
    <t>Speechless Speechless Big Girls Floral Si Coral, White 7</t>
  </si>
  <si>
    <t>T2003D01GD20</t>
  </si>
  <si>
    <t>742728934785</t>
  </si>
  <si>
    <t>Converse Converse Big Girls Ruched Leg Storm Pink XLarge</t>
  </si>
  <si>
    <t>4CB835E</t>
  </si>
  <si>
    <t>886608345725</t>
  </si>
  <si>
    <t>Volcom Boys Frickin Chino Shorts Charcoal Heather 27</t>
  </si>
  <si>
    <t>195958623439</t>
  </si>
  <si>
    <t>Timberland Big Boys Pull On Knit Shorts Medium Gray Heather S 8</t>
  </si>
  <si>
    <t>TLSFC00F-030</t>
  </si>
  <si>
    <t>194170313180</t>
  </si>
  <si>
    <t>Rare Editions Baby Girls Velour Top with Pri Rose 24M</t>
  </si>
  <si>
    <t>H832361</t>
  </si>
  <si>
    <t>652874418452</t>
  </si>
  <si>
    <t>Speechless Speechless Big Girls Floral Ri Lime, White 10</t>
  </si>
  <si>
    <t>S4181D02F565</t>
  </si>
  <si>
    <t>652874257310</t>
  </si>
  <si>
    <t>Speechless Speechless Big Girls Hoodie an Burgundy, Black Large</t>
  </si>
  <si>
    <t>Q3706D99JLPK</t>
  </si>
  <si>
    <t>194170355104</t>
  </si>
  <si>
    <t>Rare Editions Big Girls Pleated Chiffon Dres Pink 10</t>
  </si>
  <si>
    <t>E491732</t>
  </si>
  <si>
    <t>196027127537</t>
  </si>
  <si>
    <t>AME Big Boys Avengers Pajama Set, Assorted 8</t>
  </si>
  <si>
    <t>A2232BSOMA</t>
  </si>
  <si>
    <t>195883917535</t>
  </si>
  <si>
    <t>Star Wars Toddler Boys The Child Active, Green Black Combo 2T</t>
  </si>
  <si>
    <t>193666884838</t>
  </si>
  <si>
    <t>Calvin Klein Calvin Klein Big Boys Pants Se Blue Small</t>
  </si>
  <si>
    <t>807421568771</t>
  </si>
  <si>
    <t>Jordan Jordan Big Boys Jumpman Print Gym Red L 1416</t>
  </si>
  <si>
    <t>95B251G</t>
  </si>
  <si>
    <t>807421568764</t>
  </si>
  <si>
    <t>Jordan Jordan Big Boys Jumpman Print Gym Red M 1012</t>
  </si>
  <si>
    <t>195883917504</t>
  </si>
  <si>
    <t>Super Mario Little Boys Super Mario Active Athletic Heather 5</t>
  </si>
  <si>
    <t>2JNIN6108</t>
  </si>
  <si>
    <t>807421763510</t>
  </si>
  <si>
    <t>Nike Nike Little Girls On The Spot Pink Foam 6X</t>
  </si>
  <si>
    <t>195883917177</t>
  </si>
  <si>
    <t>Marvel Toddler Boys The Avengers Acti Black Gray Combo 2T</t>
  </si>
  <si>
    <t>2JBMVL2164</t>
  </si>
  <si>
    <t>195883917597</t>
  </si>
  <si>
    <t>Hot Wheels Toddler Boys Hot Wheels Active Royal Blue 2T</t>
  </si>
  <si>
    <t>733004723100</t>
  </si>
  <si>
    <t>First Impressions Baby Boys 2-Pc. Long-Sleeve In Lt Medium 18 months</t>
  </si>
  <si>
    <t>195958613775</t>
  </si>
  <si>
    <t>Calvin Klein Calvin Klein Big Girls Tie Dye Rose Violet M 810</t>
  </si>
  <si>
    <t>CKSFH00S-652</t>
  </si>
  <si>
    <t>30673991237</t>
  </si>
  <si>
    <t>Nike Nike Little Boys Logo Lap 6 V University Red 6</t>
  </si>
  <si>
    <t>NESSB883DS</t>
  </si>
  <si>
    <t>810071954825</t>
  </si>
  <si>
    <t>Gogo Jeans Big Girls Destructed Skinny Je Medium Dark Wash 14</t>
  </si>
  <si>
    <t>GOGO-60209</t>
  </si>
  <si>
    <t>195958054196</t>
  </si>
  <si>
    <t>Tommy Hilfiger Baby Boys 2-Pc. Fleece Hoodie Gray 12 months</t>
  </si>
  <si>
    <t>61L70025-99</t>
  </si>
  <si>
    <t>766370085398</t>
  </si>
  <si>
    <t>Epic Threads Little Boys Camo T-shirt, Tank Orange Lily 6</t>
  </si>
  <si>
    <t>742728914602</t>
  </si>
  <si>
    <t>Nike Nike Toddler Boys Printed Shor Imperial Blue 2T</t>
  </si>
  <si>
    <t>86I206G</t>
  </si>
  <si>
    <t>195958110663</t>
  </si>
  <si>
    <t>Tommy Hilfiger Tommy Hilfiger Little Boys Mat Gray Heather 4</t>
  </si>
  <si>
    <t>TBFEB12J-004</t>
  </si>
  <si>
    <t>195958683754</t>
  </si>
  <si>
    <t>Calvin Klein Calvin Klein Big Girls Logo On Black L 1214</t>
  </si>
  <si>
    <t>CSSFK03S-001</t>
  </si>
  <si>
    <t>CALVIN KLEIN GIRL SWIM/KHQ INVESTMN</t>
  </si>
  <si>
    <t>888737796959</t>
  </si>
  <si>
    <t>Carters Tween Slip-On Shoes, Toddler Rose Gold 9 Toddler</t>
  </si>
  <si>
    <t>TWEEN7</t>
  </si>
  <si>
    <t>GLITTER POLYURETHANE</t>
  </si>
  <si>
    <t>195958633902</t>
  </si>
  <si>
    <t>Calvin Klein Calvin Klein Big Boys Wrap Aro Neon Blue L 1416</t>
  </si>
  <si>
    <t>CSSFK11F-403</t>
  </si>
  <si>
    <t>CALVIN KLEIN BOY SWIM/KHQ INVESTMNT</t>
  </si>
  <si>
    <t>888737796928</t>
  </si>
  <si>
    <t>Carters Tween Slip-On Shoes, Toddler Rose Gold 6 Toddler</t>
  </si>
  <si>
    <t>194257619501</t>
  </si>
  <si>
    <t>Champion Little Girls Iridescent Foil S Oxford Heather 4</t>
  </si>
  <si>
    <t>CHL368</t>
  </si>
  <si>
    <t>733002064410</t>
  </si>
  <si>
    <t>INC International Concepts Big Girls Skyler Slip-On Sneak Silver 4M</t>
  </si>
  <si>
    <t>888435538295</t>
  </si>
  <si>
    <t>Puma Puma Big Girls Modern Sport Pa Light Pastel Pink L 1416</t>
  </si>
  <si>
    <t>PSP22V8R-03491</t>
  </si>
  <si>
    <t>888435538325</t>
  </si>
  <si>
    <t>Puma Puma Big Girls Modern Sport Pa Light Pastel Pink XL 1820</t>
  </si>
  <si>
    <t>195958259614</t>
  </si>
  <si>
    <t>CAHEC01S-001</t>
  </si>
  <si>
    <t>742728893563</t>
  </si>
  <si>
    <t>Levis Levis Big Girls Corduroy Pull Black 12</t>
  </si>
  <si>
    <t>41C541F</t>
  </si>
  <si>
    <t>195958577961</t>
  </si>
  <si>
    <t>Caterpillar Caterpillar Little Boys Short Black 4</t>
  </si>
  <si>
    <t>55M52013-99</t>
  </si>
  <si>
    <t>733004297670</t>
  </si>
  <si>
    <t>ID Ideology Big Girls Quarter-Zip Fleece P Ivory Cloud M 1012</t>
  </si>
  <si>
    <t>100130464GR</t>
  </si>
  <si>
    <t>195958479098</t>
  </si>
  <si>
    <t>Calvin Klein Calvin Klein Baby Girls Ruffle Coral 18 months</t>
  </si>
  <si>
    <t>194870737217</t>
  </si>
  <si>
    <t>adidas Big Boys Brand Love Hooded T-s Black L 1416</t>
  </si>
  <si>
    <t>AA7370</t>
  </si>
  <si>
    <t>194870738269</t>
  </si>
  <si>
    <t>adidas Big Boys Glitchy All-Over-Prin White with Blue S 8</t>
  </si>
  <si>
    <t>660168716023</t>
  </si>
  <si>
    <t>Little Treasure Little Treasure Christmas Body Santas Helper 3-6 months</t>
  </si>
  <si>
    <t>194257539793</t>
  </si>
  <si>
    <t>Champion Champion Big Girls Raglan Hood White M 1012</t>
  </si>
  <si>
    <t>7354CG</t>
  </si>
  <si>
    <t>195861155249</t>
  </si>
  <si>
    <t>Carters Toddler Girls Striped Linen Dr Stripe 3T</t>
  </si>
  <si>
    <t>2N881210</t>
  </si>
  <si>
    <t>194958012755</t>
  </si>
  <si>
    <t>Nike Nike Big Girls Sportswear T-sh Purple Chalk Medium</t>
  </si>
  <si>
    <t>DC7057</t>
  </si>
  <si>
    <t>192042007120</t>
  </si>
  <si>
    <t>Tommy Hilfiger Cross Gingham Shirt, Little Bo Pink 7</t>
  </si>
  <si>
    <t>T471019</t>
  </si>
  <si>
    <t>Imperial Star Imperial Star Big Girls Denim Annali Wash 12</t>
  </si>
  <si>
    <t>194973646225</t>
  </si>
  <si>
    <t>Disney Toddler Girls Mickey Minnie Le Bright Red 2T</t>
  </si>
  <si>
    <t>T000062GD12312</t>
  </si>
  <si>
    <t>762120330084</t>
  </si>
  <si>
    <t>ID Ideology Big Girls Camo-Print Top Deep Black S</t>
  </si>
  <si>
    <t>194135419483</t>
  </si>
  <si>
    <t>Carters Toddler Girls Dinosaur Cotton Print 3T</t>
  </si>
  <si>
    <t>2M096310</t>
  </si>
  <si>
    <t>194135419520</t>
  </si>
  <si>
    <t>Carters Carters Baby Girls 4-Piece Sn Purple 12 months</t>
  </si>
  <si>
    <t>1M096310</t>
  </si>
  <si>
    <t>195861376804</t>
  </si>
  <si>
    <t>Carters Carters Baby Boys Striped Sle Multicolor 9 months</t>
  </si>
  <si>
    <t>194135410923</t>
  </si>
  <si>
    <t>Carters Baby Boys 4-Pc. Monster Truck Print 12 months</t>
  </si>
  <si>
    <t>194135271999</t>
  </si>
  <si>
    <t>Carters Baby Boys Whale Snug Fit Pajam Blue 18 months</t>
  </si>
  <si>
    <t>1L721410</t>
  </si>
  <si>
    <t>194135455009</t>
  </si>
  <si>
    <t>Carters 3-Piece Floral Tee Jumper Se Pink 9 months</t>
  </si>
  <si>
    <t>1M202810</t>
  </si>
  <si>
    <t>195861154105</t>
  </si>
  <si>
    <t>Carters Carters Baby Girls Floral Tan Print 18 months</t>
  </si>
  <si>
    <t>196019038216</t>
  </si>
  <si>
    <t>Breaking Waves Big Girls 2-Pc. Lemon Drops Pink 7</t>
  </si>
  <si>
    <t>196019038148</t>
  </si>
  <si>
    <t>Breaking Waves Big Girls 2-Pc. Tie Dye-Print Open 16</t>
  </si>
  <si>
    <t>MBWI471010</t>
  </si>
  <si>
    <t>795459887646</t>
  </si>
  <si>
    <t>Breaking Waves Big Girls 2-Pc. Tropic Paradis Multi 12</t>
  </si>
  <si>
    <t>MBW371004</t>
  </si>
  <si>
    <t>194257392381</t>
  </si>
  <si>
    <t>Champion Toddler Boys Signature Fleece Black 3T</t>
  </si>
  <si>
    <t>194135112902</t>
  </si>
  <si>
    <t>Carters Big Girls Butterfly Jersey Tut Multi-Color 14</t>
  </si>
  <si>
    <t>3L549110</t>
  </si>
  <si>
    <t>195958493483</t>
  </si>
  <si>
    <t>Kids Headquarters Kids Headquarters Little Boys Blue 4</t>
  </si>
  <si>
    <t>10M52005-99</t>
  </si>
  <si>
    <t>733004086007</t>
  </si>
  <si>
    <t>Epic Threads Big Girls Cozy Fleece Jogger Pastel Tie Dye Medium</t>
  </si>
  <si>
    <t>100134328GR</t>
  </si>
  <si>
    <t>733004085963</t>
  </si>
  <si>
    <t>Epic Threads Big Girls Cozy Fleece Jogger Steel Gray Medium</t>
  </si>
  <si>
    <t>100133112GR</t>
  </si>
  <si>
    <t>194257610799</t>
  </si>
  <si>
    <t>Champion Big Boys Color Block Script Fl Oxford Heather with Multi XL 1820</t>
  </si>
  <si>
    <t>CHB613</t>
  </si>
  <si>
    <t>766360143053</t>
  </si>
  <si>
    <t>First Impressions Baby Girls 2-Pk. Coveralls Lilac Moon 0-3 months</t>
  </si>
  <si>
    <t>766360146443</t>
  </si>
  <si>
    <t>First Impressions Baby Boys 2-Pk. Coveralls Under the Sea 0-3 months</t>
  </si>
  <si>
    <t>766360147976</t>
  </si>
  <si>
    <t>First Impressions Baby 2-Pk. Animal-Print Covera Bright White 0-3 months</t>
  </si>
  <si>
    <t>887096596286</t>
  </si>
  <si>
    <t>Lauren Ralph Lauren Big Boys Yellow Natte Silk Tie Yellow ONE SIZE</t>
  </si>
  <si>
    <t>TIELT1ATS066</t>
  </si>
  <si>
    <t>ALL SILK</t>
  </si>
  <si>
    <t>640013997913</t>
  </si>
  <si>
    <t>Univibe Big Boys Klimmen Jogger Pants Olive Camo L 1416</t>
  </si>
  <si>
    <t>194514016333</t>
  </si>
  <si>
    <t>Under Armour Under Armour Big Boys Prototyp Beta Small</t>
  </si>
  <si>
    <t>652874379098</t>
  </si>
  <si>
    <t>Speechless Speechless Big Girls Floral Sq Coral XLarge</t>
  </si>
  <si>
    <t>Q3830D02WAT</t>
  </si>
  <si>
    <t>766370310971</t>
  </si>
  <si>
    <t>Epic Threads Toddler Boys Graphic T-shirt S Medium Heather Gray 3T</t>
  </si>
  <si>
    <t>766370310933</t>
  </si>
  <si>
    <t>Epic Threads Little Boys Graphic T-shirt Se Medium Heather Gray 6</t>
  </si>
  <si>
    <t>194135319615</t>
  </si>
  <si>
    <t>Carters Baby Neutral 5-Pack Short-Slee Yellowgreen 6 months</t>
  </si>
  <si>
    <t>1L773510</t>
  </si>
  <si>
    <t>194135318410</t>
  </si>
  <si>
    <t>Carters Baby Girl 5-Pack Multi-Pattern Pinkblue 6 months</t>
  </si>
  <si>
    <t>1L766810</t>
  </si>
  <si>
    <t>194135320413</t>
  </si>
  <si>
    <t>Carters Baby Boy 5-Pack Short-Sleeve B Brownblue 6 months</t>
  </si>
  <si>
    <t>194135319660</t>
  </si>
  <si>
    <t>Carters Baby Boy 5-Pack Short-Sleeve B Blue 12 months</t>
  </si>
  <si>
    <t>194135317192</t>
  </si>
  <si>
    <t>Carters Baby Neutral 5-Pack Short-Slee Multi 3 months</t>
  </si>
  <si>
    <t>194135323179</t>
  </si>
  <si>
    <t>Carters Baby Boys or Girls 2-Pack Zip- Multi 6 months</t>
  </si>
  <si>
    <t>1L813310</t>
  </si>
  <si>
    <t>194135550759</t>
  </si>
  <si>
    <t>Carters Baby Girls 4-Pack Long-Sleeve Pink Multi Newborn</t>
  </si>
  <si>
    <t>194257871251</t>
  </si>
  <si>
    <t>Champion Champion Little Boys Wavy Line White, Navy 6</t>
  </si>
  <si>
    <t>CHY881</t>
  </si>
  <si>
    <t>766360147600</t>
  </si>
  <si>
    <t>First Impressions Baby Unisex PICNIC BUDDIES BOD Light Grey Hthr 6-9 months</t>
  </si>
  <si>
    <t>733002398997</t>
  </si>
  <si>
    <t>Epic Threads Big Girls Basic Tee Bundle, Se Multi L 1416</t>
  </si>
  <si>
    <t>Carters Carters Baby Boys Collectible Gray 3 months</t>
  </si>
  <si>
    <t>1O009710</t>
  </si>
  <si>
    <t>766380514574</t>
  </si>
  <si>
    <t>Epic Threads Big Girls Rainbow-Print T-Shir Bright White L 1214</t>
  </si>
  <si>
    <t>733002007318</t>
  </si>
  <si>
    <t>First Impressions Toddler Boys Light Chambray Co Light Chambray 4T</t>
  </si>
  <si>
    <t>766360159641</t>
  </si>
  <si>
    <t>First Impressions Toddler Girls Floral-Print Tun Sodalite Blue 4T</t>
  </si>
  <si>
    <t>100141157TG</t>
  </si>
  <si>
    <t>766360159634</t>
  </si>
  <si>
    <t>First Impressions Toddler Girls Floral-Print Tun Sodalite Blue 3T</t>
  </si>
  <si>
    <t>762120497220</t>
  </si>
  <si>
    <t>First Impressions Toddler Girls Floral-Print Tun Bright White 4T</t>
  </si>
  <si>
    <t>762120497183</t>
  </si>
  <si>
    <t>First Impressions Toddler Girls Twirl Dye-Print Bright White 3T</t>
  </si>
  <si>
    <t>100141092TG</t>
  </si>
  <si>
    <t>766360159665</t>
  </si>
  <si>
    <t>First Impressions Toddler Girls Tie Dye Tunic Sh Bright White 3T</t>
  </si>
  <si>
    <t>100141168TG</t>
  </si>
  <si>
    <t>762120958660</t>
  </si>
  <si>
    <t>ID Ideology Big Girls Tank Top Violet Tulle 4T</t>
  </si>
  <si>
    <t>762120958677</t>
  </si>
  <si>
    <t>ID Ideology Big Girls Tank Top Violet Tulle 6X</t>
  </si>
  <si>
    <t>762120958578</t>
  </si>
  <si>
    <t>ID Ideology Big Girls Tank Top Violet Tulle 6</t>
  </si>
  <si>
    <t>766360159429</t>
  </si>
  <si>
    <t>First Impressions Toddler Girls Patriotic Pup Ta Sodalite Blue 2T</t>
  </si>
  <si>
    <t>733004898075</t>
  </si>
  <si>
    <t>First Impressions Toddler Boys Sugar Splash Tie- Sugar Blue 3T</t>
  </si>
  <si>
    <t>100136057TB</t>
  </si>
  <si>
    <t>762120497152</t>
  </si>
  <si>
    <t>First Impressions Toddler Girls Bunny Shirt Spring Daffodil 3T</t>
  </si>
  <si>
    <t>100141084TG</t>
  </si>
  <si>
    <t>762120497169</t>
  </si>
  <si>
    <t>First Impressions Toddler Girls Bunny Shirt Spring Daffodil 4T</t>
  </si>
  <si>
    <t>766360109134</t>
  </si>
  <si>
    <t>Epic Threads Big Girls Solid Shirt Spring Daffodil L 1214</t>
  </si>
  <si>
    <t>766360109127</t>
  </si>
  <si>
    <t>Epic Threads Big Girls Solid Shirt Spring Daffodil M 810</t>
  </si>
  <si>
    <t>196258077915</t>
  </si>
  <si>
    <t>Maidenform Little Big Girls Tie-Dye Hip Ltpasblue S 68</t>
  </si>
  <si>
    <t>195883653532</t>
  </si>
  <si>
    <t>Hybrid Big Boys NASA Short Sleeves Gr Navy M 1012</t>
  </si>
  <si>
    <t>2YNAS1199</t>
  </si>
  <si>
    <t>733004748813</t>
  </si>
  <si>
    <t>First Impressions Toddler Boys Happy Little Huma Washed Indigo 2T</t>
  </si>
  <si>
    <t>766380220215</t>
  </si>
  <si>
    <t>First Impressions Toddler Boys Dino Cotton T-Shi Blue Poppy 3T</t>
  </si>
  <si>
    <t>766360137670</t>
  </si>
  <si>
    <t>First Impressions Toddler Boys Dino T-Shirt Stone Wall 3T</t>
  </si>
  <si>
    <t>100141590TB</t>
  </si>
  <si>
    <t>766380215235</t>
  </si>
  <si>
    <t>First Impressions Baby Boys Splatter-Print Henle Navy Nautical 3-6 months</t>
  </si>
  <si>
    <t>100148784BB</t>
  </si>
  <si>
    <t>733003618490</t>
  </si>
  <si>
    <t>First Impressions Baby Boys Dino-Print Henley Pebble Hthr 12 months</t>
  </si>
  <si>
    <t>100130680BB</t>
  </si>
  <si>
    <t>762120497909</t>
  </si>
  <si>
    <t>First Impressions Baby Girls Wildflower-Print Tu Pink Pearl 3-6 months</t>
  </si>
  <si>
    <t>733001175803</t>
  </si>
  <si>
    <t>First Impressions Toddler Boys Cool Dude Raglan Angel White 2T</t>
  </si>
  <si>
    <t>100101729TB</t>
  </si>
  <si>
    <t>766360124168</t>
  </si>
  <si>
    <t>First Impressions Baby Girls Chick Bodysuit Vanilla Bean 0-3 months</t>
  </si>
  <si>
    <t>100143059BG</t>
  </si>
  <si>
    <t>766360124151</t>
  </si>
  <si>
    <t>First Impressions Baby Girls Chick Bodysuit Vanilla Bean 6-9 months</t>
  </si>
  <si>
    <t>762120497244</t>
  </si>
  <si>
    <t>First Impressions Toddler Girls Flutter Floral-G Spacious Skies 3T</t>
  </si>
  <si>
    <t>766360157920</t>
  </si>
  <si>
    <t>First Impressions Baby Girls Multi-Stars Tunic S Sodalite Blue 3-6 months</t>
  </si>
  <si>
    <t>766360133795</t>
  </si>
  <si>
    <t>First Impressions Baby Girls Eyelet Shorts Spacious Skies 6-9 months</t>
  </si>
  <si>
    <t>762120122689</t>
  </si>
  <si>
    <t>First Impressions Baby Girls Bow-Print Leggings Deep Black 6-9 months</t>
  </si>
  <si>
    <t>733004739811</t>
  </si>
  <si>
    <t>First Impressions Baby Girls Unicorn Prance Top Sundrop 6-9 months</t>
  </si>
  <si>
    <t>100138591BG</t>
  </si>
  <si>
    <t>733004919916</t>
  </si>
  <si>
    <t>First Impressions Baby Girls Solid Ruffle-Hem Le Sundrop Yellow 18 months</t>
  </si>
  <si>
    <t>766360113261</t>
  </si>
  <si>
    <t>Epic Threads Little Girls Daisy-Print T-Shi Apple Blossom 6X</t>
  </si>
  <si>
    <t>100147697LG</t>
  </si>
  <si>
    <t>766360113001</t>
  </si>
  <si>
    <t>Epic Threads Little Girls Floral-Print T-Sh Bright White 6X</t>
  </si>
  <si>
    <t>733004745638</t>
  </si>
  <si>
    <t>First Impressions Baby Boys Monster Party Long-S Slate Heather 3-6 months</t>
  </si>
  <si>
    <t>100136047BB</t>
  </si>
  <si>
    <t>762120497688</t>
  </si>
  <si>
    <t>First Impressions Baby Girls Bunny Shirt Spring Daffodil 24 months</t>
  </si>
  <si>
    <t>100141084BG</t>
  </si>
  <si>
    <t>766370873087</t>
  </si>
  <si>
    <t>First Impressions Baby Boys Solid Mesh Shorts Skygaze 24 months</t>
  </si>
  <si>
    <t>766360160616</t>
  </si>
  <si>
    <t>First Impressions Toddler Boy FLAG TANK Slate Hthr 3T</t>
  </si>
  <si>
    <t>766360160609</t>
  </si>
  <si>
    <t>First Impressions Toddler Boy FLAG TANK Slate Hthr 2T</t>
  </si>
  <si>
    <t>766360160470</t>
  </si>
  <si>
    <t>First Impressions Baby Boys Tie Dye T-Shirt Sodalite Blue 12 months</t>
  </si>
  <si>
    <t>762120497572</t>
  </si>
  <si>
    <t>First Impressions Baby Girls Graphic-Print Shirt Shell Pink 18 months</t>
  </si>
  <si>
    <t>762120497565</t>
  </si>
  <si>
    <t>First Impressions Baby Girls Graphic-Print Shirt Shell Pink 6-9 months</t>
  </si>
  <si>
    <t>766370863422</t>
  </si>
  <si>
    <t>First Impressions Baby Girls Pineapple-Graphic T Coral Topaz 18 months</t>
  </si>
  <si>
    <t>762120498302</t>
  </si>
  <si>
    <t>First Impressions Baby Girls Floral Flutter-Grap Spacious Skies 24 months</t>
  </si>
  <si>
    <t>191539949028</t>
  </si>
  <si>
    <t>Bonnie Baby Baby Girls Short Sleeved Bow F Burgundy 18 months</t>
  </si>
  <si>
    <t>194654549050</t>
  </si>
  <si>
    <t>191539918000</t>
  </si>
  <si>
    <t>Bonnie Baby Baby Girls Short Sleeved Flora Pink 18 months</t>
  </si>
  <si>
    <t>B5-10339-PS</t>
  </si>
  <si>
    <t>194135945425</t>
  </si>
  <si>
    <t>Carters Carters Little Boys 4-Piece S Sports 5</t>
  </si>
  <si>
    <t>3M988710</t>
  </si>
  <si>
    <t>195861380474</t>
  </si>
  <si>
    <t>Carters Carters Baby Girls Bodysuit, Brown 18 months</t>
  </si>
  <si>
    <t>194135551121</t>
  </si>
  <si>
    <t>Carters Baby Boys 4-Pack Long-Sleeve S Blue Multi Newborn</t>
  </si>
  <si>
    <t>194135937765</t>
  </si>
  <si>
    <t>Carters Big Girls 2-Piece Unicorn Loos Print 8</t>
  </si>
  <si>
    <t>3N028910</t>
  </si>
  <si>
    <t>194135928329</t>
  </si>
  <si>
    <t>Carters Big Girls 2-Piece Ice Cream Lo Print 8</t>
  </si>
  <si>
    <t>3N029110</t>
  </si>
  <si>
    <t>652874331362</t>
  </si>
  <si>
    <t>L/S TIE DIE CUT OUT</t>
  </si>
  <si>
    <t>Q3777D01JE35</t>
  </si>
  <si>
    <t>652874331379</t>
  </si>
  <si>
    <t>652874372945</t>
  </si>
  <si>
    <t>TOP V-NECK SHORT SLE</t>
  </si>
  <si>
    <t>195861099857</t>
  </si>
  <si>
    <t>Carters Baby Boys 2-Pc. Dog Bodysuit Green 12 months</t>
  </si>
  <si>
    <t>195861100737</t>
  </si>
  <si>
    <t>Carters Baby Boys 2-Pc. Dog Bodysuit Red 6 months</t>
  </si>
  <si>
    <t>1N607410</t>
  </si>
  <si>
    <t>195861381815</t>
  </si>
  <si>
    <t>Carters Carters Baby Girls Fox Bodysu Pink 12 months</t>
  </si>
  <si>
    <t>1N971610</t>
  </si>
  <si>
    <t>195861097907</t>
  </si>
  <si>
    <t>Carters Baby Boys 2-Pc. Dog Bodysuit Yellow 6 months</t>
  </si>
  <si>
    <t>195861099925</t>
  </si>
  <si>
    <t>Carters Baby Boys 2-Pc. Dog Bodysuit Green Newborn</t>
  </si>
  <si>
    <t>195958481206</t>
  </si>
  <si>
    <t>Tommy Hilfiger Tommy Hilfiger Baby Girls Amer White 6-9 months</t>
  </si>
  <si>
    <t>194257806239</t>
  </si>
  <si>
    <t>732999369416</t>
  </si>
  <si>
    <t>Epic Threads Big Boys Color Block Pocket T- Summer Green Snow M 1012</t>
  </si>
  <si>
    <t>100095221BO</t>
  </si>
  <si>
    <t>195861118435</t>
  </si>
  <si>
    <t>Carters Carters Baby Boys Surf Dinosa Purple 9 months</t>
  </si>
  <si>
    <t>1N669610</t>
  </si>
  <si>
    <t>772084458472</t>
  </si>
  <si>
    <t>Lauren Ralph Lauren Boys Solid Jacket Bright Navy 18R</t>
  </si>
  <si>
    <t>BLAY11PA0221</t>
  </si>
  <si>
    <t>18 REG/MED</t>
  </si>
  <si>
    <t>POLYESTER/RAYON; LINING: POLYESTER</t>
  </si>
  <si>
    <t>882925282132</t>
  </si>
  <si>
    <t>Polo Ralph Lauren Baby Boys Fleece Top Joggers Oatmeal Heather Multi 24 months</t>
  </si>
  <si>
    <t>195238052171</t>
  </si>
  <si>
    <t>Nike Nike Big Boys Sportswear Ampli Iron Gray, Black, Smoke Gray M 1012</t>
  </si>
  <si>
    <t>DD8579</t>
  </si>
  <si>
    <t>882925570987</t>
  </si>
  <si>
    <t>Polo Ralph Lauren Big Girls Tie-dye Stretch Jers Open Miscellaneous Large</t>
  </si>
  <si>
    <t>885031308154</t>
  </si>
  <si>
    <t>Polo Ralph Lauren Toddler Boys Team USA Jersey G White 4T</t>
  </si>
  <si>
    <t>887096808501</t>
  </si>
  <si>
    <t>Lauren Ralph Lauren Lauren Ralph Lauren Big Boys P Black 18R</t>
  </si>
  <si>
    <t>BEDGPZ1Y0706</t>
  </si>
  <si>
    <t>807421564421</t>
  </si>
  <si>
    <t>Jordan Jordan Big Boys Jumpman Band o Black Gym Red L 1416</t>
  </si>
  <si>
    <t>193855360020</t>
  </si>
  <si>
    <t>Columbia Big Girls Benton Springs Ii Pr Black Folk Floral Print Small</t>
  </si>
  <si>
    <t>191539582126</t>
  </si>
  <si>
    <t>Bonnie Jean Big Girls Ruffled Lemon Dress Yellow 16</t>
  </si>
  <si>
    <t>S40602-DV</t>
  </si>
  <si>
    <t>194931290873</t>
  </si>
  <si>
    <t>Tommy Hilfiger Big Boys Stretch Floral Print Pastel Blue 8</t>
  </si>
  <si>
    <t>TBSFB95F-452</t>
  </si>
  <si>
    <t>195251343225</t>
  </si>
  <si>
    <t>Under Armour Under Armour Big Boys Tech Big Quest Green Black L</t>
  </si>
  <si>
    <t>882925887504</t>
  </si>
  <si>
    <t>Polo Ralph Lauren Big Boys Chino Ball Cap Adirondack Berry ONE SIZE</t>
  </si>
  <si>
    <t>807421600334</t>
  </si>
  <si>
    <t>Nike Nike Toddler Girls on the Spot Gray Heather 2T</t>
  </si>
  <si>
    <t>36J137G</t>
  </si>
  <si>
    <t>191539869890</t>
  </si>
  <si>
    <t>Bonnie Baby Baby Girls Sleeveless Mixed Pr Chambray 6-9 months</t>
  </si>
  <si>
    <t>194870730164</t>
  </si>
  <si>
    <t>adidas Big Girls 3 Stripe All Over Pr White with Blue M 1012</t>
  </si>
  <si>
    <t>194753894129</t>
  </si>
  <si>
    <t>Calvin Klein Calvin Klein Little Boys Color Gray 6</t>
  </si>
  <si>
    <t>3L52028-99</t>
  </si>
  <si>
    <t>194894672198</t>
  </si>
  <si>
    <t>Columbia Columbia Big Girls Hike Shorts Black XL</t>
  </si>
  <si>
    <t>194894672174</t>
  </si>
  <si>
    <t>Columbia Columbia Big Girls Hike Shorts Black L</t>
  </si>
  <si>
    <t>194870756126</t>
  </si>
  <si>
    <t>adidas Baby Boys 2 Piece Game Time Sh Vivid Red 12 months</t>
  </si>
  <si>
    <t>AG6363N</t>
  </si>
  <si>
    <t>195958659209</t>
  </si>
  <si>
    <t>Tommy Hilfiger Big Boys Knit Waist Band Pull- Monument L 1618</t>
  </si>
  <si>
    <t>TBSFC02F-011</t>
  </si>
  <si>
    <t>194955949146</t>
  </si>
  <si>
    <t>Nike Nike Big Boys Short-Sleeve Tra Volt, Game Royal M 1012</t>
  </si>
  <si>
    <t>196027059371</t>
  </si>
  <si>
    <t>LOL Surprise Big Girls Lol Surpise Pajamas, Assorted 8</t>
  </si>
  <si>
    <t>LZ202GLLMA</t>
  </si>
  <si>
    <t>682510128940</t>
  </si>
  <si>
    <t>Lucky Brand Big Boys Core Denim Skinny Jea Barite 10</t>
  </si>
  <si>
    <t>42D65028-92</t>
  </si>
  <si>
    <t>652874284217</t>
  </si>
  <si>
    <t>Speechless Big Girls 2-Pc. Top Floral-P Heather Gray 14</t>
  </si>
  <si>
    <t>C4035D98F519</t>
  </si>
  <si>
    <t>195958375659</t>
  </si>
  <si>
    <t>Kids Headquarters Kids Headquarters Baby Girl Fl Pink 24 months</t>
  </si>
  <si>
    <t>194753356153</t>
  </si>
  <si>
    <t>Tommy Hilfiger Tommy Hilfiger Big Boys Mini D Natural L 1618</t>
  </si>
  <si>
    <t>TBFDC07F-103</t>
  </si>
  <si>
    <t>196027137451</t>
  </si>
  <si>
    <t>LOL Surprise Little Girls Lol Surprise Paja Assorted 4</t>
  </si>
  <si>
    <t>LZ249GSOMA</t>
  </si>
  <si>
    <t>742728783956</t>
  </si>
  <si>
    <t>Jordan Jordan Baby Boys Jumpman Assor Assorted 3 months</t>
  </si>
  <si>
    <t>55A851G</t>
  </si>
  <si>
    <t>194257667434</t>
  </si>
  <si>
    <t>Champion Champion Big Boys All Over Pri Oxford Heather, Black XL</t>
  </si>
  <si>
    <t>825663365668</t>
  </si>
  <si>
    <t>Jordan Jordan Big Girls Jumpman Block Light Madder Root Small</t>
  </si>
  <si>
    <t>45B537G</t>
  </si>
  <si>
    <t>191539907684</t>
  </si>
  <si>
    <t>Bonnie Baby Baby Girls Seersucker with Bee Yellow 12 months</t>
  </si>
  <si>
    <t>S5-10142-SV</t>
  </si>
  <si>
    <t>762120059688</t>
  </si>
  <si>
    <t>ID Ideology Little Girls 2-Pc. Olympic Sta Licorice Red 6</t>
  </si>
  <si>
    <t>100136770LG</t>
  </si>
  <si>
    <t>195958578074</t>
  </si>
  <si>
    <t>Caterpillar Caterpillar Little Boys Americ Gray Heather 7</t>
  </si>
  <si>
    <t>195958361256</t>
  </si>
  <si>
    <t>Tommy Hilfiger Tommy Hilfiger Baby Boys Monog Red 12 months</t>
  </si>
  <si>
    <t>61M72025-99</t>
  </si>
  <si>
    <t>195958396654</t>
  </si>
  <si>
    <t>Tommy Hilfiger Tommy Hilfiger Baby Girls Stri Blue 18 months</t>
  </si>
  <si>
    <t>61M02031-99</t>
  </si>
  <si>
    <t>195958479296</t>
  </si>
  <si>
    <t>Calvin Klein Calvin Klein Baby Girls Monogr White 24 months</t>
  </si>
  <si>
    <t>195861085782</t>
  </si>
  <si>
    <t>Carters Toddler Girls 4-Piece Snug Fit Koala 4T</t>
  </si>
  <si>
    <t>195861090342</t>
  </si>
  <si>
    <t>Carters Toddler Girls 4-Pc. Tropical P Print 3T</t>
  </si>
  <si>
    <t>2N708910</t>
  </si>
  <si>
    <t>195861090335</t>
  </si>
  <si>
    <t>Carters Toddler Girls 4-Pc. Tropical P Print 2T</t>
  </si>
  <si>
    <t>195861083221</t>
  </si>
  <si>
    <t>Carters Carters Baby Boys 4-Piece Snu Print 18 months</t>
  </si>
  <si>
    <t>1N707410</t>
  </si>
  <si>
    <t>194135949348</t>
  </si>
  <si>
    <t>Carters Carters Baby Girls 4-Piece Sn Pink 12 months</t>
  </si>
  <si>
    <t>1M976010</t>
  </si>
  <si>
    <t>194753766907</t>
  </si>
  <si>
    <t>Tommy Hilfiger Big Boys Graphic Knit Short Open Red L 1618</t>
  </si>
  <si>
    <t>TBSEC07F-649</t>
  </si>
  <si>
    <t>733001199854</t>
  </si>
  <si>
    <t>First Impressions Baby Girls Heart Plush Coat Pink Bud 6-9 months</t>
  </si>
  <si>
    <t>196325130147</t>
  </si>
  <si>
    <t>Star Wars Little Girls Child Whimsical D Green 4</t>
  </si>
  <si>
    <t>840028942346</t>
  </si>
  <si>
    <t>earth by art eden Baby Boys 2-Pc. Tank Top Sho Bright White Multi 9 months</t>
  </si>
  <si>
    <t>840028944319</t>
  </si>
  <si>
    <t>earth by art eden Baby Girls 2-Pc. Dress Bloom Rainbow Multi Stripe 6 months</t>
  </si>
  <si>
    <t>5020RMS</t>
  </si>
  <si>
    <t>840028945422</t>
  </si>
  <si>
    <t>earth by art eden Baby Boys 2-Pk. Mix and Match Deep Cobalt Multi 3 months</t>
  </si>
  <si>
    <t>807421556136</t>
  </si>
  <si>
    <t>Nike Nike Little Boys Blocked Dri-F University Red 7</t>
  </si>
  <si>
    <t>840028944333</t>
  </si>
  <si>
    <t>earth by art eden Baby Girls 2-Pc. Dress Bloom Rainbow Multi Stripe 12 months</t>
  </si>
  <si>
    <t>195958361423</t>
  </si>
  <si>
    <t>Tommy Hilfiger Tommy Hilfiger Baby Girls Shor Red 6-9 months</t>
  </si>
  <si>
    <t>61M80078-99</t>
  </si>
  <si>
    <t>194870766422</t>
  </si>
  <si>
    <t>adidas Big Girls Short Sleeve Long Sl White with Glory Blue S 8</t>
  </si>
  <si>
    <t>766370066991</t>
  </si>
  <si>
    <t>Epic Threads Epic Threads Big Girls Strawbe Angel White XL 16</t>
  </si>
  <si>
    <t>100145577GR</t>
  </si>
  <si>
    <t>766370066977</t>
  </si>
  <si>
    <t>Epic Threads Epic Threads Big Girls Strawbe Angel White M 810</t>
  </si>
  <si>
    <t>194870753637</t>
  </si>
  <si>
    <t>adidas Big Girls Short Sleeve Dolman White M 1012</t>
  </si>
  <si>
    <t>194870753644</t>
  </si>
  <si>
    <t>adidas Big Girls Short Sleeve Dolman White L 1416</t>
  </si>
  <si>
    <t>194753656468</t>
  </si>
  <si>
    <t>Kids Headquarters Kids Headquarters Little Girls Assorted 5</t>
  </si>
  <si>
    <t>11K22039-99</t>
  </si>
  <si>
    <t>889799981185</t>
  </si>
  <si>
    <t>LOL Surprise LOL Surprise Big Girls Pajama Assorted 10</t>
  </si>
  <si>
    <t>194512177081</t>
  </si>
  <si>
    <t>Under Armour Under Armour Big Boys Prototyp Gray L 1416</t>
  </si>
  <si>
    <t>195718264742</t>
  </si>
  <si>
    <t>Quiksilver Quiksilver Big Boys Youth Hi B White Large</t>
  </si>
  <si>
    <t>AQBZT04135</t>
  </si>
  <si>
    <t>840238406102</t>
  </si>
  <si>
    <t>Samara Baby Girls Floral-Print Dress Pink 6-9 months</t>
  </si>
  <si>
    <t>SAN474</t>
  </si>
  <si>
    <t>PURPLE ROSE/BAK GIRLS INC</t>
  </si>
  <si>
    <t>194135973497</t>
  </si>
  <si>
    <t>Carters Carters Baby Boys 2-Piece Ras Multi Blue 6 months</t>
  </si>
  <si>
    <t>194257872265</t>
  </si>
  <si>
    <t>Champion Little Girls All Over Print T- Knockout Pink, Purple 4</t>
  </si>
  <si>
    <t>CHL641</t>
  </si>
  <si>
    <t>196027125724</t>
  </si>
  <si>
    <t>Care Bears Big Girls Care Bears Pajamas, Assorted 10</t>
  </si>
  <si>
    <t>190795472110</t>
  </si>
  <si>
    <t>Carters Baby 5-Pack Short-Sleeve Kimon White 9 months</t>
  </si>
  <si>
    <t>733004958649</t>
  </si>
  <si>
    <t>First Impressions Baby Boys 2-Pc. Hooded Bodysui Light Grey Heather 24 months</t>
  </si>
  <si>
    <t>100138522BB</t>
  </si>
  <si>
    <t>696114433775</t>
  </si>
  <si>
    <t>Sleep On It Little Boys Pajama Set,2 Piece Navy 6-7</t>
  </si>
  <si>
    <t>57319NA-MA</t>
  </si>
  <si>
    <t>195958615595</t>
  </si>
  <si>
    <t>Kids Headquarters Kids Headquarters Baby Girls D Red 12M</t>
  </si>
  <si>
    <t>11M02032-99</t>
  </si>
  <si>
    <t>195958611870</t>
  </si>
  <si>
    <t>Kids Headquarters Kids Headquarters Baby Girls R Pink 24M</t>
  </si>
  <si>
    <t>11M02037-99</t>
  </si>
  <si>
    <t>195958553699</t>
  </si>
  <si>
    <t>Tommy Hilfiger Tommy Hilfiger Big Girls Logo- Navy Blazer S 7</t>
  </si>
  <si>
    <t>TGSFC06S-405</t>
  </si>
  <si>
    <t>696114463604</t>
  </si>
  <si>
    <t>Sleep On It Big Boys Tank Top and Shorts P Navy M 810</t>
  </si>
  <si>
    <t>57409NY-MA</t>
  </si>
  <si>
    <t>696114463956</t>
  </si>
  <si>
    <t>Sleep On It Big Boys Jersey T-shirt and Pa Navy L 1214</t>
  </si>
  <si>
    <t>57139NY-MA</t>
  </si>
  <si>
    <t>696114463963</t>
  </si>
  <si>
    <t>Sleep On It Little Boys Jersey T-shirt and Black S 67</t>
  </si>
  <si>
    <t>57139BK-MA</t>
  </si>
  <si>
    <t>196122402515</t>
  </si>
  <si>
    <t>Koala Baby Baby Boys Sleepwear, 4 Piece S White 18 months</t>
  </si>
  <si>
    <t>762120062992</t>
  </si>
  <si>
    <t>ID Ideology Big Girls Red White Blue Che Indigo Sea S 78</t>
  </si>
  <si>
    <t>100136763GR</t>
  </si>
  <si>
    <t>762120077972</t>
  </si>
  <si>
    <t>Epic Threads Little Boys Knit Waist Denim S Dalton Wash 6</t>
  </si>
  <si>
    <t>100138404LB</t>
  </si>
  <si>
    <t>196027059548</t>
  </si>
  <si>
    <t>The Mandalorian Little Boys The Mandalorian Pa Assorted 4</t>
  </si>
  <si>
    <t>UT080BLLMA</t>
  </si>
  <si>
    <t>195958494367</t>
  </si>
  <si>
    <t>Kids Headquarters Kids Headquarters Baby Boys St Gray 18 months</t>
  </si>
  <si>
    <t>10M72011-99</t>
  </si>
  <si>
    <t>840028944036</t>
  </si>
  <si>
    <t>earth by art eden Baby Girls Tropical-Print Bubb Pink 6 months</t>
  </si>
  <si>
    <t>840028945217</t>
  </si>
  <si>
    <t>earth by art eden Baby Boys Henley One-Piece Vista Blue Multi 3 months</t>
  </si>
  <si>
    <t>840028945224</t>
  </si>
  <si>
    <t>earth by art eden Baby Boys Henley One-Piece Vista Blue Multi 6 months</t>
  </si>
  <si>
    <t>195958152908</t>
  </si>
  <si>
    <t>Tommy Hilfiger Tommy Hilfiger Big Girls Hipst Multi Medium</t>
  </si>
  <si>
    <t>TSFEJ00X-669</t>
  </si>
  <si>
    <t>194135960084</t>
  </si>
  <si>
    <t>Carters Carters Baby Girls Striped Ho Stripe 6 months</t>
  </si>
  <si>
    <t>194135956537</t>
  </si>
  <si>
    <t>Carters Carters Baby Girls Tie-Dye Ho Print 6 months</t>
  </si>
  <si>
    <t>1N230610</t>
  </si>
  <si>
    <t>194753204638</t>
  </si>
  <si>
    <t>Calvin Klein Calvin Klein Big Boys Classic White L 1416</t>
  </si>
  <si>
    <t>CKFDA05F-100</t>
  </si>
  <si>
    <t>825663257635</t>
  </si>
  <si>
    <t>Nike Nike Toddler Girls Short Sleev White 3T</t>
  </si>
  <si>
    <t>36J658G</t>
  </si>
  <si>
    <t>696114451571</t>
  </si>
  <si>
    <t>Max Olivia Baby Girls All Over Printed Pa Purple 24 months</t>
  </si>
  <si>
    <t>751273-MA</t>
  </si>
  <si>
    <t>196027140352</t>
  </si>
  <si>
    <t>Disney Princess Little Mermaid Toddler Girls P Assorted 2T</t>
  </si>
  <si>
    <t>LM259TSLMA</t>
  </si>
  <si>
    <t>196027140369</t>
  </si>
  <si>
    <t>Disney Princess Little Mermaid Toddler Girls P Assorted 3T</t>
  </si>
  <si>
    <t>196122288935</t>
  </si>
  <si>
    <t>Koala Baby Baby Girls Skirt, Leggings, Bo Maze 3-6 months</t>
  </si>
  <si>
    <t>KLF02236</t>
  </si>
  <si>
    <t>195958486225</t>
  </si>
  <si>
    <t>Kids Headquarters Kids Headquarters Baby Boys Sh Blue 12 months</t>
  </si>
  <si>
    <t>10M72012-99</t>
  </si>
  <si>
    <t>195861161844</t>
  </si>
  <si>
    <t>Carters Carters Baby Girls Pineapple Print 6 months</t>
  </si>
  <si>
    <t>195958266308</t>
  </si>
  <si>
    <t>Calvin Klein Big Boys Tone On Tone Short Sl Black L 1416</t>
  </si>
  <si>
    <t>CKSFB01F-001</t>
  </si>
  <si>
    <t>196027072127</t>
  </si>
  <si>
    <t>Disney Princess Toddler Girls Frozen Pajamas, Assorted 2T</t>
  </si>
  <si>
    <t>FZ931TLLMA</t>
  </si>
  <si>
    <t>194135739185</t>
  </si>
  <si>
    <t>Carters Toddler Girls Heart Peplum Top Stripe 5T</t>
  </si>
  <si>
    <t>2M747010</t>
  </si>
  <si>
    <t>191655278354</t>
  </si>
  <si>
    <t>Chickpea Chickpea Baby Girls Sleeveless Multi Pink 6-9 months</t>
  </si>
  <si>
    <t>PE12232110</t>
  </si>
  <si>
    <t>840219354811</t>
  </si>
  <si>
    <t>BTween BTween Little Girls Long Sleev Seagrass 6X</t>
  </si>
  <si>
    <t>4N622</t>
  </si>
  <si>
    <t>191655283358</t>
  </si>
  <si>
    <t>Chickpea Chickpea Baby Girls Tops and S Multi 3-6 months</t>
  </si>
  <si>
    <t>191655283365</t>
  </si>
  <si>
    <t>Chickpea Chickpea Baby Girls Tops and S Multi 6-9 months</t>
  </si>
  <si>
    <t>191655281354</t>
  </si>
  <si>
    <t>Chickpea Chickpea Baby Boys Tops and Sh Green 18 months</t>
  </si>
  <si>
    <t>PE23231661</t>
  </si>
  <si>
    <t>191655283310</t>
  </si>
  <si>
    <t>Chickpea Chickpea Baby Girls Tops and S Yellow 12 months</t>
  </si>
  <si>
    <t>PE13231671</t>
  </si>
  <si>
    <t>191655283334</t>
  </si>
  <si>
    <t>Chickpea Chickpea Baby Girls Tops and S Yellow 24 months</t>
  </si>
  <si>
    <t>766380188867</t>
  </si>
  <si>
    <t>ID Ideology Big Girls Colorblocked Twofer Pink Hustle XL 16</t>
  </si>
  <si>
    <t>194133374722</t>
  </si>
  <si>
    <t>Carters Baby 6-Pk. Washcloths Mint ONE SIZE</t>
  </si>
  <si>
    <t>1I709010</t>
  </si>
  <si>
    <t>194135302655</t>
  </si>
  <si>
    <t>Carters Toddler Boys Everyday Pull-On Camo 5T</t>
  </si>
  <si>
    <t>2L760410</t>
  </si>
  <si>
    <t>195958884557</t>
  </si>
  <si>
    <t>Tommy Hilfiger Toddler Boys Tommy Sports Grad True Red 2T</t>
  </si>
  <si>
    <t>TBMFB05J-611</t>
  </si>
  <si>
    <t>195958701359</t>
  </si>
  <si>
    <t>Tommy Hilfiger Tommy Hilfiger Toddler Boys Sp True Red 3T</t>
  </si>
  <si>
    <t>194135739949</t>
  </si>
  <si>
    <t>Carters Toddler Girl Leopard-Print Ruf Print 3T</t>
  </si>
  <si>
    <t>2M746310</t>
  </si>
  <si>
    <t>762120024938</t>
  </si>
  <si>
    <t>ID Ideology Big Girls Jogger Pants Deep Black L 14</t>
  </si>
  <si>
    <t>100136600GR</t>
  </si>
  <si>
    <t>194135919006</t>
  </si>
  <si>
    <t>Carters Carters Toddler Boys Octopus Blue 2T</t>
  </si>
  <si>
    <t>2N128010</t>
  </si>
  <si>
    <t>195958667730</t>
  </si>
  <si>
    <t>Tommy Hilfiger Tommy Hilfiger Little Boys Scr Navy Blazer 6</t>
  </si>
  <si>
    <t>195958667228</t>
  </si>
  <si>
    <t>Tommy Hilfiger Tommy Hilfiger Little Boys Tie Navy Blazer 7</t>
  </si>
  <si>
    <t>195958667341</t>
  </si>
  <si>
    <t>Tommy Hilfiger Tommy Hilfiger Little Boys Tos Bright White 7</t>
  </si>
  <si>
    <t>766360683559</t>
  </si>
  <si>
    <t>Epic Threads Big Boys Pocket Tank Top Medium Heather Gray XL 1820</t>
  </si>
  <si>
    <t>100147816BO</t>
  </si>
  <si>
    <t>191655248456</t>
  </si>
  <si>
    <t>Chickpea Chickpea Baby Girls Fashion Qu Pink 3-6 months</t>
  </si>
  <si>
    <t>HE12229103</t>
  </si>
  <si>
    <t>191655263602</t>
  </si>
  <si>
    <t>Chickpea Chickpea Baby Girls Top, Jogge Gold Tone 0-3 months</t>
  </si>
  <si>
    <t>196122330955</t>
  </si>
  <si>
    <t>Koala Baby Baby Boys Rib Pants, Pack of 2 Navy Newborn</t>
  </si>
  <si>
    <t>762120689984</t>
  </si>
  <si>
    <t>ID Ideology Toddler Little Girls Solid S Rose Shadow 6X</t>
  </si>
  <si>
    <t>762120956116</t>
  </si>
  <si>
    <t>ID Ideology Big Girl Core Stretch Leggings Violet Tulle XL 16</t>
  </si>
  <si>
    <t>195883920825</t>
  </si>
  <si>
    <t>Batman Big Boys DC Batman Short Sleev Black S</t>
  </si>
  <si>
    <t>2YDCB2010</t>
  </si>
  <si>
    <t>194257870711</t>
  </si>
  <si>
    <t>Champion Champion Toddler Girls Tossed Deep Forte Blue 3T</t>
  </si>
  <si>
    <t>CHL150</t>
  </si>
  <si>
    <t>742728677163</t>
  </si>
  <si>
    <t>Levis Levis Big Boys Logo T-shirt Thyme Heather L 1416</t>
  </si>
  <si>
    <t>91D570F</t>
  </si>
  <si>
    <t>766360156541</t>
  </si>
  <si>
    <t>First Impressions Baby Girl DOT BOW ONE PIECE Apple Blossom 3-6 months</t>
  </si>
  <si>
    <t>194257619228</t>
  </si>
  <si>
    <t>Champion Champion Little Girls Boxy T-s White 5</t>
  </si>
  <si>
    <t>194257302120</t>
  </si>
  <si>
    <t>Champion Toddler Boys All Over Print Op White 2T</t>
  </si>
  <si>
    <t>5495CB</t>
  </si>
  <si>
    <t>194135950146</t>
  </si>
  <si>
    <t>Carters Toddler Girls Love Floral Jers Pink 2T</t>
  </si>
  <si>
    <t>2N112510</t>
  </si>
  <si>
    <t>195861147169</t>
  </si>
  <si>
    <t>Carters Carters Baby Girls Jersey Tan Orange 9 months</t>
  </si>
  <si>
    <t>195861149736</t>
  </si>
  <si>
    <t>Carters Toddler Girls Jersey Tank Top Orange 3T</t>
  </si>
  <si>
    <t>194135896963</t>
  </si>
  <si>
    <t>Carters Carters Baby Boys and Girls O Print Newborn</t>
  </si>
  <si>
    <t>1N039610</t>
  </si>
  <si>
    <t>762120016124</t>
  </si>
  <si>
    <t>Epic Threads Big Boys Short Sleeve Colorblo White Confetti M 1214</t>
  </si>
  <si>
    <t>100138430BO</t>
  </si>
  <si>
    <t>733002993482</t>
  </si>
  <si>
    <t>First Impressions Baby Girls Jungle-Print Romper Vintage White 18 months</t>
  </si>
  <si>
    <t>100121161BG</t>
  </si>
  <si>
    <t>194135469587</t>
  </si>
  <si>
    <t>Carters Toddler Boys Pull-On Fleece Pa Heather 2T</t>
  </si>
  <si>
    <t>2M084110</t>
  </si>
  <si>
    <t>766380221557</t>
  </si>
  <si>
    <t>First Impressions Baby Boys Colorblocked Hoodie Safflower 3-6 months</t>
  </si>
  <si>
    <t>762120960519</t>
  </si>
  <si>
    <t>ID Ideology Little Girls Flex Leggings Pistachio Green 6X</t>
  </si>
  <si>
    <t>766360668389</t>
  </si>
  <si>
    <t>Epic Threads Big Girls Flower All Over Prin Angel White XL 1820</t>
  </si>
  <si>
    <t>766360667887</t>
  </si>
  <si>
    <t>Epic Threads Epic Threads Big Girls Heart A Blush Pink L 1416</t>
  </si>
  <si>
    <t>766370877641</t>
  </si>
  <si>
    <t>First Impressions Baby Boys Shirt Ultra Lime 0-3 months</t>
  </si>
  <si>
    <t>80538130073</t>
  </si>
  <si>
    <t>Keds Little Big Girls 2-Pk Sweate Cream 4-6</t>
  </si>
  <si>
    <t>KED012</t>
  </si>
  <si>
    <t>4-6(SMALL)</t>
  </si>
  <si>
    <t>762120856959</t>
  </si>
  <si>
    <t>ID Ideology Big Boys Active Polo Bright White M</t>
  </si>
  <si>
    <t>195861091998</t>
  </si>
  <si>
    <t>Carters Carters Baby Girls Zebra Suns Print 18 months</t>
  </si>
  <si>
    <t>1N602310</t>
  </si>
  <si>
    <t>196258066674</t>
  </si>
  <si>
    <t>Maidenform Little Big Girls Cropped Ruc White XL 1820</t>
  </si>
  <si>
    <t>733003149994</t>
  </si>
  <si>
    <t>ID Ideology Big Girls Future T-Shirt Ocean Spray M 1012</t>
  </si>
  <si>
    <t>100121862GR</t>
  </si>
  <si>
    <t>195861118817</t>
  </si>
  <si>
    <t>Carters Toddler Boys Alligator Pocket Navy 3T</t>
  </si>
  <si>
    <t>2N107710</t>
  </si>
  <si>
    <t>766370903029</t>
  </si>
  <si>
    <t>ID Ideology Big Girls 100 Awesome Tank To Deep Black XL 16</t>
  </si>
  <si>
    <t>100148245GR</t>
  </si>
  <si>
    <t>762120824415</t>
  </si>
  <si>
    <t>ID Ideology Toddler Little Boys Polo Bright White 7</t>
  </si>
  <si>
    <t>196258066483</t>
  </si>
  <si>
    <t>Maidenform Little Big Girls Cropped Ruc Med pink L 1416</t>
  </si>
  <si>
    <t>733003080525</t>
  </si>
  <si>
    <t>ID Ideology Little Girls Biker Shorts Indigo Sea 6</t>
  </si>
  <si>
    <t>733003080563</t>
  </si>
  <si>
    <t>ID Ideology Little Girls Biker Shorts Indigo Sea 6X</t>
  </si>
  <si>
    <t>766380186627</t>
  </si>
  <si>
    <t>ID Ideology Little Girls Tropical-Print Ta Deep Black 6</t>
  </si>
  <si>
    <t>762120498845</t>
  </si>
  <si>
    <t>First Impressions Baby Girl DOT SUNSUIT Spring Daffodil 6-9 months</t>
  </si>
  <si>
    <t>194135225794</t>
  </si>
  <si>
    <t>Carters Baby Girls Tropical Pull-On Fr Navy 3 months</t>
  </si>
  <si>
    <t>1L731710</t>
  </si>
  <si>
    <t>196258052448</t>
  </si>
  <si>
    <t>Calvin Klein Big Girls Seamless Hipster Cinnamon PVH CK Jacquard L</t>
  </si>
  <si>
    <t>766360110000</t>
  </si>
  <si>
    <t>Epic Threads Big Girls Wide Stripe-Print Sh Bright White XL 16</t>
  </si>
  <si>
    <t>100147734GR</t>
  </si>
  <si>
    <t>766380219769</t>
  </si>
  <si>
    <t>First Impressions Toddler Boys Solid Pocket Shor Safflower 2T</t>
  </si>
  <si>
    <t>100151880TB</t>
  </si>
  <si>
    <t>733003920463</t>
  </si>
  <si>
    <t>First Impressions Toddler Girl T DOT VELOUR TOP Cherry Red 4T</t>
  </si>
  <si>
    <t>766380212098</t>
  </si>
  <si>
    <t>First Impressions Toddler Girls Floral-Print Tun Blush Pink 3T</t>
  </si>
  <si>
    <t>100150145TG</t>
  </si>
  <si>
    <t>766380219806</t>
  </si>
  <si>
    <t>First Impressions Toddler Boys Solid Shorts Blue Poppy 3T</t>
  </si>
  <si>
    <t>100151881TB</t>
  </si>
  <si>
    <t>195861090595</t>
  </si>
  <si>
    <t>Carters Carters Baby Boy or Baby Girl Yellow 9 months</t>
  </si>
  <si>
    <t>195861090854</t>
  </si>
  <si>
    <t>762120495714</t>
  </si>
  <si>
    <t>First Impressions Baby Boys Bright Sky Shirt Oregano 12 months</t>
  </si>
  <si>
    <t>733003615680</t>
  </si>
  <si>
    <t>First Impressions Toddler Girls Watercolor Puppy Medieval Blue 2T</t>
  </si>
  <si>
    <t>100130821TG</t>
  </si>
  <si>
    <t>766380217826</t>
  </si>
  <si>
    <t>First Impressions Baby Boys Knee Patch Jogger Pa Snow Owl Hthr 12 months</t>
  </si>
  <si>
    <t>766380221632</t>
  </si>
  <si>
    <t>First Impressions Baby Girls Fashion Bodysuit Blue Poppy 24 months</t>
  </si>
  <si>
    <t>733003620523</t>
  </si>
  <si>
    <t>First Impressions Toddler Boy T SPORTY COLORBLOC Navy Nautical 3T</t>
  </si>
  <si>
    <t>100101719TB</t>
  </si>
  <si>
    <t>766360137649</t>
  </si>
  <si>
    <t>First Impressions Toddler Boys Stacked Striped R Spacious Skies 3T</t>
  </si>
  <si>
    <t>100141402TB</t>
  </si>
  <si>
    <t>766380219868</t>
  </si>
  <si>
    <t>First Impressions Toddler Boys Splatter Paint Sh Navy Nautical 2T</t>
  </si>
  <si>
    <t>766370860537</t>
  </si>
  <si>
    <t>First Impressions Toddler Girls Flutter-Sleeve S Ultra Lime 4T</t>
  </si>
  <si>
    <t>762120124881</t>
  </si>
  <si>
    <t>First Impressions Toddler Girls Cherry-Print Leg Angel White 3T</t>
  </si>
  <si>
    <t>100137325TG</t>
  </si>
  <si>
    <t>733004747397</t>
  </si>
  <si>
    <t>First Impressions Baby Boys Snowboard Toss Jogge Washed Indigo 12 months</t>
  </si>
  <si>
    <t>766370866126</t>
  </si>
  <si>
    <t>First Impressions Toddler Girls Print Bow-Ankle Peppermint Palm 4T</t>
  </si>
  <si>
    <t>766370866171</t>
  </si>
  <si>
    <t>First Impressions Toddler Girls Print Bow-Ankle Blue Shells 3T</t>
  </si>
  <si>
    <t>100150097TG</t>
  </si>
  <si>
    <t>766380220413</t>
  </si>
  <si>
    <t>First Impressions Toddler Boys Colorblocked T-Sh Safflower 2T</t>
  </si>
  <si>
    <t>733003133481</t>
  </si>
  <si>
    <t>First Impressions Baby Girls Dot-Print Ribbed Le Faintest Pink 12 months</t>
  </si>
  <si>
    <t>100121181BG</t>
  </si>
  <si>
    <t>766370864627</t>
  </si>
  <si>
    <t>First Impressions Toddler Girls Palm-Print Bike Sweet Berry 4T</t>
  </si>
  <si>
    <t>766380218205</t>
  </si>
  <si>
    <t>First Impressions Baby Boys Pocket Shorts Safflower 12 months</t>
  </si>
  <si>
    <t>766370860612</t>
  </si>
  <si>
    <t>First Impressions Toddler Girls Floral Toucans T Peppermintfrost 3T</t>
  </si>
  <si>
    <t>100150073TG</t>
  </si>
  <si>
    <t>762120858700</t>
  </si>
  <si>
    <t>ID Ideology Toddler Little Boys Core Tan Indigo Sea 4T</t>
  </si>
  <si>
    <t>766380211435</t>
  </si>
  <si>
    <t>First Impressions Baby Girls Floral-Print Tunic Blush Pink 24 months</t>
  </si>
  <si>
    <t>766360135607</t>
  </si>
  <si>
    <t>First Impressions Toddler Girls Daisy-Print Bloo Apple Blossom 3T</t>
  </si>
  <si>
    <t>766380218267</t>
  </si>
  <si>
    <t>First Impressions Baby Boys Solid Shorts Blue Poppy 12 months</t>
  </si>
  <si>
    <t>733004884368</t>
  </si>
  <si>
    <t>First Impressions Baby Girls Cotton Ruffle-Trim Blossom Mist 0-3 months</t>
  </si>
  <si>
    <t>100136260BG</t>
  </si>
  <si>
    <t>733003610753</t>
  </si>
  <si>
    <t>First Impressions Baby Girl UNICORN VELOUR TEE Angora Pink 24 months</t>
  </si>
  <si>
    <t>100101628BG</t>
  </si>
  <si>
    <t>762120497886</t>
  </si>
  <si>
    <t>First Impressions Baby Girls Floral-Print Tunic Bright White 24 months</t>
  </si>
  <si>
    <t>100141106BG</t>
  </si>
  <si>
    <t>762120126755</t>
  </si>
  <si>
    <t>First Impressions Baby Boys Tiny Stripe Long-Sle Berry Blue Heather 24 months</t>
  </si>
  <si>
    <t>100136318BB</t>
  </si>
  <si>
    <t>733003613693</t>
  </si>
  <si>
    <t>First Impressions Baby Girls Party Striped Cotto Medieval Blue 18 months</t>
  </si>
  <si>
    <t>100133905BG</t>
  </si>
  <si>
    <t>80538129770</t>
  </si>
  <si>
    <t>Trimfit Big Girls 4-Pk Hearts Stripe Light Pink Medium-Large</t>
  </si>
  <si>
    <t>733004884313</t>
  </si>
  <si>
    <t>First Impressions Baby Boys Fox Family Long Slee Barely Blue 0-3 months</t>
  </si>
  <si>
    <t>100136258BB</t>
  </si>
  <si>
    <t>762120126922</t>
  </si>
  <si>
    <t>First Impressions Baby Boys Polo Cherry Flame 3-6 months</t>
  </si>
  <si>
    <t>100138628BB</t>
  </si>
  <si>
    <t>766360133658</t>
  </si>
  <si>
    <t>First Impressions Baby Girls Eyelet Shorts Green Brilliance 3-6 months</t>
  </si>
  <si>
    <t>766380215167</t>
  </si>
  <si>
    <t>First Impressions Baby Boys Colorblocked Shirt Navy Nautical 24 months</t>
  </si>
  <si>
    <t>766360158200</t>
  </si>
  <si>
    <t>First Impressions Baby Girls Eyelet Shorts Ski Patrol 12 months</t>
  </si>
  <si>
    <t>733002003402</t>
  </si>
  <si>
    <t>First Impressions JERSEY POLO Bright White - 100 Bright White 18 months</t>
  </si>
  <si>
    <t>733003616977</t>
  </si>
  <si>
    <t>First Impressions VELOUR LEGGING Faintest Pink 24 months</t>
  </si>
  <si>
    <t>766380212524</t>
  </si>
  <si>
    <t>First Impressions Baby Girl RUFFLE BACK LEGGING Blue Poppy 6-9 months</t>
  </si>
  <si>
    <t>733004919923</t>
  </si>
  <si>
    <t>First Impressions Baby Girls Solid Ruffle-Hem Le Sundrop Yellow 24 months</t>
  </si>
  <si>
    <t>733004919336</t>
  </si>
  <si>
    <t>First Impressions SNOWFAKE SWEETIE LEGGING Washed Indigo 18 months</t>
  </si>
  <si>
    <t>766380211787</t>
  </si>
  <si>
    <t>First Impressions Toddler Girls Wild Free Top Hthr Sterling 2T</t>
  </si>
  <si>
    <t>766360150587</t>
  </si>
  <si>
    <t>First Impressions Toddler Girls Peplum Cotton Tu Light Grey Hthr 3T</t>
  </si>
  <si>
    <t>766360150655</t>
  </si>
  <si>
    <t>First Impressions Toddler Girls Peplum Cotton Tu Bright White 4T</t>
  </si>
  <si>
    <t>766380214269</t>
  </si>
  <si>
    <t>First Impressions Baby Boys Go Sk8 Shirt Snow Owl Hthr 12 months</t>
  </si>
  <si>
    <t>766370863552</t>
  </si>
  <si>
    <t>First Impressions Baby Girls Lettuce Hem Bike Sh Lime Boost 3-6 months</t>
  </si>
  <si>
    <t>766360158934</t>
  </si>
  <si>
    <t>First Impressions Baby Girls Tie Dye Biker Short Bright White 18 months</t>
  </si>
  <si>
    <t>766370863569</t>
  </si>
  <si>
    <t>First Impressions Baby Girls Lettuce Hem Bike Sh Lime Boost 6-9 months</t>
  </si>
  <si>
    <t>766360158736</t>
  </si>
  <si>
    <t>First Impressions Baby Girls Floral-Print Biker Sodalite Blue 12 months</t>
  </si>
  <si>
    <t>766380216027</t>
  </si>
  <si>
    <t>First Impressions Baby Boys Colorblocked T-Shirt Safflower 18 months</t>
  </si>
  <si>
    <t>733004740855</t>
  </si>
  <si>
    <t>First Impressions Baby Girls Sweet Sprinkles Top Sunset FLamingo 6-9 months</t>
  </si>
  <si>
    <t>100138701BG</t>
  </si>
  <si>
    <t>732999822874</t>
  </si>
  <si>
    <t>First Impressions Baby Girls Giraffe Bow Back To Rich Periwinkle 12 months</t>
  </si>
  <si>
    <t>100092659BG</t>
  </si>
  <si>
    <t>766360132910</t>
  </si>
  <si>
    <t>First Impressions Baby Girls Love Everyone Flutt Light Grey Hthr 12 months</t>
  </si>
  <si>
    <t>100141126BG</t>
  </si>
  <si>
    <t>766370869783</t>
  </si>
  <si>
    <t>First Impressions Baby Boys Summer Graphic T-Shi Orange Surf 18 months</t>
  </si>
  <si>
    <t>766370860131</t>
  </si>
  <si>
    <t>First Impressions Baby Girls Flutter Tunic Lime Boost 3-6 months</t>
  </si>
  <si>
    <t>766370860322</t>
  </si>
  <si>
    <t>First Impressions Baby Girls Flutter Tunic Lime Boost 24 months</t>
  </si>
  <si>
    <t>766370869325</t>
  </si>
  <si>
    <t>First Impressions Baby Boys Mini Surfers Tank Teal Patina 12 months</t>
  </si>
  <si>
    <t>100148750BB</t>
  </si>
  <si>
    <t>766360159863</t>
  </si>
  <si>
    <t>First Impressions Baby Boy FLAG TANK Slate Hthr 24 months</t>
  </si>
  <si>
    <t>194135673274</t>
  </si>
  <si>
    <t>DRAFT - DECEMBER SETS W21 K2 Assorted 3T</t>
  </si>
  <si>
    <t>2M698610</t>
  </si>
  <si>
    <t>194170434571</t>
  </si>
  <si>
    <t>Rare Editions Baby Girls Thermal Top with Pr Mauve 3-6 months</t>
  </si>
  <si>
    <t>194170439552</t>
  </si>
  <si>
    <t>Rare Editions Big Girls Ruffle Top and Print Orange 6-9 months</t>
  </si>
  <si>
    <t>F895972</t>
  </si>
  <si>
    <t>745644744797</t>
  </si>
  <si>
    <t>Little Me Boys Crab Long0Sleeve Rash Gua Blue 12 months</t>
  </si>
  <si>
    <t>LWK11565I</t>
  </si>
  <si>
    <t>191539882455</t>
  </si>
  <si>
    <t>Bonnie Baby Baby Girls Short Sleeved Mash Pink 12 months</t>
  </si>
  <si>
    <t>9357754817707</t>
  </si>
  <si>
    <t>COTTON ON DNU - COTTON ON Baby Boys USA Lcn Bra Rusty Aqua Wash, Tupac 6-9 months</t>
  </si>
  <si>
    <t>7342840-01</t>
  </si>
  <si>
    <t>194135945814</t>
  </si>
  <si>
    <t>Carters Carters Baby Girls 4-Piece Sn Print 12 months</t>
  </si>
  <si>
    <t>1M975910</t>
  </si>
  <si>
    <t>194496563986</t>
  </si>
  <si>
    <t>Nike Nike Big Boys Dri-Fit Trophy T Black, White M PLUS</t>
  </si>
  <si>
    <t>194496563993</t>
  </si>
  <si>
    <t>Nike Nike Big Boys Dri-Fit Trophy T Black, White L PLUS</t>
  </si>
  <si>
    <t>716703295</t>
  </si>
  <si>
    <t>DRAFT - TODDLER GIRL PEPPA PIG Purple 2T</t>
  </si>
  <si>
    <t>K219461PP</t>
  </si>
  <si>
    <t>KOMAR KIDS LLC GIRLS</t>
  </si>
  <si>
    <t>194870757703</t>
  </si>
  <si>
    <t>adidas Baby Neutral Short Sleeve 3-St Team Royal Blue 9 months</t>
  </si>
  <si>
    <t>AM1042</t>
  </si>
  <si>
    <t>22253220271</t>
  </si>
  <si>
    <t>Baby Starters Baby Starters Baby Girls 2 Pi Turquoise 12 months</t>
  </si>
  <si>
    <t>A4763203</t>
  </si>
  <si>
    <t>194134404244</t>
  </si>
  <si>
    <t>DRAFT - Koala Baby Boys Footie Navy 0-3 months</t>
  </si>
  <si>
    <t>RN40199</t>
  </si>
  <si>
    <t>733001043522</t>
  </si>
  <si>
    <t>DRAFT - ID TERRY SHORT BIG BOY Wavy Flag Noir S</t>
  </si>
  <si>
    <t>194133484124</t>
  </si>
  <si>
    <t>DRAFT - DEL F20 orange legend Ltpas Gry 5</t>
  </si>
  <si>
    <t>3J286310</t>
  </si>
  <si>
    <t>195861097976</t>
  </si>
  <si>
    <t>Carters Baby Girls 2-Pc. Stripe Bodysu Yellow 3 months</t>
  </si>
  <si>
    <t>7620207520809</t>
  </si>
  <si>
    <t>GUESS Baby Boys and Girls Printed Lo Frosted Blue 12 months</t>
  </si>
  <si>
    <t>H1YW13KA6W0</t>
  </si>
  <si>
    <t>195861147152</t>
  </si>
  <si>
    <t>Carters Carters Baby Girls Jersey Tan Orange 6 months</t>
  </si>
  <si>
    <t>195861147121</t>
  </si>
  <si>
    <t>Carters Carters Baby Girls Jersey Tan Orange 18 months</t>
  </si>
  <si>
    <t>195861118398</t>
  </si>
  <si>
    <t>Carters Carters Baby Boys Surf Dinosa Purple 18 months</t>
  </si>
  <si>
    <t>195861118480</t>
  </si>
  <si>
    <t>Carters Carters Baby Boys Striped Poc Stripe 3 months</t>
  </si>
  <si>
    <t>195861088639</t>
  </si>
  <si>
    <t>Carters Carters Baby Boys Dinosaur Ta Navy 12 months</t>
  </si>
  <si>
    <t>1N615110</t>
  </si>
  <si>
    <t>195861151777</t>
  </si>
  <si>
    <t>Carters Carters Baby Girls Printed Bi Pineapple 3 months</t>
  </si>
  <si>
    <t>762120126977</t>
  </si>
  <si>
    <t>First Impressions Baby Boys Polo Sunset Flamingo 3-6 months</t>
  </si>
  <si>
    <t>800773657056</t>
  </si>
  <si>
    <t>Lauren Ralph Lauren Little Boys Solid Suit Jacket Black 6</t>
  </si>
  <si>
    <t>JLAY11PAJ002</t>
  </si>
  <si>
    <t>6 REG/MED</t>
  </si>
  <si>
    <t>800773657032</t>
  </si>
  <si>
    <t>Lauren Ralph Lauren Little Boys Solid Suit Jacket Black 4</t>
  </si>
  <si>
    <t>4AVGREGMED</t>
  </si>
  <si>
    <t>885031541674</t>
  </si>
  <si>
    <t>Polo Ralph Lauren Big Boys Traveler Swim Trunk Blue, Green, Orange, Gingham M L 1416</t>
  </si>
  <si>
    <t>885031287398</t>
  </si>
  <si>
    <t>Polo Ralph Lauren Big Boys Cotton Interlock Quar Medium Flannel Heather S 810</t>
  </si>
  <si>
    <t>MADE IN GUATEMALA</t>
  </si>
  <si>
    <t>884733312803</t>
  </si>
  <si>
    <t>Polo Ralph Lauren Big Boys Frayed Denim Shorts Finn Wash White 7</t>
  </si>
  <si>
    <t>883288013210</t>
  </si>
  <si>
    <t>Polo Ralph Lauren Big Boys Camo Short Surplus Camo L</t>
  </si>
  <si>
    <t>887685991423</t>
  </si>
  <si>
    <t>Polo Ralph Lauren Big Boys Striped Waffle-Knit L Spring Navy Heather, Oatmeal H XL 1820</t>
  </si>
  <si>
    <t>660168668360</t>
  </si>
  <si>
    <t>Touched by Nature Touched by Nature Baby Boy and Rosebud 9-12 months</t>
  </si>
  <si>
    <t>66833XL</t>
  </si>
  <si>
    <t>79092017838</t>
  </si>
  <si>
    <t>Baby Deer Baby Deer Baby Girl PU Skimmer Multi 3M</t>
  </si>
  <si>
    <t>100% POLYURETHANE</t>
  </si>
  <si>
    <t>194870823118</t>
  </si>
  <si>
    <t>adidas Toddler Boys Zip Front Event T Black with Collegiate Green 3T</t>
  </si>
  <si>
    <t>AG6337C</t>
  </si>
  <si>
    <t>193105386701</t>
  </si>
  <si>
    <t>adidas adidas Boys 3 Stripes Long Sle Blackwhite L 1416</t>
  </si>
  <si>
    <t>FM5656</t>
  </si>
  <si>
    <t>100% COTTON SINGLE JERSEY</t>
  </si>
  <si>
    <t>194931240250</t>
  </si>
  <si>
    <t>Calvin Klein Calvin Klein Big Boys Bottom B Navy M 1012</t>
  </si>
  <si>
    <t>CTFEF01F-430</t>
  </si>
  <si>
    <t>194931240236</t>
  </si>
  <si>
    <t>Calvin Klein Calvin Klein Big Boys Bottom B Deep Black XL 1820</t>
  </si>
  <si>
    <t>CTFEF01F-002</t>
  </si>
  <si>
    <t>194931288306</t>
  </si>
  <si>
    <t>Nautica Nautica Baby Boys 4-Piece Line Light Khaki 12 months</t>
  </si>
  <si>
    <t>NDSFR09C-237</t>
  </si>
  <si>
    <t>766370879201</t>
  </si>
  <si>
    <t>First Impressions Toddler Girls 2-Pc. Tie-Dyed T Pink Fancy 3T</t>
  </si>
  <si>
    <t>766370879218</t>
  </si>
  <si>
    <t>First Impressions Toddler Girls 2-Pc. Tie-Dyed T Pink Fancy 4T</t>
  </si>
  <si>
    <t>191539906489</t>
  </si>
  <si>
    <t>Bonnie Baby Baby Girls Sleeveless Multi Co Denim 12 months</t>
  </si>
  <si>
    <t>194870451427</t>
  </si>
  <si>
    <t>adidas Big Girls Aeroready Allover Pr Grey with Green XL 1820</t>
  </si>
  <si>
    <t>AK4765</t>
  </si>
  <si>
    <t>194870755679</t>
  </si>
  <si>
    <t>adidas Baby Boys Printed T-shirt and White 18 months</t>
  </si>
  <si>
    <t>AG6367N</t>
  </si>
  <si>
    <t>195238006549</t>
  </si>
  <si>
    <t>Nike Nike Big Boys Short-Sleeve Tra Chlorine Blue, Imperial Blue XL 1820</t>
  </si>
  <si>
    <t>733003189198</t>
  </si>
  <si>
    <t>First Impressions Toddler Girls Heart Plush Coat Horizon Blue 4T</t>
  </si>
  <si>
    <t>100100154TG</t>
  </si>
  <si>
    <t>886785498818</t>
  </si>
  <si>
    <t>CB Sports CB Sports Toddler Boys Puffer Navyredwhite 4T</t>
  </si>
  <si>
    <t>762120263436</t>
  </si>
  <si>
    <t>Epic Threads Epic Threads Big Girls Heart P Cherry Flame M 10</t>
  </si>
  <si>
    <t>100140180GR</t>
  </si>
  <si>
    <t>195958408418</t>
  </si>
  <si>
    <t>Calvin Klein Calvin Klein Performance Big G Black XL 16</t>
  </si>
  <si>
    <t>807421500061</t>
  </si>
  <si>
    <t>Nike Nike Baby Boy Thrill Footless Navy 0-3 months</t>
  </si>
  <si>
    <t>56J184G</t>
  </si>
  <si>
    <t>191539904041</t>
  </si>
  <si>
    <t>Bonnie Baby Baby Girls Sleeveless Seersuck Navy 3-6 months</t>
  </si>
  <si>
    <t>195958408227</t>
  </si>
  <si>
    <t>Calvin Klein Calvin Klein Performance Big G Black L 1214</t>
  </si>
  <si>
    <t>CASFC06S-001</t>
  </si>
  <si>
    <t>196027168080</t>
  </si>
  <si>
    <t>AME Baby Boys Mandalorian Pajama, Assorted 24 months</t>
  </si>
  <si>
    <t>195958544369</t>
  </si>
  <si>
    <t>Tommy Hilfiger Tommy Hilfiger Baby Boys Ragla Blue 18 months</t>
  </si>
  <si>
    <t>195958585799</t>
  </si>
  <si>
    <t>Tommy Hilfiger Tommy Hilfiger Big Boys Pieced Nebulas Blue XL 20</t>
  </si>
  <si>
    <t>TBSFK07F-451</t>
  </si>
  <si>
    <t>195958397798</t>
  </si>
  <si>
    <t>Tommy Hilfiger Tommy Hilfiger Baby Girls Sign Navy 24M</t>
  </si>
  <si>
    <t>195958350731</t>
  </si>
  <si>
    <t>Calvin Klein Calvin Klein Baby Girls Flutte Blue 12 months</t>
  </si>
  <si>
    <t>195958342767</t>
  </si>
  <si>
    <t>Calvin Klein Calvin Klein Baby Girls Eyelet White 24 months</t>
  </si>
  <si>
    <t>3M02119-99</t>
  </si>
  <si>
    <t>196179320770</t>
  </si>
  <si>
    <t>Bioworld Jojo Backpack, 5 Piece Set Pink ONE SIZE</t>
  </si>
  <si>
    <t>B1G1KZ8NICMM</t>
  </si>
  <si>
    <t>195861083214</t>
  </si>
  <si>
    <t>Carters Carters Baby Boys 4-Piece Snu Print 12 months</t>
  </si>
  <si>
    <t>195240913330</t>
  </si>
  <si>
    <t>Nike Nike Big Boys Sportswear T-shi White L 1416</t>
  </si>
  <si>
    <t>DJ6618</t>
  </si>
  <si>
    <t>196027140956</t>
  </si>
  <si>
    <t>LOL Surprise Little Girls Lol Surprise Nigh Assorted 4</t>
  </si>
  <si>
    <t>795459887769</t>
  </si>
  <si>
    <t>Breaking Waves Big Girls 2-Pc. Washed Out Flo Multi 12</t>
  </si>
  <si>
    <t>MBW371007</t>
  </si>
  <si>
    <t>SHELL: NYLON/SPANDEX; LINING: POLYESTER</t>
  </si>
  <si>
    <t>195958416024</t>
  </si>
  <si>
    <t>Nautica Nautica Baby Boys Striped Polo Blue 12M</t>
  </si>
  <si>
    <t>62M72012-99</t>
  </si>
  <si>
    <t>733003189280</t>
  </si>
  <si>
    <t>First Impressions Baby Girl Leopard Faux Fur Coa Raw Brown 6-9 months</t>
  </si>
  <si>
    <t>100107967BG</t>
  </si>
  <si>
    <t>FIRST IMPRESSIONS-EDI/TOPSVILLE</t>
  </si>
  <si>
    <t>195958476806</t>
  </si>
  <si>
    <t>Calvin Klein Calvin Klein Baby Girls Logo P White, Black 0-3 months</t>
  </si>
  <si>
    <t>3M80079-99</t>
  </si>
  <si>
    <t>733003707231</t>
  </si>
  <si>
    <t>Epic Threads Epic Threads Toddler Girls Bas Leopard, Pink, Black 3T</t>
  </si>
  <si>
    <t>889799988276</t>
  </si>
  <si>
    <t>AME The Mandalorian Little Boys 2- Assorted 6</t>
  </si>
  <si>
    <t>UT059BLLMA</t>
  </si>
  <si>
    <t>194514384715</t>
  </si>
  <si>
    <t>Under Armour Under Armour Big Boys Prototyp Oxford XLarge</t>
  </si>
  <si>
    <t>195861154204</t>
  </si>
  <si>
    <t>Carters Carters Baby Boys 2-Piece Fir Yellow 6 months</t>
  </si>
  <si>
    <t>194257872081</t>
  </si>
  <si>
    <t>Champion Toddler Girls All Over Print T White, Aruba Blue 4T</t>
  </si>
  <si>
    <t>196027134016</t>
  </si>
  <si>
    <t>Disney Princess Little Girls Disney Princess T Assorted 6</t>
  </si>
  <si>
    <t>196027140901</t>
  </si>
  <si>
    <t>Disney Princess Big Girls Frozen Pajama, 2 Pie Assorted 10</t>
  </si>
  <si>
    <t>195861110422</t>
  </si>
  <si>
    <t>Carters Big Girls 2-Pc. Tropical-Print Print 6</t>
  </si>
  <si>
    <t>3N709410</t>
  </si>
  <si>
    <t>195958612686</t>
  </si>
  <si>
    <t>Kids Headquarters Kids Headquarters Baby Girls P White 24M</t>
  </si>
  <si>
    <t>11M02021-99</t>
  </si>
  <si>
    <t>195958009073</t>
  </si>
  <si>
    <t>Kids Headquarters Kids Headquarters Baby Boy Fle Red 24 months</t>
  </si>
  <si>
    <t>195958553682</t>
  </si>
  <si>
    <t>Tommy Hilfiger Tommy Hilfiger Big Girls Logo- Navy Blazer M 810</t>
  </si>
  <si>
    <t>733003642563</t>
  </si>
  <si>
    <t>ID Ideology Big Girls Rainbow-Stripe Fleec Indigo Sea M 1012</t>
  </si>
  <si>
    <t>766360145637</t>
  </si>
  <si>
    <t>First Impressions Baby Boys 2-Pk. Seafarer Strip Light Grey Hthr Newborn</t>
  </si>
  <si>
    <t>100141546BB</t>
  </si>
  <si>
    <t>696114450338</t>
  </si>
  <si>
    <t>Max Olivia Big Boys T-shirt and Shorts Pa Gray L 1214</t>
  </si>
  <si>
    <t>696114463611</t>
  </si>
  <si>
    <t>Sleep On It Big Boys Tank Top and Shorts P Navy L 1214</t>
  </si>
  <si>
    <t>696114450987</t>
  </si>
  <si>
    <t>Max Olivia Big Girls T-shirt and Shorts w Yellow 1012</t>
  </si>
  <si>
    <t>195958481756</t>
  </si>
  <si>
    <t>Tommy Hilfiger Tommy Hilfiger Baby Boys Sleev Navy 6-9 months</t>
  </si>
  <si>
    <t>61M90066-99</t>
  </si>
  <si>
    <t>640013924186</t>
  </si>
  <si>
    <t>Univibe Big Boys Roseburg Pieced Knit Black Medium</t>
  </si>
  <si>
    <t>UB2201046</t>
  </si>
  <si>
    <t>196258086825</t>
  </si>
  <si>
    <t>Maidenform Big Girls 3-Pack Cropped Br Heartwhiterose S 68</t>
  </si>
  <si>
    <t>195958494060</t>
  </si>
  <si>
    <t>Kids Headquarters Kids Headquarters Baby Boys Sh Green 18 months</t>
  </si>
  <si>
    <t>10M72005-99</t>
  </si>
  <si>
    <t>696114426852</t>
  </si>
  <si>
    <t>Sleep On It Little Boys Tight Fit Pajama S Multi 4</t>
  </si>
  <si>
    <t>194870748596</t>
  </si>
  <si>
    <t>adidas Little Girls Sleeveless Front White 6X</t>
  </si>
  <si>
    <t>191655040661</t>
  </si>
  <si>
    <t>Chickpea Baby Boys 4-Pc. T-Shirts Sho Navy 18 months</t>
  </si>
  <si>
    <t>HE23210356</t>
  </si>
  <si>
    <t>191655040654</t>
  </si>
  <si>
    <t>Chickpea Baby Boys 4-Pc. T-Shirts Sho Navy 12 months</t>
  </si>
  <si>
    <t>194135879201</t>
  </si>
  <si>
    <t>First Impressions Toddler Girls Eyelet Ruffle Sh Bright White 3T</t>
  </si>
  <si>
    <t>196258077854</t>
  </si>
  <si>
    <t>Maidenform Little Big Girls Tie-Dye Hip Ltpasblue L 1416</t>
  </si>
  <si>
    <t>196258077885</t>
  </si>
  <si>
    <t>Maidenform Little Big Girls Tie-Dye Hip Ltpasblue M 78</t>
  </si>
  <si>
    <t>733002944460</t>
  </si>
  <si>
    <t>Epic Threads Little Boys Camo Pocket Basic Deep Black 7</t>
  </si>
  <si>
    <t>766380211312</t>
  </si>
  <si>
    <t>First Impressions Baby Girls Heart-Print Peplum Snow Owl Hthr 6-9 months</t>
  </si>
  <si>
    <t>46094834503</t>
  </si>
  <si>
    <t>Maidenform Girls Seamless Bandeau Bra Pink Hue XL 1820</t>
  </si>
  <si>
    <t>196258077892</t>
  </si>
  <si>
    <t>Maidenform Little Big Girls Tie-Dye Hip White S 68</t>
  </si>
  <si>
    <t>196258077830</t>
  </si>
  <si>
    <t>Maidenform Little Big Girls Tie-Dye Hip White L 1416</t>
  </si>
  <si>
    <t>733004748691</t>
  </si>
  <si>
    <t>First Impressions Toddler Boy Monster Party T-Sh Slate Heather 2T</t>
  </si>
  <si>
    <t>100138647TB</t>
  </si>
  <si>
    <t>766360133207</t>
  </si>
  <si>
    <t>First Impressions Baby Girls Bloom Plaid Peplum Bright White 18 months</t>
  </si>
  <si>
    <t>100141129BG</t>
  </si>
  <si>
    <t>766360133214</t>
  </si>
  <si>
    <t>First Impressions Baby Girls Bloom Plaid Peplum Bright White 24 months</t>
  </si>
  <si>
    <t>766370861039</t>
  </si>
  <si>
    <t>First Impressions Baby Girls Tropical-Print Tuni Deep Black 12 months</t>
  </si>
  <si>
    <t>766360160722</t>
  </si>
  <si>
    <t>First Impressions Toddler Boys Tie-Dye T-Shirt Sodalite Blue 4T</t>
  </si>
  <si>
    <t>766360160692</t>
  </si>
  <si>
    <t>First Impressions Toddler Boys Tie-Dye T-Shirt Sodalite Blue 2T</t>
  </si>
  <si>
    <t>762120497084</t>
  </si>
  <si>
    <t>First Impressions Toddler Girls Graphic Shirt Shell Pink 4T</t>
  </si>
  <si>
    <t>100141053TG</t>
  </si>
  <si>
    <t>762120497077</t>
  </si>
  <si>
    <t>First Impressions Toddler Girls Graphic Shirt Shell Pink 3T</t>
  </si>
  <si>
    <t>766360158019</t>
  </si>
  <si>
    <t>First Impressions Baby Girls Tie Dye Tunic Shirt Bright White 12 months</t>
  </si>
  <si>
    <t>762120497237</t>
  </si>
  <si>
    <t>First Impressions Toddler Girls Flutter Floral-G Spacious Skies 2T</t>
  </si>
  <si>
    <t>100141326TG</t>
  </si>
  <si>
    <t>733001668718</t>
  </si>
  <si>
    <t>First Impressions Baby Boys Long-Sleeve Tie Su Snow Owl Hthr 6-9 months</t>
  </si>
  <si>
    <t>733001668725</t>
  </si>
  <si>
    <t>First Impressions Baby Boys Long-Sleeve Tie Su Snow Owl Hthr 18 months</t>
  </si>
  <si>
    <t>733001668732</t>
  </si>
  <si>
    <t>First Impressions Baby Boys Long-Sleeve Tie Su Snow Owl Hthr 24 months</t>
  </si>
  <si>
    <t>193666517873</t>
  </si>
  <si>
    <t>Maidenform Maidenform Big Girls Printed S Knckoutpk L 1416</t>
  </si>
  <si>
    <t>766360132880</t>
  </si>
  <si>
    <t>First Impressions Baby Girls Tweety Sisters T-Sh Shell Pink 18 months</t>
  </si>
  <si>
    <t>100141125BG</t>
  </si>
  <si>
    <t>766360132859</t>
  </si>
  <si>
    <t>First Impressions Baby Girls Tweety Sisters T-Sh Shell Pink 3-6 months</t>
  </si>
  <si>
    <t>766360132866</t>
  </si>
  <si>
    <t>First Impressions Baby Girls Tweety Sisters T-Sh Shell Pink 6-9 months</t>
  </si>
  <si>
    <t>762120496209</t>
  </si>
  <si>
    <t>First Impressions Baby Boy Bowtie Shirt Spring Daffodil 24 months</t>
  </si>
  <si>
    <t>100141399BB</t>
  </si>
  <si>
    <t>762120496452</t>
  </si>
  <si>
    <t>First Impressions Baby Girl Berry Bundles-Print Bright White 6-9 months</t>
  </si>
  <si>
    <t>766360158767</t>
  </si>
  <si>
    <t>First Impressions Baby Girls Floral-Print Biker Sodalite Blue 18 months</t>
  </si>
  <si>
    <t>762120497428</t>
  </si>
  <si>
    <t>First Impressions Baby Girls Mama Duck-Graphic S Apple Blossom 3-6 months</t>
  </si>
  <si>
    <t>100141051BG</t>
  </si>
  <si>
    <t>762120497510</t>
  </si>
  <si>
    <t>First Impressions Baby Girls Mama Duck-Graphic S Apple Blossom 6-9 months</t>
  </si>
  <si>
    <t>766360149529</t>
  </si>
  <si>
    <t>First Impressions Baby Girls Tunic Shirt Spacious Skies 18 months</t>
  </si>
  <si>
    <t>762120497558</t>
  </si>
  <si>
    <t>First Impressions Baby Girls Graphic-Print Shirt Shell Pink 3-6 months</t>
  </si>
  <si>
    <t>100141053BG</t>
  </si>
  <si>
    <t>762120498272</t>
  </si>
  <si>
    <t>First Impressions Baby Girls Floral Flutter-Grap Spacious Skies 3-6 months</t>
  </si>
  <si>
    <t>195861377610</t>
  </si>
  <si>
    <t>Carters Carters Baby Girls and Boys T White ONE SIZE</t>
  </si>
  <si>
    <t>1N989710</t>
  </si>
  <si>
    <t>46094635858</t>
  </si>
  <si>
    <t>Maidenform Seamless Hipster Underwear, Bi Natural XL 1416</t>
  </si>
  <si>
    <t>M4101</t>
  </si>
  <si>
    <t>NYLON/SPANDEX; GUSSET: NYLON/COTTON/SPANDEX</t>
  </si>
  <si>
    <t>733003907471</t>
  </si>
  <si>
    <t>First Impressions Baby Girls Solid Tights Cherry Red 0-6 months</t>
  </si>
  <si>
    <t>100103065BG</t>
  </si>
  <si>
    <t>FIRST IMPRESSIONS-EDI/CRYSTAL HOS</t>
  </si>
  <si>
    <t>191539949059</t>
  </si>
  <si>
    <t>Bonnie Baby Baby Girls Short Sleeved Bow F Burgundy 6-9 months</t>
  </si>
  <si>
    <t>191539919892</t>
  </si>
  <si>
    <t>Bonnie Baby Baby Girls Floral Printed Smoc Tan 6-9 months</t>
  </si>
  <si>
    <t>191539919885</t>
  </si>
  <si>
    <t>Bonnie Baby Baby Girls Floral Printed Smoc Tan 3-6 months</t>
  </si>
  <si>
    <t>807421843953</t>
  </si>
  <si>
    <t>PULL ON DENIM SKIRT</t>
  </si>
  <si>
    <t>41E366F</t>
  </si>
  <si>
    <t>191539917843</t>
  </si>
  <si>
    <t>Bonnie Baby Baby Girls Three Quarter Sleev Ivory 3-6 months</t>
  </si>
  <si>
    <t>191539917836</t>
  </si>
  <si>
    <t>Bonnie Baby Baby Girls Three Quarter Sleev Ivory 24 months</t>
  </si>
  <si>
    <t>807421826444</t>
  </si>
  <si>
    <t>DRAFT - Levis Spring Chill Sh Truth Unfolds 4</t>
  </si>
  <si>
    <t>31E612F</t>
  </si>
  <si>
    <t>807421823443</t>
  </si>
  <si>
    <t>HR SHORT</t>
  </si>
  <si>
    <t>31E358F</t>
  </si>
  <si>
    <t>194135946781</t>
  </si>
  <si>
    <t>Carters Big Boys 4-Piece Breakfast Snu Print 12</t>
  </si>
  <si>
    <t>3M988510</t>
  </si>
  <si>
    <t>652874407449</t>
  </si>
  <si>
    <t>2 PC SET HALTER TOP</t>
  </si>
  <si>
    <t>E4741D99GD50</t>
  </si>
  <si>
    <t>194135922563</t>
  </si>
  <si>
    <t>Carters Little Big Girls Cotton Twis Blue 10</t>
  </si>
  <si>
    <t>3N101410</t>
  </si>
  <si>
    <t>195861105572</t>
  </si>
  <si>
    <t>Carters Big Girls 2-Pc. Tropical Flora Print 10</t>
  </si>
  <si>
    <t>696114452325</t>
  </si>
  <si>
    <t>Max Olivia Toddler Boys All Over Printed Blue 3T</t>
  </si>
  <si>
    <t>195861129301</t>
  </si>
  <si>
    <t>Carters Carters Toddler Boys Drawstri Beige 3T</t>
  </si>
  <si>
    <t>195861129325</t>
  </si>
  <si>
    <t>Carters Carters Toddler Boys Drawstri Beige 5T</t>
  </si>
  <si>
    <t>196027056035</t>
  </si>
  <si>
    <t>BABY SHARK 2 PC</t>
  </si>
  <si>
    <t>UI095ELLZA</t>
  </si>
  <si>
    <t>196027056059</t>
  </si>
  <si>
    <t>766360666361</t>
  </si>
  <si>
    <t>Epic Threads Epic Threads Big Girls Butterf Blush Pink M 1012</t>
  </si>
  <si>
    <t>100145141GR</t>
  </si>
  <si>
    <t>703022181381</t>
  </si>
  <si>
    <t>DEER STAGS DEER STAGS Drew Little Boys Wa Black, White 1M</t>
  </si>
  <si>
    <t>DREWHTEC</t>
  </si>
  <si>
    <t>DEER STAGS</t>
  </si>
  <si>
    <t>703022169761</t>
  </si>
  <si>
    <t>DEER STAGS DEER STAGS Big Boys Archer Jr Brown 5M</t>
  </si>
  <si>
    <t>ARCHJRHTEC</t>
  </si>
  <si>
    <t>882925112873</t>
  </si>
  <si>
    <t>Polo Ralph Lauren Baby Boys Mesh Polo Shirt and Race the Sea Royal 24 months</t>
  </si>
  <si>
    <t>882925875280</t>
  </si>
  <si>
    <t>Polo Ralph Lauren Baby Boys Big Pony Color-Block Adirondack Berry 6 months</t>
  </si>
  <si>
    <t>194976494625</t>
  </si>
  <si>
    <t>Steve Madden Steve Madden Big Boys Fashion Gray 5M</t>
  </si>
  <si>
    <t>BMAXIMAA</t>
  </si>
  <si>
    <t>93412504440</t>
  </si>
  <si>
    <t>Nina Shoes, Girls Seeley Mary Jane Black Patent 5.5W Youth</t>
  </si>
  <si>
    <t>SEELEY</t>
  </si>
  <si>
    <t>5.5 M</t>
  </si>
  <si>
    <t>PATENT LEATHER</t>
  </si>
  <si>
    <t>44214582785</t>
  </si>
  <si>
    <t>Sperry Boys or Little Boys Tevin Sh Dirty Buck 6 Youth</t>
  </si>
  <si>
    <t>SPERRY/WOLVERINE WORLD WIDE INC</t>
  </si>
  <si>
    <t>190618793606</t>
  </si>
  <si>
    <t>Polo Ralph Lauren Big Boys Rugby-Stripe Shorts Retreat Blue and Classic Oxfor M 1012</t>
  </si>
  <si>
    <t>194170374969</t>
  </si>
  <si>
    <t>Rare Editions Toddler Girls Metallic Lace Ca Mint 3T</t>
  </si>
  <si>
    <t>E794422</t>
  </si>
  <si>
    <t>190618966222</t>
  </si>
  <si>
    <t>Polo Ralph Lauren Big Boys Big Pony Jersey T-shi Sapphire Star S 810</t>
  </si>
  <si>
    <t>807421565756</t>
  </si>
  <si>
    <t>Jordan Jordan Big Boys Jumpman Elevat Black M 1012</t>
  </si>
  <si>
    <t>190618961845</t>
  </si>
  <si>
    <t>Polo Ralph Lauren Little Boys Big Pony Jersey T- Polo Black 6</t>
  </si>
  <si>
    <t>807421173937</t>
  </si>
  <si>
    <t>Jordan Jordan Toddler Boys Joggers Black 3T</t>
  </si>
  <si>
    <t>85B022G</t>
  </si>
  <si>
    <t>194170305475</t>
  </si>
  <si>
    <t>Rare Editions Baby Girls 2-Pc. Satin Striped Dark Green 18 months</t>
  </si>
  <si>
    <t>617847155369</t>
  </si>
  <si>
    <t>Levis Big Boys Slim-Fit Stretch Jean Indigo Canvas 20</t>
  </si>
  <si>
    <t>677838553246</t>
  </si>
  <si>
    <t>Nike Nike Toddler Boys Sportswear C Black 3T</t>
  </si>
  <si>
    <t>86G704G</t>
  </si>
  <si>
    <t>825663365002</t>
  </si>
  <si>
    <t>Jordan Jordan Big Girls Jumpman Satin Black Small</t>
  </si>
  <si>
    <t>45B514G</t>
  </si>
  <si>
    <t>JORDAN BIG/HADDAD APPAREL GROUP LTD</t>
  </si>
  <si>
    <t>807421282127</t>
  </si>
  <si>
    <t>Nike Baby Girls 2-Pc. Mini-Me Jacke Pink Foam 24 months</t>
  </si>
  <si>
    <t>16I369G</t>
  </si>
  <si>
    <t>195958723412</t>
  </si>
  <si>
    <t>Blueberi Boulevard Baby Girls Shrug Cardigan and Pink 24 months</t>
  </si>
  <si>
    <t>MAB11396</t>
  </si>
  <si>
    <t>194870455418</t>
  </si>
  <si>
    <t>adidas Big Boys Focus Joggers Collegiate Navy Heather XL 1820</t>
  </si>
  <si>
    <t>AK5801</t>
  </si>
  <si>
    <t>825663365026</t>
  </si>
  <si>
    <t>Jordan Jordan Big Girls Jumpman Satin Black Large</t>
  </si>
  <si>
    <t>194753904293</t>
  </si>
  <si>
    <t>Under Armour Under Armour Toddler Boys Logo Black 2T</t>
  </si>
  <si>
    <t>194870756591</t>
  </si>
  <si>
    <t>adidas Little Boys Winner Shorts, 2 P Charcoal Gray Heather 6</t>
  </si>
  <si>
    <t>AG6364C</t>
  </si>
  <si>
    <t>194870756157</t>
  </si>
  <si>
    <t>adidas Toddler Boys Game Time Short S Vivid Red 2T</t>
  </si>
  <si>
    <t>AG6363C</t>
  </si>
  <si>
    <t>194870895764</t>
  </si>
  <si>
    <t>adidas Toddler Boys Poly Graphic T-sh Sky Rush 2T</t>
  </si>
  <si>
    <t>194870755938</t>
  </si>
  <si>
    <t>adidas Little Boys Short Sleeve Cotto Medium Gray Heather 5</t>
  </si>
  <si>
    <t>194870755457</t>
  </si>
  <si>
    <t>adidas Little Boys French Terry T-Shi Black 4</t>
  </si>
  <si>
    <t>742728173856</t>
  </si>
  <si>
    <t>Levis Levis Big Boys Slim Fit Perfo Highlands 16</t>
  </si>
  <si>
    <t>742728173832</t>
  </si>
  <si>
    <t>Levis Levis Big Boys Slim Fit Perfo Highlands 12</t>
  </si>
  <si>
    <t>742728173849</t>
  </si>
  <si>
    <t>Levis Levis Big Boys Slim Fit Perfo Highlands 14</t>
  </si>
  <si>
    <t>742728173870</t>
  </si>
  <si>
    <t>Levis Levis Big Boys Slim Fit Perfo Highlands 20</t>
  </si>
  <si>
    <t>742728173863</t>
  </si>
  <si>
    <t>Levis Levis Big Boys Slim Fit Perfo Highlands 18</t>
  </si>
  <si>
    <t>193654753375</t>
  </si>
  <si>
    <t>Nike B NSW CLUB HBR SHORT FT Red M 1012</t>
  </si>
  <si>
    <t>CK0509</t>
  </si>
  <si>
    <t>742728166315</t>
  </si>
  <si>
    <t>Levis Levis Little Boys Slim Fit Pe Highlands 6</t>
  </si>
  <si>
    <t>81C770F</t>
  </si>
  <si>
    <t>742728166292</t>
  </si>
  <si>
    <t>Levis Levis Little Boys Slim Fit Pe Highlands 4</t>
  </si>
  <si>
    <t>742728166308</t>
  </si>
  <si>
    <t>Levis Levis Little Boys Slim Fit Pe Highlands 5</t>
  </si>
  <si>
    <t>742728166322</t>
  </si>
  <si>
    <t>Levis Levis Little Boys Slim Fit Pe Highlands 7</t>
  </si>
  <si>
    <t>807421526467</t>
  </si>
  <si>
    <t>Nike Nike Toddler Boys Dri-FIT Drop Black 2T</t>
  </si>
  <si>
    <t>807421526474</t>
  </si>
  <si>
    <t>Nike Nike Toddler Boys Dri-FIT Drop Black 3T</t>
  </si>
  <si>
    <t>807421759254</t>
  </si>
  <si>
    <t>Nike Nike Toddler Girls Colorful Bo Arctic Punch 2T</t>
  </si>
  <si>
    <t>26J214G</t>
  </si>
  <si>
    <t>85142434760</t>
  </si>
  <si>
    <t>PGA TOUR PGA TOUR Big Boys Flat Front P Tradewinds XL 1820</t>
  </si>
  <si>
    <t>PVBSCG9BDS</t>
  </si>
  <si>
    <t>PGA TOUR/SUPREME/PERRY ELLIS</t>
  </si>
  <si>
    <t>7628067301132</t>
  </si>
  <si>
    <t>GUESS Baby Boys Logo T-shirt and Fre Blue 0-3 months</t>
  </si>
  <si>
    <t>I2RG22K8HM0</t>
  </si>
  <si>
    <t>194870728628</t>
  </si>
  <si>
    <t>adidas Big Boys Elastic Waistband Ess Collegiate Navy XL 1820</t>
  </si>
  <si>
    <t>194870728611</t>
  </si>
  <si>
    <t>adidas Big Boys Elastic Waistband Ess Collegiate Navy L 1416</t>
  </si>
  <si>
    <t>194870728598</t>
  </si>
  <si>
    <t>adidas Big Boys Elastic Waistband Ess Collegiate Navy S 8</t>
  </si>
  <si>
    <t>85142434593</t>
  </si>
  <si>
    <t>PGA TOUR PGA TOUR Big Boys Asymmetrical Ombre Blue L 1416</t>
  </si>
  <si>
    <t>PVKSCG5BDS</t>
  </si>
  <si>
    <t>85142434609</t>
  </si>
  <si>
    <t>PGA TOUR PGA TOUR Big Boys Asymmetrical Ombre Blue XL 1820</t>
  </si>
  <si>
    <t>85142434562</t>
  </si>
  <si>
    <t>PGA TOUR PGA TOUR Big Boys Asymmetrical Turkish Sea XL 1820</t>
  </si>
  <si>
    <t>807421546502</t>
  </si>
  <si>
    <t>Nike Nike Little Boys Elite Dri-FIT Game Royal 7</t>
  </si>
  <si>
    <t>86J060G</t>
  </si>
  <si>
    <t>733004761201</t>
  </si>
  <si>
    <t>Epic Threads Big Girls Rainbow Pleated Skir Rainbow XL 1820</t>
  </si>
  <si>
    <t>100138539GR</t>
  </si>
  <si>
    <t>195958252295</t>
  </si>
  <si>
    <t>Tommy Hilfiger Big Boys Tonal Classic Logo on Red Planet XL 20</t>
  </si>
  <si>
    <t>TBTFB10F-614</t>
  </si>
  <si>
    <t>195958252264</t>
  </si>
  <si>
    <t>Tommy Hilfiger Big Boys Tonal Classic Logo on Red Planet L 1618</t>
  </si>
  <si>
    <t>733004951992</t>
  </si>
  <si>
    <t>First Impressions Baby Boys 3-Pc. Groovy Rash Gu Passion Blue 12 months</t>
  </si>
  <si>
    <t>196325161615</t>
  </si>
  <si>
    <t>Disney Little Girls My Little Pony Bi Multi 6X</t>
  </si>
  <si>
    <t>192042768595</t>
  </si>
  <si>
    <t>Nautica Husky Boys Lowell Stretch Mois Navy 18 Husky</t>
  </si>
  <si>
    <t>NUFCC468-410</t>
  </si>
  <si>
    <t>18 HUSKY</t>
  </si>
  <si>
    <t>807421763466</t>
  </si>
  <si>
    <t>Nike Nike Toddler Girls On The Spot Pink Foam 3T</t>
  </si>
  <si>
    <t>36J119G</t>
  </si>
  <si>
    <t>194870776568</t>
  </si>
  <si>
    <t>adidas Big Boys Elastic Waistband Bol Black M 1012</t>
  </si>
  <si>
    <t>22253139733</t>
  </si>
  <si>
    <t>Baby Starters Start Up Kids Baby Girls 3 Pi White-Pink 12 months</t>
  </si>
  <si>
    <t>A4581501</t>
  </si>
  <si>
    <t>H J RASHTI</t>
  </si>
  <si>
    <t>766370069152</t>
  </si>
  <si>
    <t>Epic Threads Big Girls Floral All Over Prin Angel White XL 16</t>
  </si>
  <si>
    <t>766370069145</t>
  </si>
  <si>
    <t>Epic Threads Big Girls Floral All Over Prin Angel White L 1214</t>
  </si>
  <si>
    <t>7624302466888</t>
  </si>
  <si>
    <t>GUESS Little Girls Yarn Dyed Check R Pink White Vichy 6X</t>
  </si>
  <si>
    <t>K2RD05WBHV0</t>
  </si>
  <si>
    <t>GUESS 7-16 GI</t>
  </si>
  <si>
    <t>888435539780</t>
  </si>
  <si>
    <t>Puma Puma Big Girls Classic Pack Le Black XL 1820</t>
  </si>
  <si>
    <t>PSP22M8B-03684</t>
  </si>
  <si>
    <t>PUMA GIRLS 7-16/PUMA UNITED NORTH</t>
  </si>
  <si>
    <t>733004722844</t>
  </si>
  <si>
    <t>First Impressions Baby Girls Metallic Bomber Jac Silver Metallic 3-6 months</t>
  </si>
  <si>
    <t>100134944BG</t>
  </si>
  <si>
    <t>745644765907</t>
  </si>
  <si>
    <t>Focus Kids Baby Girls Night Sky Dot Jumps Aqua 9 months</t>
  </si>
  <si>
    <t>MLR01731N</t>
  </si>
  <si>
    <t>191539908100</t>
  </si>
  <si>
    <t>Bonnie Baby Baby Girls Sleeveless Mixed Pr Navy 6-9 months</t>
  </si>
  <si>
    <t>633731115059</t>
  </si>
  <si>
    <t>Jordan Big Boys Cotton Jumpman Logo T Black M 1012</t>
  </si>
  <si>
    <t>956306G</t>
  </si>
  <si>
    <t>194257620804</t>
  </si>
  <si>
    <t>Champion Big Girls Glitter C Script Hoo Black S 8</t>
  </si>
  <si>
    <t>194134869203</t>
  </si>
  <si>
    <t>Weatherproof Weatherproof Big Boys Hoodie Oatmeal Heather Large</t>
  </si>
  <si>
    <t>WK931HD70</t>
  </si>
  <si>
    <t>WEATHERPROOF VINTAGE/5 STAR PREMIUM</t>
  </si>
  <si>
    <t>195958653986</t>
  </si>
  <si>
    <t>TBSFC10J-451</t>
  </si>
  <si>
    <t>880680608334</t>
  </si>
  <si>
    <t>Under Armour Big Boys 3-Pack Stars Performa Ultra Blue M 1012</t>
  </si>
  <si>
    <t>27G67014-47</t>
  </si>
  <si>
    <t>UNDER ARMOUR/KHQ INVESTMENT UW BOYS</t>
  </si>
  <si>
    <t>195958789586</t>
  </si>
  <si>
    <t>Calvin Klein Calvin Klein Big Girls High-Ri Authentic 12</t>
  </si>
  <si>
    <t>CKSFC09S-441</t>
  </si>
  <si>
    <t>733003093549</t>
  </si>
  <si>
    <t>Epic Threads Big Girls Basic Legging Bundle Floral, Lilac, Navy S 810</t>
  </si>
  <si>
    <t>100131982GR</t>
  </si>
  <si>
    <t>195958586000</t>
  </si>
  <si>
    <t>Tommy Hilfiger Tommy Hilfiger Big Boys Solid Navy Blazer L 1618</t>
  </si>
  <si>
    <t>TBSFK12F-405</t>
  </si>
  <si>
    <t>TOMMY HILFIGER BOYS SWIM/KHQ INVEST</t>
  </si>
  <si>
    <t>195958585911</t>
  </si>
  <si>
    <t>Tommy Hilfiger Tommy Hilfiger Big Boys Solid Bright White XL 20</t>
  </si>
  <si>
    <t>TBSFK08F-100</t>
  </si>
  <si>
    <t>195958585898</t>
  </si>
  <si>
    <t>Tommy Hilfiger Tommy Hilfiger Big Boys Solid Bright White M 1214</t>
  </si>
  <si>
    <t>195958585881</t>
  </si>
  <si>
    <t>Tommy Hilfiger Tommy Hilfiger Big Boys Solid Bright White L 1618</t>
  </si>
  <si>
    <t>195958585904</t>
  </si>
  <si>
    <t>Tommy Hilfiger Tommy Hilfiger Big Boys Solid Bright White S 810</t>
  </si>
  <si>
    <t>195958586093</t>
  </si>
  <si>
    <t>Tommy Hilfiger Tommy Hilfiger Big Boys Solid High Risk Red M 1214</t>
  </si>
  <si>
    <t>TBSFK12F-609</t>
  </si>
  <si>
    <t>195958586086</t>
  </si>
  <si>
    <t>Tommy Hilfiger Tommy Hilfiger Big Boys Solid High Risk Red L 1618</t>
  </si>
  <si>
    <t>195958586109</t>
  </si>
  <si>
    <t>Tommy Hilfiger Tommy Hilfiger Big Boys Solid High Risk Red S 810</t>
  </si>
  <si>
    <t>766360638283</t>
  </si>
  <si>
    <t>Epic Threads Toddler Girls Tie Dye All Over Tie Dye 3T</t>
  </si>
  <si>
    <t>733004952395</t>
  </si>
  <si>
    <t>First Impressions Baby Boys 2-Pc. Hooded Rash Gu Cherry Flame 24 months</t>
  </si>
  <si>
    <t>733004952388</t>
  </si>
  <si>
    <t>First Impressions Baby Boys 2-Pc. Hooded Rash Gu Cherry Flame 18 months</t>
  </si>
  <si>
    <t>195958350724</t>
  </si>
  <si>
    <t>Calvin Klein Calvin Klein Baby Girls Croche Blue 24 months</t>
  </si>
  <si>
    <t>3M01113-99</t>
  </si>
  <si>
    <t>195958386969</t>
  </si>
  <si>
    <t>Tommy Hilfiger Tommy Hilfiger Baby Boys Tippe White 12 months</t>
  </si>
  <si>
    <t>61M70047-99</t>
  </si>
  <si>
    <t>195187374744</t>
  </si>
  <si>
    <t>Kidz Concepts Love Republic Big Girls Jogger Medium Gray Heather and Oatmea M 1012</t>
  </si>
  <si>
    <t>KSQ45201M</t>
  </si>
  <si>
    <t>ONE STEP UP/KIDZ CONCEPTS LLC</t>
  </si>
  <si>
    <t>194870444634</t>
  </si>
  <si>
    <t>adidas Big Boys Long Sleeve Heather U Black M 1012</t>
  </si>
  <si>
    <t>AA7274</t>
  </si>
  <si>
    <t>194135941915</t>
  </si>
  <si>
    <t>Carters Toddler Boys 4-Piece Snug Fit Blue 4T</t>
  </si>
  <si>
    <t>194135944718</t>
  </si>
  <si>
    <t>Carters Toddler Girls 4-Piece Watermel Print 3T</t>
  </si>
  <si>
    <t>2M989310</t>
  </si>
  <si>
    <t>194135945135</t>
  </si>
  <si>
    <t>Carters Toddler Boys 4-Piece Snug Fit Red 2T</t>
  </si>
  <si>
    <t>2N000910</t>
  </si>
  <si>
    <t>194135945104</t>
  </si>
  <si>
    <t>Carters Toddler Boys 4-Piece Helicopte Print 4T</t>
  </si>
  <si>
    <t>2N001110</t>
  </si>
  <si>
    <t>194135949508</t>
  </si>
  <si>
    <t>Carters Toddler Girls 4-Piece Snug Fit Pink 2T</t>
  </si>
  <si>
    <t>762120330121</t>
  </si>
  <si>
    <t>ID Ideology Big Girls Camo-Print Top Indigo Sea S</t>
  </si>
  <si>
    <t>195861376828</t>
  </si>
  <si>
    <t>Carters Carters Baby Boys Striped Sle Multicolor Newborn</t>
  </si>
  <si>
    <t>194135406513</t>
  </si>
  <si>
    <t>Carters 4-Piece Dinosaur 100 Snug Fit Gray 24 months</t>
  </si>
  <si>
    <t>1M040410</t>
  </si>
  <si>
    <t>733003639518</t>
  </si>
  <si>
    <t>ID Ideology Big Boys Fleece Hoodie Med Htr Grey XL</t>
  </si>
  <si>
    <t>196325130406</t>
  </si>
  <si>
    <t>Peppa Pig Little Girls Peppa Pig Flower Yellow 6</t>
  </si>
  <si>
    <t>733003706074</t>
  </si>
  <si>
    <t>Epic Threads Epic Threads Toddler Girls Wat Aqua Pool 4T</t>
  </si>
  <si>
    <t>100133082LG</t>
  </si>
  <si>
    <t>733003705855</t>
  </si>
  <si>
    <t>Epic Threads Epic Threads Little Girls Wate Candy Fizz 5</t>
  </si>
  <si>
    <t>100133078LG</t>
  </si>
  <si>
    <t>733003705961</t>
  </si>
  <si>
    <t>Epic Threads Epic Threads Little Girls Wate Pink 6X</t>
  </si>
  <si>
    <t>100133080LG</t>
  </si>
  <si>
    <t>733003706104</t>
  </si>
  <si>
    <t>Epic Threads Epic Threads Little Girls Wate Deep Black 6</t>
  </si>
  <si>
    <t>100133083LG</t>
  </si>
  <si>
    <t>733003705978</t>
  </si>
  <si>
    <t>Epic Threads Epic Threads Little Girls Wate Peacoat 5</t>
  </si>
  <si>
    <t>100133081LG</t>
  </si>
  <si>
    <t>194753964006</t>
  </si>
  <si>
    <t>Tommy Hilfiger Tommy Hilfiger Baby Boys Long Multi 0-3 months</t>
  </si>
  <si>
    <t>61L90031-99</t>
  </si>
  <si>
    <t>194135862487</t>
  </si>
  <si>
    <t>Carters Carters Baby Girls Fruit Tank Fruit Multi 3 months</t>
  </si>
  <si>
    <t>1N043210</t>
  </si>
  <si>
    <t>766360143015</t>
  </si>
  <si>
    <t>First Impressions Baby Girls 2-Pk. Wildflower Fo Bright White 0-3 months</t>
  </si>
  <si>
    <t>766360129514</t>
  </si>
  <si>
    <t>First Impressions Baby Girls 2-Pc. Dress Set Apple Blossom 0-3 months</t>
  </si>
  <si>
    <t>100140063BG</t>
  </si>
  <si>
    <t>766360147969</t>
  </si>
  <si>
    <t>First Impressions Baby 2-Pk. Animal-Print Covera Bright White 6-9 months</t>
  </si>
  <si>
    <t>733004542213</t>
  </si>
  <si>
    <t>Epic Threads Big Girls All Over Print Cargo Dark Sprout Large</t>
  </si>
  <si>
    <t>100137852GR</t>
  </si>
  <si>
    <t>194753632134</t>
  </si>
  <si>
    <t>Calvin Klein Baby Boys Raglan-Sleeve Logo R Assorted 18 months</t>
  </si>
  <si>
    <t>3K71010-99</t>
  </si>
  <si>
    <t>766370310964</t>
  </si>
  <si>
    <t>Epic Threads Toddler Boys Graphic T-shirt S Medium Heather Gray 2T</t>
  </si>
  <si>
    <t>194133361197</t>
  </si>
  <si>
    <t>Carters Baby Girls 4-Pack Side-Snap Co Pink Multi 3 months</t>
  </si>
  <si>
    <t>1I725110</t>
  </si>
  <si>
    <t>194135550995</t>
  </si>
  <si>
    <t>Carters Baby Girls 4-Pk. Printed Cotto PinkTeal Newborn</t>
  </si>
  <si>
    <t>194135321335</t>
  </si>
  <si>
    <t>Carters Baby Boys Bear Three-Piece Lit Blue 9 months</t>
  </si>
  <si>
    <t>652874372716</t>
  </si>
  <si>
    <t>Speechless Speechless Big Girls Colorbloc Coral Yellow XLarge</t>
  </si>
  <si>
    <t>Q3681D02KDEU</t>
  </si>
  <si>
    <t>766360139087</t>
  </si>
  <si>
    <t>First Impressions Baby Girls 4-Pk. Bodysuits Lilac Moon 3-6 months</t>
  </si>
  <si>
    <t>190795472103</t>
  </si>
  <si>
    <t>Carters Baby 5-Pack Short-Sleeve Kimon White 6 months</t>
  </si>
  <si>
    <t>126G777</t>
  </si>
  <si>
    <t>733004952104</t>
  </si>
  <si>
    <t>First Impressions Baby Boys 2-Pc. Rash Guard Set Sundrop 18 months</t>
  </si>
  <si>
    <t>194135918702</t>
  </si>
  <si>
    <t>Carters Carters Baby Boys One-Piece R Navy Print 12 months</t>
  </si>
  <si>
    <t>1N129610</t>
  </si>
  <si>
    <t>766380514277</t>
  </si>
  <si>
    <t>Epic Threads Little Girls 3-Pack Unicorn-Pr Sweet Berry 3T</t>
  </si>
  <si>
    <t>100154398LG</t>
  </si>
  <si>
    <t>195958047648</t>
  </si>
  <si>
    <t>Kids Headquarters Kids Headquarters Baby Boy Fle Navy 18 months</t>
  </si>
  <si>
    <t>10L72013-99</t>
  </si>
  <si>
    <t>196122519749</t>
  </si>
  <si>
    <t>Koala Baby Koala Baby Girls Pumpkin Leggi Peach 3-6 months</t>
  </si>
  <si>
    <t>194135922112</t>
  </si>
  <si>
    <t>Carters Toddler Girls Fruit Sweatshirt Ivory 5T</t>
  </si>
  <si>
    <t>194135922068</t>
  </si>
  <si>
    <t>Carters Toddler Girls Love Peplum Jers Pink 5T</t>
  </si>
  <si>
    <t>194135922105</t>
  </si>
  <si>
    <t>Carters Toddler Girls Fruit Sweatshirt Ivory 4T</t>
  </si>
  <si>
    <t>194257876065</t>
  </si>
  <si>
    <t>Champion Champion Big Girls Tie Dye Gra Oxford Heather, Sizzling Mint M 1012</t>
  </si>
  <si>
    <t>766360157524</t>
  </si>
  <si>
    <t>First Impressions Baby Boys 2Pc. Shark-Print Swi Sodalite Blue 24 months</t>
  </si>
  <si>
    <t>194870544297</t>
  </si>
  <si>
    <t>adidas Big Boys Short Sleeve Chest Gr Collegiate Navy 810</t>
  </si>
  <si>
    <t>AA7323</t>
  </si>
  <si>
    <t>194170346379</t>
  </si>
  <si>
    <t>Rare Editions Baby Girls Stripe Seersucker H Pink 6-9 months</t>
  </si>
  <si>
    <t>S812082</t>
  </si>
  <si>
    <t>194170341152</t>
  </si>
  <si>
    <t>Rare Editions Rare Editions Baby Girls Color Red 6-9 months</t>
  </si>
  <si>
    <t>S812092</t>
  </si>
  <si>
    <t>45299038143</t>
  </si>
  <si>
    <t>Disney 7-Pk. Shopkins Underwear, Litt Shopkins 4</t>
  </si>
  <si>
    <t>GUP3800</t>
  </si>
  <si>
    <t>HANDCRAFT MFG CORP UW GIRLS</t>
  </si>
  <si>
    <t>806409706273</t>
  </si>
  <si>
    <t>Champion Champion Big Girls Avenue Bean Black, White ONE SIZE</t>
  </si>
  <si>
    <t>CV5-0738</t>
  </si>
  <si>
    <t>194170141585</t>
  </si>
  <si>
    <t>Rare Editions Baby Girls Check Seersucker to Lime 3-6 months</t>
  </si>
  <si>
    <t>S897911</t>
  </si>
  <si>
    <t>194135870864</t>
  </si>
  <si>
    <t>Carters Carters Baby Boys 2-Pack Romp Gray 6 months</t>
  </si>
  <si>
    <t>194135871069</t>
  </si>
  <si>
    <t>Carters Carters Baby Girls 3-Piece Fi Ivory 6 months</t>
  </si>
  <si>
    <t>766370341067</t>
  </si>
  <si>
    <t>Sun Stone Little Boys Bowie Sandals Tan 1M</t>
  </si>
  <si>
    <t>766370341098</t>
  </si>
  <si>
    <t>Sun Stone Little Boys Bowie Sandals Tan 2M</t>
  </si>
  <si>
    <t>766370341203</t>
  </si>
  <si>
    <t>Sun Stone Little Boys Bowie Sandals Tan 13M</t>
  </si>
  <si>
    <t>733004763489</t>
  </si>
  <si>
    <t>ID Ideology Big Girls Fleece Hoodie Violet Light S 78</t>
  </si>
  <si>
    <t>766370341135</t>
  </si>
  <si>
    <t>Sun Stone Little Boys Bowie Sandals Tan 11M</t>
  </si>
  <si>
    <t>766360641665</t>
  </si>
  <si>
    <t>Epic Threads Toddler Girls Butterfly Denim Medium Butterfly Wash 2T</t>
  </si>
  <si>
    <t>194753661738</t>
  </si>
  <si>
    <t>Tommy Hilfiger Tommy Hilfiger Big Girls Bra, Navy Blazer S 67</t>
  </si>
  <si>
    <t>TSHDJ04X-405</t>
  </si>
  <si>
    <t>194135867468</t>
  </si>
  <si>
    <t>Carters Toddler Boys 2-Piece Striped H Assorted 3T</t>
  </si>
  <si>
    <t>2M993410</t>
  </si>
  <si>
    <t>825663256836</t>
  </si>
  <si>
    <t>Nike Nike Toddler Girls Freeze Tag Black 3T</t>
  </si>
  <si>
    <t>192042807966</t>
  </si>
  <si>
    <t>Nautica Young Men Short Sleeve Double Red M</t>
  </si>
  <si>
    <t>NUFBB031-646</t>
  </si>
  <si>
    <t>64% COTTON 34% POLYESTER</t>
  </si>
  <si>
    <t>825663318763</t>
  </si>
  <si>
    <t>Jordan Jordan Little Boys Jumpman X N Gym Red 4</t>
  </si>
  <si>
    <t>195861094524</t>
  </si>
  <si>
    <t>Carters Carters Baby Boys 2-Piece T-s Gray, Teal 6 months</t>
  </si>
  <si>
    <t>1N588210</t>
  </si>
  <si>
    <t>195861296775</t>
  </si>
  <si>
    <t>Carters Carters Baby Boys Button Fron Print Newborn</t>
  </si>
  <si>
    <t>733004750519</t>
  </si>
  <si>
    <t>Epic Threads Epic Thread Big Girls Peace Ve Sunset Flamingo M 1012</t>
  </si>
  <si>
    <t>100138281GR</t>
  </si>
  <si>
    <t>756845987036</t>
  </si>
  <si>
    <t>First Impressions Footed Tulle Coverall, Baby Gi Ivory 0-3 months</t>
  </si>
  <si>
    <t>2342FI410</t>
  </si>
  <si>
    <t>COTTON; RUFFLE: POLYESTER</t>
  </si>
  <si>
    <t>733004750458</t>
  </si>
  <si>
    <t>100138279GR</t>
  </si>
  <si>
    <t>733004750427</t>
  </si>
  <si>
    <t>Epic Threads Big Girls All Over Print Velou Aqua S 810</t>
  </si>
  <si>
    <t>733004750502</t>
  </si>
  <si>
    <t>Epic Threads Epic Thread Big Girls Peace Ve Sunset Flamingo S 810</t>
  </si>
  <si>
    <t>733004750533</t>
  </si>
  <si>
    <t>Epic Threads Epic Thread Big Girls Peace Ve Sunset Flamingo XL 1820</t>
  </si>
  <si>
    <t>762120691970</t>
  </si>
  <si>
    <t>ID Ideology Big Girls Sunset Strip Rash Gu Barely Pink S 78</t>
  </si>
  <si>
    <t>194135327863</t>
  </si>
  <si>
    <t>Carters Baby Girls 3-Pack Ruffle Diape Navygreypink Newborn</t>
  </si>
  <si>
    <t>1L932010</t>
  </si>
  <si>
    <t>196027072790</t>
  </si>
  <si>
    <t>Minnie Mouse Minnie Mouse Baby Girls Pajama Assorted 12 months</t>
  </si>
  <si>
    <t>MW1170VCLMA</t>
  </si>
  <si>
    <t>696114452400</t>
  </si>
  <si>
    <t>Max Olivia Baby Neutral All Over Printed White 12 months</t>
  </si>
  <si>
    <t>36560-MA</t>
  </si>
  <si>
    <t>659658426016</t>
  </si>
  <si>
    <t>733004750540</t>
  </si>
  <si>
    <t>194135864788</t>
  </si>
  <si>
    <t>Carters Carters Baby Girls Short Slee Pink 9 months</t>
  </si>
  <si>
    <t>766360435950</t>
  </si>
  <si>
    <t>ID Ideology Big Girls Hooded Mesh Shirt Jet Ski S 78</t>
  </si>
  <si>
    <t>195861293408</t>
  </si>
  <si>
    <t>Carters Carters Baby Boys Dinosaur Je Assorted 24 months</t>
  </si>
  <si>
    <t>195861318507</t>
  </si>
  <si>
    <t>Carters Carters Baby Girls French Ter White 3 months</t>
  </si>
  <si>
    <t>195861320524</t>
  </si>
  <si>
    <t>194257662187</t>
  </si>
  <si>
    <t>Champion Little Girls Tie Dye Script Le Black 6</t>
  </si>
  <si>
    <t>696114452370</t>
  </si>
  <si>
    <t>Max Olivia Toddler Boys All Over Printed Navy 2T</t>
  </si>
  <si>
    <t>696114451694</t>
  </si>
  <si>
    <t>Max Olivia Toddler Girls All Over Printed Pink 2T</t>
  </si>
  <si>
    <t>696114452349</t>
  </si>
  <si>
    <t>Max Olivia Baby Boys All Over Printed Paj Navy 12 months</t>
  </si>
  <si>
    <t>762120330053</t>
  </si>
  <si>
    <t>ID Ideology Little Toddler Girls Camo-Pr Indigo Sea 4T</t>
  </si>
  <si>
    <t>762120330077</t>
  </si>
  <si>
    <t>ID Ideology Little Toddler Girls Camo-Pr Indigo Sea 3T</t>
  </si>
  <si>
    <t>766360131456</t>
  </si>
  <si>
    <t>First Impressions Baby Boys Light-Wash Denim Jog Light Wash 3-6 months</t>
  </si>
  <si>
    <t>766360131616</t>
  </si>
  <si>
    <t>First Impressions Baby Boys Light-Wash Denim Jog Light Wash 0-3 months</t>
  </si>
  <si>
    <t>194135316270</t>
  </si>
  <si>
    <t>Carters Baby 3-Pc. Bodysuits Pants S Grey Newborn</t>
  </si>
  <si>
    <t>1L763410</t>
  </si>
  <si>
    <t>850012881636</t>
  </si>
  <si>
    <t>NWALKS NWALKS Toddler and Little Boys Gray 2-4</t>
  </si>
  <si>
    <t>013-KIDS</t>
  </si>
  <si>
    <t>NWALKS LLC</t>
  </si>
  <si>
    <t>196122372719</t>
  </si>
  <si>
    <t>Koala Baby Baby Boys Shorts, Bodysuit and Navy Newborn</t>
  </si>
  <si>
    <t>KLM02338</t>
  </si>
  <si>
    <t>195861123934</t>
  </si>
  <si>
    <t>Carters Baby Boys Navy Pull-On Poplin Navy 18 months</t>
  </si>
  <si>
    <t>1N599210</t>
  </si>
  <si>
    <t>192042759463</t>
  </si>
  <si>
    <t>Nautica Big Boys Stretch Double Pique Black S 8</t>
  </si>
  <si>
    <t>NUFBB03F-001</t>
  </si>
  <si>
    <t>766370762664</t>
  </si>
  <si>
    <t>Epic Threads Big Boys Knit Terry Shorts Skygaze L 1416</t>
  </si>
  <si>
    <t>766370762619</t>
  </si>
  <si>
    <t>Epic Threads Big Boys Knit Terry Shorts Gossamer Green L 1416</t>
  </si>
  <si>
    <t>762120063050</t>
  </si>
  <si>
    <t>ID Ideology Big Boys Olympic Joggers Indigo Sea L 14</t>
  </si>
  <si>
    <t>100136765GR</t>
  </si>
  <si>
    <t>733004948923</t>
  </si>
  <si>
    <t>First Impressions Toddler Girls Mermazing 1-Pc. Blue Glow 2T</t>
  </si>
  <si>
    <t>100136061TG</t>
  </si>
  <si>
    <t>196122331945</t>
  </si>
  <si>
    <t>Koala Baby Baby Boys Rib Bodysuit, Pack o Yellow 9-12 months</t>
  </si>
  <si>
    <t>KLM12260</t>
  </si>
  <si>
    <t>196122329959</t>
  </si>
  <si>
    <t>Koala Baby Baby Girls Rib Bodysuit, Pack Yellow 18-24 months</t>
  </si>
  <si>
    <t>KLF12266</t>
  </si>
  <si>
    <t>194135922525</t>
  </si>
  <si>
    <t>Carters Toddler Girls Heart Pull-On Jo Pink 3T</t>
  </si>
  <si>
    <t>2N100810</t>
  </si>
  <si>
    <t>194135922686</t>
  </si>
  <si>
    <t>Carters Toddler Girls Cherry-Print Jog Red 5T</t>
  </si>
  <si>
    <t>2N100910</t>
  </si>
  <si>
    <t>194135922662</t>
  </si>
  <si>
    <t>Carters Toddler Girls Cherry-Print Jog Red 3T</t>
  </si>
  <si>
    <t>733004591914</t>
  </si>
  <si>
    <t>First Impressions Baby Boys or Girls Velour Cove Navy Nautical 0-3 months</t>
  </si>
  <si>
    <t>756845970960</t>
  </si>
  <si>
    <t>First Impressions Tulle Tutu Bodysuit, Baby Girl Baby Pink 0-3 months</t>
  </si>
  <si>
    <t>733003640378</t>
  </si>
  <si>
    <t>ID Ideology Big Boys Fleece Jogger Pants Med Htr Grey S</t>
  </si>
  <si>
    <t>100133585BO</t>
  </si>
  <si>
    <t>195861099680</t>
  </si>
  <si>
    <t>Carters Carters Baby Boy or Baby Girl Orange 24 months</t>
  </si>
  <si>
    <t>762120213202</t>
  </si>
  <si>
    <t>ID Ideology Toddler Little Boys Knit Hoo STORMY HEATHER 5</t>
  </si>
  <si>
    <t>196325120032</t>
  </si>
  <si>
    <t>Peppa Pig Toddler Girls Peppa Pig Lettuc Multi 3T</t>
  </si>
  <si>
    <t>T000306GPIG333</t>
  </si>
  <si>
    <t>196325119951</t>
  </si>
  <si>
    <t>Disney Little Girls Disney Princesses Multi 6X</t>
  </si>
  <si>
    <t>T000306GD13889</t>
  </si>
  <si>
    <t>195883504544</t>
  </si>
  <si>
    <t>Disney Disney Toddler Girls Woobie Sw Lavender 3T</t>
  </si>
  <si>
    <t>T000250GD12880</t>
  </si>
  <si>
    <t>196122372184</t>
  </si>
  <si>
    <t>Koala Baby Baby Girls Top, Bodysuit and M Orange 12-18 months</t>
  </si>
  <si>
    <t>KLF12318</t>
  </si>
  <si>
    <t>196122371859</t>
  </si>
  <si>
    <t>Koala Baby Baby Girls Top, Bodysuit and M Orange Newborn</t>
  </si>
  <si>
    <t>762120822992</t>
  </si>
  <si>
    <t>ID Ideology Big Boys Active Pants Indigo Sea XL</t>
  </si>
  <si>
    <t>195861102335</t>
  </si>
  <si>
    <t>Carters Baby Boys 2-Pc. Truck-Print Bo Stripe 6 months</t>
  </si>
  <si>
    <t>195861378068</t>
  </si>
  <si>
    <t>Carters Carters Baby Girls Daddys Li White, Pink 24 months</t>
  </si>
  <si>
    <t>1N961010</t>
  </si>
  <si>
    <t>194135893740</t>
  </si>
  <si>
    <t>Carters Carters Baby Girls 2-Piece Fl Gray 9 months</t>
  </si>
  <si>
    <t>1N050310</t>
  </si>
  <si>
    <t>194135893696</t>
  </si>
  <si>
    <t>Carters Carters Baby Girls 2-Piece Fl Gray 12 months</t>
  </si>
  <si>
    <t>195861098614</t>
  </si>
  <si>
    <t>Carters Baby Girls 2-Pc. Floral-Print Brown 18 months</t>
  </si>
  <si>
    <t>195861097952</t>
  </si>
  <si>
    <t>Carters Baby Girls 2-Pc. Stripe Bodysu Yellow 18 months</t>
  </si>
  <si>
    <t>1N600610</t>
  </si>
  <si>
    <t>195861097983</t>
  </si>
  <si>
    <t>Carters Baby Girls 2-Pc. Stripe Bodysu Yellow 6 months</t>
  </si>
  <si>
    <t>195861368069</t>
  </si>
  <si>
    <t>Carters Carters Baby Girls Unicorn Zi Gray 12 months</t>
  </si>
  <si>
    <t>195861368076</t>
  </si>
  <si>
    <t>Carters Carters Baby Girls Unicorn Zi Gray 18 months</t>
  </si>
  <si>
    <t>195861368083</t>
  </si>
  <si>
    <t>Carters Carters Baby Girls Unicorn Zi Gray 24 months</t>
  </si>
  <si>
    <t>195861383093</t>
  </si>
  <si>
    <t>Carters Carters Baby Boys Zip-Up Flee Navy Newborn</t>
  </si>
  <si>
    <t>195861383079</t>
  </si>
  <si>
    <t>Carters Carters Baby Boys Zip-Up Flee Navy 9 months</t>
  </si>
  <si>
    <t>195861383024</t>
  </si>
  <si>
    <t>Carters Carters Baby Boys Zip-Up Flee Navy 12 months</t>
  </si>
  <si>
    <t>195861383048</t>
  </si>
  <si>
    <t>Carters Carters Baby Boys Zip-Up Flee Navy 24 months</t>
  </si>
  <si>
    <t>196122323186</t>
  </si>
  <si>
    <t>Koala Baby Baby Boys Bodysuit and Pants R Blue Fog 18-24 months</t>
  </si>
  <si>
    <t>191655274806</t>
  </si>
  <si>
    <t>Chickpea Chickpea Baby Boys Grow with M Orange 0-6 months</t>
  </si>
  <si>
    <t>HE22231098</t>
  </si>
  <si>
    <t>196027159194</t>
  </si>
  <si>
    <t>AME Baby Girls Minnie Mouse Romper Assorted 24 months</t>
  </si>
  <si>
    <t>MW1209VRMMA</t>
  </si>
  <si>
    <t>196027159408</t>
  </si>
  <si>
    <t>AME Baby Boys Mandalorian Romper Assorted 24 months</t>
  </si>
  <si>
    <t>UT197YRMMA</t>
  </si>
  <si>
    <t>196027159323</t>
  </si>
  <si>
    <t>AME Baby Girls Baby Shark Romper Assorted 18 months</t>
  </si>
  <si>
    <t>UI113VRMMA</t>
  </si>
  <si>
    <t>193579316907</t>
  </si>
  <si>
    <t>Tommy Hilfiger Little Big Boys 2-Pk. Solid Grey Heather XXS</t>
  </si>
  <si>
    <t>195861124474</t>
  </si>
  <si>
    <t>Carters Toddler Boys Pull-On Knit Carg Green 3T</t>
  </si>
  <si>
    <t>2N608410</t>
  </si>
  <si>
    <t>194257852267</t>
  </si>
  <si>
    <t>Champion Champion Big Boys Vertical Scr Swiss Blue M</t>
  </si>
  <si>
    <t>CHB559</t>
  </si>
  <si>
    <t>766360448561</t>
  </si>
  <si>
    <t>ID Ideology Big Girls Marble-Print Legging Pistachio Green 5</t>
  </si>
  <si>
    <t>100141269LG</t>
  </si>
  <si>
    <t>766360448745</t>
  </si>
  <si>
    <t>ID Ideology Big Girls Marble-Print Legging Pistachio Green 4T</t>
  </si>
  <si>
    <t>766360448578</t>
  </si>
  <si>
    <t>ID Ideology Big Girls Marble-Print Legging Pistachio Green 6</t>
  </si>
  <si>
    <t>194257445001</t>
  </si>
  <si>
    <t>Champion Big Boys All Over Print Script White L 1416</t>
  </si>
  <si>
    <t>CHB071</t>
  </si>
  <si>
    <t>194135896512</t>
  </si>
  <si>
    <t>Carters Carters Baby Girls Eyelet Sna Mint Newborn</t>
  </si>
  <si>
    <t>193666340754</t>
  </si>
  <si>
    <t>Maidenform Maidenform Big Girls Seamless Blushing Bride S 78</t>
  </si>
  <si>
    <t>4217H</t>
  </si>
  <si>
    <t>766360448844</t>
  </si>
  <si>
    <t>ID Ideology Big Girls Colorblocked Legging Hthr Grey 2T</t>
  </si>
  <si>
    <t>100141271LG</t>
  </si>
  <si>
    <t>766360448868</t>
  </si>
  <si>
    <t>ID Ideology Big Girls Colorblocked Legging Hthr Grey 4T</t>
  </si>
  <si>
    <t>194135910409</t>
  </si>
  <si>
    <t>762120161985</t>
  </si>
  <si>
    <t>ID Ideology Toddler Little Girls Marble- Deep Black 5</t>
  </si>
  <si>
    <t>100136785LG</t>
  </si>
  <si>
    <t>194257661609</t>
  </si>
  <si>
    <t>Champion Toddler Girls Boxy T-shirt Aruba Blue 3T</t>
  </si>
  <si>
    <t>696114414552</t>
  </si>
  <si>
    <t>Max Olivia Baby Boys Gripper Soles Easy O Red 24M</t>
  </si>
  <si>
    <t>36240-MA</t>
  </si>
  <si>
    <t>733003640217</t>
  </si>
  <si>
    <t>ID Ideology Toddler Little Boys Fleece J Sodalite Blue 7</t>
  </si>
  <si>
    <t>100133584LB</t>
  </si>
  <si>
    <t>766370761865</t>
  </si>
  <si>
    <t>Epic Threads Big Boys Graphic Tank Peppermint Frst S 810</t>
  </si>
  <si>
    <t>100151704BO</t>
  </si>
  <si>
    <t>762120848114</t>
  </si>
  <si>
    <t>ID Ideology Toddler Little Boys Active P Indigo Sea 2T</t>
  </si>
  <si>
    <t>194257861160</t>
  </si>
  <si>
    <t>Champion Big Boys Dissolve C Logo Scrip White, Blue Atoll M 1012</t>
  </si>
  <si>
    <t>194257635952</t>
  </si>
  <si>
    <t>Champion Champion Big Boys Vertical Scr White and Navy S 8</t>
  </si>
  <si>
    <t>194257664310</t>
  </si>
  <si>
    <t>Champion Champion Big Boys Quick Script Oxford Heather L 1416</t>
  </si>
  <si>
    <t>194257664372</t>
  </si>
  <si>
    <t>Champion Champion Big Boys Quick Script Oxford Heather S 8</t>
  </si>
  <si>
    <t>766360156534</t>
  </si>
  <si>
    <t>First Impressions Baby Girl DOT BOW ONE PIECE Apple Blossom 12 months</t>
  </si>
  <si>
    <t>762120087247</t>
  </si>
  <si>
    <t>Epic Threads Little Girls Long Sleeve Rainb Ghost Heather 5</t>
  </si>
  <si>
    <t>100138308LG</t>
  </si>
  <si>
    <t>766370894426</t>
  </si>
  <si>
    <t>ID Ideology Big Boys Mesh Break Shorts Cold Cream L</t>
  </si>
  <si>
    <t>194257518835</t>
  </si>
  <si>
    <t>Champion Toddler Girls Champion Leopard White 3T</t>
  </si>
  <si>
    <t>762120263702</t>
  </si>
  <si>
    <t>Epic Threads Epic Threads Big Girls Graphic Cherry Flame XL 16</t>
  </si>
  <si>
    <t>742728653464</t>
  </si>
  <si>
    <t>Levis Levis Little Boys Logo T-shir Black 7</t>
  </si>
  <si>
    <t>81D581F</t>
  </si>
  <si>
    <t>194257421036</t>
  </si>
  <si>
    <t>Champion Big Girls Sunburst Short Sleev Black Small</t>
  </si>
  <si>
    <t>CHG055</t>
  </si>
  <si>
    <t>194257386854</t>
  </si>
  <si>
    <t>Champion Big Boys Pixel Script T-Shirt Oxford Heather Large</t>
  </si>
  <si>
    <t>194257390097</t>
  </si>
  <si>
    <t>Champion Big Boys Circle Crest T-Shirt Oxford Heather Large</t>
  </si>
  <si>
    <t>CHB045</t>
  </si>
  <si>
    <t>194257610003</t>
  </si>
  <si>
    <t>Champion Big Boys Ko Script T-shirt White, Oxford Heather L 1416</t>
  </si>
  <si>
    <t>CHB086</t>
  </si>
  <si>
    <t>194257610041</t>
  </si>
  <si>
    <t>Champion Big Boys Ko Script T-shirt Navy, Oxford Heather L 1416</t>
  </si>
  <si>
    <t>766360448387</t>
  </si>
  <si>
    <t>ID Ideology Little Girls Striped Capri Leg Barely Pink 4T</t>
  </si>
  <si>
    <t>195861089308</t>
  </si>
  <si>
    <t>Carters Carters Baby Boys 2-Piece Tan Green 3 months</t>
  </si>
  <si>
    <t>766360667795</t>
  </si>
  <si>
    <t>Epic Threads Big Girls All Over Print Leggi Orchid Bloom M 1012</t>
  </si>
  <si>
    <t>100145557GR</t>
  </si>
  <si>
    <t>194257796943</t>
  </si>
  <si>
    <t>Champion Little Boys Classic Short Slee Natural 7</t>
  </si>
  <si>
    <t>766360667511</t>
  </si>
  <si>
    <t>Epic Threads Epic Threads Big Girls Shorts Spacious Skies M 1012</t>
  </si>
  <si>
    <t>766360668228</t>
  </si>
  <si>
    <t>Epic Threads Epic Threads Big Girls Cherry Washed Indigo M 1012</t>
  </si>
  <si>
    <t>766360667498</t>
  </si>
  <si>
    <t>Epic Threads Epic Threads Big Girls Shorts Washed Indigo XL 1820</t>
  </si>
  <si>
    <t>766360668037</t>
  </si>
  <si>
    <t>Epic Threads Epic Threads Big Girls Cherry Washed Indigo S 810</t>
  </si>
  <si>
    <t>766360667535</t>
  </si>
  <si>
    <t>Epic Threads Epic Threads Big Girls Shorts Spacious Skies XL 1820</t>
  </si>
  <si>
    <t>766370169807</t>
  </si>
  <si>
    <t>ID Ideology Toddler Little Girls FIERCE Pear Passion 6X</t>
  </si>
  <si>
    <t>100146020LG</t>
  </si>
  <si>
    <t>742728648149</t>
  </si>
  <si>
    <t>Levis Levis Toddler Boys Logo T-shi Black 4T</t>
  </si>
  <si>
    <t>71D581F</t>
  </si>
  <si>
    <t>766370749429</t>
  </si>
  <si>
    <t>Epic Threads Epic Threads Toddler Girls Kni Skygaze 4T</t>
  </si>
  <si>
    <t>640013892669</t>
  </si>
  <si>
    <t>Univibe Big Boys Pier Sprayed T-Shirt Black S 8</t>
  </si>
  <si>
    <t>UB1201125</t>
  </si>
  <si>
    <t>194135901612</t>
  </si>
  <si>
    <t>Carters Baby Girls Floral-Print Cotton Green 6 months</t>
  </si>
  <si>
    <t>1N072810</t>
  </si>
  <si>
    <t>194135906167</t>
  </si>
  <si>
    <t>Carters Carters Baby Boys Striped Hen Yellow Newborn</t>
  </si>
  <si>
    <t>766360648824</t>
  </si>
  <si>
    <t>Epic Threads Toddler Girls Cold Shoulder Dr Orchid Bloom 4T</t>
  </si>
  <si>
    <t>766370273092</t>
  </si>
  <si>
    <t>Epic Threads Epic Threads Big Girls Equalit Blush Pink L 1214</t>
  </si>
  <si>
    <t>766370273108</t>
  </si>
  <si>
    <t>Epic Threads Epic Threads Big Girls Equalit Blush Pink XL 16</t>
  </si>
  <si>
    <t>766370273085</t>
  </si>
  <si>
    <t>Epic Threads Epic Threads Big Girls Equalit Blush Pink M 810</t>
  </si>
  <si>
    <t>766370427990</t>
  </si>
  <si>
    <t>Epic Threads Big Girls Short Sleeve Heart P Angel White XL 16</t>
  </si>
  <si>
    <t>766360648459</t>
  </si>
  <si>
    <t>Epic Threads Little Girls Floral Flutter Sl Angel White 6</t>
  </si>
  <si>
    <t>100145353LG</t>
  </si>
  <si>
    <t>766380727356</t>
  </si>
  <si>
    <t>First Impressions Baby Girls 2-Pk. Solid Heart Raspberry Pie 18 months</t>
  </si>
  <si>
    <t>766380272542</t>
  </si>
  <si>
    <t>Epic Threads Epic Threads Big Girls Sunkiss Coral Topaz L 1214</t>
  </si>
  <si>
    <t>100152999GR</t>
  </si>
  <si>
    <t>766370169135</t>
  </si>
  <si>
    <t>ID Ideology Toddler Little Girls Dreamer Heather Grey 6X</t>
  </si>
  <si>
    <t>100146019LG</t>
  </si>
  <si>
    <t>766370168947</t>
  </si>
  <si>
    <t>ID Ideology Toddler Little Girls Dreamer Heather Grey 4T</t>
  </si>
  <si>
    <t>774233217732</t>
  </si>
  <si>
    <t>Snugabye Snugabye Baby Boys and Girls P Gray 12-24 months</t>
  </si>
  <si>
    <t>FTPRH</t>
  </si>
  <si>
    <t>GERTEX USA INC</t>
  </si>
  <si>
    <t>194870728147</t>
  </si>
  <si>
    <t>adidas Toddler Boys Aeroready Elastic Black with Acid Yellow 3T</t>
  </si>
  <si>
    <t>194135892972</t>
  </si>
  <si>
    <t>Carters Carters Baby Girls Snap-Up Ro Purple 18 months</t>
  </si>
  <si>
    <t>1N054710</t>
  </si>
  <si>
    <t>194135880283</t>
  </si>
  <si>
    <t>Carters Carters Baby Boys Snap-Up Rom Stripe 18 months</t>
  </si>
  <si>
    <t>194135880672</t>
  </si>
  <si>
    <t>1N054810</t>
  </si>
  <si>
    <t>194135879911</t>
  </si>
  <si>
    <t>Carters Carters Baby Boys Snap-Up Rom Multi 6 months</t>
  </si>
  <si>
    <t>194135893030</t>
  </si>
  <si>
    <t>Carters Carters Baby Girls Snap-Up Ro Purple Newborn</t>
  </si>
  <si>
    <t>194135879799</t>
  </si>
  <si>
    <t>Carters Carters Baby Boys Snap-Up Rom Stripe 12 months</t>
  </si>
  <si>
    <t>194135906044</t>
  </si>
  <si>
    <t>Carters Carters Baby Boys Snap-Up Rom Blue 3 months</t>
  </si>
  <si>
    <t>1N054310</t>
  </si>
  <si>
    <t>194135905733</t>
  </si>
  <si>
    <t>Carters Carters Baby Boys Snap-Up Rom Yellow 6 months</t>
  </si>
  <si>
    <t>1N054410</t>
  </si>
  <si>
    <t>766370168756</t>
  </si>
  <si>
    <t>ID Ideology Toddler Little Girls I AM Ta Violet Tulle 3T</t>
  </si>
  <si>
    <t>766360167639</t>
  </si>
  <si>
    <t>ID Ideology Toddler Little Girls Core Ca Pistachio Green 6</t>
  </si>
  <si>
    <t>766360167660</t>
  </si>
  <si>
    <t>ID Ideology Toddler Little Girls Core Ca Pistachio Green 4T</t>
  </si>
  <si>
    <t>774233217749</t>
  </si>
  <si>
    <t>Snugabye Snugabye Baby Boys and Girls D Gray 12-24 months</t>
  </si>
  <si>
    <t>FTDPPH</t>
  </si>
  <si>
    <t>766370912656</t>
  </si>
  <si>
    <t>ID Ideology Toddler Little Boys Striped Vivid Turq 5</t>
  </si>
  <si>
    <t>733004748165</t>
  </si>
  <si>
    <t>First Impressions Toddler Boys Jogger Pants Passion Blue 2T</t>
  </si>
  <si>
    <t>100136077TB</t>
  </si>
  <si>
    <t>194135947740</t>
  </si>
  <si>
    <t>Carters Toddler Girls Easter Capri Leg Print 4T</t>
  </si>
  <si>
    <t>2N306610</t>
  </si>
  <si>
    <t>195861088745</t>
  </si>
  <si>
    <t>Carters Carters Baby Boys Camping Tan Green 3 months</t>
  </si>
  <si>
    <t>1N614610</t>
  </si>
  <si>
    <t>766360904555</t>
  </si>
  <si>
    <t>Epic Threads Epic Threads Little Girls Butt Angel White 6</t>
  </si>
  <si>
    <t>766370425262</t>
  </si>
  <si>
    <t>Epic Threads Little Girls Short Sleeves Hea Blush Pink 6X</t>
  </si>
  <si>
    <t>766370424814</t>
  </si>
  <si>
    <t>Epic Threads Toddler Girls Short Sleeves He Angel White 4T</t>
  </si>
  <si>
    <t>766370424807</t>
  </si>
  <si>
    <t>Epic Threads Toddler Girls Short Sleeves He Angel White 3T</t>
  </si>
  <si>
    <t>766370424777</t>
  </si>
  <si>
    <t>Epic Threads Little Girls Short Sleeves Hea Angel White 5</t>
  </si>
  <si>
    <t>766370424821</t>
  </si>
  <si>
    <t>Epic Threads Little Girls Short Sleeves Hea Angel White 6X</t>
  </si>
  <si>
    <t>766360904593</t>
  </si>
  <si>
    <t>Epic Threads Epic Threads Little Girls Butt Angel White 6X</t>
  </si>
  <si>
    <t>766360647360</t>
  </si>
  <si>
    <t>Epic Threads Little Girls Butterfly All Ove Blush Pink 5</t>
  </si>
  <si>
    <t>762120057240</t>
  </si>
  <si>
    <t>ID Ideology Little Girls Lace-Up Top Deep Black 6</t>
  </si>
  <si>
    <t>766380267432</t>
  </si>
  <si>
    <t>Epic Threads Epic Threads Toddler Girls Rib Gossamer Green 3T</t>
  </si>
  <si>
    <t>766360646837</t>
  </si>
  <si>
    <t>Epic Threads Toddler Girls Heart All Over P Blush Pink 2T</t>
  </si>
  <si>
    <t>766360662776</t>
  </si>
  <si>
    <t>Epic Threads Toddler Girls Flower All Over Angel White 4T</t>
  </si>
  <si>
    <t>766360647001</t>
  </si>
  <si>
    <t>Epic Threads Little Girls Butterfly All Ove Spacious Sky 6X</t>
  </si>
  <si>
    <t>766360647209</t>
  </si>
  <si>
    <t>Epic Threads Little Girls Checkered All Ove Washed Indigo 6</t>
  </si>
  <si>
    <t>766360647353</t>
  </si>
  <si>
    <t>Epic Threads Little Girls Checkered All Ove Orchid Bloom 6X</t>
  </si>
  <si>
    <t>766360662738</t>
  </si>
  <si>
    <t>Epic Threads Little Girls Flower All Over P Angel White 5</t>
  </si>
  <si>
    <t>766360647223</t>
  </si>
  <si>
    <t>Epic Threads Toddler Girls Checkered All Ov Washed Indigo 3T</t>
  </si>
  <si>
    <t>766360647193</t>
  </si>
  <si>
    <t>Epic Threads Little Girls Checkered All Ove Washed Indigo 5</t>
  </si>
  <si>
    <t>766360647247</t>
  </si>
  <si>
    <t>Epic Threads Little Girls Checkered All Ove Washed Indigo 6X</t>
  </si>
  <si>
    <t>766360647117</t>
  </si>
  <si>
    <t>Epic Threads Little Girls Cherry All Over P Spacious Sky 6X</t>
  </si>
  <si>
    <t>733004112508</t>
  </si>
  <si>
    <t>Epic Threads Toddler Boys Short Sleeve Holi Tango Red 3T</t>
  </si>
  <si>
    <t>100133755LB</t>
  </si>
  <si>
    <t>733003082574</t>
  </si>
  <si>
    <t>ID Ideology Little Girls Lace-Up Top Rose Shadow 5</t>
  </si>
  <si>
    <t>733003082611</t>
  </si>
  <si>
    <t>ID Ideology Little Girls Lace-Up Top Rose Shadow 4T</t>
  </si>
  <si>
    <t>733003082581</t>
  </si>
  <si>
    <t>ID Ideology Little Girls Lace-Up Top Rose Shadow 6</t>
  </si>
  <si>
    <t>766360645922</t>
  </si>
  <si>
    <t>Epic Threads Little Girls Smile T-shirt Washed Indigo 5</t>
  </si>
  <si>
    <t>766360646684</t>
  </si>
  <si>
    <t>Epic Threads Toddler Girls Geology Rocks Gr Angel White 3T</t>
  </si>
  <si>
    <t>100145054LG</t>
  </si>
  <si>
    <t>766360645724</t>
  </si>
  <si>
    <t>Epic Threads Toddler Girls Love Graphic T-s Orchid Bloom 2T</t>
  </si>
  <si>
    <t>766360645342</t>
  </si>
  <si>
    <t>Epic Threads Little Girls Multi Stripe T-sh Spacious Sky 5</t>
  </si>
  <si>
    <t>766380265612</t>
  </si>
  <si>
    <t>Epic Threads Epic Threads Little Girls Surf Sky Gaze 6X</t>
  </si>
  <si>
    <t>766360645700</t>
  </si>
  <si>
    <t>Epic Threads Epic Threads Little Girls Love Orchid Bloom 5</t>
  </si>
  <si>
    <t>766360645366</t>
  </si>
  <si>
    <t>Epic Threads Toddler Girls Multi Stripe T-s Spacious Sky 2T</t>
  </si>
  <si>
    <t>766360646677</t>
  </si>
  <si>
    <t>Epic Threads Toddler Girls Geology Rocks Gr Angel White 2T</t>
  </si>
  <si>
    <t>766360109400</t>
  </si>
  <si>
    <t>Epic Threads Big Girls Basic T-Shirts Deep Black M</t>
  </si>
  <si>
    <t>100142699GR</t>
  </si>
  <si>
    <t>766380513843</t>
  </si>
  <si>
    <t>Epic Threads Little Girls Unicorn-Print Leg Sweet Berry 2T</t>
  </si>
  <si>
    <t>100154396LG</t>
  </si>
  <si>
    <t>195861091042</t>
  </si>
  <si>
    <t>Carters Carters Baby Girls Tank Top B Blue 24 months</t>
  </si>
  <si>
    <t>195861090793</t>
  </si>
  <si>
    <t>195861369271</t>
  </si>
  <si>
    <t>766380218182</t>
  </si>
  <si>
    <t>First Impressions Baby Boys Print Jogger Pants Navy Nautical 18 months</t>
  </si>
  <si>
    <t>762120496421</t>
  </si>
  <si>
    <t>First Impressions Toddler Girl Twirl-Dye Legging Bright White 4T</t>
  </si>
  <si>
    <t>100141118TG</t>
  </si>
  <si>
    <t>762120496414</t>
  </si>
  <si>
    <t>First Impressions Toddler Girl Twirl-Dye Legging Bright White 3T</t>
  </si>
  <si>
    <t>733002922789</t>
  </si>
  <si>
    <t>Epic Threads Epic Threads Toddler Girls Cam Camo 4T</t>
  </si>
  <si>
    <t>100128902LG</t>
  </si>
  <si>
    <t>766360137755</t>
  </si>
  <si>
    <t>First Impressions Toddler Boys Contrast Collar P Navy Nautical 2T</t>
  </si>
  <si>
    <t>100141663TB</t>
  </si>
  <si>
    <t>733004747427</t>
  </si>
  <si>
    <t>First Impressions Baby Boys Snowboard Toss Jogge Washed Indigo 18 months</t>
  </si>
  <si>
    <t>100136049BB</t>
  </si>
  <si>
    <t>766370874008</t>
  </si>
  <si>
    <t>First Impressions Baby Boys Jeep Jam Joggers Hthr Dune 18 months</t>
  </si>
  <si>
    <t>732999978274</t>
  </si>
  <si>
    <t>Epic Threads Toddler Girls Solid Basic Knit Navy 2T</t>
  </si>
  <si>
    <t>100106449LG</t>
  </si>
  <si>
    <t>766390159697</t>
  </si>
  <si>
    <t>First Impressions Baby Girls Twinkling Lights Tu Winter Ivory 12 months</t>
  </si>
  <si>
    <t>766390159703</t>
  </si>
  <si>
    <t>First Impressions Baby Girls Twinkling Lights Tu Winter Ivory 3-6 months</t>
  </si>
  <si>
    <t>766360133429</t>
  </si>
  <si>
    <t>First Impressions Toddler Girls Mommys Sunshine Spring Daffodil 3T</t>
  </si>
  <si>
    <t>100141127TG</t>
  </si>
  <si>
    <t>766380220239</t>
  </si>
  <si>
    <t>First Impressions Toddler Boys Doodle T-Shirt Snow Owl Hthr 2T</t>
  </si>
  <si>
    <t>100148781TB</t>
  </si>
  <si>
    <t>766360124830</t>
  </si>
  <si>
    <t>First Impressions Baby Boys Girls Bunny Tail P Vanilla Bean 12 months</t>
  </si>
  <si>
    <t>766370874725</t>
  </si>
  <si>
    <t>First Impressions Toddler Boys Solid Mesh Shorts Aquarius 4T</t>
  </si>
  <si>
    <t>766360159368</t>
  </si>
  <si>
    <t>First Impressions Toddler Girls Eyelet Ruffle Sh Bright White 2T</t>
  </si>
  <si>
    <t>100141122TG</t>
  </si>
  <si>
    <t>766370866232</t>
  </si>
  <si>
    <t>100150137TG</t>
  </si>
  <si>
    <t>766370860711</t>
  </si>
  <si>
    <t>First Impressions Toddler Girls Ruffle Shoulder Sweet Berry 4T</t>
  </si>
  <si>
    <t>766370872776</t>
  </si>
  <si>
    <t>First Impressions Baby Boys Plaid Shorts Lime Boost 12 months</t>
  </si>
  <si>
    <t>766380211336</t>
  </si>
  <si>
    <t>First Impressions Baby Girls Heart-Print Peplum Snow Owl Hthr 24 months</t>
  </si>
  <si>
    <t>100150143BG</t>
  </si>
  <si>
    <t>766380211305</t>
  </si>
  <si>
    <t>First Impressions Baby Girls Heart-Print Peplum Snow Owl Hthr 3-6 months</t>
  </si>
  <si>
    <t>766360161040</t>
  </si>
  <si>
    <t>First Impressions Baby Boys Plaid Shorts Sodalite Blue 18 months</t>
  </si>
  <si>
    <t>762120495059</t>
  </si>
  <si>
    <t>First Impressions Baby Boy Plaid Shorts Navy Nautical 3-6 months</t>
  </si>
  <si>
    <t>766360159405</t>
  </si>
  <si>
    <t>First Impressions Toddler Girls Peace Sign Tank Ski Patrol 3T</t>
  </si>
  <si>
    <t>100141147TG</t>
  </si>
  <si>
    <t>766360113421</t>
  </si>
  <si>
    <t>Epic Threads Little Girls Striped T-Shirt White Multi 4T</t>
  </si>
  <si>
    <t>766360113391</t>
  </si>
  <si>
    <t>Epic Threads Little Girls Striped T-Shirt White Multi 6</t>
  </si>
  <si>
    <t>766360113438</t>
  </si>
  <si>
    <t>Epic Threads Little Girls Striped T-Shirt White Multi 6X</t>
  </si>
  <si>
    <t>766360113414</t>
  </si>
  <si>
    <t>Epic Threads Little Girls Striped T-Shirt White Multi 3T</t>
  </si>
  <si>
    <t>766370919471</t>
  </si>
  <si>
    <t>First Impressions Toddler Boys Vacation Stripe T Skygaze 3T</t>
  </si>
  <si>
    <t>766380211596</t>
  </si>
  <si>
    <t>First Impressions Toddler Girls Wild Free Long Hthr Sterling 2T</t>
  </si>
  <si>
    <t>100150140TG</t>
  </si>
  <si>
    <t>733002930180</t>
  </si>
  <si>
    <t>Epic Threads Big Girls Solid Basic Tee, Cre Tango Red XL 20</t>
  </si>
  <si>
    <t>100106445GR</t>
  </si>
  <si>
    <t>766370861046</t>
  </si>
  <si>
    <t>First Impressions Baby Girls Tropical-Print Tuni Deep Black 3-6 months</t>
  </si>
  <si>
    <t>766360158002</t>
  </si>
  <si>
    <t>First Impressions Baby Girls Floral Tunic Shirt Sodalite Blue 24 months</t>
  </si>
  <si>
    <t>766360161071</t>
  </si>
  <si>
    <t>First Impressions Baby Boys Tie Dye Shorts Sodalite Blue 3-6 months</t>
  </si>
  <si>
    <t>100141705BB</t>
  </si>
  <si>
    <t>766370860766</t>
  </si>
  <si>
    <t>First Impressions Toddler Girls Flutter-Sleeve P Coral Topaz 3T</t>
  </si>
  <si>
    <t>100150333TG</t>
  </si>
  <si>
    <t>766370860773</t>
  </si>
  <si>
    <t>First Impressions Toddler Girls Flutter-Sleeve P Coral Topaz 4T</t>
  </si>
  <si>
    <t>766380513508</t>
  </si>
  <si>
    <t>Epic Threads Little Girls Heart-Print T-Shi Bright White 3T</t>
  </si>
  <si>
    <t>100149536LG</t>
  </si>
  <si>
    <t>766370875500</t>
  </si>
  <si>
    <t>First Impressions Toddler Boys Snorkel Shark T-S White Frog 3T</t>
  </si>
  <si>
    <t>766380513478</t>
  </si>
  <si>
    <t>Epic Threads Little Girls Heart-Print T-Shi Bright White 6</t>
  </si>
  <si>
    <t>766380513522</t>
  </si>
  <si>
    <t>Epic Threads Little Girls Heart-Print T-Shi Bright White 6X</t>
  </si>
  <si>
    <t>766360134358</t>
  </si>
  <si>
    <t>First Impressions Baby Girls Cotton Chambray Ruf Dark Blue 18 months</t>
  </si>
  <si>
    <t>733003616953</t>
  </si>
  <si>
    <t>First Impressions VELOUR LEGGING Faintest Pink 6-9 months</t>
  </si>
  <si>
    <t>766360136666</t>
  </si>
  <si>
    <t>First Impressions JERSEY POLO Bright White - 100 Sky Gaze 3-6 months</t>
  </si>
  <si>
    <t>100118227BB</t>
  </si>
  <si>
    <t>766380212548</t>
  </si>
  <si>
    <t>First Impressions Baby Girl RUFFLE BACK LEGGING Blue Poppy 24 months</t>
  </si>
  <si>
    <t>766360112974</t>
  </si>
  <si>
    <t>Epic Threads Little Girls Floral-Print T-Sh Bright White 2T</t>
  </si>
  <si>
    <t>100142707LG</t>
  </si>
  <si>
    <t>766370869479</t>
  </si>
  <si>
    <t>First Impressions Baby Boys Palm Tree-Print Shir Skygaze 12 months</t>
  </si>
  <si>
    <t>766380214238</t>
  </si>
  <si>
    <t>First Impressions Baby Boys Rad Top Navy Nautical 6-9 months</t>
  </si>
  <si>
    <t>766380214221</t>
  </si>
  <si>
    <t>First Impressions Baby Boys Rad Top Navy Nautical 3-6 months</t>
  </si>
  <si>
    <t>732999977758</t>
  </si>
  <si>
    <t>Epic Threads Toddler Girls Short Sleeve Sol Pink 2T</t>
  </si>
  <si>
    <t>766360157784</t>
  </si>
  <si>
    <t>First Impressions Baby Girls Patriotic Pup Tank Light Chambray 6-9 months</t>
  </si>
  <si>
    <t>766360151362</t>
  </si>
  <si>
    <t>First Impressions Baby Girl RUFFLE BACK LEGGING Shell Pink 6-9 months</t>
  </si>
  <si>
    <t>766360151249</t>
  </si>
  <si>
    <t>First Impressions Baby Girl RUFFLE BACK LEGGING Apple Blossom 24 months</t>
  </si>
  <si>
    <t>766360111762</t>
  </si>
  <si>
    <t>Epic Threads Little Girls Basic T-Shirt Spring Daffodil 6X</t>
  </si>
  <si>
    <t>766360111724</t>
  </si>
  <si>
    <t>Epic Threads Little Girls Basic T-Shirt Spring Daffodil 6</t>
  </si>
  <si>
    <t>733003927349</t>
  </si>
  <si>
    <t>First Impressions Baby Boys Tree on Car T-Shirt Black Hthr 18 months</t>
  </si>
  <si>
    <t>766380215549</t>
  </si>
  <si>
    <t>First Impressions Baby Boys Colorblocked T-Shirt Navy Nautical 3-6 months</t>
  </si>
  <si>
    <t>766380215792</t>
  </si>
  <si>
    <t>First Impressions Baby Boys Colorblocked T-Shirt Navy Nautical 18 months</t>
  </si>
  <si>
    <t>766360161798</t>
  </si>
  <si>
    <t>First Impressions Baby Boys Rugby Stripe T-Shirt Blue and Red 3-6 months</t>
  </si>
  <si>
    <t>766360111861</t>
  </si>
  <si>
    <t>Epic Threads Little Girls Solid Basic Tank Sweet Berry 3T</t>
  </si>
  <si>
    <t>100142593LG</t>
  </si>
  <si>
    <t>766360112462</t>
  </si>
  <si>
    <t>Epic Threads Little Girls Solid Basic Tank Shell Pink 4T</t>
  </si>
  <si>
    <t>766360157692</t>
  </si>
  <si>
    <t>First Impressions Baby Girls Eyelet Ruffle Shirt Bright White 18 months</t>
  </si>
  <si>
    <t>766370869080</t>
  </si>
  <si>
    <t>First Impressions Baby Boys Graphic-Print T-Shir Lime Boost 3-6 months</t>
  </si>
  <si>
    <t>766370864238</t>
  </si>
  <si>
    <t>First Impressions Baby Girls Solid Capri Legging Ultra Lime 24 months</t>
  </si>
  <si>
    <t>733003927547</t>
  </si>
  <si>
    <t>First Impressions Baby Boys Tree on a Car T-Shir Black Hthr 18 months</t>
  </si>
  <si>
    <t>766380210971</t>
  </si>
  <si>
    <t>First Impressions Baby Girls Wild Free Top Hthr Sterling 24 months</t>
  </si>
  <si>
    <t>766370861473</t>
  </si>
  <si>
    <t>First Impressions Baby Girls Surfer Girl T-Shirt Bright White 24 months</t>
  </si>
  <si>
    <t>766370860087</t>
  </si>
  <si>
    <t>First Impressions Baby Girls Flutter Tunic Hthr Dune 3-6 months</t>
  </si>
  <si>
    <t>766370869448</t>
  </si>
  <si>
    <t>First Impressions Baby Boys Graphic-Print T-Shir Bright White 6-9 months</t>
  </si>
  <si>
    <t>194170306441</t>
  </si>
  <si>
    <t>PINK SEQUIN SLIP DRESS W</t>
  </si>
  <si>
    <t>H732921</t>
  </si>
  <si>
    <t>191539949011</t>
  </si>
  <si>
    <t>Bonnie Baby Baby Girls Short Sleeved Bow F Burgundy 12 months</t>
  </si>
  <si>
    <t>191539937391</t>
  </si>
  <si>
    <t>Bonnie Baby Baby Girls Short Sleeved Metal Rose 6-9 months</t>
  </si>
  <si>
    <t>191539946034</t>
  </si>
  <si>
    <t>Bonnie Baby Baby Girls Floral Long Sleeved Multi 18 months</t>
  </si>
  <si>
    <t>W5-10172-PL</t>
  </si>
  <si>
    <t>194654816633</t>
  </si>
  <si>
    <t>195958361034</t>
  </si>
  <si>
    <t>4 PACK ONSIES</t>
  </si>
  <si>
    <t>61M90004-99</t>
  </si>
  <si>
    <t>195958361041</t>
  </si>
  <si>
    <t>194135929173</t>
  </si>
  <si>
    <t>Carters Toddler Girls 2-Piece Chambray Assorted 2T</t>
  </si>
  <si>
    <t>195861376231</t>
  </si>
  <si>
    <t>Carters Carters Baby Boys Zip-Up Hood Brown Newborn</t>
  </si>
  <si>
    <t>194133618413</t>
  </si>
  <si>
    <t>Carters Carters Toddler Girl Floral Le Open Miscellaneous 5T</t>
  </si>
  <si>
    <t>2J131910</t>
  </si>
  <si>
    <t>93412710896</t>
  </si>
  <si>
    <t>Nina Girls or Little Girls Nataly White 1 Youth</t>
  </si>
  <si>
    <t>NATALY</t>
  </si>
  <si>
    <t>SYNTHETIC UPPER; RUBBER SOLE</t>
  </si>
  <si>
    <t>18463362221</t>
  </si>
  <si>
    <t>Merrell Girls or Little Girls Jungle India Ink 6 Toddler</t>
  </si>
  <si>
    <t>J95637</t>
  </si>
  <si>
    <t>6 M</t>
  </si>
  <si>
    <t>MERRELL/WOLVERINE WORLDWIDE INC</t>
  </si>
  <si>
    <t>SUEDE UPPER; RUBBER SOLE</t>
  </si>
  <si>
    <t>885031844324</t>
  </si>
  <si>
    <t>Polo Ralph Lauren Big Boys Sullivan Slim Stretch Dell White 8</t>
  </si>
  <si>
    <t>194170374891</t>
  </si>
  <si>
    <t>Rare Editions Toddler Girls Ombre Soutache I Blue 4T</t>
  </si>
  <si>
    <t>E794172</t>
  </si>
  <si>
    <t>885031284588</t>
  </si>
  <si>
    <t>Polo Ralph Lauren Polo Ralph Lauren Big Boys Mes Newport Navy S 8</t>
  </si>
  <si>
    <t>882925813152</t>
  </si>
  <si>
    <t>Polo Ralph Lauren Polo Ralph Lauren Big Boys Mes White XL 1820</t>
  </si>
  <si>
    <t>882925248602</t>
  </si>
  <si>
    <t>Polo Ralph Lauren Baby Boys Cotton Coverall Campus Blue 9 months</t>
  </si>
  <si>
    <t>194170375942</t>
  </si>
  <si>
    <t>Rare Editions Little Girls Lurex Brocade Dre Aqua 5</t>
  </si>
  <si>
    <t>E794052</t>
  </si>
  <si>
    <t>194931144992</t>
  </si>
  <si>
    <t>Calvin Klein Big Girls Mesh Garden Sleevele White 14</t>
  </si>
  <si>
    <t>CDSEH01S-100</t>
  </si>
  <si>
    <t>194170376406</t>
  </si>
  <si>
    <t>Rare Editions Toddler Girls Floral Flutter S Ivory 3T</t>
  </si>
  <si>
    <t>E794102</t>
  </si>
  <si>
    <t>194931228098</t>
  </si>
  <si>
    <t>Nautica Baby Boys 3-Pc. Shirt, Sweater Roasted Rouge 18 months</t>
  </si>
  <si>
    <t>NDFEI02C-605</t>
  </si>
  <si>
    <t>193605883328</t>
  </si>
  <si>
    <t>Nine West Nine West Big Girls Bella Boot Black 5M</t>
  </si>
  <si>
    <t>9KF BELLA</t>
  </si>
  <si>
    <t>194870569252</t>
  </si>
  <si>
    <t>adidas Big Boys Brand Love Hoodie Collegiate Green S 8</t>
  </si>
  <si>
    <t>AA7293</t>
  </si>
  <si>
    <t>882925807090</t>
  </si>
  <si>
    <t>Polo Ralph Lauren Polo Ralph Lauren Toddler Boys White 2T</t>
  </si>
  <si>
    <t>190618966178</t>
  </si>
  <si>
    <t>Polo Ralph Lauren Big Boys Big Pony Jersey T-shi White M 1012</t>
  </si>
  <si>
    <t>882925925800</t>
  </si>
  <si>
    <t>Polo Ralph Lauren Baby Boys Plaid Cotton Poplin Navy Green 6 months</t>
  </si>
  <si>
    <t>193392910795</t>
  </si>
  <si>
    <t>The North Face Big Girls Printed Amphibious C Wisteria Purple M Regular</t>
  </si>
  <si>
    <t>NF0A7QJYA7M</t>
  </si>
  <si>
    <t>194170342012</t>
  </si>
  <si>
    <t>Rare Editions Toddler Girls Embroidered Hi L Blush 2T</t>
  </si>
  <si>
    <t>E790832</t>
  </si>
  <si>
    <t>617844318149</t>
  </si>
  <si>
    <t>Levis Boys 511 Performance Jeans Well Worn 20</t>
  </si>
  <si>
    <t>195251347919</t>
  </si>
  <si>
    <t>Under Armour Under Armour Big Boys Rival Fl Tech Blue Medium</t>
  </si>
  <si>
    <t>MADE IN HONDURAS</t>
  </si>
  <si>
    <t>COTTON/ POLYESTER; POCKET LINING: POLYESTER</t>
  </si>
  <si>
    <t>195251386970</t>
  </si>
  <si>
    <t>Under Armour Big Girls Rival Fleece Joggers Black Small</t>
  </si>
  <si>
    <t>882925851666</t>
  </si>
  <si>
    <t>Polo Ralph Lauren Little Boys Polo Bear Jersey T Skipper Bearwaiian Cruise Navy 7</t>
  </si>
  <si>
    <t>190618961630</t>
  </si>
  <si>
    <t>Polo Ralph Lauren Little Boys Big Pony Jersey T- White 5</t>
  </si>
  <si>
    <t>882925892492</t>
  </si>
  <si>
    <t>Polo Ralph Lauren Big Boys Polo Logo T-shirt Cruise Navy S 810</t>
  </si>
  <si>
    <t>193605879055</t>
  </si>
  <si>
    <t>Sugar Sugar Little Girls Kringle Boo Taupe 11M</t>
  </si>
  <si>
    <t>SGK KRINGLE</t>
  </si>
  <si>
    <t>11 M</t>
  </si>
  <si>
    <t>192532115274</t>
  </si>
  <si>
    <t>Mac Moon Baby Boys Dinosaur Pajama Set, Blue Multi 24 months</t>
  </si>
  <si>
    <t>DS21M1551</t>
  </si>
  <si>
    <t>MAC AND MOON/KANOPY BABY BRANDS</t>
  </si>
  <si>
    <t>194870572665</t>
  </si>
  <si>
    <t>adidas Big Boys Melange Event Hoodie Collegiate Green Heather XL 1820</t>
  </si>
  <si>
    <t>194870572252</t>
  </si>
  <si>
    <t>adidas Big Boys Bold Printed 3-Stripe Black with Gray S 8</t>
  </si>
  <si>
    <t>AA7216</t>
  </si>
  <si>
    <t>194753906587</t>
  </si>
  <si>
    <t>Under Armour Little Boys Mock-Neck Zip-Up T Dark Gray 7</t>
  </si>
  <si>
    <t>UAFEI88J-022</t>
  </si>
  <si>
    <t>825663243850</t>
  </si>
  <si>
    <t>Jordan Jordan Little Boys Pixel Fligh Black 6</t>
  </si>
  <si>
    <t>85B579G</t>
  </si>
  <si>
    <t>194501661041</t>
  </si>
  <si>
    <t>Nike Nike Big Boys Dri-Fit Elite Ba Blackwhite S 810</t>
  </si>
  <si>
    <t>DA0173</t>
  </si>
  <si>
    <t>807421429102</t>
  </si>
  <si>
    <t>Levis Levis Levis X Clements Twins Country Blue L 1214</t>
  </si>
  <si>
    <t>41E158F</t>
  </si>
  <si>
    <t>807421527150</t>
  </si>
  <si>
    <t>Nike Nike Toddler Boys Read Print T Midnight Navy 3T</t>
  </si>
  <si>
    <t>76J217G</t>
  </si>
  <si>
    <t>652874423203</t>
  </si>
  <si>
    <t>Speechless Speechless Big Girls Casual V- Blue 7</t>
  </si>
  <si>
    <t>807421551759</t>
  </si>
  <si>
    <t>Nike Nike Toddler Boys Thrill Short Carbon Heather 2T</t>
  </si>
  <si>
    <t>194870755136</t>
  </si>
  <si>
    <t>adidas Little Boys Short Sleeve Cotto White with Navy 4</t>
  </si>
  <si>
    <t>194870755143</t>
  </si>
  <si>
    <t>adidas Little Boys Short Sleeve Cotto White with Navy 5</t>
  </si>
  <si>
    <t>882925705273</t>
  </si>
  <si>
    <t>Polo Ralph Lauren Baby Boys Waffle-Knit Cotton T Navy 3 months</t>
  </si>
  <si>
    <t>882925885609</t>
  </si>
  <si>
    <t>Polo Ralph Lauren Little Boys Logo Mesh Tank Gold-Tone Bugle 5</t>
  </si>
  <si>
    <t>652874284125</t>
  </si>
  <si>
    <t>Speechless Big Girls Floral Chiffon Tiere Mustard, Rose 8</t>
  </si>
  <si>
    <t>C4033D02CM16</t>
  </si>
  <si>
    <t>194170271633</t>
  </si>
  <si>
    <t>Rare Editions Little Girls Sweater Dress wit Blush 5</t>
  </si>
  <si>
    <t>H731431</t>
  </si>
  <si>
    <t>195958616103</t>
  </si>
  <si>
    <t>Timberland Timberland Big Boys Camo Amphi Mineral Green L 1416</t>
  </si>
  <si>
    <t>194170412333</t>
  </si>
  <si>
    <t>Rare Editions Big Girls Rib Knit Top and Pri Mustard 16</t>
  </si>
  <si>
    <t>807421552558</t>
  </si>
  <si>
    <t>Nike Toddler Boys Thrill Print Shor Black 2T</t>
  </si>
  <si>
    <t>194870730171</t>
  </si>
  <si>
    <t>adidas Big Girls 3 Stripe All Over Pr White with Blue L 14</t>
  </si>
  <si>
    <t>AK4801</t>
  </si>
  <si>
    <t>194870558461</t>
  </si>
  <si>
    <t>adidas Big Boys Zip Front Event Trico White S 8</t>
  </si>
  <si>
    <t>AP5529</t>
  </si>
  <si>
    <t>195861099376</t>
  </si>
  <si>
    <t>Carters Little Bumble Bee Halloween Co Stripe 3-6 months</t>
  </si>
  <si>
    <t>1N722310</t>
  </si>
  <si>
    <t>194894652039</t>
  </si>
  <si>
    <t>Columbia Columbia Big Girls Sandy Shore Nocturnal Sundae S</t>
  </si>
  <si>
    <t>194870756645</t>
  </si>
  <si>
    <t>adidas Baby Boys T-shirt and Graphic Semi Solar Yellow Heather 12M</t>
  </si>
  <si>
    <t>AG6365N</t>
  </si>
  <si>
    <t>194870574782</t>
  </si>
  <si>
    <t>adidas Toddler Girls Aeroready Brand Black with Silver 3T</t>
  </si>
  <si>
    <t>194870756652</t>
  </si>
  <si>
    <t>adidas Baby Boys T-shirt and Graphic Semi Solar Yellow Heather 18M</t>
  </si>
  <si>
    <t>194257417961</t>
  </si>
  <si>
    <t>Champion Big Boys Dip Dye Fleece Sweats Cargo Olive Camo Medium</t>
  </si>
  <si>
    <t>CHB319</t>
  </si>
  <si>
    <t>195958623538</t>
  </si>
  <si>
    <t>Timberland Timberland Big Boys Tree Logo Black S 8</t>
  </si>
  <si>
    <t>195238065010</t>
  </si>
  <si>
    <t>Nike Big Girls Extended Size Dri-Fi White, Black XL PLUS</t>
  </si>
  <si>
    <t>DH6597</t>
  </si>
  <si>
    <t>884503177434</t>
  </si>
  <si>
    <t>French Toast French Toast Little Boys Workw Navy 5</t>
  </si>
  <si>
    <t>1524D</t>
  </si>
  <si>
    <t>5 SLIM</t>
  </si>
  <si>
    <t>FRENCH TOAST.COM LLC</t>
  </si>
  <si>
    <t>COTTON, POLYESTER</t>
  </si>
  <si>
    <t>195958376748</t>
  </si>
  <si>
    <t>Kids Headquarters Kids Headquarters Baby Girls F Blue 24M</t>
  </si>
  <si>
    <t>11M02114-99</t>
  </si>
  <si>
    <t>194654546288</t>
  </si>
  <si>
    <t>Carters Carters Toddler Boys Chance B Navy 6M</t>
  </si>
  <si>
    <t>CF21S06B</t>
  </si>
  <si>
    <t>195958481947</t>
  </si>
  <si>
    <t>Tommy Hilfiger Tommy Hilfiger Little Girls So Coral 6X</t>
  </si>
  <si>
    <t>61M21102-99</t>
  </si>
  <si>
    <t>195958481916</t>
  </si>
  <si>
    <t>Tommy Hilfiger Tommy Hilfiger Little Girls So Coral 4</t>
  </si>
  <si>
    <t>733004542176</t>
  </si>
  <si>
    <t>Epic Threads Big Girls Wide Leg Corduroy Pa Euphoria 14</t>
  </si>
  <si>
    <t>100134591GR</t>
  </si>
  <si>
    <t>196027127612</t>
  </si>
  <si>
    <t>AME Big Boys 4-Pc. Minecraft Pajam Green 8</t>
  </si>
  <si>
    <t>MF375BSOMA</t>
  </si>
  <si>
    <t>652874408224</t>
  </si>
  <si>
    <t>Speechless Speechless Big Girls Ditsy Flo Sage, White XLarge</t>
  </si>
  <si>
    <t>195958893856</t>
  </si>
  <si>
    <t>Blueberi Boulevard Baby Girls Mesh Gingham Tiered Orange, White 12 months</t>
  </si>
  <si>
    <t>195958893849</t>
  </si>
  <si>
    <t>Blueberi Boulevard Baby Girls Mesh Gingham Tiered Orange, White 6-9 months</t>
  </si>
  <si>
    <t>193585457779</t>
  </si>
  <si>
    <t>adidas Big Boys AEROREADY Pro Sport 3 Black S 8</t>
  </si>
  <si>
    <t>194870776551</t>
  </si>
  <si>
    <t>adidas Big Boys Elastic Waistband Bol Black S 8</t>
  </si>
  <si>
    <t>652874408446</t>
  </si>
  <si>
    <t>Speechless Speechless Big Girls Ditsy Flo Fuchsia, White Large</t>
  </si>
  <si>
    <t>766370069046</t>
  </si>
  <si>
    <t>Epic Threads Big Girls Butterfly All Over P Gold-Tone Haze XL 16</t>
  </si>
  <si>
    <t>100145629GR</t>
  </si>
  <si>
    <t>195958841499</t>
  </si>
  <si>
    <t>Tommy Hilfiger Tommy Hilfiger Toddler Girls S Flamingo Plume 3T</t>
  </si>
  <si>
    <t>TGMDH07V-652</t>
  </si>
  <si>
    <t>194135885301</t>
  </si>
  <si>
    <t>Carters Carters Baby Boys 2-Piece Sai Green 6 months</t>
  </si>
  <si>
    <t>1N057810</t>
  </si>
  <si>
    <t>194257620811</t>
  </si>
  <si>
    <t>Champion Big Girls Glitter C Script Hoo Black M 1012</t>
  </si>
  <si>
    <t>CHG369</t>
  </si>
  <si>
    <t>660168537673</t>
  </si>
  <si>
    <t>Hudson Baby Hudson Baby Baby Toddler Girls Multi 5T</t>
  </si>
  <si>
    <t>766380273990</t>
  </si>
  <si>
    <t>Epic Threads Big Girls Color Blocked Dress Safflower S 7</t>
  </si>
  <si>
    <t>100151680GR</t>
  </si>
  <si>
    <t>195958790117</t>
  </si>
  <si>
    <t>Calvin Klein Calvin Klein Big Girls Denim P Chambray S 7</t>
  </si>
  <si>
    <t>CKSFC14S-499</t>
  </si>
  <si>
    <t>196325130185</t>
  </si>
  <si>
    <t>Disney Toddler Girls Princess Ariel D Purple 2T</t>
  </si>
  <si>
    <t>T000105GD13880</t>
  </si>
  <si>
    <t>194257384683</t>
  </si>
  <si>
    <t>Champion Little Boys All Over Print Cam Camo Desert 6</t>
  </si>
  <si>
    <t>194257619815</t>
  </si>
  <si>
    <t>Champion Toddler Girls Glitter C Script Black 2T</t>
  </si>
  <si>
    <t>766390062089</t>
  </si>
  <si>
    <t>Epic Threads Big Girls Stella Groovy Shorts Cornsilk S</t>
  </si>
  <si>
    <t>733002463428</t>
  </si>
  <si>
    <t>First Impressions Baby Boys 4-Pack Dinosaur Cott Bright White Newborn</t>
  </si>
  <si>
    <t>100116897BB</t>
  </si>
  <si>
    <t>766380208411</t>
  </si>
  <si>
    <t>Epic Threads Epic Threads Toddler Girls Sho Angel White 2T</t>
  </si>
  <si>
    <t>766380208398</t>
  </si>
  <si>
    <t>Epic Threads Epic Threads Little Girls Shor Angel White 5</t>
  </si>
  <si>
    <t>195958372566</t>
  </si>
  <si>
    <t>Timberland Timberland Toddler Boys Short Black 4T</t>
  </si>
  <si>
    <t>41M42004-99</t>
  </si>
  <si>
    <t>195958400696</t>
  </si>
  <si>
    <t>Timberland Timberland Toddler Boy Short S White 3T</t>
  </si>
  <si>
    <t>41M42008-99</t>
  </si>
  <si>
    <t>194870569108</t>
  </si>
  <si>
    <t>adidas Little Boys Long Sleeve Double Black 4</t>
  </si>
  <si>
    <t>195958495364</t>
  </si>
  <si>
    <t>Tommy Hilfiger Little Boys Camo Boxer Briefs, Navy Blazer S 67</t>
  </si>
  <si>
    <t>TSSFJ08K-405</t>
  </si>
  <si>
    <t>195958356894</t>
  </si>
  <si>
    <t>Tommy Hilfiger Tommy Hilfiger Baby Boys Logo White 12 months</t>
  </si>
  <si>
    <t>61M72019-99</t>
  </si>
  <si>
    <t>193579772277</t>
  </si>
  <si>
    <t>Tommy Hilfiger Baby Girls 2-Pc. Cotton Chambr Assorted 18 months</t>
  </si>
  <si>
    <t>61I02612-99</t>
  </si>
  <si>
    <t>194870738290</t>
  </si>
  <si>
    <t>adidas Big Boys Glitchy All-Over-Prin White with Blue XL 1820</t>
  </si>
  <si>
    <t>194135944671</t>
  </si>
  <si>
    <t>Carters Toddler Girls 4-Piece Rainbow Print 4T</t>
  </si>
  <si>
    <t>194135942066</t>
  </si>
  <si>
    <t>Carters Toddler Girls 4-Piece Strawber Print 4T</t>
  </si>
  <si>
    <t>194135949515</t>
  </si>
  <si>
    <t>Carters Toddler Girls 4-Piece Snug Fit Pink 3T</t>
  </si>
  <si>
    <t>194135943889</t>
  </si>
  <si>
    <t>Carters Toddler Girls 4-Piece Snug Fit Pink Dino 3T</t>
  </si>
  <si>
    <t>194277467151</t>
  </si>
  <si>
    <t>Nike Nike Big Girls Trophy Sports B Black Medium</t>
  </si>
  <si>
    <t>BODY: 89% POLYESTER/11% SPANDEX; BOTTOM HEM: 87% POLYESTER/13% SPANDEX</t>
  </si>
  <si>
    <t>195241847801</t>
  </si>
  <si>
    <t>Nike Nike Big Boys Sportswear T-shi Lime Ice XL 1820</t>
  </si>
  <si>
    <t>DJ6661</t>
  </si>
  <si>
    <t>Imperial Star Imperial Star Big Girls Denim Faith Wash 16</t>
  </si>
  <si>
    <t>766360131012</t>
  </si>
  <si>
    <t>First Impressions Baby Boys 2-Pc. Overall Set Navy Nautical 6-9 months</t>
  </si>
  <si>
    <t>100141037BB</t>
  </si>
  <si>
    <t>195958047426</t>
  </si>
  <si>
    <t>10L42013-99</t>
  </si>
  <si>
    <t>762120330114</t>
  </si>
  <si>
    <t>ID Ideology Big Girls Camo-Print Top Deep Black XL</t>
  </si>
  <si>
    <t>195861366898</t>
  </si>
  <si>
    <t>Carters Carters Baby Girls Floral Sho Green 12 months</t>
  </si>
  <si>
    <t>1N958410</t>
  </si>
  <si>
    <t>196325130116</t>
  </si>
  <si>
    <t>Disney Little Girls Disney Princesses Pink 6X</t>
  </si>
  <si>
    <t>196325130017</t>
  </si>
  <si>
    <t>Disney Toddler Girls Rainbow Minnie D Heather Gray 3T</t>
  </si>
  <si>
    <t>196019037899</t>
  </si>
  <si>
    <t>Breaking Waves Big Girls 2-Pc.Tie-Dye Swimsui Open 14</t>
  </si>
  <si>
    <t>195958547674</t>
  </si>
  <si>
    <t>Tommy Hilfiger Tommy Hilfiger Big Girls Hipst Multi S</t>
  </si>
  <si>
    <t>TSSFJ27X-405</t>
  </si>
  <si>
    <t>196325130024</t>
  </si>
  <si>
    <t>Disney Little Girls Rainbow Minnie Dr Heather Gray 4</t>
  </si>
  <si>
    <t>196325130055</t>
  </si>
  <si>
    <t>Disney Little Girls Rainbow Minnie Dr Heather Gray 6X</t>
  </si>
  <si>
    <t>194257454430</t>
  </si>
  <si>
    <t>Champion Little Boys Signature Fleece H Navy 4</t>
  </si>
  <si>
    <t>CHY302</t>
  </si>
  <si>
    <t>194753797093</t>
  </si>
  <si>
    <t>Under Armour Under Armour Toddler Boys Braw Pitch Gray 2T</t>
  </si>
  <si>
    <t>UAFEC10D-022</t>
  </si>
  <si>
    <t>825663252579</t>
  </si>
  <si>
    <t>Nike Nike Little Boys Daze Dri-fit Game Royal 4</t>
  </si>
  <si>
    <t>807421546663</t>
  </si>
  <si>
    <t>Nike Nike Little Boys Dri-FIT Baske Black 7</t>
  </si>
  <si>
    <t>86J061G</t>
  </si>
  <si>
    <t>807421556211</t>
  </si>
  <si>
    <t>Nike Nike Little Boys Blocked Dri-F Midnight Navy 7</t>
  </si>
  <si>
    <t>733004762826</t>
  </si>
  <si>
    <t>ID Ideology Big Girls Girls Can Hooded Z First Blush XL 16</t>
  </si>
  <si>
    <t>100136610GR</t>
  </si>
  <si>
    <t>766360146429</t>
  </si>
  <si>
    <t>First Impressions Baby Boys 2-Pk. Coveralls Under the Sea 3-6 months</t>
  </si>
  <si>
    <t>100141573BB</t>
  </si>
  <si>
    <t>194870756836</t>
  </si>
  <si>
    <t>adidas Little Boys Graphic Shorts, 2 Semi Solar Yellow Heather 4</t>
  </si>
  <si>
    <t>AG6365C</t>
  </si>
  <si>
    <t>194133363092</t>
  </si>
  <si>
    <t>Carters Baby Boys 4-Pk. Printed Long-S Multi 18 months</t>
  </si>
  <si>
    <t>194133363139</t>
  </si>
  <si>
    <t>Carters Baby Boys 4-Pk. Printed Long-S Multi 9 months</t>
  </si>
  <si>
    <t>766370069497</t>
  </si>
  <si>
    <t>Epic Threads Big Girls Butterfly All Over P Spacious Skies XL 16</t>
  </si>
  <si>
    <t>100145633GR</t>
  </si>
  <si>
    <t>192401174197</t>
  </si>
  <si>
    <t>Ring of Fire Ring of Fire Big Boys Cool Spa Black M 1012</t>
  </si>
  <si>
    <t>RBB0873</t>
  </si>
  <si>
    <t>RING OF FIRE/ROF LLC</t>
  </si>
  <si>
    <t>766370903555</t>
  </si>
  <si>
    <t>ID Ideology Big Girls Mesh Accent Zip Hood Rose Shadow M 1012</t>
  </si>
  <si>
    <t>807421683429</t>
  </si>
  <si>
    <t>Converse Converse Big Girls Tie Front G Converse Beyond Pink L 16</t>
  </si>
  <si>
    <t>4CC376E</t>
  </si>
  <si>
    <t>886275125606</t>
  </si>
  <si>
    <t>Capezio Capezio Big Girls Gusset Short Black Small</t>
  </si>
  <si>
    <t>TB130L</t>
  </si>
  <si>
    <t>194257148957</t>
  </si>
  <si>
    <t>Champion Champion Little Girls Script F Pink Candy 4</t>
  </si>
  <si>
    <t>733004951978</t>
  </si>
  <si>
    <t>First Impressions Baby Boys 2-Pc. Surf Local Ras Navy Sea 18 months</t>
  </si>
  <si>
    <t>733003959234</t>
  </si>
  <si>
    <t>Epic Threads Little Boys Basic Tee Bundle, GreyNavyRed 5</t>
  </si>
  <si>
    <t>766360650193</t>
  </si>
  <si>
    <t>ID Ideology Big Girls Colorblocked Jacket Hthr Grey M 1012</t>
  </si>
  <si>
    <t>100141026GR</t>
  </si>
  <si>
    <t>766360650186</t>
  </si>
  <si>
    <t>ID Ideology Big Girls Colorblocked Jacket Hthr Grey S 78</t>
  </si>
  <si>
    <t>194870433614</t>
  </si>
  <si>
    <t>adidas Toddler Girls Long Sleeve Vent White with Green 3T</t>
  </si>
  <si>
    <t>AA4917</t>
  </si>
  <si>
    <t>195958125469</t>
  </si>
  <si>
    <t>Kids Headquarters Baby Girls 2-Pc. Multi-Pattern Oarmeal Heather 12 months</t>
  </si>
  <si>
    <t>11L02009-99</t>
  </si>
  <si>
    <t>195958125483</t>
  </si>
  <si>
    <t>Kids Headquarters Baby Girls 2-Pc. Multi-Pattern Oarmeal Heather 24 months</t>
  </si>
  <si>
    <t>196122519640</t>
  </si>
  <si>
    <t>Koala Baby Koala Baby Girls Fox Printed B Blush 3-6 months</t>
  </si>
  <si>
    <t>733004762703</t>
  </si>
  <si>
    <t>ID Ideology Big Girls Girls Can Jogger P Rose Shadow M 1012</t>
  </si>
  <si>
    <t>696114450949</t>
  </si>
  <si>
    <t>Sleep On It Big Girls T-shirt and Shorts w Pink XLarge</t>
  </si>
  <si>
    <t>552988-MA</t>
  </si>
  <si>
    <t>696114463253</t>
  </si>
  <si>
    <t>Sleep On It Big Girls Jersey T-shirt and S Aqua 1012</t>
  </si>
  <si>
    <t>552628AQ-MA</t>
  </si>
  <si>
    <t>696114462928</t>
  </si>
  <si>
    <t>Sleep On It Big Girls Jersey T-shirt and S Pink 1012</t>
  </si>
  <si>
    <t>553008PK-MA</t>
  </si>
  <si>
    <t>696114462898</t>
  </si>
  <si>
    <t>Sleep On It Big Girls T-shirt and Shorts P Blue 1012</t>
  </si>
  <si>
    <t>553058BL-MA</t>
  </si>
  <si>
    <t>696114462867</t>
  </si>
  <si>
    <t>Sleep On It Big Girls T-shirt and Shorts w Purple 1012</t>
  </si>
  <si>
    <t>553008PE-MA</t>
  </si>
  <si>
    <t>696114450369</t>
  </si>
  <si>
    <t>Max Olivia Big Boys T-shirt and Shorts Pa Red M 810</t>
  </si>
  <si>
    <t>733004722707</t>
  </si>
  <si>
    <t>First Impressions Baby Girls 2-Pc. Glitter Velou Lavender Pool 3-6 months</t>
  </si>
  <si>
    <t>766360650247</t>
  </si>
  <si>
    <t>ID Ideology Big Girls Shirred Hoodie Jet Ski M 1012</t>
  </si>
  <si>
    <t>195958485884</t>
  </si>
  <si>
    <t>Kids Headquarters Kids Headquarters Toddler Boys Green 4T</t>
  </si>
  <si>
    <t>195958485976</t>
  </si>
  <si>
    <t>Kids Headquarters Kids Headquarters Toddler Boys Black 4T</t>
  </si>
  <si>
    <t>10M42020-99</t>
  </si>
  <si>
    <t>195958485969</t>
  </si>
  <si>
    <t>Kids Headquarters Kids Headquarters Toddler Boys Black 3T</t>
  </si>
  <si>
    <t>195958486072</t>
  </si>
  <si>
    <t>Kids Headquarters Kids Headquarters Little Boys Green 5</t>
  </si>
  <si>
    <t>10M52014-99</t>
  </si>
  <si>
    <t>195958486218</t>
  </si>
  <si>
    <t>Kids Headquarters Kids Headquarters Little Boys Black 7</t>
  </si>
  <si>
    <t>195958486195</t>
  </si>
  <si>
    <t>Kids Headquarters Kids Headquarters Little Boys Black 5</t>
  </si>
  <si>
    <t>195958685727</t>
  </si>
  <si>
    <t>195958836693</t>
  </si>
  <si>
    <t>Calvin Klein Calvin Klein Performance Big G Multi 7</t>
  </si>
  <si>
    <t>CASFA07S-100</t>
  </si>
  <si>
    <t>194870567715</t>
  </si>
  <si>
    <t>adidas Little Boys Long Sleeve Warped Black 5</t>
  </si>
  <si>
    <t>AA7307</t>
  </si>
  <si>
    <t>194870738207</t>
  </si>
  <si>
    <t>adidas adidas Toddler Boys Short Slee White with Blue 3T</t>
  </si>
  <si>
    <t>196258052752</t>
  </si>
  <si>
    <t>Calvin Klein Big Girls Hipster Set, 3 Piece Pink Logo Tie Dye, Heather Gra S</t>
  </si>
  <si>
    <t>7100F</t>
  </si>
  <si>
    <t>194135857650</t>
  </si>
  <si>
    <t>Carters Carters Baby Girls 2-Piece Bo Turquoise 9 months</t>
  </si>
  <si>
    <t>194135870871</t>
  </si>
  <si>
    <t>Carters Carters Baby Boys 2-Pack Romp Gray 9 months</t>
  </si>
  <si>
    <t>196258076802</t>
  </si>
  <si>
    <t>Maidenform Big Girls 3-Pack Cropped Br Multbrstw S 68</t>
  </si>
  <si>
    <t>193666517781</t>
  </si>
  <si>
    <t>Maidenform Little Big Girls 2-Pack Seam Black Heather Gray XL 1820</t>
  </si>
  <si>
    <t>195958390485</t>
  </si>
  <si>
    <t>Tommy Hilfiger Tommy Hilfiger Big Girls Hipst Multi XL 16</t>
  </si>
  <si>
    <t>TSSFJ24X-669</t>
  </si>
  <si>
    <t>195958390478</t>
  </si>
  <si>
    <t>Tommy Hilfiger Tommy Hilfiger Big Girls Hipst Multi S 67</t>
  </si>
  <si>
    <t>195958390461</t>
  </si>
  <si>
    <t>Tommy Hilfiger Tommy Hilfiger Big Girls Hipst Multi M 810</t>
  </si>
  <si>
    <t>195958390515</t>
  </si>
  <si>
    <t>Tommy Hilfiger Tommy Hilfiger Big Girls Hipst Multi L</t>
  </si>
  <si>
    <t>195958390539</t>
  </si>
  <si>
    <t>194753662148</t>
  </si>
  <si>
    <t>TSSEJ23X-100</t>
  </si>
  <si>
    <t>733004750564</t>
  </si>
  <si>
    <t>Epic Threads Big Girls All Over Print Velou Aqua L 1416</t>
  </si>
  <si>
    <t>195861318477</t>
  </si>
  <si>
    <t>Carters Carters Baby Girls French Ter White 12 months</t>
  </si>
  <si>
    <t>195861318521</t>
  </si>
  <si>
    <t>Carters Carters Baby Girls French Ter White 9 months</t>
  </si>
  <si>
    <t>195861293422</t>
  </si>
  <si>
    <t>Carters Carters Baby Boys Dinosaur Je Assorted 6 months</t>
  </si>
  <si>
    <t>194257370020</t>
  </si>
  <si>
    <t>Champion Little Girls Ombre C Script White Pink 6</t>
  </si>
  <si>
    <t>696114451717</t>
  </si>
  <si>
    <t>Max Olivia Baby Girls All Over Printed Pa Pink 18 months</t>
  </si>
  <si>
    <t>762120330039</t>
  </si>
  <si>
    <t>ID Ideology Little Toddler Girls Camo-Pr Indigo Sea 6</t>
  </si>
  <si>
    <t>762120330060</t>
  </si>
  <si>
    <t>ID Ideology Little Toddler Girls Camo-Pr Indigo Sea 2T</t>
  </si>
  <si>
    <t>807421755638</t>
  </si>
  <si>
    <t>Nike Nike Baby Girls Coverall Arctic Punch 9 months</t>
  </si>
  <si>
    <t>194257797605</t>
  </si>
  <si>
    <t>Champion Baby Boys All Over Print Tosse Sunbeam Glow, Navy 12 months</t>
  </si>
  <si>
    <t>192401296530</t>
  </si>
  <si>
    <t>Ring of Fire Ring of Fire Big Boys Hide Dow Black L 1416</t>
  </si>
  <si>
    <t>RBB0994A</t>
  </si>
  <si>
    <t>46094961919</t>
  </si>
  <si>
    <t>Calvin Klein Big Boys Boxer Brief, Pack of Blue Heather Gray M 78</t>
  </si>
  <si>
    <t>194870735350</t>
  </si>
  <si>
    <t>adidas Little Boys Short Sleeve Ameri White 4</t>
  </si>
  <si>
    <t>716106913945</t>
  </si>
  <si>
    <t>adidas adidas Big Boys Cushioned Angl Black M</t>
  </si>
  <si>
    <t>5150385B</t>
  </si>
  <si>
    <t>ADIDAS SOCKS/AGRON INC BOYS</t>
  </si>
  <si>
    <t>79092450819</t>
  </si>
  <si>
    <t>First Impressions Hi-Top Sneakers, Baby Boys 0- Black 4</t>
  </si>
  <si>
    <t>79092450802</t>
  </si>
  <si>
    <t>First Impressions Hi-Top Sneakers, Baby Boys 0- Black 3</t>
  </si>
  <si>
    <t>766370762602</t>
  </si>
  <si>
    <t>Epic Threads Big Boys Knit Terry Shorts Gossamer Green M 1012</t>
  </si>
  <si>
    <t>100151804BO</t>
  </si>
  <si>
    <t>196258047000</t>
  </si>
  <si>
    <t>Calvin Klein Big Boys Boxer Brief, Pack of Deep Moat Blue, Black Iris S</t>
  </si>
  <si>
    <t>46094705193</t>
  </si>
  <si>
    <t>Calvin Klein 3-Pack Cotton Briefs, Toddler, Blue Bell XL 1618</t>
  </si>
  <si>
    <t>766380189000</t>
  </si>
  <si>
    <t>ID Ideology Big Girls Colorblocked Twofer Mock Orange M 1012</t>
  </si>
  <si>
    <t>766370912427</t>
  </si>
  <si>
    <t>ID Ideology Big Girls Pleated Tennis Skort Pink Hustle L 14</t>
  </si>
  <si>
    <t>100148276GR</t>
  </si>
  <si>
    <t>762120689311</t>
  </si>
  <si>
    <t>ID Ideology Big Girls Faux-Layer Tank Jet Ski M 1012</t>
  </si>
  <si>
    <t>766360438616</t>
  </si>
  <si>
    <t>ID Ideology Big Girls Pleated Tennis Skort Jet Ski M 1012</t>
  </si>
  <si>
    <t>195861101055</t>
  </si>
  <si>
    <t>Carters Baby Girls Halloween Bodysuit White 6 months</t>
  </si>
  <si>
    <t>195861101048</t>
  </si>
  <si>
    <t>Carters Baby Girls Halloween Bodysuit White 3 months</t>
  </si>
  <si>
    <t>195861101086</t>
  </si>
  <si>
    <t>Carters Baby Girls Halloween Bodysuit White Newborn</t>
  </si>
  <si>
    <t>194257878441</t>
  </si>
  <si>
    <t>Champion Champion Big Girls Diagonal Sc Knockout Pink L 1416</t>
  </si>
  <si>
    <t>762120956239</t>
  </si>
  <si>
    <t>ID Ideology Big Girls Hibiscus-Print Leggi Jet Ski S 78</t>
  </si>
  <si>
    <t>194257878458</t>
  </si>
  <si>
    <t>Champion Champion Big Girls Diagonal Sc Knockout Pink XL 1820</t>
  </si>
  <si>
    <t>766360447816</t>
  </si>
  <si>
    <t>ID Ideology Big Girls Geo-Print Leggings Pistachio Green XXL 18</t>
  </si>
  <si>
    <t>46094831595</t>
  </si>
  <si>
    <t>Maidenform Maidenform Little Big Girls White 34A</t>
  </si>
  <si>
    <t>34 A</t>
  </si>
  <si>
    <t>193666160031</t>
  </si>
  <si>
    <t>Maidenform Little Big Girls Seamless Hy Nude 32A</t>
  </si>
  <si>
    <t>32 A</t>
  </si>
  <si>
    <t>194135458031</t>
  </si>
  <si>
    <t>Carters Baby Girls 2-Pc. Elf Bodysuit Red 24 months</t>
  </si>
  <si>
    <t>1M093810</t>
  </si>
  <si>
    <t>195958495449</t>
  </si>
  <si>
    <t>Tommy Hilfiger Little Boys Stripe Boxer Brief Navy Blazer S 67</t>
  </si>
  <si>
    <t>TSSFJ06K-405</t>
  </si>
  <si>
    <t>194135892644</t>
  </si>
  <si>
    <t>Carters Baby Girls Bodysuit and Shorts Pink 9 months</t>
  </si>
  <si>
    <t>195861102496</t>
  </si>
  <si>
    <t>Carters Baby Boys 2-Pc. Polo Bodysuit Stripe 6 months</t>
  </si>
  <si>
    <t>1N607710</t>
  </si>
  <si>
    <t>733003639778</t>
  </si>
  <si>
    <t>ID Ideology Toddler Little Boys Fleece H Deep Black 7</t>
  </si>
  <si>
    <t>100133583LB</t>
  </si>
  <si>
    <t>IDEOLOGY BOYS 2-7-EDI/TOPSVILLE</t>
  </si>
  <si>
    <t>194135320321</t>
  </si>
  <si>
    <t>Carters Baby Boys 2-Pk. Cotton Pull-On Navygreen 3 months</t>
  </si>
  <si>
    <t>194135318281</t>
  </si>
  <si>
    <t>Carters Baby Girls 2-Pack Pull-On Cott Pinkyellow Newborn</t>
  </si>
  <si>
    <t>762120060233</t>
  </si>
  <si>
    <t>ID Ideology Toddler Little Boys Colorblo NAVY BLAZER 2T</t>
  </si>
  <si>
    <t>766360649487</t>
  </si>
  <si>
    <t>ID Ideology Little Girls Colorblocked Jogg Hthr Grey 6</t>
  </si>
  <si>
    <t>194257879363</t>
  </si>
  <si>
    <t>Champion Toddler Girls All Over Print D Deep Forte Blue 3T</t>
  </si>
  <si>
    <t>733002463008</t>
  </si>
  <si>
    <t>First Impressions Baby Boys 2-Pc. Cotton Jogger Silent Breeze Newborn</t>
  </si>
  <si>
    <t>100116814BB</t>
  </si>
  <si>
    <t>195861313335</t>
  </si>
  <si>
    <t>Carters Carters Toddler Girls 1-Piece Pink 2T</t>
  </si>
  <si>
    <t>766360449018</t>
  </si>
  <si>
    <t>ID Ideology Toddler Little Girls Marble Violet Tulle 2T</t>
  </si>
  <si>
    <t>193666510577</t>
  </si>
  <si>
    <t>Maidenform Little Big Girls Invisible C Nude Buff L 1416</t>
  </si>
  <si>
    <t>193666340693</t>
  </si>
  <si>
    <t>Maidenform Maidenform Big Girls Seamless Blue Tie-dye S 78</t>
  </si>
  <si>
    <t>766360443375</t>
  </si>
  <si>
    <t>ID Ideology Toddler Little Girls Hibiscu Jet Ski 6</t>
  </si>
  <si>
    <t>195861380832</t>
  </si>
  <si>
    <t>Carters Carters Baby Girls Jersey Lon Blue Floral 3 months</t>
  </si>
  <si>
    <t>1N964110</t>
  </si>
  <si>
    <t>194135896482</t>
  </si>
  <si>
    <t>Carters Carters Baby Girls Eyelet Sna Mint 6 months</t>
  </si>
  <si>
    <t>766360648961</t>
  </si>
  <si>
    <t>Epic Threads Epic Threads Little Girls Romp Gossamer Green 5</t>
  </si>
  <si>
    <t>100145369LG</t>
  </si>
  <si>
    <t>762120848091</t>
  </si>
  <si>
    <t>ID Ideology Toddler Little Boys Active P Indigo Sea 7</t>
  </si>
  <si>
    <t>194257876188</t>
  </si>
  <si>
    <t>Champion Champion Big Girls Classic Scr Orange Pop M 1012</t>
  </si>
  <si>
    <t>CHG183</t>
  </si>
  <si>
    <t>194257691934</t>
  </si>
  <si>
    <t>Champion Champion Big Boys Quick Script Scarlet and White M 1012</t>
  </si>
  <si>
    <t>CHB213</t>
  </si>
  <si>
    <t>762120023924</t>
  </si>
  <si>
    <t>ID Ideology Toddler Little Boys Camo-Pri DEEP BLACK 5</t>
  </si>
  <si>
    <t>762120060622</t>
  </si>
  <si>
    <t>ID Ideology Toddler Little Boys Olympic INDIGO SEA 4T</t>
  </si>
  <si>
    <t>762120329781</t>
  </si>
  <si>
    <t>ID Ideology Toddler Little Boys Camo-Pri Silver Ice 4T</t>
  </si>
  <si>
    <t>762120059527</t>
  </si>
  <si>
    <t>ID Ideology Big Girls Girls Can Hooded Top Rose Shadow M 1012</t>
  </si>
  <si>
    <t>195861098720</t>
  </si>
  <si>
    <t>195861375586</t>
  </si>
  <si>
    <t>195861118060</t>
  </si>
  <si>
    <t>Carters Carters Baby Boys One-Piece S Construction 24 months</t>
  </si>
  <si>
    <t>192042719528</t>
  </si>
  <si>
    <t>Tommy Hilfiger Toddler Girls Logo Flag T-Shir Regal Red 3T</t>
  </si>
  <si>
    <t>61EG4053-630</t>
  </si>
  <si>
    <t>195861135630</t>
  </si>
  <si>
    <t>Carters Toddler Boys Construction-Grap Gray 4T</t>
  </si>
  <si>
    <t>2N610210</t>
  </si>
  <si>
    <t>766370770195</t>
  </si>
  <si>
    <t>Epic Threads Epic Threads Big Girls Unicorn Island Orange L 1214</t>
  </si>
  <si>
    <t>766370770188</t>
  </si>
  <si>
    <t>Epic Threads Epic Threads Big Girls Unicorn Island Orange M 810</t>
  </si>
  <si>
    <t>46094542071</t>
  </si>
  <si>
    <t>Maidenform Girls Seamless Ruched Crop Br Nude M 78</t>
  </si>
  <si>
    <t>M4217</t>
  </si>
  <si>
    <t>NYLON/POLYESTER/SPANDEX; PADDING: POLYESTER</t>
  </si>
  <si>
    <t>46094591987</t>
  </si>
  <si>
    <t>Maidenform Girls Seamless Ruched Crop Br Heather Grey XL 1416</t>
  </si>
  <si>
    <t>46094635322</t>
  </si>
  <si>
    <t>Maidenform Lace-Back Ruched Seamless Crop White M 78</t>
  </si>
  <si>
    <t>733004291050</t>
  </si>
  <si>
    <t>First Impressions Baby Boys Mixed-Media Henley Cherry Red 12 months</t>
  </si>
  <si>
    <t>100129678BB</t>
  </si>
  <si>
    <t>194257657022</t>
  </si>
  <si>
    <t>Champion Little Girls Graphic T-shirt Oxford Heather 5</t>
  </si>
  <si>
    <t>766360667474</t>
  </si>
  <si>
    <t>Epic Threads Epic Threads Big Girls Shorts Washed Indigo M 1012</t>
  </si>
  <si>
    <t>766360667870</t>
  </si>
  <si>
    <t>Epic Threads Epic Threads Big Girls Heart A Blush Pink M 1012</t>
  </si>
  <si>
    <t>766360668334</t>
  </si>
  <si>
    <t>Epic Threads Epic Threads Big Girls Cherry Washed Indigo L 1416</t>
  </si>
  <si>
    <t>100145561GR</t>
  </si>
  <si>
    <t>766370749412</t>
  </si>
  <si>
    <t>Epic Threads Epic Threads Toddler Girls Kni Skygaze 3T</t>
  </si>
  <si>
    <t>766360648862</t>
  </si>
  <si>
    <t>Epic Threads Epic Threads Toddler Girls Tie Washed Indigo 2T</t>
  </si>
  <si>
    <t>100145358LG</t>
  </si>
  <si>
    <t>766370749122</t>
  </si>
  <si>
    <t>Epic Threads Little Girls Babydoll Dress Tomato Puree 6</t>
  </si>
  <si>
    <t>100151655LG</t>
  </si>
  <si>
    <t>766360666996</t>
  </si>
  <si>
    <t>Epic Threads Big Girls Tie Front Pocket T-s Washed Indigo XL 1820</t>
  </si>
  <si>
    <t>766380272429</t>
  </si>
  <si>
    <t>Epic Threads Epic Threads Big Girls Ribbed Sweet Berry XL 16</t>
  </si>
  <si>
    <t>194257263728</t>
  </si>
  <si>
    <t>Champion Little Boys Mesh Short Black 5</t>
  </si>
  <si>
    <t>5548CB</t>
  </si>
  <si>
    <t>194135263345</t>
  </si>
  <si>
    <t>Carters Baby Girls 2-Way Zip Cotton Sl White 9 months</t>
  </si>
  <si>
    <t>196325089575</t>
  </si>
  <si>
    <t>Disney Little Girls The Child Sunset White 4</t>
  </si>
  <si>
    <t>T000126SWMJ0819</t>
  </si>
  <si>
    <t>762120960533</t>
  </si>
  <si>
    <t>ID Ideology Little Girls Flex Leggings Jet Ski 6</t>
  </si>
  <si>
    <t>766360666446</t>
  </si>
  <si>
    <t>Epic Threads Big Girls Change the World Gra Angel White M 1012</t>
  </si>
  <si>
    <t>100145148GR</t>
  </si>
  <si>
    <t>766380272566</t>
  </si>
  <si>
    <t>Epic Threads Big Girls Pineapple Trio Graph Skygaze S 7</t>
  </si>
  <si>
    <t>100153000GR</t>
  </si>
  <si>
    <t>80538131643</t>
  </si>
  <si>
    <t>Trimfit Trimfit Big Girls Hearts and S White, Blue 10-14</t>
  </si>
  <si>
    <t>TR0055</t>
  </si>
  <si>
    <t>80538131728</t>
  </si>
  <si>
    <t>Trimfit Trimfit Big Girls Glitter Butt Pink, White 10-14</t>
  </si>
  <si>
    <t>80538131735</t>
  </si>
  <si>
    <t>Trimfit Trimfit Toddler Girls Glitter Pink, White 2-4</t>
  </si>
  <si>
    <t>194135901049</t>
  </si>
  <si>
    <t>Carters Carters Baby Girls Romper Pink 3 months</t>
  </si>
  <si>
    <t>194135879829</t>
  </si>
  <si>
    <t>Carters Carters Baby Boys Snap-Up Rom Stripe 3 months</t>
  </si>
  <si>
    <t>1N053910</t>
  </si>
  <si>
    <t>762120959520</t>
  </si>
  <si>
    <t>ID Ideology Little Girls Lace-Up Top Violet Tulle 6</t>
  </si>
  <si>
    <t>762120959551</t>
  </si>
  <si>
    <t>ID Ideology Little Girls Lace-Up Top Violet Tulle 4T</t>
  </si>
  <si>
    <t>762120824194</t>
  </si>
  <si>
    <t>ID Ideology Toddler Little Boys Polo Deep Black 6</t>
  </si>
  <si>
    <t>762120824224</t>
  </si>
  <si>
    <t>ID Ideology Toddler Little Boys Polo Deep Black 2T</t>
  </si>
  <si>
    <t>762120824200</t>
  </si>
  <si>
    <t>ID Ideology Toddler Little Boys Polo Deep Black 7</t>
  </si>
  <si>
    <t>762120823739</t>
  </si>
  <si>
    <t>ID Ideology Toddler Little Boys Polo Deep Black 5</t>
  </si>
  <si>
    <t>762120824217</t>
  </si>
  <si>
    <t>ID Ideology Toddler Little Boys Polo Deep Black 4T</t>
  </si>
  <si>
    <t>762120824231</t>
  </si>
  <si>
    <t>ID Ideology Toddler Little Boys Polo Deep Black 3T</t>
  </si>
  <si>
    <t>766370899407</t>
  </si>
  <si>
    <t>ID Ideology Big Girls Palm Tree T-Shirt, C Pink Hustle L 14</t>
  </si>
  <si>
    <t>766360168179</t>
  </si>
  <si>
    <t>ID Ideology Toddler Little Girls Core Ca Jet Ski 4T</t>
  </si>
  <si>
    <t>766370778634</t>
  </si>
  <si>
    <t>Epic Threads Epic Threads Little Girls Unic Island Orange 5</t>
  </si>
  <si>
    <t>766370778641</t>
  </si>
  <si>
    <t>Epic Threads Epic Threads Little Girls Unic Island Orange 6</t>
  </si>
  <si>
    <t>762120498784</t>
  </si>
  <si>
    <t>First Impressions Baby Girl DOT SUNSUIT Spring Daffodil 3-6 months</t>
  </si>
  <si>
    <t>766370619975</t>
  </si>
  <si>
    <t>First Impressions Baby Girls Safari Sunsuit Playful Pink 0-3 months</t>
  </si>
  <si>
    <t>766370770638</t>
  </si>
  <si>
    <t>Epic Threads Epic Threads Big Girls Bike Sh Sweet Berry L 1214</t>
  </si>
  <si>
    <t>766370779204</t>
  </si>
  <si>
    <t>Epic Threads Toddler Girls Scooter Skirt Coral Topaz 4T</t>
  </si>
  <si>
    <t>100152979LG</t>
  </si>
  <si>
    <t>766370425248</t>
  </si>
  <si>
    <t>Epic Threads Toddler Girls Short Sleeves He Blush Pink 3T</t>
  </si>
  <si>
    <t>766370779242</t>
  </si>
  <si>
    <t>Epic Threads Toddler Girls Scooter Skirt Island Orange 2T</t>
  </si>
  <si>
    <t>766370779259</t>
  </si>
  <si>
    <t>Epic Threads Toddler Girls Scooter Skirt Island Orange 3T</t>
  </si>
  <si>
    <t>766370779112</t>
  </si>
  <si>
    <t>Epic Threads Little Girls Scooter Skirt Coral Topaz 5</t>
  </si>
  <si>
    <t>766370425064</t>
  </si>
  <si>
    <t>Epic Threads Toddler Girls Short Sleeves He Washed Indigo 4T</t>
  </si>
  <si>
    <t>766370084384</t>
  </si>
  <si>
    <t>Epic Threads Toddler Boys Racecar Graphic T Deep Black 2T</t>
  </si>
  <si>
    <t>766360647735</t>
  </si>
  <si>
    <t>Epic Threads Toddler Girls Bermuda Shorts Shell Pink 4T</t>
  </si>
  <si>
    <t>766360769703</t>
  </si>
  <si>
    <t>Epic Threads Toddler Girls Flower Bermuda S Ghost Heather 2T</t>
  </si>
  <si>
    <t>766360647407</t>
  </si>
  <si>
    <t>Epic Threads Toddler Girls Butterfly All Ov Blush Pink 4T</t>
  </si>
  <si>
    <t>100145124LG</t>
  </si>
  <si>
    <t>766360647506</t>
  </si>
  <si>
    <t>Epic Threads Toddler Girls Bermuda Shorts Washed Indigo 2T</t>
  </si>
  <si>
    <t>86694366103</t>
  </si>
  <si>
    <t>LOL Surprise Little Big Girls 6-Pk. No-Sh Asst 9-11</t>
  </si>
  <si>
    <t>9-11</t>
  </si>
  <si>
    <t>766380266756</t>
  </si>
  <si>
    <t>Epic Threads Little Girls Dye Leggings Peppermint Frost 6</t>
  </si>
  <si>
    <t>766380266602</t>
  </si>
  <si>
    <t>100152973LG</t>
  </si>
  <si>
    <t>766360647018</t>
  </si>
  <si>
    <t>Epic Threads Little Girls Cherry All Over P Spacious Sky 5</t>
  </si>
  <si>
    <t>766380266862</t>
  </si>
  <si>
    <t>Epic Threads Little Girls Side Tape Legging Sky Gaze 5</t>
  </si>
  <si>
    <t>766360646783</t>
  </si>
  <si>
    <t>Epic Threads Little Girls Hearts All Over P Blush Pink 6</t>
  </si>
  <si>
    <t>766360646868</t>
  </si>
  <si>
    <t>Epic Threads Little Girls Hearts All Over P Blush Pink 6X</t>
  </si>
  <si>
    <t>766360646905</t>
  </si>
  <si>
    <t>Epic Threads Toddler Girls Butterfly All Ov Spacious Sky 3T</t>
  </si>
  <si>
    <t>100145077LG</t>
  </si>
  <si>
    <t>766360647339</t>
  </si>
  <si>
    <t>Epic Threads Toddler Girls Checkered All Ov Orchid Bloom 3T</t>
  </si>
  <si>
    <t>766360646851</t>
  </si>
  <si>
    <t>Epic Threads Toddler Girls Heart All Over P Blush Pink 4T</t>
  </si>
  <si>
    <t>766360646844</t>
  </si>
  <si>
    <t>Epic Threads Toddler Girls Heart All Over P Blush Pink 3T</t>
  </si>
  <si>
    <t>766360647261</t>
  </si>
  <si>
    <t>Epic Threads Little Girls Checkered All Ove Orchid Bloom 6</t>
  </si>
  <si>
    <t>766360647322</t>
  </si>
  <si>
    <t>Epic Threads Toddler Girls Checkered All Ov Orchid Bloom 2T</t>
  </si>
  <si>
    <t>762120023238</t>
  </si>
  <si>
    <t>First Impressions Baby Boys Striped Cotton Jogge Passion Blue 24 months</t>
  </si>
  <si>
    <t>100136055BB</t>
  </si>
  <si>
    <t>766360646301</t>
  </si>
  <si>
    <t>Epic Threads Toddler Girls Tie Front Stripe Washed Indigo 3T</t>
  </si>
  <si>
    <t>100145044LG</t>
  </si>
  <si>
    <t>766360646295</t>
  </si>
  <si>
    <t>Epic Threads Toddler Girls Tie Front Stripe Washed Indigo 2T</t>
  </si>
  <si>
    <t>766370777804</t>
  </si>
  <si>
    <t>Epic Threads Epic Threads Toddler Girls Pal Coral Topaz 3T</t>
  </si>
  <si>
    <t>766360661878</t>
  </si>
  <si>
    <t>Epic Threads Epic Threads Toddler Girls Hip Ghost Heather 3T</t>
  </si>
  <si>
    <t>100145130LG</t>
  </si>
  <si>
    <t>766360645694</t>
  </si>
  <si>
    <t>Epic Threads Little Girls Cherry Print T-sh Spacious Sky 6X</t>
  </si>
  <si>
    <t>100145096LG</t>
  </si>
  <si>
    <t>766360646271</t>
  </si>
  <si>
    <t>Epic Threads Little Girls Tie Front Stripe Washed Indigo 5</t>
  </si>
  <si>
    <t>766360646325</t>
  </si>
  <si>
    <t>Epic Threads Little Girls Tie Front Stripe Washed Indigo 6X</t>
  </si>
  <si>
    <t>766360645298</t>
  </si>
  <si>
    <t>Epic Threads Little Girls Multi Stripe T-sh Washed Indigo 6</t>
  </si>
  <si>
    <t>762120823685</t>
  </si>
  <si>
    <t>ID Ideology Little Boys Core Training Shir Lime Popsicle 6</t>
  </si>
  <si>
    <t>762120823722</t>
  </si>
  <si>
    <t>ID Ideology Little Boys Core Training Shir Lime Popsicle 3T</t>
  </si>
  <si>
    <t>766360161477</t>
  </si>
  <si>
    <t>First Impressions Toddler Boys Flag Plaid Shorts Ski Patrol 2T</t>
  </si>
  <si>
    <t>766380218007</t>
  </si>
  <si>
    <t>First Impressions Baby Boys Knee Patch Jogger Pa Blue Poppy 18 months</t>
  </si>
  <si>
    <t>766360109523</t>
  </si>
  <si>
    <t>Epic Threads Big Girls Floral-Print Shirt Bright White M</t>
  </si>
  <si>
    <t>100142711GR</t>
  </si>
  <si>
    <t>762120496391</t>
  </si>
  <si>
    <t>First Impressions Toddler Girl Eyelet Shorts Spring Daffodil 4T</t>
  </si>
  <si>
    <t>100141113TG</t>
  </si>
  <si>
    <t>766370876071</t>
  </si>
  <si>
    <t>First Impressions oddler Boys Palm-Print Henley Skygaze 2T</t>
  </si>
  <si>
    <t>762120497039</t>
  </si>
  <si>
    <t>First Impressions Toddler Girls Duck-Graphic Shi Apple Blossom 2T</t>
  </si>
  <si>
    <t>100141051TG</t>
  </si>
  <si>
    <t>762120497046</t>
  </si>
  <si>
    <t>First Impressions Toddler Girls Duck-Graphic Shi Apple Blossom 3T</t>
  </si>
  <si>
    <t>766360159375</t>
  </si>
  <si>
    <t>Chickpea Chickpea Baby Girls Long Sleev Pink Multi 0-3 months</t>
  </si>
  <si>
    <t>HE12526866</t>
  </si>
  <si>
    <t>195861118190</t>
  </si>
  <si>
    <t>Carters Carters Baby Boys Jersey Tee Gray 3 months</t>
  </si>
  <si>
    <t>1N109310</t>
  </si>
  <si>
    <t>733002149032</t>
  </si>
  <si>
    <t>Epic Threads Toddler Boys Drawstring Waist Peacoat 3T</t>
  </si>
  <si>
    <t>766380219516</t>
  </si>
  <si>
    <t>First Impressions Toddler Boys Solid Pocket Jogg Safflower 3T</t>
  </si>
  <si>
    <t>766380219493</t>
  </si>
  <si>
    <t>First Impressions Toddler Boys Solid Pocket Jogg Tomato Puree 4T</t>
  </si>
  <si>
    <t>766370875333</t>
  </si>
  <si>
    <t>First Impressions Toddler Boys Striped Jogger Pa Angel White 4T</t>
  </si>
  <si>
    <t>766380219462</t>
  </si>
  <si>
    <t>First Impressions Toddler Boys Doodle Jogger Pan Snow Owl Hthr 4T</t>
  </si>
  <si>
    <t>100148788TB</t>
  </si>
  <si>
    <t>733002920105</t>
  </si>
  <si>
    <t>Epic Threads Epic Threads Little Girls Text Sugar Coral 6X</t>
  </si>
  <si>
    <t>100124630LG</t>
  </si>
  <si>
    <t>195861152545</t>
  </si>
  <si>
    <t>Carters Carters Baby Girls Printed Bi Tropical 9 months</t>
  </si>
  <si>
    <t>1N703111</t>
  </si>
  <si>
    <t>195861091066</t>
  </si>
  <si>
    <t>Carters Carters Baby Girls Tank Top B Blue 6 months</t>
  </si>
  <si>
    <t>733002930081</t>
  </si>
  <si>
    <t>Epic Threads Big Girls Floral Print Basic L Pink Dogwood M 1012</t>
  </si>
  <si>
    <t>100129829GR</t>
  </si>
  <si>
    <t>762120009867</t>
  </si>
  <si>
    <t>First Impressions VELOUR LEGGING Sugar Blue 2T</t>
  </si>
  <si>
    <t>766380218014</t>
  </si>
  <si>
    <t>First Impressions Baby Boys Knee Patch Jogger Pa Blue Poppy 24 months</t>
  </si>
  <si>
    <t>733002007295</t>
  </si>
  <si>
    <t>First Impressions Toddler Boys Light Chambray Co Light Chambray 2T</t>
  </si>
  <si>
    <t>100116989TB</t>
  </si>
  <si>
    <t>766360109905</t>
  </si>
  <si>
    <t>Epic Threads Big Girls Daisy-Print Shirt Navy Nautical M</t>
  </si>
  <si>
    <t>766370866140</t>
  </si>
  <si>
    <t>First Impressions Toddler Girls Print Bow-Ankle Orange Pink Smudge 3T</t>
  </si>
  <si>
    <t>100150096TG</t>
  </si>
  <si>
    <t>766380213934</t>
  </si>
  <si>
    <t>100150150TG</t>
  </si>
  <si>
    <t>733004747847</t>
  </si>
  <si>
    <t>First Impressions Baby Boys Polar Stripe Knee Pa Slate Heather 18 months</t>
  </si>
  <si>
    <t>100137816BB</t>
  </si>
  <si>
    <t>733001214212</t>
  </si>
  <si>
    <t>First Impressions Toddler Boys Sunday Funday Tee Snow Owl Hthr 4T</t>
  </si>
  <si>
    <t>100101716TB</t>
  </si>
  <si>
    <t>766380218229</t>
  </si>
  <si>
    <t>First Impressions Baby Boys Pocket Shorts Safflower 3-6 months</t>
  </si>
  <si>
    <t>100151880BB</t>
  </si>
  <si>
    <t>733004738456</t>
  </si>
  <si>
    <t>First Impressions Baby Girls Sweet Donut Peplum Angel White 12 months</t>
  </si>
  <si>
    <t>100137282BG</t>
  </si>
  <si>
    <t>766370869059</t>
  </si>
  <si>
    <t>First Impressions Baby Boys Colorblocked T-Shirt Bright White 18 months</t>
  </si>
  <si>
    <t>762120120678</t>
  </si>
  <si>
    <t>First Impressions Baby Girls Ruched Heart Tunic Light Grey 3-6 months</t>
  </si>
  <si>
    <t>100141600BG</t>
  </si>
  <si>
    <t>766360133399</t>
  </si>
  <si>
    <t>First Impressions Toddler Girls Love Everyone-Pr Light Grey Hthr 3T</t>
  </si>
  <si>
    <t>80538129756</t>
  </si>
  <si>
    <t>Trimfit Girls 4-Pk. Fuzzy Socks Pink Medium-Large</t>
  </si>
  <si>
    <t>766370860858</t>
  </si>
  <si>
    <t>First Impressions Baby Girls Summer Vibes Tank Violet Tulle 6-9 months</t>
  </si>
  <si>
    <t>762120496667</t>
  </si>
  <si>
    <t>First Impressions Baby Girls Eyelet Shorts Spring Daffodil 18 months</t>
  </si>
  <si>
    <t>733003616830</t>
  </si>
  <si>
    <t>First Impressions VELOUR LEGGING Medieval Blue 12 months</t>
  </si>
  <si>
    <t>733003616922</t>
  </si>
  <si>
    <t>First Impressions VELOUR LEGGING Faded Berry 24 months</t>
  </si>
  <si>
    <t>766380212531</t>
  </si>
  <si>
    <t>First Impressions Baby Girl RUFFLE BACK LEGGING Blue Poppy 18 months</t>
  </si>
  <si>
    <t>766380212500</t>
  </si>
  <si>
    <t>First Impressions Baby Girl RUFFLE BACK LEGGING Blue Poppy 12 months</t>
  </si>
  <si>
    <t>762120121002</t>
  </si>
  <si>
    <t>First Impressions Baby Girls Heart Kittens Lon Sunset Flamingo 12 months</t>
  </si>
  <si>
    <t>733003133542</t>
  </si>
  <si>
    <t>First Impressions Baby Girls Giraffe-Print Leggi Sea Angel 3-6 months</t>
  </si>
  <si>
    <t>100121183BG</t>
  </si>
  <si>
    <t>766360150778</t>
  </si>
  <si>
    <t>First Impressions Toddler Girls Peplum Cotton Tu Shell Pink 2T</t>
  </si>
  <si>
    <t>766360151164</t>
  </si>
  <si>
    <t>First Impressions Baby Girl RUFFLE BACK LEGGING Light Grey Hthr 3-6 months</t>
  </si>
  <si>
    <t>766360133979</t>
  </si>
  <si>
    <t>First Impressions Baby Girls Watercolor Floral C Spring Daffodil 12 months</t>
  </si>
  <si>
    <t>100141135BG</t>
  </si>
  <si>
    <t>766380214290</t>
  </si>
  <si>
    <t>First Impressions Baby Boys Go Sk8 Shirt Snow Owl Hthr 18 months</t>
  </si>
  <si>
    <t>766380214757</t>
  </si>
  <si>
    <t>First Impressions Baby Boys Rad T-Shirt Navy Nautical 12 months</t>
  </si>
  <si>
    <t>766380215556</t>
  </si>
  <si>
    <t>First Impressions Baby Boys Colorblocked T-Shirt Navy Nautical 6-9 months</t>
  </si>
  <si>
    <t>762120701228</t>
  </si>
  <si>
    <t>First Impressions Baby Boys Rugby Stripe T-Shirt Red and White 3-6 months</t>
  </si>
  <si>
    <t>762120113342</t>
  </si>
  <si>
    <t>First Impressions Baby Boys Short-Sleeve Snow Co Slate Heather 24 months</t>
  </si>
  <si>
    <t>100138657BB</t>
  </si>
  <si>
    <t>766370869905</t>
  </si>
  <si>
    <t>First Impressions Baby Boys Stripe-Print Tank Bright White 18 months</t>
  </si>
  <si>
    <t>100148774BB</t>
  </si>
  <si>
    <t>766380215280</t>
  </si>
  <si>
    <t>First Impressions Baby Boys Doodle T-Shirt Snow Owl Hthr 3-6 months</t>
  </si>
  <si>
    <t>766380215303</t>
  </si>
  <si>
    <t>First Impressions Baby Boys Doodle T-Shirt Snow Owl Hthr 18 months</t>
  </si>
  <si>
    <t>766360150419</t>
  </si>
  <si>
    <t>First Impressions Baby Girls Tunic Shirt Shell Pink 24 months</t>
  </si>
  <si>
    <t>100141142BG</t>
  </si>
  <si>
    <t>766370869769</t>
  </si>
  <si>
    <t>First Impressions Baby Boys Summer Graphic T-Shi Orange Surf 3-6 months</t>
  </si>
  <si>
    <t>100148772BB</t>
  </si>
  <si>
    <t>766370869257</t>
  </si>
  <si>
    <t>First Impressions Baby Boys Summer Graphic T-Shi White Frog 18 months</t>
  </si>
  <si>
    <t>766380211251</t>
  </si>
  <si>
    <t>First Impressions Baby Girls Wild Free T-Shirt Hthr Sterling 18 months</t>
  </si>
  <si>
    <t>766380211107</t>
  </si>
  <si>
    <t>First Impressions Baby Girls Crayon Heart T-Shir Angel White 6-9 months</t>
  </si>
  <si>
    <t>194496412451</t>
  </si>
  <si>
    <t>Nike Nike Big Boys Club Fleece Spor Carbon Heather S PLUS</t>
  </si>
  <si>
    <t>191539869883</t>
  </si>
  <si>
    <t>Bonnie Baby Baby Girls Sleeveless Mixed Pr Chambray 3-6 months</t>
  </si>
  <si>
    <t>191539882394</t>
  </si>
  <si>
    <t>Bonnie Baby Baby Girls Three Quarter Bell Chambray 12 months</t>
  </si>
  <si>
    <t>191539882493</t>
  </si>
  <si>
    <t>Bonnie Baby Baby Girls Short Sleeved Mash Pink 6-9 months</t>
  </si>
  <si>
    <t>191539901354</t>
  </si>
  <si>
    <t>Bonnie Baby Baby Girls Sleeveless Knit Flo Coral 12 months</t>
  </si>
  <si>
    <t>194496563979</t>
  </si>
  <si>
    <t>Nike Nike Big Boys Dri-Fit Trophy T Black, White S PLUS</t>
  </si>
  <si>
    <t>DA5121</t>
  </si>
  <si>
    <t>194134401533</t>
  </si>
  <si>
    <t>DRAFT - 4 Piece Sleepwear Black Beauty 18 months</t>
  </si>
  <si>
    <t>195861159896</t>
  </si>
  <si>
    <t>Carters Carters Baby Girls Striped Fl Turquoise 12 months</t>
  </si>
  <si>
    <t>1N683810</t>
  </si>
  <si>
    <t>195861159919</t>
  </si>
  <si>
    <t>Carters Carters Baby Girls Striped Fl Turquoise 24 months</t>
  </si>
  <si>
    <t>195861159902</t>
  </si>
  <si>
    <t>Carters Carters Baby Girls Striped Fl Turquoise 18 months</t>
  </si>
  <si>
    <t>195861118497</t>
  </si>
  <si>
    <t>Carters Carters Baby Boys Striped Poc Stripe 6 months</t>
  </si>
  <si>
    <t>1N670110</t>
  </si>
  <si>
    <t>195861095415</t>
  </si>
  <si>
    <t>Carters Carters Baby Girls Floral Tan Yellow Newborn</t>
  </si>
  <si>
    <t>1N615410</t>
  </si>
  <si>
    <t>195861152934</t>
  </si>
  <si>
    <t>Carters Carters Baby Girls Printed Bi Zebra 12 months</t>
  </si>
  <si>
    <t>195861151791</t>
  </si>
  <si>
    <t>Carters Carters Baby Girls Printed Bi Pineapple 9 months</t>
  </si>
  <si>
    <t>195861152941</t>
  </si>
  <si>
    <t>Carters Carters Baby Girls Printed Bi Zebra 18 months</t>
  </si>
  <si>
    <t>195861090571</t>
  </si>
  <si>
    <t>Carters Carters Baby Boy or Baby Girl Yellow 3 months</t>
  </si>
  <si>
    <t>887685995933</t>
  </si>
  <si>
    <t>Polo Ralph Lauren Baby Boys Polo Bear 4-Piece Gi Holiday Bear Newborn</t>
  </si>
  <si>
    <t>193391991429</t>
  </si>
  <si>
    <t>The North Face Big Girls Windwall Hoodie TNF White M</t>
  </si>
  <si>
    <t>NF0A5J3VFN4</t>
  </si>
  <si>
    <t>882925881762</t>
  </si>
  <si>
    <t>194870721247</t>
  </si>
  <si>
    <t>adidas Big Boys Tiger Camo Hooded Pul White L 1416</t>
  </si>
  <si>
    <t>AA7331</t>
  </si>
  <si>
    <t>190618768406</t>
  </si>
  <si>
    <t>Polo Ralph Lauren Toddler Boys Big Pony Jersey T Andover Heather 4T</t>
  </si>
  <si>
    <t>190618768390</t>
  </si>
  <si>
    <t>Polo Ralph Lauren Toddler Boys Big Pony Jersey T Andover Heather 3T</t>
  </si>
  <si>
    <t>652874426907</t>
  </si>
  <si>
    <t>Speechless Speechless Big Girls Floral Ha Chambray Pink 7</t>
  </si>
  <si>
    <t>194753906266</t>
  </si>
  <si>
    <t>Under Armour Little Boys Zip-Up Track Jacke Midnight Navy 4</t>
  </si>
  <si>
    <t>194753906280</t>
  </si>
  <si>
    <t>Under Armour Little Boys Zip-Up Track Jacke Midnight Navy 5</t>
  </si>
  <si>
    <t>194753906051</t>
  </si>
  <si>
    <t>Under Armour Under Armour Little Boys Angul Black 4</t>
  </si>
  <si>
    <t>UAFEI46J-001</t>
  </si>
  <si>
    <t>194870729724</t>
  </si>
  <si>
    <t>adidas Big Girls Aeroready Floral Tig Black M 1012</t>
  </si>
  <si>
    <t>825663156266</t>
  </si>
  <si>
    <t>Nike 3BRAND by Russell Wilson NIKE 3Brand by Russell Wilson White 3T</t>
  </si>
  <si>
    <t>7Q0174G</t>
  </si>
  <si>
    <t>RUSSELL WILSON LITTLE/HADDAD GROUP</t>
  </si>
  <si>
    <t>677838864793</t>
  </si>
  <si>
    <t>Nike Nike Baby Boys Thermal Half Zi Black 24 months</t>
  </si>
  <si>
    <t>66H202G</t>
  </si>
  <si>
    <t>652874423234</t>
  </si>
  <si>
    <t>Speechless Speechless Big Girls Casual V- Blue 12</t>
  </si>
  <si>
    <t>652874423227</t>
  </si>
  <si>
    <t>Speechless Speechless Big Girls Casual V- Blue 10</t>
  </si>
  <si>
    <t>652874331546</t>
  </si>
  <si>
    <t>Speechless Speechless Big Girls Cropped S Coral Ivory L 1214</t>
  </si>
  <si>
    <t>194870760949</t>
  </si>
  <si>
    <t>adidas Little Girls Printed T-shirt a Clear Pink 4</t>
  </si>
  <si>
    <t>AG4578C</t>
  </si>
  <si>
    <t>807421290245</t>
  </si>
  <si>
    <t>Levis Levis Toddler Boys Printed Lo Navy 4T</t>
  </si>
  <si>
    <t>71E217F</t>
  </si>
  <si>
    <t>195958616110</t>
  </si>
  <si>
    <t>Timberland Timberland Big Boys Camo Amphi Mineral Green M 1012</t>
  </si>
  <si>
    <t>TLSFC01F-337Z</t>
  </si>
  <si>
    <t>807421554347</t>
  </si>
  <si>
    <t>Nike Nike Little Boys Dri-FIT Drops Game Royal 4</t>
  </si>
  <si>
    <t>86J196G</t>
  </si>
  <si>
    <t>194170469450</t>
  </si>
  <si>
    <t>Rare Editions Baby Girls Solid Knit Top and Rust 18M</t>
  </si>
  <si>
    <t>194955959107</t>
  </si>
  <si>
    <t>Nike Nike Dri-FIT Sprinter Big Girl Black 2 L 14</t>
  </si>
  <si>
    <t>DA1314</t>
  </si>
  <si>
    <t>191539906496</t>
  </si>
  <si>
    <t>Bonnie Baby Baby Girls Sleeveless Multi Co Denim 18 months</t>
  </si>
  <si>
    <t>194753839885</t>
  </si>
  <si>
    <t>Under Armour Under Armour Toddler Boys Vint Pitch Gray 2T</t>
  </si>
  <si>
    <t>UAFEI58D-022</t>
  </si>
  <si>
    <t>194170412395</t>
  </si>
  <si>
    <t>Rare Editions Big Girls Knit Smocked Top and White 12</t>
  </si>
  <si>
    <t>825663284655</t>
  </si>
  <si>
    <t>Nike Nike Baby Boys Sportswear Musc University Red 24 months</t>
  </si>
  <si>
    <t>194753236943</t>
  </si>
  <si>
    <t>Tommy Hilfiger Tommy Hilfiger Little Girls Si Assorted 5</t>
  </si>
  <si>
    <t>TGFDI38V-999</t>
  </si>
  <si>
    <t>194753858497</t>
  </si>
  <si>
    <t>Calvin Klein Calvin Klein Little Girls 2 Pi Pink 6X</t>
  </si>
  <si>
    <t>3L22008-99</t>
  </si>
  <si>
    <t>807421546243</t>
  </si>
  <si>
    <t>Nike Nike Little Boys Read Shorts Midnight Navy 5</t>
  </si>
  <si>
    <t>194170272692</t>
  </si>
  <si>
    <t>Rare Editions Baby Girls Hacci Knit Legging Dark Gray 18 months</t>
  </si>
  <si>
    <t>F892061</t>
  </si>
  <si>
    <t>196325161578</t>
  </si>
  <si>
    <t>Disney Toddler Girls My Little Pony B Multi 3T</t>
  </si>
  <si>
    <t>196325161523</t>
  </si>
  <si>
    <t>Disney Little Girls Disney Princesses Multi 4</t>
  </si>
  <si>
    <t>196325161561</t>
  </si>
  <si>
    <t>Disney Toddler Girls My Little Pony B Multi 2T</t>
  </si>
  <si>
    <t>194135948051</t>
  </si>
  <si>
    <t>Carters Little Girls 4-Piece Snug Fit Raspberry 4</t>
  </si>
  <si>
    <t>3M978310</t>
  </si>
  <si>
    <t>195958366565</t>
  </si>
  <si>
    <t>Calvin Klein Calvin Klein Baby Boys Striped Blue 24M</t>
  </si>
  <si>
    <t>3M70053-99</t>
  </si>
  <si>
    <t>807421863678</t>
  </si>
  <si>
    <t>Levis Baby Girls Light Wash Paperbag Light Breeze 24 months</t>
  </si>
  <si>
    <t>11E664F</t>
  </si>
  <si>
    <t>194753991705</t>
  </si>
  <si>
    <t>Lucky Brand Big Boys Lazy Day Jogger Pants Gray Heather S 8</t>
  </si>
  <si>
    <t>LBFEC04F-004</t>
  </si>
  <si>
    <t>LUCKY BRAND BOYS/KHQ INVESTMENTS</t>
  </si>
  <si>
    <t>652874407470</t>
  </si>
  <si>
    <t>Speechless Big Girls Floral Tie Front Top Aqua, White M 810</t>
  </si>
  <si>
    <t>194170412074</t>
  </si>
  <si>
    <t>Rare Editions Little Girls Rib Knit Top with Mustard 5</t>
  </si>
  <si>
    <t>195737714655</t>
  </si>
  <si>
    <t>adidas adidas Big Boys SPRT Collectio White S 8</t>
  </si>
  <si>
    <t>HE2078</t>
  </si>
  <si>
    <t>194135321274</t>
  </si>
  <si>
    <t>Carters Baby Boys 2-Pack Sleep Bags Navy Multi Medium</t>
  </si>
  <si>
    <t>1L777310</t>
  </si>
  <si>
    <t>193573867252</t>
  </si>
  <si>
    <t>Volcom Volcom Little Girls Made From Bone XS</t>
  </si>
  <si>
    <t>R3642100</t>
  </si>
  <si>
    <t>194257797964</t>
  </si>
  <si>
    <t>Champion Champion Little Boys Brush Str Bozetto Blue 7</t>
  </si>
  <si>
    <t>194257384072</t>
  </si>
  <si>
    <t>Champion Big Boys All Over Print Signat Camo Desert Medium</t>
  </si>
  <si>
    <t>CHB315</t>
  </si>
  <si>
    <t>196027143049</t>
  </si>
  <si>
    <t>AME Toddler Boys 4-Pc. Mandalorian Assorted 4T</t>
  </si>
  <si>
    <t>762120694452</t>
  </si>
  <si>
    <t>Epic Threads Big Girls Cropped Denim Jeans Dakota Wash 16</t>
  </si>
  <si>
    <t>100147426GR</t>
  </si>
  <si>
    <t>766380208237</t>
  </si>
  <si>
    <t>Epic Threads Little Girls Skirtall Coral Topaz 6</t>
  </si>
  <si>
    <t>195958372580</t>
  </si>
  <si>
    <t>Timberland Timberland Toddler Boys Short Aqua 3T</t>
  </si>
  <si>
    <t>41M42005-99</t>
  </si>
  <si>
    <t>194870540718</t>
  </si>
  <si>
    <t>adidas adidas Little Boys Long Sleeve White with Multi 4</t>
  </si>
  <si>
    <t>AA7259</t>
  </si>
  <si>
    <t>766380274041</t>
  </si>
  <si>
    <t>Epic Threads Epic Threads Big Girls Dress w Angel White M 810</t>
  </si>
  <si>
    <t>100151681GR</t>
  </si>
  <si>
    <t>766380274065</t>
  </si>
  <si>
    <t>Epic Threads Epic Threads Big Girls Dress w Angel White XL 16</t>
  </si>
  <si>
    <t>195861281887</t>
  </si>
  <si>
    <t>Carters Carters Toddler Boys Long Sle Khaki 5T</t>
  </si>
  <si>
    <t>2O024510</t>
  </si>
  <si>
    <t>194135941601</t>
  </si>
  <si>
    <t>Carters Toddler Girls 4-Piece Floral L Print 4T</t>
  </si>
  <si>
    <t>194495130608</t>
  </si>
  <si>
    <t>Nike Nike Big Boys Air T-shirt Black M 1012</t>
  </si>
  <si>
    <t>CZ1828</t>
  </si>
  <si>
    <t>196325120919</t>
  </si>
  <si>
    <t>Disney Toddler Girls Minnie Mouse Flo Multi 2T</t>
  </si>
  <si>
    <t>195958008731</t>
  </si>
  <si>
    <t>Kids Headquarters Kids Headquarters Toddler Boys Multi 3T</t>
  </si>
  <si>
    <t>762120330107</t>
  </si>
  <si>
    <t>ID Ideology Big Girls Camo-Print Top Deep Black L</t>
  </si>
  <si>
    <t>196027140963</t>
  </si>
  <si>
    <t>LOL Surprise Little Girls Lol Surprise Nigh Assorted 6</t>
  </si>
  <si>
    <t>194135407596</t>
  </si>
  <si>
    <t>Carters 4-Piece Lion 100 Snug Fit Cot Blue 12 months</t>
  </si>
  <si>
    <t>1M042610</t>
  </si>
  <si>
    <t>195861385295</t>
  </si>
  <si>
    <t>Carters Carters Baby Boys Car Long Sl Print 6 months</t>
  </si>
  <si>
    <t>1N972210</t>
  </si>
  <si>
    <t>842999173002</t>
  </si>
  <si>
    <t>EASY MAGNETIC CLOSE Baby Boys Magnetic Footed Cove A Dogs Tale 0-3 months</t>
  </si>
  <si>
    <t>MAGNIFICENT BABY LLC</t>
  </si>
  <si>
    <t>842999172883</t>
  </si>
  <si>
    <t>EASY MAGNETIC CLOSE Baby Boys Magnetic Footed Cove Got Game 0-3 months</t>
  </si>
  <si>
    <t>194870723845</t>
  </si>
  <si>
    <t>adidas Big Girls Aeroready Detached W Black M 1012</t>
  </si>
  <si>
    <t>196325130079</t>
  </si>
  <si>
    <t>Disney Toddler Girls Disney Princesse Pink 3T</t>
  </si>
  <si>
    <t>196325130093</t>
  </si>
  <si>
    <t>Disney Little Girls Disney Princesses Pink 5</t>
  </si>
  <si>
    <t>652874372594</t>
  </si>
  <si>
    <t>Speechless Speechless Big Girls Tie Dye T Fuchsia Turquoise XLarge</t>
  </si>
  <si>
    <t>Q3613D03KDKJ</t>
  </si>
  <si>
    <t>196325130369</t>
  </si>
  <si>
    <t>Peppa Pig Toddler Girls Peppa Pig Flower Yellow 2T</t>
  </si>
  <si>
    <t>T000099GPIG331</t>
  </si>
  <si>
    <t>196325130130</t>
  </si>
  <si>
    <t>Star Wars Toddler Girls Child Whimsical Green 3T</t>
  </si>
  <si>
    <t>196325130031</t>
  </si>
  <si>
    <t>Disney Little Girls Rainbow Minnie Dr Heather Gray 5</t>
  </si>
  <si>
    <t>196019038025</t>
  </si>
  <si>
    <t>Breaking Waves Big Girls 2-Pc. Cheetah-Print BlackWhite 16</t>
  </si>
  <si>
    <t>196019037837</t>
  </si>
  <si>
    <t>Breaking Waves Big Girls One-in-a-Melon Swims Multi 14</t>
  </si>
  <si>
    <t>MBWI470012</t>
  </si>
  <si>
    <t>196019038254</t>
  </si>
  <si>
    <t>Breaking Waves Big Girls 2-Pc. Lemon Drops Pink 14</t>
  </si>
  <si>
    <t>194135859845</t>
  </si>
  <si>
    <t>Carters Baby Boy 5-Pack Short-Sleeve B Blue Tie Dye 3 months</t>
  </si>
  <si>
    <t>194135464513</t>
  </si>
  <si>
    <t>Carters 3-Piece Quilted Cardigan Set Navy Blue 6 months</t>
  </si>
  <si>
    <t>1M062410</t>
  </si>
  <si>
    <t>194135464476</t>
  </si>
  <si>
    <t>Carters 3-Piece Quilted Cardigan Set Navy Blue 12 months</t>
  </si>
  <si>
    <t>766370066892</t>
  </si>
  <si>
    <t>Epic Threads Epic Threads Big Girls All Ove Blush Pink M 810</t>
  </si>
  <si>
    <t>100145575GR</t>
  </si>
  <si>
    <t>766370769847</t>
  </si>
  <si>
    <t>Epic Threads Epic Threads Little Girls Tank Island Orange 5</t>
  </si>
  <si>
    <t>733003707200</t>
  </si>
  <si>
    <t>Epic Threads Epic Threads Little Girls Basi Leopard, Pink, Black 5</t>
  </si>
  <si>
    <t>100138259LG</t>
  </si>
  <si>
    <t>640013997951</t>
  </si>
  <si>
    <t>Univibe Big Boys Klimmen Jogger Pants Sand L 1416</t>
  </si>
  <si>
    <t>UB2211050</t>
  </si>
  <si>
    <t>766380723945</t>
  </si>
  <si>
    <t>First Impressions Baby Boys Girls Mixed Bodysu Deep Black Newborn</t>
  </si>
  <si>
    <t>194135950689</t>
  </si>
  <si>
    <t>Carters Carters Baby Girls Floral Flu Print 3 months</t>
  </si>
  <si>
    <t>1N092610</t>
  </si>
  <si>
    <t>194135318687</t>
  </si>
  <si>
    <t>Carters Baby Girls 3-Pc. Bear Little J Pink 6 months</t>
  </si>
  <si>
    <t>1L774810</t>
  </si>
  <si>
    <t>194135317208</t>
  </si>
  <si>
    <t>Carters Baby Neutral 5-Pack Short-Slee Multi 6 months</t>
  </si>
  <si>
    <t>1L773710</t>
  </si>
  <si>
    <t>194135550629</t>
  </si>
  <si>
    <t>Carters Baby Boys 4-Pk. Multi-Color Lo Multi Stripe Newborn</t>
  </si>
  <si>
    <t>194135323056</t>
  </si>
  <si>
    <t>Carters Baby Neutral 2-Pack Zip-Up Cot Yellowwhite 6 months</t>
  </si>
  <si>
    <t>1L777610</t>
  </si>
  <si>
    <t>194133360954</t>
  </si>
  <si>
    <t>Carters Baby Boys 4-Pk. Multi-Color Lo Maroon Multi Newborn</t>
  </si>
  <si>
    <t>1I720210</t>
  </si>
  <si>
    <t>194135320765</t>
  </si>
  <si>
    <t>Carters Baby Boy 5-Pack Short-Sleeve B Safari 24 months</t>
  </si>
  <si>
    <t>194135317499</t>
  </si>
  <si>
    <t>Carters Baby Boy 5-Pack Short-Sleeve B Stripes 24 months</t>
  </si>
  <si>
    <t>1L764810</t>
  </si>
  <si>
    <t>194135323049</t>
  </si>
  <si>
    <t>Carters Baby Neutral 2-Pack Zip-Up Cot Yellowwhite 3 months</t>
  </si>
  <si>
    <t>194135550681</t>
  </si>
  <si>
    <t>Carters Baby Girls 4-Pack Long-Sleeve Pink Multi 12 months</t>
  </si>
  <si>
    <t>1M004910</t>
  </si>
  <si>
    <t>196027125786</t>
  </si>
  <si>
    <t>Disney Princess Frozen Little Girls 2 Piece Pa Assorted 6</t>
  </si>
  <si>
    <t>194257452894</t>
  </si>
  <si>
    <t>Champion Champion Little Girls Script P Pastel Gray 4</t>
  </si>
  <si>
    <t>807421632441</t>
  </si>
  <si>
    <t>Converse Converse Big Boys Sneaker Box Lunar Rock Heather XL 1820</t>
  </si>
  <si>
    <t>9CC337E</t>
  </si>
  <si>
    <t>194135933941</t>
  </si>
  <si>
    <t>Carters Big Girls 2-Piece Tie-Dye Loos Print 8</t>
  </si>
  <si>
    <t>3N026510</t>
  </si>
  <si>
    <t>196122519725</t>
  </si>
  <si>
    <t>Koala Baby Koala Baby Girls Pumpkin Leggi Peach Newborn</t>
  </si>
  <si>
    <t>766360145361</t>
  </si>
  <si>
    <t>First Impressions Baby Boys 2-Pk. Sour Stripe Ro Art Deco Green 3-6 months</t>
  </si>
  <si>
    <t>100141543BB</t>
  </si>
  <si>
    <t>696114450420</t>
  </si>
  <si>
    <t>195958688278</t>
  </si>
  <si>
    <t>Timberland Big Boys Tree T-shirt Black XL 1820</t>
  </si>
  <si>
    <t>TLSFB00F-001</t>
  </si>
  <si>
    <t>195958775848</t>
  </si>
  <si>
    <t>Calvin Klein Calvin Klein Performance Big G Violet M 810</t>
  </si>
  <si>
    <t>CASFC04S-510</t>
  </si>
  <si>
    <t>194870738245</t>
  </si>
  <si>
    <t>adidas Little Boys Short Sleeve Glitc White with Blue 6</t>
  </si>
  <si>
    <t>194135552043</t>
  </si>
  <si>
    <t>Carters Baby Boys 3-Pc. Happy Camper C Blue 9 months</t>
  </si>
  <si>
    <t>1M106310</t>
  </si>
  <si>
    <t>762120077866</t>
  </si>
  <si>
    <t>Epic Threads Little Boys Knit Waist Denim S Lucas Wash 6</t>
  </si>
  <si>
    <t>100138403LB</t>
  </si>
  <si>
    <t>194135315822</t>
  </si>
  <si>
    <t>Carters Baby Girls 3-Pc. Jumpsuits H Pink Newborn</t>
  </si>
  <si>
    <t>1L761210</t>
  </si>
  <si>
    <t>194135873254</t>
  </si>
  <si>
    <t>Carters Carters Baby Boys Crew Neck S Gray 3 months</t>
  </si>
  <si>
    <t>766380222530</t>
  </si>
  <si>
    <t>First Impressions Baby Boys French Terry Sweatsh Hthr Sterling 24 months</t>
  </si>
  <si>
    <t>193666742343</t>
  </si>
  <si>
    <t>Maidenform Big Girls 3-Pack Cropped Br Cool Tie Dyewhitebijou Blue S 68</t>
  </si>
  <si>
    <t>193666742336</t>
  </si>
  <si>
    <t>Maidenform Big Girls 3-Pack Cropped Br Cool Tie Dyewhitebijou Blue M 78</t>
  </si>
  <si>
    <t>825663371515</t>
  </si>
  <si>
    <t>Jordan Jordan Toddler Boys Jumpman St Mint Foam 2T</t>
  </si>
  <si>
    <t>85A512G</t>
  </si>
  <si>
    <t>825663371546</t>
  </si>
  <si>
    <t>Jordan Jordan Little Boys Jumpman Str Mint Foam 4</t>
  </si>
  <si>
    <t>825663371522</t>
  </si>
  <si>
    <t>Jordan Jordan Toddler Boys Jumpman St Mint Foam 3T</t>
  </si>
  <si>
    <t>840230436602</t>
  </si>
  <si>
    <t>Sol Swimwear Little Girls 2-Pc. Rainbow Ver Open 6</t>
  </si>
  <si>
    <t>195958842373</t>
  </si>
  <si>
    <t>Tommy Hilfiger Tommy Hilfiger Big Girls Ombre Flamingo Plume M 810</t>
  </si>
  <si>
    <t>TGMFH05S-652</t>
  </si>
  <si>
    <t>840230436671</t>
  </si>
  <si>
    <t>Sol Swimwear Sol Swimwear Little Girls 2-Pc Open 6X</t>
  </si>
  <si>
    <t>GS2-714M</t>
  </si>
  <si>
    <t>840230436640</t>
  </si>
  <si>
    <t>Sol Swimwear Sol Swimwear Little Girls 2-Pc Open 3T</t>
  </si>
  <si>
    <t>38257555844</t>
  </si>
  <si>
    <t>Hanes Big Boys Ultimate Crew Socks, White 5-6.5</t>
  </si>
  <si>
    <t>HBUDC0</t>
  </si>
  <si>
    <t>38257555868</t>
  </si>
  <si>
    <t>Hanes Big Boys Ultimate Crew Socks, White 9-11</t>
  </si>
  <si>
    <t>840230436633</t>
  </si>
  <si>
    <t>Sol Swimwear Sol Swimwear Little Girls 2-Pc Open 2T</t>
  </si>
  <si>
    <t>194135895096</t>
  </si>
  <si>
    <t>Carters Carters Baby Girls 3-Piece Li Multi 12 months</t>
  </si>
  <si>
    <t>194135896550</t>
  </si>
  <si>
    <t>Carters Carters Baby Girls 2-Piece Bu Blue 3 months</t>
  </si>
  <si>
    <t>194135887640</t>
  </si>
  <si>
    <t>Carters Carters Baby Girls 3-Piece Po Blue 3 months</t>
  </si>
  <si>
    <t>1N040110</t>
  </si>
  <si>
    <t>194135322127</t>
  </si>
  <si>
    <t>Carters Baby Boys Three-Piece Dinosaur Blue 6 months</t>
  </si>
  <si>
    <t>194257595355</t>
  </si>
  <si>
    <t>Champion Little Girls Iridescent Foil S Oxford Heather 6</t>
  </si>
  <si>
    <t>CHL718</t>
  </si>
  <si>
    <t>194135322172</t>
  </si>
  <si>
    <t>Carters Baby Boys Two-Pack Jumpsuits Blue Multi 3 months</t>
  </si>
  <si>
    <t>1L776110</t>
  </si>
  <si>
    <t>195861161660</t>
  </si>
  <si>
    <t>Carters Toddler Girls Stripe-Print Shi Stripe 2T</t>
  </si>
  <si>
    <t>194135864771</t>
  </si>
  <si>
    <t>Carters Carters Baby Girls Short Slee Pink 6 months</t>
  </si>
  <si>
    <t>1N042510</t>
  </si>
  <si>
    <t>194135864801</t>
  </si>
  <si>
    <t>Carters Carters Baby Girls Short Slee Pink Newborn</t>
  </si>
  <si>
    <t>194135879270</t>
  </si>
  <si>
    <t>Carters Toddler Boys Roar Pullover Hoo Navy 5T</t>
  </si>
  <si>
    <t>194135316300</t>
  </si>
  <si>
    <t>Carters Baby Boys 3-Pc. Car Little Cha Blue 18 months</t>
  </si>
  <si>
    <t>194135316539</t>
  </si>
  <si>
    <t>Carters Baby Boys 3-Pc. Lion Little Ch Green Newborn</t>
  </si>
  <si>
    <t>1L762310</t>
  </si>
  <si>
    <t>195861385028</t>
  </si>
  <si>
    <t>Carters Carters Baby Boys Bodysuit, P White 24 months</t>
  </si>
  <si>
    <t>194135551541</t>
  </si>
  <si>
    <t>Carters Baby Girls 3-Pc. Cotton Kangar Light Pinkblue 24 months</t>
  </si>
  <si>
    <t>766360657307</t>
  </si>
  <si>
    <t>Epic Threads Epic Threads Toddler Girls Gra Spring Daffodil 3T</t>
  </si>
  <si>
    <t>766360443733</t>
  </si>
  <si>
    <t>ID Ideology Toddler Little Girls Colorbl Jet Ski 6</t>
  </si>
  <si>
    <t>766360443740</t>
  </si>
  <si>
    <t>ID Ideology Toddler Little Girls Colorbl Jet Ski 2T</t>
  </si>
  <si>
    <t>766360443726</t>
  </si>
  <si>
    <t>ID Ideology Toddler Little Girls Colorbl Jet Ski 5</t>
  </si>
  <si>
    <t>766360314651</t>
  </si>
  <si>
    <t>ID Ideology Toddler Little Boys Pullover Deep Cobal 2T</t>
  </si>
  <si>
    <t>196027072660</t>
  </si>
  <si>
    <t>Minnie Mouse Minnie Mouse Toddler Girls Paj Assorted 4T</t>
  </si>
  <si>
    <t>196027073650</t>
  </si>
  <si>
    <t>MK848ELLMA</t>
  </si>
  <si>
    <t>766360657338</t>
  </si>
  <si>
    <t>Epic Threads Epic Threads Little Girls Grap Washed Indigo 5</t>
  </si>
  <si>
    <t>766360657383</t>
  </si>
  <si>
    <t>Epic Threads Epic Threads Little Girls Grap Washed Indigo 6X</t>
  </si>
  <si>
    <t>766360657222</t>
  </si>
  <si>
    <t>Epic Threads Epic Threads Little Girls Grap Shell Pink 6</t>
  </si>
  <si>
    <t>195958666757</t>
  </si>
  <si>
    <t>Tommy Hilfiger Tommy Hilfiger Toddler Boys Ce Cerulean 2T</t>
  </si>
  <si>
    <t>TBSFB52J-453</t>
  </si>
  <si>
    <t>17036591747</t>
  </si>
  <si>
    <t>RabbitBear Rabbit Bear 100 Organic Cot Ltpas Gry 3-6 months</t>
  </si>
  <si>
    <t>GFE145B03</t>
  </si>
  <si>
    <t>ROSIE POPE BABY/INTL INTIMATES INC</t>
  </si>
  <si>
    <t>9357754297080</t>
  </si>
  <si>
    <t>COTTON ON Baby Boys Joey Short Sleeve Ri Smashed Avo, Good Vibes 12-18 months</t>
  </si>
  <si>
    <t>7342632-04</t>
  </si>
  <si>
    <t>807421775568</t>
  </si>
  <si>
    <t>Nike Little Boys Futura Sole Max T- White 4</t>
  </si>
  <si>
    <t>86J342G</t>
  </si>
  <si>
    <t>756845970151</t>
  </si>
  <si>
    <t>First Impressions 1-Pc. Floral-Print Footed Cove Aqua Ice 6-9 months</t>
  </si>
  <si>
    <t>194135868939</t>
  </si>
  <si>
    <t>Carters Carters Baby Boys 1st Birthda Gray 18 months</t>
  </si>
  <si>
    <t>1N089810</t>
  </si>
  <si>
    <t>762120956246</t>
  </si>
  <si>
    <t>ID Ideology Big Girls Hibiscus-Print Leggi Jet Ski M 1012</t>
  </si>
  <si>
    <t>100141270GR</t>
  </si>
  <si>
    <t>194257659484</t>
  </si>
  <si>
    <t>Champion Big Girls Mesh Shorts Pink Candy, Aruba Blue L 1416</t>
  </si>
  <si>
    <t>CHG506</t>
  </si>
  <si>
    <t>193666924916</t>
  </si>
  <si>
    <t>Maidenform Big Girls 3-Pack Cropped Cotto Ski Llamasairby Bluewhite M 78</t>
  </si>
  <si>
    <t>766360132644</t>
  </si>
  <si>
    <t>First Impressions Baby Boys Light-Wash Denim Sho Light Wash 3-6 months</t>
  </si>
  <si>
    <t>766360132637</t>
  </si>
  <si>
    <t>First Impressions Baby Boys Light-Wash Denim Sho Light Wash 12 months</t>
  </si>
  <si>
    <t>195861098676</t>
  </si>
  <si>
    <t>Carters Baby Girls 2-Pc. Floral-Print Brown Newborn</t>
  </si>
  <si>
    <t>195861102427</t>
  </si>
  <si>
    <t>Carters aby Girls 2-PC. Floral-Print B Ivory 9 months</t>
  </si>
  <si>
    <t>195861098621</t>
  </si>
  <si>
    <t>Carters Baby Girls 2-Pc. Floral-Print Brown 24 months</t>
  </si>
  <si>
    <t>195861102410</t>
  </si>
  <si>
    <t>Carters aby Girls 2-PC. Floral-Print B Ivory 6 months</t>
  </si>
  <si>
    <t>195861102380</t>
  </si>
  <si>
    <t>Carters aby Girls 2-PC. Floral-Print B Ivory 18 months</t>
  </si>
  <si>
    <t>191655199215</t>
  </si>
  <si>
    <t>Cutie Pie Baby x Multi 12 months</t>
  </si>
  <si>
    <t>WC23324832</t>
  </si>
  <si>
    <t>194135318793</t>
  </si>
  <si>
    <t>Carters Baby Girls 2-Pack Pull-On Pant Pinkgreen 18 months</t>
  </si>
  <si>
    <t>1L764010</t>
  </si>
  <si>
    <t>194135316874</t>
  </si>
  <si>
    <t>Carters Baby 2-Pk. Cotton Jogger-Style Greengrey 6 months</t>
  </si>
  <si>
    <t>195861161325</t>
  </si>
  <si>
    <t>Carters Toddler Girls Chambray Bubble Blue 2T</t>
  </si>
  <si>
    <t>194135316881</t>
  </si>
  <si>
    <t>Carters Baby 2-Pk. Cotton Jogger-Style Greengrey 9 months</t>
  </si>
  <si>
    <t>194135318243</t>
  </si>
  <si>
    <t>Carters Baby Girls 2-Pack Pull-On Cott Pinkyellow 3 months</t>
  </si>
  <si>
    <t>762120060219</t>
  </si>
  <si>
    <t>ID Ideology Toddler Little Boys Colorblo NAVY BLAZER 7</t>
  </si>
  <si>
    <t>100137763LB</t>
  </si>
  <si>
    <t>807421455514</t>
  </si>
  <si>
    <t>Converse Converse Big Boys Tie Dye Chuc White S 810</t>
  </si>
  <si>
    <t>9CC123E</t>
  </si>
  <si>
    <t>195958667778</t>
  </si>
  <si>
    <t>Tommy Hilfiger Tommy Hilfiger Little Boys Scr Orchid Pink 4</t>
  </si>
  <si>
    <t>194135913653</t>
  </si>
  <si>
    <t>Carters Toddler Boys Pull-on Dock Shor Navy 3T</t>
  </si>
  <si>
    <t>2N003910</t>
  </si>
  <si>
    <t>194135730380</t>
  </si>
  <si>
    <t>Carters Baby Boys 2-Pc. Little Guy Bod Burgundy 24 months</t>
  </si>
  <si>
    <t>1M738810</t>
  </si>
  <si>
    <t>766370766419</t>
  </si>
  <si>
    <t>Epic Threads Little Boys Terry Shorts Terra Stone 6</t>
  </si>
  <si>
    <t>766370766389</t>
  </si>
  <si>
    <t>Epic Threads Toddler Boys Terry Shorts Skygaze 2T</t>
  </si>
  <si>
    <t>194257872975</t>
  </si>
  <si>
    <t>Champion Champion Big Girls Classic Scr Deep Forte Blue S 8</t>
  </si>
  <si>
    <t>762120263290</t>
  </si>
  <si>
    <t>Epic Threads Epic Threads Big Girls Knit To Sunset Flamingo L 1214</t>
  </si>
  <si>
    <t>100138540GR</t>
  </si>
  <si>
    <t>194257385277</t>
  </si>
  <si>
    <t>Champion Big Boys All Over Print Signat Camo Desert XLarge</t>
  </si>
  <si>
    <t>195861367697</t>
  </si>
  <si>
    <t>Carters Carters Baby Girls Jersey Lon Pink Stripe 9 months</t>
  </si>
  <si>
    <t>1N963810</t>
  </si>
  <si>
    <t>194135889033</t>
  </si>
  <si>
    <t>Carters Carters Baby Girls Floral Flu Print 18 months</t>
  </si>
  <si>
    <t>194135889057</t>
  </si>
  <si>
    <t>194135889026</t>
  </si>
  <si>
    <t>Carters Carters Baby Girls Floral Flu Print 12 months</t>
  </si>
  <si>
    <t>195861367680</t>
  </si>
  <si>
    <t>Carters Carters Baby Girls Jersey Lon Pink Stripe 6 months</t>
  </si>
  <si>
    <t>762120955843</t>
  </si>
  <si>
    <t>ID Ideology Big Girl Core Stretch Leggings Violet Tulle S 78</t>
  </si>
  <si>
    <t>766380383026</t>
  </si>
  <si>
    <t>ID Ideology Big Girl Core Stretch Leggings Pink Hustl S 78</t>
  </si>
  <si>
    <t>195861290391</t>
  </si>
  <si>
    <t>Carters Carters Toddler Girls Long Sl Cream 2T</t>
  </si>
  <si>
    <t>2O049910</t>
  </si>
  <si>
    <t>196122510678</t>
  </si>
  <si>
    <t>Koala Baby Koala Baby Baby Neutral Hallow Orange Peel 0-3 months</t>
  </si>
  <si>
    <t>KLM02546</t>
  </si>
  <si>
    <t>766380221014</t>
  </si>
  <si>
    <t>First Impressions Baby Girls Graffiti Heart Hood Snow Owl Hthr 6-9 months</t>
  </si>
  <si>
    <t>640013834225</t>
  </si>
  <si>
    <t>Univibe Univibe Big Boys Toto Blocked Mohawk Small</t>
  </si>
  <si>
    <t>762120691420</t>
  </si>
  <si>
    <t>ID Ideology Big Girls Twist-Front Top Violet Tulle M 1012</t>
  </si>
  <si>
    <t>100141262GR</t>
  </si>
  <si>
    <t>194257661654</t>
  </si>
  <si>
    <t>Champion Little Girls Boxy T-shirt Aruba Blue 6X</t>
  </si>
  <si>
    <t>CHL123</t>
  </si>
  <si>
    <t>194257661647</t>
  </si>
  <si>
    <t>Champion Little Girls Boxy T-shirt Aruba Blue 6</t>
  </si>
  <si>
    <t>766380816715</t>
  </si>
  <si>
    <t>Epic Threads Epic Threads Big Boys Short Sl Angel White XL 1820</t>
  </si>
  <si>
    <t>100151588BO</t>
  </si>
  <si>
    <t>766380816661</t>
  </si>
  <si>
    <t>Epic Threads Big Boys Short Sleeves Camo Po Blue Ash Stone XL 1820</t>
  </si>
  <si>
    <t>100151587BO</t>
  </si>
  <si>
    <t>766380816647</t>
  </si>
  <si>
    <t>Epic Threads Big Boys Short Sleeves Camo Po Blue Ash Stone M 1012</t>
  </si>
  <si>
    <t>766380816678</t>
  </si>
  <si>
    <t>Epic Threads Epic Threads Big Boys Short Sl Angel White S 810</t>
  </si>
  <si>
    <t>46094542538</t>
  </si>
  <si>
    <t>Playground Pals Girls 2-Pack Solid Minishorts Carmine RoseWhite S 66X</t>
  </si>
  <si>
    <t>194257872777</t>
  </si>
  <si>
    <t>Champion Champion Big Boys Vertical Scr Sunbeam Glow, Blue Atoll L 1416</t>
  </si>
  <si>
    <t>195883922744</t>
  </si>
  <si>
    <t>Super Mario Toddler Boys Mario Poses Short Heather Oatmeal 2T</t>
  </si>
  <si>
    <t>766380222325</t>
  </si>
  <si>
    <t>First Impressions Baby Boys Hooded Bodysuit Nikko Blue 3-6 months</t>
  </si>
  <si>
    <t>766370894709</t>
  </si>
  <si>
    <t>ID Ideology Big Boys Mesh Break Shorts Lime Popsicle XL</t>
  </si>
  <si>
    <t>194135873209</t>
  </si>
  <si>
    <t>Carters Carters Baby Girls 2-Way Zip Blue 6 months</t>
  </si>
  <si>
    <t>194135318748</t>
  </si>
  <si>
    <t>Carters Baby Girls 2-Pc. Cap Zip-Up Pink 9 months</t>
  </si>
  <si>
    <t>1L778210</t>
  </si>
  <si>
    <t>194133585678</t>
  </si>
  <si>
    <t>Carters Car Snap-Up Fleece Sleep and P White Newborn</t>
  </si>
  <si>
    <t>1J187510</t>
  </si>
  <si>
    <t>766380186702</t>
  </si>
  <si>
    <t>ID Ideology Little Girls Safari Tropical-P Deep Black 3T</t>
  </si>
  <si>
    <t>766380186726</t>
  </si>
  <si>
    <t>ID Ideology Little Girls Safari Tropical-P Deep Black 6X</t>
  </si>
  <si>
    <t>766360144227</t>
  </si>
  <si>
    <t>First Impressions Baby Boys 2-Pk. Leggings Yellow Light 3-6 months</t>
  </si>
  <si>
    <t>766380816593</t>
  </si>
  <si>
    <t>Epic Threads Epic Threads Big Boys Short Sl Safflower S 810</t>
  </si>
  <si>
    <t>766370770201</t>
  </si>
  <si>
    <t>Epic Threads Epic Threads Big Girls Unicorn Island Orange XL 16</t>
  </si>
  <si>
    <t>100153011GR</t>
  </si>
  <si>
    <t>194257454331</t>
  </si>
  <si>
    <t>Champion Champion Little Girls Rainbow White 6X</t>
  </si>
  <si>
    <t>CHL083</t>
  </si>
  <si>
    <t>194257657015</t>
  </si>
  <si>
    <t>Champion Little Girls Graphic T-shirt Oxford Heather 4</t>
  </si>
  <si>
    <t>766380272344</t>
  </si>
  <si>
    <t>Epic Threads Epic Threads Big Girls Side St Skygaze XL 16</t>
  </si>
  <si>
    <t>100154967GR</t>
  </si>
  <si>
    <t>766360667900</t>
  </si>
  <si>
    <t>Epic Threads Epic Threads Big Girls Heather Ghost Heather S 810</t>
  </si>
  <si>
    <t>100145560GR</t>
  </si>
  <si>
    <t>766360649531</t>
  </si>
  <si>
    <t>ID Ideology Big Girls POWER Hooded T-Shirt Pistachio Green S 78</t>
  </si>
  <si>
    <t>766370892897</t>
  </si>
  <si>
    <t>ID Ideology Big Boys Stripe-Print T-Shirt Vivid Turq M</t>
  </si>
  <si>
    <t>766370770157</t>
  </si>
  <si>
    <t>Epic Threads Epic Threads Big Girls Uni Hea Skygaze L 1214</t>
  </si>
  <si>
    <t>80538129909</t>
  </si>
  <si>
    <t>Keds Little Big Girls 2-Pack Swea Heather Oatmeal 6-8</t>
  </si>
  <si>
    <t>KED011</t>
  </si>
  <si>
    <t>766370427198</t>
  </si>
  <si>
    <t>Epic Threads Big Girls Short Sleeve Heart P Slate Heather M 810</t>
  </si>
  <si>
    <t>733004750793</t>
  </si>
  <si>
    <t>Epic Threads Big Girls Long Sleeve Graphic Sunset Flamingo XL 1820</t>
  </si>
  <si>
    <t>766360138844</t>
  </si>
  <si>
    <t>First Impressions Baby Girls 2-Pk. Leggings, Apple Blossom Newborn</t>
  </si>
  <si>
    <t>194135259003</t>
  </si>
  <si>
    <t>Carters Baby Girls 2-Way Zip Cotton Sl Ivory 6 months</t>
  </si>
  <si>
    <t>1L727710</t>
  </si>
  <si>
    <t>196325206439</t>
  </si>
  <si>
    <t>Marvel Big Boys Pokemon Pika Striper Turquoise M</t>
  </si>
  <si>
    <t>2YBMVL2295</t>
  </si>
  <si>
    <t>196325089513</t>
  </si>
  <si>
    <t>Disney Little Girls Minnie and Daisy Pink 4</t>
  </si>
  <si>
    <t>T000126GD13841</t>
  </si>
  <si>
    <t>766370619623</t>
  </si>
  <si>
    <t>First Impressions Baby Boys Folded Dye-Print Sun Aquarius 3-6 months</t>
  </si>
  <si>
    <t>766370619357</t>
  </si>
  <si>
    <t>First Impressions Baby Boys Palm-Print Sunsuit Peppermint Fros 6-9 months</t>
  </si>
  <si>
    <t>100150977BB</t>
  </si>
  <si>
    <t>884411620961</t>
  </si>
  <si>
    <t>Hello Kitty Little Girls Bow Trail Legging Heather Gray 5</t>
  </si>
  <si>
    <t>TB6414GHK0802</t>
  </si>
  <si>
    <t>194973041419</t>
  </si>
  <si>
    <t>Disney Disney Princess Floral Short S White 3T</t>
  </si>
  <si>
    <t>766370912083</t>
  </si>
  <si>
    <t>ID Ideology Little Boys Stripe-Print Short Vivid Turq 6</t>
  </si>
  <si>
    <t>766370897625</t>
  </si>
  <si>
    <t>766370912090</t>
  </si>
  <si>
    <t>ID Ideology Little Boys Stripe-Print Short Vivid Turq 7</t>
  </si>
  <si>
    <t>766370912106</t>
  </si>
  <si>
    <t>ID Ideology Little Boys Stripe-Print Short Vivid Turq 4T</t>
  </si>
  <si>
    <t>766370912298</t>
  </si>
  <si>
    <t>ID Ideology Little Boys Stripe-Print Short Vivid Turq 3T</t>
  </si>
  <si>
    <t>766360310806</t>
  </si>
  <si>
    <t>ID Ideology Toddler Little Boys Mesh Sho Deep Cobal 5</t>
  </si>
  <si>
    <t>766370912076</t>
  </si>
  <si>
    <t>ID Ideology Little Boys Stripe-Print Short Vivid Turq 5</t>
  </si>
  <si>
    <t>766360155964</t>
  </si>
  <si>
    <t>First Impressions Baby Boys Walrus Sunsuit Ski Patrol 12 months</t>
  </si>
  <si>
    <t>766370769397</t>
  </si>
  <si>
    <t>Epic Threads Toddler Boys All Over Print Sh Light Heather Gray 4T</t>
  </si>
  <si>
    <t>762120824842</t>
  </si>
  <si>
    <t>ID Ideology Toddler Little Boys Polo Indigo Sea 2T</t>
  </si>
  <si>
    <t>762120214377</t>
  </si>
  <si>
    <t>ID Ideology Little Girls Be Awesome T-Shir Bright White 2T</t>
  </si>
  <si>
    <t>196325117780</t>
  </si>
  <si>
    <t>Batman Toddler Boys Batman Cape Time Sky Blue 2T</t>
  </si>
  <si>
    <t>884411620893</t>
  </si>
  <si>
    <t>Hello Kitty Little Girls Dot Leggings Pink 4</t>
  </si>
  <si>
    <t>766370899421</t>
  </si>
  <si>
    <t>ID Ideology Big Girls Palm Tree T-Shirt, C Pink Hustle XXL 18</t>
  </si>
  <si>
    <t>766380186634</t>
  </si>
  <si>
    <t>ID Ideology Little Girls Tropical-Print Ta Deep Black 2T</t>
  </si>
  <si>
    <t>762120024761</t>
  </si>
  <si>
    <t>ID Ideology Toddler Little Girls Girls W Bright White 2T</t>
  </si>
  <si>
    <t>766370778610</t>
  </si>
  <si>
    <t>Epic Threads Epic Threads Toddler Girls Par Coral Topaz 4T</t>
  </si>
  <si>
    <t>766370778603</t>
  </si>
  <si>
    <t>Epic Threads Epic Threads Toddler Girls Par Coral Topaz 3T</t>
  </si>
  <si>
    <t>766370778627</t>
  </si>
  <si>
    <t>Epic Threads Epic Threads Little Girls Parr Coral Topaz 6X</t>
  </si>
  <si>
    <t>766370778597</t>
  </si>
  <si>
    <t>Epic Threads Epic Threads Toddler Girls Par Coral Topaz 2T</t>
  </si>
  <si>
    <t>766370901315</t>
  </si>
  <si>
    <t>ID Ideology Toddler Little Girls Dream C Bright White 4T</t>
  </si>
  <si>
    <t>766370901278</t>
  </si>
  <si>
    <t>ID Ideology Toddler Little Girls Dream C Bright White 6</t>
  </si>
  <si>
    <t>195861379966</t>
  </si>
  <si>
    <t>Carters Carters Baby Boys Pull-On Fle Navy Newborn</t>
  </si>
  <si>
    <t>1O007310</t>
  </si>
  <si>
    <t>766370767799</t>
  </si>
  <si>
    <t>Epic Threads Toddler Boys All Over Print Ta Turquoise Splash 3T</t>
  </si>
  <si>
    <t>100151696LB</t>
  </si>
  <si>
    <t>766370767782</t>
  </si>
  <si>
    <t>Epic Threads Toddler Boys All Over Print Ta Turquoise Splash 2T</t>
  </si>
  <si>
    <t>766370767751</t>
  </si>
  <si>
    <t>Epic Threads Little Boys All Over Print Tan Turquoise Splash 6</t>
  </si>
  <si>
    <t>766360769925</t>
  </si>
  <si>
    <t>Epic Threads Toddler Girls Solid Scooter Sk Spring Daffodil 4T</t>
  </si>
  <si>
    <t>100147861LG</t>
  </si>
  <si>
    <t>766360110246</t>
  </si>
  <si>
    <t>Epic Threads Big Girls Wide Stripe-Print Le Bright White M</t>
  </si>
  <si>
    <t>100147692GR</t>
  </si>
  <si>
    <t>766370748484</t>
  </si>
  <si>
    <t>Epic Threads Little Girls Bermuda Shorts Angel White 6</t>
  </si>
  <si>
    <t>733004368127</t>
  </si>
  <si>
    <t>First Impressions oddler Boys Fair Isle Pocket J Bone Hthr 3T</t>
  </si>
  <si>
    <t>100130726TB</t>
  </si>
  <si>
    <t>766380219752</t>
  </si>
  <si>
    <t>First Impressions Toddler Boys Splatter Paint Jo Navy Nautical 4T</t>
  </si>
  <si>
    <t>762120077521</t>
  </si>
  <si>
    <t>Epic Threads Toddler Boys Short Sleeves Gra Deep Black 3T</t>
  </si>
  <si>
    <t>100138419LB</t>
  </si>
  <si>
    <t>766370446267</t>
  </si>
  <si>
    <t>Epic Threads Little Girls All Over Printed Maize Yellow 5</t>
  </si>
  <si>
    <t>762120085885</t>
  </si>
  <si>
    <t>Epic Threads Little Girls Astro Heart Scoot Deep Black 5</t>
  </si>
  <si>
    <t>100140753LG</t>
  </si>
  <si>
    <t>766380266855</t>
  </si>
  <si>
    <t>Epic Threads Little Girls Rainbow Knee Grap Coral Topaz 6X</t>
  </si>
  <si>
    <t>766380266831</t>
  </si>
  <si>
    <t>Epic Threads Toddler Girls Rainbow Knee Gra Coral Topaz 3T</t>
  </si>
  <si>
    <t>766380266848</t>
  </si>
  <si>
    <t>Epic Threads Toddler Girls Rainbow Knee Gra Coral Topaz 4T</t>
  </si>
  <si>
    <t>766380266800</t>
  </si>
  <si>
    <t>Epic Threads Little Girls Rainbow Knee Grap Coral Topaz 5</t>
  </si>
  <si>
    <t>762120085526</t>
  </si>
  <si>
    <t>Epic Threads Toddler Girls Stripe Based Leg Ghost Heather 3T</t>
  </si>
  <si>
    <t>100138322LG</t>
  </si>
  <si>
    <t>733004782688</t>
  </si>
  <si>
    <t>Epic Threads Toddler Girls All Over Print S Multi 3T</t>
  </si>
  <si>
    <t>100138303LG</t>
  </si>
  <si>
    <t>733004782695</t>
  </si>
  <si>
    <t>Epic Threads Toddler Girls All Over Print S Multi 4T</t>
  </si>
  <si>
    <t>762120085373</t>
  </si>
  <si>
    <t>Epic Threads Toddler Girls Ruched Heart Kne Lavender Pool 4T</t>
  </si>
  <si>
    <t>100138320LG</t>
  </si>
  <si>
    <t>733004782749</t>
  </si>
  <si>
    <t>Epic Threads Toddler Girls All Over Print L Sunset Flamingo 3T</t>
  </si>
  <si>
    <t>100138304LG</t>
  </si>
  <si>
    <t>762120085793</t>
  </si>
  <si>
    <t>Epic Threads Toddler Girls Astro Heart All- Deep Black 3T</t>
  </si>
  <si>
    <t>100138535LG</t>
  </si>
  <si>
    <t>762120085465</t>
  </si>
  <si>
    <t>Epic Threads Toddler Girls Rainbow All-Over Rainbow 3T</t>
  </si>
  <si>
    <t>100138321LG</t>
  </si>
  <si>
    <t>733004782664</t>
  </si>
  <si>
    <t>Epic Threads Little Girls All Over Print St Multi 6</t>
  </si>
  <si>
    <t>766360647094</t>
  </si>
  <si>
    <t>Epic Threads Epic Threads Toddler Girls Che Spacious Sky 3T</t>
  </si>
  <si>
    <t>100145116LG</t>
  </si>
  <si>
    <t>766380266817</t>
  </si>
  <si>
    <t>Epic Threads Little Girls Rainbow Knee Grap Coral Topaz 6</t>
  </si>
  <si>
    <t>766370769182</t>
  </si>
  <si>
    <t>Epic Threads Toddler Boys Graphic Short Sle Lime Boost 4T</t>
  </si>
  <si>
    <t>100151793LB</t>
  </si>
  <si>
    <t>762120077088</t>
  </si>
  <si>
    <t>Epic Threads Little Boys Peace Graphic T-sh Medium Heather Gray 5</t>
  </si>
  <si>
    <t>766360685560</t>
  </si>
  <si>
    <t>Epic Threads Toddler Boys Stripe Graphic T- Blue Billow 3T</t>
  </si>
  <si>
    <t>766370769304</t>
  </si>
  <si>
    <t>Epic Threads Toddler Boys Graphic Short Sle Skygaze 3T</t>
  </si>
  <si>
    <t>766370769007</t>
  </si>
  <si>
    <t>Epic Threads Toddler Boys Graphic Short Sle Turquoise Splash 2T</t>
  </si>
  <si>
    <t>766360686246</t>
  </si>
  <si>
    <t>Epic Threads Toddler Boys Dinosaur All Over Medium Heather Gray 3T</t>
  </si>
  <si>
    <t>100144725LB</t>
  </si>
  <si>
    <t>766370769205</t>
  </si>
  <si>
    <t>Epic Threads Toddler Boys Graphic Short Sle Lime Boost 3T</t>
  </si>
  <si>
    <t>766360685287</t>
  </si>
  <si>
    <t>Epic Threads Epic Threads Toddler Boys Grap Bright White 4T</t>
  </si>
  <si>
    <t>766360646363</t>
  </si>
  <si>
    <t>Epic Threads Toddler Girls Butterfly Pocket Art Deco Green 3T</t>
  </si>
  <si>
    <t>100145045LG</t>
  </si>
  <si>
    <t>766360645182</t>
  </si>
  <si>
    <t>Epic Threads Toddler Girls Hearts All Over Blush Pink 2T</t>
  </si>
  <si>
    <t>100145051LG</t>
  </si>
  <si>
    <t>766360646493</t>
  </si>
  <si>
    <t>Epic Threads Toddler Girls Tie Front Butter Angel White 4T</t>
  </si>
  <si>
    <t>100145046LG</t>
  </si>
  <si>
    <t>766360645946</t>
  </si>
  <si>
    <t>Epic Threads Toddler Girls Smile T-shirt Washed Indigo 2T</t>
  </si>
  <si>
    <t>766360645540</t>
  </si>
  <si>
    <t>Epic Threads Epic Threads Toddler Girls Flu Angel White 2T</t>
  </si>
  <si>
    <t>100145095LG</t>
  </si>
  <si>
    <t>766360645243</t>
  </si>
  <si>
    <t>Epic Threads Toddler Girls Fairy Graphic T- Angel White 2T</t>
  </si>
  <si>
    <t>100145052LG</t>
  </si>
  <si>
    <t>766380265544</t>
  </si>
  <si>
    <t>Epic Threads Toddler Girls Always Be Kind G Angel White 4T</t>
  </si>
  <si>
    <t>766370777729</t>
  </si>
  <si>
    <t>Epic Threads Epic Threads Little Girls Palm Angel White 6</t>
  </si>
  <si>
    <t>766380265537</t>
  </si>
  <si>
    <t>Epic Threads Toddler Girls Always Be Kind G Angel White 3T</t>
  </si>
  <si>
    <t>766380265520</t>
  </si>
  <si>
    <t>Epic Threads Toddler Girls Always Be Kind G Angel White 2T</t>
  </si>
  <si>
    <t>766360645939</t>
  </si>
  <si>
    <t>Epic Threads Little Girls Smile T-shirt Washed Indigo 6</t>
  </si>
  <si>
    <t>733002786893</t>
  </si>
  <si>
    <t>Epic Threads Little Girls Short Sleeve UV C Bright White 6</t>
  </si>
  <si>
    <t>100124611LG</t>
  </si>
  <si>
    <t>766380265513</t>
  </si>
  <si>
    <t>Epic Threads Little Girls Always Be Kind Gr Angel White 6</t>
  </si>
  <si>
    <t>766380265759</t>
  </si>
  <si>
    <t>Epic Threads Epic Threads Little Girls LOV Gossamer Green 6</t>
  </si>
  <si>
    <t>766380265780</t>
  </si>
  <si>
    <t>Epic Threads Toddler Girls Love Graphic T Gossamer Green 4T</t>
  </si>
  <si>
    <t>766360661656</t>
  </si>
  <si>
    <t>Epic Threads Epic Threads Toddler Girls Tie Multi Tie Dye 3T</t>
  </si>
  <si>
    <t>100145127LG</t>
  </si>
  <si>
    <t>766360661472</t>
  </si>
  <si>
    <t>Epic Threads Epic Threads Little Girls Suns Blush Pink 6</t>
  </si>
  <si>
    <t>100145103LG</t>
  </si>
  <si>
    <t>766360646554</t>
  </si>
  <si>
    <t>Epic Threads Epic Threads Toddler Girls Cup Ghost Heather 4T</t>
  </si>
  <si>
    <t>100145053LG</t>
  </si>
  <si>
    <t>766360645199</t>
  </si>
  <si>
    <t>Epic Threads Toddler Girls Hearts All Over Blush Pink 3T</t>
  </si>
  <si>
    <t>766360642983</t>
  </si>
  <si>
    <t>Epic Threads Toddler Girls Peace Love Butte Blush Pink 2T</t>
  </si>
  <si>
    <t>100145040LG</t>
  </si>
  <si>
    <t>766380211879</t>
  </si>
  <si>
    <t>First Impressions Toddler Girls Graffiti Heart P Snow Owl Hthr 4T</t>
  </si>
  <si>
    <t>100150143TG</t>
  </si>
  <si>
    <t>762120123907</t>
  </si>
  <si>
    <t>First Impressions Toddler Girls Ruched Heart Top Light Grey 3T</t>
  </si>
  <si>
    <t>100141600TG</t>
  </si>
  <si>
    <t>766370868809</t>
  </si>
  <si>
    <t>First Impressions Baby Girls Bow-Strap Knit Dres Sweet Berry 6-9 months</t>
  </si>
  <si>
    <t>194135893399</t>
  </si>
  <si>
    <t>Carters Carters Baby Boys Cousin Crew Blue 24 months</t>
  </si>
  <si>
    <t>1N076510</t>
  </si>
  <si>
    <t>194135895225</t>
  </si>
  <si>
    <t>Carters Carters Baby Girls Daddys Gi Pink 9 months</t>
  </si>
  <si>
    <t>1N077610</t>
  </si>
  <si>
    <t>195861090816</t>
  </si>
  <si>
    <t>1N614510</t>
  </si>
  <si>
    <t>766370864368</t>
  </si>
  <si>
    <t>First Impressions Toddler Girls Ruffle Trim Shor Ultra Lime 4T</t>
  </si>
  <si>
    <t>766370864344</t>
  </si>
  <si>
    <t>First Impressions Toddler Girls Ruffle Trim Shor Ultra Lime 2T</t>
  </si>
  <si>
    <t>766370864351</t>
  </si>
  <si>
    <t>First Impressions Toddler Girls Ruffle Trim Shor Ultra Lime 3T</t>
  </si>
  <si>
    <t>766380217802</t>
  </si>
  <si>
    <t>First Impressions Baby Boys Pocket Jogger Pants Safflower 18 months</t>
  </si>
  <si>
    <t>766370860476</t>
  </si>
  <si>
    <t>First Impressions Toddler Girls Bright Lights Tr Deep Black 4T</t>
  </si>
  <si>
    <t>766370860469</t>
  </si>
  <si>
    <t>First Impressions Toddler Girls Bright Lights Tr Deep Black 3T</t>
  </si>
  <si>
    <t>733004920165</t>
  </si>
  <si>
    <t>First Impressions Toddler Girls Soft Stripe Legg Angel White 3T</t>
  </si>
  <si>
    <t>100137321TG</t>
  </si>
  <si>
    <t>766370875388</t>
  </si>
  <si>
    <t>First Impressions Toddler Boys Colorblocked T-Sh Bright White 3T</t>
  </si>
  <si>
    <t>100148743TB</t>
  </si>
  <si>
    <t>766370875395</t>
  </si>
  <si>
    <t>First Impressions Toddler Boys Colorblocked T-Sh Bright White 4T</t>
  </si>
  <si>
    <t>766380220093</t>
  </si>
  <si>
    <t>First Impressions Toddler Boys Sketch Dino Long- Blue Poppy 3T</t>
  </si>
  <si>
    <t>762120124560</t>
  </si>
  <si>
    <t>First Impressions First Impressions Toddler Girl Sunset Flamingo 3T</t>
  </si>
  <si>
    <t>100138698TG</t>
  </si>
  <si>
    <t>766380213927</t>
  </si>
  <si>
    <t>766380220130</t>
  </si>
  <si>
    <t>First Impressions Toddler Boys Say Cheese Long-S Angel White 4T</t>
  </si>
  <si>
    <t>766380218021</t>
  </si>
  <si>
    <t>First Impressions Baby Boys Print Jogger Pants Navy Nautical 12 months</t>
  </si>
  <si>
    <t>196027144190</t>
  </si>
  <si>
    <t>Trolls by DreamWorks Trolls by DreamWorks Toddler G Assorted 4T</t>
  </si>
  <si>
    <t>196027138298</t>
  </si>
  <si>
    <t>AME Toddler Boys Puppy Dog Pals T- Assorted 2T</t>
  </si>
  <si>
    <t>195958544321</t>
  </si>
  <si>
    <t>Tommy Hilfiger Tommy Hilfiger Baby Boys Ragla White 12 months</t>
  </si>
  <si>
    <t>196027141106</t>
  </si>
  <si>
    <t>AME Big Boys Black Panther Pajama Assorted 10</t>
  </si>
  <si>
    <t>A2228BZSMA</t>
  </si>
  <si>
    <t>195958578043</t>
  </si>
  <si>
    <t>Caterpillar Caterpillar Little Boys Americ Gray Heather 4</t>
  </si>
  <si>
    <t>55M52017-99</t>
  </si>
  <si>
    <t>195958578067</t>
  </si>
  <si>
    <t>Caterpillar Caterpillar Little Boys Americ Gray Heather 6</t>
  </si>
  <si>
    <t>195958577923</t>
  </si>
  <si>
    <t>Caterpillar Caterpillar Toddler Boys Ameri Gray Heather 4T</t>
  </si>
  <si>
    <t>195958578050</t>
  </si>
  <si>
    <t>Caterpillar Caterpillar Little Boys Americ Gray Heather 5</t>
  </si>
  <si>
    <t>194170417574</t>
  </si>
  <si>
    <t>Rare Editions Baby Girls Printed Dot Yummy K Yellow 3-6 months</t>
  </si>
  <si>
    <t>195861154129</t>
  </si>
  <si>
    <t>Carters Carters Baby Girls Floral Tan Print 3 months</t>
  </si>
  <si>
    <t>840028941707</t>
  </si>
  <si>
    <t>earth by art eden Baby Boys 2-Pk. Mix Match Sh Vista Blue Multi 6 months</t>
  </si>
  <si>
    <t>840028941318</t>
  </si>
  <si>
    <t>earth by art eden 3-Pk. Mix and Match Bodysuits Multi 18 months</t>
  </si>
  <si>
    <t>0015RBM</t>
  </si>
  <si>
    <t>840028941837</t>
  </si>
  <si>
    <t>earth by art eden Baby Girls 2-Pc. Tropical-Prin Pink Carnation Multi 3 months</t>
  </si>
  <si>
    <t>840028941219</t>
  </si>
  <si>
    <t>earth by art eden Baby Boys 3-Pk. Mix and Match Vista Blue Multi 6 months</t>
  </si>
  <si>
    <t>840028941721</t>
  </si>
  <si>
    <t>earth by art eden Baby Boys 2-Pk. Mix Match Sh Vista Blue Multi 12 months</t>
  </si>
  <si>
    <t>840028944128</t>
  </si>
  <si>
    <t>earth by art eden Baby Girls 3-Pk. Mix and Match White 12 months</t>
  </si>
  <si>
    <t>0017BWM</t>
  </si>
  <si>
    <t>196027125922</t>
  </si>
  <si>
    <t>The Mandalorian The Mandalorian Little Girls P Assorted 6</t>
  </si>
  <si>
    <t>196027125939</t>
  </si>
  <si>
    <t>The Mandalorian The Mandalorian Big Girls Paja Assorted 8</t>
  </si>
  <si>
    <t>196027141335</t>
  </si>
  <si>
    <t>Spirit Spirit Little Girls Riding Fre Assorted 6</t>
  </si>
  <si>
    <t>UC037GSLMA</t>
  </si>
  <si>
    <t>196027125748</t>
  </si>
  <si>
    <t>Care Bears Little Girls Care Bears Pajama Assorted 6</t>
  </si>
  <si>
    <t>CB040GSLMA</t>
  </si>
  <si>
    <t>195958375215</t>
  </si>
  <si>
    <t>Kids Headquarters Kids Headquarters Baby Girls M Cream 12M</t>
  </si>
  <si>
    <t>11M02009-99</t>
  </si>
  <si>
    <t>195958009059</t>
  </si>
  <si>
    <t>Kids Headquarters Kids Headquarters Baby Boy Fle Red 12 months</t>
  </si>
  <si>
    <t>10L72009-99</t>
  </si>
  <si>
    <t>196027141045</t>
  </si>
  <si>
    <t>The Mandalorian Little Girls Mandalorian Night Assorted 6</t>
  </si>
  <si>
    <t>UT188GDSMA</t>
  </si>
  <si>
    <t>196027141052</t>
  </si>
  <si>
    <t>The Mandalorian Big Girls Mandalorian Nightgow Assorted 8</t>
  </si>
  <si>
    <t>840028945248</t>
  </si>
  <si>
    <t>earth by art eden Baby Boys Henley One-Piece Vista Blue Multi 12 months</t>
  </si>
  <si>
    <t>194748199628</t>
  </si>
  <si>
    <t>Dreamwave Toddler Girls Shell We Be Frie Navy 4T4</t>
  </si>
  <si>
    <t>8219454LM</t>
  </si>
  <si>
    <t>194748172065</t>
  </si>
  <si>
    <t>Dreamwave Toddler Batman Swimsuit, 2 Pie Multi 4T</t>
  </si>
  <si>
    <t>196027073315</t>
  </si>
  <si>
    <t>Baby Shark Baby Shark Baby Boys Pajama Se Assorted 18 months</t>
  </si>
  <si>
    <t>UI082YLLMA</t>
  </si>
  <si>
    <t>196122281271</t>
  </si>
  <si>
    <t>Koala Baby Baby Girls Top, Bodysuit and P White 0-3 months</t>
  </si>
  <si>
    <t>196027140413</t>
  </si>
  <si>
    <t>PAW Patrol PAW Patrol Toddler Girls Night Assorted 2T</t>
  </si>
  <si>
    <t>WN904TDSMA</t>
  </si>
  <si>
    <t>191655281316</t>
  </si>
  <si>
    <t>Chickpea Chickpea Baby Boys Tops and Sh Green 0-3 months</t>
  </si>
  <si>
    <t>PE22231660</t>
  </si>
  <si>
    <t>191655283341</t>
  </si>
  <si>
    <t>Chickpea Chickpea Baby Girls Tops and S Multi 0-3 months</t>
  </si>
  <si>
    <t>PE12231675</t>
  </si>
  <si>
    <t>191655281439</t>
  </si>
  <si>
    <t>Chickpea Chickpea Baby Boys Tops and Sh Navy 0-3 months</t>
  </si>
  <si>
    <t>PE22231405</t>
  </si>
  <si>
    <t>191655281385</t>
  </si>
  <si>
    <t>191655283280</t>
  </si>
  <si>
    <t>Chickpea Chickpea Baby Girls Tops and S Yellow 0-3 months</t>
  </si>
  <si>
    <t>191655283303</t>
  </si>
  <si>
    <t>Chickpea Chickpea Baby Girls Tops and S Yellow 6-9 months</t>
  </si>
  <si>
    <t>195958520073</t>
  </si>
  <si>
    <t>Tommy Hilfiger Tommy Hilfiger Big Boys Tie Dy Navy Blazer XL 20</t>
  </si>
  <si>
    <t>TBSFB76F-405</t>
  </si>
  <si>
    <t>195958520059</t>
  </si>
  <si>
    <t>195958520042</t>
  </si>
  <si>
    <t>Tommy Hilfiger Tommy Hilfiger Big Boys Tie Dy Navy Blazer L 1618</t>
  </si>
  <si>
    <t>195958884335</t>
  </si>
  <si>
    <t>Tommy Hilfiger Little Boys Tommy Sports Glitc Bright White 4</t>
  </si>
  <si>
    <t>196122328952</t>
  </si>
  <si>
    <t>Koala Baby Baby Girls Ribbed Pants, Pack Green 3-6 months</t>
  </si>
  <si>
    <t>191655274714</t>
  </si>
  <si>
    <t>Chickpea Chickpea Baby Girls Grow with PurplePink 3-9 months</t>
  </si>
  <si>
    <t>195958667525</t>
  </si>
  <si>
    <t>Tommy Hilfiger Tommy Hilfiger Toddler Boys Sp Bright White 3T</t>
  </si>
  <si>
    <t>195958667549</t>
  </si>
  <si>
    <t>Tommy Hilfiger Tommy Hilfiger Little Boys Spl Bright White 5</t>
  </si>
  <si>
    <t>195958667327</t>
  </si>
  <si>
    <t>Tommy Hilfiger Tommy Hilfiger Little Boys Tos Bright White 5</t>
  </si>
  <si>
    <t>195958667334</t>
  </si>
  <si>
    <t>Tommy Hilfiger Tommy Hilfiger Little Boys Tos Bright White 6</t>
  </si>
  <si>
    <t>195958667556</t>
  </si>
  <si>
    <t>Tommy Hilfiger Tommy Hilfiger Little Boys Spl Bright White 6</t>
  </si>
  <si>
    <t>196122330962</t>
  </si>
  <si>
    <t>Koala Baby Baby Boys Rib Pants, Pack of 2 Navy 0-3 months</t>
  </si>
  <si>
    <t>766380220963</t>
  </si>
  <si>
    <t>First Impressions Baby Girls Splatter-Print Hood Navy Nautical 6-9 months</t>
  </si>
  <si>
    <t>194257242815</t>
  </si>
  <si>
    <t>Champion Big Boys Big C Open Hole Mesh Navy L 1416</t>
  </si>
  <si>
    <t>8548CB</t>
  </si>
  <si>
    <t>196325206552</t>
  </si>
  <si>
    <t>Star Wars Big Boys Star Wars Way of Yoda Celadon L</t>
  </si>
  <si>
    <t>733002920372</t>
  </si>
  <si>
    <t>Epic Threads Epic Threads Little Girls Grap Peacoat 6</t>
  </si>
  <si>
    <t>100124635LG</t>
  </si>
  <si>
    <t>732999993048</t>
  </si>
  <si>
    <t>Epic Threads Big Girls Solid Basic Legging, Pale Pink S 78</t>
  </si>
  <si>
    <t>766380213910</t>
  </si>
  <si>
    <t>First Impressions Toddler Girls Ruffle-Back Legg Safflower 4T</t>
  </si>
  <si>
    <t>766380213873</t>
  </si>
  <si>
    <t>First Impressions Toddler Girls Ruffle-Back Legg Blush Pink 3T</t>
  </si>
  <si>
    <t>766360135614</t>
  </si>
  <si>
    <t>First Impressions Toddler Girls Daisy-Print Bloo Apple Blossom 4T</t>
  </si>
  <si>
    <t>100141137TG</t>
  </si>
  <si>
    <t>766380218397</t>
  </si>
  <si>
    <t>First Impressions Baby Boys Splatter-Print Short Navy Nautical 3-6 months</t>
  </si>
  <si>
    <t>100151883BB</t>
  </si>
  <si>
    <t>762120023481</t>
  </si>
  <si>
    <t>First Impressions Baby Boys Rib-Trim Cotton Jogg Sundrop 24 months</t>
  </si>
  <si>
    <t>766380218373</t>
  </si>
  <si>
    <t>First Impressions Baby Boys Splatter-Print Short Snow Owl Hthr 24 months</t>
  </si>
  <si>
    <t>766360151188</t>
  </si>
  <si>
    <t>First Impressions Baby Girl RUFFLE BACK LEGGING Light Grey Hthr 18 months</t>
  </si>
  <si>
    <t>766360151324</t>
  </si>
  <si>
    <t>First Impressions Baby Girl RUFFLE BACK LEGGING Spring Daffodil 18 months</t>
  </si>
  <si>
    <t>766360151171</t>
  </si>
  <si>
    <t>First Impressions Baby Girl RUFFLE BACK LEGGING Light Grey Hthr 6-9 months</t>
  </si>
  <si>
    <t>766380214283</t>
  </si>
  <si>
    <t>First Impressions Baby Boys Go Sk8 Shirt Snow Owl Hthr 6-9 months</t>
  </si>
  <si>
    <t>100148782BB</t>
  </si>
  <si>
    <t>766380214276</t>
  </si>
  <si>
    <t>First Impressions Baby Boys Go Sk8 Shirt Snow Owl Hthr 3-6 months</t>
  </si>
  <si>
    <t>766380214726</t>
  </si>
  <si>
    <t>First Impressions Baby Boys Say Cheese T-Shirt Angel White 6-9 months</t>
  </si>
  <si>
    <t>766380214740</t>
  </si>
  <si>
    <t>First Impressions Baby Boys Say Cheese T-Shirt Angel White 24 months</t>
  </si>
  <si>
    <t>766380211213</t>
  </si>
  <si>
    <t>First Impressions Baby Girls Skater Pup T-Shirt Blush Pink 24 months</t>
  </si>
  <si>
    <t>191539901385</t>
  </si>
  <si>
    <t>Bonnie Baby Baby Girls Sleeveless Knit Flo Coral 3-6 months</t>
  </si>
  <si>
    <t>194134401526</t>
  </si>
  <si>
    <t>DRAFT - 4 Piece Sleepwear Black Beauty 12 months</t>
  </si>
  <si>
    <t>RI40424</t>
  </si>
  <si>
    <t>640013831477</t>
  </si>
  <si>
    <t>DRAFT - Big Boys Jean Spray Fa Blue Large</t>
  </si>
  <si>
    <t>640013842886</t>
  </si>
  <si>
    <t>DRAFT - Big Boys Arlo Multi St Indigo Small</t>
  </si>
  <si>
    <t>196289015917</t>
  </si>
  <si>
    <t>DRAFT - Infant Girls Cocomelon Assorted 12 months</t>
  </si>
  <si>
    <t>196289015924</t>
  </si>
  <si>
    <t>DRAFT - Infant Girls Cocomelon Assorted 18 months</t>
  </si>
  <si>
    <t>194973995064</t>
  </si>
  <si>
    <t>DRAFT - Fluent in Memes SS Gra Royal M 1012</t>
  </si>
  <si>
    <t>1YBY1570</t>
  </si>
  <si>
    <t>742728721149</t>
  </si>
  <si>
    <t>Nike Nike Toddler Boys Color-block Blue Void 2T</t>
  </si>
  <si>
    <t>76H868G</t>
  </si>
  <si>
    <t>816523028977</t>
  </si>
  <si>
    <t>Carters Go Everywhere Diaper Backpack Black</t>
  </si>
  <si>
    <t>SKIP HOP</t>
  </si>
  <si>
    <t>194870730072</t>
  </si>
  <si>
    <t>adidas Big Girls Aeroready Ombre Tigh Shadow Navy XL 1820</t>
  </si>
  <si>
    <t>191358903881</t>
  </si>
  <si>
    <t>adidas Baby Girls Hooded Coverall Light Pink 24M</t>
  </si>
  <si>
    <t>AM1000</t>
  </si>
  <si>
    <t>BODY/RIB: COTTON; STRIPES: COTTON/POLYESTER</t>
  </si>
  <si>
    <t>194170325732</t>
  </si>
  <si>
    <t>Rare Editions Baby Girls Geo Lace with Butte White 6-9 months</t>
  </si>
  <si>
    <t>E888562</t>
  </si>
  <si>
    <t>196258081103</t>
  </si>
  <si>
    <t>Calvin Klein Big Boys T-shirt and Shorts, 2 Calvin Camo L</t>
  </si>
  <si>
    <t>117P</t>
  </si>
  <si>
    <t>CALVIN KLEIN SLEEP/DELTA GALIL BOYS</t>
  </si>
  <si>
    <t>196258081134</t>
  </si>
  <si>
    <t>Calvin Klein Big Boys T-shirt and Shorts, 2 Calvin Camo XL</t>
  </si>
  <si>
    <t>196258081127</t>
  </si>
  <si>
    <t>Calvin Klein Big Boys T-shirt and Shorts, 2 Calvin Camo S</t>
  </si>
  <si>
    <t>194170403775</t>
  </si>
  <si>
    <t>Rare Editions Baby Girls Gauze Color Block t Pink 6-9 months</t>
  </si>
  <si>
    <t>766370085336</t>
  </si>
  <si>
    <t>Epic Threads Little Boys All Over Print T-s Lime Pulp 6</t>
  </si>
  <si>
    <t>100144995LB</t>
  </si>
  <si>
    <t>196027140406</t>
  </si>
  <si>
    <t>Lilo Stitch Toddler Boys Lilo and Stitch T Assorted 4T</t>
  </si>
  <si>
    <t>196027140383</t>
  </si>
  <si>
    <t>Lilo Stitch Toddler Boys Lilo and Stitch T Assorted 2T</t>
  </si>
  <si>
    <t>196027144183</t>
  </si>
  <si>
    <t>Trolls by DreamWorks Trolls by DreamWorks Toddler G Assorted 3T</t>
  </si>
  <si>
    <t>196027141373</t>
  </si>
  <si>
    <t>AME Little Boys Space Jam Pajama S Assorted 6</t>
  </si>
  <si>
    <t>195958577947</t>
  </si>
  <si>
    <t>Caterpillar Caterpillar Toddler Boys Brand Navy 3T</t>
  </si>
  <si>
    <t>55M42019-99</t>
  </si>
  <si>
    <t>196027094662</t>
  </si>
  <si>
    <t>Tommy Hilfiger Big Girls Granny Gown Assorted S 67</t>
  </si>
  <si>
    <t>5D017GGLMA</t>
  </si>
  <si>
    <t>840028941844</t>
  </si>
  <si>
    <t>earth by art eden Baby Girls 2-Pc. Tropical-Prin Pink Carnation Multi 6 months</t>
  </si>
  <si>
    <t>840028942339</t>
  </si>
  <si>
    <t>earth by art eden Baby Boys 2-Pc. Tank Top Sho Bright White Multi 6 months</t>
  </si>
  <si>
    <t>840028941288</t>
  </si>
  <si>
    <t>earth by art eden 3-Pk. Mix and Match Bodysuits Multi 6 months</t>
  </si>
  <si>
    <t>840028942315</t>
  </si>
  <si>
    <t>earth by art eden Baby Boys 2-Pc. Tank Top Sho Bright White Multi NB</t>
  </si>
  <si>
    <t>840028942438</t>
  </si>
  <si>
    <t>earth by art eden Baby Boys 2-Pc. Tank Top Sho Vista Blue Multi 18 months</t>
  </si>
  <si>
    <t>196027073506</t>
  </si>
  <si>
    <t>The Mandalorian Big Girls The Mandalorian Coat Assorted 8</t>
  </si>
  <si>
    <t>196027141083</t>
  </si>
  <si>
    <t>AME Little Boys Captain America T- Assorted 6</t>
  </si>
  <si>
    <t>6Z000BSLMA</t>
  </si>
  <si>
    <t>196027141076</t>
  </si>
  <si>
    <t>AME Little Boys Captain America T- Assorted 4</t>
  </si>
  <si>
    <t>840028944029</t>
  </si>
  <si>
    <t>earth by art eden Baby Girls Tropical-Print Bubb Pink 3 months</t>
  </si>
  <si>
    <t>3010PCM</t>
  </si>
  <si>
    <t>807421736293</t>
  </si>
  <si>
    <t>Hurley Hurley Big Girls Soft Hacci Sh Midnight Navy XLarge</t>
  </si>
  <si>
    <t>194748172041</t>
  </si>
  <si>
    <t>Dreamwave Toddler Batman Swimsuit, 2 Pie Multi 2T</t>
  </si>
  <si>
    <t>840219354484</t>
  </si>
  <si>
    <t>BTween BTween Little Girls Long Sleev Mauve 6</t>
  </si>
  <si>
    <t>4Q654</t>
  </si>
  <si>
    <t>BTWEEN LLC</t>
  </si>
  <si>
    <t>194134474926</t>
  </si>
  <si>
    <t>Koala Baby Baby Boys and Girls 4-Pc. Take Gray 3-6 months</t>
  </si>
  <si>
    <t>KLU01298</t>
  </si>
  <si>
    <t>889799981420</t>
  </si>
  <si>
    <t>Minnie Mouse Minnie Mouse Toddler Girls 2- Assorted 2T</t>
  </si>
  <si>
    <t>MW1135TLLMA</t>
  </si>
  <si>
    <t>766380191645</t>
  </si>
  <si>
    <t>ID Ideology Big Girls Color Block Leggings Deep Black L 14</t>
  </si>
  <si>
    <t>191655281286</t>
  </si>
  <si>
    <t>Chickpea Chickpea Baby Boys Tops and Sh Blue 12 months</t>
  </si>
  <si>
    <t>PE23231654</t>
  </si>
  <si>
    <t>733001245681</t>
  </si>
  <si>
    <t>ID Ideology Big Girls Printed Leggings Foliage Green XL 16</t>
  </si>
  <si>
    <t>640013124517</t>
  </si>
  <si>
    <t>Univibe Big Boys Carrey Color Blocked Blue Small</t>
  </si>
  <si>
    <t>UB221468</t>
  </si>
  <si>
    <t>195958520066</t>
  </si>
  <si>
    <t>Tommy Hilfiger Tommy Hilfiger Big Boys Tie Dy Navy Blazer S 810</t>
  </si>
  <si>
    <t>196122332034</t>
  </si>
  <si>
    <t>Koala Baby Baby Boys Rib Pants, Pack of 2 Navy 9-12 months</t>
  </si>
  <si>
    <t>196122322929</t>
  </si>
  <si>
    <t>Koala Baby Baby Girls Bodysuit and Pants Rose 12-18 months</t>
  </si>
  <si>
    <t>KLF12254</t>
  </si>
  <si>
    <t>196122330009</t>
  </si>
  <si>
    <t>Koala Baby Baby Girls Ribbed Pants, Pack Green 12-18 months</t>
  </si>
  <si>
    <t>KLF12268</t>
  </si>
  <si>
    <t>766380222240</t>
  </si>
  <si>
    <t>First Impressions Baby Boys Plaid Shirt Nikko Blue 0-3 months</t>
  </si>
  <si>
    <t>100152396BB</t>
  </si>
  <si>
    <t>195958667273</t>
  </si>
  <si>
    <t>Tommy Hilfiger Tommy Hilfiger Little Boys Tie Nebulas Blue 6</t>
  </si>
  <si>
    <t>195958667839</t>
  </si>
  <si>
    <t>Tommy Hilfiger Tommy Hilfiger Little Boys Ton Tropical Breeze 4</t>
  </si>
  <si>
    <t>195958667235</t>
  </si>
  <si>
    <t>Tommy Hilfiger Tommy Hilfiger Toddler Boys Ti Nebulas Blue 2T</t>
  </si>
  <si>
    <t>195958667242</t>
  </si>
  <si>
    <t>Tommy Hilfiger Tommy Hilfiger Toddler Boys Ti Nebulas Blue 3T</t>
  </si>
  <si>
    <t>196325048763</t>
  </si>
  <si>
    <t>Star Wars Big Boys The Child Graphic T-s Multi Medium</t>
  </si>
  <si>
    <t>2YSWM0542</t>
  </si>
  <si>
    <t>733004091322</t>
  </si>
  <si>
    <t>Epic Threads Big Girls Solid Sweater Leggin Pink Shine XL 1820</t>
  </si>
  <si>
    <t>766380220956</t>
  </si>
  <si>
    <t>First Impressions Baby Girls Splatter-Print Hood Navy Nautical 3-6 months</t>
  </si>
  <si>
    <t>766380221137</t>
  </si>
  <si>
    <t>First Impressions Baby Boys Smile Full-Zip Jacke Blue Poppy 3-6 months</t>
  </si>
  <si>
    <t>194257619211</t>
  </si>
  <si>
    <t>Champion Champion Little Girls Boxy T-s White 4</t>
  </si>
  <si>
    <t>CHL077</t>
  </si>
  <si>
    <t>194257619235</t>
  </si>
  <si>
    <t>Champion Champion Little Girls Boxy T-s White 6</t>
  </si>
  <si>
    <t>194257263360</t>
  </si>
  <si>
    <t>Champion Big Boys C Outline Script Sh Concrete Large</t>
  </si>
  <si>
    <t>8550CB</t>
  </si>
  <si>
    <t>196122290020</t>
  </si>
  <si>
    <t>Koala Baby Baby Boys Bodysuit and Pants, Blue Print Newborn</t>
  </si>
  <si>
    <t>KLM02150</t>
  </si>
  <si>
    <t>766360667528</t>
  </si>
  <si>
    <t>Epic Threads Epic Threads Big Girls Shorts Spacious Skies L 1416</t>
  </si>
  <si>
    <t>191655254396</t>
  </si>
  <si>
    <t>Chickpea Chickpea Baby Boys Bodysuit, J Blue 3-6 months</t>
  </si>
  <si>
    <t>HE22228831</t>
  </si>
  <si>
    <t>762120856850</t>
  </si>
  <si>
    <t>ID Ideology Big Boys Active Polo Deep Black L</t>
  </si>
  <si>
    <t>194135259331</t>
  </si>
  <si>
    <t>Carters Baby Boys 2-Way Zip Cotton Sle Green 9 months</t>
  </si>
  <si>
    <t>1L750310</t>
  </si>
  <si>
    <t>196325206545</t>
  </si>
  <si>
    <t>Star Wars Big Boys Star Wars Way of Yoda Celadon M</t>
  </si>
  <si>
    <t>195861159407</t>
  </si>
  <si>
    <t>Carters Carters Baby Girls Pull-On Te Turquoise 18 months</t>
  </si>
  <si>
    <t>195861159414</t>
  </si>
  <si>
    <t>Carters Carters Baby Girls Pull-On Te Turquoise 24 months</t>
  </si>
  <si>
    <t>762120087308</t>
  </si>
  <si>
    <t>Epic Threads Toddler Girls Happiness T-shir Angel White 2T</t>
  </si>
  <si>
    <t>766380221908</t>
  </si>
  <si>
    <t>First Impressions Baby Girls Fashion Bodysuit Safflower 24 months</t>
  </si>
  <si>
    <t>766380220123</t>
  </si>
  <si>
    <t>First Impressions Toddler Boys Say Cheese Long-S Angel White 3T</t>
  </si>
  <si>
    <t>766380219905</t>
  </si>
  <si>
    <t>First Impressions Toddler Boys Splatter Paint Sh Navy Nautical 4T</t>
  </si>
  <si>
    <t>733004745591</t>
  </si>
  <si>
    <t>First Impressions Baby Girls Velour Legging Strawberry Pink 6-9 months</t>
  </si>
  <si>
    <t>733001037750</t>
  </si>
  <si>
    <t>Epic Threads Epic Threads Big Boys Solid Ba Navy M 1214</t>
  </si>
  <si>
    <t>766380213897</t>
  </si>
  <si>
    <t>First Impressions Toddler Girls Ruffle-Back Legg Safflower 2T</t>
  </si>
  <si>
    <t>766380213750</t>
  </si>
  <si>
    <t>First Impressions Toddler Girls Ruffle-Back Legg Blue Poppy 2T</t>
  </si>
  <si>
    <t>766380213903</t>
  </si>
  <si>
    <t>First Impressions Toddler Girls Ruffle-Back Legg Safflower 3T</t>
  </si>
  <si>
    <t>766380213767</t>
  </si>
  <si>
    <t>First Impressions Toddler Girls Ruffle-Back Legg Blue Poppy 3T</t>
  </si>
  <si>
    <t>766360159009</t>
  </si>
  <si>
    <t>First Impressions Toddler Girls Tie Dye Biker Sh Bright White 4T</t>
  </si>
  <si>
    <t>100141170TG</t>
  </si>
  <si>
    <t>766360158996</t>
  </si>
  <si>
    <t>First Impressions Toddler Girls Tie Dye Biker Sh Bright White 3T</t>
  </si>
  <si>
    <t>766360158989</t>
  </si>
  <si>
    <t>First Impressions Toddler Girls Tie Dye Biker Sh Bright White 2T</t>
  </si>
  <si>
    <t>766380220185</t>
  </si>
  <si>
    <t>100151875TB</t>
  </si>
  <si>
    <t>766380211763</t>
  </si>
  <si>
    <t>First Impressions Baby Girls Skater Pup T-Shirt Blush Pink 3T</t>
  </si>
  <si>
    <t>766380220208</t>
  </si>
  <si>
    <t>First Impressions Toddler Boys Dino Cotton T-Shi Blue Poppy 2T</t>
  </si>
  <si>
    <t>100151876TB</t>
  </si>
  <si>
    <t>766380220161</t>
  </si>
  <si>
    <t>First Impressions Toddler Boys Say Cheese T-Shir Angel White 4T</t>
  </si>
  <si>
    <t>762120121040</t>
  </si>
  <si>
    <t>First Impressions Baby Girls Heart Kittens Lon Sunset Flamingo 24 months</t>
  </si>
  <si>
    <t>100138598BG</t>
  </si>
  <si>
    <t>762120121026</t>
  </si>
  <si>
    <t>First Impressions Baby Girls Heart Kittens Lon Sunset Flamingo 6-9 months</t>
  </si>
  <si>
    <t>732999977529</t>
  </si>
  <si>
    <t>Epic Threads Epic Threads Little Girls Soli Black 6X</t>
  </si>
  <si>
    <t>766360151256</t>
  </si>
  <si>
    <t>First Impressions Baby Girl RUFFLE BACK LEGGING Spring Daffodil 12 months</t>
  </si>
  <si>
    <t>766380214788</t>
  </si>
  <si>
    <t>First Impressions Baby Boys Rad T-Shirt Navy Nautical 18 months</t>
  </si>
  <si>
    <t>100151875BB</t>
  </si>
  <si>
    <t>766380214511</t>
  </si>
  <si>
    <t>First Impressions Baby Boys Go SK8 T-Shirt Snow Owl Hthr 3-6 months</t>
  </si>
  <si>
    <t>733004883774</t>
  </si>
  <si>
    <t>First Impressions Baby Girls Wide Ribbed Legging Blossom Mist 6-9 months</t>
  </si>
  <si>
    <t>733004883781</t>
  </si>
  <si>
    <t>First Impressions Baby Girls Wide Ribbed Legging Blossom Mist 0-3 months</t>
  </si>
  <si>
    <t>733004883750</t>
  </si>
  <si>
    <t>First Impressions Baby Girls Wide Ribbed Legging Blossom Mist 12 months</t>
  </si>
  <si>
    <t>766360157814</t>
  </si>
  <si>
    <t>First Impressions Baby Girls Yay-Print Shirt Bright White 12 months</t>
  </si>
  <si>
    <t>100141151BG</t>
  </si>
  <si>
    <t>191539901361</t>
  </si>
  <si>
    <t>Bonnie Baby Baby Girls Sleeveless Knit Flo Coral 18 months</t>
  </si>
  <si>
    <t>640013831460</t>
  </si>
  <si>
    <t>DRAFT - Big Boys Jean Spray Fa Blue Medium</t>
  </si>
  <si>
    <t>640013842893</t>
  </si>
  <si>
    <t>DRAFT - Big Boys Arlo Multi St Indigo Medium</t>
  </si>
  <si>
    <t>195861147664</t>
  </si>
  <si>
    <t>Carters Big Girls Horses-Graphic Flutt Green 12</t>
  </si>
  <si>
    <t>3N701110</t>
  </si>
  <si>
    <t>195861147114</t>
  </si>
  <si>
    <t>Carters Carters Baby Girls Jersey Tan Orange 12 months</t>
  </si>
  <si>
    <t>1N692310</t>
  </si>
  <si>
    <t>732999558292</t>
  </si>
  <si>
    <t>DRAFT - EPIC THREADS BG SOLID Red XL 20</t>
  </si>
  <si>
    <t>100096038GR</t>
  </si>
  <si>
    <t>194870722862</t>
  </si>
  <si>
    <t>adidas Big Girls Elastic Waistband Om Blue Rush L 1416</t>
  </si>
  <si>
    <t>194170403638</t>
  </si>
  <si>
    <t>Rare Editions Rare Editions Baby Girls Print Peach 18 months</t>
  </si>
  <si>
    <t>196027143056</t>
  </si>
  <si>
    <t>Space Jam Toddler Boys Space Jam T-shirt Assorted 2T</t>
  </si>
  <si>
    <t>ZX027ESOMA</t>
  </si>
  <si>
    <t>196027140680</t>
  </si>
  <si>
    <t>The Mandalorian The Mandalorian Toddler Boys P Assorted 2T</t>
  </si>
  <si>
    <t>UT133ESOMA</t>
  </si>
  <si>
    <t>840028942322</t>
  </si>
  <si>
    <t>earth by art eden Baby Boys 2-Pc. Tank Top Sho Bright White Multi 3 months</t>
  </si>
  <si>
    <t>677838877397</t>
  </si>
  <si>
    <t>Nike Big Boys Nike Futura Camouflag Gray Camo ONE SIZE</t>
  </si>
  <si>
    <t>9A2827A</t>
  </si>
  <si>
    <t>195958553811</t>
  </si>
  <si>
    <t>Tommy Hilfiger Tommy Hilfiger Big Girls Logo- Nolita Wash S 7</t>
  </si>
  <si>
    <t>696114431658</t>
  </si>
  <si>
    <t>Sleep On It Big Girls Pajama Set, 2 Piece Blue 10-12</t>
  </si>
  <si>
    <t>552058-MA</t>
  </si>
  <si>
    <t>196027148167</t>
  </si>
  <si>
    <t>AME Toddler Boys Paw Patrol Pajama Assorted 2T</t>
  </si>
  <si>
    <t>WN834ESLMA</t>
  </si>
  <si>
    <t>766380189024</t>
  </si>
  <si>
    <t>ID Ideology Big Girls Colorblocked Twofer Mock Orange XL 16</t>
  </si>
  <si>
    <t>194135873186</t>
  </si>
  <si>
    <t>Carters Carters Baby Girls 2-Pack Pul Pink Newborn</t>
  </si>
  <si>
    <t>191159215763</t>
  </si>
  <si>
    <t>Happy Threads Baby Girls Harry Potter Set, 3 Red Multi 6-9 months</t>
  </si>
  <si>
    <t>HPG201ST</t>
  </si>
  <si>
    <t>766380220901</t>
  </si>
  <si>
    <t>First Impressions Baby Girls Splatter-Print Hood Navy Nautical 12 months</t>
  </si>
  <si>
    <t>766370083226</t>
  </si>
  <si>
    <t>Epic Threads Epic Threads Little Boys Tie D Caribe Blue 7</t>
  </si>
  <si>
    <t>191655276213</t>
  </si>
  <si>
    <t>Chickpea Chickpea Baby Boys Bodysuit, J Green 6-9 months</t>
  </si>
  <si>
    <t>766380221502</t>
  </si>
  <si>
    <t>First Impressions Baby Boys Colorblocked Hoodie Tomato Puree 3-6 months</t>
  </si>
  <si>
    <t>766370912847</t>
  </si>
  <si>
    <t>ID Ideology Toddler Little Boys Striped Vivid Turq 2T</t>
  </si>
  <si>
    <t>195861090588</t>
  </si>
  <si>
    <t>Carters Carters Baby Boy or Baby Girl Yellow 6 months</t>
  </si>
  <si>
    <t>766360137540</t>
  </si>
  <si>
    <t>First Impressions Toddler Boys Cotton Polo Sky Gaze 2T</t>
  </si>
  <si>
    <t>100118227TB</t>
  </si>
  <si>
    <t>733002283705</t>
  </si>
  <si>
    <t>Epic Threads Epic Threads Big Boys Solid Ba Heather Gray L 1416</t>
  </si>
  <si>
    <t>766360153397</t>
  </si>
  <si>
    <t>First Impressions Toddler Girls Ruffle-Back Legg Shell Pink 4T</t>
  </si>
  <si>
    <t>766380220178</t>
  </si>
  <si>
    <t>First Impressions Toddler Boys Rad Cotton T-Shir Navy Nautical 2T</t>
  </si>
  <si>
    <t>733002944507</t>
  </si>
  <si>
    <t>Epic Threads Little Boys Camo Pocket Basic Pine Brush 5</t>
  </si>
  <si>
    <t>100129410LB</t>
  </si>
  <si>
    <t>733002944248</t>
  </si>
  <si>
    <t>Epic Threads Toddler Boys Camo Basic Tee Deep Black 2T</t>
  </si>
  <si>
    <t>733002922055</t>
  </si>
  <si>
    <t>Epic Threads Epic Threads Toddler Girls All Ghost Heather 4T</t>
  </si>
  <si>
    <t>100128395LG</t>
  </si>
  <si>
    <t>733002922260</t>
  </si>
  <si>
    <t>Epic Threads Epic Threads Little Girls All Pink Dogwood 5</t>
  </si>
  <si>
    <t>100128892LG</t>
  </si>
  <si>
    <t>766380214528</t>
  </si>
  <si>
    <t>First Impressions Baby Boys Go SK8 T-Shirt Snow Owl Hthr 6-9 months</t>
  </si>
  <si>
    <t>766380214542</t>
  </si>
  <si>
    <t>First Impressions Baby Boys Go SK8 T-Shirt Snow Owl Hthr 24 months</t>
  </si>
  <si>
    <t>766380215822</t>
  </si>
  <si>
    <t>First Impressions Baby Boys Colorblocked T-Shirt Safflower 3-6 months</t>
  </si>
  <si>
    <t>195958108608</t>
  </si>
  <si>
    <t>Tommy Hilfiger Baby Boys Classic Logo Puffer Victoria Blue 18 months</t>
  </si>
  <si>
    <t>TBFEM02C-465</t>
  </si>
  <si>
    <t>195252113070</t>
  </si>
  <si>
    <t>Under Armour Under Armour Big Boys Fleece C Pitch Gray Large</t>
  </si>
  <si>
    <t>MADE IN JORDAN</t>
  </si>
  <si>
    <t>194870314340</t>
  </si>
  <si>
    <t>adidas Big Boys Linear Tricot Jacket Navy M 1012</t>
  </si>
  <si>
    <t>AP5513</t>
  </si>
  <si>
    <t>882925717078</t>
  </si>
  <si>
    <t>Polo Ralph Lauren Baby Boys Polo Bear Jersey T-s White 24 months</t>
  </si>
  <si>
    <t>194753802483</t>
  </si>
  <si>
    <t>Under Armour Baby Boys Track Jacket and Jog Midnight Navy 3-6 months</t>
  </si>
  <si>
    <t>UAFEI47A-413</t>
  </si>
  <si>
    <t>195958389465</t>
  </si>
  <si>
    <t>Tommy Hilfiger Tommy Hilfiger Baby Boys Combe Navy 0-3 months</t>
  </si>
  <si>
    <t>61M90050-99</t>
  </si>
  <si>
    <t>194931204870</t>
  </si>
  <si>
    <t>Nautica Little Boys Full Zip Tie Dye F Gray Tie Dye XL 7</t>
  </si>
  <si>
    <t>NUFEB11E-045</t>
  </si>
  <si>
    <t>194753355873</t>
  </si>
  <si>
    <t>Tommy Hilfiger Tommy Hilfiger Big Boys Henry Grey Heather L 1618</t>
  </si>
  <si>
    <t>TBFDB96F-004</t>
  </si>
  <si>
    <t>196027160367</t>
  </si>
  <si>
    <t>Batman Little Boys Batman T-shirts an Assorted 6</t>
  </si>
  <si>
    <t>742728649863</t>
  </si>
  <si>
    <t>Levis Levis Toddler Boys Pullover H White 2T</t>
  </si>
  <si>
    <t>71D476F</t>
  </si>
  <si>
    <t>194257450852</t>
  </si>
  <si>
    <t>Champion Baby Boys 2-Pc. Long-Sleeve T- Oxford Heather Navy 12 months</t>
  </si>
  <si>
    <t>CHJ931</t>
  </si>
  <si>
    <t>194257450869</t>
  </si>
  <si>
    <t>Champion Baby Boys 2-Pc. Long-Sleeve T- Oxford Heather Navy 18 months</t>
  </si>
  <si>
    <t>195958667877</t>
  </si>
  <si>
    <t>Tommy Hilfiger Tommy Hilfiger Toddler Boys Pu Kelp 2T</t>
  </si>
  <si>
    <t>TBSFC02J-232</t>
  </si>
  <si>
    <t>889799921174</t>
  </si>
  <si>
    <t>Disney Princess Frozen Little Girls Fantasy Go Multicolor 6</t>
  </si>
  <si>
    <t>FZ915GGSMA</t>
  </si>
  <si>
    <t>195861154143</t>
  </si>
  <si>
    <t>Carters Carters Baby Girls Floral Tan Print 9 months</t>
  </si>
  <si>
    <t>840028945651</t>
  </si>
  <si>
    <t>earth by art eden Baby Boys 2-Pc. T-Shirt Shor Deep Cobalt Multi 9 months</t>
  </si>
  <si>
    <t>840028942636</t>
  </si>
  <si>
    <t>earth by art eden Girls 2-Pc. Peplum Top Short Blushing Pink 12 months</t>
  </si>
  <si>
    <t>840028945644</t>
  </si>
  <si>
    <t>earth by art eden Baby Boys 2-Pc. T-Shirt Shor Deep Cobalt Multi 6 months</t>
  </si>
  <si>
    <t>840028945637</t>
  </si>
  <si>
    <t>earth by art eden Baby Boys 2-Pc. T-Shirt Shor Deep Cobalt Multi 3 months</t>
  </si>
  <si>
    <t>840028942674</t>
  </si>
  <si>
    <t>earth by art eden Baby Girls 2-Pc. Rainbow-Print Pink Rainbow 3 months</t>
  </si>
  <si>
    <t>6070PKR</t>
  </si>
  <si>
    <t>840028942698</t>
  </si>
  <si>
    <t>earth by art eden Baby Girls 2-Pc. Rainbow-Print Pink Rainbow 9 months</t>
  </si>
  <si>
    <t>840028942681</t>
  </si>
  <si>
    <t>earth by art eden Baby Girls 2-Pc. Rainbow-Print Pink Rainbow 6 months</t>
  </si>
  <si>
    <t>840028941325</t>
  </si>
  <si>
    <t>earth by art eden 3-Pk. Mix and Match Bodysuits Multi 24 months</t>
  </si>
  <si>
    <t>195861154198</t>
  </si>
  <si>
    <t>Carters Carters Baby Boys 2-Piece Fir Yellow 3 months</t>
  </si>
  <si>
    <t>1N876310</t>
  </si>
  <si>
    <t>196027125793</t>
  </si>
  <si>
    <t>Disney Princess Frozen Big Girls Pajama 2 Piec Assorted 8</t>
  </si>
  <si>
    <t>196027125731</t>
  </si>
  <si>
    <t>Care Bears Little Girls Care Bears Pajama Assorted 4</t>
  </si>
  <si>
    <t>196027141311</t>
  </si>
  <si>
    <t>Spirit Spirit Big Girls Riding Free, Assorted 10</t>
  </si>
  <si>
    <t>196027125755</t>
  </si>
  <si>
    <t>Care Bears Big Girls Care Bears Pajamas, Assorted 8</t>
  </si>
  <si>
    <t>652874204796</t>
  </si>
  <si>
    <t>Speechless Speechless Big Girls Flutter S Navy 12</t>
  </si>
  <si>
    <t>E4684D04KDKN</t>
  </si>
  <si>
    <t>195958155299</t>
  </si>
  <si>
    <t>Kids Headquarters Kids Headquarters Baby Girls F White 12 months</t>
  </si>
  <si>
    <t>11L02020-99</t>
  </si>
  <si>
    <t>733003642532</t>
  </si>
  <si>
    <t>ID Ideology Big Girls Rainbow-Stripe Fleec Ghost Heather XL 16</t>
  </si>
  <si>
    <t>100133037GR</t>
  </si>
  <si>
    <t>196027059418</t>
  </si>
  <si>
    <t>LOL Surprise Big Girls Lol Surpise Granny G Assorted 8</t>
  </si>
  <si>
    <t>LZ223GGLMA</t>
  </si>
  <si>
    <t>196027071908</t>
  </si>
  <si>
    <t>Disney Princess Big Girls Frozen 2 Pajamas, 2 Assorted 8</t>
  </si>
  <si>
    <t>807421736279</t>
  </si>
  <si>
    <t>Hurley Hurley Big Girls Soft Hacci Sh Midnight Navy Medium</t>
  </si>
  <si>
    <t>840028943978</t>
  </si>
  <si>
    <t>earth by art eden Baby Girls Tank Bubble Shortie Multi 12 months</t>
  </si>
  <si>
    <t>840028943947</t>
  </si>
  <si>
    <t>earth by art eden Baby Girls Tank Bubble Shortie Multi 3 months</t>
  </si>
  <si>
    <t>840028943954</t>
  </si>
  <si>
    <t>earth by art eden Baby Girls Tank Bubble Shortie Multi 6 months</t>
  </si>
  <si>
    <t>762120692007</t>
  </si>
  <si>
    <t>ID Ideology Big Girls Sunset Strip Rash Gu Barely Pink XL 16</t>
  </si>
  <si>
    <t>762120024877</t>
  </si>
  <si>
    <t>ID Ideology Tie-Dye Fleece Jacket Deep Black M 1012</t>
  </si>
  <si>
    <t>100136597GR</t>
  </si>
  <si>
    <t>191655040838</t>
  </si>
  <si>
    <t>Chickpea Chickpea Baby Girls 4-Pc. Tops Coral 12 months</t>
  </si>
  <si>
    <t>HE13210364</t>
  </si>
  <si>
    <t>733004591723</t>
  </si>
  <si>
    <t>First Impressions Baby Boys or Girls Bear Hat Navy Nautical 0-6 months</t>
  </si>
  <si>
    <t>194135956261</t>
  </si>
  <si>
    <t>Carters Carters Baby Girls Striped On Print 3 months</t>
  </si>
  <si>
    <t>1N151410</t>
  </si>
  <si>
    <t>196027071809</t>
  </si>
  <si>
    <t>195958667372</t>
  </si>
  <si>
    <t>Tommy Hilfiger Tommy Hilfiger Little Boys Cen Navy Blazer 4</t>
  </si>
  <si>
    <t>196122328877</t>
  </si>
  <si>
    <t>Koala Baby Baby Girls Rib Bodysuit, Pack Yellow 3-6 months</t>
  </si>
  <si>
    <t>196122330887</t>
  </si>
  <si>
    <t>Koala Baby Baby Boys Rib Bodysuit, Pack o Blue 0-3 months</t>
  </si>
  <si>
    <t>766380220871</t>
  </si>
  <si>
    <t>First Impressions Toddler Girls Freestyle Floral Blush Pink 2T</t>
  </si>
  <si>
    <t>100150177TG</t>
  </si>
  <si>
    <t>195958796973</t>
  </si>
  <si>
    <t>Tommy Hilfiger Toddler Boys Stacked Tie Dye T Regatta Blue 2T</t>
  </si>
  <si>
    <t>762120689465</t>
  </si>
  <si>
    <t>ID Ideology Toddler Little Girls Solid S Violet Tulle 6</t>
  </si>
  <si>
    <t>194257443694</t>
  </si>
  <si>
    <t>Champion Big Boys All Over Print Signat Camo Bozetto Blue Large</t>
  </si>
  <si>
    <t>194135475069</t>
  </si>
  <si>
    <t>Carters Baby Girls Dot-Print Heart Fle Yellow 3 months</t>
  </si>
  <si>
    <t>1M072510</t>
  </si>
  <si>
    <t>733004747861</t>
  </si>
  <si>
    <t>First Impressions Toddler Boys Snowboard Toss Jo Washed Indigo 2T</t>
  </si>
  <si>
    <t>100136049TB</t>
  </si>
  <si>
    <t>766360161613</t>
  </si>
  <si>
    <t>First Impressions Toddler Boys Flag Plaid Shorts Ski Patrol 4T</t>
  </si>
  <si>
    <t>100141704TB</t>
  </si>
  <si>
    <t>195861091035</t>
  </si>
  <si>
    <t>Carters Carters Baby Girls Tank Top B Blue 18 months</t>
  </si>
  <si>
    <t>733003134624</t>
  </si>
  <si>
    <t>First Impressions Toddler Girl T RUFFLE BACK LE Neo Natural 3T</t>
  </si>
  <si>
    <t>100121177TG</t>
  </si>
  <si>
    <t>766380220192</t>
  </si>
  <si>
    <t>First Impressions Toddler Boys Rad Cotton T-Shir Navy Nautical 4T</t>
  </si>
  <si>
    <t>733003613099</t>
  </si>
  <si>
    <t>First Impressions Baby Girls Watercolor Splash C Angel White 3-6 months</t>
  </si>
  <si>
    <t>100130819BG</t>
  </si>
  <si>
    <t>766380220154</t>
  </si>
  <si>
    <t>First Impressions Toddler Boys Say Cheese T-Shir Angel White 3T</t>
  </si>
  <si>
    <t>733004919763</t>
  </si>
  <si>
    <t>First Impressions Baby Girls Soft Striped Leggin Angel White 18 months</t>
  </si>
  <si>
    <t>100137321BG</t>
  </si>
  <si>
    <t>733003923860</t>
  </si>
  <si>
    <t>First Impressions Baby Girls Striped Heart Velou Deep Black 18 months</t>
  </si>
  <si>
    <t>100130838BG</t>
  </si>
  <si>
    <t>766360150648</t>
  </si>
  <si>
    <t>First Impressions Toddler Girls Peplum Cotton Tu Bright White 3T</t>
  </si>
  <si>
    <t>766360151195</t>
  </si>
  <si>
    <t>First Impressions Baby Girl RUFFLE BACK LEGGING Light Grey Hthr 24 months</t>
  </si>
  <si>
    <t>766380214535</t>
  </si>
  <si>
    <t>First Impressions Baby Boys Go SK8 T-Shirt Snow Owl Hthr 18 months</t>
  </si>
  <si>
    <t>191539882486</t>
  </si>
  <si>
    <t>Bonnie Baby Baby Girls Short Sleeved Mash Pink 3-6 months</t>
  </si>
  <si>
    <t>640013831453</t>
  </si>
  <si>
    <t>DRAFT - Big Boys Jean Spray Fa Blue Small</t>
  </si>
  <si>
    <t>195861152972</t>
  </si>
  <si>
    <t>Carters Carters Baby Girls Printed Bi Zebra 6 months</t>
  </si>
  <si>
    <t>885031426940</t>
  </si>
  <si>
    <t>Polo Ralph Lauren Toddler Boys Water-Repellent G Polo Black Glossy 3T</t>
  </si>
  <si>
    <t>193371843168</t>
  </si>
  <si>
    <t>Carters Carters Toddler Boys 2 Piece Teal 3T</t>
  </si>
  <si>
    <t>C221FS32-ME</t>
  </si>
  <si>
    <t>CARTER'S/AMEREX GROUP INC BOYS</t>
  </si>
  <si>
    <t>195945908044</t>
  </si>
  <si>
    <t>Steve Madden Steve Madden Little Girls Espa Pink 2M</t>
  </si>
  <si>
    <t>JKIMMIE</t>
  </si>
  <si>
    <t>2 M</t>
  </si>
  <si>
    <t>STEVE MADDEN KIDS/STEVE MADDEN LTD</t>
  </si>
  <si>
    <t>ELASTIC</t>
  </si>
  <si>
    <t>195945908211</t>
  </si>
  <si>
    <t>Steve Madden Steve Madden Big Girls Espadri Lilac 5M</t>
  </si>
  <si>
    <t>195737583039</t>
  </si>
  <si>
    <t>adidas Big Girls Adicolor Hoodie Bold Pink XL 1820</t>
  </si>
  <si>
    <t>HE4780</t>
  </si>
  <si>
    <t>766380733814</t>
  </si>
  <si>
    <t>Smiggle Smiggle Kids Junior Character Gray ONE SIZE</t>
  </si>
  <si>
    <t>884733075340</t>
  </si>
  <si>
    <t>Polo Ralph Lauren Little Boys Suffield Pants White 6</t>
  </si>
  <si>
    <t>2-20 BOY POLO</t>
  </si>
  <si>
    <t>194476819935</t>
  </si>
  <si>
    <t>Roxy Roxy Big Girls Bright Moonligh Mood Indigo Sunset Boogie S 10</t>
  </si>
  <si>
    <t>ERGX203380</t>
  </si>
  <si>
    <t>195737632539</t>
  </si>
  <si>
    <t>adidas Big Boys 3-Stripes Pants Focus Olive and White M 1012</t>
  </si>
  <si>
    <t>HD2048</t>
  </si>
  <si>
    <t>617844280705</t>
  </si>
  <si>
    <t>Levis Boys 511 Performance Jeans Ice Cap 12</t>
  </si>
  <si>
    <t>660168669169</t>
  </si>
  <si>
    <t>Touched by Nature Touched by Nature Baby Boy and Constellation 3-6 months</t>
  </si>
  <si>
    <t>66915M</t>
  </si>
  <si>
    <t>100% ORGANIC COTTON</t>
  </si>
  <si>
    <t>194170371616</t>
  </si>
  <si>
    <t>Rare Editions Baby Girls Satin Empire Bodice Blush 3-6 months</t>
  </si>
  <si>
    <t>E892402</t>
  </si>
  <si>
    <t>888435462835</t>
  </si>
  <si>
    <t>Puma Little Boys Performance Muscle Bright Orange 7</t>
  </si>
  <si>
    <t>PSP22V73-03357</t>
  </si>
  <si>
    <t>PUMA KIDS 2-7/PUMA UNITED NORTH AME</t>
  </si>
  <si>
    <t>888435462828</t>
  </si>
  <si>
    <t>Puma Little Boys Performance Muscle Bright Orange 6</t>
  </si>
  <si>
    <t>194870764107</t>
  </si>
  <si>
    <t>adidas Little Girls Tank Top and Skir White 6X</t>
  </si>
  <si>
    <t>AG4583C</t>
  </si>
  <si>
    <t>742728519333</t>
  </si>
  <si>
    <t>Hurley Hurley Baby Girls One Piece Sw Sail 18 months</t>
  </si>
  <si>
    <t>184428E</t>
  </si>
  <si>
    <t>195958597914</t>
  </si>
  <si>
    <t>Calvin Klein Big Boys Splatter Denim Shorts Todd 14</t>
  </si>
  <si>
    <t>CKMFC00F-480</t>
  </si>
  <si>
    <t>766370347106</t>
  </si>
  <si>
    <t>INC International Concepts INC International Concepts Lit Light Tan 1M</t>
  </si>
  <si>
    <t>766370347038</t>
  </si>
  <si>
    <t>INC International Concepts INC International Concepts Big Black 4M</t>
  </si>
  <si>
    <t>766370347045</t>
  </si>
  <si>
    <t>INC International Concepts INC International Concepts Big Black 5M</t>
  </si>
  <si>
    <t>766370879195</t>
  </si>
  <si>
    <t>First Impressions Toddler Girls 2-Pc. Tie-Dyed T Pink Fancy 2T</t>
  </si>
  <si>
    <t>100146487TG</t>
  </si>
  <si>
    <t>840028942254</t>
  </si>
  <si>
    <t>earth by art eden Baby Boys 2-Pc. Overalls Sle Angel Blue Multi 3 months</t>
  </si>
  <si>
    <t>195958376922</t>
  </si>
  <si>
    <t>Kids Headquarters Kids Headquarters Baby Girls H Blue 12M</t>
  </si>
  <si>
    <t>11M02116-99</t>
  </si>
  <si>
    <t>194931144459</t>
  </si>
  <si>
    <t>Nautica Baby Boys Barton Plaid Shortal Noon Blue 12 months</t>
  </si>
  <si>
    <t>NDSEI05C-452</t>
  </si>
  <si>
    <t>826422126414</t>
  </si>
  <si>
    <t>Beautees Big Girls 2-Piece Cardigan Set Gold-Tone Small</t>
  </si>
  <si>
    <t>BEAUTEES/BYER CALIFORNIA</t>
  </si>
  <si>
    <t>766370879508</t>
  </si>
  <si>
    <t>First Impressions Toddler Girls 2-Pc. Embroidere Bright White 2T</t>
  </si>
  <si>
    <t>100149495TG</t>
  </si>
  <si>
    <t>807421888718</t>
  </si>
  <si>
    <t>Levis Levis Little Boys 510 Skinny Highlands 6</t>
  </si>
  <si>
    <t>81E452F</t>
  </si>
  <si>
    <t>9357482776109</t>
  </si>
  <si>
    <t>COTTON ON Baby Boys Jay Moto Denim Short Gray 18-24 months</t>
  </si>
  <si>
    <t>701982-04</t>
  </si>
  <si>
    <t>191358903850</t>
  </si>
  <si>
    <t>adidas Baby Girls Hooded Coverall Light Pink 9M</t>
  </si>
  <si>
    <t>660168660333</t>
  </si>
  <si>
    <t>Touched by Nature Touched by Nature Toddler Girl Pink Toddler 2</t>
  </si>
  <si>
    <t>66027-2</t>
  </si>
  <si>
    <t>ORGANIC COTTON</t>
  </si>
  <si>
    <t>193579717476</t>
  </si>
  <si>
    <t>Tommy Hilfiger Tommy Hilfiger Little Girls He White, Red 5</t>
  </si>
  <si>
    <t>61I22614-99</t>
  </si>
  <si>
    <t>194170325336</t>
  </si>
  <si>
    <t>Rare Editions Baby Girls Stripe to Dot Casua Navy 24 months</t>
  </si>
  <si>
    <t>E888512</t>
  </si>
  <si>
    <t>196258081110</t>
  </si>
  <si>
    <t>Calvin Klein Big Boys T-shirt and Shorts, 2 Calvin Camo M</t>
  </si>
  <si>
    <t>195958408395</t>
  </si>
  <si>
    <t>Calvin Klein Calvin Klein Performance Big G Black M 810</t>
  </si>
  <si>
    <t>CASFC11S-001</t>
  </si>
  <si>
    <t>195958231573</t>
  </si>
  <si>
    <t>Lucky Brand Lucky Brand Big Girls Tie Dye Black S 7</t>
  </si>
  <si>
    <t>LBFEB34S-001</t>
  </si>
  <si>
    <t>807421581275</t>
  </si>
  <si>
    <t>Nike Nike Baby Girls Essentials Dre White 24 months</t>
  </si>
  <si>
    <t>16J220G</t>
  </si>
  <si>
    <t>889799947723</t>
  </si>
  <si>
    <t>Minions Minions Little Boys Despicable Assorted 6</t>
  </si>
  <si>
    <t>DM533BSSMA</t>
  </si>
  <si>
    <t>194170412579</t>
  </si>
  <si>
    <t>Rare Editions Baby Girls Solid Knit Top with Navy 24 months</t>
  </si>
  <si>
    <t>196027140703</t>
  </si>
  <si>
    <t>The Mandalorian The Mandalorian Toddler Boys P Assorted 4T</t>
  </si>
  <si>
    <t>196027140536</t>
  </si>
  <si>
    <t>Bluey Toddler Boys Bluey T-shirts, S Assorted 2T</t>
  </si>
  <si>
    <t>QF007ESOMA</t>
  </si>
  <si>
    <t>196027140710</t>
  </si>
  <si>
    <t>The Mandalorian The Mandalorian Toddler Girls Assorted 2T</t>
  </si>
  <si>
    <t>UT165TSOMA</t>
  </si>
  <si>
    <t>196027127391</t>
  </si>
  <si>
    <t>AME Big Boys Batman Pajama Set, Pa Assorted 8</t>
  </si>
  <si>
    <t>6Y000BZSMA</t>
  </si>
  <si>
    <t>196027141380</t>
  </si>
  <si>
    <t>AME Big Boys Space Jam Pajama Set, Assorted 8</t>
  </si>
  <si>
    <t>195958544376</t>
  </si>
  <si>
    <t>Tommy Hilfiger Tommy Hilfiger Baby Boys Ragla Blue 24 months</t>
  </si>
  <si>
    <t>733004591396</t>
  </si>
  <si>
    <t>First Impressions Baby Boys or Girls Jacket Mi Vanilla Bean Ht 12 months</t>
  </si>
  <si>
    <t>733004591648</t>
  </si>
  <si>
    <t>First Impressions Baby Boys or Girls Jacket Mi Foxglove 6-9 months</t>
  </si>
  <si>
    <t>195958019706</t>
  </si>
  <si>
    <t>Calvin Klein Calvin Klein Baby Girls Tunic Assorted 12 months</t>
  </si>
  <si>
    <t>3L02015-99</t>
  </si>
  <si>
    <t>195958397774</t>
  </si>
  <si>
    <t>Tommy Hilfiger Tommy Hilfiger Baby Girls Sign Navy 12M</t>
  </si>
  <si>
    <t>61M02028-99</t>
  </si>
  <si>
    <t>194753895478</t>
  </si>
  <si>
    <t>Tommy Hilfiger Tommy Hilfiger Baby Boys 2 Pie Gray 12 months</t>
  </si>
  <si>
    <t>61L72015-99</t>
  </si>
  <si>
    <t>195958389755</t>
  </si>
  <si>
    <t>Tommy Hilfiger Tommy Hilfiger Baby Boys Signa Red 18 months</t>
  </si>
  <si>
    <t>61M70044-99</t>
  </si>
  <si>
    <t>195958489509</t>
  </si>
  <si>
    <t>Nautica Nautica Baby Boys Sailing Flag Assorted 24 months</t>
  </si>
  <si>
    <t>62M73010-99</t>
  </si>
  <si>
    <t>NAUTICA/KHQ INVESTMENT LLC</t>
  </si>
  <si>
    <t>195958484498</t>
  </si>
  <si>
    <t>Nautica Nautica Baby Boys Shark Tie-Dy Blue 24M</t>
  </si>
  <si>
    <t>62M73014-99</t>
  </si>
  <si>
    <t>195958557543</t>
  </si>
  <si>
    <t>Tommy Hilfiger Tommy Hilfiger Baby Girls 2 Pi Dark Blue 24 months</t>
  </si>
  <si>
    <t>TGSFK06P-405</t>
  </si>
  <si>
    <t>733004053870</t>
  </si>
  <si>
    <t>First Impressions Baby Boy CREPE JACKET Navy Nauti 6-9 months</t>
  </si>
  <si>
    <t>100100048BB</t>
  </si>
  <si>
    <t>733004722110</t>
  </si>
  <si>
    <t>First Impressions Baby Boys 2Pc. Tie-Dye Set Angel White 3-6 months</t>
  </si>
  <si>
    <t>100134959BB</t>
  </si>
  <si>
    <t>733003639495</t>
  </si>
  <si>
    <t>ID Ideology Big Boys Fleece Hoodie Med Htr Grey M</t>
  </si>
  <si>
    <t>100133581BO</t>
  </si>
  <si>
    <t>194870723869</t>
  </si>
  <si>
    <t>adidas Big Girls Aeroready Detached W Black XL 1820</t>
  </si>
  <si>
    <t>840028945569</t>
  </si>
  <si>
    <t>earth by art eden Baby Boys 2-Pc. T-Shirt Shor Butter Cup Bright White 3 months</t>
  </si>
  <si>
    <t>840028945446</t>
  </si>
  <si>
    <t>earth by art eden Baby Boys 2-Pk. Mix and Match Deep Cobalt Multi 9 months</t>
  </si>
  <si>
    <t>840028945491</t>
  </si>
  <si>
    <t>earth by art eden Baby Boys 2-Pc. T-Shirt Shor Poppy Red Bright White 3 months</t>
  </si>
  <si>
    <t>6061PBW</t>
  </si>
  <si>
    <t>733003735401</t>
  </si>
  <si>
    <t>Epic Threads Big Girls Short Sleeve Basic T Multi XL 20</t>
  </si>
  <si>
    <t>100138262GR</t>
  </si>
  <si>
    <t>195251357475</t>
  </si>
  <si>
    <t>Under Armour Under Armour Big Boys Tech Hyb High-vis Yellow Small</t>
  </si>
  <si>
    <t>196027073148</t>
  </si>
  <si>
    <t>Spider-Man Big Boys Spiderman Coat Pajama Assorted 8</t>
  </si>
  <si>
    <t>SM229BCLMA</t>
  </si>
  <si>
    <t>196027141090</t>
  </si>
  <si>
    <t>AME Big Boys Captain America T-shi Assorted 8</t>
  </si>
  <si>
    <t>196027141342</t>
  </si>
  <si>
    <t>Spirit Spirit Big Girls Riding Free, Assorted 8</t>
  </si>
  <si>
    <t>196027141328</t>
  </si>
  <si>
    <t>Spirit Spirit Little Girls Riding Fre Assorted 4</t>
  </si>
  <si>
    <t>196027126042</t>
  </si>
  <si>
    <t>Disney AME Little Girls Raya Pajamas, Assorted 6</t>
  </si>
  <si>
    <t>RW006GSLMA</t>
  </si>
  <si>
    <t>196027141069</t>
  </si>
  <si>
    <t>AME Big Boys Captain America T-shi Assorted 10</t>
  </si>
  <si>
    <t>195958375222</t>
  </si>
  <si>
    <t>Kids Headquarters Kids Headquarters Baby Girls M Cream 18M</t>
  </si>
  <si>
    <t>652874379012</t>
  </si>
  <si>
    <t>Speechless Speechless Big Girls Swiss Dot Navy M 810</t>
  </si>
  <si>
    <t>195958409002</t>
  </si>
  <si>
    <t>CASFC02S-001</t>
  </si>
  <si>
    <t>194870266816</t>
  </si>
  <si>
    <t>adidas adidas Big Boys Short Sleeve S Black Medium</t>
  </si>
  <si>
    <t>AA7153</t>
  </si>
  <si>
    <t>195958165830</t>
  </si>
  <si>
    <t>Tommy Hilfiger Tommy Hilfiger Big Girls Dolma Navy M 810</t>
  </si>
  <si>
    <t>TGFEA24S-405</t>
  </si>
  <si>
    <t>194135635050</t>
  </si>
  <si>
    <t>Carters Toddler Boys 2-Pc. Moose Hoodi Assorted 4T</t>
  </si>
  <si>
    <t>2M701010</t>
  </si>
  <si>
    <t>196027141038</t>
  </si>
  <si>
    <t>The Mandalorian Little Girls Mandalorian Night Assorted 4</t>
  </si>
  <si>
    <t>766370341234</t>
  </si>
  <si>
    <t>Sun Stone Little Boys Bowie Sandals Olive 3M</t>
  </si>
  <si>
    <t>3 M</t>
  </si>
  <si>
    <t>MMG-SUN + STONE</t>
  </si>
  <si>
    <t>766370341210</t>
  </si>
  <si>
    <t>Sun Stone Little Boys Bowie Sandals Olive 1M</t>
  </si>
  <si>
    <t>766370341258</t>
  </si>
  <si>
    <t>Sun Stone Big Boys Bowie Sandals Olive 5M</t>
  </si>
  <si>
    <t>194135971042</t>
  </si>
  <si>
    <t>Carters Carters Baby Girls 2-Piece Ch Print 3 months</t>
  </si>
  <si>
    <t>1N152110</t>
  </si>
  <si>
    <t>194134687067</t>
  </si>
  <si>
    <t>Koala Baby Koala Baby Girls Bodysuit, Pac Strawberry 0-3 months</t>
  </si>
  <si>
    <t>KLF01567</t>
  </si>
  <si>
    <t>194134687326</t>
  </si>
  <si>
    <t>Koala Baby Koala Baby Girls Thanksgiving Blaze 3-6 months</t>
  </si>
  <si>
    <t>KLF01572</t>
  </si>
  <si>
    <t>194257660503</t>
  </si>
  <si>
    <t>Champion Big Girls French Terry Shorts Sunbeam Glowcapri Orange XL 1820</t>
  </si>
  <si>
    <t>733004591822</t>
  </si>
  <si>
    <t>First Impressions Baby Velour Sherpa Fleece Blan Cherry Red ONE SIZE</t>
  </si>
  <si>
    <t>194748159707</t>
  </si>
  <si>
    <t>Dreamwave Little Pokemon Swim Trunk Multi 4</t>
  </si>
  <si>
    <t>3230512KM</t>
  </si>
  <si>
    <t>696114452240</t>
  </si>
  <si>
    <t>Max Olivia Baby Boys All Over Printed Paj Turquoise 24 months</t>
  </si>
  <si>
    <t>76663-MA</t>
  </si>
  <si>
    <t>696114451052</t>
  </si>
  <si>
    <t>Max Olivia Big Girls T-shirt and Eye Mask Pink Small</t>
  </si>
  <si>
    <t>150768-MA</t>
  </si>
  <si>
    <t>766380220765</t>
  </si>
  <si>
    <t>First Impressions Toddler Girls Ruffled Hoodie Angel White 3T</t>
  </si>
  <si>
    <t>100150168TG</t>
  </si>
  <si>
    <t>766380220772</t>
  </si>
  <si>
    <t>First Impressions Toddler Girls Ruffled Hoodie Angel White 4T</t>
  </si>
  <si>
    <t>194135473324</t>
  </si>
  <si>
    <t>Carters Toddler Boys Zip-Up Fleece Hoo Navy 3T</t>
  </si>
  <si>
    <t>2M081610</t>
  </si>
  <si>
    <t>196027072646</t>
  </si>
  <si>
    <t>Minnie Mouse Minnie Mouse Toddler Girls Paj Assorted 2T</t>
  </si>
  <si>
    <t>196122330870</t>
  </si>
  <si>
    <t>Koala Baby Baby Boys Rib Bodysuit, Pack o Blue Newborn</t>
  </si>
  <si>
    <t>196122330849</t>
  </si>
  <si>
    <t>Koala Baby Baby Boys Rib Bodysuit, Pack o Yellow 0-3 months</t>
  </si>
  <si>
    <t>KLM02260</t>
  </si>
  <si>
    <t>196122330832</t>
  </si>
  <si>
    <t>Koala Baby Baby Boys Rib Bodysuit, Pack o Yellow Newborn</t>
  </si>
  <si>
    <t>196122330856</t>
  </si>
  <si>
    <t>Koala Baby Baby Boys Rib Bodysuit, Pack o Yellow 3-6 months</t>
  </si>
  <si>
    <t>766380189017</t>
  </si>
  <si>
    <t>ID Ideology Big Girls Colorblocked Twofer Mock Orange L 14</t>
  </si>
  <si>
    <t>766380221465</t>
  </si>
  <si>
    <t>First Impressions Toddler Boys Splatter Paint Zi Navy Nautical 3T</t>
  </si>
  <si>
    <t>195958701366</t>
  </si>
  <si>
    <t>Tommy Hilfiger Tommy Hilfiger Little Boys Spo True Red 4</t>
  </si>
  <si>
    <t>766380220888</t>
  </si>
  <si>
    <t>First Impressions Toddler Girls Freestyle Floral Blush Pink 3T</t>
  </si>
  <si>
    <t>766360132682</t>
  </si>
  <si>
    <t>First Impressions Baby Boys Light-Wash Denim Sho Light Wash 0-3 months</t>
  </si>
  <si>
    <t>194135895942</t>
  </si>
  <si>
    <t>Carters Carters Baby Girls 2-Piece Ta Blue 9 months</t>
  </si>
  <si>
    <t>1N049910</t>
  </si>
  <si>
    <t>196122322998</t>
  </si>
  <si>
    <t>Koala Baby Baby Boys Bodysuit and Pants R Blue Fog 3-6 months</t>
  </si>
  <si>
    <t>196122323025</t>
  </si>
  <si>
    <t>Koala Baby Baby Boys Bodysuit and Pants R White Newborn</t>
  </si>
  <si>
    <t>KLM02258</t>
  </si>
  <si>
    <t>195958667204</t>
  </si>
  <si>
    <t>Tommy Hilfiger Tommy Hilfiger Little Boys Tie Navy Blazer 5</t>
  </si>
  <si>
    <t>195958667198</t>
  </si>
  <si>
    <t>Tommy Hilfiger Tommy Hilfiger Little Boys Tie Navy Blazer 4</t>
  </si>
  <si>
    <t>195958667136</t>
  </si>
  <si>
    <t>Tommy Hilfiger Little Boys Tie Dye Stripe T-s Navy Blazer 4</t>
  </si>
  <si>
    <t>733003951214</t>
  </si>
  <si>
    <t>ID Ideology Little Girls Rainbow Striped T Deep Black 4T</t>
  </si>
  <si>
    <t>100126917LG</t>
  </si>
  <si>
    <t>766380220987</t>
  </si>
  <si>
    <t>First Impressions Baby Girls Splatter-Print Hood Navy Nautical 24 months</t>
  </si>
  <si>
    <t>733004729447</t>
  </si>
  <si>
    <t>Epic Threads Big Boys Short Sleeve All Over Bright White S 810</t>
  </si>
  <si>
    <t>100138413BO</t>
  </si>
  <si>
    <t>191655280616</t>
  </si>
  <si>
    <t>Chickpea Chickpea Baby Boys T-shirt and Navy 0-3 months</t>
  </si>
  <si>
    <t>PE22232064</t>
  </si>
  <si>
    <t>196122338043</t>
  </si>
  <si>
    <t>Koala Baby Baby Boys 1 Piece Rib Sleep an Blue Haze Newborn</t>
  </si>
  <si>
    <t>733004047107</t>
  </si>
  <si>
    <t>Epic Threads Little Boys Long Sleeve Solid Peacoat 5</t>
  </si>
  <si>
    <t>100133725LB</t>
  </si>
  <si>
    <t>191655235067</t>
  </si>
  <si>
    <t>Berkshire Little Girls LOL Surprise Hat Wine ONE SIZE</t>
  </si>
  <si>
    <t>LOL258</t>
  </si>
  <si>
    <t>WINE</t>
  </si>
  <si>
    <t>81715950941</t>
  </si>
  <si>
    <t>Berkshire Little Boys Paw Patrol Hat G Navy ONE SIZE</t>
  </si>
  <si>
    <t>PPM08</t>
  </si>
  <si>
    <t>640013313997</t>
  </si>
  <si>
    <t>Univibe Univibe Big Boys Toto Short Sl Blue M 1012</t>
  </si>
  <si>
    <t>UB122421</t>
  </si>
  <si>
    <t>81715949761</t>
  </si>
  <si>
    <t>Berkshire Little Girls Hat Gloves Set Brnoverflw ONE SIZE</t>
  </si>
  <si>
    <t>FRZ535</t>
  </si>
  <si>
    <t>794434462021</t>
  </si>
  <si>
    <t>ABG Accessories Big Boys and Girls Ski Gloves Blue 7-12</t>
  </si>
  <si>
    <t>GNF87740NMY</t>
  </si>
  <si>
    <t>RISING STAR/ABG ACCESSORIES</t>
  </si>
  <si>
    <t>194257724908</t>
  </si>
  <si>
    <t>Champion Toddler Boys Abstract Camo Sho Cargo Olive 2T</t>
  </si>
  <si>
    <t>617845581207</t>
  </si>
  <si>
    <t>Hurley Hurley Little Boys One and Onl Black 6</t>
  </si>
  <si>
    <t>881106E</t>
  </si>
  <si>
    <t>13244466105</t>
  </si>
  <si>
    <t>Bioworld Big Boys 2 Piece Minecraft Hat Black One Size Fits All</t>
  </si>
  <si>
    <t>XH8TQ2MNCMC</t>
  </si>
  <si>
    <t>46094542590</t>
  </si>
  <si>
    <t>Playground Pals Girls 2-Pack Solid Minishorts WhiteBlack L 1012</t>
  </si>
  <si>
    <t>M3150</t>
  </si>
  <si>
    <t>762120076647</t>
  </si>
  <si>
    <t>ID Ideology Big Girls Ombre Olympic T-Shir Bright White S 78</t>
  </si>
  <si>
    <t>195883058559</t>
  </si>
  <si>
    <t>Disney Little Boys Mickey Mouse Short Heather Gray 7</t>
  </si>
  <si>
    <t>2BDNY4168</t>
  </si>
  <si>
    <t>762120214254</t>
  </si>
  <si>
    <t>ID Ideology Big Girls Girls Can Hooded Top Deep Black S 78</t>
  </si>
  <si>
    <t>100136776GR</t>
  </si>
  <si>
    <t>762120214285</t>
  </si>
  <si>
    <t>ID Ideology Big Girls Girls Can Hooded Top Deep Black XL 16</t>
  </si>
  <si>
    <t>762120214261</t>
  </si>
  <si>
    <t>ID Ideology Big Girls Girls Can Hooded Top Deep Black M 1012</t>
  </si>
  <si>
    <t>762120059510</t>
  </si>
  <si>
    <t>ID Ideology Big Girls Girls Can Hooded Top Rose Shadow S 78</t>
  </si>
  <si>
    <t>100136758GR</t>
  </si>
  <si>
    <t>762120059541</t>
  </si>
  <si>
    <t>ID Ideology Big Girls Girls Can Hooded Top Rose Shadow XL 16</t>
  </si>
  <si>
    <t>762120819978</t>
  </si>
  <si>
    <t>ID Ideology Big Boys Colorblocked Shorts Native Green XL</t>
  </si>
  <si>
    <t>762120819909</t>
  </si>
  <si>
    <t>ID Ideology Big Boys Colorblocked Shorts Native Green M</t>
  </si>
  <si>
    <t>195861117186</t>
  </si>
  <si>
    <t>Carters Toddler Boys One-Piece Snug Fi Construction Print 4T</t>
  </si>
  <si>
    <t>195861375579</t>
  </si>
  <si>
    <t>1N990310</t>
  </si>
  <si>
    <t>194135936942</t>
  </si>
  <si>
    <t>Carters Carters Baby Boys One-Piece W Print 12 months</t>
  </si>
  <si>
    <t>1N033710</t>
  </si>
  <si>
    <t>766370750012</t>
  </si>
  <si>
    <t>Epic Threads Epic Threads Toddler Girls Kni Island Orange 2T</t>
  </si>
  <si>
    <t>762120263672</t>
  </si>
  <si>
    <t>Epic Threads Epic Threads Big Girls Graphic Cherry Flame S 78</t>
  </si>
  <si>
    <t>762120263689</t>
  </si>
  <si>
    <t>Epic Threads Epic Threads Big Girls Graphic Cherry Flame M 810</t>
  </si>
  <si>
    <t>762120214223</t>
  </si>
  <si>
    <t>ID Ideology Big Girls Challenge Accepted H Training Yellow XL 16</t>
  </si>
  <si>
    <t>762120214216</t>
  </si>
  <si>
    <t>ID Ideology Big Girls Challenge Accepted H Training Yellow L 14</t>
  </si>
  <si>
    <t>194257388124</t>
  </si>
  <si>
    <t>Champion Big Boys Script Over T-Shirt White Large</t>
  </si>
  <si>
    <t>CHB019</t>
  </si>
  <si>
    <t>194257547378</t>
  </si>
  <si>
    <t>Champion Big Boys Short Sleeve Signatur White-Dark Blue S 8</t>
  </si>
  <si>
    <t>CHB006</t>
  </si>
  <si>
    <t>194257547453</t>
  </si>
  <si>
    <t>Champion Big Boys Short Sleeve Signatur White-Dark Blue XL 1820</t>
  </si>
  <si>
    <t>195861131014</t>
  </si>
  <si>
    <t>Carters Toddler Boys Construction-Grap Orange 2T</t>
  </si>
  <si>
    <t>2N610510</t>
  </si>
  <si>
    <t>766370167551</t>
  </si>
  <si>
    <t>ID Ideology Little Girls Marble-Print Shor Pistachio Green 6X</t>
  </si>
  <si>
    <t>766380816463</t>
  </si>
  <si>
    <t>Epic Threads Epic Threads Big Boys Short Sl True Green S 810</t>
  </si>
  <si>
    <t>766360446840</t>
  </si>
  <si>
    <t>ID Ideology Big Girls Geo-Print Bicycle Sh Pistachio XL 16</t>
  </si>
  <si>
    <t>766360438050</t>
  </si>
  <si>
    <t>ID Ideology Big Girls I AM T-Shirt Jet Ski M 1012</t>
  </si>
  <si>
    <t>766360438074</t>
  </si>
  <si>
    <t>ID Ideology Big Girls I AM T-Shirt Jet Ski XL 16</t>
  </si>
  <si>
    <t>766370910669</t>
  </si>
  <si>
    <t>ID Ideology Little Toddler Girls Woven S Mock Orange 6</t>
  </si>
  <si>
    <t>766370910676</t>
  </si>
  <si>
    <t>ID Ideology Little Toddler Girls Woven S Mock Orange 2T</t>
  </si>
  <si>
    <t>766370911109</t>
  </si>
  <si>
    <t>ID Ideology Little Toddler Girls Woven S Mock Orange 6X</t>
  </si>
  <si>
    <t>766370749979</t>
  </si>
  <si>
    <t>Epic Threads Epic Threads Toddler Girls Kni Sweet Berry 4T</t>
  </si>
  <si>
    <t>766370749436</t>
  </si>
  <si>
    <t>Epic Threads Epic Threads Little Girls Knit Skygaze 6X</t>
  </si>
  <si>
    <t>766370749337</t>
  </si>
  <si>
    <t>Epic Threads Epic Threads Little Girls Knit Gossamer Green 6</t>
  </si>
  <si>
    <t>766370749382</t>
  </si>
  <si>
    <t>Epic Threads Epic Threads Little Girls Knit Skygaze 5</t>
  </si>
  <si>
    <t>194135893337</t>
  </si>
  <si>
    <t>Carters Carters Baby Girls Flower Pow Multi 6 months</t>
  </si>
  <si>
    <t>194135906099</t>
  </si>
  <si>
    <t>Carters Carters Baby Boys Striped Hen Yellow 12 months</t>
  </si>
  <si>
    <t>766370903135</t>
  </si>
  <si>
    <t>ID Ideology Big Girls Change the World T-S True Green XL 16</t>
  </si>
  <si>
    <t>766370903111</t>
  </si>
  <si>
    <t>ID Ideology Big Girls Change the World T-S True Green M 1012</t>
  </si>
  <si>
    <t>762120024730</t>
  </si>
  <si>
    <t>ID Ideology Big Girls Fearless Elastic T-S Rose Shadow XL 16</t>
  </si>
  <si>
    <t>100136543GR</t>
  </si>
  <si>
    <t>762120024709</t>
  </si>
  <si>
    <t>ID Ideology Big Girls Fearless Elastic T-S Rose Shadow S 78</t>
  </si>
  <si>
    <t>733003608965</t>
  </si>
  <si>
    <t>Epic Threads Toddler Boys Long Sleeve Strip Deep Cobalt 3T</t>
  </si>
  <si>
    <t>100133623LB</t>
  </si>
  <si>
    <t>766360648800</t>
  </si>
  <si>
    <t>Epic Threads Toddler Girls Cold Shoulder Dr Orchid Bloom 2T</t>
  </si>
  <si>
    <t>766370273078</t>
  </si>
  <si>
    <t>Epic Threads Epic Threads Big Girls Equalit Blush Pink S 78</t>
  </si>
  <si>
    <t>100145204GR</t>
  </si>
  <si>
    <t>766370064201</t>
  </si>
  <si>
    <t>Epic Threads Epic Threads Big Girls Malibu Blush Pink M 810</t>
  </si>
  <si>
    <t>100145151GR</t>
  </si>
  <si>
    <t>766370064157</t>
  </si>
  <si>
    <t>Epic Threads Epic Threads Big Girls Malibu Blush Pink S 78</t>
  </si>
  <si>
    <t>766370427228</t>
  </si>
  <si>
    <t>Epic Threads Big Girls Short Sleeve Heart P Angel White S 78</t>
  </si>
  <si>
    <t>766360666910</t>
  </si>
  <si>
    <t>Epic Threads Big Girls Tie Front Pocket T-s Art Deco Green XL 1820</t>
  </si>
  <si>
    <t>100145144GR</t>
  </si>
  <si>
    <t>766360666873</t>
  </si>
  <si>
    <t>Epic Threads Epic Threads Big Girls Tie Fro Angel White XL 1820</t>
  </si>
  <si>
    <t>100145143GR</t>
  </si>
  <si>
    <t>766360666835</t>
  </si>
  <si>
    <t>Epic Threads Big Girls Peace Sign Tie Front Orchid Bloom XL 1820</t>
  </si>
  <si>
    <t>762120263597</t>
  </si>
  <si>
    <t>Epic Threads Epic Threads Big Girls Text Gr Sunset Flamingo S 78</t>
  </si>
  <si>
    <t>194257518316</t>
  </si>
  <si>
    <t>Champion Champion Little Girls Sunburst Black 5</t>
  </si>
  <si>
    <t>CHL055</t>
  </si>
  <si>
    <t>766370619562</t>
  </si>
  <si>
    <t>First Impressions Baby Boys Newport Stripe Sunsu Bright White 3-6 months</t>
  </si>
  <si>
    <t>762120960564</t>
  </si>
  <si>
    <t>ID Ideology Little Girls Flex Leggings Jet Ski 4T</t>
  </si>
  <si>
    <t>766370064119</t>
  </si>
  <si>
    <t>Epic Threads Epic Threads Big Girls Youre Shell Pink S 78</t>
  </si>
  <si>
    <t>100145150GR</t>
  </si>
  <si>
    <t>733003081690</t>
  </si>
  <si>
    <t>ID Ideology Little Girls Flex Leggings Indigo Sea 6X</t>
  </si>
  <si>
    <t>766370273054</t>
  </si>
  <si>
    <t>Epic Threads Epic Threads Big Girls Positiv Gossamer Green L 1214</t>
  </si>
  <si>
    <t>766370168855</t>
  </si>
  <si>
    <t>ID Ideology Toddler Little Girls Marble- Pistachio Green 6</t>
  </si>
  <si>
    <t>766360437688</t>
  </si>
  <si>
    <t>ID Ideology Big Girls Geo-Print Tank Top Pear Passion S 78</t>
  </si>
  <si>
    <t>195861122715</t>
  </si>
  <si>
    <t>Carters Big Boys American Flag Tank Gray 10</t>
  </si>
  <si>
    <t>3N631910</t>
  </si>
  <si>
    <t>733003950644</t>
  </si>
  <si>
    <t>ID Ideology Big Girls Stripe-Print Open-Ba Hthr Grey S 78</t>
  </si>
  <si>
    <t>80538131742</t>
  </si>
  <si>
    <t>Trimfit Trimfit Little Girls Glitter B Pink, White 4-6</t>
  </si>
  <si>
    <t>762120959483</t>
  </si>
  <si>
    <t>ID Ideology Little Girls Lace-Up Top Jet Ski 3T</t>
  </si>
  <si>
    <t>733003083137</t>
  </si>
  <si>
    <t>ID Ideology Big Girls Core Lace-Up T-Shirt Rose Shadow M 1012</t>
  </si>
  <si>
    <t>733003082833</t>
  </si>
  <si>
    <t>ID Ideology Big Girls Core Lace-Up T-Shirt Indigo Sea Opd S 78</t>
  </si>
  <si>
    <t>733003082857</t>
  </si>
  <si>
    <t>ID Ideology Big Girls Core Lace-Up T-Shirt Indigo Sea Opd L 14</t>
  </si>
  <si>
    <t>733003083021</t>
  </si>
  <si>
    <t>ID Ideology Big Girls Core Lace-Up T-Shirt Fresh Orchid L 14</t>
  </si>
  <si>
    <t>733003082802</t>
  </si>
  <si>
    <t>ID Ideology Big Girls Core Lace-Up T-Shirt Hthr Grey L 14</t>
  </si>
  <si>
    <t>733003082840</t>
  </si>
  <si>
    <t>ID Ideology Big Girls Core Lace-Up T-Shirt Indigo Sea Opd M 1012</t>
  </si>
  <si>
    <t>733003082864</t>
  </si>
  <si>
    <t>ID Ideology Big Girls Core Lace-Up T-Shirt Indigo Sea Opd XL 16</t>
  </si>
  <si>
    <t>733003083168</t>
  </si>
  <si>
    <t>ID Ideology Big Girls Core Lace-Up T-Shirt Rose Shadow XL 16</t>
  </si>
  <si>
    <t>733003083038</t>
  </si>
  <si>
    <t>ID Ideology Big Girls Core Lace-Up T-Shirt Fresh Orchid XL 16</t>
  </si>
  <si>
    <t>766370899377</t>
  </si>
  <si>
    <t>ID Ideology Big Girls Palm Tree T-Shirt, C Pink Hustle S 78</t>
  </si>
  <si>
    <t>762120960694</t>
  </si>
  <si>
    <t>ID Ideology Little Girls Biker Shorts Jet Ski 5</t>
  </si>
  <si>
    <t>100123167LG</t>
  </si>
  <si>
    <t>766360168186</t>
  </si>
  <si>
    <t>ID Ideology Toddler Little Girls Core Ca Jet Ski 6X</t>
  </si>
  <si>
    <t>766360156527</t>
  </si>
  <si>
    <t>First Impressions Baby Girls Freedom Stars Sunsu Bright White 0-3 months</t>
  </si>
  <si>
    <t>766360129323</t>
  </si>
  <si>
    <t>First Impressions Baby Girls Cotton Gingham Suns Sodalite Blue 3-6 months</t>
  </si>
  <si>
    <t>100141048BG</t>
  </si>
  <si>
    <t>766360128524</t>
  </si>
  <si>
    <t>First Impressions Baby Girls Cotton Tie-Dyed Str Apple Blossom 12 months</t>
  </si>
  <si>
    <t>100141047BG</t>
  </si>
  <si>
    <t>766360669393</t>
  </si>
  <si>
    <t>Epic Threads Big Girls Tennis All Over Prin Blush Pink L 1416</t>
  </si>
  <si>
    <t>100145572GR</t>
  </si>
  <si>
    <t>766360669379</t>
  </si>
  <si>
    <t>Epic Threads Big Girls Tennis All Over Prin Blush Pink S 810</t>
  </si>
  <si>
    <t>195861286271</t>
  </si>
  <si>
    <t>Carters Carters Toddler Girls Heart E Brown 3T</t>
  </si>
  <si>
    <t>2O055615</t>
  </si>
  <si>
    <t>195861089988</t>
  </si>
  <si>
    <t>Carters Carters Baby Boys Pull-On Fre Blue Newborn</t>
  </si>
  <si>
    <t>1N615910</t>
  </si>
  <si>
    <t>766370425194</t>
  </si>
  <si>
    <t>Epic Threads Toddler Girls Short Sleeves He Sweet Berry 4T</t>
  </si>
  <si>
    <t>733004041297</t>
  </si>
  <si>
    <t>Epic Threads Little Boys Short Sleeve All O Red Wine 5</t>
  </si>
  <si>
    <t>100133708LB</t>
  </si>
  <si>
    <t>766370779228</t>
  </si>
  <si>
    <t>Epic Threads Little Girls Scooter Skirt Island Orange 5</t>
  </si>
  <si>
    <t>766370899643</t>
  </si>
  <si>
    <t>ID Ideology Toddler Little Girls Sunrise Pink Hustle 5</t>
  </si>
  <si>
    <t>100148297LG</t>
  </si>
  <si>
    <t>766370899698</t>
  </si>
  <si>
    <t>ID Ideology Toddler Little Girls Sunrise Pink Hustle 6X</t>
  </si>
  <si>
    <t>766370899667</t>
  </si>
  <si>
    <t>ID Ideology Toddler Little Girls Sunrise Pink Hustle 2T</t>
  </si>
  <si>
    <t>766370899674</t>
  </si>
  <si>
    <t>ID Ideology Toddler Little Girls Sunrise Pink Hustle 3T</t>
  </si>
  <si>
    <t>766370899650</t>
  </si>
  <si>
    <t>ID Ideology Toddler Little Girls Sunrise Pink Hustle 6</t>
  </si>
  <si>
    <t>766370899681</t>
  </si>
  <si>
    <t>ID Ideology Toddler Little Girls Sunrise Pink Hustle 4T</t>
  </si>
  <si>
    <t>766360647483</t>
  </si>
  <si>
    <t>Epic Threads Epic Threads Little Girls Berm Washed Indigo 5</t>
  </si>
  <si>
    <t>766360647544</t>
  </si>
  <si>
    <t>Epic Threads Epic Threads Little Girls Berm Shell Pink 5</t>
  </si>
  <si>
    <t>766360769833</t>
  </si>
  <si>
    <t>Epic Threads Epic Threads Little Girls All Art Deco Green 6</t>
  </si>
  <si>
    <t>766360769819</t>
  </si>
  <si>
    <t>Epic Threads Toddler Girls Flower Bermuda S Ghost Heather 4T</t>
  </si>
  <si>
    <t>194133615948</t>
  </si>
  <si>
    <t>Carters Carters Little Boys Cotton Br Print 6-7</t>
  </si>
  <si>
    <t>3J281910</t>
  </si>
  <si>
    <t>WILLIAM CARTER CO-UNDERWEAR BOYS</t>
  </si>
  <si>
    <t>762120077095</t>
  </si>
  <si>
    <t>Epic Threads Little Boys Peace Graphic T-sh Medium Heather Gray 6</t>
  </si>
  <si>
    <t>733004730566</t>
  </si>
  <si>
    <t>Epic Threads Toddler Boys Camo All Over Pri Artichoke 2T</t>
  </si>
  <si>
    <t>100138388LB</t>
  </si>
  <si>
    <t>766360645397</t>
  </si>
  <si>
    <t>Epic Threads Little Girls Multi Stripe T-sh Spacious Sky 6X</t>
  </si>
  <si>
    <t>766360645359</t>
  </si>
  <si>
    <t>Epic Threads Little Girls Multi Stripe T-sh Spacious Sky 6</t>
  </si>
  <si>
    <t>762120087285</t>
  </si>
  <si>
    <t>Epic Threads Little Girls Happiness T-shirt Angel White 5</t>
  </si>
  <si>
    <t>100138531LG</t>
  </si>
  <si>
    <t>766360645489</t>
  </si>
  <si>
    <t>Epic Threads Toddler Girls Brighter Days Ah Shell Pink 2T</t>
  </si>
  <si>
    <t>766360645731</t>
  </si>
  <si>
    <t>Epic Threads Toddler Girls Love Graphic T-s Orchid Bloom 3T</t>
  </si>
  <si>
    <t>100145097LG</t>
  </si>
  <si>
    <t>766360645304</t>
  </si>
  <si>
    <t>Epic Threads Toddler Girls Multi Stripe T-s Washed Indigo 2T</t>
  </si>
  <si>
    <t>766360828523</t>
  </si>
  <si>
    <t>ID Ideology Little Boys Core Training Shir Deep Charc 2T</t>
  </si>
  <si>
    <t>733004744556</t>
  </si>
  <si>
    <t>First Impressions Toddler Girls Sunrise Stripe L Angel White 4T</t>
  </si>
  <si>
    <t>100137289TG</t>
  </si>
  <si>
    <t>733004748912</t>
  </si>
  <si>
    <t>First Impressions Toddler Boys Mini Monster T-Sh Sundrop 3T</t>
  </si>
  <si>
    <t>100138656TB</t>
  </si>
  <si>
    <t>733002929955</t>
  </si>
  <si>
    <t>Epic Threads Big Girls Camo Print Basic Leg Camo S 810</t>
  </si>
  <si>
    <t>100129826GR</t>
  </si>
  <si>
    <t>733004883644</t>
  </si>
  <si>
    <t>First Impressions Baby Boys Sleepy Cloud Bodysui Sundrop Newborn</t>
  </si>
  <si>
    <t>733001037934</t>
  </si>
  <si>
    <t>Epic Threads Epic Threads Big Boys Solid Ba Navy Nautical L 1416</t>
  </si>
  <si>
    <t>100108525BO</t>
  </si>
  <si>
    <t>733001037774</t>
  </si>
  <si>
    <t>Epic Threads Epic Threads Big Boys Solid Ba Deep Black L 1416</t>
  </si>
  <si>
    <t>733003083267</t>
  </si>
  <si>
    <t>ID Ideology Big Girls Core Lace-Up T-Shirt Deep Black XL 16</t>
  </si>
  <si>
    <t>733003083311</t>
  </si>
  <si>
    <t>ID Ideology Big Girls Core Lace-Up T-Shirt Bright White XL 16</t>
  </si>
  <si>
    <t>766360159436</t>
  </si>
  <si>
    <t>First Impressions Toddler Girls Patriotic Pup Ta Sodalite Blue 3T</t>
  </si>
  <si>
    <t>100141149TG</t>
  </si>
  <si>
    <t>766370874732</t>
  </si>
  <si>
    <t>First Impressions Toddler Boys Solid Mesh Shorts Turq Splash 2T</t>
  </si>
  <si>
    <t>100148764TB</t>
  </si>
  <si>
    <t>766370874701</t>
  </si>
  <si>
    <t>First Impressions Toddler Boys Solid Mesh Shorts Aquarius 2T</t>
  </si>
  <si>
    <t>766370874749</t>
  </si>
  <si>
    <t>First Impressions Toddler Boys Solid Mesh Shorts Turq Splash 3T</t>
  </si>
  <si>
    <t>766370874787</t>
  </si>
  <si>
    <t>First Impressions Toddler Boys Solid Mesh Shorts Turq Splash 4T</t>
  </si>
  <si>
    <t>762120022972</t>
  </si>
  <si>
    <t>First Impressions Toddler Boys Cool Like My Dad Salmon Creek 3T</t>
  </si>
  <si>
    <t>100136082TB</t>
  </si>
  <si>
    <t>196258077946</t>
  </si>
  <si>
    <t>Maidenform Little Big Girls Tie-Dye Hip Ltpasblue XL 1820</t>
  </si>
  <si>
    <t>762120335621</t>
  </si>
  <si>
    <t>First Impressions Baby Girls Sugar Splash Tie-Dy Angel White 18 months</t>
  </si>
  <si>
    <t>100137290BG</t>
  </si>
  <si>
    <t>766360137878</t>
  </si>
  <si>
    <t>First Impressions Baby Boys Cotton Color Fun Wov Spacious Skies 3-6 months</t>
  </si>
  <si>
    <t>100141594BB</t>
  </si>
  <si>
    <t>733004748820</t>
  </si>
  <si>
    <t>First Impressions Toddler Boys Happy Little Huma Washed Indigo 3T</t>
  </si>
  <si>
    <t>100138652TB</t>
  </si>
  <si>
    <t>733003925147</t>
  </si>
  <si>
    <t>First Impressions Baby Girls Lollipop Tunic Stormy Gry Hthr 6-9 months</t>
  </si>
  <si>
    <t>100131142BG</t>
  </si>
  <si>
    <t>762120495387</t>
  </si>
  <si>
    <t>First Impressions Baby Boy SOLID WOVEN SHORTS Stone Wall 6-9 months</t>
  </si>
  <si>
    <t>100116990BB</t>
  </si>
  <si>
    <t>766370875425</t>
  </si>
  <si>
    <t>First Impressions Toddler Boys Totally Rad T-Shi Lime Boost 4T</t>
  </si>
  <si>
    <t>733003924867</t>
  </si>
  <si>
    <t>First Impressions Baby Girls Fair Isle Tunic Angel White 12 months</t>
  </si>
  <si>
    <t>100131137BG</t>
  </si>
  <si>
    <t>733003924300</t>
  </si>
  <si>
    <t>First Impressions Baby Girls Snowflake Velour To Horizon Blue 6-9 months</t>
  </si>
  <si>
    <t>100131149BG</t>
  </si>
  <si>
    <t>733004748745</t>
  </si>
  <si>
    <t>First Impressions Toddler Boy Love You SMore T- Angel White 4T</t>
  </si>
  <si>
    <t>100138648TB</t>
  </si>
  <si>
    <t>733004748721</t>
  </si>
  <si>
    <t>First Impressions Toddler Boy Love You SMore T- Angel White 2T</t>
  </si>
  <si>
    <t>762120023528</t>
  </si>
  <si>
    <t>First Impressions Baby Boys Rib-Trim Cotton Jogg Salmon Creek 18 months</t>
  </si>
  <si>
    <t>100136298BB</t>
  </si>
  <si>
    <t>766360137984</t>
  </si>
  <si>
    <t>First Impressions Baby Boys Colorblocked Knit Sh Navy Nautical 6-9 months</t>
  </si>
  <si>
    <t>100141597BB</t>
  </si>
  <si>
    <t>733003926670</t>
  </si>
  <si>
    <t>First Impressions Baby Boys Honey Bear Long-Slee True Pine 12 months</t>
  </si>
  <si>
    <t>100130716BB</t>
  </si>
  <si>
    <t>766360160708</t>
  </si>
  <si>
    <t>First Impressions Toddler Boys Tie-Dye T-Shirt Sodalite Blue 3T</t>
  </si>
  <si>
    <t>100141666TB</t>
  </si>
  <si>
    <t>766360157999</t>
  </si>
  <si>
    <t>First Impressions Baby Girls Floral Tunic Shirt Sodalite Blue 18 months</t>
  </si>
  <si>
    <t>733003618070</t>
  </si>
  <si>
    <t>First Impressions Baby Boy PIECED ATHLETIC TEE Navy Nautical 18 months</t>
  </si>
  <si>
    <t>100101719BB</t>
  </si>
  <si>
    <t>762120497961</t>
  </si>
  <si>
    <t>First Impressions Baby Girls Wildflower-Print Tu Pink Pearl 6-9 months</t>
  </si>
  <si>
    <t>100141107BG</t>
  </si>
  <si>
    <t>762120497756</t>
  </si>
  <si>
    <t>First Impressions Baby Girls Twirl Dye-Print Tun Bright White 6-9 months</t>
  </si>
  <si>
    <t>766360158194</t>
  </si>
  <si>
    <t>First Impressions Baby Girls Tie Dye Tunic Shirt Bright White 24 months</t>
  </si>
  <si>
    <t>766360158040</t>
  </si>
  <si>
    <t>First Impressions Baby Girls Tie Dye Tunic Shirt Bright White 18 months</t>
  </si>
  <si>
    <t>766360157944</t>
  </si>
  <si>
    <t>First Impressions Baby Girls Multi-Stars Tunic S Sodalite Blue 18 months</t>
  </si>
  <si>
    <t>766360124342</t>
  </si>
  <si>
    <t>First Impressions Baby Girls Boys Gingham Bunn Cocoa Butter 3-6 months</t>
  </si>
  <si>
    <t>762120127400</t>
  </si>
  <si>
    <t>First Impressions Baby Boys Lift Off Rocket Long Deep Black 24 months</t>
  </si>
  <si>
    <t>100136303BB</t>
  </si>
  <si>
    <t>733004739088</t>
  </si>
  <si>
    <t>First Impressions Baby Girls Rainbow Long-Sleeve Washed Indigo 6-9 months</t>
  </si>
  <si>
    <t>100137329BG</t>
  </si>
  <si>
    <t>733004739019</t>
  </si>
  <si>
    <t>First Impressions Baby Girls Rainbow Long-Sleeve Washed Indigo 12 months</t>
  </si>
  <si>
    <t>762120496483</t>
  </si>
  <si>
    <t>First Impressions Baby Girls Biker Shorts Apple Blossom 12 months</t>
  </si>
  <si>
    <t>762120496520</t>
  </si>
  <si>
    <t>First Impressions Baby Girls Biker Shorts Apple Blossom 24 months</t>
  </si>
  <si>
    <t>733004739118</t>
  </si>
  <si>
    <t>First Impressions Baby Girls Sparkle Soft Serve Aqua Wash 12 months</t>
  </si>
  <si>
    <t>100137330BG</t>
  </si>
  <si>
    <t>766370862463</t>
  </si>
  <si>
    <t>First Impressions Baby Girls Party Fruit Top Shady Pink 18 months</t>
  </si>
  <si>
    <t>762120113199</t>
  </si>
  <si>
    <t>First Impressions Baby Boys Long-Sleeve Snow Con Slate Heather 24 months</t>
  </si>
  <si>
    <t>100136054BB</t>
  </si>
  <si>
    <t>733002285921</t>
  </si>
  <si>
    <t>Epic Threads Epic Threads Little Boys Solid Peacoat 6</t>
  </si>
  <si>
    <t>766360158774</t>
  </si>
  <si>
    <t>First Impressions Baby Girls Floral-Print Biker Sodalite Blue 24 months</t>
  </si>
  <si>
    <t>766360158750</t>
  </si>
  <si>
    <t>First Impressions Baby Girls Floral-Print Biker Sodalite Blue 6-9 months</t>
  </si>
  <si>
    <t>762120496438</t>
  </si>
  <si>
    <t>First Impressions Baby Girl Berry Bundles-Print Bright White 12 months</t>
  </si>
  <si>
    <t>100141117BG</t>
  </si>
  <si>
    <t>762120496445</t>
  </si>
  <si>
    <t>First Impressions Baby Girl Berry Bundles-Print Bright White 3-6 months</t>
  </si>
  <si>
    <t>762120496469</t>
  </si>
  <si>
    <t>First Impressions Baby Girl Berry Bundles-Print Bright White 18 months</t>
  </si>
  <si>
    <t>733004745751</t>
  </si>
  <si>
    <t>First Impressions Baby Boys Love You Smore Long Angel White 18 months</t>
  </si>
  <si>
    <t>733001213673</t>
  </si>
  <si>
    <t>First Impressions Baby Boys Hipster Dino Tee Vanilla Bean 12 months</t>
  </si>
  <si>
    <t>100101714BB</t>
  </si>
  <si>
    <t>766370873520</t>
  </si>
  <si>
    <t>First Impressions Baby Boys Solid Mesh Shorts Turq Splash 6-9 months</t>
  </si>
  <si>
    <t>766370873513</t>
  </si>
  <si>
    <t>First Impressions Baby Boys Solid Mesh Shorts Turq Splash 3-6 months</t>
  </si>
  <si>
    <t>733004739958</t>
  </si>
  <si>
    <t>First Impressions Baby Girls Rainbow T-Shir Washed Indigo 3-6 months</t>
  </si>
  <si>
    <t>733004883767</t>
  </si>
  <si>
    <t>First Impressions Baby Girls Wide Ribbed Legging Blossom Mist 3-6 months</t>
  </si>
  <si>
    <t>100136261BG</t>
  </si>
  <si>
    <t>733003926571</t>
  </si>
  <si>
    <t>First Impressions Baby Boys Beanie Critters T-Sh Cherry Red 12 months</t>
  </si>
  <si>
    <t>100130714BB</t>
  </si>
  <si>
    <t>733003926601</t>
  </si>
  <si>
    <t>First Impressions Baby Boys Beanie Critters T-Sh Cherry Red 18 months</t>
  </si>
  <si>
    <t>766370869141</t>
  </si>
  <si>
    <t>First Impressions Baby Boys Summer Graphic T-Shi Heather Hawaii 6-9 months</t>
  </si>
  <si>
    <t>762120495790</t>
  </si>
  <si>
    <t>First Impressions Baby Boy Tennis-Graphic Shirt Navy Nautical 6-9 months</t>
  </si>
  <si>
    <t>100141401BB</t>
  </si>
  <si>
    <t>766360136475</t>
  </si>
  <si>
    <t>First Impressions Baby Boys Tractor T-Shirt Slate Hthr 6-9 months</t>
  </si>
  <si>
    <t>762120495776</t>
  </si>
  <si>
    <t>First Impressions Baby Boy Tennis-Graphic Shirt Navy Nautical 3-6 months</t>
  </si>
  <si>
    <t>766360160494</t>
  </si>
  <si>
    <t>First Impressions Baby Boys Tie Dye T-Shirt Sodalite Blue 6-9 months</t>
  </si>
  <si>
    <t>762120498289</t>
  </si>
  <si>
    <t>First Impressions Baby Girls Floral Flutter-Grap Spacious Skies 6-9 months</t>
  </si>
  <si>
    <t>100141326BG</t>
  </si>
  <si>
    <t>762120498296</t>
  </si>
  <si>
    <t>First Impressions Baby Girls Floral Flutter-Grap Spacious Skies 18 months</t>
  </si>
  <si>
    <t>766360136512</t>
  </si>
  <si>
    <t>First Impressions Baby Boys Be Kind T-Shirt Navy Nautical 3-6 months</t>
  </si>
  <si>
    <t>762120495936</t>
  </si>
  <si>
    <t>First Impressions Baby Boys Peeps-Graphic Shirt Skygaze 3-6 months</t>
  </si>
  <si>
    <t>100141390BB</t>
  </si>
  <si>
    <t>762120495981</t>
  </si>
  <si>
    <t>First Impressions Baby Boys Bunny-Graphic Shirt Spring Daffodil 3-6 months</t>
  </si>
  <si>
    <t>766360159801</t>
  </si>
  <si>
    <t>First Impressions Baby Boy FLAG TANK Slate Hthr 6-9 months</t>
  </si>
  <si>
    <t>191539937384</t>
  </si>
  <si>
    <t>Bonnie Baby Baby Girls Short Sleeved Metal Rose 3-6 months</t>
  </si>
  <si>
    <t>195958125568</t>
  </si>
  <si>
    <t>DRAFT - Kids Headquarters Todd Pink 3T</t>
  </si>
  <si>
    <t>11L12009-99</t>
  </si>
  <si>
    <t>194135551077</t>
  </si>
  <si>
    <t>Carters Baby Boys 4-Pack Long-Sleeve S Blue Multi 24 months</t>
  </si>
  <si>
    <t>1M004710</t>
  </si>
  <si>
    <t>195883817675</t>
  </si>
  <si>
    <t>TIANA DREAMS LS TEE</t>
  </si>
  <si>
    <t>T000251GD13424</t>
  </si>
  <si>
    <t>640013843210</t>
  </si>
  <si>
    <t>DRAFT - Big Boys Arlo Multi St Indigo Large</t>
  </si>
  <si>
    <t>195861374435</t>
  </si>
  <si>
    <t>Carters Carters Baby Girls Heart Flut Yellow 6 months</t>
  </si>
  <si>
    <t>842332151414</t>
  </si>
  <si>
    <t>aden by aden anais aden by aden anais Baby Bond Multi</t>
  </si>
  <si>
    <t>APMC10001</t>
  </si>
  <si>
    <t>ADEN + ANAIS INC</t>
  </si>
  <si>
    <t>628735546350</t>
  </si>
  <si>
    <t>Lauren Ralph Lauren Lauren Ralph Lauren Big Boys M Blue 20R</t>
  </si>
  <si>
    <t>BNUGPZ1Y0801</t>
  </si>
  <si>
    <t>20 REG/MED</t>
  </si>
  <si>
    <t>LAUREN/PEERLESS CLOTHING</t>
  </si>
  <si>
    <t>885031446764</t>
  </si>
  <si>
    <t>Polo Ralph Lauren Polo Ralph Lauren Little Boys Newport Navy 5</t>
  </si>
  <si>
    <t>190893691864</t>
  </si>
  <si>
    <t>Columbia Columbia Big Boys Glennaker Ra Black XXSmall</t>
  </si>
  <si>
    <t>194931287736</t>
  </si>
  <si>
    <t>Nautica Nautica Baby Boys 4-Piece Marl Blue 24 months</t>
  </si>
  <si>
    <t>194870729847</t>
  </si>
  <si>
    <t>adidas Big Girls Aeroready Ombre Tigh Crew Blue L 14</t>
  </si>
  <si>
    <t>AK4800</t>
  </si>
  <si>
    <t>194501715645</t>
  </si>
  <si>
    <t>Nike Nike Big Boys Sportswear Just Black, Black Small</t>
  </si>
  <si>
    <t>DC7247</t>
  </si>
  <si>
    <t>840028942285</t>
  </si>
  <si>
    <t>earth by art eden Baby Boys 2-Pc. Overalls Sle Angel Blue Multi 12 months</t>
  </si>
  <si>
    <t>6063ABM</t>
  </si>
  <si>
    <t>195958243484</t>
  </si>
  <si>
    <t>Tommy Hilfiger Tommy Hilfiger Big Girls Velou Navy L 1214</t>
  </si>
  <si>
    <t>TGHDH21S-405</t>
  </si>
  <si>
    <t>742728622187</t>
  </si>
  <si>
    <t>Levis Levis Big Boys Adjustable Wai Chili Pepper 16</t>
  </si>
  <si>
    <t>91C769F</t>
  </si>
  <si>
    <t>886785498238</t>
  </si>
  <si>
    <t>CB Sports CB Sports Little Boys Puffer J Black 56</t>
  </si>
  <si>
    <t>195737680950</t>
  </si>
  <si>
    <t>adidas Big Girls Graphic T-shirt White, Black M 1012</t>
  </si>
  <si>
    <t>HF4933</t>
  </si>
  <si>
    <t>742728995670</t>
  </si>
  <si>
    <t>Jordan Jordan Big Boys Short Sleeve G Gym Red M 1012</t>
  </si>
  <si>
    <t>95A779G</t>
  </si>
  <si>
    <t>194170403645</t>
  </si>
  <si>
    <t>Rare Editions Rare Editions Baby Girls Print Peach 24 months</t>
  </si>
  <si>
    <t>S814522</t>
  </si>
  <si>
    <t>194170403614</t>
  </si>
  <si>
    <t>Rare Editions Rare Editions Baby Girls Print Peach 6-9 months</t>
  </si>
  <si>
    <t>196027143490</t>
  </si>
  <si>
    <t>PAW Patrol Paw Patrol Toddler Girls Pajam Assorted 2T</t>
  </si>
  <si>
    <t>WN905TSOMA</t>
  </si>
  <si>
    <t>196027140390</t>
  </si>
  <si>
    <t>Lilo Stitch Toddler Boys Lilo and Stitch T Assorted 3T</t>
  </si>
  <si>
    <t>LO049ESOMA</t>
  </si>
  <si>
    <t>194170405557</t>
  </si>
  <si>
    <t>Rare Editions Rare Editions Baby Girls Flora Blue 6-9 months</t>
  </si>
  <si>
    <t>S815102</t>
  </si>
  <si>
    <t>196027141366</t>
  </si>
  <si>
    <t>AME Little Boys Space Jam Pajama S Assorted 4</t>
  </si>
  <si>
    <t>ZX025BZSMA</t>
  </si>
  <si>
    <t>194170405588</t>
  </si>
  <si>
    <t>Rare Editions Rare Editions Baby Girls Flora Blue 24 months</t>
  </si>
  <si>
    <t>195958544352</t>
  </si>
  <si>
    <t>Tommy Hilfiger Tommy Hilfiger Baby Boys Ragla Blue 12 months</t>
  </si>
  <si>
    <t>61M72039-99</t>
  </si>
  <si>
    <t>840028945071</t>
  </si>
  <si>
    <t>earth by art eden 2-Pc. Shortall Bodysuit Set Deep Cobalt Multi 3 months</t>
  </si>
  <si>
    <t>6072DCM</t>
  </si>
  <si>
    <t>195958054042</t>
  </si>
  <si>
    <t>Tommy Hilfiger Tommy Hilfiger Baby Boys Fleec Navy 3-6 months</t>
  </si>
  <si>
    <t>61L90047-99</t>
  </si>
  <si>
    <t>195958052864</t>
  </si>
  <si>
    <t>Tommy Hilfiger Tommy Hilfiger Baby Boys Fleec Navy 18 months</t>
  </si>
  <si>
    <t>61L70047-99</t>
  </si>
  <si>
    <t>194170414009</t>
  </si>
  <si>
    <t>Rare Editions Baby Girls Printed Top and Mat Mint 12 months</t>
  </si>
  <si>
    <t>S815112</t>
  </si>
  <si>
    <t>194170413989</t>
  </si>
  <si>
    <t>Rare Editions Baby Girls Printed Top and Mat Mint 3-6 months</t>
  </si>
  <si>
    <t>194753680319</t>
  </si>
  <si>
    <t>Calvin Klein Baby Girls 2-Pc. Chambray Ging Coral 6-9 months</t>
  </si>
  <si>
    <t>3K80129-99</t>
  </si>
  <si>
    <t>840028941233</t>
  </si>
  <si>
    <t>earth by art eden Baby Boys 3-Pk. Mix and Match Vista Blue Multi 12 months</t>
  </si>
  <si>
    <t>840028942407</t>
  </si>
  <si>
    <t>earth by art eden Baby Boys 2-Pc. Tank Top Sho Vista Blue Multi 6 months</t>
  </si>
  <si>
    <t>840028941691</t>
  </si>
  <si>
    <t>earth by art eden Baby Boys 2-Pk. Mix Match Sh Vista Blue Multi 3 months</t>
  </si>
  <si>
    <t>2012VBM</t>
  </si>
  <si>
    <t>840028941202</t>
  </si>
  <si>
    <t>earth by art eden Baby Boys 3-Pk. Mix and Match Vista Blue Multi 3 months</t>
  </si>
  <si>
    <t>840028942421</t>
  </si>
  <si>
    <t>earth by art eden Baby Boys 2-Pc. Tank Top Sho Vista Blue Multi 12 months</t>
  </si>
  <si>
    <t>840028941868</t>
  </si>
  <si>
    <t>earth by art eden Baby Girls 2-Pc. Tropical-Prin Pink Carnation Multi 12 months</t>
  </si>
  <si>
    <t>5020PCM</t>
  </si>
  <si>
    <t>840028941851</t>
  </si>
  <si>
    <t>earth by art eden Baby Girls 2-Pc. Tropical-Prin Pink Carnation Multi 9 months</t>
  </si>
  <si>
    <t>840028941820</t>
  </si>
  <si>
    <t>earth by art eden Baby Girls 2-Pc. Tropical-Prin Pink Carnation Multi NB</t>
  </si>
  <si>
    <t>840028942612</t>
  </si>
  <si>
    <t>earth by art eden Girls 2-Pc. Peplum Top Short Blushing Pink 6 months</t>
  </si>
  <si>
    <t>766370066922</t>
  </si>
  <si>
    <t>Epic Threads Epic Threads Big Girls Floral Gold-Tone Haze S 78</t>
  </si>
  <si>
    <t>194753977129</t>
  </si>
  <si>
    <t>Timberland Big Boys Label Long Sleeve T-s Dark Cheddar L 1416</t>
  </si>
  <si>
    <t>TLFEB12F-756</t>
  </si>
  <si>
    <t>889799981192</t>
  </si>
  <si>
    <t>LOL Surprise LOL Surprise Little Girls Paj Assorted 4</t>
  </si>
  <si>
    <t>LZ203GLLMA</t>
  </si>
  <si>
    <t>889799981215</t>
  </si>
  <si>
    <t>LOL Surprise LOL Surprise Big Girls Pajama Assorted 8</t>
  </si>
  <si>
    <t>889799981208</t>
  </si>
  <si>
    <t>LOL Surprise LOL Surprise Little Girls Paj Assorted 6</t>
  </si>
  <si>
    <t>195718176793</t>
  </si>
  <si>
    <t>Quiksilver Quiksilver Big Boys Ride On T- White L</t>
  </si>
  <si>
    <t>AQBZT04083</t>
  </si>
  <si>
    <t>733002949489</t>
  </si>
  <si>
    <t>First Impressions Baby Boys 4-Pc. Surfing Dinos Navy Sea Newborn</t>
  </si>
  <si>
    <t>100121331BB</t>
  </si>
  <si>
    <t>194753614215</t>
  </si>
  <si>
    <t>Nautica Nautica Little Girls Sunny Day Navy 6</t>
  </si>
  <si>
    <t>196027073483</t>
  </si>
  <si>
    <t>The Mandalorian Little Girls The Mandalorian C Assorted 4</t>
  </si>
  <si>
    <t>196027125915</t>
  </si>
  <si>
    <t>The Mandalorian The Mandalorian Little Girls P Assorted 4</t>
  </si>
  <si>
    <t>196027140925</t>
  </si>
  <si>
    <t>Disney Princess Little Girls Frozen Pajama, 2 Assorted 6</t>
  </si>
  <si>
    <t>F2461GTLMA</t>
  </si>
  <si>
    <t>195958553804</t>
  </si>
  <si>
    <t>Tommy Hilfiger Tommy Hilfiger Big Girls Logo- Nolita Wash M 810</t>
  </si>
  <si>
    <t>195958553828</t>
  </si>
  <si>
    <t>Tommy Hilfiger Tommy Hilfiger Big Girls Logo- Nolita Wash XL 16</t>
  </si>
  <si>
    <t>696114463833</t>
  </si>
  <si>
    <t>Sleep On It Little Boys Jersey T-shirt and Blue S 67</t>
  </si>
  <si>
    <t>57039BL-MA</t>
  </si>
  <si>
    <t>194134761095</t>
  </si>
  <si>
    <t>Koala Baby Koala Baby Boys 4 Piece Sleep Green 18 months</t>
  </si>
  <si>
    <t>KLM11905</t>
  </si>
  <si>
    <t>196027073056</t>
  </si>
  <si>
    <t>Spider-Man Little Boys Spiderman Pajamas, Assorted 6</t>
  </si>
  <si>
    <t>SM212BLLMA</t>
  </si>
  <si>
    <t>196027071878</t>
  </si>
  <si>
    <t>Disney Princess Big Girls Frozen 2 Pajamas, 2 Assorted 10</t>
  </si>
  <si>
    <t>196027071939</t>
  </si>
  <si>
    <t>Disney Princess Frozen 2 Little Girls Pajama, Assorted 6</t>
  </si>
  <si>
    <t>194135866737</t>
  </si>
  <si>
    <t>Carters Carters Baby Boys Tie-Dye Sle Blue Premie</t>
  </si>
  <si>
    <t>1N036510</t>
  </si>
  <si>
    <t>807421736286</t>
  </si>
  <si>
    <t>Hurley Hurley Big Girls Soft Hacci Sh Midnight Navy Large</t>
  </si>
  <si>
    <t>484569E</t>
  </si>
  <si>
    <t>840028943961</t>
  </si>
  <si>
    <t>earth by art eden Baby Girls Tank Bubble Shortie Multi 9 months</t>
  </si>
  <si>
    <t>3011RBS</t>
  </si>
  <si>
    <t>194135960077</t>
  </si>
  <si>
    <t>Carters Carters Baby Girls Striped Ho Stripe 3 months</t>
  </si>
  <si>
    <t>1N152510</t>
  </si>
  <si>
    <t>194135559769</t>
  </si>
  <si>
    <t>Carters Little Girls 2-Pc. Check-Print BlackWhite 6</t>
  </si>
  <si>
    <t>3M611610</t>
  </si>
  <si>
    <t>194748172058</t>
  </si>
  <si>
    <t>Dreamwave Toddler Batman Swimsuit, 2 Pie Multi 3T</t>
  </si>
  <si>
    <t>2230576BT</t>
  </si>
  <si>
    <t>195861163534</t>
  </si>
  <si>
    <t>Carters Carters Baby Girls 2-Piece To Print 3 months</t>
  </si>
  <si>
    <t>1N659810</t>
  </si>
  <si>
    <t>195861161837</t>
  </si>
  <si>
    <t>Carters Carters Baby Girls Pineapple Print 3 months</t>
  </si>
  <si>
    <t>1N659510</t>
  </si>
  <si>
    <t>195958631908</t>
  </si>
  <si>
    <t>Tommy Hilfiger Tommy Hilfiger Big Girls Tonal Navy Blazer M 810</t>
  </si>
  <si>
    <t>TGTFA09S-405</t>
  </si>
  <si>
    <t>196122281264</t>
  </si>
  <si>
    <t>Koala Baby Baby Girls Top, Bodysuit and P White Newborn</t>
  </si>
  <si>
    <t>195958667358</t>
  </si>
  <si>
    <t>Tommy Hilfiger Tommy Hilfiger Toddler Boys Ce Navy Blazer 2T</t>
  </si>
  <si>
    <t>TBSFB79J-405</t>
  </si>
  <si>
    <t>191655281217</t>
  </si>
  <si>
    <t>766380188850</t>
  </si>
  <si>
    <t>ID Ideology Big Girls Colorblocked Twofer Pink Hustle L 14</t>
  </si>
  <si>
    <t>194135224629</t>
  </si>
  <si>
    <t>Carters Baby Girls Tie-Dye Tank Knit D Pink 24 months</t>
  </si>
  <si>
    <t>195958884311</t>
  </si>
  <si>
    <t>Tommy Hilfiger Toddler Boys Tommy Sports Glit Bright White 2T</t>
  </si>
  <si>
    <t>TBMFB01J-100</t>
  </si>
  <si>
    <t>766370718265</t>
  </si>
  <si>
    <t>First Impressions Baby Boys Discharge Splatter C Authentic Wash 3-6 months</t>
  </si>
  <si>
    <t>196027137741</t>
  </si>
  <si>
    <t>Mickey Mouse Toddler Boys Mickey Mouse Romp Assorted 2T</t>
  </si>
  <si>
    <t>MK918ERMMA</t>
  </si>
  <si>
    <t>196122332041</t>
  </si>
  <si>
    <t>Koala Baby Baby Boys Rib Pants, Pack of 2 Navy 12-18 months</t>
  </si>
  <si>
    <t>KLM12263</t>
  </si>
  <si>
    <t>196027137765</t>
  </si>
  <si>
    <t>Mickey Mouse Toddler Boys Mickey Mouse Romp Assorted 4T</t>
  </si>
  <si>
    <t>196027137758</t>
  </si>
  <si>
    <t>Mickey Mouse Toddler Boys Mickey Mouse Romp Assorted 3T</t>
  </si>
  <si>
    <t>195958667259</t>
  </si>
  <si>
    <t>Tommy Hilfiger Tommy Hilfiger Little Boys Tie Nebulas Blue 4</t>
  </si>
  <si>
    <t>TBSFB76J-451</t>
  </si>
  <si>
    <t>195958667266</t>
  </si>
  <si>
    <t>Tommy Hilfiger Tommy Hilfiger Little Boys Tie Nebulas Blue 5</t>
  </si>
  <si>
    <t>195958667211</t>
  </si>
  <si>
    <t>Tommy Hilfiger Tommy Hilfiger Little Boys Tie Navy Blazer 6</t>
  </si>
  <si>
    <t>195958667303</t>
  </si>
  <si>
    <t>Tommy Hilfiger Tommy Hilfiger Toddler Boys To Bright White 3T</t>
  </si>
  <si>
    <t>195958667310</t>
  </si>
  <si>
    <t>Tommy Hilfiger Tommy Hilfiger Little Boys Tos Bright White 4</t>
  </si>
  <si>
    <t>195958667181</t>
  </si>
  <si>
    <t>Tommy Hilfiger Tommy Hilfiger Toddler Boys Ti Navy Blazer 3T</t>
  </si>
  <si>
    <t>195958667563</t>
  </si>
  <si>
    <t>Tommy Hilfiger Tommy Hilfiger Little Boys Spl Bright White 7</t>
  </si>
  <si>
    <t>194135451698</t>
  </si>
  <si>
    <t>Carters 2-Piece Fox Bodysuit Pant Set Pink 3 months</t>
  </si>
  <si>
    <t>1M023410</t>
  </si>
  <si>
    <t>194135914025</t>
  </si>
  <si>
    <t>Carters Carters Baby Boys Pull-On Act Khaki 12 months</t>
  </si>
  <si>
    <t>1N109910</t>
  </si>
  <si>
    <t>194257439994</t>
  </si>
  <si>
    <t>Champion Big Boys Short Sleeve All Over Crayon Orange L 1416</t>
  </si>
  <si>
    <t>CHB007</t>
  </si>
  <si>
    <t>195958327955</t>
  </si>
  <si>
    <t>Lucky Brand Lucky Brand Big Girls Live in Pink M 810</t>
  </si>
  <si>
    <t>LBTFA00S-675</t>
  </si>
  <si>
    <t>LUCKY GIRL/KHQ INVESTMENT LLC</t>
  </si>
  <si>
    <t>766380220970</t>
  </si>
  <si>
    <t>First Impressions Baby Girls Splatter-Print Hood Navy Nautical 18 months</t>
  </si>
  <si>
    <t>100150178BG</t>
  </si>
  <si>
    <t>766370894419</t>
  </si>
  <si>
    <t>ID Ideology Big Boys Mesh Break Shorts Cold Cream M</t>
  </si>
  <si>
    <t>194135536074</t>
  </si>
  <si>
    <t>Carters Baby Girls 2-Pc. Holiday Turtl Print 18 months</t>
  </si>
  <si>
    <t>1M141910</t>
  </si>
  <si>
    <t>195861149729</t>
  </si>
  <si>
    <t>Carters Toddler Girls Jersey Tank Top Orange 2T</t>
  </si>
  <si>
    <t>2N692310</t>
  </si>
  <si>
    <t>195861150862</t>
  </si>
  <si>
    <t>Carters Toddler Girls Jersey Tank Top Green 3T</t>
  </si>
  <si>
    <t>195861145073</t>
  </si>
  <si>
    <t>Carters Toddler Girls Jersey Tank Top White 2T</t>
  </si>
  <si>
    <t>195861148654</t>
  </si>
  <si>
    <t>Carters Carters Baby Girls Jersey Tan Blue 12 months</t>
  </si>
  <si>
    <t>191655276206</t>
  </si>
  <si>
    <t>Chickpea Chickpea Baby Boys Bodysuit, J Green 3-6 months</t>
  </si>
  <si>
    <t>194257444158</t>
  </si>
  <si>
    <t>Champion Big Boys Short Sleeve Signatur Crayon Orange-Navy XL 1820</t>
  </si>
  <si>
    <t>766380221533</t>
  </si>
  <si>
    <t>First Impressions Baby Boys Colorblocked Hoodie Tomato Puree 24 months</t>
  </si>
  <si>
    <t>766380221564</t>
  </si>
  <si>
    <t>First Impressions Baby Boys Colorblocked Hoodie Safflower 6-9 months</t>
  </si>
  <si>
    <t>766380221496</t>
  </si>
  <si>
    <t>First Impressions Baby Boys Colorblocked Hoodie Tomato Puree 12 months</t>
  </si>
  <si>
    <t>766360667504</t>
  </si>
  <si>
    <t>Epic Threads Epic Threads Big Girls Shorts Spacious Skies S 810</t>
  </si>
  <si>
    <t>194135516274</t>
  </si>
  <si>
    <t>Carters Boys Santa Jersey Top Heather 3T</t>
  </si>
  <si>
    <t>2M063210</t>
  </si>
  <si>
    <t>733003081300</t>
  </si>
  <si>
    <t>ID Ideology Big Girl Core Stretch Capri Le Fresh Orchid S 78</t>
  </si>
  <si>
    <t>196258066650</t>
  </si>
  <si>
    <t>Maidenform Little Big Girls Cropped Ruc White M 78</t>
  </si>
  <si>
    <t>196325206538</t>
  </si>
  <si>
    <t>Star Wars Big Boys Star Wars Way of Yoda Celadon S</t>
  </si>
  <si>
    <t>194134459336</t>
  </si>
  <si>
    <t>Koala Baby Baby Girls Pineapple Footie Pink Newborn</t>
  </si>
  <si>
    <t>KLF01384</t>
  </si>
  <si>
    <t>196258066506</t>
  </si>
  <si>
    <t>Maidenform Little Big Girls Cropped Ruc Med pink S 68</t>
  </si>
  <si>
    <t>196258066513</t>
  </si>
  <si>
    <t>Maidenform Little Big Girls Cropped Ruc Med pink XL 1820</t>
  </si>
  <si>
    <t>766380189666</t>
  </si>
  <si>
    <t>ID Ideology Little Girls Safari Tiger Tank Mock Orange 6</t>
  </si>
  <si>
    <t>762120077569</t>
  </si>
  <si>
    <t>Epic Threads Toddler Boys Short Sleeves Gra Bright White 4T</t>
  </si>
  <si>
    <t>733002942275</t>
  </si>
  <si>
    <t>Epic Threads Epic Threads Big Boys Camo Bas Deep Black S 810</t>
  </si>
  <si>
    <t>100129424BO</t>
  </si>
  <si>
    <t>766370868915</t>
  </si>
  <si>
    <t>First Impressions Baby Girls Tropical-Print Flut Deep Black 3-6 months</t>
  </si>
  <si>
    <t>100150202BG</t>
  </si>
  <si>
    <t>195861152965</t>
  </si>
  <si>
    <t>Carters Carters Baby Girls Printed Bi Zebra 3 months</t>
  </si>
  <si>
    <t>1N703112</t>
  </si>
  <si>
    <t>762120819138</t>
  </si>
  <si>
    <t>ID Ideology Big Boys Core Athletic Tank Native Green S</t>
  </si>
  <si>
    <t>195861090564</t>
  </si>
  <si>
    <t>Carters Carters Baby Boy or Baby Girl Yellow 24 months</t>
  </si>
  <si>
    <t>1N614710</t>
  </si>
  <si>
    <t>195861091073</t>
  </si>
  <si>
    <t>Carters Carters Baby Girls Tank Top B Blue 9 months</t>
  </si>
  <si>
    <t>1N615210</t>
  </si>
  <si>
    <t>762120009874</t>
  </si>
  <si>
    <t>First Impressions VELOUR LEGGING Sugar Blue 3T</t>
  </si>
  <si>
    <t>100101896TG</t>
  </si>
  <si>
    <t>762120128162</t>
  </si>
  <si>
    <t>First Impressions First Impressions Toddler Boys Sunset Flamingo 3T</t>
  </si>
  <si>
    <t>100138628TB</t>
  </si>
  <si>
    <t>766380213781</t>
  </si>
  <si>
    <t>First Impressions Toddler Girls Ruffle-Back Legg Blush Pink 2T</t>
  </si>
  <si>
    <t>766380213880</t>
  </si>
  <si>
    <t>First Impressions Toddler Girls Ruffle-Back Legg Blush Pink 4T</t>
  </si>
  <si>
    <t>766380220390</t>
  </si>
  <si>
    <t>First Impressions Toddler Boys Colorblocked T-Sh Navy Nautical 3T</t>
  </si>
  <si>
    <t>100151878TB</t>
  </si>
  <si>
    <t>732999784585</t>
  </si>
  <si>
    <t>First Impressions Toddler Girls Ruffle Short Sun Yellow 2T</t>
  </si>
  <si>
    <t>100092666TG</t>
  </si>
  <si>
    <t>766370876576</t>
  </si>
  <si>
    <t>First Impressions Toddler Boys Stripe Faux-Pocke Bright White 4T</t>
  </si>
  <si>
    <t>100148774TB</t>
  </si>
  <si>
    <t>766380211770</t>
  </si>
  <si>
    <t>First Impressions Baby Girls Skater Pup T-Shirt Blush Pink 4T</t>
  </si>
  <si>
    <t>100151857TG</t>
  </si>
  <si>
    <t>766370875418</t>
  </si>
  <si>
    <t>First Impressions Toddler Boys Totally Rad T-Shi Lime Boost 3T</t>
  </si>
  <si>
    <t>766380218281</t>
  </si>
  <si>
    <t>First Impressions Baby Boys Solid Shorts Blue Poppy 3-6 months</t>
  </si>
  <si>
    <t>766380220147</t>
  </si>
  <si>
    <t>First Impressions Toddler Boys Say Cheese T-Shir Angel White 2T</t>
  </si>
  <si>
    <t>100151874TB</t>
  </si>
  <si>
    <t>766380211459</t>
  </si>
  <si>
    <t>First Impressions Baby Girls Splatter-Print Top Navy Nautical 3-6 months</t>
  </si>
  <si>
    <t>100151858BG</t>
  </si>
  <si>
    <t>766380218342</t>
  </si>
  <si>
    <t>First Impressions Baby Boys Splatter-Print Short Snow Owl Hthr 3-6 months</t>
  </si>
  <si>
    <t>766380218366</t>
  </si>
  <si>
    <t>First Impressions Baby Boys Splatter-Print Short Snow Owl Hthr 18 months</t>
  </si>
  <si>
    <t>762120121804</t>
  </si>
  <si>
    <t>First Impressions Baby Girls Flutter Tunic, Crea Cherry Flame 18 months</t>
  </si>
  <si>
    <t>100138698BG</t>
  </si>
  <si>
    <t>766380211831</t>
  </si>
  <si>
    <t>First Impressions Toddler Girls Wild Free Top Hthr Sterling 3T</t>
  </si>
  <si>
    <t>100151860TG</t>
  </si>
  <si>
    <t>766380216263</t>
  </si>
  <si>
    <t>First Impressions Baby Boys Striped Henley T-Shi Hthr Sterling 6-9 months</t>
  </si>
  <si>
    <t>100151871BB</t>
  </si>
  <si>
    <t>766360151331</t>
  </si>
  <si>
    <t>First Impressions Baby Girl RUFFLE BACK LEGGING Spring Daffodil 24 months</t>
  </si>
  <si>
    <t>766360151317</t>
  </si>
  <si>
    <t>First Impressions Baby Girl RUFFLE BACK LEGGING Spring Daffodil 6-9 months</t>
  </si>
  <si>
    <t>766360158910</t>
  </si>
  <si>
    <t>First Impressions Baby Girls Tie Dye Biker Short Bright White 3-6 months</t>
  </si>
  <si>
    <t>766380214559</t>
  </si>
  <si>
    <t>First Impressions Baby Boys Say Cheese T-Shirt Angel White 12 months</t>
  </si>
  <si>
    <t>100151874BB</t>
  </si>
  <si>
    <t>766380215044</t>
  </si>
  <si>
    <t>First Impressions Baby Boys Dino-Print T-Shirt Blue Poppy 6-9 months</t>
  </si>
  <si>
    <t>100151876BB</t>
  </si>
  <si>
    <t>766380215815</t>
  </si>
  <si>
    <t>First Impressions Baby Boys Colorblocked T-Shirt Safflower 12 months</t>
  </si>
  <si>
    <t>100151878BB</t>
  </si>
  <si>
    <t>766380215037</t>
  </si>
  <si>
    <t>First Impressions Baby Boys Dino-Print T-Shirt Blue Poppy 3-6 months</t>
  </si>
  <si>
    <t>766370875562</t>
  </si>
  <si>
    <t>First Impressions Baby Boys Palm-Print Tank Top Aquarius 4T</t>
  </si>
  <si>
    <t>766380214733</t>
  </si>
  <si>
    <t>First Impressions Baby Boys Say Cheese T-Shirt Angel White 18 months</t>
  </si>
  <si>
    <t>766370873148</t>
  </si>
  <si>
    <t>First Impressions Baby Boys Solid Mesh Shorts Turq Splash 12 months</t>
  </si>
  <si>
    <t>766370872851</t>
  </si>
  <si>
    <t>First Impressions Baby Boys Solid Mesh Shorts Lime Boost 18 months</t>
  </si>
  <si>
    <t>766370872837</t>
  </si>
  <si>
    <t>First Impressions Baby Boys Solid Mesh Shorts Lime Boost 3-6 months</t>
  </si>
  <si>
    <t>766380215273</t>
  </si>
  <si>
    <t>First Impressions Baby Boys Doodle T-Shirt Snow Owl Hthr 12 months</t>
  </si>
  <si>
    <t>100151877BB</t>
  </si>
  <si>
    <t>766370869158</t>
  </si>
  <si>
    <t>First Impressions Baby Boys Summer Graphic T-Shi Heather Hawaii 18 months</t>
  </si>
  <si>
    <t>766380211091</t>
  </si>
  <si>
    <t>732999789757</t>
  </si>
  <si>
    <t>First Impressions Toddler Boys Tossed Dinos Tank Snow Owl Hthr 3T</t>
  </si>
  <si>
    <t>100093174TB</t>
  </si>
  <si>
    <t>194496412413</t>
  </si>
  <si>
    <t>Nike Nike Big Boys Club Fleece Spor Black S PLUS</t>
  </si>
  <si>
    <t>191539869852</t>
  </si>
  <si>
    <t>Bonnie Baby Baby Girls Sleeveless Mixed Pr Chambray 12 months</t>
  </si>
  <si>
    <t>191539901392</t>
  </si>
  <si>
    <t>Bonnie Baby Baby Girls Sleeveless Knit Flo Coral 6-9 months</t>
  </si>
  <si>
    <t>194170405540</t>
  </si>
  <si>
    <t>Rare Editions Rare Editions Baby Girls Flora Blue 3-6 months</t>
  </si>
  <si>
    <t>194170405564</t>
  </si>
  <si>
    <t>Rare Editions Rare Editions Baby Girls Flora Blue 12 months</t>
  </si>
  <si>
    <t>194170405571</t>
  </si>
  <si>
    <t>Rare Editions Rare Editions Baby Girls Flora Blue 18 months</t>
  </si>
  <si>
    <t>195718264919</t>
  </si>
  <si>
    <t>DRAFT - Quiksilver Big Boys Hi Faded Denim L</t>
  </si>
  <si>
    <t>AQBZT04136</t>
  </si>
  <si>
    <t>195718264926</t>
  </si>
  <si>
    <t>DRAFT - Quiksilver Big Boys Hi Faded Denim M</t>
  </si>
  <si>
    <t>194748158717</t>
  </si>
  <si>
    <t>DRAFT - Toddler Girls Peppa Pi Blue 2T</t>
  </si>
  <si>
    <t>194748158724</t>
  </si>
  <si>
    <t>DRAFT - Toddler Girls Peppa Pi Blue 3T</t>
  </si>
  <si>
    <t>194748076868</t>
  </si>
  <si>
    <t>DRAFT - LOL SURPRISE SWIMSUIT Multi 6X</t>
  </si>
  <si>
    <t>733001043553</t>
  </si>
  <si>
    <t>DRAFT - ID TERRY SHORT BIG BOY Wavy Flag Noir XL</t>
  </si>
  <si>
    <t>100092963BO</t>
  </si>
  <si>
    <t>MMG-IDEOLOGY</t>
  </si>
  <si>
    <t>195861149606</t>
  </si>
  <si>
    <t>Carters Carters Baby Girls Jersey Tan Green 6 months</t>
  </si>
  <si>
    <t>1N692610</t>
  </si>
  <si>
    <t>195861151814</t>
  </si>
  <si>
    <t>Carters Toddler Girls Jersey Tank Top Heather Gray 2T</t>
  </si>
  <si>
    <t>2N882110</t>
  </si>
  <si>
    <t>195861150930</t>
  </si>
  <si>
    <t>Carters Carters Baby Girls Jersey Tan Heather Gray 3 months</t>
  </si>
  <si>
    <t>1N882110</t>
  </si>
  <si>
    <t>195861148678</t>
  </si>
  <si>
    <t>Carters Carters Baby Girls Jersey Tan Blue 24 months</t>
  </si>
  <si>
    <t>195861150312</t>
  </si>
  <si>
    <t>Carters Toddler Girls Printed Bike Sho Floral 4T</t>
  </si>
  <si>
    <t>2N703114</t>
  </si>
  <si>
    <t>195861090700</t>
  </si>
  <si>
    <t>Carters Carters Baby Girls Tank Top B Pink 12 months</t>
  </si>
  <si>
    <t>195861090731</t>
  </si>
  <si>
    <t>Carters Carters Baby Girls Tank Top B Pink 3 months</t>
  </si>
  <si>
    <t>195861090755</t>
  </si>
  <si>
    <t>Carters Carters Baby Girls Tank Top B Pink 9 months</t>
  </si>
  <si>
    <t>195861090748</t>
  </si>
  <si>
    <t>Carters Carters Baby Girls Tank Top B Pink 6 months</t>
  </si>
  <si>
    <t>195861090540</t>
  </si>
  <si>
    <t>Carters Carters Baby Boy or Baby Girl Yellow 12 months</t>
  </si>
  <si>
    <t>194931227527</t>
  </si>
  <si>
    <t>Nautica Nautica Little Boys Multi Colo Dark Green 5</t>
  </si>
  <si>
    <t>NDFEI05J-305</t>
  </si>
  <si>
    <t>885031446771</t>
  </si>
  <si>
    <t>Polo Ralph Lauren Polo Ralph Lauren Little Boys Newport Navy 6</t>
  </si>
  <si>
    <t>196027160374</t>
  </si>
  <si>
    <t>Batman Big Boys Batman T-shirts and S Assorted 8</t>
  </si>
  <si>
    <t>6Y002BSSMA</t>
  </si>
  <si>
    <t>196027160350</t>
  </si>
  <si>
    <t>Batman Little Boys Batman T-shirts an Assorted 4</t>
  </si>
  <si>
    <t>194931204177</t>
  </si>
  <si>
    <t>Nautica Big Boys Tie Dye Fleece Jogger Blue Tie Dye M 1012</t>
  </si>
  <si>
    <t>NUFEC07F-465</t>
  </si>
  <si>
    <t>194170403607</t>
  </si>
  <si>
    <t>Rare Editions Rare Editions Baby Girls Print Peach 3-6 months</t>
  </si>
  <si>
    <t>194170403805</t>
  </si>
  <si>
    <t>Rare Editions Baby Girls Gauze Color Block t Pink 24 months</t>
  </si>
  <si>
    <t>194170403621</t>
  </si>
  <si>
    <t>Rare Editions Rare Editions Baby Girls Print Peach 12 months</t>
  </si>
  <si>
    <t>196027140314</t>
  </si>
  <si>
    <t>AME Toddler Boys Puppy Dog Pals T- Assorted 4T</t>
  </si>
  <si>
    <t>DZ043ESOMA</t>
  </si>
  <si>
    <t>196027140307</t>
  </si>
  <si>
    <t>AME Toddler Boys Puppy Dog Pals T- Assorted 3T</t>
  </si>
  <si>
    <t>196027140505</t>
  </si>
  <si>
    <t>PJ Masks Toddler Boys PJ Masks T-shirts Assorted 2T</t>
  </si>
  <si>
    <t>First Impressions Toddler Boys Smile Full-Zip Ja Hthr Sterling 4T</t>
  </si>
  <si>
    <t>194135892705</t>
  </si>
  <si>
    <t>Carters Baby Boys 2-Pc. Truck-Print Bo Blue 3 months</t>
  </si>
  <si>
    <t>195861376163</t>
  </si>
  <si>
    <t>Carters Carters Baby Boys Zip-Up Hood Brown 12 months</t>
  </si>
  <si>
    <t>191730358551</t>
  </si>
  <si>
    <t>BLAC BOYS 2 PC SET</t>
  </si>
  <si>
    <t>BK-6723</t>
  </si>
  <si>
    <t>CAPELLI OF NEW YORK INC</t>
  </si>
  <si>
    <t>HAT:100% ACRYLIC; GLOVES: 81% ACRYLIC/16% POLYESTER/2% RUBBER/1% SPANDEX; LINING: 94% COTTON/6% SPANDEX</t>
  </si>
  <si>
    <t>628221764022</t>
  </si>
  <si>
    <t>BABY T-SHIRT KNIT</t>
  </si>
  <si>
    <t>20YMB36755B</t>
  </si>
  <si>
    <t>195861116110</t>
  </si>
  <si>
    <t>Carters Carters Baby Boys Pull-On Act Green 12 months</t>
  </si>
  <si>
    <t>1N108710</t>
  </si>
  <si>
    <t>194257638212</t>
  </si>
  <si>
    <t>Champion Champion Big Boys Brush Stroke Electric Cyan XL 1820</t>
  </si>
  <si>
    <t>CHB176</t>
  </si>
  <si>
    <t>766360449032</t>
  </si>
  <si>
    <t>ID Ideology Toddler Little Girls Marble Violet Tulle 4T</t>
  </si>
  <si>
    <t>100141383LG</t>
  </si>
  <si>
    <t>762120691055</t>
  </si>
  <si>
    <t>ID Ideology Toddler Little Girls Rose-Pr Violet Tulle 4T</t>
  </si>
  <si>
    <t>766360436896</t>
  </si>
  <si>
    <t>ID Ideology Big Girls Petal-Print Woven Sh Tropic Blue M 1012</t>
  </si>
  <si>
    <t>766360437206</t>
  </si>
  <si>
    <t>ID Ideology Big Girls Soft Geo-Print Woven Pistachio Green XL 16</t>
  </si>
  <si>
    <t>766360437190</t>
  </si>
  <si>
    <t>ID Ideology Big Girls Soft Geo-Print Woven Pistachio Green L 14</t>
  </si>
  <si>
    <t>766360436940</t>
  </si>
  <si>
    <t>ID Ideology Big Girls Soft Geo-Print Woven Pistachio Green M 1012</t>
  </si>
  <si>
    <t>191730358582</t>
  </si>
  <si>
    <t>LT H GIRLS HAT 2 PC SET</t>
  </si>
  <si>
    <t>GK-62001</t>
  </si>
  <si>
    <t>S/M</t>
  </si>
  <si>
    <t>766360650117</t>
  </si>
  <si>
    <t>ID Ideology Toddler Little Girls 2-Pc. I Pear Passion 4T</t>
  </si>
  <si>
    <t>100141387LG</t>
  </si>
  <si>
    <t>195861099109</t>
  </si>
  <si>
    <t>Carters Baby Girls Pink Floral Jumpsui Pink 6 months</t>
  </si>
  <si>
    <t>195861099086</t>
  </si>
  <si>
    <t>Carters Baby Girls Pink Floral Jumpsui Pink 24 months</t>
  </si>
  <si>
    <t>195861100003</t>
  </si>
  <si>
    <t>Carters Baby Girls Floral-Print Jumpsu Print Newborn</t>
  </si>
  <si>
    <t>195861099987</t>
  </si>
  <si>
    <t>Carters Baby Girls Floral-Print Jumpsu Print 9 months</t>
  </si>
  <si>
    <t>766360447199</t>
  </si>
  <si>
    <t>ID Ideology Big Girls Geo-Print Leggings Pear Passion M 1012</t>
  </si>
  <si>
    <t>766360447212</t>
  </si>
  <si>
    <t>ID Ideology Big Girls Geo-Print Leggings Pear Passion XL 16</t>
  </si>
  <si>
    <t>766360447205</t>
  </si>
  <si>
    <t>ID Ideology Big Girls Geo-Print Leggings Pear Passion L 14</t>
  </si>
  <si>
    <t>195861383161</t>
  </si>
  <si>
    <t>Carters Carters Baby Girls Little Sis Yellow 6 months</t>
  </si>
  <si>
    <t>1O012710</t>
  </si>
  <si>
    <t>193712372791</t>
  </si>
  <si>
    <t>Imperial Star Big Girls Athleisure Shorts Medium Blue XL</t>
  </si>
  <si>
    <t>196325120001</t>
  </si>
  <si>
    <t>Disney Disney Little Girls Baby Shark Heather Gray 6</t>
  </si>
  <si>
    <t>T000306BSK0083</t>
  </si>
  <si>
    <t>195861135319</t>
  </si>
  <si>
    <t>Carters Toddler Boys Colorblocked Pock Green 2T</t>
  </si>
  <si>
    <t>733004752896</t>
  </si>
  <si>
    <t>Epic Threads Big Girls Solid Sweater Leggin Sundrop M 1012</t>
  </si>
  <si>
    <t>100133538GR</t>
  </si>
  <si>
    <t>766380221021</t>
  </si>
  <si>
    <t>First Impressions Baby Girls Graffiti Heart Hood Snow Owl Hthr 18 months</t>
  </si>
  <si>
    <t>766380220819</t>
  </si>
  <si>
    <t>First Impressions Baby Girls Floral-Print Hoodie Blush Pink 12 months</t>
  </si>
  <si>
    <t>766370911376</t>
  </si>
  <si>
    <t>ID Ideology Little Girls 2-Pc. T-Shirt S Pink Hustle 6X</t>
  </si>
  <si>
    <t>766370905528</t>
  </si>
  <si>
    <t>ID Ideology Toddler Little Girls Mesh Ac Rose Shadow 6X</t>
  </si>
  <si>
    <t>766360442187</t>
  </si>
  <si>
    <t>ID Ideology Toddler Little Girls Fearles Violet Tulle 6X</t>
  </si>
  <si>
    <t>696114414521</t>
  </si>
  <si>
    <t>Max Olivia Baby Girls Gripper Soles Easy Multi 18M</t>
  </si>
  <si>
    <t>36220-MA</t>
  </si>
  <si>
    <t>194257873019</t>
  </si>
  <si>
    <t>Champion Big Boys Abstract Camo Script Capri Orange L 1416</t>
  </si>
  <si>
    <t>CHB175</t>
  </si>
  <si>
    <t>194257635990</t>
  </si>
  <si>
    <t>Champion Champion Big Boys Vertical Scr White and Navy XL 1820</t>
  </si>
  <si>
    <t>194257667847</t>
  </si>
  <si>
    <t>Champion Champion Big Boys Champion Cla Natural, Electric Cyan S 8</t>
  </si>
  <si>
    <t>CHB232</t>
  </si>
  <si>
    <t>762120076661</t>
  </si>
  <si>
    <t>ID Ideology Big Girls Ombre Olympic T-Shir Bright White L 14</t>
  </si>
  <si>
    <t>194257861184</t>
  </si>
  <si>
    <t>Champion Big Boys Dissolve C Logo Scrip White, Blue Atoll XL 1820</t>
  </si>
  <si>
    <t>CHB217</t>
  </si>
  <si>
    <t>762120076654</t>
  </si>
  <si>
    <t>ID Ideology Big Girls Ombre Olympic T-Shir Bright White M 1012</t>
  </si>
  <si>
    <t>195861127376</t>
  </si>
  <si>
    <t>Carters Baby Girls Printed Loose-Fit P Watermelon Print 12 months</t>
  </si>
  <si>
    <t>194135928794</t>
  </si>
  <si>
    <t>Carters Toddler Boys One-Piece Snug Fi Cookie Print 4T</t>
  </si>
  <si>
    <t>195861153306</t>
  </si>
  <si>
    <t>Carters Toddler Girls Graphic-Print Fl Cream 4T</t>
  </si>
  <si>
    <t>195861118046</t>
  </si>
  <si>
    <t>Carters Carters Baby Boys One-Piece S Construction 12 months</t>
  </si>
  <si>
    <t>1N720210</t>
  </si>
  <si>
    <t>195861099628</t>
  </si>
  <si>
    <t>Carters Carters Baby Boy or Baby Girl Black 6 months</t>
  </si>
  <si>
    <t>195861098737</t>
  </si>
  <si>
    <t>1N733210</t>
  </si>
  <si>
    <t>195861099505</t>
  </si>
  <si>
    <t>Carters Baby Boys or Baby Girls Hallow White 9 months</t>
  </si>
  <si>
    <t>195861127383</t>
  </si>
  <si>
    <t>Carters Baby Girls Printed Loose-Fit P Watermelon Print 18 months</t>
  </si>
  <si>
    <t>766370750043</t>
  </si>
  <si>
    <t>Epic Threads Epic Threads Little Girls Knit Island Orange 6X</t>
  </si>
  <si>
    <t>766370750005</t>
  </si>
  <si>
    <t>Epic Threads Epic Threads Little Girls Knit Island Orange 6</t>
  </si>
  <si>
    <t>766370750036</t>
  </si>
  <si>
    <t>Epic Threads Epic Threads Toddler Girls Kni Island Orange 4T</t>
  </si>
  <si>
    <t>766370749993</t>
  </si>
  <si>
    <t>Epic Threads Epic Threads Little Girls Knit Island Orange 5</t>
  </si>
  <si>
    <t>762120214193</t>
  </si>
  <si>
    <t>ID Ideology Big Girls Challenge Accepted H Training Yellow S 78</t>
  </si>
  <si>
    <t>191730336795</t>
  </si>
  <si>
    <t>SHINE EARMUFF GLOVES</t>
  </si>
  <si>
    <t>GK-61790</t>
  </si>
  <si>
    <t>EARMUFFS: 98% POLYESTER/2% METALLIC; GLOVES: 77% ACRYLIC/20% POLYESTER/2% RUBBER/1% SPANDEX</t>
  </si>
  <si>
    <t>766380186689</t>
  </si>
  <si>
    <t>ID Ideology Little Girls Safari Tropical-P Deep Black 6</t>
  </si>
  <si>
    <t>762120024259</t>
  </si>
  <si>
    <t>ID Ideology Toddler Little Boys Camo-Pri LICORICE RED 3T</t>
  </si>
  <si>
    <t>195861089520</t>
  </si>
  <si>
    <t>Carters Carters Baby Girls 2-Piece Fl Print 18 months</t>
  </si>
  <si>
    <t>1N616810</t>
  </si>
  <si>
    <t>762120688178</t>
  </si>
  <si>
    <t>ID Ideology Big Girl Core Woven Shorts Violet Tulle S 78</t>
  </si>
  <si>
    <t>100121218GR</t>
  </si>
  <si>
    <t>766360446826</t>
  </si>
  <si>
    <t>ID Ideology Big Girls Geo-Print Bicycle Sh Pistachio M 1012</t>
  </si>
  <si>
    <t>46094635339</t>
  </si>
  <si>
    <t>Maidenform Lace-Back Ruched Seamless Crop White S 66X</t>
  </si>
  <si>
    <t>M4254</t>
  </si>
  <si>
    <t>733003081805</t>
  </si>
  <si>
    <t>ID Ideology Little Girls Flex Leggings Fresh Orchid 6</t>
  </si>
  <si>
    <t>194257796899</t>
  </si>
  <si>
    <t>Champion Toddler Boys Classic Short Sle Natural 2T</t>
  </si>
  <si>
    <t>CHY232</t>
  </si>
  <si>
    <t>766370892880</t>
  </si>
  <si>
    <t>ID Ideology Big Boys Stripe-Print T-Shirt Vivid Turq S</t>
  </si>
  <si>
    <t>766370770027</t>
  </si>
  <si>
    <t>Epic Threads Epic Threads Big Girls Follow True Green L 1214</t>
  </si>
  <si>
    <t>766370770034</t>
  </si>
  <si>
    <t>Epic Threads Epic Threads Big Girls Follow True Green XL 16</t>
  </si>
  <si>
    <t>194135893290</t>
  </si>
  <si>
    <t>Carters Carters Baby Girls Flower Pow Multi 12 months</t>
  </si>
  <si>
    <t>766370619401</t>
  </si>
  <si>
    <t>First Impressions Baby Boys Sunset Sunsuit Ultra Lime 3-6 months</t>
  </si>
  <si>
    <t>100150978BB</t>
  </si>
  <si>
    <t>766360438678</t>
  </si>
  <si>
    <t>ID Ideology Toddler Little Girls Fearles Barely Pink 5</t>
  </si>
  <si>
    <t>733004750779</t>
  </si>
  <si>
    <t>Epic Threads Big Girls Long Sleeve Graphic Sunset Flamingo M 1012</t>
  </si>
  <si>
    <t>100138492GR</t>
  </si>
  <si>
    <t>733004750786</t>
  </si>
  <si>
    <t>Epic Threads Big Girls Long Sleeve Graphic Sunset Flamingo L 1416</t>
  </si>
  <si>
    <t>766370272705</t>
  </si>
  <si>
    <t>Epic Threads Epic Threads Big Girls Peace S Gossamer Green L 1214</t>
  </si>
  <si>
    <t>100145205GR</t>
  </si>
  <si>
    <t>195861129202</t>
  </si>
  <si>
    <t>Carters Toddler Boys Shark-Graphic T-S Red 3T</t>
  </si>
  <si>
    <t>766360140007</t>
  </si>
  <si>
    <t>First Impressions Baby Girls 2-Pk. Leggings, Lilac Moon 0-3 months</t>
  </si>
  <si>
    <t>766360448806</t>
  </si>
  <si>
    <t>766360448783</t>
  </si>
  <si>
    <t>766360142032</t>
  </si>
  <si>
    <t>First Impressions Baby Girls 2-Pk. Leggings, Bright White 0-3 months</t>
  </si>
  <si>
    <t>194135260221</t>
  </si>
  <si>
    <t>Carters Baby Girls 2-Way Zip Cotton Sl Blue 6 months</t>
  </si>
  <si>
    <t>1L727310</t>
  </si>
  <si>
    <t>194135258044</t>
  </si>
  <si>
    <t>Carters Baby Boys 2-Way Zip Cotton Sle Navy Newborn</t>
  </si>
  <si>
    <t>1L749910</t>
  </si>
  <si>
    <t>194135258020</t>
  </si>
  <si>
    <t>Carters Baby Boys 2-Way Zip Cotton Sle Navy 9 months</t>
  </si>
  <si>
    <t>196325188216</t>
  </si>
  <si>
    <t>Marvel Big Boys Marvel Avengers Crew Royal Large</t>
  </si>
  <si>
    <t>2YBMVL2270</t>
  </si>
  <si>
    <t>762120960540</t>
  </si>
  <si>
    <t>ID Ideology Little Girls Flex Leggings Jet Ski 2T</t>
  </si>
  <si>
    <t>766360125448</t>
  </si>
  <si>
    <t>First Impressions Baby Boys Cotton Tie-Dyed Stri Orange Lily 3-6 months</t>
  </si>
  <si>
    <t>100143051BB</t>
  </si>
  <si>
    <t>733003950651</t>
  </si>
  <si>
    <t>ID Ideology Big Girls Stripe-Print Open-Ba Hthr Grey M 1012</t>
  </si>
  <si>
    <t>733003080051</t>
  </si>
  <si>
    <t>ID Ideology Big Girls Core Biker Shorts Indigo Sea M 1012</t>
  </si>
  <si>
    <t>100121217GR</t>
  </si>
  <si>
    <t>733003950668</t>
  </si>
  <si>
    <t>ID Ideology Big Girls Stripe-Print Open-Ba Hthr Grey L 14</t>
  </si>
  <si>
    <t>733003080068</t>
  </si>
  <si>
    <t>ID Ideology Big Girls Core Biker Shorts Indigo Sea L 14</t>
  </si>
  <si>
    <t>762120970464</t>
  </si>
  <si>
    <t>ID Ideology Big Girls Core Biker Shorts Jet Ski L 14</t>
  </si>
  <si>
    <t>766360448172</t>
  </si>
  <si>
    <t>ID Ideology Little Girls Geo-Print Bicycle Pistachio 5</t>
  </si>
  <si>
    <t>100141285LG</t>
  </si>
  <si>
    <t>194135874640</t>
  </si>
  <si>
    <t>Carters Carters Baby Boys Dinosaur Sn Green 3 months</t>
  </si>
  <si>
    <t>762120959506</t>
  </si>
  <si>
    <t>ID Ideology Little Girls Lace-Up Top Jet Ski 6X</t>
  </si>
  <si>
    <t>733003082758</t>
  </si>
  <si>
    <t>ID Ideology Big Girls Core Lace-Up T-Shirt Hthr Grey S 78</t>
  </si>
  <si>
    <t>766370618954</t>
  </si>
  <si>
    <t>First Impressions Baby Girls Boys Solid Ribbed Safflower Newborn</t>
  </si>
  <si>
    <t>762120024785</t>
  </si>
  <si>
    <t>ID Ideology Toddler Little Girls Girls W Bright White 4T</t>
  </si>
  <si>
    <t>100136614LG</t>
  </si>
  <si>
    <t>766370619906</t>
  </si>
  <si>
    <t>First Impressions Baby Girls Safari Sunsuit Playful Pink 12 months</t>
  </si>
  <si>
    <t>766370901322</t>
  </si>
  <si>
    <t>ID Ideology Toddler Little Girls Dream C Bright White 6X</t>
  </si>
  <si>
    <t>766370900202</t>
  </si>
  <si>
    <t>ID Ideology Toddler Little Girls Dream C Bright White 5</t>
  </si>
  <si>
    <t>766370901292</t>
  </si>
  <si>
    <t>ID Ideology Toddler Little Girls Dream C Bright White 2T</t>
  </si>
  <si>
    <t>766380219554</t>
  </si>
  <si>
    <t>First Impressions Toddler Boys Knee Patch Jogger Blue Poppy 4T</t>
  </si>
  <si>
    <t>195861146636</t>
  </si>
  <si>
    <t>Carters Toddler Girls Stripe-Print Fre Floral 3T</t>
  </si>
  <si>
    <t>195861145691</t>
  </si>
  <si>
    <t>Carters Toddler Girls Stripe-Print Fre Stripe 4T</t>
  </si>
  <si>
    <t>766370425040</t>
  </si>
  <si>
    <t>Epic Threads Toddler Girls Short Sleeves He Washed Indigo 2T</t>
  </si>
  <si>
    <t>766370777958</t>
  </si>
  <si>
    <t>Epic Threads Epic Threads Little Girls Merm True Green 5</t>
  </si>
  <si>
    <t>766370424838</t>
  </si>
  <si>
    <t>Epic Threads Little Girls Short Sleeves Hea Washed Indigo 5</t>
  </si>
  <si>
    <t>766360769536</t>
  </si>
  <si>
    <t>Epic Threads Little Girls Flower Bermuda Sh Ghost Heather 5</t>
  </si>
  <si>
    <t>100148663LG</t>
  </si>
  <si>
    <t>766370875302</t>
  </si>
  <si>
    <t>First Impressions Toddler Boys Mesh Stripe Jogge Turq Splash 4T</t>
  </si>
  <si>
    <t>762120057318</t>
  </si>
  <si>
    <t>ID Ideology Little Girls Lace-Up Top Deep Black 6X</t>
  </si>
  <si>
    <t>762120057295</t>
  </si>
  <si>
    <t>ID Ideology Little Girls Lace-Up Top Deep Black 3T</t>
  </si>
  <si>
    <t>733003082253</t>
  </si>
  <si>
    <t>ID Ideology Little Girls Lace-Up Top Hthr Grey 050 4T</t>
  </si>
  <si>
    <t>733003082260</t>
  </si>
  <si>
    <t>ID Ideology Little Girls Lace-Up Top Hthr Grey 050 6X</t>
  </si>
  <si>
    <t>733003082628</t>
  </si>
  <si>
    <t>ID Ideology Little Girls Lace-Up Top Rose Shadow 6X</t>
  </si>
  <si>
    <t>766370860452</t>
  </si>
  <si>
    <t>First Impressions Toddler Girls Bright Lights Tr Deep Black 2T</t>
  </si>
  <si>
    <t>100150020TG</t>
  </si>
  <si>
    <t>766370874879</t>
  </si>
  <si>
    <t>First Impressions Toddler Boys Palm Tree Shorts Skygaze 3T</t>
  </si>
  <si>
    <t>100148759TB</t>
  </si>
  <si>
    <t>766370990265</t>
  </si>
  <si>
    <t>Epic Threads Big Girls Leopard-Print T-Shir Mojave M 810</t>
  </si>
  <si>
    <t>766380220109</t>
  </si>
  <si>
    <t>First Impressions Toddler Boys Sketch Dino Long- Blue Poppy 4T</t>
  </si>
  <si>
    <t>100148785TB</t>
  </si>
  <si>
    <t>766380218199</t>
  </si>
  <si>
    <t>First Impressions Baby Boys Print Jogger Pants Navy Nautical 24 months</t>
  </si>
  <si>
    <t>766370860360</t>
  </si>
  <si>
    <t>First Impressions Toddler Girls Linework Shells Violet Tulle 2T</t>
  </si>
  <si>
    <t>766370860728</t>
  </si>
  <si>
    <t>First Impressions Toddler Girls Ruffle Shoulder Playful Pink 2T</t>
  </si>
  <si>
    <t>766370876132</t>
  </si>
  <si>
    <t>First Impressions Toddler Boys Jeep Jam Henley Hthr Dune 2T</t>
  </si>
  <si>
    <t>100148768TB</t>
  </si>
  <si>
    <t>766380720074</t>
  </si>
  <si>
    <t>First Impressions Baby Girls Bear Hugs T-Shirt Winter Ivory 12 months</t>
  </si>
  <si>
    <t>766370866799</t>
  </si>
  <si>
    <t>First Impressions Toddler Girls Tie Dye Palm Sho Hthr Dune 3T</t>
  </si>
  <si>
    <t>762120858526</t>
  </si>
  <si>
    <t>ID Ideology Toddler Little Boys Core Tan Bright White 4T</t>
  </si>
  <si>
    <t>766370869028</t>
  </si>
  <si>
    <t>First Impressions Baby Boys Colorblocked T-Shirt Bright White 12 months</t>
  </si>
  <si>
    <t>766370618589</t>
  </si>
  <si>
    <t>First Impressions Baby Girls Floral-Print Leggin Angel White Newborn</t>
  </si>
  <si>
    <t>766370618718</t>
  </si>
  <si>
    <t>First Impressions Baby Girls Floral-Print Leggin Angel White 0-3 months</t>
  </si>
  <si>
    <t>766370618688</t>
  </si>
  <si>
    <t>First Impressions Baby Girls Floral-Print Leggin Angel White 12 months</t>
  </si>
  <si>
    <t>766380726472</t>
  </si>
  <si>
    <t>First Impressions Baby Boys Polar Bear Party Top Hthr Sterling 18 months</t>
  </si>
  <si>
    <t>766380211688</t>
  </si>
  <si>
    <t>First Impressions Toddler Girls Crayon Heart Top Angel White 4T</t>
  </si>
  <si>
    <t>100150141TG</t>
  </si>
  <si>
    <t>766370619272</t>
  </si>
  <si>
    <t>First Impressions Baby Boys Safari-Print Bodysui Blue Poppy 0-3 months</t>
  </si>
  <si>
    <t>733004290633</t>
  </si>
  <si>
    <t>First Impressions Baby Boys Mountain-Print Long- Washed Blue 3-6 months</t>
  </si>
  <si>
    <t>766370618527</t>
  </si>
  <si>
    <t>First Impressions Baby Girls Graphic-Print Bodys Angel White 0-3 months</t>
  </si>
  <si>
    <t>100150961BG</t>
  </si>
  <si>
    <t>733004741654</t>
  </si>
  <si>
    <t>First Impressions Baby Girls Sweet Sprinkles Sho Sunset Flamingo 18 months</t>
  </si>
  <si>
    <t>100138700BG</t>
  </si>
  <si>
    <t>766370618411</t>
  </si>
  <si>
    <t>First Impressions Baby Girls Floral-Print Bodysu Angel White 6-9 months</t>
  </si>
  <si>
    <t>733003616854</t>
  </si>
  <si>
    <t>First Impressions VELOUR LEGGING Medieval Blue 6-9 months</t>
  </si>
  <si>
    <t>766370618176</t>
  </si>
  <si>
    <t>First Impressions Baby Girls Floral-Print Bodysu Angel White Newborn</t>
  </si>
  <si>
    <t>766370618428</t>
  </si>
  <si>
    <t>First Impressions Baby Girls Floral-Print Bodysu Angel White 0-3 months</t>
  </si>
  <si>
    <t>766370876101</t>
  </si>
  <si>
    <t>First Impressions Toddler Boys Snorkel Shark T-S Blue Shark 2T</t>
  </si>
  <si>
    <t>766370619227</t>
  </si>
  <si>
    <t>First Impressions Baby Boys Graphic-Print Bodysu Vanilla Bean Ht 0-3 months</t>
  </si>
  <si>
    <t>100150968BG</t>
  </si>
  <si>
    <t>766370619036</t>
  </si>
  <si>
    <t>First Impressions Baby Boys Graphic-Print Bodysu Vanilla Bean Ht 6-9 months</t>
  </si>
  <si>
    <t>766370619005</t>
  </si>
  <si>
    <t>First Impressions Baby Boys Graphic-Print Bodysu Vanilla Bean Ht Newborn</t>
  </si>
  <si>
    <t>766370860643</t>
  </si>
  <si>
    <t>First Impressions Toddler Girls Ruffle Shoulder Hthr Dune 3T</t>
  </si>
  <si>
    <t>766370619029</t>
  </si>
  <si>
    <t>First Impressions Baby Boys Graphic-Print Bodysu Vanilla Bean Ht 3-6 months</t>
  </si>
  <si>
    <t>766360162085</t>
  </si>
  <si>
    <t>First Impressions Toddler Boys Cotton Awesome Sa Bright White 2T</t>
  </si>
  <si>
    <t>766360162092</t>
  </si>
  <si>
    <t>First Impressions Toddler Boys Cotton Awesome Sa Bright White 3T</t>
  </si>
  <si>
    <t>766380211053</t>
  </si>
  <si>
    <t>First Impressions Baby Girls Skater Pup Long-Sle Blush Pink 6-9 months</t>
  </si>
  <si>
    <t>766360150730</t>
  </si>
  <si>
    <t>First Impressions Toddler Girls Peplum Cotton Tu Apple Blossom 4T</t>
  </si>
  <si>
    <t>733002922406</t>
  </si>
  <si>
    <t>Epic Threads Epic Threads Toddler Girls All Camo 2T</t>
  </si>
  <si>
    <t>100128895LG</t>
  </si>
  <si>
    <t>733002922420</t>
  </si>
  <si>
    <t>Epic Threads Epic Threads Toddler Girls All Camo 4T</t>
  </si>
  <si>
    <t>733002922390</t>
  </si>
  <si>
    <t>Epic Threads Epic Threads Little Girls All Camo 6</t>
  </si>
  <si>
    <t>766370618848</t>
  </si>
  <si>
    <t>First Impressions Baby Unisex Solid Pants Safflower 3-6 months</t>
  </si>
  <si>
    <t>733002922413</t>
  </si>
  <si>
    <t>Epic Threads Epic Threads Toddler Girls All Camo 3T</t>
  </si>
  <si>
    <t>733002922383</t>
  </si>
  <si>
    <t>Epic Threads Epic Threads Little Girls All Camo 5</t>
  </si>
  <si>
    <t>766370860810</t>
  </si>
  <si>
    <t>First Impressions Baby Girls Summer Vibes Tank Island Orange 18 months</t>
  </si>
  <si>
    <t>100150016BG</t>
  </si>
  <si>
    <t>766370863897</t>
  </si>
  <si>
    <t>First Impressions Baby Girls Lettuce Hem Bike Sh Coral Topaz 12 months</t>
  </si>
  <si>
    <t>100148647BG</t>
  </si>
  <si>
    <t>766360158903</t>
  </si>
  <si>
    <t>First Impressions Baby Girls Tie Dye Biker Short Bright White 12 months</t>
  </si>
  <si>
    <t>766370863910</t>
  </si>
  <si>
    <t>First Impressions Baby Girls Lettuce Hem Bike Sh Coral Topaz 6-9 months</t>
  </si>
  <si>
    <t>733002227495</t>
  </si>
  <si>
    <t>Epic Threads Toddler Girls Short Sleeve Sol Bright White 2T</t>
  </si>
  <si>
    <t>100117781LG</t>
  </si>
  <si>
    <t>733002227501</t>
  </si>
  <si>
    <t>Epic Threads Toddler Girls Short Sleeve Sol Bright White 3T</t>
  </si>
  <si>
    <t>766370875531</t>
  </si>
  <si>
    <t>First Impressions Baby Boys Palm-Print Tank Top Aquarius 3T</t>
  </si>
  <si>
    <t>766380215105</t>
  </si>
  <si>
    <t>First Impressions Baby Boys Doodle Long-Sleeve T Snow Owl Hthr 18 months</t>
  </si>
  <si>
    <t>762120700740</t>
  </si>
  <si>
    <t>First Impressions Baby Boy Airplane-Graphic Shir Oregano 3-6 months</t>
  </si>
  <si>
    <t>100141391BB</t>
  </si>
  <si>
    <t>766370869134</t>
  </si>
  <si>
    <t>First Impressions Baby Boys Summer Graphic T-Shi Heather Hawaii 3-6 months</t>
  </si>
  <si>
    <t>766370869615</t>
  </si>
  <si>
    <t>First Impressions Baby Boys Sun and Surf-Graphic Turq Splash 3-6 months</t>
  </si>
  <si>
    <t>733001533832</t>
  </si>
  <si>
    <t>First Impressions Toddler Girl T Fairisle Tunic Ever Red 12 months</t>
  </si>
  <si>
    <t>100101911BG</t>
  </si>
  <si>
    <t>766370869288</t>
  </si>
  <si>
    <t>First Impressions Baby Boys Palm-Print Tank Aquarius 3-6 months</t>
  </si>
  <si>
    <t>100148748BB</t>
  </si>
  <si>
    <t>843692127552</t>
  </si>
  <si>
    <t>LOVE BLANKET BASIC</t>
  </si>
  <si>
    <t>BBK-8213-SFC</t>
  </si>
  <si>
    <t>BLOOMIES BABY/OAKHURST PARTNERS</t>
  </si>
  <si>
    <t>652874337401</t>
  </si>
  <si>
    <t>SC817D01DC69</t>
  </si>
  <si>
    <t>652874375106</t>
  </si>
  <si>
    <t>191539919861</t>
  </si>
  <si>
    <t>Bonnie Baby Baby Girls Floral Printed Smoc Tan 18 months</t>
  </si>
  <si>
    <t>B5-10158-PS</t>
  </si>
  <si>
    <t>191539919878</t>
  </si>
  <si>
    <t>Bonnie Baby Baby Girls Floral Printed Smoc Tan 24 months</t>
  </si>
  <si>
    <t>191539917812</t>
  </si>
  <si>
    <t>Bonnie Baby Baby Girls Three Quarter Sleev Ivory 12 months</t>
  </si>
  <si>
    <t>B5-10234-PT</t>
  </si>
  <si>
    <t>194135944138</t>
  </si>
  <si>
    <t>Carters Toddler Girls Nightgown, Pack Tie Dye 3T</t>
  </si>
  <si>
    <t>2N048910</t>
  </si>
  <si>
    <t>194257616890</t>
  </si>
  <si>
    <t>CHAMPION PAISLE</t>
  </si>
  <si>
    <t>CHG711</t>
  </si>
  <si>
    <t>194135873490</t>
  </si>
  <si>
    <t>Carters Toddler Boys 2-Piece Dinosaur Assorted 3T</t>
  </si>
  <si>
    <t>2N292810</t>
  </si>
  <si>
    <t>196027001479</t>
  </si>
  <si>
    <t>JURASSIC PARK 2 PC SET</t>
  </si>
  <si>
    <t>JA114BLLZA</t>
  </si>
  <si>
    <t>195861128847</t>
  </si>
  <si>
    <t>Carters Carters Toddler Boys Drawstri Gray 2T</t>
  </si>
  <si>
    <t>2N599310</t>
  </si>
  <si>
    <t>195861366454</t>
  </si>
  <si>
    <t>Carters Carters Baby Boy or Baby Girl White 9 months</t>
  </si>
  <si>
    <t>195861366430</t>
  </si>
  <si>
    <t>Carters Carters Baby Boy or Baby Girl White 3 months</t>
  </si>
  <si>
    <t>195861381013</t>
  </si>
  <si>
    <t>Carters Carters Baby Girls Peplum Bod Print 9 months</t>
  </si>
  <si>
    <t>1N960910</t>
  </si>
  <si>
    <t>195861374398</t>
  </si>
  <si>
    <t>Carters Carters Baby Girls Heart Flut Yellow 12 months</t>
  </si>
  <si>
    <t>1N964210</t>
  </si>
  <si>
    <t>195861098683</t>
  </si>
  <si>
    <t>Carters Carters Baby Boy or Baby Girl Black 12 months</t>
  </si>
  <si>
    <t>194257891372</t>
  </si>
  <si>
    <t>ABSTRACT SCRIPT SS TEE</t>
  </si>
  <si>
    <t>194135889682</t>
  </si>
  <si>
    <t>Carters Carters Baby Boys Mom and Dad Mint 9 months</t>
  </si>
  <si>
    <t>1N074310</t>
  </si>
  <si>
    <t>882925001023</t>
  </si>
  <si>
    <t>Polo Ralph Lauren Baby Girls Polo Bear Cotton Fl Rl Navyantique Cream 3 months</t>
  </si>
  <si>
    <t>794378202288</t>
  </si>
  <si>
    <t>Nina Little Girls or Toddler Girls Gold SatinStuds 12 Youth</t>
  </si>
  <si>
    <t>ZELIA-T</t>
  </si>
  <si>
    <t>12 M</t>
  </si>
  <si>
    <t>NINA DOLL-NINA FOOTWEAR</t>
  </si>
  <si>
    <t>FABRIC UPPER; RUBBER SOLE</t>
  </si>
  <si>
    <t>190618793590</t>
  </si>
  <si>
    <t>Polo Ralph Lauren Big Boys Rugby-Stripe Shorts Retreat Blue and Classic Oxfor L 1416</t>
  </si>
  <si>
    <t>885854315421</t>
  </si>
  <si>
    <t>Polo Ralph Lauren Big Girls Frayed Denim Shorts Cardell Wash 14</t>
  </si>
  <si>
    <t>882925671912</t>
  </si>
  <si>
    <t>Polo Ralph Lauren Big Girls Ombre Terry Shorts Turquoise, Pink XL</t>
  </si>
  <si>
    <t>652874427010</t>
  </si>
  <si>
    <t>Speechless Speechless Big Girls Floral So White Aqua 14</t>
  </si>
  <si>
    <t>SC844D01QC86</t>
  </si>
  <si>
    <t>882925892560</t>
  </si>
  <si>
    <t>Polo Ralph Lauren Big Boys Camo Jersey T-shirt Southern Orange Montauk Camo M 1012</t>
  </si>
  <si>
    <t>882925877789</t>
  </si>
  <si>
    <t>Polo Ralph Lauren Baby Boys Polo Bear Shortall Sailing Orange 24 months</t>
  </si>
  <si>
    <t>190618770652</t>
  </si>
  <si>
    <t>Polo Ralph Lauren Little Boys Big Pony Jersey T- Andover Heather 6</t>
  </si>
  <si>
    <t>194501660495</t>
  </si>
  <si>
    <t>Nike Nike Big Boys Elite Super Bask University Red, Gym Red, Black S 810</t>
  </si>
  <si>
    <t>DA0150</t>
  </si>
  <si>
    <t>747941865199</t>
  </si>
  <si>
    <t>Speechless Speechless Little Girls Skirt Ivory Blush 5</t>
  </si>
  <si>
    <t>SC500B03MTAT</t>
  </si>
  <si>
    <t>SHELL, LINING: POLYESTER</t>
  </si>
  <si>
    <t>194170369460</t>
  </si>
  <si>
    <t>Rare Editions Little Girls Denim Vest, Knit Blush 6</t>
  </si>
  <si>
    <t>E391662</t>
  </si>
  <si>
    <t>194170333072</t>
  </si>
  <si>
    <t>Rare Editions Big Girls Pleated Chiffon Dres Blush 16</t>
  </si>
  <si>
    <t>E490562</t>
  </si>
  <si>
    <t>195251341559</t>
  </si>
  <si>
    <t>Under Armour Under Armour Big Boys Tech Big Black XL 1820</t>
  </si>
  <si>
    <t>807421551803</t>
  </si>
  <si>
    <t>Nike Nike Little Boys Thrill Shorts Carbon Heather 6</t>
  </si>
  <si>
    <t>807421551797</t>
  </si>
  <si>
    <t>Nike Nike Little Boys Thrill Shorts Carbon Heather 5</t>
  </si>
  <si>
    <t>807421551810</t>
  </si>
  <si>
    <t>Nike Nike Little Boys Thrill Shorts Carbon Heather 7</t>
  </si>
  <si>
    <t>652874331539</t>
  </si>
  <si>
    <t>Speechless Speechless Big Girls Cropped S Coral Ivory M 810</t>
  </si>
  <si>
    <t>Q3778D99JE31</t>
  </si>
  <si>
    <t>194170434656</t>
  </si>
  <si>
    <t>Rare Editions Baby Girls Rib Knit Printed Ti Ivory 3-6 months</t>
  </si>
  <si>
    <t>742728173818</t>
  </si>
  <si>
    <t>Levis Levis Big Boys Slim Fit Perfo Highlands 8</t>
  </si>
  <si>
    <t>91C770F</t>
  </si>
  <si>
    <t>742728173825</t>
  </si>
  <si>
    <t>Levis Levis Big Boys Slim Fit Perfo Highlands 10</t>
  </si>
  <si>
    <t>194931282823</t>
  </si>
  <si>
    <t>Calvin Klein Big Boys Long Sleeve Stretch M Light Blue 20</t>
  </si>
  <si>
    <t>CTSFB04F-450</t>
  </si>
  <si>
    <t>807421526481</t>
  </si>
  <si>
    <t>Nike Nike Toddler Boys Dri-FIT Drop Black 4T</t>
  </si>
  <si>
    <t>7624302484318</t>
  </si>
  <si>
    <t>GUESS Big Boys Organic Stretch Denim Blue 14</t>
  </si>
  <si>
    <t>L0BD00D4H20</t>
  </si>
  <si>
    <t>807421552602</t>
  </si>
  <si>
    <t>Nike Little Boys Thrill Print Short Black 6</t>
  </si>
  <si>
    <t>86J178G</t>
  </si>
  <si>
    <t>807421552589</t>
  </si>
  <si>
    <t>Nike Little Boys Thrill Print Short Black 4</t>
  </si>
  <si>
    <t>194870827550</t>
  </si>
  <si>
    <t>adidas Big Boys Aeroready Gradient 3- Collegiate Navy S 8</t>
  </si>
  <si>
    <t>194870475584</t>
  </si>
  <si>
    <t>adidas Big Boys Aeroready Techfit Tig Black 810</t>
  </si>
  <si>
    <t>AK5809</t>
  </si>
  <si>
    <t>195238006488</t>
  </si>
  <si>
    <t>Nike Nike Big Boys Short-Sleeve Tra Lime Ice, Chlorine Blue L 1416</t>
  </si>
  <si>
    <t>DA0282</t>
  </si>
  <si>
    <t>825663265883</t>
  </si>
  <si>
    <t>Nike Nike Baby Boys Dri-Fit Color B University Red 12 months</t>
  </si>
  <si>
    <t>66J556G</t>
  </si>
  <si>
    <t>886785498689</t>
  </si>
  <si>
    <t>CB Sports CB Sports Toddler Boys Puffer Charcoal, Orange, White 3T</t>
  </si>
  <si>
    <t>OCZSE1G</t>
  </si>
  <si>
    <t>886785498207</t>
  </si>
  <si>
    <t>CB Sports CB Sports Toddler Boys Puffer Black 3T</t>
  </si>
  <si>
    <t>OCZSD8G</t>
  </si>
  <si>
    <t>193666880373</t>
  </si>
  <si>
    <t>Calvin Klein Calvin Klein Big Girls Fleece Navy Medium</t>
  </si>
  <si>
    <t>194135061255</t>
  </si>
  <si>
    <t>Carters Carters Baby Boys 3-Piece Dre Blue 12 months</t>
  </si>
  <si>
    <t>1K422010</t>
  </si>
  <si>
    <t>652874407463</t>
  </si>
  <si>
    <t>Speechless Big Girls Floral Tie Front Top Aqua, White S 7</t>
  </si>
  <si>
    <t>195883917115</t>
  </si>
  <si>
    <t>Minecraft Toddler Boys Minecraft Creeper Black Gray Combo 2T</t>
  </si>
  <si>
    <t>2JBMCT0056</t>
  </si>
  <si>
    <t>195883917566</t>
  </si>
  <si>
    <t>Star Wars Little Boys The Child Active, Green Black Combo 5</t>
  </si>
  <si>
    <t>2JSWM0543</t>
  </si>
  <si>
    <t>195883917412</t>
  </si>
  <si>
    <t>Hybrid Toddler Boys Nasa Active, 2 Pi Black Red Combo 2T</t>
  </si>
  <si>
    <t>195883917139</t>
  </si>
  <si>
    <t>Minecraft Toddler Boys Minecraft Creeper Black Gray Combo 4T</t>
  </si>
  <si>
    <t>195883917580</t>
  </si>
  <si>
    <t>Star Wars Little Boys The Child Active, Green Black Combo 7</t>
  </si>
  <si>
    <t>195883917542</t>
  </si>
  <si>
    <t>Star Wars Toddler Boys The Child Active, Green Black Combo 3T</t>
  </si>
  <si>
    <t>195883917559</t>
  </si>
  <si>
    <t>Star Wars Toddler Boys The Child Active, Green Black Combo 4T</t>
  </si>
  <si>
    <t>195883917122</t>
  </si>
  <si>
    <t>Minecraft Toddler Boys Minecraft Creeper Black Gray Combo 3T</t>
  </si>
  <si>
    <t>195958893870</t>
  </si>
  <si>
    <t>Blueberi Boulevard Baby Girls Mesh Gingham Tiered Orange, White 24 months</t>
  </si>
  <si>
    <t>192042825588</t>
  </si>
  <si>
    <t>Nautica Young Men Long Sleeve Stretch White L</t>
  </si>
  <si>
    <t>NUFCB481-100</t>
  </si>
  <si>
    <t>58% COTTON 39% POLYESTER 3% SPANDEX</t>
  </si>
  <si>
    <t>766380222035</t>
  </si>
  <si>
    <t>First Impressions Baby Boys Denim Overalls Authentic Wash 6-9 months</t>
  </si>
  <si>
    <t>762120499613</t>
  </si>
  <si>
    <t>First Impressions Baby Boys Two-Piece Shirt Pa Oregano 6-9 months</t>
  </si>
  <si>
    <t>762120499606</t>
  </si>
  <si>
    <t>First Impressions Baby Boys Two-Piece Shirt Pa Oregano 3-6 months</t>
  </si>
  <si>
    <t>194870732045</t>
  </si>
  <si>
    <t>adidas Big Girls 3 Stripe Skorts Vivid Red S 8</t>
  </si>
  <si>
    <t>194170403768</t>
  </si>
  <si>
    <t>Rare Editions Baby Girls Gauze Color Block t Pink 3-6 months</t>
  </si>
  <si>
    <t>766370085480</t>
  </si>
  <si>
    <t>Epic Threads Toddler Boys Camo T-shirt, Tan Orange Lily 3T</t>
  </si>
  <si>
    <t>100146650LB</t>
  </si>
  <si>
    <t>196027140598</t>
  </si>
  <si>
    <t>Spider-Man Spider-Man and Friends Toddler Assorted 2T</t>
  </si>
  <si>
    <t>766370762787</t>
  </si>
  <si>
    <t>Epic Threads Big Boys T-shirt and Shorts, 2 Angel White M 1012</t>
  </si>
  <si>
    <t>100151807BO</t>
  </si>
  <si>
    <t>766370762794</t>
  </si>
  <si>
    <t>Epic Threads Big Boys T-shirt and Shorts, 2 Angel White L 1416</t>
  </si>
  <si>
    <t>196325130277</t>
  </si>
  <si>
    <t>Hello Kitty Little Girls Hello Kitty Dress Pink 5</t>
  </si>
  <si>
    <t>194257622662</t>
  </si>
  <si>
    <t>Champion Little Boys Diagonal Colorbloc Crayon Orange, Navy 7</t>
  </si>
  <si>
    <t>CHY386</t>
  </si>
  <si>
    <t>733002463213</t>
  </si>
  <si>
    <t>First Impressions Baby Boys 4-Pack Sailboat Cott Cherry On Top Newborn</t>
  </si>
  <si>
    <t>100116831BB</t>
  </si>
  <si>
    <t>766360130107</t>
  </si>
  <si>
    <t>First Impressions Baby Boys 2-Pc. Shorts Set Stone Wall 0-3 months</t>
  </si>
  <si>
    <t>195958477018</t>
  </si>
  <si>
    <t>Calvin Klein Calvin Klein Little Boys Monog Mint Green 5</t>
  </si>
  <si>
    <t>195958479319</t>
  </si>
  <si>
    <t>Calvin Klein Calvin Klein Baby Girls Logo T Yellow 18 months</t>
  </si>
  <si>
    <t>3M00101-99</t>
  </si>
  <si>
    <t>195958479302</t>
  </si>
  <si>
    <t>Calvin Klein Calvin Klein Baby Girls Logo T Yellow 12 months</t>
  </si>
  <si>
    <t>195958479326</t>
  </si>
  <si>
    <t>Calvin Klein Calvin Klein Baby Girls Logo T Yellow 24 months</t>
  </si>
  <si>
    <t>195958479289</t>
  </si>
  <si>
    <t>Calvin Klein Calvin Klein Baby Girls Monogr White 18 months</t>
  </si>
  <si>
    <t>195958479081</t>
  </si>
  <si>
    <t>Calvin Klein Calvin Klein Baby Girls Ruffle Coral 12 months</t>
  </si>
  <si>
    <t>196179320824</t>
  </si>
  <si>
    <t>Bioworld Batman Backpack, 5 Piece Set Blue ONE SIZE</t>
  </si>
  <si>
    <t>B1B1KW6BTMMM</t>
  </si>
  <si>
    <t>BIOWORLD MERCHANDISING</t>
  </si>
  <si>
    <t>195958234697</t>
  </si>
  <si>
    <t>Blueberi Boulevard Little Girls Animal Print Flar Multi 6X</t>
  </si>
  <si>
    <t>MAB23389</t>
  </si>
  <si>
    <t>194170417581</t>
  </si>
  <si>
    <t>Rare Editions Baby Girls Printed Dot Yummy K Yellow 6-9 months</t>
  </si>
  <si>
    <t>194135941892</t>
  </si>
  <si>
    <t>Carters Toddler Boys 4-Piece Snug Fit Blue 2T</t>
  </si>
  <si>
    <t>195861287322</t>
  </si>
  <si>
    <t>Carters Carters Baby Girls Snug Fit C Pink Multi 24 months</t>
  </si>
  <si>
    <t>1O023410</t>
  </si>
  <si>
    <t>195237937356</t>
  </si>
  <si>
    <t>Nike Nike Big Girls Dri-Fit One Bik Light Smoke GrayPink Foam Wh S 8</t>
  </si>
  <si>
    <t>DD8016</t>
  </si>
  <si>
    <t>195238046682</t>
  </si>
  <si>
    <t>Nike Nike Big Girls Dri-Fit One Bik Purple Pulselime IcelapisWh L 14</t>
  </si>
  <si>
    <t>13244557780</t>
  </si>
  <si>
    <t>Bioworld Kids Nasa 6 Piece Backpack Set Blue ONE SIZE</t>
  </si>
  <si>
    <t>B1B07H6NSAMC</t>
  </si>
  <si>
    <t>193712367209</t>
  </si>
  <si>
    <t>Imperial Star Imperial Star Big Girls Denim Faith Wash 14</t>
  </si>
  <si>
    <t>196325121091</t>
  </si>
  <si>
    <t>Peppa Pig Toddler Girls Peppa Pig Flying Multi 2T</t>
  </si>
  <si>
    <t>193712367223</t>
  </si>
  <si>
    <t>Imperial Star Imperial Star Big Girls Denim Annali Wash 7</t>
  </si>
  <si>
    <t>194753627413</t>
  </si>
  <si>
    <t>Calvin Klein Baby Girls 2-Pc. Cotton Woven Pink 18 months</t>
  </si>
  <si>
    <t>3K00016-99</t>
  </si>
  <si>
    <t>762120082181</t>
  </si>
  <si>
    <t>Epic Threads Big Girls Denim Shorts Bleecker Wash 7</t>
  </si>
  <si>
    <t>100140193GR</t>
  </si>
  <si>
    <t>194135949935</t>
  </si>
  <si>
    <t>Carters Toddler Girls Sunflower Linen Print 4T</t>
  </si>
  <si>
    <t>2N431910</t>
  </si>
  <si>
    <t>806409421879</t>
  </si>
  <si>
    <t>Fortnite Big Boys Amplify Printed Backp Bright Combo OS</t>
  </si>
  <si>
    <t>FNV1010</t>
  </si>
  <si>
    <t>SHELL: POLYESTER; LINING: POLYESTER</t>
  </si>
  <si>
    <t>195958684454</t>
  </si>
  <si>
    <t>Calvin Klein Calvin Klein Performance Big G Violet S 7</t>
  </si>
  <si>
    <t>CASFC13S-510</t>
  </si>
  <si>
    <t>766360130404</t>
  </si>
  <si>
    <t>First Impressions Baby Boys 2-Pc. Polo Shorts Spring Daffodil 3-6 months</t>
  </si>
  <si>
    <t>100140087BB</t>
  </si>
  <si>
    <t>766360130909</t>
  </si>
  <si>
    <t>First Impressions Baby Boys 2-Pc. Polo Shorts Spring Daffodil 0-3 months</t>
  </si>
  <si>
    <t>766370066939</t>
  </si>
  <si>
    <t>Epic Threads Epic Threads Big Girls Floral Gold-Tone Haze M 810</t>
  </si>
  <si>
    <t>100145576GR</t>
  </si>
  <si>
    <t>195958445826</t>
  </si>
  <si>
    <t>Tommy Hilfiger Tommy Hilfiger Big Girls Globa Pink L 1214</t>
  </si>
  <si>
    <t>195958445833</t>
  </si>
  <si>
    <t>Tommy Hilfiger Tommy Hilfiger Big Girls Globa Pink M 810</t>
  </si>
  <si>
    <t>766360143039</t>
  </si>
  <si>
    <t>First Impressions Baby Girls 2-Pk. Coveralls Lilac Moon 3-6 months</t>
  </si>
  <si>
    <t>100141555BG</t>
  </si>
  <si>
    <t>766360146580</t>
  </si>
  <si>
    <t>First Impressions Baby Boys 2-Pk. Coveralls Stripes 3-6 months</t>
  </si>
  <si>
    <t>766360146573</t>
  </si>
  <si>
    <t>First Impressions Baby Boys 2-Pk. Coveralls Stripes Newborn</t>
  </si>
  <si>
    <t>766360145880</t>
  </si>
  <si>
    <t>First Impressions Baby Boys 2-Pk. Coveralls Yellow Light 0-3 months</t>
  </si>
  <si>
    <t>100141570BB</t>
  </si>
  <si>
    <t>766380727240</t>
  </si>
  <si>
    <t>First Impressions Baby Girls 4-Pk. Solid Heart Raspberry Pie Newborn</t>
  </si>
  <si>
    <t>766360147945</t>
  </si>
  <si>
    <t>First Impressions Baby 2-Pk. Animal-Print Covera Bright White Newborn</t>
  </si>
  <si>
    <t>766370310926</t>
  </si>
  <si>
    <t>Epic Threads Little Boys Graphic T-shirt Se Medium Heather Gray 5</t>
  </si>
  <si>
    <t>733004762628</t>
  </si>
  <si>
    <t>ID Ideology Big Girls Girls Can Sweatshi Violet Light XL 16</t>
  </si>
  <si>
    <t>733004762659</t>
  </si>
  <si>
    <t>ID Ideology Big Girls Girls Can Sweatshi Rose Shadow M 1012</t>
  </si>
  <si>
    <t>762120691468</t>
  </si>
  <si>
    <t>ID Ideology Big Girls Reversible Bikini Violet Tulle S 78</t>
  </si>
  <si>
    <t>766360145903</t>
  </si>
  <si>
    <t>First Impressions Baby Boys 2-Pk. Tie-Dyed Footi Skygaze 3-6 months</t>
  </si>
  <si>
    <t>100141571BB</t>
  </si>
  <si>
    <t>195958173453</t>
  </si>
  <si>
    <t>Kids Headquarters Kids Headquarters Baby Girls C White 24 months</t>
  </si>
  <si>
    <t>11L02032-99</t>
  </si>
  <si>
    <t>766360131623</t>
  </si>
  <si>
    <t>First Impressions Toddler Boys Light-Wash Denim Light Wash 2T</t>
  </si>
  <si>
    <t>100141036TB</t>
  </si>
  <si>
    <t>766370717657</t>
  </si>
  <si>
    <t>First Impressions Baby Girls 2-Pc. Splatter-Prin Authentic Wash 12 months</t>
  </si>
  <si>
    <t>194870744772</t>
  </si>
  <si>
    <t>adidas Little Boys Short Sleeve Aeror Collegiate Navy 5</t>
  </si>
  <si>
    <t>194870744765</t>
  </si>
  <si>
    <t>adidas Little Boys Short Sleeve Aeror Collegiate Navy 4</t>
  </si>
  <si>
    <t>194135870895</t>
  </si>
  <si>
    <t>Carters Carters Baby Boys 2-Pack Romp Gray Newborn</t>
  </si>
  <si>
    <t>1N036210</t>
  </si>
  <si>
    <t>194135873292</t>
  </si>
  <si>
    <t>Carters Carters Baby Boys Crew Neck S Gray Newborn</t>
  </si>
  <si>
    <t>1N036110</t>
  </si>
  <si>
    <t>733004764301</t>
  </si>
  <si>
    <t>ID Ideology Big Girls Fleece Hoodie Rose Shadow M 1012</t>
  </si>
  <si>
    <t>766360641658</t>
  </si>
  <si>
    <t>Epic Threads Little Girls Butterfly Denim S Medium Butterfly Wash 6</t>
  </si>
  <si>
    <t>766360641528</t>
  </si>
  <si>
    <t>Epic Threads Epic Threads Little Girls Flor Spacious Sky 6X</t>
  </si>
  <si>
    <t>196122463844</t>
  </si>
  <si>
    <t>Koala Baby Koala Baby Baby Boys or Baby G Heather 9-12 months</t>
  </si>
  <si>
    <t>196122462328</t>
  </si>
  <si>
    <t>Koala Baby Koala Baby Baby Boys or Baby G Heather Newborn</t>
  </si>
  <si>
    <t>KLM02508</t>
  </si>
  <si>
    <t>196122462342</t>
  </si>
  <si>
    <t>Koala Baby Koala Baby Baby Boys or Baby G Heather 3-6 months</t>
  </si>
  <si>
    <t>196122460690</t>
  </si>
  <si>
    <t>Koala Baby Koala Baby Girls Printed Short Blush 12-18 months</t>
  </si>
  <si>
    <t>KLF12532</t>
  </si>
  <si>
    <t>192042807690</t>
  </si>
  <si>
    <t>Nautica Young Men Short Sleeve Perform Light Blue S</t>
  </si>
  <si>
    <t>NUFBB121-483</t>
  </si>
  <si>
    <t>34X35</t>
  </si>
  <si>
    <t>196122460706</t>
  </si>
  <si>
    <t>Koala Baby Koala Baby Girls Printed Short Blush 18-24 months</t>
  </si>
  <si>
    <t>196122462335</t>
  </si>
  <si>
    <t>Koala Baby Koala Baby Baby Boys or Baby G Heather 0-3 months</t>
  </si>
  <si>
    <t>196122459106</t>
  </si>
  <si>
    <t>Koala Baby Koala Baby Girls Printed Short WhitePink 0-3 months</t>
  </si>
  <si>
    <t>756845971035</t>
  </si>
  <si>
    <t>First Impressions Footed Tulle Coverall, Baby Gi Baby Pink Newborn</t>
  </si>
  <si>
    <t>766360656720</t>
  </si>
  <si>
    <t>Epic Threads Little Girls Butterfly Tanks a Spacious Sky 5</t>
  </si>
  <si>
    <t>100145414LG</t>
  </si>
  <si>
    <t>194135895164</t>
  </si>
  <si>
    <t>Carters Carters Baby Girls 3-Piece Li Multi Newborn</t>
  </si>
  <si>
    <t>194135878433</t>
  </si>
  <si>
    <t>Carters Carters Baby Girls 3-Piece Li Multi Floral Newborn</t>
  </si>
  <si>
    <t>194135321472</t>
  </si>
  <si>
    <t>Carters Baby Boys or Girls 2-Pc. Jumps Grey 12 months</t>
  </si>
  <si>
    <t>1L784510</t>
  </si>
  <si>
    <t>194135322653</t>
  </si>
  <si>
    <t>Carters Baby Boys or Girls 3-Pc. Home White 12 months</t>
  </si>
  <si>
    <t>1L784210</t>
  </si>
  <si>
    <t>9356362386070</t>
  </si>
  <si>
    <t>COTTON ON Little Boys Lennie Pants Gray 7</t>
  </si>
  <si>
    <t>7340577-03</t>
  </si>
  <si>
    <t>696114451809</t>
  </si>
  <si>
    <t>Max Olivia Baby Girls All Over Printed Co Pink I 18 months</t>
  </si>
  <si>
    <t>351433-MA</t>
  </si>
  <si>
    <t>733004764998</t>
  </si>
  <si>
    <t>ID Ideology Big Girls Open Leg Pants Violet Light XL 16</t>
  </si>
  <si>
    <t>733004764974</t>
  </si>
  <si>
    <t>ID Ideology Big Girls Open Leg Pants Violet Light M 1012</t>
  </si>
  <si>
    <t>195861293385</t>
  </si>
  <si>
    <t>Carters Carters Baby Boys Dinosaur Je Assorted 12 months</t>
  </si>
  <si>
    <t>194135866997</t>
  </si>
  <si>
    <t>Carters Carters Baby Girls Birthday G Ivory 18 months</t>
  </si>
  <si>
    <t>194135867017</t>
  </si>
  <si>
    <t>Carters Carters Baby Girls Birthday G Ivory 9 months</t>
  </si>
  <si>
    <t>194135867000</t>
  </si>
  <si>
    <t>Carters Carters Baby Girls Birthday G Ivory 24 months</t>
  </si>
  <si>
    <t>766360156886</t>
  </si>
  <si>
    <t>First Impressions Baby Girls 2-Pc. Seersucker Ru Bright White 18 months</t>
  </si>
  <si>
    <t>100141042BG</t>
  </si>
  <si>
    <t>196027169735</t>
  </si>
  <si>
    <t>AME Baby Girls Minnie Mouse Pajama Assorted 24 months</t>
  </si>
  <si>
    <t>194135315884</t>
  </si>
  <si>
    <t>Carters Baby Boys 3-Pc. Car Little Cha Green 9 months</t>
  </si>
  <si>
    <t>46094958094</t>
  </si>
  <si>
    <t>Calvin Klein Big Boys 2-Pack Logo Boxers Heather Gray Black S 67</t>
  </si>
  <si>
    <t>766360314668</t>
  </si>
  <si>
    <t>ID Ideology Toddler Little Boys Pullover Deep Cobal 3T</t>
  </si>
  <si>
    <t>100141214LB</t>
  </si>
  <si>
    <t>196027072653</t>
  </si>
  <si>
    <t>Minnie Mouse Minnie Mouse Toddler Girls Paj Assorted 3T</t>
  </si>
  <si>
    <t>MW1138TLLMA</t>
  </si>
  <si>
    <t>196027072530</t>
  </si>
  <si>
    <t>Mickey Mouse Mickey Mouse Baby Boys Pajama Assorted 18 months</t>
  </si>
  <si>
    <t>MK848YLLMA</t>
  </si>
  <si>
    <t>195861136835</t>
  </si>
  <si>
    <t>Carters Baby Boys Navy Pull-On Poplin Gray 12 months</t>
  </si>
  <si>
    <t>1N599310</t>
  </si>
  <si>
    <t>732994251518</t>
  </si>
  <si>
    <t>First Impressions Baby Girls Patent Ballet Flats Black Patent 1</t>
  </si>
  <si>
    <t>100027002BG</t>
  </si>
  <si>
    <t>195958631816</t>
  </si>
  <si>
    <t>Tommy Hilfiger Tommy Hilfiger Big Girls Tonal White L 1214</t>
  </si>
  <si>
    <t>TGTFA09S-100</t>
  </si>
  <si>
    <t>766360445935</t>
  </si>
  <si>
    <t>ID Ideology Big Girls Layered-Look Tank To Jet Ski L 14</t>
  </si>
  <si>
    <t>195958665873</t>
  </si>
  <si>
    <t>Tommy Hilfiger Tommy Hilfiger Toddler Boys Ma Bright White 2T</t>
  </si>
  <si>
    <t>TBSFB51J-100</t>
  </si>
  <si>
    <t>196122330894</t>
  </si>
  <si>
    <t>Koala Baby Baby Boys Rib Bodysuit, Pack o Blue 3-6 months</t>
  </si>
  <si>
    <t>KLM02261</t>
  </si>
  <si>
    <t>9357754294676</t>
  </si>
  <si>
    <t>COTTON ON Baby Girls Jamie Short Sleeve Earth Clay 0-3 months</t>
  </si>
  <si>
    <t>791756-396</t>
  </si>
  <si>
    <t>733004952180</t>
  </si>
  <si>
    <t>First Impressions Baby Boys One-Piece Rash Guard Ribbon Blue 18 months</t>
  </si>
  <si>
    <t>196122328860</t>
  </si>
  <si>
    <t>Koala Baby Baby Girls Rib Bodysuit, Pack Yellow 0-3 months</t>
  </si>
  <si>
    <t>196122328853</t>
  </si>
  <si>
    <t>Koala Baby Baby Girls Rib Bodysuit, Pack Yellow Newborn</t>
  </si>
  <si>
    <t>762120689335</t>
  </si>
  <si>
    <t>ID Ideology Big Girls Faux-Layer Tank Jet Ski XL 16</t>
  </si>
  <si>
    <t>762120689304</t>
  </si>
  <si>
    <t>ID Ideology Big Girls Faux-Layer Tank Jet Ski S 78</t>
  </si>
  <si>
    <t>192042760698</t>
  </si>
  <si>
    <t>Nautica Little Boys Stretch Burgundy D Lt Yellow S 4</t>
  </si>
  <si>
    <t>NUFBB03E-754</t>
  </si>
  <si>
    <t>762120060073</t>
  </si>
  <si>
    <t>ID Ideology Toddler Little Boys Knit Hoo DEEP BLACK 5</t>
  </si>
  <si>
    <t>762120213356</t>
  </si>
  <si>
    <t>ID Ideology Toddler Little Boys Knit Hoo NATIVE GREEN 6</t>
  </si>
  <si>
    <t>640013960542</t>
  </si>
  <si>
    <t>Univibe Big Boys Dazed Dip-Dyed Hooded White L 1416</t>
  </si>
  <si>
    <t>196122328921</t>
  </si>
  <si>
    <t>Koala Baby Baby Girls Rib Bodysuit, Pack Flamingo 6-9 months</t>
  </si>
  <si>
    <t>KLF02267</t>
  </si>
  <si>
    <t>766360129637</t>
  </si>
  <si>
    <t>First Impressions Baby Girls Eyelet Shirt Spring Daffodil 6-9 months</t>
  </si>
  <si>
    <t>195861368090</t>
  </si>
  <si>
    <t>Carters Carters Baby Girls Unicorn Zi Gray 3 months</t>
  </si>
  <si>
    <t>196122323216</t>
  </si>
  <si>
    <t>Koala Baby Baby Boys Bodysuit and Pants R White 12-18 months</t>
  </si>
  <si>
    <t>KLM12258</t>
  </si>
  <si>
    <t>196122323162</t>
  </si>
  <si>
    <t>Koala Baby Baby Boys Bodysuit and Pants R Blue Fog 9-12 months</t>
  </si>
  <si>
    <t>766370767720</t>
  </si>
  <si>
    <t>Epic Threads Toddler Boys Terry Shorts Terra Stone 2T</t>
  </si>
  <si>
    <t>100151804LB</t>
  </si>
  <si>
    <t>733002266944</t>
  </si>
  <si>
    <t>First Impressions Toddler Boys Authentic Wash De Authentic Wash 3T</t>
  </si>
  <si>
    <t>194257734495</t>
  </si>
  <si>
    <t>Champion Little Boys Angled Peek Shorts Lakeside Green, Sunbeam Glow 4</t>
  </si>
  <si>
    <t>762120688390</t>
  </si>
  <si>
    <t>ID Ideology Big Girls Hibiscus-Print Short Jet Ski L 14</t>
  </si>
  <si>
    <t>100141265GR</t>
  </si>
  <si>
    <t>840144218660</t>
  </si>
  <si>
    <t>InMocean Little Girls Sherpa 3 Piece Se Multi</t>
  </si>
  <si>
    <t>DFA31211-MAC-MLT</t>
  </si>
  <si>
    <t>766360131111</t>
  </si>
  <si>
    <t>First Impressions Baby Boys Rugby Polo Green Brillianc 18 months</t>
  </si>
  <si>
    <t>766360131081</t>
  </si>
  <si>
    <t>First Impressions Baby Boys Rugby Polo Green Brillianc 12 months</t>
  </si>
  <si>
    <t>766360131098</t>
  </si>
  <si>
    <t>First Impressions Baby Boys Rugby Polo Green Brillianc 3-6 months</t>
  </si>
  <si>
    <t>194753757301</t>
  </si>
  <si>
    <t>Tommy Hilfiger Tommy Hilfiger Little Boys Omb Gray Heather 5</t>
  </si>
  <si>
    <t>TBSEA33J-004</t>
  </si>
  <si>
    <t>9359194337609</t>
  </si>
  <si>
    <t>COTTON ON COTTON ON Baby Girls Tie-Dye R Citrus Sorbet, Linear Tie Dye 18-24 months</t>
  </si>
  <si>
    <t>791827-40</t>
  </si>
  <si>
    <t>766360449049</t>
  </si>
  <si>
    <t>ID Ideology Toddler Little Girls Marble Violet Tulle 6X</t>
  </si>
  <si>
    <t>762120689458</t>
  </si>
  <si>
    <t>ID Ideology Toddler Little Girls Solid S Violet Tulle 5</t>
  </si>
  <si>
    <t>766360446260</t>
  </si>
  <si>
    <t>ID Ideology ID Ideology Big Girls Core Pol Rose Shadow S 78</t>
  </si>
  <si>
    <t>766360446291</t>
  </si>
  <si>
    <t>ID Ideology ID Ideology Big Girls Core Pol Rose Shadow XL 16</t>
  </si>
  <si>
    <t>766360436919</t>
  </si>
  <si>
    <t>ID Ideology Big Girls Petal-Print Woven Sh Tropic Blue XL 16</t>
  </si>
  <si>
    <t>762120687935</t>
  </si>
  <si>
    <t>ID Ideology Big Girls Fearless Side Cut-Ou Violet Tulle L 14</t>
  </si>
  <si>
    <t>762120687911</t>
  </si>
  <si>
    <t>ID Ideology Big Girls Fearless Side Cut-Ou Violet Tulle S 78</t>
  </si>
  <si>
    <t>762120687928</t>
  </si>
  <si>
    <t>ID Ideology Big Girls Fearless Side Cut-Ou Violet Tulle M 1012</t>
  </si>
  <si>
    <t>194257489722</t>
  </si>
  <si>
    <t>Champion Big Boys Open Diagonal Script White 1 L 1416</t>
  </si>
  <si>
    <t>CHB069</t>
  </si>
  <si>
    <t>766360650087</t>
  </si>
  <si>
    <t>ID Ideology Toddler Little Girls 2-Pc. I Pear Passion 6</t>
  </si>
  <si>
    <t>766360650070</t>
  </si>
  <si>
    <t>ID Ideology Toddler Little Girls 2-Pc. I Pear Passion 5</t>
  </si>
  <si>
    <t>766360650094</t>
  </si>
  <si>
    <t>ID Ideology Toddler Little Girls 2-Pc. I Pear Passion 2T</t>
  </si>
  <si>
    <t>766360446963</t>
  </si>
  <si>
    <t>ID Ideology Big Girls Geo-Print Capri Legg Jet Ski XL 16</t>
  </si>
  <si>
    <t>100141288GR</t>
  </si>
  <si>
    <t>766360447182</t>
  </si>
  <si>
    <t>ID Ideology Big Girls Geo-Print Leggings Pear Passion S 78</t>
  </si>
  <si>
    <t>766360650124</t>
  </si>
  <si>
    <t>ID Ideology Toddler Little Girls 2-Pc. I Pear Passion 6X</t>
  </si>
  <si>
    <t>766360650100</t>
  </si>
  <si>
    <t>ID Ideology Toddler Little Girls 2-Pc. I Pear Passion 3T</t>
  </si>
  <si>
    <t>194135887725</t>
  </si>
  <si>
    <t>Carters Carters Baby Boys Chambray Po Navy 3 months</t>
  </si>
  <si>
    <t>194135889040</t>
  </si>
  <si>
    <t>Carters Carters Baby Girls Floral Flu Print 24 months</t>
  </si>
  <si>
    <t>1N071210</t>
  </si>
  <si>
    <t>194135889095</t>
  </si>
  <si>
    <t>Carters Carters Baby Girls Floral Flu Print Newborn</t>
  </si>
  <si>
    <t>194135896499</t>
  </si>
  <si>
    <t>Carters Carters Baby Girls Eyelet Sna Mint 9 months</t>
  </si>
  <si>
    <t>195861374404</t>
  </si>
  <si>
    <t>Carters Carters Baby Girls Heart Flut Yellow 18 months</t>
  </si>
  <si>
    <t>194135889071</t>
  </si>
  <si>
    <t>Carters Carters Baby Girls Floral Flu Print 9 months</t>
  </si>
  <si>
    <t>806409535583</t>
  </si>
  <si>
    <t>Champion Champion Chow 2.0 Lunch Kit Black Traditional ONE SIZE</t>
  </si>
  <si>
    <t>CHY1022</t>
  </si>
  <si>
    <t>762120691178</t>
  </si>
  <si>
    <t>ID Ideology Big Girls Lace-Up T-Shirt Violet Tulle S 78</t>
  </si>
  <si>
    <t>762120161374</t>
  </si>
  <si>
    <t>ID Ideology Toddler Little Girls Leopard Rose Shadow 4T</t>
  </si>
  <si>
    <t>100136784LG</t>
  </si>
  <si>
    <t>766360650063</t>
  </si>
  <si>
    <t>ID Ideology oddler Little Girls 2-Pc. Ch Bright White 6X</t>
  </si>
  <si>
    <t>766360650032</t>
  </si>
  <si>
    <t>ID Ideology oddler Little Girls 2-Pc. Ch Bright White 2T</t>
  </si>
  <si>
    <t>766360650049</t>
  </si>
  <si>
    <t>ID Ideology oddler Little Girls 2-Pc. Ch Bright White 3T</t>
  </si>
  <si>
    <t>762120082570</t>
  </si>
  <si>
    <t>Epic Threads Big Girls Drop Waist Dress Lavender Pool XL</t>
  </si>
  <si>
    <t>100138506GR</t>
  </si>
  <si>
    <t>81715950972</t>
  </si>
  <si>
    <t>First Impressions Baby Girls Biker Shorts Apple Blossom 18 months</t>
  </si>
  <si>
    <t>100141123BG</t>
  </si>
  <si>
    <t>766360151300</t>
  </si>
  <si>
    <t>First Impressions Baby Girl RUFFLE BACK LEGGING Spring Daffodil 3-6 months</t>
  </si>
  <si>
    <t>766360150600</t>
  </si>
  <si>
    <t>First Impressions Toddler Girls Peplum Cotton Tu Bright White 2T</t>
  </si>
  <si>
    <t>100141142TG</t>
  </si>
  <si>
    <t>766360133931</t>
  </si>
  <si>
    <t>First Impressions Baby Girls Fruit Fun Capri Pan Bright White 3-6 months</t>
  </si>
  <si>
    <t>733003927332</t>
  </si>
  <si>
    <t>First Impressions Baby Boys Tree on Car T-Shirt Black Hthr 6-9 months</t>
  </si>
  <si>
    <t>733003927318</t>
  </si>
  <si>
    <t>First Impressions Baby Boys Tree on Car T-Shirt Black Hthr 12 months</t>
  </si>
  <si>
    <t>733003927325</t>
  </si>
  <si>
    <t>First Impressions Baby Boys Tree on Car T-Shirt Black Hthr 3-6 months</t>
  </si>
  <si>
    <t>766370860353</t>
  </si>
  <si>
    <t>First Impressions Toddler Girls Solid Flutter Tu Hthr Dune 4T</t>
  </si>
  <si>
    <t>766370869844</t>
  </si>
  <si>
    <t>First Impressions Baby Boys Tank Skygaze 6-9 months</t>
  </si>
  <si>
    <t>766370869820</t>
  </si>
  <si>
    <t>First Impressions Baby Boys Tank Skygaze 3-6 months</t>
  </si>
  <si>
    <t>766370875524</t>
  </si>
  <si>
    <t>First Impressions Baby Boys Palm-Print Tank Top Aquarius 2T</t>
  </si>
  <si>
    <t>100148748TB</t>
  </si>
  <si>
    <t>766370876033</t>
  </si>
  <si>
    <t>First Impressions Toddler Boys Tropical Smudge T Peppermint 4T</t>
  </si>
  <si>
    <t>766370919242</t>
  </si>
  <si>
    <t>First Impressions Baby Boys Surf Life-Graphic Ta Island Orange 12 months</t>
  </si>
  <si>
    <t>733004739972</t>
  </si>
  <si>
    <t>First Impressions Baby Girls Rainbow T-Shir Washed Indigo 18 months</t>
  </si>
  <si>
    <t>100138605BG</t>
  </si>
  <si>
    <t>766360160623</t>
  </si>
  <si>
    <t>First Impressions Toddler Boy FLAG TANK Slate Hthr 4T</t>
  </si>
  <si>
    <t>100084141TB</t>
  </si>
  <si>
    <t>766360157746</t>
  </si>
  <si>
    <t>First Impressions Baby Girls Peace Sign Tank Top Ski Patrol 18 months</t>
  </si>
  <si>
    <t>766360157753</t>
  </si>
  <si>
    <t>First Impressions Baby Girls Peace Sign Tank Top Ski Patrol 24 months</t>
  </si>
  <si>
    <t>766380211022</t>
  </si>
  <si>
    <t>First Impressions Baby Girls Crayon Heart T-Shir Angel White 24 months</t>
  </si>
  <si>
    <t>762120119351</t>
  </si>
  <si>
    <t>First Impressions Baby Girls Love Note Top Angel White 6-9 months</t>
  </si>
  <si>
    <t>100137328BG</t>
  </si>
  <si>
    <t>762120497626</t>
  </si>
  <si>
    <t>First Impressions Baby Girls Graphic-Print Shirt Bright White 18 months</t>
  </si>
  <si>
    <t>100141057BG</t>
  </si>
  <si>
    <t>733003927257</t>
  </si>
  <si>
    <t>First Impressions Baby Boy Ss Elk Tee Bone Hthr 24 months</t>
  </si>
  <si>
    <t>766370860971</t>
  </si>
  <si>
    <t>First Impressions Baby Girls Chambray-Knot Tank Island Orange 24 months</t>
  </si>
  <si>
    <t>766380211237</t>
  </si>
  <si>
    <t>First Impressions Baby Girls Wild Free T-Shirt Hthr Sterling 3-6 months</t>
  </si>
  <si>
    <t>100151860BG</t>
  </si>
  <si>
    <t>194654552531</t>
  </si>
  <si>
    <t>677838479874</t>
  </si>
  <si>
    <t>Levis Levis Big Boys Joggers Lead S</t>
  </si>
  <si>
    <t>91A989F</t>
  </si>
  <si>
    <t>194654553552</t>
  </si>
  <si>
    <t>KODY</t>
  </si>
  <si>
    <t>CF21D01H</t>
  </si>
  <si>
    <t>194654549081</t>
  </si>
  <si>
    <t>CF21D03H</t>
  </si>
  <si>
    <t>194654553545</t>
  </si>
  <si>
    <t>194654814592</t>
  </si>
  <si>
    <t>194654820869</t>
  </si>
  <si>
    <t>DELRAY-B</t>
  </si>
  <si>
    <t>CS22J03H</t>
  </si>
  <si>
    <t>194654820920</t>
  </si>
  <si>
    <t>194654820883</t>
  </si>
  <si>
    <t>194654820937</t>
  </si>
  <si>
    <t>194654820913</t>
  </si>
  <si>
    <t>194654821026</t>
  </si>
  <si>
    <t>ALDUS</t>
  </si>
  <si>
    <t>CS22K01H</t>
  </si>
  <si>
    <t>194654821002</t>
  </si>
  <si>
    <t>194654815865</t>
  </si>
  <si>
    <t>JOJO</t>
  </si>
  <si>
    <t>CS22T05H</t>
  </si>
  <si>
    <t>195861387398</t>
  </si>
  <si>
    <t>Carters Carters Baby Girls Hooded Car Print 3 months</t>
  </si>
  <si>
    <t>195861380504</t>
  </si>
  <si>
    <t>Carters Carters Baby Girls Bodysuit, Brown 6 months</t>
  </si>
  <si>
    <t>1O226910</t>
  </si>
  <si>
    <t>194135941069</t>
  </si>
  <si>
    <t>Carters Toddler Girls 4-Piece Loose Fi Print 2T</t>
  </si>
  <si>
    <t>2M989110</t>
  </si>
  <si>
    <t>677838426762</t>
  </si>
  <si>
    <t>RUFFLE TEE SHIRT</t>
  </si>
  <si>
    <t>41B935F</t>
  </si>
  <si>
    <t>194135929654</t>
  </si>
  <si>
    <t>Carters Little Boys 2-Piece Trucks Loo Print 7</t>
  </si>
  <si>
    <t>3N029010</t>
  </si>
  <si>
    <t>194135930681</t>
  </si>
  <si>
    <t>Carters Toddler Girls Striped Crinkle Stripe 5T</t>
  </si>
  <si>
    <t>2N105410</t>
  </si>
  <si>
    <t>807421755683</t>
  </si>
  <si>
    <t>FOOTED COVERALL</t>
  </si>
  <si>
    <t>807421755676</t>
  </si>
  <si>
    <t>195861366447</t>
  </si>
  <si>
    <t>Carters Carters Baby Boy or Baby Girl White 6 months</t>
  </si>
  <si>
    <t>195861101000</t>
  </si>
  <si>
    <t>Carters Baby Boys 2-Pc. Truck-Print Bo Print Newborn</t>
  </si>
  <si>
    <t>1N608010</t>
  </si>
  <si>
    <t>195861376200</t>
  </si>
  <si>
    <t>Carters Carters Baby Boys Zip-Up Hood Brown 6 months</t>
  </si>
  <si>
    <t>194135975880</t>
  </si>
  <si>
    <t>Carters Toddler Boys Plaid Button-Fron Plaid 4T</t>
  </si>
  <si>
    <t>2N263210</t>
  </si>
  <si>
    <t>194135101401</t>
  </si>
  <si>
    <t>Carters Carters Baby Girls Bubble Sho Red 9 months</t>
  </si>
  <si>
    <t>1K437710</t>
  </si>
  <si>
    <t>195861134923</t>
  </si>
  <si>
    <t>Carters Toddler Girls One-Piece Snug F Cactus 2T</t>
  </si>
  <si>
    <t>2N710310</t>
  </si>
  <si>
    <t>194133605802</t>
  </si>
  <si>
    <t>Carters Carters Baby Girl Ruffle Long Med Blue 6 months</t>
  </si>
  <si>
    <t>1J287510</t>
  </si>
  <si>
    <t>882925088765</t>
  </si>
  <si>
    <t>Polo Ralph Lauren Baby Girls Logo Top and Stretc Adirondack Rose 3 months</t>
  </si>
  <si>
    <t>195252113223</t>
  </si>
  <si>
    <t>Under Armour Under Armour Big Boys Fleece C Radar Blue Large</t>
  </si>
  <si>
    <t>766380733807</t>
  </si>
  <si>
    <t>Smiggle Smiggle Kids Brightside Bag Ba Navy ONE SIZE</t>
  </si>
  <si>
    <t>MMG-SMIGGLES (480/914)</t>
  </si>
  <si>
    <t>882925012890</t>
  </si>
  <si>
    <t>Polo Ralph Lauren Polo Ralph Lauren Big Boys Pol Andover Heather Multi Small</t>
  </si>
  <si>
    <t>885031446788</t>
  </si>
  <si>
    <t>Polo Ralph Lauren Polo Ralph Lauren Little Boys Newport Navy 7</t>
  </si>
  <si>
    <t>194277482970</t>
  </si>
  <si>
    <t>Nike Nike Big Boys Sport Training P BlackWhite M 1012</t>
  </si>
  <si>
    <t>652874160023</t>
  </si>
  <si>
    <t>Speechless Speechless Big Girl Velvet Bod Light, Pas Red 16</t>
  </si>
  <si>
    <t>T1977D99DE13</t>
  </si>
  <si>
    <t>195187136052</t>
  </si>
  <si>
    <t>New Balance New Balance Little Boys 3 Piec Eclipse 4</t>
  </si>
  <si>
    <t>LAK11B42ECL</t>
  </si>
  <si>
    <t>194870763360</t>
  </si>
  <si>
    <t>adidas Baby Girls T-shirt and Shorts White with Blue 18 months</t>
  </si>
  <si>
    <t>AG4581N</t>
  </si>
  <si>
    <t>194753858398</t>
  </si>
  <si>
    <t>Calvin Klein Calvin Klein Little Girls 2 Pi Pink 5</t>
  </si>
  <si>
    <t>3L22006-99</t>
  </si>
  <si>
    <t>195958147454</t>
  </si>
  <si>
    <t>Tommy Hilfiger Tommy Hilfiger Toddler Girls S Pink 3T</t>
  </si>
  <si>
    <t>61L12009-99</t>
  </si>
  <si>
    <t>196027137376</t>
  </si>
  <si>
    <t>Disney Princess Frozen Little Girls Pajamas, 4 Assorted 4</t>
  </si>
  <si>
    <t>F2414GSOMA</t>
  </si>
  <si>
    <t>194931204924</t>
  </si>
  <si>
    <t>Nautica Big Boys Full Zip Tie Dye Flee Gray Tie Dye L 1416</t>
  </si>
  <si>
    <t>NUFEB11F-045</t>
  </si>
  <si>
    <t>196027178867</t>
  </si>
  <si>
    <t>Tommy Hilfiger Big Boys Two Piece Set Assorted M</t>
  </si>
  <si>
    <t>5D066BSLZA</t>
  </si>
  <si>
    <t>196027127759</t>
  </si>
  <si>
    <t>AME Little Boys Justice League Paj Assorted 4</t>
  </si>
  <si>
    <t>JL124BSOMA</t>
  </si>
  <si>
    <t>196027127773</t>
  </si>
  <si>
    <t>AME Big Boys Justice League Pajama Assorted 8</t>
  </si>
  <si>
    <t>194170403782</t>
  </si>
  <si>
    <t>Rare Editions Baby Girls Gauze Color Block t Pink 12 months</t>
  </si>
  <si>
    <t>S814682</t>
  </si>
  <si>
    <t>194170421977</t>
  </si>
  <si>
    <t>Rare Editions Baby Girls Animal Print Charme Tan 12 months</t>
  </si>
  <si>
    <t>S815291</t>
  </si>
  <si>
    <t>194170412531</t>
  </si>
  <si>
    <t>Rare Editions Baby Girls Solid Knit Top with Navy 3-6 months</t>
  </si>
  <si>
    <t>S814842</t>
  </si>
  <si>
    <t>194170403799</t>
  </si>
  <si>
    <t>Rare Editions Baby Girls Gauze Color Block t Pink 18 months</t>
  </si>
  <si>
    <t>195958054424</t>
  </si>
  <si>
    <t>Tommy Hilfiger Baby Boys 2-Pc. Hoodie Jogge White Heather 18 months</t>
  </si>
  <si>
    <t>61L70023-99</t>
  </si>
  <si>
    <t>196027144176</t>
  </si>
  <si>
    <t>Trolls by DreamWorks Trolls by DreamWorks Toddler G Assorted 2T</t>
  </si>
  <si>
    <t>Z1093TSOMA</t>
  </si>
  <si>
    <t>196027140512</t>
  </si>
  <si>
    <t>PJ Masks Toddler Boys PJ Masks T-shirts Assorted 3T</t>
  </si>
  <si>
    <t>PJ285ESOMA</t>
  </si>
  <si>
    <t>196027141151</t>
  </si>
  <si>
    <t>AME Little Boys Avengers Pajama Se Assorted 4</t>
  </si>
  <si>
    <t>A2229BZSMA</t>
  </si>
  <si>
    <t>195958544338</t>
  </si>
  <si>
    <t>Tommy Hilfiger Tommy Hilfiger Baby Boys Ragla White 18 months</t>
  </si>
  <si>
    <t>61M72038-99</t>
  </si>
  <si>
    <t>195958577916</t>
  </si>
  <si>
    <t>Caterpillar Caterpillar Toddler Boys Ameri Gray Heather 3T</t>
  </si>
  <si>
    <t>55M42017-99</t>
  </si>
  <si>
    <t>CATERPILLAR/KHQ INVESTMENT LLC</t>
  </si>
  <si>
    <t>194170417598</t>
  </si>
  <si>
    <t>Rare Editions Baby Girls Printed Dot Yummy K Yellow 12 months</t>
  </si>
  <si>
    <t>195861091660</t>
  </si>
  <si>
    <t>Carters Toddler Boys 4-Pc. Snug Fit Pi Trucks 4T</t>
  </si>
  <si>
    <t>192503310769</t>
  </si>
  <si>
    <t>Hanes Hanes Big Boys Ultimate X-Temp Gray, Green M</t>
  </si>
  <si>
    <t>BURXA5</t>
  </si>
  <si>
    <t>HANESBRANDS INC UW BOYS</t>
  </si>
  <si>
    <t>192503310752</t>
  </si>
  <si>
    <t>Hanes Hanes Big Boys Ultimate X-Temp Gray, Green S</t>
  </si>
  <si>
    <t>192503310783</t>
  </si>
  <si>
    <t>Hanes Hanes Big Boys Ultimate X-Temp Gray, Green XL</t>
  </si>
  <si>
    <t>192503310776</t>
  </si>
  <si>
    <t>Hanes Hanes Big Boys Ultimate X-Temp Gray, Green L</t>
  </si>
  <si>
    <t>194133530593</t>
  </si>
  <si>
    <t>Carters Carters Toddler Girl 4-Piece PinkRed 4T</t>
  </si>
  <si>
    <t>2J115710</t>
  </si>
  <si>
    <t>195861154136</t>
  </si>
  <si>
    <t>Carters Carters Baby Girls Floral Tan Print 6 months</t>
  </si>
  <si>
    <t>1N667410</t>
  </si>
  <si>
    <t>733003705770</t>
  </si>
  <si>
    <t>Epic Threads Epic Threads Toddler Girls Wat First Lilac 4T</t>
  </si>
  <si>
    <t>100133076LG</t>
  </si>
  <si>
    <t>840028941240</t>
  </si>
  <si>
    <t>earth by art eden Baby Boys 3-Pk. Mix and Match Vista Blue Multi 18 months</t>
  </si>
  <si>
    <t>840028942391</t>
  </si>
  <si>
    <t>earth by art eden Baby Boys 2-Pc. Tank Top Sho Vista Blue Multi 3 months</t>
  </si>
  <si>
    <t>6064VBM</t>
  </si>
  <si>
    <t>840028942537</t>
  </si>
  <si>
    <t>earth by art eden Baby Girls 2-Pc. Peplum Top Bay 3 months</t>
  </si>
  <si>
    <t>6069BAY</t>
  </si>
  <si>
    <t>840028942605</t>
  </si>
  <si>
    <t>earth by art eden Girls 2-Pc. Peplum Top Short Blushing Pink 3 months</t>
  </si>
  <si>
    <t>6069BUP</t>
  </si>
  <si>
    <t>840028945439</t>
  </si>
  <si>
    <t>earth by art eden Baby Boys 2-Pk. Mix and Match Deep Cobalt Multi 6 months</t>
  </si>
  <si>
    <t>2012DCM</t>
  </si>
  <si>
    <t>840028942353</t>
  </si>
  <si>
    <t>earth by art eden Baby Boys 2-Pc. Tank Top Sho Bright White Multi 12 months</t>
  </si>
  <si>
    <t>6064BWM</t>
  </si>
  <si>
    <t>194135973787</t>
  </si>
  <si>
    <t>Carters Carters Baby Boys Rashguard a Navy 3 months</t>
  </si>
  <si>
    <t>1N431010</t>
  </si>
  <si>
    <t>195861153832</t>
  </si>
  <si>
    <t>Carters Carters Baby Boys Rashguard a Blue 3 months</t>
  </si>
  <si>
    <t>1N665910</t>
  </si>
  <si>
    <t>195958247819</t>
  </si>
  <si>
    <t>Tommy Hilfiger Little Boys Signature Fleece S Bright White 7</t>
  </si>
  <si>
    <t>TBFEC14J-100</t>
  </si>
  <si>
    <t>733003918965</t>
  </si>
  <si>
    <t>First Impressions Baby Girls 4-Pack Printed Body Angel White Newborn</t>
  </si>
  <si>
    <t>100130167BG</t>
  </si>
  <si>
    <t>194257392602</t>
  </si>
  <si>
    <t>Champion Champion Big Boys Script Fleec Oxford Heather L 1416</t>
  </si>
  <si>
    <t>CHB600</t>
  </si>
  <si>
    <t>677838981421</t>
  </si>
  <si>
    <t>Jordan Jordan Big Boys23VarsityPat White Medium</t>
  </si>
  <si>
    <t>95A367G</t>
  </si>
  <si>
    <t>194753614208</t>
  </si>
  <si>
    <t>Nautica Nautica Little Girls Sunny Day Navy 5</t>
  </si>
  <si>
    <t>NSSEK14R-417</t>
  </si>
  <si>
    <t>NAUTICA GIRLS SWIM/KHQ INVESTMENT</t>
  </si>
  <si>
    <t>194513756919</t>
  </si>
  <si>
    <t>Under Armour Big Girls Graphic Twist Big Lo Planet Purple Large</t>
  </si>
  <si>
    <t>194135973480</t>
  </si>
  <si>
    <t>Carters Carters Baby Boys 2-Piece Ras Multi Blue 3 months</t>
  </si>
  <si>
    <t>1N430910</t>
  </si>
  <si>
    <t>196027073476</t>
  </si>
  <si>
    <t>The Mandalorian Big Girls The Mandalorian Coat Assorted 10</t>
  </si>
  <si>
    <t>UT127GCLMA</t>
  </si>
  <si>
    <t>652874379029</t>
  </si>
  <si>
    <t>Speechless Speechless Big Girls Swiss Dot Navy L 1214</t>
  </si>
  <si>
    <t>652874379005</t>
  </si>
  <si>
    <t>Speechless Speechless Big Girls Swiss Dot Navy S 7</t>
  </si>
  <si>
    <t>195958553798</t>
  </si>
  <si>
    <t>Tommy Hilfiger Tommy Hilfiger Big Girls Logo- Nolita Wash L 1214</t>
  </si>
  <si>
    <t>TGSFC06S-752</t>
  </si>
  <si>
    <t>195958685734</t>
  </si>
  <si>
    <t>Calvin Klein Calvin Klein Performance Big G Black S 7</t>
  </si>
  <si>
    <t>CASFA08S-001</t>
  </si>
  <si>
    <t>194134475213</t>
  </si>
  <si>
    <t>Koala Baby Baby Girls Animals Sleepwear, Crystal Rose 18 months</t>
  </si>
  <si>
    <t>KLF11175</t>
  </si>
  <si>
    <t>840028945231</t>
  </si>
  <si>
    <t>earth by art eden Baby Boys Henley One-Piece Vista Blue Multi 9 months</t>
  </si>
  <si>
    <t>3007VBM</t>
  </si>
  <si>
    <t>840028945316</t>
  </si>
  <si>
    <t>earth by art eden Baby Boys Raglan Shortie Vista Blue Multi 12 months</t>
  </si>
  <si>
    <t>3006VBM</t>
  </si>
  <si>
    <t>194257241788</t>
  </si>
  <si>
    <t>Champion Big Boys C Logo French Terry Oxford Heather Medium</t>
  </si>
  <si>
    <t>8556CB</t>
  </si>
  <si>
    <t>194133412530</t>
  </si>
  <si>
    <t>Carters Toddler Boys 2-Pc. Striped Cot Navy 7</t>
  </si>
  <si>
    <t>3H830410</t>
  </si>
  <si>
    <t>733004750571</t>
  </si>
  <si>
    <t>Epic Threads Big Girls All Over Print Velou Aqua XL 1820</t>
  </si>
  <si>
    <t>100140050GR</t>
  </si>
  <si>
    <t>766380733913</t>
  </si>
  <si>
    <t>Smiggle Smiggle Kids Hey There Pencil Mint ONE SIZE</t>
  </si>
  <si>
    <t>196027148143</t>
  </si>
  <si>
    <t>AME Toddler Boys Mandalorian T-shi Assorted 3T</t>
  </si>
  <si>
    <t>UT199ESLMA</t>
  </si>
  <si>
    <t>196027148136</t>
  </si>
  <si>
    <t>AME Toddler Boys Mandalorian T-shi Assorted 2T</t>
  </si>
  <si>
    <t>196027148150</t>
  </si>
  <si>
    <t>AME Toddler Boys Mandalorian T-shi Assorted 4T</t>
  </si>
  <si>
    <t>195958536999</t>
  </si>
  <si>
    <t>Kids Headquarters Kids Headquarters Baby Boys Sh Red 12 months</t>
  </si>
  <si>
    <t>10M72017-99</t>
  </si>
  <si>
    <t>733004723445</t>
  </si>
  <si>
    <t>First Impressions Baby Boys Shadow Patched Jeans Light Wash 0-3 months</t>
  </si>
  <si>
    <t>766380192222</t>
  </si>
  <si>
    <t>ID Ideology Big Girls Color Block Leggings Lime Peel XXL 18</t>
  </si>
  <si>
    <t>196122281288</t>
  </si>
  <si>
    <t>Koala Baby Baby Girls Top, Bodysuit and P White 3-6 months</t>
  </si>
  <si>
    <t>KLF02154</t>
  </si>
  <si>
    <t>195958653788</t>
  </si>
  <si>
    <t>Tommy Hilfiger Tommy Hilfiger Toddler Boys De Bright White 2T</t>
  </si>
  <si>
    <t>TBSFB43J-100</t>
  </si>
  <si>
    <t>196122288577</t>
  </si>
  <si>
    <t>Koala Baby Baby Girls Bodysuit and Skeggi Peach Newborn</t>
  </si>
  <si>
    <t>KLF02152</t>
  </si>
  <si>
    <t>196122288584</t>
  </si>
  <si>
    <t>Koala Baby Baby Girls Bodysuit and Skeggi Peach 0-3 months</t>
  </si>
  <si>
    <t>196122288638</t>
  </si>
  <si>
    <t>Koala Baby Baby Girls Bodysuit and Skeggi Heather 0-3 months</t>
  </si>
  <si>
    <t>KLF02153</t>
  </si>
  <si>
    <t>196122288621</t>
  </si>
  <si>
    <t>Koala Baby Baby Girls Bodysuit and Skeggi Heather Newborn</t>
  </si>
  <si>
    <t>196122288607</t>
  </si>
  <si>
    <t>Koala Baby Baby Girls Bodysuit and Skeggi Peach 6-9 months</t>
  </si>
  <si>
    <t>191655281378</t>
  </si>
  <si>
    <t>Chickpea Chickpea Baby Boys Tops and Sh Blue 0-3 months</t>
  </si>
  <si>
    <t>PE22231404</t>
  </si>
  <si>
    <t>191655283297</t>
  </si>
  <si>
    <t>Chickpea Chickpea Baby Girls Tops and S Yellow 3-6 months</t>
  </si>
  <si>
    <t>PE12231669</t>
  </si>
  <si>
    <t>191655281224</t>
  </si>
  <si>
    <t>Chickpea Chickpea Baby Boys Tops and Sh Blue 3-6 months</t>
  </si>
  <si>
    <t>PE22231653</t>
  </si>
  <si>
    <t>191159138161</t>
  </si>
  <si>
    <t>Happy Threads Baby Boys 3-Pk. Justice League Multi Color 0-3 months</t>
  </si>
  <si>
    <t>WBB664PK</t>
  </si>
  <si>
    <t>196122328884</t>
  </si>
  <si>
    <t>Koala Baby Baby Girls Rib Bodysuit, Pack Yellow 6-9 months</t>
  </si>
  <si>
    <t>KLF02266</t>
  </si>
  <si>
    <t>196122288645</t>
  </si>
  <si>
    <t>Koala Baby Baby Girls Bodysuit and Skeggi Heather 3-6 months</t>
  </si>
  <si>
    <t>766380188843</t>
  </si>
  <si>
    <t>ID Ideology Big Girls Colorblocked Twofer Pink Hustle M 1012</t>
  </si>
  <si>
    <t>100148213GR</t>
  </si>
  <si>
    <t>733001052982</t>
  </si>
  <si>
    <t>ID Ideology Big Girls Animal-Print Caged L Floral Noir XL 16</t>
  </si>
  <si>
    <t>7620207865344</t>
  </si>
  <si>
    <t>GUESS Baby Girls Glitter Print and E White 6-9 months</t>
  </si>
  <si>
    <t>A1BI02J1311</t>
  </si>
  <si>
    <t>195958701342</t>
  </si>
  <si>
    <t>Tommy Hilfiger Tommy Hilfiger Toddler Boys Sp True Red 2T</t>
  </si>
  <si>
    <t>TBSFB0BJ-611</t>
  </si>
  <si>
    <t>196258061051</t>
  </si>
  <si>
    <t>Maidenform Big Girls 3-Pack Cropped Cotto Navy Cosmic M 78</t>
  </si>
  <si>
    <t>766370718258</t>
  </si>
  <si>
    <t>First Impressions Baby Boys Discharge Splatter C Authentic Wash 12 months</t>
  </si>
  <si>
    <t>766370718272</t>
  </si>
  <si>
    <t>First Impressions Baby Boys Discharge Splatter C Authentic Wash 6-9 months</t>
  </si>
  <si>
    <t>191655274820</t>
  </si>
  <si>
    <t>Chickpea Chickpea Baby Boys Grow with M Blue 0-6 months</t>
  </si>
  <si>
    <t>HE22231099</t>
  </si>
  <si>
    <t>195958667174</t>
  </si>
  <si>
    <t>Tommy Hilfiger Tommy Hilfiger Toddler Boys Ti Navy Blazer 2T</t>
  </si>
  <si>
    <t>TBSFB76J-405</t>
  </si>
  <si>
    <t>195958796997</t>
  </si>
  <si>
    <t>Tommy Hilfiger Little Boys Stacked Tie Dye T- Regatta Blue 4</t>
  </si>
  <si>
    <t>TBSFB2AJ-496</t>
  </si>
  <si>
    <t>195958667518</t>
  </si>
  <si>
    <t>Tommy Hilfiger Tommy Hilfiger Toddler Boys Sp Bright White 2T</t>
  </si>
  <si>
    <t>195958667693</t>
  </si>
  <si>
    <t>Tommy Hilfiger Tommy Hilfiger Toddler Boys Sc Navy Blazer 2T</t>
  </si>
  <si>
    <t>TBSFB85J-405</t>
  </si>
  <si>
    <t>762120689953</t>
  </si>
  <si>
    <t>ID Ideology Toddler Little Girls Solid S Rose Shadow 3T</t>
  </si>
  <si>
    <t>194257721594</t>
  </si>
  <si>
    <t>Champion Little Girls T-shirt Capri Orange 5</t>
  </si>
  <si>
    <t>CHL137</t>
  </si>
  <si>
    <t>194257721617</t>
  </si>
  <si>
    <t>Champion Little Girls T-shirt Capri Orange 6X</t>
  </si>
  <si>
    <t>194257721600</t>
  </si>
  <si>
    <t>Champion Little Girls T-shirt Capri Orange 6</t>
  </si>
  <si>
    <t>766370083219</t>
  </si>
  <si>
    <t>Epic Threads Epic Threads Little Boys Tie D Caribe Blue 6</t>
  </si>
  <si>
    <t>195861145097</t>
  </si>
  <si>
    <t>Carters Toddler Girls Jersey Tank Top White 4T</t>
  </si>
  <si>
    <t>733004800498</t>
  </si>
  <si>
    <t>Epic Threads Toddler Girls Cable Knit Sweat Lavender Pool 3T</t>
  </si>
  <si>
    <t>191655276190</t>
  </si>
  <si>
    <t>Chickpea Chickpea Baby Boys Bodysuit, J Green 0-3 months</t>
  </si>
  <si>
    <t>HE22230942</t>
  </si>
  <si>
    <t>766380383057</t>
  </si>
  <si>
    <t>ID Ideology Big Girl Core Stretch Leggings Pink Hustl XL 16</t>
  </si>
  <si>
    <t>196122290075</t>
  </si>
  <si>
    <t>Koala Baby Baby Boys Bodysuit and Pants, Cobalt Newborn</t>
  </si>
  <si>
    <t>KLM02151</t>
  </si>
  <si>
    <t>196325206569</t>
  </si>
  <si>
    <t>Star Wars Big Boys Star Wars Way of Yoda Celadon XL</t>
  </si>
  <si>
    <t>2YSWM0644</t>
  </si>
  <si>
    <t>195861159391</t>
  </si>
  <si>
    <t>Carters Carters Baby Girls Pull-On Te Turquoise 12 months</t>
  </si>
  <si>
    <t>1N683410</t>
  </si>
  <si>
    <t>766370897601</t>
  </si>
  <si>
    <t>86694366080</t>
  </si>
  <si>
    <t>LOL Surprise Little Big Girls 6-Pk. No-Sh Asst 6-8.5</t>
  </si>
  <si>
    <t>F30007</t>
  </si>
  <si>
    <t>HIGH POINT DESIGN SOCKS GIRLS</t>
  </si>
  <si>
    <t>762120162395</t>
  </si>
  <si>
    <t>Epic Threads Little Girls Stripe Heart Pock Pink Tulip 5</t>
  </si>
  <si>
    <t>100138360LG</t>
  </si>
  <si>
    <t>766380220116</t>
  </si>
  <si>
    <t>First Impressions Toddler Boys Say Cheese Long-S Angel White 2T</t>
  </si>
  <si>
    <t>100148787TB</t>
  </si>
  <si>
    <t>766380219899</t>
  </si>
  <si>
    <t>First Impressions Toddler Boys Splatter Paint Sh Navy Nautical 3T</t>
  </si>
  <si>
    <t>100151883TB</t>
  </si>
  <si>
    <t>766360153342</t>
  </si>
  <si>
    <t>First Impressions Toddler Girls Ruffle-Back Legg Apple Blossom 2T</t>
  </si>
  <si>
    <t>766360153366</t>
  </si>
  <si>
    <t>First Impressions Toddler Girls Ruffle-Back Legg Apple Blossom 4T</t>
  </si>
  <si>
    <t>766360153380</t>
  </si>
  <si>
    <t>First Impressions Toddler Girls Ruffle-Back Legg Shell Pink 3T</t>
  </si>
  <si>
    <t>766360153359</t>
  </si>
  <si>
    <t>First Impressions Toddler Girls Ruffle-Back Legg Apple Blossom 3T</t>
  </si>
  <si>
    <t>766370875401</t>
  </si>
  <si>
    <t>First Impressions Toddler Boys Totally Rad T-Shi Lime Boost 2T</t>
  </si>
  <si>
    <t>100148747TB</t>
  </si>
  <si>
    <t>766370875432</t>
  </si>
  <si>
    <t>First Impressions Toddler Boys Snorkel Shark T-S Heather Hawaii 2T</t>
  </si>
  <si>
    <t>100148771TB</t>
  </si>
  <si>
    <t>766370875456</t>
  </si>
  <si>
    <t>First Impressions Toddler Boys Snorkel Shark T-S Heather Hawaii 4T</t>
  </si>
  <si>
    <t>766370875449</t>
  </si>
  <si>
    <t>First Impressions Toddler Boys Snorkel Shark T-S Heather Hawaii 3T</t>
  </si>
  <si>
    <t>766360133405</t>
  </si>
  <si>
    <t>First Impressions Toddler Girls Love Everyone-Pr Light Grey Hthr 4T</t>
  </si>
  <si>
    <t>100141126TG</t>
  </si>
  <si>
    <t>766380218359</t>
  </si>
  <si>
    <t>First Impressions Baby Boys Splatter-Print Short Snow Owl Hthr 6-9 months</t>
  </si>
  <si>
    <t>100151882BB</t>
  </si>
  <si>
    <t>766380218335</t>
  </si>
  <si>
    <t>First Impressions Baby Boys Splatter-Print Short Snow Owl Hthr 12 months</t>
  </si>
  <si>
    <t>733003131746</t>
  </si>
  <si>
    <t>First Impressions Baby Girl RUFFLE BACK LEGGIN Blushing Bloom 3-6 months</t>
  </si>
  <si>
    <t>100121177BG</t>
  </si>
  <si>
    <t>766370860636</t>
  </si>
  <si>
    <t>First Impressions Toddler Girls Ruffle Shoulder Hthr Dune 2T</t>
  </si>
  <si>
    <t>100150075TG</t>
  </si>
  <si>
    <t>766380214368</t>
  </si>
  <si>
    <t>First Impressions Baby Boy SAY CHEESE TEE Angel White 12 months</t>
  </si>
  <si>
    <t>766380214405</t>
  </si>
  <si>
    <t>First Impressions Baby Boy SAY CHEESE TEE Angel White 24 months</t>
  </si>
  <si>
    <t>766380214412</t>
  </si>
  <si>
    <t>First Impressions Baby Boys Go SK8 T-Shirt Snow Owl Hthr 12 months</t>
  </si>
  <si>
    <t>100151872BB</t>
  </si>
  <si>
    <t>766370873575</t>
  </si>
  <si>
    <t>First Impressions Baby Boys Solid Mesh Shorts Island Orange 6-9 months</t>
  </si>
  <si>
    <t>766370873568</t>
  </si>
  <si>
    <t>First Impressions Baby Boys Solid Mesh Shorts Island Orange 3-6 months</t>
  </si>
  <si>
    <t>766370919419</t>
  </si>
  <si>
    <t>First Impressions Baby Boys Vacation Stripe-Prin Skygaze 18 months</t>
  </si>
  <si>
    <t>766380211152</t>
  </si>
  <si>
    <t>First Impressions Baby Girls Skater Pup T-Shirt Blush Pink 6-9 months</t>
  </si>
  <si>
    <t>766370869127</t>
  </si>
  <si>
    <t>First Impressions Baby Boys Summer Graphic T-Shi Heather Hawaii 12 months</t>
  </si>
  <si>
    <t>882925787231</t>
  </si>
  <si>
    <t>Polo Ralph Lauren Little Girls Floral Empire-Wai Rugby Floral 5</t>
  </si>
  <si>
    <t>194496412468</t>
  </si>
  <si>
    <t>Nike Nike Big Boys Club Fleece Spor Carbon Heather M PLUS</t>
  </si>
  <si>
    <t>DA5116</t>
  </si>
  <si>
    <t>194496412475</t>
  </si>
  <si>
    <t>Nike Nike Big Boys Club Fleece Spor Carbon Heather L PLUS</t>
  </si>
  <si>
    <t>195861161455</t>
  </si>
  <si>
    <t>Carters Carters Baby Girls 3-Piece Ra Assorted-ST 3 months</t>
  </si>
  <si>
    <t>1N659910</t>
  </si>
  <si>
    <t>191539869869</t>
  </si>
  <si>
    <t>Bonnie Baby Baby Girls Sleeveless Mixed Pr Chambray 18 months</t>
  </si>
  <si>
    <t>R54901-PV</t>
  </si>
  <si>
    <t>195861105619</t>
  </si>
  <si>
    <t>Carters Big Girls 2-Pc. Tropical Flora Print 5</t>
  </si>
  <si>
    <t>3N709210</t>
  </si>
  <si>
    <t>194748158731</t>
  </si>
  <si>
    <t>DRAFT - Toddler Girls Peppa Pi Blue 4T</t>
  </si>
  <si>
    <t>7218262ZP</t>
  </si>
  <si>
    <t>DREAM WAVE LLC</t>
  </si>
  <si>
    <t>194748076875</t>
  </si>
  <si>
    <t>DRAFT - LOL SURPRISE SWIMSUIT Multi 78</t>
  </si>
  <si>
    <t>8116869LQ-MCY</t>
  </si>
  <si>
    <t>194133484629</t>
  </si>
  <si>
    <t>DRAFT - DEL F20 lt grey active Ltpas Gry 6</t>
  </si>
  <si>
    <t>3J285210</t>
  </si>
  <si>
    <t>640013831484</t>
  </si>
  <si>
    <t>DRAFT - Big Boys Jean Spray Fa Blue XLarge</t>
  </si>
  <si>
    <t>UB122945</t>
  </si>
  <si>
    <t>196289015931</t>
  </si>
  <si>
    <t>DRAFT - Infant Girls Cocomelon Assorted 24 months</t>
  </si>
  <si>
    <t>62E6308EL</t>
  </si>
  <si>
    <t>BENTEX GROUP INC</t>
  </si>
  <si>
    <t>195861148692</t>
  </si>
  <si>
    <t>Carters Carters Baby Girls Jersey Tan Blue 6 months</t>
  </si>
  <si>
    <t>1N692510</t>
  </si>
  <si>
    <t>195861151784</t>
  </si>
  <si>
    <t>Carters Carters Baby Girls Printed Bi Pineapple 6 months</t>
  </si>
  <si>
    <t>1N703113</t>
  </si>
  <si>
    <t>195861151746</t>
  </si>
  <si>
    <t>Carters Carters Baby Girls Printed Bi Pineapple 12 months</t>
  </si>
  <si>
    <t>885031128653</t>
  </si>
  <si>
    <t>12 PIECE-ST-GBX</t>
  </si>
  <si>
    <t>ALL ITEMS: 100% COTTON; BEAR FILL: 100% POLYESTER</t>
  </si>
  <si>
    <t>5045557920079</t>
  </si>
  <si>
    <t>HONE C KG6-BRENNAN ABMABASIC</t>
  </si>
  <si>
    <t>DARKYELLOW</t>
  </si>
  <si>
    <t>100% NYLON; LINING: 100% POLYESTER; FILLING: 100% POLYESTER</t>
  </si>
  <si>
    <t>195428114825</t>
  </si>
  <si>
    <t>MINIDRESSSASHA</t>
  </si>
  <si>
    <t>KSAS22NBDAA</t>
  </si>
  <si>
    <t>POUPETTE ST BARTH/PSBC LTD</t>
  </si>
  <si>
    <t>194004378224</t>
  </si>
  <si>
    <t>Columbia Columbia Big Girls Suttle Moun Black Large</t>
  </si>
  <si>
    <t>5054916822831</t>
  </si>
  <si>
    <t>ORG KIDS INS BOOT</t>
  </si>
  <si>
    <t>JFT6075RMA</t>
  </si>
  <si>
    <t>13 M</t>
  </si>
  <si>
    <t>HUNTER BOOT USA LLC</t>
  </si>
  <si>
    <t>RUBBER UPPER, FABRIC LINING, RUBBER SOLE</t>
  </si>
  <si>
    <t>882925671578</t>
  </si>
  <si>
    <t>2 PIECE SWIM-SW-2PW</t>
  </si>
  <si>
    <t>882925112606</t>
  </si>
  <si>
    <t>882925875242</t>
  </si>
  <si>
    <t>Polo Ralph Lauren Baby Boys Big Pony Color-Block Adirondack Berry 12 months</t>
  </si>
  <si>
    <t>888491712769</t>
  </si>
  <si>
    <t>TWIST OF FATE HI NEC</t>
  </si>
  <si>
    <t>SG25212</t>
  </si>
  <si>
    <t>83% POLYESTER/17% SPANDEX</t>
  </si>
  <si>
    <t>23938881336</t>
  </si>
  <si>
    <t>JASPER TIE, JR. BASIC</t>
  </si>
  <si>
    <t>16610-257</t>
  </si>
  <si>
    <t>DARK BEIGE</t>
  </si>
  <si>
    <t>10 M</t>
  </si>
  <si>
    <t>FLORSHEIM/WEYCO GROUP</t>
  </si>
  <si>
    <t>LEATHER UPPER, SUEDETEC LINING, RUBBER SOLE</t>
  </si>
  <si>
    <t>888230539282</t>
  </si>
  <si>
    <t>ZANE/B SKINNY</t>
  </si>
  <si>
    <t>DL1961 PREMIUM DENIM INC</t>
  </si>
  <si>
    <t>58% COTTON/28% TENCELÂ®/13% POLYESTER/1% LYCRAÂ®</t>
  </si>
  <si>
    <t>882925200044</t>
  </si>
  <si>
    <t>LSCN-ST-PNS</t>
  </si>
  <si>
    <t>TOP &amp; PANTS: COTTON, POLYESTER</t>
  </si>
  <si>
    <t>194953490060</t>
  </si>
  <si>
    <t>Nike Nike Sportswear Big Boys 2 Pie Smoke Gray, Light Smoke Gray, XLarge</t>
  </si>
  <si>
    <t>637467312102</t>
  </si>
  <si>
    <t>MINI WIDE</t>
  </si>
  <si>
    <t>8 M</t>
  </si>
  <si>
    <t>MINI MELISSA/GRENDENE GLOBAL BRANDS</t>
  </si>
  <si>
    <t>MADE IN BRAZIL</t>
  </si>
  <si>
    <t>MELFLEX PVC, METAL &amp; VELCROÂ® UPPER</t>
  </si>
  <si>
    <t>888230552601</t>
  </si>
  <si>
    <t>BRADY/TB SLIM</t>
  </si>
  <si>
    <t>99% COTTON/1% LYCRAÂ® SPANDEX</t>
  </si>
  <si>
    <t>882925923943</t>
  </si>
  <si>
    <t>LSSTRIPEHZ-SV-PLO</t>
  </si>
  <si>
    <t>882925839404</t>
  </si>
  <si>
    <t>Polo Ralph Lauren Little and Toddler Boys Sulliv Dell White 3T</t>
  </si>
  <si>
    <t>888491653956</t>
  </si>
  <si>
    <t>TWINKLE REV TRI SET</t>
  </si>
  <si>
    <t>SG80211</t>
  </si>
  <si>
    <t>83% POLYESTER/17% SPANDEX; LINING 88% POLYESTER/12% SPANDEX</t>
  </si>
  <si>
    <t>196258160341</t>
  </si>
  <si>
    <t>DIP DYE BLUES POLO S</t>
  </si>
  <si>
    <t>RNS1541</t>
  </si>
  <si>
    <t>887004985188</t>
  </si>
  <si>
    <t>CLASSIC GINGHAM WHALE BASIC</t>
  </si>
  <si>
    <t>3W1098</t>
  </si>
  <si>
    <t>VINEYARD VINES</t>
  </si>
  <si>
    <t>MADE IN HONG KONG</t>
  </si>
  <si>
    <t>882925889836</t>
  </si>
  <si>
    <t>PO SHORT M4-SR-ATL</t>
  </si>
  <si>
    <t>190930394833</t>
  </si>
  <si>
    <t>STEFFANY</t>
  </si>
  <si>
    <t>J00211410AB</t>
  </si>
  <si>
    <t>SOVEREIGN CODE/SUBSTANCE OVER-CONS</t>
  </si>
  <si>
    <t>882925088116</t>
  </si>
  <si>
    <t>Polo Ralph Lauren Baby Girls Color-Blocked Pique Adirondack Rose 6 months</t>
  </si>
  <si>
    <t>882925813138</t>
  </si>
  <si>
    <t>Polo Ralph Lauren Polo Ralph Lauren Big Boys Mes White M 1012</t>
  </si>
  <si>
    <t>882925813145</t>
  </si>
  <si>
    <t>Polo Ralph Lauren Polo Ralph Lauren Big Boys Mes White S 8</t>
  </si>
  <si>
    <t>810078604532</t>
  </si>
  <si>
    <t>RIBED HOODY</t>
  </si>
  <si>
    <t>B407X</t>
  </si>
  <si>
    <t>VINTAGE HAVANA/MAJ INC</t>
  </si>
  <si>
    <t>55% COTTON/45% POLYESTER</t>
  </si>
  <si>
    <t>882925888266</t>
  </si>
  <si>
    <t>SSCN-KN-TSH</t>
  </si>
  <si>
    <t>882925088437</t>
  </si>
  <si>
    <t>Polo Ralph Lauren Baby Girls Logo Jersey Dress a Lake Blue 12 months</t>
  </si>
  <si>
    <t>882925653260</t>
  </si>
  <si>
    <t>SS KC-KN-PSH</t>
  </si>
  <si>
    <t>92% RECYCLED POLYESTER/8% ELASTANE</t>
  </si>
  <si>
    <t>885031097980</t>
  </si>
  <si>
    <t>SSCNM1-KN-TSH</t>
  </si>
  <si>
    <t>885031098017</t>
  </si>
  <si>
    <t>882925088468</t>
  </si>
  <si>
    <t>Polo Ralph Lauren Baby Girls Logo Jersey Dress a Lake Blue 3 months</t>
  </si>
  <si>
    <t>194948132531</t>
  </si>
  <si>
    <t>RAD SKINNY FIT</t>
  </si>
  <si>
    <t>194170465919</t>
  </si>
  <si>
    <t>Rare Editions Baby Girls Sleeveless Mikado B Mauve 18 months</t>
  </si>
  <si>
    <t>194170369507</t>
  </si>
  <si>
    <t>Rare Editions Big Girls Tank Top, Wide Leg P Blush 7</t>
  </si>
  <si>
    <t>E491662</t>
  </si>
  <si>
    <t>882925038036</t>
  </si>
  <si>
    <t>Polo Ralph Lauren Toddler Boys Polo Bear Jersey Skipper Bearwaiian Cruise Navy 22T</t>
  </si>
  <si>
    <t>882925875839</t>
  </si>
  <si>
    <t>Polo Ralph Lauren Baby Boys Big Pony Jersey Shor White 9 months</t>
  </si>
  <si>
    <t>882925851642</t>
  </si>
  <si>
    <t>Polo Ralph Lauren Little Boys Polo Bear Jersey T Skipper Bearwaiian Cruise Navy 5</t>
  </si>
  <si>
    <t>617846952464</t>
  </si>
  <si>
    <t>Levis Big Girls High Rise Straight J Blue 14</t>
  </si>
  <si>
    <t>410237F</t>
  </si>
  <si>
    <t>COTTON/POLYESTER/VISCOSE/ELASTANE</t>
  </si>
  <si>
    <t>194170370534</t>
  </si>
  <si>
    <t>Rare Editions Little Girls Denim Vest, Tank Yellow 5</t>
  </si>
  <si>
    <t>E391672</t>
  </si>
  <si>
    <t>194170370558</t>
  </si>
  <si>
    <t>Rare Editions Little Girls Denim Vest, Tank Yellow 6X</t>
  </si>
  <si>
    <t>745644762036</t>
  </si>
  <si>
    <t>BLOOMS BUBBLE SET</t>
  </si>
  <si>
    <t>LLD11835N</t>
  </si>
  <si>
    <t>194931291160</t>
  </si>
  <si>
    <t>Tommy Hilfiger Big Boys Stretch Multi Dot Pri White 12</t>
  </si>
  <si>
    <t>TBSFB98F-100</t>
  </si>
  <si>
    <t>TOMMY HILFIGER DRESS WEAR/F &amp; T APP</t>
  </si>
  <si>
    <t>742728718583</t>
  </si>
  <si>
    <t>Nike Nike Toddler Boys Sweatshirt a Deep Royal Blue 2T</t>
  </si>
  <si>
    <t>76H993G</t>
  </si>
  <si>
    <t>742728734972</t>
  </si>
  <si>
    <t>Nike Nike Little Boys Pullover Hood Light Smoke Gray 6</t>
  </si>
  <si>
    <t>86I118G</t>
  </si>
  <si>
    <t>194870755181</t>
  </si>
  <si>
    <t>adidas Toddler Boys Short Sleeve Grap White With Blue 3T</t>
  </si>
  <si>
    <t>AG6366C</t>
  </si>
  <si>
    <t>887685992994</t>
  </si>
  <si>
    <t>Polo Ralph Lauren Little Girls Logo Jersey T-shi White 6X</t>
  </si>
  <si>
    <t>194870761168</t>
  </si>
  <si>
    <t>adidas Baby Girls 2 Piece Printed Top Clear Pink Heather 24 months</t>
  </si>
  <si>
    <t>AG4573N</t>
  </si>
  <si>
    <t>825663386663</t>
  </si>
  <si>
    <t>Nike 3BRAND by Russell Wilson 3Brand by Russell Wilson Big B Obsidian Large</t>
  </si>
  <si>
    <t>9Q0201G</t>
  </si>
  <si>
    <t>194948116616</t>
  </si>
  <si>
    <t>PULL ON PANTS</t>
  </si>
  <si>
    <t>B831KB811</t>
  </si>
  <si>
    <t>BCBG/5 STAR DBA MECCA</t>
  </si>
  <si>
    <t>MADE IN BANGLADESH</t>
  </si>
  <si>
    <t>69% RAYON/26% NYLON/5% SPANDEX</t>
  </si>
  <si>
    <t>733003909413</t>
  </si>
  <si>
    <t>First Impressions Baby Boys Colorblocked Snowsui Red Pop 24 months</t>
  </si>
  <si>
    <t>100129391BB</t>
  </si>
  <si>
    <t>807421572983</t>
  </si>
  <si>
    <t>Nike Nike Toddler Boys Block Dri-Fi Black 2T</t>
  </si>
  <si>
    <t>627736212981</t>
  </si>
  <si>
    <t>MATTE BASIC</t>
  </si>
  <si>
    <t>TIEKTT3E0001</t>
  </si>
  <si>
    <t>SILK</t>
  </si>
  <si>
    <t>194170469122</t>
  </si>
  <si>
    <t>Rare Editions Baby Girls Dot Printed Raglan Gray 3-6M</t>
  </si>
  <si>
    <t>F810272</t>
  </si>
  <si>
    <t>194170501686</t>
  </si>
  <si>
    <t>Rare Editions Baby Girls Check Printed Woven Black 6-9M</t>
  </si>
  <si>
    <t>194170501679</t>
  </si>
  <si>
    <t>Rare Editions Baby Girls Check Printed Woven Black 3-6M</t>
  </si>
  <si>
    <t>810099132090</t>
  </si>
  <si>
    <t>JOGGER SWEATPANTS</t>
  </si>
  <si>
    <t>B543SANT</t>
  </si>
  <si>
    <t>628735797127</t>
  </si>
  <si>
    <t>SOLID AQUA</t>
  </si>
  <si>
    <t>TIEKTT3E0312</t>
  </si>
  <si>
    <t>100% SILK</t>
  </si>
  <si>
    <t>194170408244</t>
  </si>
  <si>
    <t>Rare Editions Big Girls Knit Top and Challis Black 16</t>
  </si>
  <si>
    <t>194170412494</t>
  </si>
  <si>
    <t>Rare Editions Big Girls Solid Knit Top and D Navy 16</t>
  </si>
  <si>
    <t>S414872</t>
  </si>
  <si>
    <t>742728613567</t>
  </si>
  <si>
    <t>Nike Baby Boys 2-Pc. Sportswear Tos Blue Void 12 months</t>
  </si>
  <si>
    <t>66H749G</t>
  </si>
  <si>
    <t>194257609861</t>
  </si>
  <si>
    <t>Champion Big Boys Colorblocked Logo Hoo Concrete Navy, Bozetto Blue XL 1820</t>
  </si>
  <si>
    <t>CHB392</t>
  </si>
  <si>
    <t>195958626843</t>
  </si>
  <si>
    <t>Tommy Hilfiger Tommy Hilfiger Toddler Girls F Gray 3T</t>
  </si>
  <si>
    <t>61M12020-99</t>
  </si>
  <si>
    <t>195958150515</t>
  </si>
  <si>
    <t>Calvin Klein Calvin Klein Performance Big G Gray M 810</t>
  </si>
  <si>
    <t>CAFEB02S-022</t>
  </si>
  <si>
    <t>766390156160</t>
  </si>
  <si>
    <t>First Impressions Baby Boys 3-Pc. Plaid Shirt, V Deep Black 6-9 months</t>
  </si>
  <si>
    <t>196325161660</t>
  </si>
  <si>
    <t>Disney Little Girls Minnie Mouse Bike Multi 6</t>
  </si>
  <si>
    <t>194607046957</t>
  </si>
  <si>
    <t>ARIEL KIDS</t>
  </si>
  <si>
    <t>F21150SU</t>
  </si>
  <si>
    <t>APPARIS/MMADB LLC</t>
  </si>
  <si>
    <t>SHELL &amp; LINING: 100% POLYESTER</t>
  </si>
  <si>
    <t>196325161509</t>
  </si>
  <si>
    <t>Disney Toddler Girls Disney Princesse Multi 2T</t>
  </si>
  <si>
    <t>T000075GD13891</t>
  </si>
  <si>
    <t>195958570283</t>
  </si>
  <si>
    <t>Calvin Klein Calvin Klein Baby Girls Logo T Coral 3-6 months</t>
  </si>
  <si>
    <t>3M80104-99</t>
  </si>
  <si>
    <t>195958366152</t>
  </si>
  <si>
    <t>Calvin Klein Calvin Klein Baby Boys Brushed White 12 months</t>
  </si>
  <si>
    <t>3M70056-99</t>
  </si>
  <si>
    <t>628221863077</t>
  </si>
  <si>
    <t>UNISEX JOGGER PANT KNIT</t>
  </si>
  <si>
    <t>21FMB36875J</t>
  </si>
  <si>
    <t>95% COTTON/5% ELASTANE</t>
  </si>
  <si>
    <t>766360679743</t>
  </si>
  <si>
    <t>Epic Threads Big Girls Tie Dye Shortall Tie Dye 7</t>
  </si>
  <si>
    <t>766370878976</t>
  </si>
  <si>
    <t>First Impressions Baby Girls 2-Pc. Tie Dye Set Pink Fancy 6-9 months</t>
  </si>
  <si>
    <t>195958542549</t>
  </si>
  <si>
    <t>Calvin Klein Calvin Klein Little Boys 2 Pie White 6</t>
  </si>
  <si>
    <t>3M52069-99</t>
  </si>
  <si>
    <t>195958542457</t>
  </si>
  <si>
    <t>Calvin Klein Calvin Klein Toddler Boys 2 Pi White 2T</t>
  </si>
  <si>
    <t>3M42069-99</t>
  </si>
  <si>
    <t>766370877061</t>
  </si>
  <si>
    <t>First Impressions Toddler Boys Printed Shirt S Deep Black 2T</t>
  </si>
  <si>
    <t>100146510TB</t>
  </si>
  <si>
    <t>194948211649</t>
  </si>
  <si>
    <t>THE WILD LIFE SHORT</t>
  </si>
  <si>
    <t>J612SH850</t>
  </si>
  <si>
    <t>191539908063</t>
  </si>
  <si>
    <t>Bonnie Baby Baby Girls Sleeveless Mixed Pr Navy 12 months</t>
  </si>
  <si>
    <t>194170318703</t>
  </si>
  <si>
    <t>Rare Editions Baby Girls Printed Top to Chec Navy 12 months</t>
  </si>
  <si>
    <t>E888422</t>
  </si>
  <si>
    <t>194170318727</t>
  </si>
  <si>
    <t>Rare Editions Baby Girls Printed Top to Chec Navy 24 months</t>
  </si>
  <si>
    <t>194257797889</t>
  </si>
  <si>
    <t>Champion Champion Little Boys Brush Str Oxford Heather 6</t>
  </si>
  <si>
    <t>194257797841</t>
  </si>
  <si>
    <t>Champion Champion Toddler Boys Brush St Oxford Heather 3T</t>
  </si>
  <si>
    <t>194257797834</t>
  </si>
  <si>
    <t>Champion Champion Toddler Boys Brush St Oxford Heather 2T</t>
  </si>
  <si>
    <t>195958653733</t>
  </si>
  <si>
    <t>Tommy Hilfiger Tommy Hilfiger Toddler Boys Ca Gray Heather 3T</t>
  </si>
  <si>
    <t>TBSFC08J-004</t>
  </si>
  <si>
    <t>195958631403</t>
  </si>
  <si>
    <t>Tommy Hilfiger Tommy Hilfiger Big Girls Varsi Navy Blazer XL 16</t>
  </si>
  <si>
    <t>TGSFB00S-405</t>
  </si>
  <si>
    <t>608925058542</t>
  </si>
  <si>
    <t>FAUX FUR EARMUFF VELVET</t>
  </si>
  <si>
    <t>SURELL ACCESSORIES, INC</t>
  </si>
  <si>
    <t>ACRYLIC</t>
  </si>
  <si>
    <t>195958394155</t>
  </si>
  <si>
    <t>Tommy Hilfiger Tommy Hilfiger Little Girls St Blue 5</t>
  </si>
  <si>
    <t>TGTFH07V-405</t>
  </si>
  <si>
    <t>195861325772</t>
  </si>
  <si>
    <t>Carters Carters Big Girls Long Sleeve Yellow 7</t>
  </si>
  <si>
    <t>3O033910</t>
  </si>
  <si>
    <t>766360638450</t>
  </si>
  <si>
    <t>Epic Threads Little Girls Tie Dye All Over Tie Dye 6X</t>
  </si>
  <si>
    <t>100145260LG</t>
  </si>
  <si>
    <t>192042805672</t>
  </si>
  <si>
    <t>Nautica Big Boys Noah Full-Zip Tricot Black L 1416</t>
  </si>
  <si>
    <t>NSFCM07F-001</t>
  </si>
  <si>
    <t>660168555462</t>
  </si>
  <si>
    <t>Hudson Baby Hudson Baby Boys and Girls Cot Sparkle Trees 18-24 months</t>
  </si>
  <si>
    <t>55541-24</t>
  </si>
  <si>
    <t>660168716054</t>
  </si>
  <si>
    <t>Little Treasure Little Treasure Christmas Body Santas Helper 12-18M</t>
  </si>
  <si>
    <t>194257550330</t>
  </si>
  <si>
    <t>Champion Big Boys Circle Crest Fleece H Black Scarlet M 1012</t>
  </si>
  <si>
    <t>CHB318</t>
  </si>
  <si>
    <t>194257594655</t>
  </si>
  <si>
    <t>Champion Big Boys Signature Fleece Hood Tempo Teal XL 1820</t>
  </si>
  <si>
    <t>195861289142</t>
  </si>
  <si>
    <t>Carters Carters Baby Girls Snug Fit C Pink Floral 24 months</t>
  </si>
  <si>
    <t>1O024010</t>
  </si>
  <si>
    <t>194135944008</t>
  </si>
  <si>
    <t>Carters Toddler Girls 4-Piece Fairy Lo Print 5T</t>
  </si>
  <si>
    <t>2M990010</t>
  </si>
  <si>
    <t>194135942073</t>
  </si>
  <si>
    <t>Carters Toddler Girls 4-Piece Strawber Print 5T</t>
  </si>
  <si>
    <t>194135943988</t>
  </si>
  <si>
    <t>Carters Toddler Girls 4-Piece Fairy Lo Print 3T</t>
  </si>
  <si>
    <t>194257563903</t>
  </si>
  <si>
    <t>Champion Champion Big Girls Leopard Pri Black M 1012</t>
  </si>
  <si>
    <t>CHG618</t>
  </si>
  <si>
    <t>195861376781</t>
  </si>
  <si>
    <t>Carters Carters Baby Boys Striped Sle Multicolor 3 months</t>
  </si>
  <si>
    <t>195861375241</t>
  </si>
  <si>
    <t>Carters Carters Baby Girls Quilted Sh Pink Newborn</t>
  </si>
  <si>
    <t>1N958610</t>
  </si>
  <si>
    <t>194135413177</t>
  </si>
  <si>
    <t>Carters Toddler Boys Monster Truck Cot Print 2T</t>
  </si>
  <si>
    <t>2M039210</t>
  </si>
  <si>
    <t>733004291609</t>
  </si>
  <si>
    <t>First Impressions Baby Girls 2-Pc.. Bodysuit B Cherry Red 18 months</t>
  </si>
  <si>
    <t>100126837BG</t>
  </si>
  <si>
    <t>733001199816</t>
  </si>
  <si>
    <t>First Impressions Baby Girls Heart Plush Coat Angel White 24 months</t>
  </si>
  <si>
    <t>100100154BG</t>
  </si>
  <si>
    <t>195958445857</t>
  </si>
  <si>
    <t>Tommy Hilfiger Tommy Hilfiger Big Girls Globa Pink XL 16</t>
  </si>
  <si>
    <t>TGFEC12S-652</t>
  </si>
  <si>
    <t>696114450468</t>
  </si>
  <si>
    <t>Max Olivia Little Boys T-shirt and Pantss Blue S 67</t>
  </si>
  <si>
    <t>766360145941</t>
  </si>
  <si>
    <t>First Impressions Baby Boys 2-Pk. Coveralls Art Deco Green 3-6 months</t>
  </si>
  <si>
    <t>766380724072</t>
  </si>
  <si>
    <t>First Impressions Baby Boys Girls Mixed Bodysu Angel White 0-3 months</t>
  </si>
  <si>
    <t>766380724003</t>
  </si>
  <si>
    <t>First Impressions Baby Boys Girls Mixed Bodysu Deep Black 0-3 months</t>
  </si>
  <si>
    <t>194135550605</t>
  </si>
  <si>
    <t>Carters Baby Boys 4-Pk. Multi-Color Lo Multi Stripe 9 months</t>
  </si>
  <si>
    <t>1M102110</t>
  </si>
  <si>
    <t>194135319745</t>
  </si>
  <si>
    <t>Carters Baby Boy 5-Pack Short-Sleeve B Blue Premie</t>
  </si>
  <si>
    <t>1L764610</t>
  </si>
  <si>
    <t>194135552210</t>
  </si>
  <si>
    <t>Carters Baby Boys 4-Pk. Multi-Color Lo Brown Multi 6 months</t>
  </si>
  <si>
    <t>194135319530</t>
  </si>
  <si>
    <t>Carters Baby Girl 5-Pack Multi-Pattern Pinkblue Multi 6 months</t>
  </si>
  <si>
    <t>1L956410</t>
  </si>
  <si>
    <t>194133363108</t>
  </si>
  <si>
    <t>Carters Baby Boys 4-Pk. Printed Long-S Multi 24 months</t>
  </si>
  <si>
    <t>1I720310</t>
  </si>
  <si>
    <t>766360139247</t>
  </si>
  <si>
    <t>First Impressions Baby Girls 4-Pk. Bodysuits Lilac Moon 0-3 months</t>
  </si>
  <si>
    <t>195861325154</t>
  </si>
  <si>
    <t>Carters Carters Toddler Girls Long Sl Blue 3T</t>
  </si>
  <si>
    <t>733003989521</t>
  </si>
  <si>
    <t>First Impressions Baby Girls 4-Pack Snow Globe B Angel White 12 months</t>
  </si>
  <si>
    <t>196027095270</t>
  </si>
  <si>
    <t>Tommy Hilfiger Toddler Girls Granny Gown Assorted 2T</t>
  </si>
  <si>
    <t>5D016TGLMA</t>
  </si>
  <si>
    <t>TOMMY HILFIGER/AMERICAN MARKET GIRL</t>
  </si>
  <si>
    <t>194753902107</t>
  </si>
  <si>
    <t>CLOUD CAMO AO SS</t>
  </si>
  <si>
    <t>UAFEA59J-451</t>
  </si>
  <si>
    <t>766370879546</t>
  </si>
  <si>
    <t>First Impressions Baby Girls Tiered Ruffle Flora Deep Black 3-6 months</t>
  </si>
  <si>
    <t>628221641637</t>
  </si>
  <si>
    <t>BABY PLAYSUIT KNIT</t>
  </si>
  <si>
    <t>19YM36L644</t>
  </si>
  <si>
    <t>95% ORGANICALLY GROWN COTTON/5% ELASTANE</t>
  </si>
  <si>
    <t>196122519633</t>
  </si>
  <si>
    <t>Koala Baby Koala Baby Girls Fox Printed B Blush 0-3 months</t>
  </si>
  <si>
    <t>KLF02718</t>
  </si>
  <si>
    <t>766360145712</t>
  </si>
  <si>
    <t>First Impressions Baby Boys 2-Pk. Mini Dinos Rom Yellow Light 12 months</t>
  </si>
  <si>
    <t>696114450895</t>
  </si>
  <si>
    <t>Max Olivia Little Girls T-shirt and Short Blue Large</t>
  </si>
  <si>
    <t>552958-MA</t>
  </si>
  <si>
    <t>194135322721</t>
  </si>
  <si>
    <t>Carters Baby Boys or Girls 3-Pack Frui Yellowgreen Multi 18 months</t>
  </si>
  <si>
    <t>195958485877</t>
  </si>
  <si>
    <t>Kids Headquarters Kids Headquarters Toddler Boys Green 3T</t>
  </si>
  <si>
    <t>766360650261</t>
  </si>
  <si>
    <t>ID Ideology Big Girls Shirred Hoodie Jet Ski XL 16</t>
  </si>
  <si>
    <t>100141027GR</t>
  </si>
  <si>
    <t>766370717664</t>
  </si>
  <si>
    <t>First Impressions Baby Girls 2-Pc. Splatter-Prin Authentic Wash 3-6 months</t>
  </si>
  <si>
    <t>194870738696</t>
  </si>
  <si>
    <t>adidas Little Boys Short Sleeve Glitc Medium Gray Heather 7</t>
  </si>
  <si>
    <t>AA7377</t>
  </si>
  <si>
    <t>194870744437</t>
  </si>
  <si>
    <t>adidas Little Boys AEROREADY Bos Toss Medium Gray Heather 4</t>
  </si>
  <si>
    <t>194870738689</t>
  </si>
  <si>
    <t>adidas Little Boys Short Sleeve Glitc Medium Gray Heather 6</t>
  </si>
  <si>
    <t>194870744413</t>
  </si>
  <si>
    <t>adidas Toddler Boys AEROREADY Bos Tos Medium Gray Heather 3T</t>
  </si>
  <si>
    <t>196027071922</t>
  </si>
  <si>
    <t>Disney Princess Frozen 2 Little Girls Pajama, Assorted 4</t>
  </si>
  <si>
    <t>F2373GLLMA</t>
  </si>
  <si>
    <t>194135484658</t>
  </si>
  <si>
    <t>Carters Toddler Girls Nightgowns, 2 Pi Multi 3T</t>
  </si>
  <si>
    <t>2M099610</t>
  </si>
  <si>
    <t>807421523046</t>
  </si>
  <si>
    <t>Nike Nike Toddler Boys Trophy Dri-F Black 4T</t>
  </si>
  <si>
    <t>76J062G</t>
  </si>
  <si>
    <t>192042807447</t>
  </si>
  <si>
    <t>Nautica Young Men Short Sleeve Perform White M</t>
  </si>
  <si>
    <t>NUFBB121-100</t>
  </si>
  <si>
    <t>36X37</t>
  </si>
  <si>
    <t>196122459144</t>
  </si>
  <si>
    <t>Koala Baby Koala Baby Girls Printed Short Blush Newborn</t>
  </si>
  <si>
    <t>KLF02532</t>
  </si>
  <si>
    <t>196122459090</t>
  </si>
  <si>
    <t>Koala Baby Koala Baby Girls Printed Short WhitePink Newborn</t>
  </si>
  <si>
    <t>KLF02531</t>
  </si>
  <si>
    <t>195958842236</t>
  </si>
  <si>
    <t>Tommy Hilfiger Tommy Hilfiger Big Girls Ombre Navy Blazer M 810</t>
  </si>
  <si>
    <t>195861093633</t>
  </si>
  <si>
    <t>Carters Carters Baby Boys 2-Piece T-s Green 6 months</t>
  </si>
  <si>
    <t>1N588310</t>
  </si>
  <si>
    <t>194894465233</t>
  </si>
  <si>
    <t>Columbia Columbia Big Girls Mirror Cree Nocturnal Flower S</t>
  </si>
  <si>
    <t>195861368700</t>
  </si>
  <si>
    <t>Carters Carters Baby Girls and Boys T Heather 3 months</t>
  </si>
  <si>
    <t>195861368748</t>
  </si>
  <si>
    <t>Carters Carters Baby Girls and Boys T Heather Newborn</t>
  </si>
  <si>
    <t>195861368694</t>
  </si>
  <si>
    <t>Carters Carters Baby Girls and Boys T Heather 24 months</t>
  </si>
  <si>
    <t>195861316268</t>
  </si>
  <si>
    <t>Carters Carters Baby Girls Striped Ti Print 9 months</t>
  </si>
  <si>
    <t>195861296744</t>
  </si>
  <si>
    <t>Carters Carters Baby Boys Button Fron Print 6 months</t>
  </si>
  <si>
    <t>195861368724</t>
  </si>
  <si>
    <t>Carters Carters Baby Girls and Boys T Heather 9 months</t>
  </si>
  <si>
    <t>762120691994</t>
  </si>
  <si>
    <t>ID Ideology Big Girls Sunset Strip Rash Gu Barely Pink L 14</t>
  </si>
  <si>
    <t>100140968GR</t>
  </si>
  <si>
    <t>766360656805</t>
  </si>
  <si>
    <t>Epic Threads Toddler Girls Tanks and Shorts Shell Pink 2T</t>
  </si>
  <si>
    <t>194135875814</t>
  </si>
  <si>
    <t>Carters Carters Baby Girls 3-Piece Li Blue 3 months</t>
  </si>
  <si>
    <t>1N040410</t>
  </si>
  <si>
    <t>194135876293</t>
  </si>
  <si>
    <t>Carters Carters Baby Boys 3-Piece Exp Green 24 months</t>
  </si>
  <si>
    <t>1N045910</t>
  </si>
  <si>
    <t>194135322134</t>
  </si>
  <si>
    <t>Carters Baby Boys Three-Piece Dinosaur Blue 9 months</t>
  </si>
  <si>
    <t>1L775510</t>
  </si>
  <si>
    <t>194135317062</t>
  </si>
  <si>
    <t>Carters Baby Girls 2-Pc. Floral Bodysu Pink Newborn</t>
  </si>
  <si>
    <t>1L778310</t>
  </si>
  <si>
    <t>195861161684</t>
  </si>
  <si>
    <t>Carters Toddler Girls Stripe-Print Shi Stripe 4T</t>
  </si>
  <si>
    <t>195861162728</t>
  </si>
  <si>
    <t>Carters Toddler Girls Stripe-Print Shi Floral 4T</t>
  </si>
  <si>
    <t>762120688284</t>
  </si>
  <si>
    <t>ID Ideology Big Girls Fearless Layered Sho Violet Tulle M 1012</t>
  </si>
  <si>
    <t>100140173GR</t>
  </si>
  <si>
    <t>766360435936</t>
  </si>
  <si>
    <t>ID Ideology Big Girls Hooded Mesh Shirt Tropic Blue XL 16</t>
  </si>
  <si>
    <t>807421548346</t>
  </si>
  <si>
    <t>Nike Nike Little Boys Elite T-shirt Carbon Heather 7</t>
  </si>
  <si>
    <t>86J142G</t>
  </si>
  <si>
    <t>194257598660</t>
  </si>
  <si>
    <t>Champion Little Boys All Over Print Hoo Oxford Heather 5</t>
  </si>
  <si>
    <t>CHY070</t>
  </si>
  <si>
    <t>195450188436</t>
  </si>
  <si>
    <t>Laguna Big Boys Camofied Swim Trunks Black Camo XL 1820</t>
  </si>
  <si>
    <t>LBS2101</t>
  </si>
  <si>
    <t>696114451724</t>
  </si>
  <si>
    <t>Max Olivia Baby Girls All Over Printed Pa Pink 12 months</t>
  </si>
  <si>
    <t>751403-MA</t>
  </si>
  <si>
    <t>696114452301</t>
  </si>
  <si>
    <t>Max Olivia Baby Boys All Over Printed Paj Blue 24 months</t>
  </si>
  <si>
    <t>696114452165</t>
  </si>
  <si>
    <t>Max Olivia Baby Boys All Over Printed Paj Red 12 months</t>
  </si>
  <si>
    <t>696114452318</t>
  </si>
  <si>
    <t>Max Olivia Toddler Boys All Over Printed Blue 2T</t>
  </si>
  <si>
    <t>766360657277</t>
  </si>
  <si>
    <t>Epic Threads Epic Threads Little Girls Grap Spring Daffodil 5</t>
  </si>
  <si>
    <t>762120057165</t>
  </si>
  <si>
    <t>ID Ideology Big Girls Blurred Leggings Violet Light S 78</t>
  </si>
  <si>
    <t>100136555GR</t>
  </si>
  <si>
    <t>766370717893</t>
  </si>
  <si>
    <t>First Impressions Baby Girls Rainbow Tiered Jump Authentic Wash 0-3 months</t>
  </si>
  <si>
    <t>194135863156</t>
  </si>
  <si>
    <t>Carters Carters Baby Boys 2-Piece But Car Newborn</t>
  </si>
  <si>
    <t>1M992510</t>
  </si>
  <si>
    <t>194135863026</t>
  </si>
  <si>
    <t>Carters Carters Baby Boys 2-Piece Hen Multi Newborn</t>
  </si>
  <si>
    <t>1N258910</t>
  </si>
  <si>
    <t>766360657352</t>
  </si>
  <si>
    <t>Epic Threads Toddler Girls Graphic Denim Ro Washed Indigo 2T</t>
  </si>
  <si>
    <t>733003192662</t>
  </si>
  <si>
    <t>ID Ideology Big Girls Jogger Pants Shark Fin S 78</t>
  </si>
  <si>
    <t>100121216GR</t>
  </si>
  <si>
    <t>194135974036</t>
  </si>
  <si>
    <t>Carters Big Boys Pull-on Poplin Shorts Green 8</t>
  </si>
  <si>
    <t>3N270510</t>
  </si>
  <si>
    <t>756845970182</t>
  </si>
  <si>
    <t>First Impressions 2-Pc. Floral-Print Tunic Leg Aqua Ice 3-6 months</t>
  </si>
  <si>
    <t>93348762235</t>
  </si>
  <si>
    <t>Tommy Hilfiger Baby Boys Samuel Shirt White 18M</t>
  </si>
  <si>
    <t>T174009</t>
  </si>
  <si>
    <t>492034345705</t>
  </si>
  <si>
    <t>VELVET KNOT HDBAND</t>
  </si>
  <si>
    <t>KNOT-NVHB</t>
  </si>
  <si>
    <t>GIGI/DANBAR COOL THINGS INC</t>
  </si>
  <si>
    <t>POLYESTER; LINING: POLYESTER</t>
  </si>
  <si>
    <t>840006425106</t>
  </si>
  <si>
    <t>BANDANA MASK</t>
  </si>
  <si>
    <t>KBM-1000</t>
  </si>
  <si>
    <t>KID DANGEROUS LLC</t>
  </si>
  <si>
    <t>766380188997</t>
  </si>
  <si>
    <t>ID Ideology Big Girls Colorblocked Twofer Mock Orange S 78</t>
  </si>
  <si>
    <t>194257662125</t>
  </si>
  <si>
    <t>Champion Little Girls Solid Varsity Bik Pink Candy 6X</t>
  </si>
  <si>
    <t>CHL524</t>
  </si>
  <si>
    <t>194135317659</t>
  </si>
  <si>
    <t>Carters Baby Girls 6-Pk. Washcloths Pink ONE SIZE</t>
  </si>
  <si>
    <t>1L932710</t>
  </si>
  <si>
    <t>195861101031</t>
  </si>
  <si>
    <t>Carters Baby Girls Halloween Bodysuit White 24 months</t>
  </si>
  <si>
    <t>1N733510</t>
  </si>
  <si>
    <t>195861099697</t>
  </si>
  <si>
    <t>Carters Carters Baby Boy or Baby Girl Orange 3 months</t>
  </si>
  <si>
    <t>195861099734</t>
  </si>
  <si>
    <t>Carters Carters Baby Boy or Baby Girl Orange Newborn</t>
  </si>
  <si>
    <t>762120060127</t>
  </si>
  <si>
    <t>ID Ideology Toddler Little Boys Knit Hoo DEEP BLACK 3T</t>
  </si>
  <si>
    <t>100137761LB</t>
  </si>
  <si>
    <t>194135520127</t>
  </si>
  <si>
    <t>Carters Toddler Girls Flora-Print Pull Print 2T</t>
  </si>
  <si>
    <t>2M287010</t>
  </si>
  <si>
    <t>766380221274</t>
  </si>
  <si>
    <t>Nike Nike Baby Girls Essentials, 2 Black 12 months</t>
  </si>
  <si>
    <t>16J215G</t>
  </si>
  <si>
    <t>677838392784</t>
  </si>
  <si>
    <t>Levis Levis Big Girls 710 Super Ski Blue 14</t>
  </si>
  <si>
    <t>41B951F</t>
  </si>
  <si>
    <t>193392915356</t>
  </si>
  <si>
    <t>The North Face Big Girls Printed Never Stop R Linaria Pink Youth Tropical Ca L</t>
  </si>
  <si>
    <t>NF0A7QK555J</t>
  </si>
  <si>
    <t>NORTH FACE/VF OUTDOOR/VF CORP GIRLS</t>
  </si>
  <si>
    <t>191539856340</t>
  </si>
  <si>
    <t>Bonnie Baby Baby Girls Sleeveless Floral E Multi 18 months</t>
  </si>
  <si>
    <t>R55013-PV</t>
  </si>
  <si>
    <t>807421579852</t>
  </si>
  <si>
    <t>Nike Nike Baby Girls Crossover Tuni Bright Mango 12 months</t>
  </si>
  <si>
    <t>194257619044</t>
  </si>
  <si>
    <t>Champion Little Boys Script Fleece Hood Concrete, Darker Concrete 4</t>
  </si>
  <si>
    <t>195958243910</t>
  </si>
  <si>
    <t>Tommy Hilfiger Tommy Hilfiger Big Girls Flag Red M 810</t>
  </si>
  <si>
    <t>TGHDF02S-620</t>
  </si>
  <si>
    <t>8-10 MED</t>
  </si>
  <si>
    <t>807421603090</t>
  </si>
  <si>
    <t>Nike Nike Little Girls Dri-Fit Spri Arctic Punch 5</t>
  </si>
  <si>
    <t>36J273G</t>
  </si>
  <si>
    <t>191539801005</t>
  </si>
  <si>
    <t>Bonnie Jean Toddler Girls Dress with Bodic Green 2T</t>
  </si>
  <si>
    <t>W64230-DT</t>
  </si>
  <si>
    <t>195861223351</t>
  </si>
  <si>
    <t>Carters Baby Girls Little Unicorn Hall White 18 months</t>
  </si>
  <si>
    <t>766360680039</t>
  </si>
  <si>
    <t>Epic Threads Epic Threads Big Girls Tank To Spacious Skies S 810</t>
  </si>
  <si>
    <t>100145607GR</t>
  </si>
  <si>
    <t>195958560390</t>
  </si>
  <si>
    <t>Timberland Big Boys Pull On Knit Shorts Humus M 1012</t>
  </si>
  <si>
    <t>TLSFC04F-210</t>
  </si>
  <si>
    <t>MED BROWN</t>
  </si>
  <si>
    <t>191539900357</t>
  </si>
  <si>
    <t>Bonnie Baby Baby Girls Sleeveless Tiered C Multi 18 months</t>
  </si>
  <si>
    <t>S5-10072-PV</t>
  </si>
  <si>
    <t>195958561021</t>
  </si>
  <si>
    <t>Timberland Big Boys Pull On Knit Shorts Wheat M 1012</t>
  </si>
  <si>
    <t>TLSFC04F-740</t>
  </si>
  <si>
    <t>191539900388</t>
  </si>
  <si>
    <t>Bonnie Baby Baby Girls Sleeveless Tiered C Multi 6-9 months</t>
  </si>
  <si>
    <t>766390156153</t>
  </si>
  <si>
    <t>First Impressions Baby Boys 3-Pc. Plaid Shirt, V Deep Black 3-6 months</t>
  </si>
  <si>
    <t>194501907354</t>
  </si>
  <si>
    <t>Nike Nike Big Girls Dri-Fit Sprinte Black, White Medium</t>
  </si>
  <si>
    <t>DA1019</t>
  </si>
  <si>
    <t>193654708146</t>
  </si>
  <si>
    <t>Nike Nike Big Boys Pro Short-Sleeve White, Black L 1416</t>
  </si>
  <si>
    <t>CK3760</t>
  </si>
  <si>
    <t>196027055519</t>
  </si>
  <si>
    <t>Minecraft Big Boys Minecraft Pajamas, 4 Assorted 8</t>
  </si>
  <si>
    <t>MF350BLLMA</t>
  </si>
  <si>
    <t>196325161592</t>
  </si>
  <si>
    <t>Disney Little Girls My Little Pony Bi Multi 5</t>
  </si>
  <si>
    <t>T000075GLPM0039</t>
  </si>
  <si>
    <t>195958389380</t>
  </si>
  <si>
    <t>Tommy Hilfiger Tommy Hilfiger Baby Boys Combe Navy 24 months</t>
  </si>
  <si>
    <t>61M70050-99</t>
  </si>
  <si>
    <t>193666881134</t>
  </si>
  <si>
    <t>Calvin Klein Calvin Klein Big Girls Thermal Pink Leopard XLarge</t>
  </si>
  <si>
    <t>196258080779</t>
  </si>
  <si>
    <t>Calvin Klein Big Girls Tank Top and Shorts, Butterfly Dots L</t>
  </si>
  <si>
    <t>652874408217</t>
  </si>
  <si>
    <t>Speechless Speechless Big Girls Ditsy Flo Sage, White Large</t>
  </si>
  <si>
    <t>E4743D89GD39</t>
  </si>
  <si>
    <t>194654098251</t>
  </si>
  <si>
    <t>Carters Carters Toddler Boys Casual S White 8M</t>
  </si>
  <si>
    <t>CF20G05H</t>
  </si>
  <si>
    <t>742728757018</t>
  </si>
  <si>
    <t>Nike Little Girls Luminous Leggings Arctic Punch 6</t>
  </si>
  <si>
    <t>733004723070</t>
  </si>
  <si>
    <t>First Impressions Baby Boys 2-Pc. Long-Sleeve In Lt Medium 12 months</t>
  </si>
  <si>
    <t>100135698BB</t>
  </si>
  <si>
    <t>194170244958</t>
  </si>
  <si>
    <t>Rare Editions Toddler Girls Tie Dye Ruffle J Blush 4T</t>
  </si>
  <si>
    <t>F790161</t>
  </si>
  <si>
    <t>195187391185</t>
  </si>
  <si>
    <t>New Balance Big Boys Core Fleece Pullover Gray Heather M 1012</t>
  </si>
  <si>
    <t>LAK12J82HG</t>
  </si>
  <si>
    <t>NEW BALANCE/KIDZ CONCEPTS LLC</t>
  </si>
  <si>
    <t>194170331139</t>
  </si>
  <si>
    <t>Rare Editions Baby Girls Stripe Knit Top wit Navy 18 months</t>
  </si>
  <si>
    <t>E888572</t>
  </si>
  <si>
    <t>194870475690</t>
  </si>
  <si>
    <t>adidas Big Girls Logo Read Crossover Black with Multi M 1012</t>
  </si>
  <si>
    <t>AA4928</t>
  </si>
  <si>
    <t>194257610072</t>
  </si>
  <si>
    <t>Champion Big Boys Diagonal Script Ragla Bozetto Blue, Black, White M 1012</t>
  </si>
  <si>
    <t>CHB381</t>
  </si>
  <si>
    <t>194257451439</t>
  </si>
  <si>
    <t>Champion Big Boys Fleece Hoodie Bozetto Blue-Dark Blue L 1416</t>
  </si>
  <si>
    <t>CHB316</t>
  </si>
  <si>
    <t>194257661777</t>
  </si>
  <si>
    <t>Champion Little Girls French Terry Hood Pink Candy 4</t>
  </si>
  <si>
    <t>194257661821</t>
  </si>
  <si>
    <t>Champion Little Girls French Terry Hood Pink Candy 6X</t>
  </si>
  <si>
    <t>196027094914</t>
  </si>
  <si>
    <t>Tommy Hilfiger Big Boys Pajama Set, 2 Piece Assorted M 810</t>
  </si>
  <si>
    <t>5D023BLLMA</t>
  </si>
  <si>
    <t>194654331044</t>
  </si>
  <si>
    <t>Carters Carters Toddler Girls Recycle Pink 8M</t>
  </si>
  <si>
    <t>CS21S03H</t>
  </si>
  <si>
    <t>194654330948</t>
  </si>
  <si>
    <t>Carters Carters Toddler Boys Recycled Black 7M</t>
  </si>
  <si>
    <t>CS21S01H</t>
  </si>
  <si>
    <t>52931761765</t>
  </si>
  <si>
    <t>Capezio Capezio Big Girls Long Sleeve Black Medium</t>
  </si>
  <si>
    <t>TB134C</t>
  </si>
  <si>
    <t>NYLON, SPANDEX</t>
  </si>
  <si>
    <t>733003579302</t>
  </si>
  <si>
    <t>First Impressions Baby Boys Cotton Denim Boilers Authentic Wash 0-3 months</t>
  </si>
  <si>
    <t>100126819BB</t>
  </si>
  <si>
    <t>766390157525</t>
  </si>
  <si>
    <t>First Impressions Baby Boys 2-Pc. Jogger Set Sulfur Black 6-9 months</t>
  </si>
  <si>
    <t>733003755270</t>
  </si>
  <si>
    <t>INC International Concepts Big Girls London Bow Flat Black 5M</t>
  </si>
  <si>
    <t>5 M</t>
  </si>
  <si>
    <t>MMG-INC</t>
  </si>
  <si>
    <t>196325130253</t>
  </si>
  <si>
    <t>Hello Kitty Toddler Girls Hello Kitty Dres Pink 3T</t>
  </si>
  <si>
    <t>T000105GHK1176</t>
  </si>
  <si>
    <t>766380276168</t>
  </si>
  <si>
    <t>Epic Threads Epic Threads Big Girls Culotte Island Orange S 7</t>
  </si>
  <si>
    <t>100153260GR</t>
  </si>
  <si>
    <t>195861321194</t>
  </si>
  <si>
    <t>Carters Carters Big Girls Long Sleeve Pink, Blue 7</t>
  </si>
  <si>
    <t>3O034310</t>
  </si>
  <si>
    <t>766380208244</t>
  </si>
  <si>
    <t>Epic Threads Toddler Girls Skirtall Coral Topaz 2T</t>
  </si>
  <si>
    <t>194135881112</t>
  </si>
  <si>
    <t>Carters Carters Baby Boys 2-Piece T-s Green 12 months</t>
  </si>
  <si>
    <t>1N057410</t>
  </si>
  <si>
    <t>766390062225</t>
  </si>
  <si>
    <t>Epic Threads Big Girls Stella Ribbed Polo T Playful Pink L 1214</t>
  </si>
  <si>
    <t>194753855236</t>
  </si>
  <si>
    <t>Calvin Klein Calvin Klein Baby Girls 2 Piec Oarmeal Heather 12 months</t>
  </si>
  <si>
    <t>3K02084-99</t>
  </si>
  <si>
    <t>887622599279</t>
  </si>
  <si>
    <t>Under Armour Toddler Boys Pennant 2.0 Pants Black 3T</t>
  </si>
  <si>
    <t>27F55608-01</t>
  </si>
  <si>
    <t>887622600937</t>
  </si>
  <si>
    <t>Under Armour Toddler Boys Pennant 2.0 Pants Charcoal 2T</t>
  </si>
  <si>
    <t>27F55608-06</t>
  </si>
  <si>
    <t>887622599286</t>
  </si>
  <si>
    <t>Under Armour Little Boys Pennant 2.0 Pants Black 4</t>
  </si>
  <si>
    <t>887622600951</t>
  </si>
  <si>
    <t>Under Armour Little Boys Pennant 2.0 Pants Charcoal 4</t>
  </si>
  <si>
    <t>887622600968</t>
  </si>
  <si>
    <t>Under Armour Little Boys Pennant 2.0 Pants Charcoal 5</t>
  </si>
  <si>
    <t>192500189894</t>
  </si>
  <si>
    <t>Nike Nike Sportswear Big Boys Just BlackVolt S 810</t>
  </si>
  <si>
    <t>AR5249</t>
  </si>
  <si>
    <t>887622600944</t>
  </si>
  <si>
    <t>Under Armour Toddler Boys Pennant 2.0 Pants Charcoal 3T</t>
  </si>
  <si>
    <t>807421755317</t>
  </si>
  <si>
    <t>Nike Nike Baby Girls Space Dye Romp Bright Mango 3 months</t>
  </si>
  <si>
    <t>06J218G</t>
  </si>
  <si>
    <t>194135949522</t>
  </si>
  <si>
    <t>Carters Toddler Girls 4-Piece Snug Fit Pink 4T</t>
  </si>
  <si>
    <t>2M976010</t>
  </si>
  <si>
    <t>195861085775</t>
  </si>
  <si>
    <t>Carters Toddler Girls 4-Piece Snug Fit Koala 3T</t>
  </si>
  <si>
    <t>2N712510</t>
  </si>
  <si>
    <t>194135943896</t>
  </si>
  <si>
    <t>Carters Toddler Girls 4-Piece Snug Fit Pink Dino 4T</t>
  </si>
  <si>
    <t>2M975610</t>
  </si>
  <si>
    <t>196027140970</t>
  </si>
  <si>
    <t>LOL Surprise Big Girls Lol Surprise Nightgo Assorted 8</t>
  </si>
  <si>
    <t>LZ241GDSMA</t>
  </si>
  <si>
    <t>194135410947</t>
  </si>
  <si>
    <t>Carters Baby Boys 4-Pc. Monster Truck Print 24 months</t>
  </si>
  <si>
    <t>1M039210</t>
  </si>
  <si>
    <t>195861384250</t>
  </si>
  <si>
    <t>Carters Carters Baby Boys Fleece Long Stripe 9 months</t>
  </si>
  <si>
    <t>1N958210</t>
  </si>
  <si>
    <t>195861376798</t>
  </si>
  <si>
    <t>Carters Carters Baby Boys Striped Sle Multicolor 6 months</t>
  </si>
  <si>
    <t>195861376750</t>
  </si>
  <si>
    <t>Carters Carters Baby Boys Striped Sle Multicolor 12 months</t>
  </si>
  <si>
    <t>195861373896</t>
  </si>
  <si>
    <t>Carters Carters Baby Boys Short Sleev Red 24 months</t>
  </si>
  <si>
    <t>1N959510</t>
  </si>
  <si>
    <t>195861376767</t>
  </si>
  <si>
    <t>Carters Carters Baby Boys Striped Sle Multicolor 18 months</t>
  </si>
  <si>
    <t>762120970150</t>
  </si>
  <si>
    <t>ID Ideology Big Girls Core Zip-Front Jacke Indigo Sea XL 16</t>
  </si>
  <si>
    <t>100141143GR</t>
  </si>
  <si>
    <t>196325130062</t>
  </si>
  <si>
    <t>Disney Toddler Girls Disney Princesse Pink 2T</t>
  </si>
  <si>
    <t>T000065GD13877</t>
  </si>
  <si>
    <t>195958124806</t>
  </si>
  <si>
    <t>Kids Headquarters Kids Headquarters Toddler Girl Pink and White 3T</t>
  </si>
  <si>
    <t>11L12005-99</t>
  </si>
  <si>
    <t>195861144960</t>
  </si>
  <si>
    <t>Carters Big Girls 2-Pc. One-Shoulder T Assorted 4</t>
  </si>
  <si>
    <t>3N663210</t>
  </si>
  <si>
    <t>194170013585</t>
  </si>
  <si>
    <t>Rare Editions Rare Editions Toddler Girls Li Navy 2T</t>
  </si>
  <si>
    <t>S797190</t>
  </si>
  <si>
    <t>195958492875</t>
  </si>
  <si>
    <t>195958492912</t>
  </si>
  <si>
    <t>Kids Headquarters Kids Headquarters Toddler Boys Navy 3T</t>
  </si>
  <si>
    <t>10M42004-99</t>
  </si>
  <si>
    <t>195958492905</t>
  </si>
  <si>
    <t>Kids Headquarters Kids Headquarters Toddler Boys Navy 2T</t>
  </si>
  <si>
    <t>194870748879</t>
  </si>
  <si>
    <t>adidas Big Girls Sleeveless Tie Front White M 1012</t>
  </si>
  <si>
    <t>194257610379</t>
  </si>
  <si>
    <t>Champion Big Boys Pixel Dissolve Script Oxford Heather, Black S 8</t>
  </si>
  <si>
    <t>CHB615</t>
  </si>
  <si>
    <t>696114450475</t>
  </si>
  <si>
    <t>Max Olivia Big Boys T-shirt and Pants Paj Blue M 810</t>
  </si>
  <si>
    <t>57449-MA</t>
  </si>
  <si>
    <t>194257610355</t>
  </si>
  <si>
    <t>Champion Big Boys Pixel Dissolve Script Navy, Sunshine L 1416</t>
  </si>
  <si>
    <t>766380727301</t>
  </si>
  <si>
    <t>First Impressions Baby Girls 4-Pk. Solid Heart Raspberry Pie 0-3 months</t>
  </si>
  <si>
    <t>766370765344</t>
  </si>
  <si>
    <t>Epic Threads Toddler Boys All Over Print T- Iron Gate 2T</t>
  </si>
  <si>
    <t>766380723358</t>
  </si>
  <si>
    <t>First Impressions Baby Boys Mixed Bodysuits, Pac Snow Owl Hthr 3-6 months</t>
  </si>
  <si>
    <t>766380724058</t>
  </si>
  <si>
    <t>First Impressions Baby Boys Girls Mixed Bodysu Angel White 18 months</t>
  </si>
  <si>
    <t>766380723334</t>
  </si>
  <si>
    <t>First Impressions Baby Boys Mixed Bodysuits, Pac Snow Owl Hthr Newborn</t>
  </si>
  <si>
    <t>766380723969</t>
  </si>
  <si>
    <t>First Impressions Baby Boys Girls Mixed Bodysu Deep Black 3-6 months</t>
  </si>
  <si>
    <t>886275340269</t>
  </si>
  <si>
    <t>Capezio Capezio Big Girls Racerback Br White Medium</t>
  </si>
  <si>
    <t>TB239C</t>
  </si>
  <si>
    <t>640013923240</t>
  </si>
  <si>
    <t>Univibe Big Boys Trenton Pieced Side S Black Camo XLarge</t>
  </si>
  <si>
    <t>UB2201049</t>
  </si>
  <si>
    <t>194133363160</t>
  </si>
  <si>
    <t>Carters Baby 4-Pk. Long-Sleeve Sheep C Multi 12 months</t>
  </si>
  <si>
    <t>1I720410</t>
  </si>
  <si>
    <t>825663256676</t>
  </si>
  <si>
    <t>Nike Nike Toddler Girls Retro Rewin Black 3T</t>
  </si>
  <si>
    <t>36J561G</t>
  </si>
  <si>
    <t>766370903517</t>
  </si>
  <si>
    <t>ID Ideology Big Girls Mesh Accent Zip Hood Deep Black L 14</t>
  </si>
  <si>
    <t>766370903500</t>
  </si>
  <si>
    <t>ID Ideology Big Girls Mesh Accent Zip Hood Deep Black M 1012</t>
  </si>
  <si>
    <t>766360147631</t>
  </si>
  <si>
    <t>First Impressions Baby Unisex PICNIC BUDDIES BOD Light Grey Hthr 0-3 months</t>
  </si>
  <si>
    <t>194135910744</t>
  </si>
  <si>
    <t>Carters Big Boys Tank T-shirt, Pack of Assorted 8</t>
  </si>
  <si>
    <t>3N053610</t>
  </si>
  <si>
    <t>196027134009</t>
  </si>
  <si>
    <t>Disney Princess Little Girls Disney Princess T Assorted 4</t>
  </si>
  <si>
    <t>194827051632</t>
  </si>
  <si>
    <t>adidas adidas Big Boys Mascot Number Mint Ton Small</t>
  </si>
  <si>
    <t>GU3712</t>
  </si>
  <si>
    <t>194257550804</t>
  </si>
  <si>
    <t>Champion Champion Little Boys Script Fl Black 4</t>
  </si>
  <si>
    <t>5631CB</t>
  </si>
  <si>
    <t>194257452900</t>
  </si>
  <si>
    <t>Champion Champion Little Girls Script P Pastel Gray 5</t>
  </si>
  <si>
    <t>2364CG</t>
  </si>
  <si>
    <t>194257499394</t>
  </si>
  <si>
    <t>Champion Little Boys Camo Script Signat Navy 4</t>
  </si>
  <si>
    <t>CHY605</t>
  </si>
  <si>
    <t>194257423856</t>
  </si>
  <si>
    <t>Champion Champion Little Girls Script F Black 6</t>
  </si>
  <si>
    <t>2635CG</t>
  </si>
  <si>
    <t>194257392992</t>
  </si>
  <si>
    <t>Champion Little Boys Signature Fleece J Oxford 6</t>
  </si>
  <si>
    <t>CHY600</t>
  </si>
  <si>
    <t>766370876712</t>
  </si>
  <si>
    <t>First Impressions Baby Boys 2-Pc. Tropical Shirt Deep Black 24 months</t>
  </si>
  <si>
    <t>766370876644</t>
  </si>
  <si>
    <t>First Impressions Baby Boys 2-Pc. Tropical Shirt Deep Black 12 months</t>
  </si>
  <si>
    <t>766370876705</t>
  </si>
  <si>
    <t>First Impressions Baby Boys 2-Pc. Tropical Shirt Deep Black 18 months</t>
  </si>
  <si>
    <t>696114433713</t>
  </si>
  <si>
    <t>Sleep On It Big Boys NASA Pajama Set, 2 Pi Gray 8-10</t>
  </si>
  <si>
    <t>56939GY-MA</t>
  </si>
  <si>
    <t>762120691710</t>
  </si>
  <si>
    <t>ID Ideology Big Girls Solid Bikini Violet Tulle S 78</t>
  </si>
  <si>
    <t>196122519404</t>
  </si>
  <si>
    <t>Koala Baby Koala Baby Girls Take Me Home Sage 3-6 months</t>
  </si>
  <si>
    <t>KLF02704</t>
  </si>
  <si>
    <t>196258053841</t>
  </si>
  <si>
    <t>Calvin Klein Big Girls Crop Bra Set, 2 Piec White, Heather, Empyrean S</t>
  </si>
  <si>
    <t>6131F</t>
  </si>
  <si>
    <t>CALVIN KLN BRAS/DELTA GALIL UW GRLS</t>
  </si>
  <si>
    <t>196258053827</t>
  </si>
  <si>
    <t>Calvin Klein Big Girls Crop Bra Set, 2 Piec White, Heather, Empyrean M</t>
  </si>
  <si>
    <t>195958140332</t>
  </si>
  <si>
    <t>Kids Headquarters Baby Girls 2-Pc. Kitty Tunic Pink 6-9 months</t>
  </si>
  <si>
    <t>11L82036-99</t>
  </si>
  <si>
    <t>195958548459</t>
  </si>
  <si>
    <t>Tommy Hilfiger Tommy Hilfiger Big Girls Bra, Multi S</t>
  </si>
  <si>
    <t>TSSFJ11X-405</t>
  </si>
  <si>
    <t>6-7</t>
  </si>
  <si>
    <t>TOMMY HILFIGER UW GIRLS/KHQ INVEST</t>
  </si>
  <si>
    <t>886252333109</t>
  </si>
  <si>
    <t>Baby Essentials Baby Essentials Baby Boys Turk Multi 12 months</t>
  </si>
  <si>
    <t>A D SUTTON &amp; SONS</t>
  </si>
  <si>
    <t>195958165762</t>
  </si>
  <si>
    <t>Tommy Hilfiger Tommy Hilfiger Big Girls Globa Gray S 7</t>
  </si>
  <si>
    <t>TGFEA23S-050</t>
  </si>
  <si>
    <t>696114450321</t>
  </si>
  <si>
    <t>Max Olivia Big Boys T-shirt and Shorts Pa Gray M 810</t>
  </si>
  <si>
    <t>57419-MA</t>
  </si>
  <si>
    <t>696114450352</t>
  </si>
  <si>
    <t>Max Olivia Little Boys T-shirt and Shorts Gray S 67</t>
  </si>
  <si>
    <t>194135942554</t>
  </si>
  <si>
    <t>Carters Toddler Girls Nightgown, Pack Purple Multi 3T</t>
  </si>
  <si>
    <t>195861136651</t>
  </si>
  <si>
    <t>Carters Toddler Girls 2-Pk. Nightgown Print 3T</t>
  </si>
  <si>
    <t>194257877420</t>
  </si>
  <si>
    <t>Champion Champion Big Girls Outline Scr Knockout Pink L 1416</t>
  </si>
  <si>
    <t>CHG733</t>
  </si>
  <si>
    <t>195958689299</t>
  </si>
  <si>
    <t>Timberland Big Boys Block T-shirt Cameo Rose M 1012</t>
  </si>
  <si>
    <t>TLSFB12F-680</t>
  </si>
  <si>
    <t>196258052653</t>
  </si>
  <si>
    <t>Calvin Klein Big Girls Bikini Set, 3 Piece Empyrean S</t>
  </si>
  <si>
    <t>7127F</t>
  </si>
  <si>
    <t>715418029634</t>
  </si>
  <si>
    <t>green sprouts green sprouts Toddler Girls an Pink 8M</t>
  </si>
  <si>
    <t>706301-233-64</t>
  </si>
  <si>
    <t>733004765018</t>
  </si>
  <si>
    <t>ID Ideology Big Girls Keyhole Hoodie First Blush M 1012</t>
  </si>
  <si>
    <t>100136760GR</t>
  </si>
  <si>
    <t>194870439906</t>
  </si>
  <si>
    <t>adidas Big Boys Short Sleeve Graffiti Gray Heather S 8</t>
  </si>
  <si>
    <t>AA7231</t>
  </si>
  <si>
    <t>194133458286</t>
  </si>
  <si>
    <t>Carters Toddler Girls Striped Top and Yellow 3T</t>
  </si>
  <si>
    <t>2J102810</t>
  </si>
  <si>
    <t>196027071724</t>
  </si>
  <si>
    <t>Batman Big Boys Batman Pajamas, 2 Pie Assorted 8</t>
  </si>
  <si>
    <t>BM403BLLMA</t>
  </si>
  <si>
    <t>742728722818</t>
  </si>
  <si>
    <t>Nike Nike Little Boys Graphic T-shi Black 4</t>
  </si>
  <si>
    <t>86I027G</t>
  </si>
  <si>
    <t>194135926707</t>
  </si>
  <si>
    <t>Carters Toddler Girls 2-Piece Peplum T Assorted 2T</t>
  </si>
  <si>
    <t>2N294910</t>
  </si>
  <si>
    <t>196258052899</t>
  </si>
  <si>
    <t>Calvin Klein Big Girls Bralette Set, 2 Piec Pink Logo Tie Dye, Heather Gra S</t>
  </si>
  <si>
    <t>6100F</t>
  </si>
  <si>
    <t>46094769515</t>
  </si>
  <si>
    <t>Playground Pals Little Girls 3-Pack Mini Bike Magwhblk XL 1820</t>
  </si>
  <si>
    <t>PLAYGROUND PALS/DELTA GALIL GIRLS</t>
  </si>
  <si>
    <t>46094769485</t>
  </si>
  <si>
    <t>Playground Pals Little Girls 3-Pack Mini Bike Magwhblk L 1416</t>
  </si>
  <si>
    <t>766360649449</t>
  </si>
  <si>
    <t>ID Ideology Toddler Little Girls Colorbl Hthr Grey 3T</t>
  </si>
  <si>
    <t>195861296720</t>
  </si>
  <si>
    <t>Carters Carters Baby Boys Button Fron Print 24 months</t>
  </si>
  <si>
    <t>195861368670</t>
  </si>
  <si>
    <t>Carters Carters Baby Girls and Boys T Heather 12 months</t>
  </si>
  <si>
    <t>194257660473</t>
  </si>
  <si>
    <t>Champion Big Girls French Terry Shorts Sunbeam Glowcapri Orange L 1416</t>
  </si>
  <si>
    <t>645163911888</t>
  </si>
  <si>
    <t>Levis Levis Baby Boys Short Sleeve Multi 18 months</t>
  </si>
  <si>
    <t>61A896F</t>
  </si>
  <si>
    <t>194135319134</t>
  </si>
  <si>
    <t>Carters Baby Girls 3-Pc. Floral Take-M Pink Multi 6 months</t>
  </si>
  <si>
    <t>195958390522</t>
  </si>
  <si>
    <t>Tommy Hilfiger Tommy Hilfiger Big Girls Hipst Multi M</t>
  </si>
  <si>
    <t>TSSFJ21X-405</t>
  </si>
  <si>
    <t>193666320343</t>
  </si>
  <si>
    <t>Calvin Klein Calvin Klein Big Girls Monogra White 30A</t>
  </si>
  <si>
    <t>194135862623</t>
  </si>
  <si>
    <t>Carters Carters Baby Boys Short Sleev BlueOrange 6 months</t>
  </si>
  <si>
    <t>1N042210</t>
  </si>
  <si>
    <t>195861320494</t>
  </si>
  <si>
    <t>1O030910</t>
  </si>
  <si>
    <t>195861320456</t>
  </si>
  <si>
    <t>195861317746</t>
  </si>
  <si>
    <t>Carters Carters Baby Girls Long Sleev Print Newborn</t>
  </si>
  <si>
    <t>1O031610</t>
  </si>
  <si>
    <t>195861293514</t>
  </si>
  <si>
    <t>Carters Carters Baby Boys Long Sleeve YellowCamo 9 months</t>
  </si>
  <si>
    <t>195861322139</t>
  </si>
  <si>
    <t>Carters Carters Baby Girls Pocket Lon Print 24 months</t>
  </si>
  <si>
    <t>195861293538</t>
  </si>
  <si>
    <t>Carters Carters Baby Boys Long Sleeve YellowCamo Newborn</t>
  </si>
  <si>
    <t>195861320463</t>
  </si>
  <si>
    <t>195861320500</t>
  </si>
  <si>
    <t>194257370037</t>
  </si>
  <si>
    <t>Champion Little Girls Ombre C Script White Pink 6X</t>
  </si>
  <si>
    <t>2579CG</t>
  </si>
  <si>
    <t>194135866980</t>
  </si>
  <si>
    <t>Carters Carters Baby Girls Birthday G Ivory 12 months</t>
  </si>
  <si>
    <t>1N089610</t>
  </si>
  <si>
    <t>196615314141</t>
  </si>
  <si>
    <t>Koala Baby Koala Baby Girls Overall and B Yellow Floral Newborn</t>
  </si>
  <si>
    <t>KLF02386</t>
  </si>
  <si>
    <t>696114452332</t>
  </si>
  <si>
    <t>Max Olivia Toddler Boys All Over Printed Blue 4T</t>
  </si>
  <si>
    <t>696114452202</t>
  </si>
  <si>
    <t>Max Olivia Toddler Boys All Over Printed Red 3T</t>
  </si>
  <si>
    <t>76653-MA</t>
  </si>
  <si>
    <t>733003643591</t>
  </si>
  <si>
    <t>ID Ideology Little Girl Rainbow Fleece Hoo Ghost Heather 6</t>
  </si>
  <si>
    <t>100133037LG</t>
  </si>
  <si>
    <t>IDEOLOGY GIRLS 2-6X-EDI/TOPSVILLE</t>
  </si>
  <si>
    <t>733003643621</t>
  </si>
  <si>
    <t>ID Ideology Little Girl Rainbow Fleece Hoo Ghost Heather 4T</t>
  </si>
  <si>
    <t>733003643584</t>
  </si>
  <si>
    <t>ID Ideology Little Girl Rainbow Fleece Hoo Ghost Heather 5</t>
  </si>
  <si>
    <t>194135315853</t>
  </si>
  <si>
    <t>Carters Baby Boys 3-Pc. Car Little Cha Green 24 months</t>
  </si>
  <si>
    <t>193579318499</t>
  </si>
  <si>
    <t>Tommy Hilfiger Little Big Girls 2-Pk. Flag Crystal Rose M 810</t>
  </si>
  <si>
    <t>TGFCJ07X-680</t>
  </si>
  <si>
    <t>CRYSTAL ROSE: COTTON/SPANDEX; GREY HEATHER: COTTON/VISCOSE/SPANDEX</t>
  </si>
  <si>
    <t>825663231413</t>
  </si>
  <si>
    <t>Nike Nike Toddler Girls Classic Bik University Blue 3T</t>
  </si>
  <si>
    <t>36J063G</t>
  </si>
  <si>
    <t>194870625019</t>
  </si>
  <si>
    <t>adidas adidas Little Boys Short Sleev Medium Gray Heather 4</t>
  </si>
  <si>
    <t>194257234346</t>
  </si>
  <si>
    <t>Champion Big Girls All Over Print C Scr Black M</t>
  </si>
  <si>
    <t>7574CG</t>
  </si>
  <si>
    <t>733004723438</t>
  </si>
  <si>
    <t>First Impressions Baby Boys Shadow Patched Jeans Light Wash 24 months</t>
  </si>
  <si>
    <t>100134958BB</t>
  </si>
  <si>
    <t>194135857773</t>
  </si>
  <si>
    <t>Carters Carters Baby Boys 2-Piece Con Multi 18 months</t>
  </si>
  <si>
    <t>1M992710</t>
  </si>
  <si>
    <t>194135857780</t>
  </si>
  <si>
    <t>Carters Carters Baby Boys 2-Piece Con Multi 24 months</t>
  </si>
  <si>
    <t>766360657246</t>
  </si>
  <si>
    <t>Epic Threads Epic Threads Toddler Girls Gra Shell Pink 3T</t>
  </si>
  <si>
    <t>766370878242</t>
  </si>
  <si>
    <t>First Impressions Toddler Boys Knit Gauze Button Ultra Lime 3T</t>
  </si>
  <si>
    <t>100148301TB</t>
  </si>
  <si>
    <t>756845970311</t>
  </si>
  <si>
    <t>First Impressions 2-Pc. Elephant Top Pants Set Soft White 0-3 months</t>
  </si>
  <si>
    <t>756845970342</t>
  </si>
  <si>
    <t>First Impressions 2-Pc. Elephant Top Pants Set Soft White Newborn</t>
  </si>
  <si>
    <t>195958214590</t>
  </si>
  <si>
    <t>Calvin Klein Calvin Klein Big Girls City T- White 8-10</t>
  </si>
  <si>
    <t>CKFEA12S-100</t>
  </si>
  <si>
    <t>7-16 COLLECT</t>
  </si>
  <si>
    <t>191655283402</t>
  </si>
  <si>
    <t>Chickpea Chickpea Baby Girls Tops and S Green 0-3 months</t>
  </si>
  <si>
    <t>PE12231692</t>
  </si>
  <si>
    <t>191655278309</t>
  </si>
  <si>
    <t>Chickpea Chickpea Baby Girls Sleeveless Multi Yellow 0-3 months</t>
  </si>
  <si>
    <t>PE12232109</t>
  </si>
  <si>
    <t>766360129750</t>
  </si>
  <si>
    <t>First Impressions Toddler Girls Eyelet Shirt Spring Daffodil 4T</t>
  </si>
  <si>
    <t>100140985TG</t>
  </si>
  <si>
    <t>756845995130</t>
  </si>
  <si>
    <t>First Impressions Bear-Print Cotton Footed Cover Light GreyNavy Newborn</t>
  </si>
  <si>
    <t>756845987074</t>
  </si>
  <si>
    <t>First Impressions Tulle Tutu Bodysuit, Baby Girl Ivory 0-3 months</t>
  </si>
  <si>
    <t>194135875555</t>
  </si>
  <si>
    <t>Carters Carters Baby Boys and Girls 2 Ivory 18 months</t>
  </si>
  <si>
    <t>1N039110</t>
  </si>
  <si>
    <t>194135880740</t>
  </si>
  <si>
    <t>Carters Carters Baby Boys 2-Piece St Green 3 months</t>
  </si>
  <si>
    <t>1N031710</t>
  </si>
  <si>
    <t>766360132675</t>
  </si>
  <si>
    <t>First Impressions Baby Boys Light-Wash Denim Sho Light Wash 24 months</t>
  </si>
  <si>
    <t>195958495081</t>
  </si>
  <si>
    <t>Tommy Hilfiger Little Boys Brush Logo Boxer B Red Plant S 67</t>
  </si>
  <si>
    <t>TSSFJ00K-614</t>
  </si>
  <si>
    <t>TOMMY HILFIGER UW BOYS/KHQ INVEST</t>
  </si>
  <si>
    <t>195861101369</t>
  </si>
  <si>
    <t>Carters Baby Girls 2-Pc. Crocheted Bod Pink 24 months</t>
  </si>
  <si>
    <t>195861098638</t>
  </si>
  <si>
    <t>Carters Baby Girls 2-Pc. Floral-Print Brown 3 months</t>
  </si>
  <si>
    <t>195861102373</t>
  </si>
  <si>
    <t>Carters aby Girls 2-PC. Floral-Print B Ivory 12 months</t>
  </si>
  <si>
    <t>1N600810</t>
  </si>
  <si>
    <t>195861102366</t>
  </si>
  <si>
    <t>Carters Baby Boys 2-Pc. Truck-Print Bo Stripe Newborn</t>
  </si>
  <si>
    <t>194135888197</t>
  </si>
  <si>
    <t>Carters Baby Boys Stripe Bodysuit and Navy 24 months</t>
  </si>
  <si>
    <t>1N052510</t>
  </si>
  <si>
    <t>195861376187</t>
  </si>
  <si>
    <t>Carters Carters Baby Boys Zip-Up Hood Brown 24 months</t>
  </si>
  <si>
    <t>195861368106</t>
  </si>
  <si>
    <t>Carters Carters Baby Girls Unicorn Zi Gray 6 months</t>
  </si>
  <si>
    <t>194135888678</t>
  </si>
  <si>
    <t>Carters Toddler Boys Dinosaur Bicycle Green 5T</t>
  </si>
  <si>
    <t>766360140762</t>
  </si>
  <si>
    <t>First Impressions Baby Girls 2-Pk. Wildflower Dr Bright White 6-9 months</t>
  </si>
  <si>
    <t>100141538BG</t>
  </si>
  <si>
    <t>194134903792</t>
  </si>
  <si>
    <t>Koala Baby Koala Baby Baby Boys Buffalo C Black 18-24 months</t>
  </si>
  <si>
    <t>KLM11974</t>
  </si>
  <si>
    <t>18-24 MOS</t>
  </si>
  <si>
    <t>766360140748</t>
  </si>
  <si>
    <t>First Impressions Baby Girls 2-Pk. Wildflower Dr Bright White 12 months</t>
  </si>
  <si>
    <t>194134902535</t>
  </si>
  <si>
    <t>Koala Baby Koala Baby Girls Pants, Pack o Red 18-24 months</t>
  </si>
  <si>
    <t>KLF11984</t>
  </si>
  <si>
    <t>194134903785</t>
  </si>
  <si>
    <t>Koala Baby Koala Baby Baby Boys Buffalo C Black 12-18 months</t>
  </si>
  <si>
    <t>195861161356</t>
  </si>
  <si>
    <t>Carters Toddler Girls Chambray Bubble Blue 5T</t>
  </si>
  <si>
    <t>194135327665</t>
  </si>
  <si>
    <t>Carters Baby Boys 2-Pk. Cotton Bubble Greyblack 3 months</t>
  </si>
  <si>
    <t>1L935110</t>
  </si>
  <si>
    <t>194135316843</t>
  </si>
  <si>
    <t>Carters Baby 2-Pk. Cotton Jogger-Style Greengrey 18 months</t>
  </si>
  <si>
    <t>194135327887</t>
  </si>
  <si>
    <t>Carters Baby Boys Two-Pack Pull-On Pan Navygrey 18 months</t>
  </si>
  <si>
    <t>1L931410</t>
  </si>
  <si>
    <t>194753900820</t>
  </si>
  <si>
    <t>Tommy Hilfiger Big Boys Flag Print Boxer Brie Multi S 67</t>
  </si>
  <si>
    <t>TSFEJ08K-100</t>
  </si>
  <si>
    <t>193579316877</t>
  </si>
  <si>
    <t>Tommy Hilfiger Little Big Boys 2-Pk. Solid Grey Heather S 67</t>
  </si>
  <si>
    <t>TBFCJ06K-004</t>
  </si>
  <si>
    <t>193579316860</t>
  </si>
  <si>
    <t>Tommy Hilfiger Little Big Boys 2-Pk. Solid Grey Heather M 810</t>
  </si>
  <si>
    <t>193579316891</t>
  </si>
  <si>
    <t>Tommy Hilfiger Little Big Boys 2-Pk. Solid Grey Heather XS 45</t>
  </si>
  <si>
    <t>766380220697</t>
  </si>
  <si>
    <t>First Impressions Baby Girls Ruffled Hoodie Angel White 24 months</t>
  </si>
  <si>
    <t>766380220727</t>
  </si>
  <si>
    <t>First Impressions Baby Girls Ruffled Hoodie Blush Pink 6-9 months</t>
  </si>
  <si>
    <t>766380220635</t>
  </si>
  <si>
    <t>First Impressions Baby Girls Ruffled Hoodie Angel White 12 months</t>
  </si>
  <si>
    <t>194135724358</t>
  </si>
  <si>
    <t>Carters Baby Boys 2-Pc. Striped Bodysu Multicol 6 months</t>
  </si>
  <si>
    <t>1M740210</t>
  </si>
  <si>
    <t>733004759390</t>
  </si>
  <si>
    <t>ID Ideology Big Girls Tie-Dye T-Shirt Rose Shadow XL 16</t>
  </si>
  <si>
    <t>100136748GR</t>
  </si>
  <si>
    <t>194257658821</t>
  </si>
  <si>
    <t>Champion Champion Big Boys Angled Color White and Oxford Heather XL</t>
  </si>
  <si>
    <t>191655263619</t>
  </si>
  <si>
    <t>Chickpea Chickpea Baby Girls Top, Jogge Gold Tone 3-6 months</t>
  </si>
  <si>
    <t>PE12229873</t>
  </si>
  <si>
    <t>191655263664</t>
  </si>
  <si>
    <t>Chickpea Chickpea Baby Girls Top, Jogge Multi 12 months</t>
  </si>
  <si>
    <t>PE13229871</t>
  </si>
  <si>
    <t>733003172657</t>
  </si>
  <si>
    <t>ID Ideology Big Girls Layered-Look Tie-Dye Fresh Orchid M 1012</t>
  </si>
  <si>
    <t>100121892GR</t>
  </si>
  <si>
    <t>766380221311</t>
  </si>
  <si>
    <t>First Impressions Baby Boys Splatter Paint Zip H Snow Owl Hthr 12 months</t>
  </si>
  <si>
    <t>766380221427</t>
  </si>
  <si>
    <t>First Impressions Baby Boys Splatter Paint Zip H Navy Nautical 18 months</t>
  </si>
  <si>
    <t>766380221410</t>
  </si>
  <si>
    <t>First Impressions Baby Boys Splatter Paint Zip H Navy Nautical 6-9 months</t>
  </si>
  <si>
    <t>766360446277</t>
  </si>
  <si>
    <t>ID Ideology ID Ideology Big Girls Core Pol Rose Shadow M 1012</t>
  </si>
  <si>
    <t>766360446215</t>
  </si>
  <si>
    <t>ID Ideology ID Ideology Big Girls Core Pol Indigo Sea S 78</t>
  </si>
  <si>
    <t>766360436933</t>
  </si>
  <si>
    <t>ID Ideology Big Girls Soft Geo-Print Woven Pistachio Green S 78</t>
  </si>
  <si>
    <t>100141283GR</t>
  </si>
  <si>
    <t>766360436889</t>
  </si>
  <si>
    <t>ID Ideology Big Girls Petal-Print Woven Sh Tropic Blue S 78</t>
  </si>
  <si>
    <t>100141282GR</t>
  </si>
  <si>
    <t>194257504531</t>
  </si>
  <si>
    <t>Champion Champion Big Girls Boxy T-shir White XL 1820</t>
  </si>
  <si>
    <t>CHG065</t>
  </si>
  <si>
    <t>195861100799</t>
  </si>
  <si>
    <t>Carters Baby Girls Yellow Floral-Print Yellow 24 months</t>
  </si>
  <si>
    <t>1N597910</t>
  </si>
  <si>
    <t>194257385406</t>
  </si>
  <si>
    <t>Champion Big Boys All Over Print Signat Camo Concrete Large</t>
  </si>
  <si>
    <t>CHB022</t>
  </si>
  <si>
    <t>195861099079</t>
  </si>
  <si>
    <t>Carters Baby Girls Pink Floral Jumpsui Pink 18 months</t>
  </si>
  <si>
    <t>195861100782</t>
  </si>
  <si>
    <t>Carters Baby Girls Yellow Floral-Print Yellow 18 months</t>
  </si>
  <si>
    <t>733003144944</t>
  </si>
  <si>
    <t>First Impressions Baby Boy DINO HOODIE Pirate Black 3-6 months</t>
  </si>
  <si>
    <t>100121206BB</t>
  </si>
  <si>
    <t>762120347051</t>
  </si>
  <si>
    <t>First Impressions Baby Girl SEERSUCKER SANDAL Spacious Skies 1</t>
  </si>
  <si>
    <t>762120347204</t>
  </si>
  <si>
    <t>First Impressions Baby Girl SEERSUCKER SANDAL Spacious Skies 4</t>
  </si>
  <si>
    <t>766360446321</t>
  </si>
  <si>
    <t>ID Ideology ID Ideology Big Girls Core Pol Bright White M 1012</t>
  </si>
  <si>
    <t>100141146GR</t>
  </si>
  <si>
    <t>766360446338</t>
  </si>
  <si>
    <t>ID Ideology ID Ideology Big Girls Core Pol Bright White L 14</t>
  </si>
  <si>
    <t>766360648930</t>
  </si>
  <si>
    <t>Epic Threads Epic Threads Toddler Girls All Washed Indigo 3T</t>
  </si>
  <si>
    <t>100145368LG</t>
  </si>
  <si>
    <t>766360649197</t>
  </si>
  <si>
    <t>Epic Threads Epic Threads Little Girls Chec Spring Daffodil 6X</t>
  </si>
  <si>
    <t>194257667380</t>
  </si>
  <si>
    <t>Champion Little Girls Classic Script Ti Sunbeam Glow 6</t>
  </si>
  <si>
    <t>194257619594</t>
  </si>
  <si>
    <t>Champion Big Boys Short Sleeve Signatur Blue Seaglass L 1416</t>
  </si>
  <si>
    <t>195883922959</t>
  </si>
  <si>
    <t>Star Wars Toddler Boys Grogu Short Sleev Green Tie Dye 2T</t>
  </si>
  <si>
    <t>2JSWM0544</t>
  </si>
  <si>
    <t>195883922775</t>
  </si>
  <si>
    <t>Super Mario Little Boys Mario Poses Short Heather Oatmeal 5</t>
  </si>
  <si>
    <t>2JNIN6109</t>
  </si>
  <si>
    <t>195883922782</t>
  </si>
  <si>
    <t>Super Mario Little Boys Mario Poses Short Heather Oatmeal 6</t>
  </si>
  <si>
    <t>195883922850</t>
  </si>
  <si>
    <t>Mickey Mouse Little Boys Disney Mickey Shor Red Tie Dye 6</t>
  </si>
  <si>
    <t>194257518880</t>
  </si>
  <si>
    <t>Champion Little Girls Champion Leopard White 4</t>
  </si>
  <si>
    <t>194257518903</t>
  </si>
  <si>
    <t>Champion Little Girls Champion Leopard White 6</t>
  </si>
  <si>
    <t>194257518774</t>
  </si>
  <si>
    <t>Champion Little Girls Champion Leopard Azalea Pink 6X</t>
  </si>
  <si>
    <t>CHL064</t>
  </si>
  <si>
    <t>194257518743</t>
  </si>
  <si>
    <t>Champion Little Girls Champion Leopard Azalea Pink 4</t>
  </si>
  <si>
    <t>194257518736</t>
  </si>
  <si>
    <t>Champion Toddler Girls Champion Leopard Azalea Pink 3T</t>
  </si>
  <si>
    <t>762120820042</t>
  </si>
  <si>
    <t>ID Ideology Big Boys Colorblocked Shorts Indigo Sea L</t>
  </si>
  <si>
    <t>194135872950</t>
  </si>
  <si>
    <t>Carters Carters Baby Girls Snap-Up Sl Ivory 6 months</t>
  </si>
  <si>
    <t>1N037610</t>
  </si>
  <si>
    <t>194135871014</t>
  </si>
  <si>
    <t>Carters Carters Baby Girls 2-Way Zip Yellow 9 months</t>
  </si>
  <si>
    <t>1N044610</t>
  </si>
  <si>
    <t>194135932098</t>
  </si>
  <si>
    <t>Carters Carters Baby Girls One-Piece Print 24 months</t>
  </si>
  <si>
    <t>195861127390</t>
  </si>
  <si>
    <t>Carters Baby Girls Printed Loose-Fit P Watermelon Print 24 months</t>
  </si>
  <si>
    <t>1N706810</t>
  </si>
  <si>
    <t>194135873193</t>
  </si>
  <si>
    <t>Carters Carters Baby Girls 2-Way Zip Blue 3 months</t>
  </si>
  <si>
    <t>1N043910</t>
  </si>
  <si>
    <t>194135928534</t>
  </si>
  <si>
    <t>Carters Carters Baby Boys One-Piece F Print 24 months</t>
  </si>
  <si>
    <t>1N032310</t>
  </si>
  <si>
    <t>733004800450</t>
  </si>
  <si>
    <t>Epic Threads Little Girls Cable Knit Sweate Aqua Wash 6X</t>
  </si>
  <si>
    <t>100133097LG</t>
  </si>
  <si>
    <t>762120060257</t>
  </si>
  <si>
    <t>ID Ideology Little Boys Knit Joggers DEEP BLACK 5</t>
  </si>
  <si>
    <t>766370878327</t>
  </si>
  <si>
    <t>First Impressions Baby Boys Stripe-Print Terrycl Lime Boost 18 months</t>
  </si>
  <si>
    <t>766360448356</t>
  </si>
  <si>
    <t>ID Ideology Little Girls Striped Capri Leg Barely Pink 6</t>
  </si>
  <si>
    <t>100141384LG</t>
  </si>
  <si>
    <t>766360448349</t>
  </si>
  <si>
    <t>ID Ideology Little Girls Striped Capri Leg Barely Pink 5</t>
  </si>
  <si>
    <t>766360144548</t>
  </si>
  <si>
    <t>First Impressions Baby Boys 2-Pk. Leggings Yellow Light 0-3 months</t>
  </si>
  <si>
    <t>100141495BB</t>
  </si>
  <si>
    <t>766380724560</t>
  </si>
  <si>
    <t>First Impressions Baby Boys Girls Smiley Splas Angel White 3-6 months</t>
  </si>
  <si>
    <t>766370167285</t>
  </si>
  <si>
    <t>ID Ideology Little Girls Marble-Print Shor Pistachio Green 6</t>
  </si>
  <si>
    <t>100141264LG</t>
  </si>
  <si>
    <t>640013929730</t>
  </si>
  <si>
    <t>Univibe Big Boys Steely Camo Striped C Black L 1416</t>
  </si>
  <si>
    <t>UB220455</t>
  </si>
  <si>
    <t>195861151272</t>
  </si>
  <si>
    <t>Carters Toddler Girls Printed Sleevele Print 4T</t>
  </si>
  <si>
    <t>2N679410</t>
  </si>
  <si>
    <t>194135884670</t>
  </si>
  <si>
    <t>Carters Carters Baby Girls Fruit Dres Blue Newborn</t>
  </si>
  <si>
    <t>1N070110</t>
  </si>
  <si>
    <t>194135889866</t>
  </si>
  <si>
    <t>Carters Carters Baby Girls Floral Flu Green Newborn</t>
  </si>
  <si>
    <t>1N070810</t>
  </si>
  <si>
    <t>766360446833</t>
  </si>
  <si>
    <t>ID Ideology Big Girls Geo-Print Bicycle Sh Pistachio L 14</t>
  </si>
  <si>
    <t>766360439408</t>
  </si>
  <si>
    <t>ID Ideology Toddler Little Girls Play Ha Jet Ski 2T</t>
  </si>
  <si>
    <t>766360439385</t>
  </si>
  <si>
    <t>ID Ideology Toddler Little Girls Play Ha Jet Ski 5</t>
  </si>
  <si>
    <t>766360668372</t>
  </si>
  <si>
    <t>Epic Threads Big Girls Flower All Over Prin Angel White L 1416</t>
  </si>
  <si>
    <t>766360439378</t>
  </si>
  <si>
    <t>ID Ideology Toddler Little Girls Strong Bright White 6X</t>
  </si>
  <si>
    <t>766370877603</t>
  </si>
  <si>
    <t>First Impressions Baby Boys Shirt Ultra Lime 3-6 months</t>
  </si>
  <si>
    <t>762120966894</t>
  </si>
  <si>
    <t>ID Ideology Big Girls Core Lace-Up T-Shirt Jet Ski L 14</t>
  </si>
  <si>
    <t>762120966870</t>
  </si>
  <si>
    <t>ID Ideology Big Girls Core Lace-Up T-Shirt Jet Ski S 78</t>
  </si>
  <si>
    <t>194135897908</t>
  </si>
  <si>
    <t>Carters Carters Baby Girls Romper Yellow 12 months</t>
  </si>
  <si>
    <t>766360438715</t>
  </si>
  <si>
    <t>ID Ideology Toddler Little Girls Fearles Barely Pink 4T</t>
  </si>
  <si>
    <t>100141349LG</t>
  </si>
  <si>
    <t>196258066643</t>
  </si>
  <si>
    <t>Maidenform Little Big Girls Cropped Ruc White L 1416</t>
  </si>
  <si>
    <t>766380727325</t>
  </si>
  <si>
    <t>First Impressions Baby Girls 2-Pk. Solid Heart Raspberry Pie 12 months</t>
  </si>
  <si>
    <t>766360138905</t>
  </si>
  <si>
    <t>First Impressions Baby Girls 2-Pk. Leggings, Apple Blossom 0-3 months</t>
  </si>
  <si>
    <t>100141483BG</t>
  </si>
  <si>
    <t>766360138851</t>
  </si>
  <si>
    <t>First Impressions Baby Girls 2-Pk. Leggings, Apple Blossom 12 months</t>
  </si>
  <si>
    <t>735869224976</t>
  </si>
  <si>
    <t>Champion Logo-Print T-Shirt, Little Boy White 5</t>
  </si>
  <si>
    <t>C5431R</t>
  </si>
  <si>
    <t>766360142018</t>
  </si>
  <si>
    <t>First Impressions Baby Girls 2-Pk. Leggings, Bright White 18 months</t>
  </si>
  <si>
    <t>766360142025</t>
  </si>
  <si>
    <t>First Impressions Baby Girls 2-Pk. Leggings, Bright White 24 months</t>
  </si>
  <si>
    <t>766360141981</t>
  </si>
  <si>
    <t>First Impressions Baby Girls 2-Pk. Leggings, Bright White 12 months</t>
  </si>
  <si>
    <t>766360142001</t>
  </si>
  <si>
    <t>First Impressions Baby Girls 2-Pk. Leggings, Bright White 6-9 months</t>
  </si>
  <si>
    <t>766360448813</t>
  </si>
  <si>
    <t>ID Ideology Toddler Little Girls Hibiscu Jet Ski 6X</t>
  </si>
  <si>
    <t>100141270LG</t>
  </si>
  <si>
    <t>766360448769</t>
  </si>
  <si>
    <t>ID Ideology Toddler Little Girls Hibiscu Jet Ski 5</t>
  </si>
  <si>
    <t>766370619500</t>
  </si>
  <si>
    <t>First Impressions Baby Boys Tropic Shadows Sunsu Snow Owl H 3-6 months</t>
  </si>
  <si>
    <t>100150979BB</t>
  </si>
  <si>
    <t>766360127954</t>
  </si>
  <si>
    <t>First Impressions Baby Boys Boats Romper Daybreak Blue 24 months</t>
  </si>
  <si>
    <t>100143056BB</t>
  </si>
  <si>
    <t>766360155957</t>
  </si>
  <si>
    <t>First Impressions Baby Boy Rugby Polo Romper Ski Patrol 0-3 months</t>
  </si>
  <si>
    <t>9357482518099</t>
  </si>
  <si>
    <t>COTTON ON Baby Girls Stanley Shorties White 3-6 months</t>
  </si>
  <si>
    <t>7340431-15</t>
  </si>
  <si>
    <t>196325191797</t>
  </si>
  <si>
    <t>Hybrid Big Boys Nintendo Super Mario Red Heather L 1416</t>
  </si>
  <si>
    <t>2YNIN6147</t>
  </si>
  <si>
    <t>196325191803</t>
  </si>
  <si>
    <t>Hybrid Big Boys Nintendo Super Mario Red Heather XL 1820</t>
  </si>
  <si>
    <t>766380725772</t>
  </si>
  <si>
    <t>First Impressions Baby Girls Dot-Print Sunsuit RedWinter Ivory 12 months</t>
  </si>
  <si>
    <t>766380272436</t>
  </si>
  <si>
    <t>Epic Threads Epic Threads Big Girls Aloha G Angel White S 7</t>
  </si>
  <si>
    <t>100152996GR</t>
  </si>
  <si>
    <t>766360666293</t>
  </si>
  <si>
    <t>Epic Threads Epic Threads Big Girls Rainbow Angel White L 1416</t>
  </si>
  <si>
    <t>100145139GR</t>
  </si>
  <si>
    <t>766370619654</t>
  </si>
  <si>
    <t>First Impressions Baby Boys Folded Dye-Print Sun Aquarius 24 months</t>
  </si>
  <si>
    <t>194973041402</t>
  </si>
  <si>
    <t>Disney Disney Princess Floral Short S White 2T</t>
  </si>
  <si>
    <t>TS5805GD10074</t>
  </si>
  <si>
    <t>766360156060</t>
  </si>
  <si>
    <t>First Impressions Baby Boys Walrus Sunsuit Ski Patrol 0-3 months</t>
  </si>
  <si>
    <t>766360155971</t>
  </si>
  <si>
    <t>First Impressions Baby Boys Walrus Sunsuit Ski Patrol 3-6 months</t>
  </si>
  <si>
    <t>762120959537</t>
  </si>
  <si>
    <t>ID Ideology Little Girls Lace-Up Top Violet Tulle 2T</t>
  </si>
  <si>
    <t>766370769328</t>
  </si>
  <si>
    <t>Epic Threads Little Boys All Over Print Sho Light Heather Gray 6</t>
  </si>
  <si>
    <t>100153507LB</t>
  </si>
  <si>
    <t>766370769403</t>
  </si>
  <si>
    <t>Epic Threads Toddler Boys All Over Print Sh Light Heather Gray 2T</t>
  </si>
  <si>
    <t>196325117728</t>
  </si>
  <si>
    <t>Batman Toddler Boys Batmobile Short S White 3T</t>
  </si>
  <si>
    <t>46094514290</t>
  </si>
  <si>
    <t>Playground Pals Girls Wear 2-Ways Seamless Ca White L 1012</t>
  </si>
  <si>
    <t>M2335</t>
  </si>
  <si>
    <t>46094514023</t>
  </si>
  <si>
    <t>Playground Pals Girls Wear 2-Ways Seamless Ca Black M 78</t>
  </si>
  <si>
    <t>733002462728</t>
  </si>
  <si>
    <t>First Impressions Baby Boy Basic Cardigan Navy Sea Newborn</t>
  </si>
  <si>
    <t>100016693BB</t>
  </si>
  <si>
    <t>766360669089</t>
  </si>
  <si>
    <t>Epic Threads Epic Threads Big Girls Tie Dye Washed Indigo M 1012</t>
  </si>
  <si>
    <t>194135953321</t>
  </si>
  <si>
    <t>Carters Toddler Girls Capri Leggings Blue Floral 5T</t>
  </si>
  <si>
    <t>2N124310</t>
  </si>
  <si>
    <t>756845101906</t>
  </si>
  <si>
    <t>First Impressions Ruffle Bib, Baby Girls 0-24 m Baby Pink ONE SIZE</t>
  </si>
  <si>
    <t>BIB: COTTON; DECORATION: POLYESTER</t>
  </si>
  <si>
    <t>766380219585</t>
  </si>
  <si>
    <t>First Impressions Toddler Boys Splatter Paint Jo Navy Nautical 2T</t>
  </si>
  <si>
    <t>100148833TB</t>
  </si>
  <si>
    <t>733004730863</t>
  </si>
  <si>
    <t>Epic Threads Little Boys Graphic T-shirt Dirty Sage 6</t>
  </si>
  <si>
    <t>100138394LB</t>
  </si>
  <si>
    <t>762120057257</t>
  </si>
  <si>
    <t>ID Ideology Little Girls Lace-Up Top Deep Black 2T</t>
  </si>
  <si>
    <t>766380267456</t>
  </si>
  <si>
    <t>Epic Threads Epic Threads Little Girls Rib Gossamer Green 6X</t>
  </si>
  <si>
    <t>766370446472</t>
  </si>
  <si>
    <t>Epic Threads Toddler Girls Knee Graphic Leg Blush Pink 3T</t>
  </si>
  <si>
    <t>733001178651</t>
  </si>
  <si>
    <t>First Impressions Toddler Girl T DOT VELOUR TOP Medieval Blue 2T</t>
  </si>
  <si>
    <t>100101664TG</t>
  </si>
  <si>
    <t>766370084285</t>
  </si>
  <si>
    <t>Epic Threads Epic Threads Little Boys Dinos Sparkling Blue 5</t>
  </si>
  <si>
    <t>766370084315</t>
  </si>
  <si>
    <t>Epic Threads Epic Threads Toddler Boys Dino Sparkling Blue 4T</t>
  </si>
  <si>
    <t>766370084339</t>
  </si>
  <si>
    <t>Epic Threads Epic Threads Toddler Boys Dino Sparkling Blue 3T</t>
  </si>
  <si>
    <t>766360685232</t>
  </si>
  <si>
    <t>Epic Threads Little Boys Stegosaurus Graphi Bright White 5</t>
  </si>
  <si>
    <t>766370084308</t>
  </si>
  <si>
    <t>Epic Threads Epic Threads Little Boys Dinos Sparkling Blue 7</t>
  </si>
  <si>
    <t>766360685539</t>
  </si>
  <si>
    <t>Epic Threads Little Boys Stripe Graphic T-s Blue Billow 7</t>
  </si>
  <si>
    <t>100144721LB</t>
  </si>
  <si>
    <t>766360685522</t>
  </si>
  <si>
    <t>Epic Threads Little Boys Stripe Graphic T-s Blue Billow 6</t>
  </si>
  <si>
    <t>766360685553</t>
  </si>
  <si>
    <t>Epic Threads Toddler Boys Stripe Graphic T- Blue Billow 2T</t>
  </si>
  <si>
    <t>766370084322</t>
  </si>
  <si>
    <t>Epic Threads Epic Threads Toddler Boys Dino Sparkling Blue 2T</t>
  </si>
  <si>
    <t>766360645991</t>
  </si>
  <si>
    <t>Epic Threads Epic Threads Little Girls Lady Blush Pink 6</t>
  </si>
  <si>
    <t>100145101LG</t>
  </si>
  <si>
    <t>766370868977</t>
  </si>
  <si>
    <t>First Impressions Baby Girls Shell-Print Dress Hthr Dune 3-6 months</t>
  </si>
  <si>
    <t>766370868632</t>
  </si>
  <si>
    <t>First Impressions Baby Girls Bow-Strap Knit Dres Coral Topaz 24 months</t>
  </si>
  <si>
    <t>100150199BG</t>
  </si>
  <si>
    <t>766370868595</t>
  </si>
  <si>
    <t>First Impressions Baby Girls Bow-Strap Knit Dres Coral Topaz 12 months</t>
  </si>
  <si>
    <t>762120494427</t>
  </si>
  <si>
    <t>First Impressions Baby Girls Twirl Dye-Print Dre Bright White 12 months</t>
  </si>
  <si>
    <t>766370864474</t>
  </si>
  <si>
    <t>First Impressions Toddler Girls Ruffle Trim Shor Playful Pink 3T</t>
  </si>
  <si>
    <t>733001035497</t>
  </si>
  <si>
    <t>First Impressions Baby Boy Camo Jogger Blue Nile Heather 18 months</t>
  </si>
  <si>
    <t>733001035473</t>
  </si>
  <si>
    <t>First Impressions Baby Boy Camo Jogger Blue Nile Heather 3-6 months</t>
  </si>
  <si>
    <t>733001035466</t>
  </si>
  <si>
    <t>First Impressions Baby Boy Camo Jogger Blue Nile Heather 12 months</t>
  </si>
  <si>
    <t>732999787760</t>
  </si>
  <si>
    <t>First Impressions Toddler Girls Cotton Sun Tunic Peachy Perk 2T</t>
  </si>
  <si>
    <t>100092655TG</t>
  </si>
  <si>
    <t>766360133511</t>
  </si>
  <si>
    <t>First Impressions Toddler Girls Fruit Fun Tunic Bright White 3T</t>
  </si>
  <si>
    <t>100141128TG</t>
  </si>
  <si>
    <t>733001175155</t>
  </si>
  <si>
    <t>First Impressions Baby Boys Menswear Plaid Jogge Pewter Heather 12 months</t>
  </si>
  <si>
    <t>762120497213</t>
  </si>
  <si>
    <t>First Impressions Toddler Girls Floral-Print Tun Bright White 3T</t>
  </si>
  <si>
    <t>100141106TG</t>
  </si>
  <si>
    <t>766380219844</t>
  </si>
  <si>
    <t>First Impressions Toddler Boys Doodle Shorts Snow Owl Hthr 4T</t>
  </si>
  <si>
    <t>100151882TB</t>
  </si>
  <si>
    <t>733004883682</t>
  </si>
  <si>
    <t>First Impressions Baby Boys Sleepy Cloud Bodysui Sundrop 0-3 months</t>
  </si>
  <si>
    <t>733003083243</t>
  </si>
  <si>
    <t>ID Ideology Big Girls Core Lace-Up T-Shirt Deep Black M 1012</t>
  </si>
  <si>
    <t>766370618800</t>
  </si>
  <si>
    <t>First Impressions Baby Unisex Stripe-Print Pants Vanilla Bean Ht 6-9 months</t>
  </si>
  <si>
    <t>766360135263</t>
  </si>
  <si>
    <t>First Impressions Toddler Girls Fruit Fun Capri Bright White 2T</t>
  </si>
  <si>
    <t>100141133TG</t>
  </si>
  <si>
    <t>766380720128</t>
  </si>
  <si>
    <t>First Impressions Baby Girls Bear Hugs T-Shirt Winter Ivory 24 months</t>
  </si>
  <si>
    <t>766380720098</t>
  </si>
  <si>
    <t>First Impressions Baby Girls Bear Hugs T-Shirt Winter Ivory 3-6 months</t>
  </si>
  <si>
    <t>766370866782</t>
  </si>
  <si>
    <t>First Impressions Toddler Girls Tie Dye Palm Sho Hthr Dune 2T</t>
  </si>
  <si>
    <t>100150138TG</t>
  </si>
  <si>
    <t>733003804992</t>
  </si>
  <si>
    <t>Epic Threads Little Boys Camo Basic Tee, Cr Pine Brush 6</t>
  </si>
  <si>
    <t>733003805005</t>
  </si>
  <si>
    <t>Epic Threads Little Boys Camo Basic Tee, Cr Pine Brush 7</t>
  </si>
  <si>
    <t>733003805012</t>
  </si>
  <si>
    <t>Epic Threads Toddler Boys Camo Basic Tee Pine Brush 4T</t>
  </si>
  <si>
    <t>766360135560</t>
  </si>
  <si>
    <t>First Impressions Toddler Girls Plaid Bloomers Bright White 3T</t>
  </si>
  <si>
    <t>766370870017</t>
  </si>
  <si>
    <t>First Impressions Baby Boys Palm-Print Shorts Aquarius 24 months</t>
  </si>
  <si>
    <t>191764580621</t>
  </si>
  <si>
    <t>Jem Graphic-Print T-Shirt, Toddler Heather Grey 3T</t>
  </si>
  <si>
    <t>195883641843</t>
  </si>
  <si>
    <t>Hybrid Toddler Boys Snack All Day Pla Charcoal Heather 3T</t>
  </si>
  <si>
    <t>1JBY1711</t>
  </si>
  <si>
    <t>195883641881</t>
  </si>
  <si>
    <t>Hybrid Little Boys Snack All Day Play Charcoal Heather 7</t>
  </si>
  <si>
    <t>762120120425</t>
  </si>
  <si>
    <t>First Impressions Baby Girls Cherry-Print Tunic Angel White 18 months</t>
  </si>
  <si>
    <t>100137323BG</t>
  </si>
  <si>
    <t>762120120111</t>
  </si>
  <si>
    <t>First Impressions Baby Girls Ruched Heart Tunic Sunset Flamingo 24 months</t>
  </si>
  <si>
    <t>100137316BG</t>
  </si>
  <si>
    <t>733001183952</t>
  </si>
  <si>
    <t>First Impressions Baby Girl DITSY FLORAL LEGGI Medieval Blue 12 months</t>
  </si>
  <si>
    <t>100101898BG</t>
  </si>
  <si>
    <t>762120497374</t>
  </si>
  <si>
    <t>First Impressions Baby Girls Tie-Dye Horizontal Apple Blossom 3-6 months</t>
  </si>
  <si>
    <t>100141108BG</t>
  </si>
  <si>
    <t>766360137397</t>
  </si>
  <si>
    <t>First Impressions Toddler Boys Tractor T-Shirt Slate Hthr 4T</t>
  </si>
  <si>
    <t>100141588TB</t>
  </si>
  <si>
    <t>766360134105</t>
  </si>
  <si>
    <t>First Impressions Baby Girls Sunrise Tie-Dyed Ca Spring Daffodil 18 months</t>
  </si>
  <si>
    <t>100141136BG</t>
  </si>
  <si>
    <t>766360124885</t>
  </si>
  <si>
    <t>First Impressions Baby Boys Girls Cotton Hedge Angel White 12 months</t>
  </si>
  <si>
    <t>733003927264</t>
  </si>
  <si>
    <t>First Impressions Baby Boys Handsome Penguin Cot Cherry Red 12 months</t>
  </si>
  <si>
    <t>766370875470</t>
  </si>
  <si>
    <t>First Impressions Toddler Boys Turtle T-Shirt Ultra Lime 3T</t>
  </si>
  <si>
    <t>766360137083</t>
  </si>
  <si>
    <t>First Impressions Baby Boys Colorblocked Stripe- Spacious Skies 6-9 months</t>
  </si>
  <si>
    <t>100141402BB</t>
  </si>
  <si>
    <t>766370860391</t>
  </si>
  <si>
    <t>First Impressions Toddler Girls Chambray Knot Ta Peppermintfrost 2T</t>
  </si>
  <si>
    <t>766360157937</t>
  </si>
  <si>
    <t>First Impressions Baby Girls Multi-Stars Tunic S Sodalite Blue 6-9 months</t>
  </si>
  <si>
    <t>766370860407</t>
  </si>
  <si>
    <t>First Impressions Toddler Girls Chambray Knot Ta Peppermintfrost 3T</t>
  </si>
  <si>
    <t>766360124366</t>
  </si>
  <si>
    <t>First Impressions Baby Girls Boys Gingham Bunn Cocoa Butter 0-3 months</t>
  </si>
  <si>
    <t>733003926236</t>
  </si>
  <si>
    <t>First Impressions Baby Girls Plaid-Print Legging Cherry Red 6-9 months</t>
  </si>
  <si>
    <t>100131147BG</t>
  </si>
  <si>
    <t>733003621872</t>
  </si>
  <si>
    <t>First Impressions Baby Girls Elephant Bodysuit Pale Lavender 12 months</t>
  </si>
  <si>
    <t>100129679BG</t>
  </si>
  <si>
    <t>766380215181</t>
  </si>
  <si>
    <t>First Impressions Baby Boys Colorblocked Shirt Safflower 3-6 months</t>
  </si>
  <si>
    <t>766370876118</t>
  </si>
  <si>
    <t>First Impressions Toddler Boys Snorkel Shark T-S Blue Shark 3T</t>
  </si>
  <si>
    <t>100148766TB</t>
  </si>
  <si>
    <t>733004919817</t>
  </si>
  <si>
    <t>First Impressions Baby Girls Solid Ruffle-Hem Le Angel White 18 months</t>
  </si>
  <si>
    <t>100137898BG</t>
  </si>
  <si>
    <t>766380212845</t>
  </si>
  <si>
    <t>First Impressions Baby Girl RUFFLE BACK LEGGING Blush Pink 12 months</t>
  </si>
  <si>
    <t>766360162344</t>
  </si>
  <si>
    <t>First Impressions Toddler Boys Cotton Awesome Sa Bright White 4T</t>
  </si>
  <si>
    <t>100141664TB</t>
  </si>
  <si>
    <t>46094949290</t>
  </si>
  <si>
    <t>Maidenform Little Big Girls Butterfly-P Navy L 1416</t>
  </si>
  <si>
    <t>766360124229</t>
  </si>
  <si>
    <t>First Impressions Baby Boys Girls Hedgehog Bod Angel White Newborn</t>
  </si>
  <si>
    <t>762120496513</t>
  </si>
  <si>
    <t>196553022672</t>
  </si>
  <si>
    <t>POCKET SHIRRED TEE</t>
  </si>
  <si>
    <t>CHTW302-SGARD-G</t>
  </si>
  <si>
    <t>842681164127</t>
  </si>
  <si>
    <t>KD51247</t>
  </si>
  <si>
    <t>887510245974</t>
  </si>
  <si>
    <t>FLORAL STRIPE</t>
  </si>
  <si>
    <t>CP626-01</t>
  </si>
  <si>
    <t>842681164134</t>
  </si>
  <si>
    <t>882925879806</t>
  </si>
  <si>
    <t>Polo Ralph Lauren Toddler Boys Madras Short Slee Blue, Red and Multi 3T</t>
  </si>
  <si>
    <t>885031843426</t>
  </si>
  <si>
    <t>Polo Ralph Lauren Big Boys Straight Fit Flex Abr Liberty Blue 14</t>
  </si>
  <si>
    <t>882925881748</t>
  </si>
  <si>
    <t>Polo Ralph Lauren Toddler Boys Big Pony Color-Bl Heritage Royal Multi 2T</t>
  </si>
  <si>
    <t>882925880185</t>
  </si>
  <si>
    <t>Polo Ralph Lauren Toddler Boys Color-Blocked Spa Andover Heather Multi 2T</t>
  </si>
  <si>
    <t>885031502781</t>
  </si>
  <si>
    <t>Polo Ralph Lauren Little Boys Traveler Swim Trun Newport Navy 5</t>
  </si>
  <si>
    <t>193148032405</t>
  </si>
  <si>
    <t>Nike Big Boys Dri-FIT Therma Basket BlackWhite S 810</t>
  </si>
  <si>
    <t>CJ6882</t>
  </si>
  <si>
    <t>797503089174</t>
  </si>
  <si>
    <t>13CAK7881</t>
  </si>
  <si>
    <t>66% COTTON/33% POLYESTER/1% SPANDEX</t>
  </si>
  <si>
    <t>887510246124</t>
  </si>
  <si>
    <t>SS PUFF SLEEVE</t>
  </si>
  <si>
    <t>CD565-03</t>
  </si>
  <si>
    <t>50% COTTON/50% POLYESTER; LINING: 100% COTTON</t>
  </si>
  <si>
    <t>887510246131</t>
  </si>
  <si>
    <t>810099131321</t>
  </si>
  <si>
    <t>TRICOLOR ELASTIC SHO</t>
  </si>
  <si>
    <t>KA1448</t>
  </si>
  <si>
    <t>810099131765</t>
  </si>
  <si>
    <t>SHORT W DIP HEM</t>
  </si>
  <si>
    <t>KA10161</t>
  </si>
  <si>
    <t>810071107580</t>
  </si>
  <si>
    <t>TIE DYE HOODY</t>
  </si>
  <si>
    <t>AQK2117</t>
  </si>
  <si>
    <t>AQUA/WEST BY CPW LLC</t>
  </si>
  <si>
    <t>60% VISCOSE/40% COTTON</t>
  </si>
  <si>
    <t>604192571869</t>
  </si>
  <si>
    <t>PUFF SLEEVE SMOCKED</t>
  </si>
  <si>
    <t>CGA04274S</t>
  </si>
  <si>
    <t>7-8</t>
  </si>
  <si>
    <t>810099133950</t>
  </si>
  <si>
    <t>SMOCKED RUFFLE SLEEV</t>
  </si>
  <si>
    <t>KCC972</t>
  </si>
  <si>
    <t>887510234701</t>
  </si>
  <si>
    <t>VELVET ROMPER</t>
  </si>
  <si>
    <t>CR507-01</t>
  </si>
  <si>
    <t>POLYESTER/SPANDEX</t>
  </si>
  <si>
    <t>887510234695</t>
  </si>
  <si>
    <t>810099131727</t>
  </si>
  <si>
    <t>RUFFLE SLEEVE TOP</t>
  </si>
  <si>
    <t>KA1458</t>
  </si>
  <si>
    <t>194476653324</t>
  </si>
  <si>
    <t>Quiksilver Quiksilver Big Boys Union Heat Captains Blue 27</t>
  </si>
  <si>
    <t>EQBWS03312</t>
  </si>
  <si>
    <t>27</t>
  </si>
  <si>
    <t>QUIKSILVER/BOARDRIDERS WHOLESALE</t>
  </si>
  <si>
    <t>195718003907</t>
  </si>
  <si>
    <t>Quiksilver Quiksilver Big Boys Surfsilk P Sleet 30</t>
  </si>
  <si>
    <t>EQBBS03554</t>
  </si>
  <si>
    <t>30</t>
  </si>
  <si>
    <t>195251341474</t>
  </si>
  <si>
    <t>Under Armour Under Armour Big Boys Rival Fl Marine Green Small</t>
  </si>
  <si>
    <t>5054832869095</t>
  </si>
  <si>
    <t>GREENWICH JR</t>
  </si>
  <si>
    <t>REISS LTD</t>
  </si>
  <si>
    <t>190618966413</t>
  </si>
  <si>
    <t>Polo Ralph Lauren Big Boys Big Pony Jersey T-shi Andover Heather M 1012</t>
  </si>
  <si>
    <t>190618773066</t>
  </si>
  <si>
    <t>Polo Ralph Lauren Big Boys Big Pony Jersey T-shi Andover Heather XL 1820</t>
  </si>
  <si>
    <t>77539909647</t>
  </si>
  <si>
    <t>MINISTRIPE SHORTALL</t>
  </si>
  <si>
    <t>196258158812</t>
  </si>
  <si>
    <t>TPZ SPLASH SHORT</t>
  </si>
  <si>
    <t>RKB4150</t>
  </si>
  <si>
    <t>60% COTTON/40% MODAL</t>
  </si>
  <si>
    <t>196258158829</t>
  </si>
  <si>
    <t>766390023257</t>
  </si>
  <si>
    <t>Epic Threads Big Boys Blaise Hoodie Skygaze XL 20</t>
  </si>
  <si>
    <t>100158776BO</t>
  </si>
  <si>
    <t>809115627429</t>
  </si>
  <si>
    <t>TIERED V NECK DRESS</t>
  </si>
  <si>
    <t>BS2-0151</t>
  </si>
  <si>
    <t>95% POLYESTER/5% SPANDEX; LINING: 100% POLYESTER</t>
  </si>
  <si>
    <t>887510241594</t>
  </si>
  <si>
    <t>SMOCK SKIRT SPARKLE</t>
  </si>
  <si>
    <t>CS625-01</t>
  </si>
  <si>
    <t>64% POLYESTER/25% RAYON/8% METALLIC/3% SPANDEX; LINING: 100% POLYESTER</t>
  </si>
  <si>
    <t>887510241587</t>
  </si>
  <si>
    <t>809115628334</t>
  </si>
  <si>
    <t>CAP SLV HTHR FAUX WR</t>
  </si>
  <si>
    <t>BF2-0165</t>
  </si>
  <si>
    <t>88% POLYESTER/8% RAYON/4% SPANDEX</t>
  </si>
  <si>
    <t>807421564438</t>
  </si>
  <si>
    <t>Jordan Jordan Big Boys Jumpman Band o Black Gym Red XL 1820</t>
  </si>
  <si>
    <t>95B187G</t>
  </si>
  <si>
    <t>887510251081</t>
  </si>
  <si>
    <t>RUCK TIE TANK</t>
  </si>
  <si>
    <t>CT630-01</t>
  </si>
  <si>
    <t>95% POLYESTER/5% SPANDEX</t>
  </si>
  <si>
    <t>887510251098</t>
  </si>
  <si>
    <t>887510241259</t>
  </si>
  <si>
    <t>LS TIE FONT SHIRT</t>
  </si>
  <si>
    <t>CT606-03</t>
  </si>
  <si>
    <t>842681160297</t>
  </si>
  <si>
    <t>SS RUCH SIDE DRESS</t>
  </si>
  <si>
    <t>KD2765</t>
  </si>
  <si>
    <t>887510251104</t>
  </si>
  <si>
    <t>194948321164</t>
  </si>
  <si>
    <t>BECCA JOGGER</t>
  </si>
  <si>
    <t>J832KB818</t>
  </si>
  <si>
    <t>JOES JEANS/5 STAR PREMIUM</t>
  </si>
  <si>
    <t>842681148059</t>
  </si>
  <si>
    <t>L/S TOPS</t>
  </si>
  <si>
    <t>KT4079</t>
  </si>
  <si>
    <t>194170465926</t>
  </si>
  <si>
    <t>Rare Editions Baby Girls Sleeveless Mikado B Mauve 24 months</t>
  </si>
  <si>
    <t>F898042</t>
  </si>
  <si>
    <t>194170465902</t>
  </si>
  <si>
    <t>Rare Editions Baby Girls Sleeveless Mikado B Mauve 12 months</t>
  </si>
  <si>
    <t>194170421496</t>
  </si>
  <si>
    <t>Rare Editions Baby Girls Sleeveless Basket W Taupe 18 months</t>
  </si>
  <si>
    <t>842681156375</t>
  </si>
  <si>
    <t>EYELET FLUTTER TOP</t>
  </si>
  <si>
    <t>KT2662</t>
  </si>
  <si>
    <t>810099134186</t>
  </si>
  <si>
    <t>RUSHED TANK TOP</t>
  </si>
  <si>
    <t>KCC966</t>
  </si>
  <si>
    <t>887510241662</t>
  </si>
  <si>
    <t>SMOCKED RUFFLE TANK-</t>
  </si>
  <si>
    <t>CT624-01</t>
  </si>
  <si>
    <t>882925886996</t>
  </si>
  <si>
    <t>Polo Ralph Lauren Little Boys Camo Jersey T-shir Southern Orange Montauk Camo 7</t>
  </si>
  <si>
    <t>842681156641</t>
  </si>
  <si>
    <t>SWNG TNK-PLKA DT CHRRIES</t>
  </si>
  <si>
    <t>KT11509-9326</t>
  </si>
  <si>
    <t>100% POLYESTER; LINING: 100% RAYON</t>
  </si>
  <si>
    <t>842681157051</t>
  </si>
  <si>
    <t>FLUTTER TANK</t>
  </si>
  <si>
    <t>KT2519</t>
  </si>
  <si>
    <t>62% POLYESTER/34% COTTON/3% OTHER/1% SPANDEX</t>
  </si>
  <si>
    <t>842681156672</t>
  </si>
  <si>
    <t>842681156665</t>
  </si>
  <si>
    <t>194277483076</t>
  </si>
  <si>
    <t>Nike Nike Big Boys Sport Training P Smoke GrayBlack M 1012</t>
  </si>
  <si>
    <t>809115627559</t>
  </si>
  <si>
    <t>CAP SLEEVE PRINTED B</t>
  </si>
  <si>
    <t>BS2-0152</t>
  </si>
  <si>
    <t>745644666709</t>
  </si>
  <si>
    <t>WISPY 5PC BSUIT-PANT</t>
  </si>
  <si>
    <t>LL810873N</t>
  </si>
  <si>
    <t>887510234855</t>
  </si>
  <si>
    <t>FLORAL SMOCKED SKIRT</t>
  </si>
  <si>
    <t>CS561-02</t>
  </si>
  <si>
    <t>100% POLYESTER; LINING: 100% POLYESTER</t>
  </si>
  <si>
    <t>852966229519</t>
  </si>
  <si>
    <t>TIE DYE DENIM SHORTS</t>
  </si>
  <si>
    <t>DG2450-1-G1A6</t>
  </si>
  <si>
    <t>AQUA/PRIDEN APPAREL INC</t>
  </si>
  <si>
    <t>99% COTTON/1% SPANDEX</t>
  </si>
  <si>
    <t>852966210319</t>
  </si>
  <si>
    <t>5 PKT MINI ROLL HEM BASIC</t>
  </si>
  <si>
    <t>DG2530-JYB</t>
  </si>
  <si>
    <t>7 REG</t>
  </si>
  <si>
    <t>68% COTTON/31% POLYESTER/1% SPANDEX</t>
  </si>
  <si>
    <t>852966210333</t>
  </si>
  <si>
    <t>852966210357</t>
  </si>
  <si>
    <t>852966210258</t>
  </si>
  <si>
    <t>5 PKT FRAY SHORT DES BASIC</t>
  </si>
  <si>
    <t>DG2450-D-J9EN</t>
  </si>
  <si>
    <t>766390022403</t>
  </si>
  <si>
    <t>Epic Threads Big Boys Blaise Palm-Print Hoo Angel White M 1214</t>
  </si>
  <si>
    <t>100158770BO</t>
  </si>
  <si>
    <t>766390022427</t>
  </si>
  <si>
    <t>Epic Threads Big Boys Blaise Palm-Print Hoo Angel White XL 20</t>
  </si>
  <si>
    <t>887510246162</t>
  </si>
  <si>
    <t>EXPLODED GINGHAM SKI</t>
  </si>
  <si>
    <t>CS629-01</t>
  </si>
  <si>
    <t>887510238969</t>
  </si>
  <si>
    <t>RIB TWIST TOP</t>
  </si>
  <si>
    <t>CT542-02</t>
  </si>
  <si>
    <t>73% POLYESTER/20% SILK YARN/7% SPANDEX; LINING: 100% POLYESTER</t>
  </si>
  <si>
    <t>887510246179</t>
  </si>
  <si>
    <t>852966210289</t>
  </si>
  <si>
    <t>714232466120</t>
  </si>
  <si>
    <t>RUFFLE RACER TANK</t>
  </si>
  <si>
    <t>CHTW294-RSPLT-K</t>
  </si>
  <si>
    <t>58% COTTON/38% RECYCLED POLYESTER/4% SPANDEX</t>
  </si>
  <si>
    <t>714232413674</t>
  </si>
  <si>
    <t>SHORT SLEEVE TEE</t>
  </si>
  <si>
    <t>CB103907-CHK2272-G</t>
  </si>
  <si>
    <t>714232466113</t>
  </si>
  <si>
    <t>194948213858</t>
  </si>
  <si>
    <t>THE BLAKE SHORT</t>
  </si>
  <si>
    <t>J812SH855</t>
  </si>
  <si>
    <t>194948132678</t>
  </si>
  <si>
    <t>RAD BASIC</t>
  </si>
  <si>
    <t>J900JN200</t>
  </si>
  <si>
    <t>JOES/STAR DENIM SALES LLC</t>
  </si>
  <si>
    <t>MADE IN PAKISTAN</t>
  </si>
  <si>
    <t>194170434670</t>
  </si>
  <si>
    <t>Rare Editions Baby Girls Rib Knit Printed Ti Ivory 12 months</t>
  </si>
  <si>
    <t>194170434595</t>
  </si>
  <si>
    <t>Rare Editions Baby Girls Thermal Top with Pr Mauve 12 months</t>
  </si>
  <si>
    <t>807421701529</t>
  </si>
  <si>
    <t>Hurley Hurley Big Boys Stretch Hybrid Khaki S 8</t>
  </si>
  <si>
    <t>985540E</t>
  </si>
  <si>
    <t>HURLEY/HADDAD APPAREL GROUP</t>
  </si>
  <si>
    <t>807421701550</t>
  </si>
  <si>
    <t>Hurley Hurley Big Boys Stretch Hybrid Khaki XL 1820</t>
  </si>
  <si>
    <t>807421701536</t>
  </si>
  <si>
    <t>Hurley Hurley Big Boys Stretch Hybrid Khaki M 1012</t>
  </si>
  <si>
    <t>766390023271</t>
  </si>
  <si>
    <t>Epic Threads Big Boys Blaise Shorts Skygaze M 1214</t>
  </si>
  <si>
    <t>766390023264</t>
  </si>
  <si>
    <t>Epic Threads Big Boys Blaise Shorts Skygaze S 810</t>
  </si>
  <si>
    <t>194948202098</t>
  </si>
  <si>
    <t>THE JOGGER SHORT - S</t>
  </si>
  <si>
    <t>J912SH232</t>
  </si>
  <si>
    <t>194948213308</t>
  </si>
  <si>
    <t>THE MARIE SHORT</t>
  </si>
  <si>
    <t>J812SH846</t>
  </si>
  <si>
    <t>766390156030</t>
  </si>
  <si>
    <t>First Impressions Baby Girls Hooded Faux-Fur Cap Cherry Red 3-6 months</t>
  </si>
  <si>
    <t>195861100119</t>
  </si>
  <si>
    <t>Carters Little Hot Dog Costume Set, 3 Multi 24 months</t>
  </si>
  <si>
    <t>1N722210</t>
  </si>
  <si>
    <t>825663284648</t>
  </si>
  <si>
    <t>Nike Nike Baby Boys Sportswear Musc University Red 18 months</t>
  </si>
  <si>
    <t>194870727874</t>
  </si>
  <si>
    <t>adidas Big Boys Elastic Waistband Des Black with White XL 1820</t>
  </si>
  <si>
    <t>AH5607</t>
  </si>
  <si>
    <t>194870827505</t>
  </si>
  <si>
    <t>Y GRADIENT 3S SHORT</t>
  </si>
  <si>
    <t>100% RECYCLED POLYESTER</t>
  </si>
  <si>
    <t>191539908902</t>
  </si>
  <si>
    <t>Bonnie Baby Baby Girls Sleeveless Triple T Multi 3-6 months</t>
  </si>
  <si>
    <t>196325161653</t>
  </si>
  <si>
    <t>Disney Little Girls Minnie Mouse Bike Multi 5</t>
  </si>
  <si>
    <t>T000075GD13890</t>
  </si>
  <si>
    <t>195861282303</t>
  </si>
  <si>
    <t>Carters Carters Big Boys Long Sleeve Print 8</t>
  </si>
  <si>
    <t>3O023210</t>
  </si>
  <si>
    <t>194135317857</t>
  </si>
  <si>
    <t>Carters Baby Boys 4-Pack Solid-Tone Pu Blue Multi Newborn</t>
  </si>
  <si>
    <t>1L812310</t>
  </si>
  <si>
    <t>886785497620</t>
  </si>
  <si>
    <t>CB Sports CB Sports Big Boys Puffer Jack Black L 1416</t>
  </si>
  <si>
    <t>194753356207</t>
  </si>
  <si>
    <t>Tommy Hilfiger Tommy Hilfiger Big Boys Mini D Dark Blue M 1214</t>
  </si>
  <si>
    <t>TBFDC07F-405</t>
  </si>
  <si>
    <t>766370879188</t>
  </si>
  <si>
    <t>First Impressions Baby Girls 2-Pc. Tie Dye Set Pink Fancy 0-3 months</t>
  </si>
  <si>
    <t>194748159486</t>
  </si>
  <si>
    <t>Dreamwave Toddler Baby Shark Swimsuit, 2 Multi 4T</t>
  </si>
  <si>
    <t>652874407487</t>
  </si>
  <si>
    <t>Speechless Big Girls Floral Tie Front Top Aqua, White L 1214</t>
  </si>
  <si>
    <t>E4742D89GD41</t>
  </si>
  <si>
    <t>195958735880</t>
  </si>
  <si>
    <t>UA RIVER LOGO TEE</t>
  </si>
  <si>
    <t>UOFFA01F-429</t>
  </si>
  <si>
    <t>194948213148</t>
  </si>
  <si>
    <t>THE DOLPHIN SHORT</t>
  </si>
  <si>
    <t>J812SH446</t>
  </si>
  <si>
    <t>78% POLYESTER/17% VISCOSE/5% SPANDEX</t>
  </si>
  <si>
    <t>194948213131</t>
  </si>
  <si>
    <t>194948213155</t>
  </si>
  <si>
    <t>882925649157</t>
  </si>
  <si>
    <t>SSCNBDYST-OP-BDY</t>
  </si>
  <si>
    <t>882925649164</t>
  </si>
  <si>
    <t>882925651891</t>
  </si>
  <si>
    <t>745644763811</t>
  </si>
  <si>
    <t>SAFARI GREEN JUMPSUI</t>
  </si>
  <si>
    <t>MLR01723N</t>
  </si>
  <si>
    <t>92% ORGANIC COTTON/8% SPANDEX</t>
  </si>
  <si>
    <t>745644763804</t>
  </si>
  <si>
    <t>196027143001</t>
  </si>
  <si>
    <t>AME Toddler Boys Mickey Mouse Paja Assorted 3T</t>
  </si>
  <si>
    <t>196027140468</t>
  </si>
  <si>
    <t>Minnie Mouse Toddler Girls Minnie Mouse T-s Assorted 4T</t>
  </si>
  <si>
    <t>822540030138</t>
  </si>
  <si>
    <t>BOY SHORT KNIT</t>
  </si>
  <si>
    <t>22SMB12805K</t>
  </si>
  <si>
    <t>MILES BABY/LE GROUPE LEMUR INC</t>
  </si>
  <si>
    <t>194257661975</t>
  </si>
  <si>
    <t>Champion Champion Big Girls French Terr Oxford Heather M 1012</t>
  </si>
  <si>
    <t>195861387411</t>
  </si>
  <si>
    <t>Carters Carters Baby Girls Hooded Car Print 9 months</t>
  </si>
  <si>
    <t>745644765099</t>
  </si>
  <si>
    <t>SUNSHINE FOOTIE</t>
  </si>
  <si>
    <t>MLQ01707N</t>
  </si>
  <si>
    <t>95% ORGANIC COTTON/5% SPANDEX</t>
  </si>
  <si>
    <t>766380723044</t>
  </si>
  <si>
    <t>First Impressions Baby Girls 2-Pc. Tartan Bloome Winter Ivory 3-6 months</t>
  </si>
  <si>
    <t>766380723037</t>
  </si>
  <si>
    <t>First Impressions Baby Girls 2-Pc. Tartan Bloome Winter Ivory 12 months</t>
  </si>
  <si>
    <t>766380723068</t>
  </si>
  <si>
    <t>First Impressions Baby Girls 2-Pc. Tartan Bloome Winter Ivory 18 months</t>
  </si>
  <si>
    <t>825663414915</t>
  </si>
  <si>
    <t>Nike Nike Baby Girls Capsule Connec Atmosphere 6-12</t>
  </si>
  <si>
    <t>NN0808G</t>
  </si>
  <si>
    <t>766390062171</t>
  </si>
  <si>
    <t>Epic Threads Big Girls Stella Ribbed Polo T Violet Tulle M 810</t>
  </si>
  <si>
    <t>195958482173</t>
  </si>
  <si>
    <t>Tommy Hilfiger Tommy Hilfiger Baby Girls Ruff Pink, White 18 months</t>
  </si>
  <si>
    <t>61M01104-99</t>
  </si>
  <si>
    <t>194135941618</t>
  </si>
  <si>
    <t>Carters Toddler Girls 4-Piece Floral L Print 5T</t>
  </si>
  <si>
    <t>2M989810</t>
  </si>
  <si>
    <t>195861083627</t>
  </si>
  <si>
    <t>Carters Toddler Boys 4-Pc. Snug Fit Pi Pirate 3T</t>
  </si>
  <si>
    <t>2N713510</t>
  </si>
  <si>
    <t>195861287360</t>
  </si>
  <si>
    <t>Carters Carters Toddler Girls Long Sl Yellow 2T</t>
  </si>
  <si>
    <t>194135941908</t>
  </si>
  <si>
    <t>Carters Toddler Boys 4-Piece Snug Fit Blue 3T</t>
  </si>
  <si>
    <t>2N000710</t>
  </si>
  <si>
    <t>196325146865</t>
  </si>
  <si>
    <t>My Little Pony My Little Pony Toddler Girls M Multi 2T</t>
  </si>
  <si>
    <t>196325121138</t>
  </si>
  <si>
    <t>Peppa Pig Little Girls Peppa Pig Flying Multi 6</t>
  </si>
  <si>
    <t>T000325GPIG330</t>
  </si>
  <si>
    <t>196325146919</t>
  </si>
  <si>
    <t>My Little Pony My Little Pony Little Girls My Multi 6X</t>
  </si>
  <si>
    <t>196325121121</t>
  </si>
  <si>
    <t>Peppa Pig Little Girls Peppa Pig Flying Multi 5</t>
  </si>
  <si>
    <t>194948211335</t>
  </si>
  <si>
    <t>J612SH446</t>
  </si>
  <si>
    <t>194948211359</t>
  </si>
  <si>
    <t>762120330138</t>
  </si>
  <si>
    <t>ID Ideology Big Girls Camo-Print Top Indigo Sea M</t>
  </si>
  <si>
    <t>195861385660</t>
  </si>
  <si>
    <t>Carters Carters Baby Boys Varsity Lon Red 9 months</t>
  </si>
  <si>
    <t>195861385646</t>
  </si>
  <si>
    <t>Carters Carters Baby Boys Varsity Lon Red 3 months</t>
  </si>
  <si>
    <t>194135053984</t>
  </si>
  <si>
    <t>Carters Carters Baby Girls Floral Paj Green 24 months</t>
  </si>
  <si>
    <t>1K553310</t>
  </si>
  <si>
    <t>195861385639</t>
  </si>
  <si>
    <t>Carters Carters Baby Boys Varsity Lon Red 24 months</t>
  </si>
  <si>
    <t>195861385653</t>
  </si>
  <si>
    <t>Carters Carters Baby Boys Varsity Lon Red 6 months</t>
  </si>
  <si>
    <t>195861385615</t>
  </si>
  <si>
    <t>Carters Carters Baby Boys Varsity Lon Red 12 months</t>
  </si>
  <si>
    <t>194870820216</t>
  </si>
  <si>
    <t>SOLARIZED WAVE TC</t>
  </si>
  <si>
    <t>AH5622</t>
  </si>
  <si>
    <t>196325130178</t>
  </si>
  <si>
    <t>Star Wars Little Girls Child Whimsical D Green 6X</t>
  </si>
  <si>
    <t>196325130154</t>
  </si>
  <si>
    <t>Star Wars Little Girls Child Whimsical D Green 5</t>
  </si>
  <si>
    <t>887510239133</t>
  </si>
  <si>
    <t>FLORAL LEGGING</t>
  </si>
  <si>
    <t>CP572-13</t>
  </si>
  <si>
    <t>194817200873</t>
  </si>
  <si>
    <t>adidas adidas Big Boys Squadra 21 Sho Black, White M 1012</t>
  </si>
  <si>
    <t>GN5767</t>
  </si>
  <si>
    <t>194817200804</t>
  </si>
  <si>
    <t>adidas adidas Big Boys Squadra 21 Sho Black, White L 1416</t>
  </si>
  <si>
    <t>195958492974</t>
  </si>
  <si>
    <t>Kids Headquarters Kids Headquarters Toddler Boys Blue 4T</t>
  </si>
  <si>
    <t>10M42005-99</t>
  </si>
  <si>
    <t>766380724034</t>
  </si>
  <si>
    <t>First Impressions Baby Boys Girls Mixed Bodysu Angel White 3-6 months</t>
  </si>
  <si>
    <t>766380723402</t>
  </si>
  <si>
    <t>First Impressions Baby Boys Mixed Bodysuits, Pac Snow Owl Hthr 0-3 months</t>
  </si>
  <si>
    <t>100152382BB</t>
  </si>
  <si>
    <t>766380727547</t>
  </si>
  <si>
    <t>First Impressions Baby Girls Boys Precious 2-P Cherry Red 6-9 months</t>
  </si>
  <si>
    <t>196325007760</t>
  </si>
  <si>
    <t>Evy of California Big Girls Rugrats Long Sleeve Gray M 1012</t>
  </si>
  <si>
    <t>E000146GNIK0134</t>
  </si>
  <si>
    <t>EVY/EVY OF CALIFORNIA INC-BIG</t>
  </si>
  <si>
    <t>825663134950</t>
  </si>
  <si>
    <t>Nike 3BRAND by Russell Wilson Big Boys Icons Cutout T-shirt White M 1012</t>
  </si>
  <si>
    <t>194135320789</t>
  </si>
  <si>
    <t>Carters Baby Boy 5-Pack Short-Sleeve B Safari 3 months</t>
  </si>
  <si>
    <t>1L764510</t>
  </si>
  <si>
    <t>194135552197</t>
  </si>
  <si>
    <t>Carters Baby Boys 4-Pk. Multi-Color Lo Brown Multi 24 months</t>
  </si>
  <si>
    <t>194135320444</t>
  </si>
  <si>
    <t>Carters Baby Boy 5-Pack Short-Sleeve B Brownblue Newborn</t>
  </si>
  <si>
    <t>1L765110</t>
  </si>
  <si>
    <t>194257613424</t>
  </si>
  <si>
    <t>Champion Champion Big Girls Solid with Ice Fall XL 16</t>
  </si>
  <si>
    <t>194870725412</t>
  </si>
  <si>
    <t>adidas Toddler Boys Elastic Waistband Vivid Red 3T</t>
  </si>
  <si>
    <t>194870826348</t>
  </si>
  <si>
    <t>adidas Little Boys Aeroready Gradient Collegiate Navy 5</t>
  </si>
  <si>
    <t>742728459400</t>
  </si>
  <si>
    <t>Hurley Hurley Big Girls Beach Active Sail L 1416</t>
  </si>
  <si>
    <t>484604E</t>
  </si>
  <si>
    <t>HURLEY GIRLS/HADDAD APPAREL GROUP</t>
  </si>
  <si>
    <t>807421768560</t>
  </si>
  <si>
    <t>Nike Nike Baby Boys Raglan Footed C Carbon Heather 9 months</t>
  </si>
  <si>
    <t>196122519756</t>
  </si>
  <si>
    <t>Koala Baby Koala Baby Girls Pumpkin Leggi Peach 6-9 months</t>
  </si>
  <si>
    <t>196122519343</t>
  </si>
  <si>
    <t>Koala Baby Koala Baby Girls Take Me Home Peach Newborn</t>
  </si>
  <si>
    <t>KLF02703</t>
  </si>
  <si>
    <t>194135322769</t>
  </si>
  <si>
    <t>Carters Baby Boys or Girls 3-Pack Frui Yellowgreen Multi 9 months</t>
  </si>
  <si>
    <t>1L782610</t>
  </si>
  <si>
    <t>194135531192</t>
  </si>
  <si>
    <t>Carters Toddler Girls 2-Pc. Heart Tull Assorted 2T</t>
  </si>
  <si>
    <t>2M337310</t>
  </si>
  <si>
    <t>666980707119</t>
  </si>
  <si>
    <t>Tommy Hilfiger Baby Boys Alexander Pants Mast Navy 24 months</t>
  </si>
  <si>
    <t>T141199</t>
  </si>
  <si>
    <t>POLYESTER/RAYON/WOOL</t>
  </si>
  <si>
    <t>196122485075</t>
  </si>
  <si>
    <t>Koala Baby Koala Baby Girls Printed Short Cranberry 12-18 months</t>
  </si>
  <si>
    <t>KLF12535</t>
  </si>
  <si>
    <t>196122485068</t>
  </si>
  <si>
    <t>Koala Baby Koala Baby Girls Printed Short Cranberry 9-12 months</t>
  </si>
  <si>
    <t>196122462175</t>
  </si>
  <si>
    <t>Koala Baby Koala Baby Baby Boys Short Sle Black Iris Newborn</t>
  </si>
  <si>
    <t>KLM02505</t>
  </si>
  <si>
    <t>766360649463</t>
  </si>
  <si>
    <t>ID Ideology Toddler Little Girls Colorbl Hthr Grey 6X</t>
  </si>
  <si>
    <t>100141028LG</t>
  </si>
  <si>
    <t>195861316251</t>
  </si>
  <si>
    <t>Carters Carters Baby Girls Striped Ti Print 6 months</t>
  </si>
  <si>
    <t>195861316213</t>
  </si>
  <si>
    <t>Carters Carters Baby Girls Striped Ti Print 12 months</t>
  </si>
  <si>
    <t>756845971004</t>
  </si>
  <si>
    <t>First Impressions Footed Tulle Coverall, Baby Gi Baby Pink 0-3 months</t>
  </si>
  <si>
    <t>2321FI410</t>
  </si>
  <si>
    <t>756845971011</t>
  </si>
  <si>
    <t>First Impressions Footed Tulle Coverall, Baby Gi Baby Pink 3-6 months</t>
  </si>
  <si>
    <t>194135319127</t>
  </si>
  <si>
    <t>Carters Baby Girls 3-Pc. Floral Take-M Pink Multi 3 months</t>
  </si>
  <si>
    <t>1L777910</t>
  </si>
  <si>
    <t>194135323278</t>
  </si>
  <si>
    <t>Carters Baby Girl 2-Pc. Crinkle Jersey Pink Newborn</t>
  </si>
  <si>
    <t>1L956310</t>
  </si>
  <si>
    <t>194135322608</t>
  </si>
  <si>
    <t>Carters Baby Boys Four-Piece Dinosaur Blue Multi 6 months</t>
  </si>
  <si>
    <t>1L776510</t>
  </si>
  <si>
    <t>194135320031</t>
  </si>
  <si>
    <t>Carters Baby Girls 3-Pc. Little Butter Pink Premie</t>
  </si>
  <si>
    <t>1L777810</t>
  </si>
  <si>
    <t>PREMIE</t>
  </si>
  <si>
    <t>807421838997</t>
  </si>
  <si>
    <t>Nike Nike Baby Boys Raglan Footed C University Red Heather 3 months</t>
  </si>
  <si>
    <t>807421839000</t>
  </si>
  <si>
    <t>Nike Nike Baby Boys Raglan Footed C University Red Heather 6 months</t>
  </si>
  <si>
    <t>195861161691</t>
  </si>
  <si>
    <t>Carters Toddler Girls Stripe-Print Shi Stripe 5T</t>
  </si>
  <si>
    <t>2N695710</t>
  </si>
  <si>
    <t>659658427235</t>
  </si>
  <si>
    <t>Nike 6-Pack Cushioned Crew Socks, B Black M</t>
  </si>
  <si>
    <t>SX6912</t>
  </si>
  <si>
    <t>NIKE USA INC SOCKS BOYS</t>
  </si>
  <si>
    <t>POLYESTER/COTTON/POLYESTER</t>
  </si>
  <si>
    <t>659658427204</t>
  </si>
  <si>
    <t>Nike 6-Pack Cushioned Crew Socks, B Black S</t>
  </si>
  <si>
    <t>659658426818</t>
  </si>
  <si>
    <t>Nike 6-Pack Cushioned Crew Socks, B White S</t>
  </si>
  <si>
    <t>SX6910</t>
  </si>
  <si>
    <t>195861322122</t>
  </si>
  <si>
    <t>Carters Carters Baby Girls Pocket Lon Print 18 months</t>
  </si>
  <si>
    <t>195861318484</t>
  </si>
  <si>
    <t>Carters Carters Baby Girls French Ter White 18 months</t>
  </si>
  <si>
    <t>195861293439</t>
  </si>
  <si>
    <t>Carters Carters Baby Boys Dinosaur Je Assorted 9 months</t>
  </si>
  <si>
    <t>195861291718</t>
  </si>
  <si>
    <t>Carters Carters Baby Boys Long Sleeve Print 6 months</t>
  </si>
  <si>
    <t>195861318545</t>
  </si>
  <si>
    <t>Carters Carters Baby Girls French Ter White Newborn</t>
  </si>
  <si>
    <t>195861318491</t>
  </si>
  <si>
    <t>Carters Carters Baby Girls French Ter White 24 months</t>
  </si>
  <si>
    <t>195861291725</t>
  </si>
  <si>
    <t>Carters Carters Baby Boys Long Sleeve Print 9 months</t>
  </si>
  <si>
    <t>195861293453</t>
  </si>
  <si>
    <t>Carters Carters Baby Boys Dinosaur Je Assorted Newborn</t>
  </si>
  <si>
    <t>195861155089</t>
  </si>
  <si>
    <t>Carters Toddler Girls Tropical Jersey Print 4T</t>
  </si>
  <si>
    <t>2N669010</t>
  </si>
  <si>
    <t>196027071571</t>
  </si>
  <si>
    <t>Avengers Little Boys Avengers Pajamas, Assorted 6</t>
  </si>
  <si>
    <t>196027071564</t>
  </si>
  <si>
    <t>Avengers Little Boys Avengers Pajamas, Assorted 4</t>
  </si>
  <si>
    <t>194135315860</t>
  </si>
  <si>
    <t>Carters Baby Boys 3-Pc. Car Little Cha Green 3 months</t>
  </si>
  <si>
    <t>1L762110</t>
  </si>
  <si>
    <t>194135315877</t>
  </si>
  <si>
    <t>Carters Baby Boys 3-Pc. Car Little Cha Green 6 months</t>
  </si>
  <si>
    <t>194135315907</t>
  </si>
  <si>
    <t>Carters Baby Boys 3-Pc. Car Little Cha Green Newborn</t>
  </si>
  <si>
    <t>194135315846</t>
  </si>
  <si>
    <t>Carters Baby Boys 3-Pc. Car Little Cha Green 18 months</t>
  </si>
  <si>
    <t>194135551572</t>
  </si>
  <si>
    <t>Carters Baby Girls 3-Pc. Cotton Kangar Light Pinkblue 9 months</t>
  </si>
  <si>
    <t>195861385042</t>
  </si>
  <si>
    <t>Carters Carters Baby Boys Bodysuit, P White 6 months</t>
  </si>
  <si>
    <t>1N988110</t>
  </si>
  <si>
    <t>807421632335</t>
  </si>
  <si>
    <t>Converse Converse Big Boys All Star T-s White L 1416</t>
  </si>
  <si>
    <t>9CC336E</t>
  </si>
  <si>
    <t>CONVERSE/HADDAD APPAREL GROUP LTD</t>
  </si>
  <si>
    <t>807421632328</t>
  </si>
  <si>
    <t>Converse Converse Big Boys All Star T-s White M 1012</t>
  </si>
  <si>
    <t>196122373242</t>
  </si>
  <si>
    <t>Koala Baby Baby Boys Shorts, Bodysuit and Navy 9-12 months</t>
  </si>
  <si>
    <t>KLM12338</t>
  </si>
  <si>
    <t>756845970328</t>
  </si>
  <si>
    <t>First Impressions 2-Pc. Elephant Top Pants Set Soft White 3-6 months</t>
  </si>
  <si>
    <t>2330FI410</t>
  </si>
  <si>
    <t>756845995116</t>
  </si>
  <si>
    <t>First Impressions Bear-Print Cotton Footed Cover Light GreyNavy 3-6 months</t>
  </si>
  <si>
    <t>756845970137</t>
  </si>
  <si>
    <t>First Impressions 1-Pc. Floral-Print Footed Cove Aqua Ice 0-3 months</t>
  </si>
  <si>
    <t>756845970168</t>
  </si>
  <si>
    <t>First Impressions 1-Pc. Floral-Print Footed Cove Aqua Ice Newborn</t>
  </si>
  <si>
    <t>756845970274</t>
  </si>
  <si>
    <t>First Impressions 1-Pc. Elephant-Print Footed Co Soft White 0-3 months</t>
  </si>
  <si>
    <t>2329FI410</t>
  </si>
  <si>
    <t>756845995109</t>
  </si>
  <si>
    <t>First Impressions Bear-Print Cotton Footed Cover Light GreyNavy 0-3 months</t>
  </si>
  <si>
    <t>766380728834</t>
  </si>
  <si>
    <t>First Impressions Baby Girls Chloe 2-Pk. Solid Bone Hthr 24 months</t>
  </si>
  <si>
    <t>766380728797</t>
  </si>
  <si>
    <t>First Impressions Baby Girls Chloe 2-Pk. Solid Bone Hthr 12 months</t>
  </si>
  <si>
    <t>195861099888</t>
  </si>
  <si>
    <t>Carters Baby Boys 2-Pc. Dog Bodysuit Green 3 months</t>
  </si>
  <si>
    <t>1N607510</t>
  </si>
  <si>
    <t>195861099901</t>
  </si>
  <si>
    <t>Carters Baby Boys 2-Pc. Dog Bodysuit Green 9 months</t>
  </si>
  <si>
    <t>195861098645</t>
  </si>
  <si>
    <t>Carters Baby Girls 2-Pc. Floral-Print Brown 6 months</t>
  </si>
  <si>
    <t>195861098652</t>
  </si>
  <si>
    <t>Carters Baby Girls 2-Pc. Floral-Print Brown 9 months</t>
  </si>
  <si>
    <t>195861097891</t>
  </si>
  <si>
    <t>Carters Baby Boys 2-Pc. Dog Bodysuit Yellow 3 months</t>
  </si>
  <si>
    <t>1N607610</t>
  </si>
  <si>
    <t>195861097860</t>
  </si>
  <si>
    <t>Carters Baby Boys 2-Pc. Dog Bodysuit Yellow 12 months</t>
  </si>
  <si>
    <t>195861097914</t>
  </si>
  <si>
    <t>Carters Baby Boys 2-Pc. Dog Bodysuit Yellow 9 months</t>
  </si>
  <si>
    <t>195861368137</t>
  </si>
  <si>
    <t>Carters Carters Baby Girls Unicorn Zi Gray Newborn</t>
  </si>
  <si>
    <t>1N988610</t>
  </si>
  <si>
    <t>195861376217</t>
  </si>
  <si>
    <t>Carters Carters Baby Boys Zip-Up Hood Brown 9 months</t>
  </si>
  <si>
    <t>1N963110</t>
  </si>
  <si>
    <t>766370879942</t>
  </si>
  <si>
    <t>First Impressions Baby Girls 2-Pc. Terrycloth Sh Lime Boost 24 months</t>
  </si>
  <si>
    <t>194135320208</t>
  </si>
  <si>
    <t>Carters Baby Boys 2-Pk. Cotton Striped Blue 12 months</t>
  </si>
  <si>
    <t>194135320277</t>
  </si>
  <si>
    <t>Carters Baby Boys 2-Pk. Cotton Striped Blue Newborn</t>
  </si>
  <si>
    <t>194135320222</t>
  </si>
  <si>
    <t>Carters Baby Boys 2-Pk. Cotton Striped Blue 24 months</t>
  </si>
  <si>
    <t>194135327498</t>
  </si>
  <si>
    <t>Carters Baby Girls 2-Pack Cotton Ruffl Greyblack 3 months</t>
  </si>
  <si>
    <t>1L931110</t>
  </si>
  <si>
    <t>194135320246</t>
  </si>
  <si>
    <t>Carters Baby Boys 2-Pk. Cotton Striped Blue 6 months</t>
  </si>
  <si>
    <t>194135322295</t>
  </si>
  <si>
    <t>Carters Baby Boys 2-Pack Cotton Footed Blue Newborn</t>
  </si>
  <si>
    <t>1L776610</t>
  </si>
  <si>
    <t>756845995093</t>
  </si>
  <si>
    <t>First Impressions Cotton Bear-Print Blanket, Bab Silver Drop Heather ONE SIZE</t>
  </si>
  <si>
    <t>195958667129</t>
  </si>
  <si>
    <t>Tommy Hilfiger Toddler Boys Tie Dye Stripe T- Navy Blazer 3T</t>
  </si>
  <si>
    <t>TBSFB74J-405</t>
  </si>
  <si>
    <t>195958667532</t>
  </si>
  <si>
    <t>Tommy Hilfiger Tommy Hilfiger Little Boys Spl Bright White 4</t>
  </si>
  <si>
    <t>TBSFB80J-100</t>
  </si>
  <si>
    <t>195861137160</t>
  </si>
  <si>
    <t>Carters Toddler Boys Pull-On Knit Carg Gray 3T</t>
  </si>
  <si>
    <t>2N608310</t>
  </si>
  <si>
    <t>195861313359</t>
  </si>
  <si>
    <t>Carters Carters Toddler Girls 1-Piece Pink 4T</t>
  </si>
  <si>
    <t>195861313342</t>
  </si>
  <si>
    <t>Carters Carters Toddler Girls 1-Piece Pink 3T</t>
  </si>
  <si>
    <t>766380221342</t>
  </si>
  <si>
    <t>First Impressions Baby Boys Splatter Paint Zip H Snow Owl Hthr 18 months</t>
  </si>
  <si>
    <t>766360446284</t>
  </si>
  <si>
    <t>ID Ideology ID Ideology Big Girls Core Pol Rose Shadow L 14</t>
  </si>
  <si>
    <t>766380274157</t>
  </si>
  <si>
    <t>Epic Threads Epic Threads Big Girls Babydol Angel White S 7</t>
  </si>
  <si>
    <t>100151657GR</t>
  </si>
  <si>
    <t>193712372777</t>
  </si>
  <si>
    <t>Imperial Star Big Girls Athleisure Shorts Medium Blue M</t>
  </si>
  <si>
    <t>193712372784</t>
  </si>
  <si>
    <t>Imperial Star Big Girls Athleisure Shorts Medium Blue L</t>
  </si>
  <si>
    <t>194135909298</t>
  </si>
  <si>
    <t>194135909281</t>
  </si>
  <si>
    <t>Carters Toddler Boys Striped Pocket He Stripe 3T</t>
  </si>
  <si>
    <t>195861124320</t>
  </si>
  <si>
    <t>Carters Toddler Boys Colorblocked Pock Ivory 3T</t>
  </si>
  <si>
    <t>756845987142</t>
  </si>
  <si>
    <t>First Impressions 3-Pk. Elephant Bibs, Baby Boys Blue Combo ONE SIZE</t>
  </si>
  <si>
    <t>2351FI410</t>
  </si>
  <si>
    <t>766370905504</t>
  </si>
  <si>
    <t>766370905498</t>
  </si>
  <si>
    <t>ID Ideology Toddler Little Girls Mesh Ac Rose Shadow 2T</t>
  </si>
  <si>
    <t>766370905511</t>
  </si>
  <si>
    <t>81715949600</t>
  </si>
  <si>
    <t>Berkshire Little Boys Batman Hat Glove Yellow ONE SIZE</t>
  </si>
  <si>
    <t>BM8368</t>
  </si>
  <si>
    <t>BERKSHIRE FASHIONS INC</t>
  </si>
  <si>
    <t>195861280446</t>
  </si>
  <si>
    <t>Carters Carters Toddler Girls Jersey Gray 3T</t>
  </si>
  <si>
    <t>195861280484</t>
  </si>
  <si>
    <t>Carters Carters Toddler Girls Jersey Yellow 2T</t>
  </si>
  <si>
    <t>195861147404</t>
  </si>
  <si>
    <t>Carters Toddler Girls Graphic-Print Fl Pink 3T</t>
  </si>
  <si>
    <t>194135932074</t>
  </si>
  <si>
    <t>Carters Carters Baby Girls One-Piece Print 12 months</t>
  </si>
  <si>
    <t>194135928800</t>
  </si>
  <si>
    <t>Carters Toddler Boys One-Piece Snug Fi Cookie Print 5T</t>
  </si>
  <si>
    <t>195861149033</t>
  </si>
  <si>
    <t>Carters Toddler Girls Graphic-Print Fl Green 3T</t>
  </si>
  <si>
    <t>194135928787</t>
  </si>
  <si>
    <t>Carters Toddler Boys One-Piece Snug Fi Cookie Print 3T</t>
  </si>
  <si>
    <t>762120084314</t>
  </si>
  <si>
    <t>Epic Threads Big Girls Long Sleeve Graphic Violet Light XL</t>
  </si>
  <si>
    <t>195861124290</t>
  </si>
  <si>
    <t>Carters Carters Toddler Boys Pull-On Red 5T</t>
  </si>
  <si>
    <t>2N595710</t>
  </si>
  <si>
    <t>194135322509</t>
  </si>
  <si>
    <t>Carters Baby Boys Two-Pack Cap Zip-U Blue Multi Newborn</t>
  </si>
  <si>
    <t>1L775710</t>
  </si>
  <si>
    <t>194257444790</t>
  </si>
  <si>
    <t>Champion Big Boys Arching Brush Fill Sh Black XL 1820</t>
  </si>
  <si>
    <t>CHB029</t>
  </si>
  <si>
    <t>194135899742</t>
  </si>
  <si>
    <t>Carters Toddler Boys Dinosaur Costume Blue 3T</t>
  </si>
  <si>
    <t>2M997510</t>
  </si>
  <si>
    <t>194135899735</t>
  </si>
  <si>
    <t>Carters Toddler Boys Dinosaur Costume Blue 2T</t>
  </si>
  <si>
    <t>194135899759</t>
  </si>
  <si>
    <t>Carters Toddler Boys Dinosaur Costume Blue 4T</t>
  </si>
  <si>
    <t>766380724508</t>
  </si>
  <si>
    <t>First Impressions Baby Boys Girls Smiley Splas Deep Black 6-9 months</t>
  </si>
  <si>
    <t>766380723457</t>
  </si>
  <si>
    <t>First Impressions Baby Boys Critters Solid Pan Snow Owl Hthr 18 months</t>
  </si>
  <si>
    <t>766360446499</t>
  </si>
  <si>
    <t>ID Ideology Big Girls Geo-Print Bicycle Sh Jet Ski S 78</t>
  </si>
  <si>
    <t>766390156269</t>
  </si>
  <si>
    <t>First Impressions Baby Boys Holly Plaid Suspende Pewter Hthr 18 months</t>
  </si>
  <si>
    <t>100152376BB</t>
  </si>
  <si>
    <t>194257870230</t>
  </si>
  <si>
    <t>Champion Toddler Girls Classic Script S Sizzling Mint Green 4T</t>
  </si>
  <si>
    <t>CHL183</t>
  </si>
  <si>
    <t>BRIGHT GRN</t>
  </si>
  <si>
    <t>766360668365</t>
  </si>
  <si>
    <t>Epic Threads Big Girls Flower All Over Prin Angel White M 1012</t>
  </si>
  <si>
    <t>100145562GR</t>
  </si>
  <si>
    <t>766360667009</t>
  </si>
  <si>
    <t>Epic Threads Epic Threads Big Girls Shorts Washed Indigo S 810</t>
  </si>
  <si>
    <t>100145147GR</t>
  </si>
  <si>
    <t>766370877665</t>
  </si>
  <si>
    <t>First Impressions Baby Boys Shirt Peppermint Fros 3-6 months</t>
  </si>
  <si>
    <t>766370877702</t>
  </si>
  <si>
    <t>First Impressions Baby Boys Shirt Peppermint Fros 24 months</t>
  </si>
  <si>
    <t>766370877658</t>
  </si>
  <si>
    <t>First Impressions Baby Boys Shirt Peppermint Fros 12 months</t>
  </si>
  <si>
    <t>194135897977</t>
  </si>
  <si>
    <t>Carters Carters Baby Girls Romper Yellow Newborn</t>
  </si>
  <si>
    <t>766380716336</t>
  </si>
  <si>
    <t>First Impressions Baby Boy REINDEER SUNSUIT Cherry Red 24 months</t>
  </si>
  <si>
    <t>766380716329</t>
  </si>
  <si>
    <t>First Impressions Baby Boy REINDEER SUNSUIT Cherry Red 18 months</t>
  </si>
  <si>
    <t>766380716305</t>
  </si>
  <si>
    <t>First Impressions Baby Boy REINDEER SUNSUIT Cherry Red 3-6 months</t>
  </si>
  <si>
    <t>766380716312</t>
  </si>
  <si>
    <t>First Impressions Baby Boy REINDEER SUNSUIT Cherry Red 6-9 months</t>
  </si>
  <si>
    <t>195861129219</t>
  </si>
  <si>
    <t>Carters Toddler Boys Shark-Graphic T-S Red 4T</t>
  </si>
  <si>
    <t>2N628910</t>
  </si>
  <si>
    <t>195861129196</t>
  </si>
  <si>
    <t>Carters Toddler Boys Shark-Graphic T-S Red 2T</t>
  </si>
  <si>
    <t>766370619814</t>
  </si>
  <si>
    <t>First Impressions Baby Girls Scatter-Dot Smocked Soft Periwinkle 6-9 months</t>
  </si>
  <si>
    <t>100148757BG</t>
  </si>
  <si>
    <t>80538129824</t>
  </si>
  <si>
    <t>Keds 10-Pk. Half-Cushion Low-Cut So Pink Small-Medium</t>
  </si>
  <si>
    <t>KED009</t>
  </si>
  <si>
    <t>733004951299</t>
  </si>
  <si>
    <t>First Impressions Baby Girls Tie-Dye Cotton Suns Sunset Flamingo 24 months</t>
  </si>
  <si>
    <t>766380725789</t>
  </si>
  <si>
    <t>First Impressions Baby Girls Dot-Print Sunsuit RedWinter Ivory 3-6 months</t>
  </si>
  <si>
    <t>196325191919</t>
  </si>
  <si>
    <t>Star Wars Big Boys Star Wars Baby Yoda S Navy L 1416</t>
  </si>
  <si>
    <t>2YSWM0240</t>
  </si>
  <si>
    <t>196325191902</t>
  </si>
  <si>
    <t>Star Wars Big Boys Star Wars Baby Yoda S Navy M 1012</t>
  </si>
  <si>
    <t>80538129831</t>
  </si>
  <si>
    <t>Keds 10-Pk. Half-Cushion Low-Cut So Charcoal Medium-Large</t>
  </si>
  <si>
    <t>KED010</t>
  </si>
  <si>
    <t>M-L</t>
  </si>
  <si>
    <t>196122127630</t>
  </si>
  <si>
    <t>Koala Baby Baby Boys 1 Piece Sleep and Pl Cobalt 0-3 months</t>
  </si>
  <si>
    <t>KLM02131</t>
  </si>
  <si>
    <t>762120959476</t>
  </si>
  <si>
    <t>ID Ideology Little Girls Lace-Up Top Jet Ski 2T</t>
  </si>
  <si>
    <t>762120959469</t>
  </si>
  <si>
    <t>ID Ideology Little Girls Lace-Up Top Jet Ski 6</t>
  </si>
  <si>
    <t>762120959544</t>
  </si>
  <si>
    <t>ID Ideology Little Girls Lace-Up Top Violet Tulle 3T</t>
  </si>
  <si>
    <t>766370767836</t>
  </si>
  <si>
    <t>Epic Threads Toddler Boys Graphic Tank Peppermint Frost 4T</t>
  </si>
  <si>
    <t>766380184258</t>
  </si>
  <si>
    <t>ID Ideology Toddler Little Girls Core Ca Pink Hustle 5</t>
  </si>
  <si>
    <t>766380184487</t>
  </si>
  <si>
    <t>ID Ideology Toddler Little Girls Core Ca Pink Hustle 3T</t>
  </si>
  <si>
    <t>766380184463</t>
  </si>
  <si>
    <t>ID Ideology Toddler Little Girls Core Ca Pink Hustle 6</t>
  </si>
  <si>
    <t>766380184500</t>
  </si>
  <si>
    <t>ID Ideology Toddler Little Girls Core Ca Pink Hustle 6X</t>
  </si>
  <si>
    <t>762120822572</t>
  </si>
  <si>
    <t>ID Ideology Toddler Little Boys Solid Kn Indigo Sea 5</t>
  </si>
  <si>
    <t>762120822602</t>
  </si>
  <si>
    <t>ID Ideology Toddler Little Boys Solid Kn Indigo Sea 4T</t>
  </si>
  <si>
    <t>194135883048</t>
  </si>
  <si>
    <t>Carters Carters Baby Boys Dinosaur Pu Navy 3 months</t>
  </si>
  <si>
    <t>1N078810</t>
  </si>
  <si>
    <t>762120822619</t>
  </si>
  <si>
    <t>ID Ideology Toddler Little Boys Solid Kn Indigo Sea 2T</t>
  </si>
  <si>
    <t>194135857186</t>
  </si>
  <si>
    <t>Carters Carters Baby Boys Pull-On Kni Denim 3 months</t>
  </si>
  <si>
    <t>1M980410</t>
  </si>
  <si>
    <t>766370084353</t>
  </si>
  <si>
    <t>Epic Threads Little Boys Racecar Graphic T- Deep Black 6</t>
  </si>
  <si>
    <t>100144951LB</t>
  </si>
  <si>
    <t>766370084346</t>
  </si>
  <si>
    <t>Epic Threads Little Boys Racecar Graphic T- Deep Black 5</t>
  </si>
  <si>
    <t>766370084391</t>
  </si>
  <si>
    <t>Epic Threads Toddler Boys Racecar Graphic T Deep Black 3T</t>
  </si>
  <si>
    <t>766370084360</t>
  </si>
  <si>
    <t>Epic Threads Little Boys Racecar Graphic T- Deep Black 7</t>
  </si>
  <si>
    <t>766360647537</t>
  </si>
  <si>
    <t>Epic Threads Epic Threads Little Girls Berm Washed Indigo 6X</t>
  </si>
  <si>
    <t>766370446519</t>
  </si>
  <si>
    <t>Epic Threads Little Girls Denim Bermuda Sho Dark Denim 6</t>
  </si>
  <si>
    <t>194135534087</t>
  </si>
  <si>
    <t>Carters Carters Toddler Girls Elastic Black 4T</t>
  </si>
  <si>
    <t>194135534063</t>
  </si>
  <si>
    <t>Carters Carters Toddler Girls Elastic Black 2T</t>
  </si>
  <si>
    <t>762120077576</t>
  </si>
  <si>
    <t>Epic Threads Toddler Boys Short Sleeves Gra Bright White 2T</t>
  </si>
  <si>
    <t>100138420LB</t>
  </si>
  <si>
    <t>766370875272</t>
  </si>
  <si>
    <t>First Impressions Toddler Boys Jeep Jam Jogger P Hthr Dune 4T</t>
  </si>
  <si>
    <t>100148776TB</t>
  </si>
  <si>
    <t>766370874961</t>
  </si>
  <si>
    <t>First Impressions Toddler Boys Jeep Jam Jogger P Hthr Dune 3T</t>
  </si>
  <si>
    <t>766380267449</t>
  </si>
  <si>
    <t>Epic Threads Epic Threads Toddler Girls Rib Gossamer Green 4T</t>
  </si>
  <si>
    <t>766370769014</t>
  </si>
  <si>
    <t>Epic Threads Toddler Boys Graphic Short Sle Turquoise Splash 3T</t>
  </si>
  <si>
    <t>100151791LB</t>
  </si>
  <si>
    <t>733003082598</t>
  </si>
  <si>
    <t>ID Ideology Little Girls Lace-Up Top Rose Shadow 2T</t>
  </si>
  <si>
    <t>766380514529</t>
  </si>
  <si>
    <t>Epic Threads Big Girls Unicorn-Print T-Shir Sweet Berry M 1214</t>
  </si>
  <si>
    <t>766360645908</t>
  </si>
  <si>
    <t>Epic Threads Toddler Girls Strawberry Graph Angel White 4T</t>
  </si>
  <si>
    <t>100145099LG</t>
  </si>
  <si>
    <t>766370777774</t>
  </si>
  <si>
    <t>Epic Threads Epic Threads Little Girls Palm Coral Topaz 5</t>
  </si>
  <si>
    <t>100152946LG</t>
  </si>
  <si>
    <t>762120958639</t>
  </si>
  <si>
    <t>ID Ideology Big Girls Tank Top Violet Tulle 2T</t>
  </si>
  <si>
    <t>100141144LG</t>
  </si>
  <si>
    <t>766370869004</t>
  </si>
  <si>
    <t>First Impressions Baby Girls Shell-Print Dress Hthr Dune 24 months</t>
  </si>
  <si>
    <t>762120494489</t>
  </si>
  <si>
    <t>First Impressions Baby Girls Wildflower Wonder D Pink Pearl 12 months</t>
  </si>
  <si>
    <t>100141159BG</t>
  </si>
  <si>
    <t>766390158904</t>
  </si>
  <si>
    <t>First Impressions Toddler Boys Polar Bear Party Hthr Sterling 4T</t>
  </si>
  <si>
    <t>766380219929</t>
  </si>
  <si>
    <t>First Impressions Toddler Boys Rad Cotton T-Shir Navy Nautical 3T</t>
  </si>
  <si>
    <t>100148780TB</t>
  </si>
  <si>
    <t>733001175117</t>
  </si>
  <si>
    <t>First Impressions Baby Boy Camo Jogger Pewter Heather 3-6 months</t>
  </si>
  <si>
    <t>100093240BB</t>
  </si>
  <si>
    <t>766370876095</t>
  </si>
  <si>
    <t>First Impressions oddler Boys Palm-Print Henley Skygaze 4T</t>
  </si>
  <si>
    <t>100148746TB</t>
  </si>
  <si>
    <t>733002944316</t>
  </si>
  <si>
    <t>Epic Threads Toddler Boys Camo Basic Tee Pine Brush 3T</t>
  </si>
  <si>
    <t>762120858533</t>
  </si>
  <si>
    <t>ID Ideology Toddler Little Boys Core Tan Bright White 2T</t>
  </si>
  <si>
    <t>762120858519</t>
  </si>
  <si>
    <t>ID Ideology Toddler Little Boys Core Tan Bright White 7</t>
  </si>
  <si>
    <t>762120858496</t>
  </si>
  <si>
    <t>ID Ideology Toddler Little Boys Core Tan Bright White 6</t>
  </si>
  <si>
    <t>762120852180</t>
  </si>
  <si>
    <t>Epic Threads Big Boys T-Shirt Orange Peel XL 20</t>
  </si>
  <si>
    <t>100142604BO</t>
  </si>
  <si>
    <t>762120852173</t>
  </si>
  <si>
    <t>Epic Threads Big Boys T-Shirt Orange Peel L 1618</t>
  </si>
  <si>
    <t>762120852166</t>
  </si>
  <si>
    <t>Epic Threads Big Boys T-Shirt Orange Peel M 1214</t>
  </si>
  <si>
    <t>766370860698</t>
  </si>
  <si>
    <t>First Impressions Toddler Girls Ruffle Shoulder Sweet Berry 2T</t>
  </si>
  <si>
    <t>100150077TG</t>
  </si>
  <si>
    <t>766370861022</t>
  </si>
  <si>
    <t>First Impressions Baby Girls Sleeveless Tie-Dyed Hthr Dune 24 months</t>
  </si>
  <si>
    <t>766370873780</t>
  </si>
  <si>
    <t>First Impressions Baby Boys Palm Tree-Print Shor Skygaze 12 months</t>
  </si>
  <si>
    <t>733004290626</t>
  </si>
  <si>
    <t>First Impressions Baby Boys Mountain-Print Long- Washed Blue 12 months</t>
  </si>
  <si>
    <t>733004290657</t>
  </si>
  <si>
    <t>First Impressions Baby Boys Mountain-Print Long- Washed Blue 18 months</t>
  </si>
  <si>
    <t>733004290664</t>
  </si>
  <si>
    <t>First Impressions Baby Boys Mountain-Print Long- Washed Blue 24 months</t>
  </si>
  <si>
    <t>762120121057</t>
  </si>
  <si>
    <t>First Impressions Baby Girls Entangled Bows Tuni Deep Black 12 months</t>
  </si>
  <si>
    <t>100138592BG</t>
  </si>
  <si>
    <t>766370860414</t>
  </si>
  <si>
    <t>First Impressions Toddler Girls Chambray Knot Ta Peppermintfrost 4T</t>
  </si>
  <si>
    <t>100150018TG</t>
  </si>
  <si>
    <t>766360157913</t>
  </si>
  <si>
    <t>First Impressions Baby Girls Multi-Stars Tunic S Sodalite Blue 12 months</t>
  </si>
  <si>
    <t>100141166BG</t>
  </si>
  <si>
    <t>766370860834</t>
  </si>
  <si>
    <t>First Impressions Baby Girls Summer Vibes Tank Violet Tulle 12 months</t>
  </si>
  <si>
    <t>766360158217</t>
  </si>
  <si>
    <t>First Impressions Baby Girls Eyelet Shorts Ski Patrol 3-6 months</t>
  </si>
  <si>
    <t>766370861503</t>
  </si>
  <si>
    <t>First Impressions Baby Girls Vacay Bow Tank Top Bright White 6-9 months</t>
  </si>
  <si>
    <t>766370863996</t>
  </si>
  <si>
    <t>First Impressions Baby Girls Shells-Print Capri Pink Fruit 12 months</t>
  </si>
  <si>
    <t>766370869509</t>
  </si>
  <si>
    <t>First Impressions Baby Boys Palm Tree-Print Shir Skygaze 18 months</t>
  </si>
  <si>
    <t>766370869707</t>
  </si>
  <si>
    <t>First Impressions Baby Boys Jeep-Print Shirt Hthr Dune 12 months</t>
  </si>
  <si>
    <t>762120854634</t>
  </si>
  <si>
    <t>Epic Threads Little Boys T-Shirt Orange Peel 2T</t>
  </si>
  <si>
    <t>762120854528</t>
  </si>
  <si>
    <t>Epic Threads Little Boys T-Shirt Orange Peel 6</t>
  </si>
  <si>
    <t>762120854610</t>
  </si>
  <si>
    <t>Epic Threads Little Boys T-Shirt Orange Peel 7</t>
  </si>
  <si>
    <t>762120854511</t>
  </si>
  <si>
    <t>Epic Threads Little Boys T-Shirt Orange Peel 5</t>
  </si>
  <si>
    <t>766360157760</t>
  </si>
  <si>
    <t>First Impressions Baby Girls Patriotic Pup Tank Light Chambray 12 months</t>
  </si>
  <si>
    <t>100141149BG</t>
  </si>
  <si>
    <t>733004286759</t>
  </si>
  <si>
    <t>First Impressions Baby Boys Thermal Jogger Pants Ever Red 12 months</t>
  </si>
  <si>
    <t>100129703BB</t>
  </si>
  <si>
    <t>733003926410</t>
  </si>
  <si>
    <t>First Impressions Toddler Boy T Santas Cutst Elf Cherry Red 24 months</t>
  </si>
  <si>
    <t>100101744BB</t>
  </si>
  <si>
    <t>766360157715</t>
  </si>
  <si>
    <t>First Impressions Baby Girls Peace Sign Tank Top Ski Patrol 12 months</t>
  </si>
  <si>
    <t>766360157739</t>
  </si>
  <si>
    <t>First Impressions Baby Girls Peace Sign Tank Top Ski Patrol 6-9 months</t>
  </si>
  <si>
    <t>733003927516</t>
  </si>
  <si>
    <t>First Impressions Baby Boys Tree on a Car T-Shir Black Hthr 12 months</t>
  </si>
  <si>
    <t>100133886BB</t>
  </si>
  <si>
    <t>733003927530</t>
  </si>
  <si>
    <t>First Impressions Baby Boys Tree on a Car T-Shir Black Hthr 6-9 months</t>
  </si>
  <si>
    <t>733003927523</t>
  </si>
  <si>
    <t>First Impressions Baby Boys Tree on a Car T-Shir Black Hthr 3-6 months</t>
  </si>
  <si>
    <t>766380210933</t>
  </si>
  <si>
    <t>First Impressions Baby Girls Wild Free Top Hthr Sterling 12 months</t>
  </si>
  <si>
    <t>766360160593</t>
  </si>
  <si>
    <t>First Impressions Baby Boys Tie Dye T-Shirt Sodalite Blue 24 months</t>
  </si>
  <si>
    <t>766370861466</t>
  </si>
  <si>
    <t>First Impressions Baby Girls Surfer Girl T-Shirt Bright White 18 months</t>
  </si>
  <si>
    <t>766370860117</t>
  </si>
  <si>
    <t>First Impressions Baby Girls Flutter Tunic Hthr Dune 24 months</t>
  </si>
  <si>
    <t>733003927226</t>
  </si>
  <si>
    <t>First Impressions Baby Boy Ss Elk Tee Bone Hthr 3-6 months</t>
  </si>
  <si>
    <t>100104789BB</t>
  </si>
  <si>
    <t>766360159887</t>
  </si>
  <si>
    <t>First Impressions Baby Boys Sail-Print T-Shirt Daybreak Blue 3-6 months</t>
  </si>
  <si>
    <t>190618762169</t>
  </si>
  <si>
    <t>SS TSHRT DRS-DR-DAD</t>
  </si>
  <si>
    <t>194170434533</t>
  </si>
  <si>
    <t>Rare Editions Big Girls Thermal Top with Tie Mustard 24 months</t>
  </si>
  <si>
    <t>191539919816</t>
  </si>
  <si>
    <t>Bonnie Baby Baby Girls Sleeveless Pinafore Blue 24 months</t>
  </si>
  <si>
    <t>191539919830</t>
  </si>
  <si>
    <t>Bonnie Baby Baby Girls Sleeveless Pinafore Blue 6-9 months</t>
  </si>
  <si>
    <t>191539919823</t>
  </si>
  <si>
    <t>Bonnie Baby Baby Girls Sleeveless Pinafore Blue 3-6 months</t>
  </si>
  <si>
    <t>191539901378</t>
  </si>
  <si>
    <t>Bonnie Baby Baby Girls Sleeveless Knit Flo Coral 24 months</t>
  </si>
  <si>
    <t>S5-10122-PV</t>
  </si>
  <si>
    <t>194135950337</t>
  </si>
  <si>
    <t>Carters Big Girls 4-Piece Snug Fit T-s LovePrint 10</t>
  </si>
  <si>
    <t>3M978110</t>
  </si>
  <si>
    <t>195958375635</t>
  </si>
  <si>
    <t>Kids Headquarters Kids Headquarters Baby Girl Fl Pink 12 months</t>
  </si>
  <si>
    <t>11M02113-99</t>
  </si>
  <si>
    <t>825663214942</t>
  </si>
  <si>
    <t>Nike Nike Baby Girls Summer Daze Bo Doll 0-3 months</t>
  </si>
  <si>
    <t>06J550G</t>
  </si>
  <si>
    <t>825663414724</t>
  </si>
  <si>
    <t>Nike Nike Baby Girls Bodysuit, Bib Pale Ivory Heather 0-6 months</t>
  </si>
  <si>
    <t>NN0807G</t>
  </si>
  <si>
    <t>0-6</t>
  </si>
  <si>
    <t>194135941922</t>
  </si>
  <si>
    <t>Carters Toddler Boys 4-Piece Snug Fit Blue 5T</t>
  </si>
  <si>
    <t>195861325161</t>
  </si>
  <si>
    <t>Carters Carters Toddler Girls Long Sl Blue 4T</t>
  </si>
  <si>
    <t>194135927957</t>
  </si>
  <si>
    <t>Carters Little Boys 2-Piece Transforme YellowGrey 7</t>
  </si>
  <si>
    <t>3N026910</t>
  </si>
  <si>
    <t>195861293507</t>
  </si>
  <si>
    <t>Carters Carters Baby Boys Long Sleeve YellowCamo 6 months</t>
  </si>
  <si>
    <t>195861129318</t>
  </si>
  <si>
    <t>Carters Carters Toddler Boys Drawstri Beige 4T</t>
  </si>
  <si>
    <t>2N599410</t>
  </si>
  <si>
    <t>196027001646</t>
  </si>
  <si>
    <t>WALL CRAWLERS 2</t>
  </si>
  <si>
    <t>SF019ELLZA</t>
  </si>
  <si>
    <t>195861101390</t>
  </si>
  <si>
    <t>Carters Baby Girls 2-Pc. Crocheted Bod Pink 9 months</t>
  </si>
  <si>
    <t>1N600710</t>
  </si>
  <si>
    <t>195861376194</t>
  </si>
  <si>
    <t>Carters Carters Baby Boys Zip-Up Hood Brown 3 months</t>
  </si>
  <si>
    <t>194257806246</t>
  </si>
  <si>
    <t>WHT FLROAL BOUQUET</t>
  </si>
  <si>
    <t>CHL146</t>
  </si>
  <si>
    <t>8719323587847</t>
  </si>
  <si>
    <t>OppoSuits TEEN BOYS Black Knight Black 10</t>
  </si>
  <si>
    <t>627729994276</t>
  </si>
  <si>
    <t>DKNY Black Dot Tuxedo Jacket, Big B Black 14R</t>
  </si>
  <si>
    <t>BAAL1DMW0000</t>
  </si>
  <si>
    <t>DKNY/PEERLESS CLOTHING INTL</t>
  </si>
  <si>
    <t>POLYESTER/RAYON</t>
  </si>
  <si>
    <t>885031313059</t>
  </si>
  <si>
    <t>Polo Ralph Lauren Baby Girls Tie-Dye Terry Sweat Carmel Pink 18 months</t>
  </si>
  <si>
    <t>885031098987</t>
  </si>
  <si>
    <t>Polo Ralph Lauren Big Boys Polo Prepster Color B Colorblock 10</t>
  </si>
  <si>
    <t>885031528965</t>
  </si>
  <si>
    <t>Polo Ralph Lauren Big Boys Logo Hooded T-shirt Starboard Red M 1012</t>
  </si>
  <si>
    <t>882925073181</t>
  </si>
  <si>
    <t>Polo Ralph Lauren Baby Girls Solid Velour Dress Park Ave Red 9 months</t>
  </si>
  <si>
    <t>882925878892</t>
  </si>
  <si>
    <t>Polo Ralph Lauren Toddler Boys Polo Prepster Mes Lake Blue Multi 2T</t>
  </si>
  <si>
    <t>882303711735</t>
  </si>
  <si>
    <t>Earth Baby Outfitters Earth Baby Outfitters Baby Boy White 6-12 months</t>
  </si>
  <si>
    <t>17KL03</t>
  </si>
  <si>
    <t>EARTH BABY OUTFITTERS INC</t>
  </si>
  <si>
    <t>194894145395</t>
  </si>
  <si>
    <t>Columbia Columbia Big Boys Park Jogger Pale Lilac Large</t>
  </si>
  <si>
    <t>SPORTSWEAR BOYS/COLUMBIA BRANDS USA</t>
  </si>
  <si>
    <t>194870447352</t>
  </si>
  <si>
    <t>adidas Little Girls Fleece Pullover H Real Magenta 5</t>
  </si>
  <si>
    <t>AG4551C</t>
  </si>
  <si>
    <t>ADIDAS (SZ 2-6X)/LOLLYTOGS LTD</t>
  </si>
  <si>
    <t>733002852130</t>
  </si>
  <si>
    <t>First Impressions Baby Girls 4-Pc. Cat Camo Gift Blushing Bloom Newborn</t>
  </si>
  <si>
    <t>100121369BG</t>
  </si>
  <si>
    <t>633731562402</t>
  </si>
  <si>
    <t>Levis Big Boys 510 Skinny-Fit Jeans Sundance Kid 20</t>
  </si>
  <si>
    <t>91A770F</t>
  </si>
  <si>
    <t>617844280729</t>
  </si>
  <si>
    <t>Levis Boys 511 Performance Jeans Ice Cap 16</t>
  </si>
  <si>
    <t>918188F</t>
  </si>
  <si>
    <t>COTTON/POLYESTER/ELASTANE</t>
  </si>
  <si>
    <t>193605879444</t>
  </si>
  <si>
    <t>Sugar Sugar Little Girls Milhoja Coz Rose Gold 1M</t>
  </si>
  <si>
    <t>SGK MILHOJA</t>
  </si>
  <si>
    <t>1 M</t>
  </si>
  <si>
    <t>E S ORIGINALS INC</t>
  </si>
  <si>
    <t>194170400170</t>
  </si>
  <si>
    <t>Rare Editions Baby Girls Embroidered Gingham Blue 6-9 months</t>
  </si>
  <si>
    <t>190618958258</t>
  </si>
  <si>
    <t>Polo Ralph Lauren Toddler Boys Big Pony Jersey T Sapphire Star 22T</t>
  </si>
  <si>
    <t>195242243855</t>
  </si>
  <si>
    <t>Nike Nike Big Girls Dri-Fit One Pri Archaeo Pink, White XL 1820</t>
  </si>
  <si>
    <t>DJ5901</t>
  </si>
  <si>
    <t>191539889201</t>
  </si>
  <si>
    <t>Bonnie Baby Baby Girls Short Sleeved Bow T Purple 24 months</t>
  </si>
  <si>
    <t>R55302-PS</t>
  </si>
  <si>
    <t>7617076603511</t>
  </si>
  <si>
    <t>GUESS Baby Boys Allover Logo Print B Blue 12 months</t>
  </si>
  <si>
    <t>P2YG08J1300</t>
  </si>
  <si>
    <t>742728893648</t>
  </si>
  <si>
    <t>Levis Levis Big Girls Girlfriend De Glow Up 14</t>
  </si>
  <si>
    <t>41D539F</t>
  </si>
  <si>
    <t>194753906297</t>
  </si>
  <si>
    <t>Under Armour Little Boys Zip-Up Track Jacke Midnight Navy 6</t>
  </si>
  <si>
    <t>UAFEI47J-413</t>
  </si>
  <si>
    <t>194931287729</t>
  </si>
  <si>
    <t>Nautica Nautica Baby Boys 4-Piece Marl Blue 18 months</t>
  </si>
  <si>
    <t>NDSFR25C-426</t>
  </si>
  <si>
    <t>194870455142</t>
  </si>
  <si>
    <t>adidas Big Boys Indicator Pants Black Heather XL 1820</t>
  </si>
  <si>
    <t>AK5799</t>
  </si>
  <si>
    <t>191539950376</t>
  </si>
  <si>
    <t>Bonnie Baby Baby Girls Jumper with Rouched Spice 24 months</t>
  </si>
  <si>
    <t>W5-10478-JL</t>
  </si>
  <si>
    <t>194870759394</t>
  </si>
  <si>
    <t>adidas adidas Toddler Boys Printed To Blue Rush 2T</t>
  </si>
  <si>
    <t>807421581015</t>
  </si>
  <si>
    <t>ID Ideology Little Toddler Girls Camo-Pr Deep Black 5</t>
  </si>
  <si>
    <t>762120330244</t>
  </si>
  <si>
    <t>ID Ideology Little Boys Camo-Print Joggers Indigo Sea 7</t>
  </si>
  <si>
    <t>100137760LB</t>
  </si>
  <si>
    <t>762120330237</t>
  </si>
  <si>
    <t>ID Ideology Little Boys Camo-Print Joggers Indigo Sea 6</t>
  </si>
  <si>
    <t>762120330220</t>
  </si>
  <si>
    <t>ID Ideology Little Boys Camo-Print Joggers Indigo Sea 5</t>
  </si>
  <si>
    <t>762120330275</t>
  </si>
  <si>
    <t>ID Ideology Little Boys Camo-Print Joggers Indigo Sea 3T</t>
  </si>
  <si>
    <t>762120330213</t>
  </si>
  <si>
    <t>ID Ideology Little Boys Camo-Print Joggers Deep Black 3T</t>
  </si>
  <si>
    <t>762120330206</t>
  </si>
  <si>
    <t>ID Ideology Little Boys Camo-Print Joggers Deep Black 2T</t>
  </si>
  <si>
    <t>762120330268</t>
  </si>
  <si>
    <t>ID Ideology Little Boys Camo-Print Joggers Indigo Sea 2T</t>
  </si>
  <si>
    <t>762120330183</t>
  </si>
  <si>
    <t>ID Ideology Little Boys Camo-Print Joggers Deep Black 7</t>
  </si>
  <si>
    <t>762120330190</t>
  </si>
  <si>
    <t>ID Ideology Little Boys Camo-Print Joggers Deep Black 4T</t>
  </si>
  <si>
    <t>733004759420</t>
  </si>
  <si>
    <t>ID Ideology Big Girls Colorblocked Legging Pebble Hthr L 14</t>
  </si>
  <si>
    <t>100136757GR</t>
  </si>
  <si>
    <t>762120076982</t>
  </si>
  <si>
    <t>ID Ideology Big Girls Colorblocked Legging Deep Black XL 16</t>
  </si>
  <si>
    <t>766360131609</t>
  </si>
  <si>
    <t>First Impressions Baby Boys Light-Wash Denim Jog Light Wash 24 months</t>
  </si>
  <si>
    <t>100141036BB</t>
  </si>
  <si>
    <t>196027071557</t>
  </si>
  <si>
    <t>Avengers Big Boys Avengers Pajamas, 2 P Assorted 10</t>
  </si>
  <si>
    <t>A2220BLLMA</t>
  </si>
  <si>
    <t>194135316324</t>
  </si>
  <si>
    <t>Carters Baby Boys 3-Pc. Car Little Cha Blue 3 months</t>
  </si>
  <si>
    <t>733002219674</t>
  </si>
  <si>
    <t>Epic Threads Big Girls All Over Print Tie S Peacoat L 1416</t>
  </si>
  <si>
    <t>100117663GR</t>
  </si>
  <si>
    <t>766360657321</t>
  </si>
  <si>
    <t>Epic Threads Epic Threads Little Girls Grap Spring Daffodil 6X</t>
  </si>
  <si>
    <t>766360657284</t>
  </si>
  <si>
    <t>Epic Threads Epic Threads Little Girls Grap Spring Daffodil 6</t>
  </si>
  <si>
    <t>766360657314</t>
  </si>
  <si>
    <t>Epic Threads Epic Threads Toddler Girls Gra Spring Daffodil 4T</t>
  </si>
  <si>
    <t>766360443757</t>
  </si>
  <si>
    <t>ID Ideology Toddler Little Girls Colorbl Jet Ski 3T</t>
  </si>
  <si>
    <t>100140979LG</t>
  </si>
  <si>
    <t>762120212298</t>
  </si>
  <si>
    <t>ID Ideology Big Boys Knit Joggers Native Green XL</t>
  </si>
  <si>
    <t>100137762BO</t>
  </si>
  <si>
    <t>762120690058</t>
  </si>
  <si>
    <t>ID Ideology Toddler Little Girls Basic B Violet Tulle 6</t>
  </si>
  <si>
    <t>762120690300</t>
  </si>
  <si>
    <t>ID Ideology Toddler Little Girls Basic B Rose Shadow 4T</t>
  </si>
  <si>
    <t>762120690201</t>
  </si>
  <si>
    <t>ID Ideology Toddler Little Girls Basic B Violet Tulle 6X</t>
  </si>
  <si>
    <t>762120690072</t>
  </si>
  <si>
    <t>ID Ideology Toddler Little Girls Basic B Violet Tulle 3T</t>
  </si>
  <si>
    <t>762120690225</t>
  </si>
  <si>
    <t>ID Ideology Toddler Little Girls Basic B Rose Shadow 6</t>
  </si>
  <si>
    <t>762120690294</t>
  </si>
  <si>
    <t>ID Ideology Toddler Little Girls Basic B Rose Shadow 3T</t>
  </si>
  <si>
    <t>762120690218</t>
  </si>
  <si>
    <t>ID Ideology Toddler Little Girls Basic B Rose Shadow 5</t>
  </si>
  <si>
    <t>766360446017</t>
  </si>
  <si>
    <t>ID Ideology Big Girls Layered-Look Tank To Bright White S 78</t>
  </si>
  <si>
    <t>766360446130</t>
  </si>
  <si>
    <t>ID Ideology Big Girls Layered-Look Tank To Bright White XXL 18</t>
  </si>
  <si>
    <t>196258046881</t>
  </si>
  <si>
    <t>Calvin Klein Big Boys Boxer Brief, Pack of Deep Moat Blue, Black Iris L</t>
  </si>
  <si>
    <t>194135297807</t>
  </si>
  <si>
    <t>Carters Toddler Boys Everyday Pull-On Grey 3T</t>
  </si>
  <si>
    <t>2L760310</t>
  </si>
  <si>
    <t>194135297791</t>
  </si>
  <si>
    <t>Carters Toddler Boys Everyday Pull-On Grey 2T</t>
  </si>
  <si>
    <t>733003144586</t>
  </si>
  <si>
    <t>First Impressions Toddler Girls Leopard-Print Zi Neo Natural 2T</t>
  </si>
  <si>
    <t>100121189TG</t>
  </si>
  <si>
    <t>756845995123</t>
  </si>
  <si>
    <t>First Impressions Bear-Print Cotton Footed Cover Light GreyNavy 6-9 months</t>
  </si>
  <si>
    <t>762120689328</t>
  </si>
  <si>
    <t>ID Ideology Big Girls Faux-Layer Tank Jet Ski L 14</t>
  </si>
  <si>
    <t>100141263GR</t>
  </si>
  <si>
    <t>733004591952</t>
  </si>
  <si>
    <t>First Impressions Baby Boys or Girls Velour Cove Cherry Red 0-3 months</t>
  </si>
  <si>
    <t>194135224636</t>
  </si>
  <si>
    <t>Carters Baby Girls Tie-Dye Tank Knit D Pink 3 months</t>
  </si>
  <si>
    <t>1L734110</t>
  </si>
  <si>
    <t>766360438630</t>
  </si>
  <si>
    <t>ID Ideology Big Girls Pleated Tennis Skort Jet Ski XL 16</t>
  </si>
  <si>
    <t>100140171GR</t>
  </si>
  <si>
    <t>195958520127</t>
  </si>
  <si>
    <t>Tommy Hilfiger Tommy Hilfiger Big Boys Tie Dy Nebulas Blue M 1214</t>
  </si>
  <si>
    <t>TBSFB76F-451</t>
  </si>
  <si>
    <t>194135857315</t>
  </si>
  <si>
    <t>Carters Carters Baby Girls 1st Birthd Pink 12 months</t>
  </si>
  <si>
    <t>1N089510</t>
  </si>
  <si>
    <t>194135919808</t>
  </si>
  <si>
    <t>Carters Carters Toddler Boys Waves Ra Green 4T</t>
  </si>
  <si>
    <t>766360448158</t>
  </si>
  <si>
    <t>ID Ideology Big Girls Petal-Print Leggings Tropic Blue XL 16</t>
  </si>
  <si>
    <t>100141287GR</t>
  </si>
  <si>
    <t>766360448141</t>
  </si>
  <si>
    <t>ID Ideology Big Girls Petal-Print Leggings Tropic Blue L 14</t>
  </si>
  <si>
    <t>756500879393</t>
  </si>
  <si>
    <t>Tommy Hilfiger Tommy Hilfiger Boys Royal Stew Red ONE SIZE</t>
  </si>
  <si>
    <t>81BK4592</t>
  </si>
  <si>
    <t>766360129651</t>
  </si>
  <si>
    <t>First Impressions Baby Girls Eyelet Shirt Spring Daffodil 24 months</t>
  </si>
  <si>
    <t>196027062753</t>
  </si>
  <si>
    <t>PAW Patrol Toddler Boys Paw Patrol Pajama Assorted 2T</t>
  </si>
  <si>
    <t>WN866ELLMA</t>
  </si>
  <si>
    <t>766360651930</t>
  </si>
  <si>
    <t>ID Ideology Big Girls Shirred Joggers Jet Ski S 78</t>
  </si>
  <si>
    <t>100141030GR</t>
  </si>
  <si>
    <t>766380793184</t>
  </si>
  <si>
    <t>Epic Threads Epic Threads Big Girls Knit Sh Island Orange M 810</t>
  </si>
  <si>
    <t>766360314767</t>
  </si>
  <si>
    <t>ID Ideology Toddler Little Boys Solid Sw Deep Cobal 4T</t>
  </si>
  <si>
    <t>766380793207</t>
  </si>
  <si>
    <t>Epic Threads Epic Threads Big Girls Knit Sh Island Orange XL 16</t>
  </si>
  <si>
    <t>766380221298</t>
  </si>
  <si>
    <t>First Impressions Toddler Boys Smile Full-Zip Ja Blue Poppy 3T</t>
  </si>
  <si>
    <t>100148793TB</t>
  </si>
  <si>
    <t>196027072448</t>
  </si>
  <si>
    <t>Mickey Mouse Toddler Boys Mickey Mouse Paja Assorted 3T</t>
  </si>
  <si>
    <t>MK818ELLMA</t>
  </si>
  <si>
    <t>194135880894</t>
  </si>
  <si>
    <t>Carters Baby Boys 2-Pc. Dog Bodysuit Orange 24 months</t>
  </si>
  <si>
    <t>1N051710</t>
  </si>
  <si>
    <t>195861102328</t>
  </si>
  <si>
    <t>Carters Baby Boys 2-Pc. Truck-Print Bo Stripe 3 months</t>
  </si>
  <si>
    <t>1N607910</t>
  </si>
  <si>
    <t>196122328945</t>
  </si>
  <si>
    <t>Koala Baby Baby Girls Ribbed Pants, Pack Green 0-3 months</t>
  </si>
  <si>
    <t>KLF02268</t>
  </si>
  <si>
    <t>766370904705</t>
  </si>
  <si>
    <t>ID Ideology Big Girls Mesh Accent Jogger P Rose Shadow M 1012</t>
  </si>
  <si>
    <t>191655100266</t>
  </si>
  <si>
    <t>Chickpea Baby Boys 2-Pc. Top Printed Tan 24 months</t>
  </si>
  <si>
    <t>PE23214173</t>
  </si>
  <si>
    <t>194135320369</t>
  </si>
  <si>
    <t>Carters Baby Boys 2-Pk. Cotton Pull-On Navygreen Newborn</t>
  </si>
  <si>
    <t>1L763810</t>
  </si>
  <si>
    <t>766370303287</t>
  </si>
  <si>
    <t>Epic Threads Big Girls Graphic Romper Gossamer Green L 1214</t>
  </si>
  <si>
    <t>100145602GR</t>
  </si>
  <si>
    <t>194753822726</t>
  </si>
  <si>
    <t>Under Armour Under Armour Little Girls Logo Black 4</t>
  </si>
  <si>
    <t>UAFEA70R-001</t>
  </si>
  <si>
    <t>UNDER ARMOUR/KHQ INVESTMENT LLC</t>
  </si>
  <si>
    <t>766370302464</t>
  </si>
  <si>
    <t>Epic Threads Epic Threads Big Girls Splatte Washed Indigo S 78</t>
  </si>
  <si>
    <t>100145601GR</t>
  </si>
  <si>
    <t>733004752087</t>
  </si>
  <si>
    <t>Epic Threads Big Girls Long Sleeve All Over Lavender Pool XL 1820</t>
  </si>
  <si>
    <t>100138485GR</t>
  </si>
  <si>
    <t>762120691031</t>
  </si>
  <si>
    <t>ID Ideology Toddler Little Girls Rose-Pr Violet Tulle 2T</t>
  </si>
  <si>
    <t>100140977LG</t>
  </si>
  <si>
    <t>733004801372</t>
  </si>
  <si>
    <t>Epic Threads Toddler Girls Fair Isle Fleece Strawberry Pink 4T</t>
  </si>
  <si>
    <t>100138332LG</t>
  </si>
  <si>
    <t>766360443382</t>
  </si>
  <si>
    <t>ID Ideology Toddler Little Girls Hibiscu Jet Ski 2T</t>
  </si>
  <si>
    <t>766380221403</t>
  </si>
  <si>
    <t>First Impressions Baby Boys Splatter Paint Zip H Navy Nautical 3-6 months</t>
  </si>
  <si>
    <t>100148795BB</t>
  </si>
  <si>
    <t>766380221441</t>
  </si>
  <si>
    <t>First Impressions Baby Boys Splatter Paint Zip H Navy Nautical 24 months</t>
  </si>
  <si>
    <t>766380221359</t>
  </si>
  <si>
    <t>First Impressions Baby Boys Splatter Paint Zip H Snow Owl Hthr 24 months</t>
  </si>
  <si>
    <t>733004952456</t>
  </si>
  <si>
    <t>First Impressions Baby Girls Cupcakes Coverall Sunset Flamingo 3-6 months</t>
  </si>
  <si>
    <t>100136846BG</t>
  </si>
  <si>
    <t>766380221328</t>
  </si>
  <si>
    <t>First Impressions Baby Boys Splatter Paint Zip H Snow Owl Hthr 3-6 months</t>
  </si>
  <si>
    <t>762120687942</t>
  </si>
  <si>
    <t>ID Ideology Big Girls Fearless Side Cut-Ou Violet Tulle XL 16</t>
  </si>
  <si>
    <t>100140172GR</t>
  </si>
  <si>
    <t>195861159223</t>
  </si>
  <si>
    <t>Carters Carters Baby Girls Watermelon Pink 18 months</t>
  </si>
  <si>
    <t>1N683610</t>
  </si>
  <si>
    <t>195861099093</t>
  </si>
  <si>
    <t>Carters Baby Girls Pink Floral Jumpsui Pink 3 months</t>
  </si>
  <si>
    <t>195861284437</t>
  </si>
  <si>
    <t>Carters Carters Toddler Girls Long Sl Navy 4T</t>
  </si>
  <si>
    <t>2O050310</t>
  </si>
  <si>
    <t>193712372838</t>
  </si>
  <si>
    <t>Imperial Star Big Girls Athleisure Shorts Tie Dye XL</t>
  </si>
  <si>
    <t>762120691277</t>
  </si>
  <si>
    <t>ID Ideology Big Boys Strong Lace-Up Top Bright White M 1012</t>
  </si>
  <si>
    <t>100141261GR</t>
  </si>
  <si>
    <t>766360438135</t>
  </si>
  <si>
    <t>ID Ideology Big Girls Future Lace-Up Top Tropic Blue M 1012</t>
  </si>
  <si>
    <t>100141277GR</t>
  </si>
  <si>
    <t>766360438128</t>
  </si>
  <si>
    <t>ID Ideology Big Girls Future Lace-Up Top Tropic Blue S 78</t>
  </si>
  <si>
    <t>766360438159</t>
  </si>
  <si>
    <t>ID Ideology Big Girls Future Lace-Up Top Tropic Blue XL 16</t>
  </si>
  <si>
    <t>762120691260</t>
  </si>
  <si>
    <t>ID Ideology Big Boys Strong Lace-Up Top Bright White S 78</t>
  </si>
  <si>
    <t>766380220826</t>
  </si>
  <si>
    <t>First Impressions Baby Girls Floral-Print Hoodie Blush Pink 3-6 months</t>
  </si>
  <si>
    <t>766360442026</t>
  </si>
  <si>
    <t>ID Ideology Toddler Little Girls Fearles Violet Tulle 6</t>
  </si>
  <si>
    <t>766370911369</t>
  </si>
  <si>
    <t>ID Ideology Little Girls 2-Pc. T-Shirt S Pink Hustle 4T</t>
  </si>
  <si>
    <t>766360649081</t>
  </si>
  <si>
    <t>Epic Threads Epic Threads Little Girls Lemo Orchid Bloom 5</t>
  </si>
  <si>
    <t>766360649098</t>
  </si>
  <si>
    <t>Epic Threads Epic Threads Little Girls Lemo Orchid Bloom 6</t>
  </si>
  <si>
    <t>766380221236</t>
  </si>
  <si>
    <t>First Impressions Baby Boys Smile Full-Zip Jacke Blue Poppy 18 months</t>
  </si>
  <si>
    <t>766370083257</t>
  </si>
  <si>
    <t>Epic Threads Epic Threads Toddler Boys Tie Caribe Blue 3T</t>
  </si>
  <si>
    <t>766370083202</t>
  </si>
  <si>
    <t>Epic Threads Epic Threads Little Boys Tie D Caribe Blue 5</t>
  </si>
  <si>
    <t>766370083233</t>
  </si>
  <si>
    <t>Epic Threads Epic Threads Toddler Boys Tie Caribe Blue 4T</t>
  </si>
  <si>
    <t>194257714558</t>
  </si>
  <si>
    <t>Champion Champion Big Boys Sunrise Scri Kelly Green XL 1820</t>
  </si>
  <si>
    <t>CHB216</t>
  </si>
  <si>
    <t>766380222448</t>
  </si>
  <si>
    <t>First Impressions Baby Boys Hooded Bodysuit Safflower 3-6 months</t>
  </si>
  <si>
    <t>191603349945</t>
  </si>
  <si>
    <t>Nintendo Little Boys Mario Icon Graphic Red Heather 5</t>
  </si>
  <si>
    <t>762120819749</t>
  </si>
  <si>
    <t>ID Ideology Big Boys Colorblocked Shorts Deep Black L</t>
  </si>
  <si>
    <t>195861149057</t>
  </si>
  <si>
    <t>Carters Toddler Girls Graphic-Print Fl Green 5T</t>
  </si>
  <si>
    <t>195861137078</t>
  </si>
  <si>
    <t>Carters Toddler Boys 1-Pc. Stripe-Prin Stripe Print 4T</t>
  </si>
  <si>
    <t>2N709510</t>
  </si>
  <si>
    <t>194135932081</t>
  </si>
  <si>
    <t>Carters Carters Baby Girls One-Piece Print 18 months</t>
  </si>
  <si>
    <t>1N044910</t>
  </si>
  <si>
    <t>195861147367</t>
  </si>
  <si>
    <t>Carters Toddler Girls Graphic-Print Fl Yellow 4T</t>
  </si>
  <si>
    <t>733004780592</t>
  </si>
  <si>
    <t>Epic Threads Toddler Girls Long Sleeve Drop Holiday Ivory 4T</t>
  </si>
  <si>
    <t>100138306LG</t>
  </si>
  <si>
    <t>733004780554</t>
  </si>
  <si>
    <t>Epic Threads Little Girls Long Sleeve Drop Holiday Ivory 5</t>
  </si>
  <si>
    <t>191655248241</t>
  </si>
  <si>
    <t>Chickpea Chickpea Baby Boys Bodysuit an Green 3-6 months</t>
  </si>
  <si>
    <t>PE22230456</t>
  </si>
  <si>
    <t>766360309947</t>
  </si>
  <si>
    <t>ID Ideology Big Boys Mesh Break Shorts Deep Cobal M</t>
  </si>
  <si>
    <t>766360309961</t>
  </si>
  <si>
    <t>ID Ideology Big Boys Mesh Break Shorts Deep Cobal XL</t>
  </si>
  <si>
    <t>766360309954</t>
  </si>
  <si>
    <t>ID Ideology Big Boys Mesh Break Shorts Deep Cobal L</t>
  </si>
  <si>
    <t>766370877429</t>
  </si>
  <si>
    <t>First Impressions Baby Boys Tie Dye Terrycloth R Turq Splash 12 months</t>
  </si>
  <si>
    <t>762120329798</t>
  </si>
  <si>
    <t>ID Ideology Toddler Little Boys Camo-Pri Silver Ice 2T</t>
  </si>
  <si>
    <t>762120329750</t>
  </si>
  <si>
    <t>ID Ideology Toddler Little Boys Camo-Pri Silver Ice 5</t>
  </si>
  <si>
    <t>762120329774</t>
  </si>
  <si>
    <t>ID Ideology Toddler Little Boys Camo-Pri Silver Ice 7</t>
  </si>
  <si>
    <t>762120024235</t>
  </si>
  <si>
    <t>ID Ideology Toddler Little Boys Camo-Pri LICORICE RED 4T</t>
  </si>
  <si>
    <t>762120024228</t>
  </si>
  <si>
    <t>ID Ideology Toddler Little Boys Camo-Pri LICORICE RED 7</t>
  </si>
  <si>
    <t>762120329767</t>
  </si>
  <si>
    <t>ID Ideology Toddler Little Boys Camo-Pri Silver Ice 6</t>
  </si>
  <si>
    <t>762120024204</t>
  </si>
  <si>
    <t>ID Ideology Toddler Little Boys Camo-Pri LICORICE RED 5</t>
  </si>
  <si>
    <t>762120263757</t>
  </si>
  <si>
    <t>Epic Threads Epic Threads Big Girls Jacquar Cherry Flame S 78</t>
  </si>
  <si>
    <t>100138501GR</t>
  </si>
  <si>
    <t>766380723440</t>
  </si>
  <si>
    <t>First Impressions Baby Boys Critters Solid Pan Snow Owl Hthr 6-9 months</t>
  </si>
  <si>
    <t>766370770485</t>
  </si>
  <si>
    <t>Epic Threads Epic Threads Big Girls Surf Cl Ultra Lime XL 16</t>
  </si>
  <si>
    <t>766370770478</t>
  </si>
  <si>
    <t>Epic Threads Epic Threads Big Girls Surf Cl Ultra Lime L 1214</t>
  </si>
  <si>
    <t>840144218912</t>
  </si>
  <si>
    <t>InMocean Toddler Girls Chenille Unicorn Multi</t>
  </si>
  <si>
    <t>DFA31232-MAC-MLT</t>
  </si>
  <si>
    <t>766370910652</t>
  </si>
  <si>
    <t>ID Ideology Little Toddler Girls Woven S Mock Orange 5</t>
  </si>
  <si>
    <t>766360667894</t>
  </si>
  <si>
    <t>Epic Threads Epic Threads Big Girls Heart A Blush Pink XL 1820</t>
  </si>
  <si>
    <t>100145559GR</t>
  </si>
  <si>
    <t>766370156593</t>
  </si>
  <si>
    <t>Epic Threads Epic Threads Big Girls Side St Ghost Heather L 1214</t>
  </si>
  <si>
    <t>766370156647</t>
  </si>
  <si>
    <t>Epic Threads Epic Threads Big Girls Daisy L Royal Ink XL 16</t>
  </si>
  <si>
    <t>100145566GR</t>
  </si>
  <si>
    <t>766370156623</t>
  </si>
  <si>
    <t>Epic Threads Epic Threads Big Girls Daisy L Royal Ink M 810</t>
  </si>
  <si>
    <t>766370156616</t>
  </si>
  <si>
    <t>Epic Threads Epic Threads Big Girls Daisy L Royal Ink S 78</t>
  </si>
  <si>
    <t>766370156630</t>
  </si>
  <si>
    <t>Epic Threads Epic Threads Big Girls Daisy L Royal Ink L 1214</t>
  </si>
  <si>
    <t>733002786336</t>
  </si>
  <si>
    <t>Epic Threads Little Girls Graphic Cold Shou Sugar Coral 6</t>
  </si>
  <si>
    <t>100124594LG</t>
  </si>
  <si>
    <t>194135906129</t>
  </si>
  <si>
    <t>Carters Carters Baby Boys Striped Hen Yellow 3 months</t>
  </si>
  <si>
    <t>1N069810</t>
  </si>
  <si>
    <t>766380716299</t>
  </si>
  <si>
    <t>First Impressions Baby Boy REINDEER SUNSUIT Cherry Red 12 months</t>
  </si>
  <si>
    <t>766370827622</t>
  </si>
  <si>
    <t>Epic Threads Epic Threads Big Girls Palm Pr Coral Topaz L 1214</t>
  </si>
  <si>
    <t>766380272375</t>
  </si>
  <si>
    <t>Epic Threads Epic Threads Big Girls Ribbed Gossamer Green L 1214</t>
  </si>
  <si>
    <t>100154978GR</t>
  </si>
  <si>
    <t>766380272382</t>
  </si>
  <si>
    <t>Epic Threads Epic Threads Big Girls Ribbed Gossamer Green XL 16</t>
  </si>
  <si>
    <t>766380272405</t>
  </si>
  <si>
    <t>Epic Threads Epic Threads Big Girls Ribbed Sweet Berry M 810</t>
  </si>
  <si>
    <t>766380272412</t>
  </si>
  <si>
    <t>Epic Threads Epic Threads Big Girls Ribbed Sweet Berry L 1214</t>
  </si>
  <si>
    <t>766360139414</t>
  </si>
  <si>
    <t>First Impressions Baby Girls 2-Pk. Leggings, Lilac Moon 3-6 months</t>
  </si>
  <si>
    <t>100141487BG</t>
  </si>
  <si>
    <t>762120499224</t>
  </si>
  <si>
    <t>First Impressions Baby Boy Rugby Polo Romper Spring Daffodil 0-3 months</t>
  </si>
  <si>
    <t>733003081607</t>
  </si>
  <si>
    <t>ID Ideology Little Girls Flex Leggings Indigo Sea 5</t>
  </si>
  <si>
    <t>766370619616</t>
  </si>
  <si>
    <t>First Impressions Baby Boys Folded Dye-Print Sun Aquarius 12 months</t>
  </si>
  <si>
    <t>100150981BB</t>
  </si>
  <si>
    <t>762120821605</t>
  </si>
  <si>
    <t>ID Ideology Toddler Little Boys Active S Deep Black 5</t>
  </si>
  <si>
    <t>100141173LB</t>
  </si>
  <si>
    <t>766370168862</t>
  </si>
  <si>
    <t>ID Ideology Toddler Little Girls Marble- Pistachio Green 2T</t>
  </si>
  <si>
    <t>762120821650</t>
  </si>
  <si>
    <t>ID Ideology Toddler Little Boys Active S Deep Black 3T</t>
  </si>
  <si>
    <t>762120821629</t>
  </si>
  <si>
    <t>ID Ideology Toddler Little Boys Active S Deep Black 7</t>
  </si>
  <si>
    <t>762120821612</t>
  </si>
  <si>
    <t>ID Ideology Toddler Little Boys Active S Deep Black 6</t>
  </si>
  <si>
    <t>762120821636</t>
  </si>
  <si>
    <t>ID Ideology Toddler Little Boys Active S Deep Black 4T</t>
  </si>
  <si>
    <t>762120821643</t>
  </si>
  <si>
    <t>ID Ideology Toddler Little Boys Active S Deep Black 2T</t>
  </si>
  <si>
    <t>733001912453</t>
  </si>
  <si>
    <t>First Impressions Baby Boys Giraffe Cotton Sunsu Sunny Yellow 18 months</t>
  </si>
  <si>
    <t>766370912281</t>
  </si>
  <si>
    <t>ID Ideology Little Boys Stripe-Print Short Vivid Turq 2T</t>
  </si>
  <si>
    <t>100148318LB</t>
  </si>
  <si>
    <t>194135898080</t>
  </si>
  <si>
    <t>Carters Baby Boys Firetruck Snap-Up Ro Red 24 months</t>
  </si>
  <si>
    <t>1N055510</t>
  </si>
  <si>
    <t>766370897588</t>
  </si>
  <si>
    <t>MESH BREAK SHORT</t>
  </si>
  <si>
    <t>100137757LB</t>
  </si>
  <si>
    <t>766370897595</t>
  </si>
  <si>
    <t>766360828806</t>
  </si>
  <si>
    <t>ID Ideology Toddler Little Boys Mesh Sho Deep Charc 2T</t>
  </si>
  <si>
    <t>766360828783</t>
  </si>
  <si>
    <t>ID Ideology Toddler Little Boys Mesh Sho Deep Charc 7</t>
  </si>
  <si>
    <t>766360310837</t>
  </si>
  <si>
    <t>ID Ideology Toddler Little Boys Mesh Sho Deep Cobal 7</t>
  </si>
  <si>
    <t>766370897618</t>
  </si>
  <si>
    <t>766360310820</t>
  </si>
  <si>
    <t>ID Ideology Toddler Little Boys Mesh Sho Deep Cobal 6</t>
  </si>
  <si>
    <t>766370911932</t>
  </si>
  <si>
    <t>ID Ideology Toddler Little Boys Mesh Sho Licorice Red 7</t>
  </si>
  <si>
    <t>766370911925</t>
  </si>
  <si>
    <t>ID Ideology Toddler Little Boys Mesh Sho Licorice Red 6</t>
  </si>
  <si>
    <t>766360828776</t>
  </si>
  <si>
    <t>ID Ideology Toddler Little Boys Mesh Sho Deep Charc 6</t>
  </si>
  <si>
    <t>766370897632</t>
  </si>
  <si>
    <t>766370911949</t>
  </si>
  <si>
    <t>ID Ideology Toddler Little Boys Mesh Sho Licorice Red 4T</t>
  </si>
  <si>
    <t>766380383347</t>
  </si>
  <si>
    <t>ID Ideology Little Girls Lace-Up Top Pink Hustl 6</t>
  </si>
  <si>
    <t>733003713539</t>
  </si>
  <si>
    <t>Epic Threads Big Girls Short Sleeve Graphic Ghost Heather Small</t>
  </si>
  <si>
    <t>100134953GR</t>
  </si>
  <si>
    <t>766380383415</t>
  </si>
  <si>
    <t>ID Ideology Little Girls Lace-Up Top Pink Hustl 3T</t>
  </si>
  <si>
    <t>766380383408</t>
  </si>
  <si>
    <t>ID Ideology Little Girls Lace-Up Top Pink Hustl 2T</t>
  </si>
  <si>
    <t>766380383422</t>
  </si>
  <si>
    <t>ID Ideology Little Girls Lace-Up Top Pink Hustl 4T</t>
  </si>
  <si>
    <t>766380383330</t>
  </si>
  <si>
    <t>ID Ideology Little Girls Lace-Up Top Pink Hustl 5</t>
  </si>
  <si>
    <t>762120824408</t>
  </si>
  <si>
    <t>ID Ideology Toddler Little Boys Polo Bright White 6</t>
  </si>
  <si>
    <t>196325117735</t>
  </si>
  <si>
    <t>Batman Toddler Boys Batmobile Short S White 4T</t>
  </si>
  <si>
    <t>195883273617</t>
  </si>
  <si>
    <t>Disney Toddler Girls Princess Stronge Lavender 3T</t>
  </si>
  <si>
    <t>T000126GD13094</t>
  </si>
  <si>
    <t>196325117797</t>
  </si>
  <si>
    <t>Batman Toddler Boys Batman Cape Time Sky Blue 3T</t>
  </si>
  <si>
    <t>2JDCB2040</t>
  </si>
  <si>
    <t>196325117742</t>
  </si>
  <si>
    <t>Batman Little Boys Batmobile Short Sl White 5</t>
  </si>
  <si>
    <t>733002148905</t>
  </si>
  <si>
    <t>Epic Threads Little Boys Drawstring Solid K Toasted Coconut 7</t>
  </si>
  <si>
    <t>100120945LB</t>
  </si>
  <si>
    <t>766380186641</t>
  </si>
  <si>
    <t>ID Ideology Little Girls Tropical-Print Ta Deep Black 3T</t>
  </si>
  <si>
    <t>766370778573</t>
  </si>
  <si>
    <t>Epic Threads Epic Threads Little Girls Parr Coral Topaz 5</t>
  </si>
  <si>
    <t>100152960LG</t>
  </si>
  <si>
    <t>766360669133</t>
  </si>
  <si>
    <t>Epic Threads Epic Threads Big Girls Tie Dye Washed Indigo L 1416</t>
  </si>
  <si>
    <t>766370778535</t>
  </si>
  <si>
    <t>Epic Threads Epic Threads Toddler Girls Pin Angel White 2T</t>
  </si>
  <si>
    <t>766370770775</t>
  </si>
  <si>
    <t>Epic Threads Epic Thread Big Girls Graphic Coral Topaz L 1214</t>
  </si>
  <si>
    <t>766380219509</t>
  </si>
  <si>
    <t>First Impressions Toddler Boys Solid Pocket Jogg Safflower 2T</t>
  </si>
  <si>
    <t>766380219479</t>
  </si>
  <si>
    <t>First Impressions Toddler Boys Solid Pocket Jogg Tomato Puree 2T</t>
  </si>
  <si>
    <t>766370770591</t>
  </si>
  <si>
    <t>Epic Threads Epic Threads Big Girls Bike Sh Peppermint Frost L 1214</t>
  </si>
  <si>
    <t>766370913370</t>
  </si>
  <si>
    <t>ID Ideology Toddler Little Boys Striped Vivid Turq 3T</t>
  </si>
  <si>
    <t>766370912694</t>
  </si>
  <si>
    <t>ID Ideology Toddler Little Boys Striped Vivid Turq 4T</t>
  </si>
  <si>
    <t>766370912663</t>
  </si>
  <si>
    <t>ID Ideology Toddler Little Boys Striped Vivid Turq 6</t>
  </si>
  <si>
    <t>195861145684</t>
  </si>
  <si>
    <t>Carters Toddler Girls Stripe-Print Fre Stripe 3T</t>
  </si>
  <si>
    <t>766370770553</t>
  </si>
  <si>
    <t>Epic Threads Epic Threads Big Girls Bike Sh Skygaze L 1214</t>
  </si>
  <si>
    <t>766370770577</t>
  </si>
  <si>
    <t>Epic Threads Epic Threads Big Girls Bike Sh Peppermint Frost S 78</t>
  </si>
  <si>
    <t>195861146643</t>
  </si>
  <si>
    <t>Carters Toddler Girls Stripe-Print Fre Floral 4T</t>
  </si>
  <si>
    <t>762120822596</t>
  </si>
  <si>
    <t>ID Ideology Toddler Little Boys Solid Kn Indigo Sea 7</t>
  </si>
  <si>
    <t>766370769250</t>
  </si>
  <si>
    <t>Epic Threads Toddler Boys Graphic Short Sle Skygaze 2T</t>
  </si>
  <si>
    <t>100151794LB</t>
  </si>
  <si>
    <t>766370084292</t>
  </si>
  <si>
    <t>Epic Threads Epic Threads Little Boys Dinos Sparkling Blue 6</t>
  </si>
  <si>
    <t>100144950LB</t>
  </si>
  <si>
    <t>766370084025</t>
  </si>
  <si>
    <t>Epic Threads Toddler Boys Racecar Graphic T Bright White 4T</t>
  </si>
  <si>
    <t>766360686017</t>
  </si>
  <si>
    <t>Epic Threads Little Boys Shark Graphic T-sh Sparkling Blue 5</t>
  </si>
  <si>
    <t>100144724LB</t>
  </si>
  <si>
    <t>733003082222</t>
  </si>
  <si>
    <t>ID Ideology Little Girls Lace-Up Top Hthr Grey 050 6</t>
  </si>
  <si>
    <t>733004780097</t>
  </si>
  <si>
    <t>Epic Threads Toddler Girls Stripe Graphic T Holiday Ivory 4T</t>
  </si>
  <si>
    <t>100138297LG</t>
  </si>
  <si>
    <t>766370777736</t>
  </si>
  <si>
    <t>Epic Threads Epic Threads Toddler Girls Pal Angel White 2T</t>
  </si>
  <si>
    <t>766360643737</t>
  </si>
  <si>
    <t>Epic Threads Toddler Girls Smiley Graphic T Spacious Sky 2T</t>
  </si>
  <si>
    <t>100145042LG</t>
  </si>
  <si>
    <t>766360645496</t>
  </si>
  <si>
    <t>Epic Threads Toddler Girls Brighter Days Ah Shell Pink 3T</t>
  </si>
  <si>
    <t>766360644147</t>
  </si>
  <si>
    <t>Epic Threads Toddler Girls Smiley Graphic T Spacious Sky 3T</t>
  </si>
  <si>
    <t>766360642952</t>
  </si>
  <si>
    <t>Epic Threads Epic Threads Little Girls Smil Angel White 6X</t>
  </si>
  <si>
    <t>100145039LG</t>
  </si>
  <si>
    <t>766360644154</t>
  </si>
  <si>
    <t>Epic Threads Toddler Girls Smiley Graphic T Spacious Sky 4T</t>
  </si>
  <si>
    <t>766360645151</t>
  </si>
  <si>
    <t>Epic Threads Little Girls Unicorn Graphic T Washed Indigo 6X</t>
  </si>
  <si>
    <t>733004780271</t>
  </si>
  <si>
    <t>Epic Threads Toddler Girls Heart Graphic Ve Sugar Blue 4T</t>
  </si>
  <si>
    <t>100138300LG</t>
  </si>
  <si>
    <t>762120494472</t>
  </si>
  <si>
    <t>First Impressions Baby Girls Twirl Dye-Print Dre Bright White 0-3 months</t>
  </si>
  <si>
    <t>100141158BG</t>
  </si>
  <si>
    <t>762120819152</t>
  </si>
  <si>
    <t>ID Ideology Big Boys Core Athletic Tank Native Green L</t>
  </si>
  <si>
    <t>762120819237</t>
  </si>
  <si>
    <t>ID Ideology Big Boys Core Athletic Tank Indigo Sea L</t>
  </si>
  <si>
    <t>766380217796</t>
  </si>
  <si>
    <t>First Impressions Baby Boys Pocket Jogger Pants Safflower 6-9 months</t>
  </si>
  <si>
    <t>100148789BB</t>
  </si>
  <si>
    <t>766380217147</t>
  </si>
  <si>
    <t>First Impressions Baby Boys Pocket Jogger Pants Safflower 3-6 months</t>
  </si>
  <si>
    <t>766380217130</t>
  </si>
  <si>
    <t>First Impressions Baby Boys Pocket Jogger Pants Safflower 12 months</t>
  </si>
  <si>
    <t>766380217987</t>
  </si>
  <si>
    <t>First Impressions Baby Boys Knee Patch Jogger Pa Blue Poppy 3-6 months</t>
  </si>
  <si>
    <t>766370990272</t>
  </si>
  <si>
    <t>Epic Threads Big Girls Leopard-Print T-Shir Mojave L 1214</t>
  </si>
  <si>
    <t>100142708GR</t>
  </si>
  <si>
    <t>766380221731</t>
  </si>
  <si>
    <t>First Impressions Baby Girls Fashion Bodysuit Blush Pink 6-9 months</t>
  </si>
  <si>
    <t>733001175179</t>
  </si>
  <si>
    <t>First Impressions Baby Boys Menswear Plaid Jogge Pewter Heather 6-9 months</t>
  </si>
  <si>
    <t>100101754BB</t>
  </si>
  <si>
    <t>733002944385</t>
  </si>
  <si>
    <t>Epic Threads Little Boys V-Neck Basic Tee, Peacoat 5</t>
  </si>
  <si>
    <t>100129409LB</t>
  </si>
  <si>
    <t>766370860384</t>
  </si>
  <si>
    <t>First Impressions Toddler Girls Linework Shells Violet Tulle 4T</t>
  </si>
  <si>
    <t>100150017TG</t>
  </si>
  <si>
    <t>733003932176</t>
  </si>
  <si>
    <t>First Impressions Baby Boys Lumberjack Plaid Pan Angel White 3-6 months</t>
  </si>
  <si>
    <t>733003932190</t>
  </si>
  <si>
    <t>First Impressions Baby Boys Lumberjack Plaid Pan Angel White 18 months</t>
  </si>
  <si>
    <t>733004292750</t>
  </si>
  <si>
    <t>First Impressions Baby Boys Mountain-Print Jogge Washed Blue 6-9 months</t>
  </si>
  <si>
    <t>100130729BB</t>
  </si>
  <si>
    <t>733004292040</t>
  </si>
  <si>
    <t>First Impressions Baby Boys Mountain-Print Jogge Washed Blue 12 months</t>
  </si>
  <si>
    <t>733003932206</t>
  </si>
  <si>
    <t>First Impressions Baby Boys Lumberjack Plaid Pan Angel White 24 months</t>
  </si>
  <si>
    <t>766380216355</t>
  </si>
  <si>
    <t>First Impressions Baby Boys Print Jogger Pants Snow Owl Hthr 3-6 months</t>
  </si>
  <si>
    <t>100148788BB</t>
  </si>
  <si>
    <t>733003932183</t>
  </si>
  <si>
    <t>First Impressions Baby Boys Lumberjack Plaid Pan Angel White 6-9 months</t>
  </si>
  <si>
    <t>733004292774</t>
  </si>
  <si>
    <t>First Impressions Baby Boys Mountain-Print Jogge Washed Blue 24 months</t>
  </si>
  <si>
    <t>766380216300</t>
  </si>
  <si>
    <t>First Impressions Baby Boys Striped Jogger Pants Hthr Sterling 3-6 months</t>
  </si>
  <si>
    <t>766370874411</t>
  </si>
  <si>
    <t>First Impressions Baby Boys Stripe-Print Jogger Skygaze 12 months</t>
  </si>
  <si>
    <t>100148778BB</t>
  </si>
  <si>
    <t>766370874503</t>
  </si>
  <si>
    <t>First Impressions Baby Boys Stripe-Print Jogger Skygaze 24 months</t>
  </si>
  <si>
    <t>766370874435</t>
  </si>
  <si>
    <t>First Impressions Baby Boys Stripe-Print Jogger Skygaze 3-6 months</t>
  </si>
  <si>
    <t>766370873865</t>
  </si>
  <si>
    <t>First Impressions Baby Boys Underwater Adventure Peppermintfrost 18 months</t>
  </si>
  <si>
    <t>766370898578</t>
  </si>
  <si>
    <t>ID Ideology Little Boys Core Training Shir Vivid Turq 7</t>
  </si>
  <si>
    <t>762120823678</t>
  </si>
  <si>
    <t>ID Ideology Little Boys Core Training Shir Lime Popsicle 5</t>
  </si>
  <si>
    <t>766360314521</t>
  </si>
  <si>
    <t>ID Ideology Little Boys Core Training Shir Deep Cobal 2T</t>
  </si>
  <si>
    <t>762120062367</t>
  </si>
  <si>
    <t>ID Ideology Little Boys Core Training Shir LICORICE RED 6</t>
  </si>
  <si>
    <t>762120062398</t>
  </si>
  <si>
    <t>ID Ideology Little Boys Core Training Shir LICORICE RED 2T</t>
  </si>
  <si>
    <t>762120062350</t>
  </si>
  <si>
    <t>ID Ideology Little Boys Core Training Shir LICORICE RED 5</t>
  </si>
  <si>
    <t>762120062374</t>
  </si>
  <si>
    <t>ID Ideology Little Boys Core Training Shir LICORICE RED 7</t>
  </si>
  <si>
    <t>766360828530</t>
  </si>
  <si>
    <t>ID Ideology Little Boys Core Training Shir Deep Charc 3T</t>
  </si>
  <si>
    <t>766360828455</t>
  </si>
  <si>
    <t>ID Ideology Little Boys Core Training Shir Deep Charc 4T</t>
  </si>
  <si>
    <t>766360828431</t>
  </si>
  <si>
    <t>ID Ideology Little Boys Core Training Shir Deep Charc 6</t>
  </si>
  <si>
    <t>766360828448</t>
  </si>
  <si>
    <t>ID Ideology Little Boys Core Training Shir Deep Charc 7</t>
  </si>
  <si>
    <t>766380220512</t>
  </si>
  <si>
    <t>First Impressions Toddler Boys Striped Henley T- Hthr Sterling 3T</t>
  </si>
  <si>
    <t>100151871TB</t>
  </si>
  <si>
    <t>762120122979</t>
  </si>
  <si>
    <t>First Impressions Baby Girls Striped Ruffle Legg Angel White 3-6 months</t>
  </si>
  <si>
    <t>100137360BG</t>
  </si>
  <si>
    <t>766370908451</t>
  </si>
  <si>
    <t>ID Ideology Toddler Little Boys Core Tan Licorice Red 2T</t>
  </si>
  <si>
    <t>766370908376</t>
  </si>
  <si>
    <t>ID Ideology Toddler Little Boys Core Tan Licorice Red 5</t>
  </si>
  <si>
    <t>762120857987</t>
  </si>
  <si>
    <t>ID Ideology Toddler Little Boys Core Tan Deep Black 5</t>
  </si>
  <si>
    <t>766370908499</t>
  </si>
  <si>
    <t>ID Ideology Toddler Little Boys Core Tan Lime Popsicle 7</t>
  </si>
  <si>
    <t>762120858007</t>
  </si>
  <si>
    <t>ID Ideology Toddler Little Boys Core Tan Deep Black 7</t>
  </si>
  <si>
    <t>762120858694</t>
  </si>
  <si>
    <t>ID Ideology Toddler Little Boys Core Tan Indigo Sea 7</t>
  </si>
  <si>
    <t>766370908468</t>
  </si>
  <si>
    <t>ID Ideology Toddler Little Boys Core Tan Licorice Red 3T</t>
  </si>
  <si>
    <t>766370908482</t>
  </si>
  <si>
    <t>ID Ideology Toddler Little Boys Core Tan Lime Popsicle 6</t>
  </si>
  <si>
    <t>766370908529</t>
  </si>
  <si>
    <t>ID Ideology Toddler Little Boys Core Tan Lime Popsicle 3T</t>
  </si>
  <si>
    <t>766370908437</t>
  </si>
  <si>
    <t>ID Ideology Toddler Little Boys Core Tan Licorice Red 7</t>
  </si>
  <si>
    <t>762120857994</t>
  </si>
  <si>
    <t>ID Ideology Toddler Little Boys Core Tan Deep Black 6</t>
  </si>
  <si>
    <t>766370908512</t>
  </si>
  <si>
    <t>ID Ideology Toddler Little Boys Core Tan Lime Popsicle 2T</t>
  </si>
  <si>
    <t>766370908383</t>
  </si>
  <si>
    <t>ID Ideology Toddler Little Boys Core Tan Licorice Red 6</t>
  </si>
  <si>
    <t>766370908444</t>
  </si>
  <si>
    <t>ID Ideology Toddler Little Boys Core Tan Licorice Red 4T</t>
  </si>
  <si>
    <t>766360109158</t>
  </si>
  <si>
    <t>Epic Threads Big Girls Solid Shirt Shell Pink S 7</t>
  </si>
  <si>
    <t>733004746253</t>
  </si>
  <si>
    <t>First Impressions Baby Boys Polar Bear Long-Slee Slate Heather 6-9 months</t>
  </si>
  <si>
    <t>100136129BB</t>
  </si>
  <si>
    <t>762120495080</t>
  </si>
  <si>
    <t>First Impressions Baby Boy Plaid Shorts Navy Nautical 24 months</t>
  </si>
  <si>
    <t>100141475BB</t>
  </si>
  <si>
    <t>733003928414</t>
  </si>
  <si>
    <t>First Impressions Toddler Boys Beanie Critters L Cherry Red 4T</t>
  </si>
  <si>
    <t>100130714TB</t>
  </si>
  <si>
    <t>766370869936</t>
  </si>
  <si>
    <t>First Impressions Baby Boys Tropical Smudge Shor Peppermintfrost 3-6 months</t>
  </si>
  <si>
    <t>762120495073</t>
  </si>
  <si>
    <t>First Impressions Baby Boy Plaid Shorts Navy Nautical 18 months</t>
  </si>
  <si>
    <t>191764580638</t>
  </si>
  <si>
    <t>Jem Graphic-Print T-Shirt, Little Heather Grey 4</t>
  </si>
  <si>
    <t>191764580614</t>
  </si>
  <si>
    <t>Jem Graphic-Print T-Shirt, Toddler Heather Grey 2T</t>
  </si>
  <si>
    <t>733002944217</t>
  </si>
  <si>
    <t>Epic Threads Little Boys Camo Basic Tee, Cr Deep Black 6</t>
  </si>
  <si>
    <t>100129408LB</t>
  </si>
  <si>
    <t>762120123044</t>
  </si>
  <si>
    <t>First Impressions Baby Girls Ruched Leggings Cherry Flame 18 months</t>
  </si>
  <si>
    <t>100137899BG</t>
  </si>
  <si>
    <t>762120123501</t>
  </si>
  <si>
    <t>First Impressions Baby Girls Ruched Leggings Sunset Flamingo 24 months</t>
  </si>
  <si>
    <t>762120123051</t>
  </si>
  <si>
    <t>First Impressions Baby Girls Ruched Leggings Cherry Flame 24 months</t>
  </si>
  <si>
    <t>762120123037</t>
  </si>
  <si>
    <t>First Impressions Baby Girls Ruched Leggings Cherry Flame 6-9 months</t>
  </si>
  <si>
    <t>762120123068</t>
  </si>
  <si>
    <t>First Impressions Baby Girls Ruched Leggings Sunset Flamingo 12 months</t>
  </si>
  <si>
    <t>762120123495</t>
  </si>
  <si>
    <t>First Impressions Baby Girls Ruched Leggings Sunset Flamingo 18 months</t>
  </si>
  <si>
    <t>762120123020</t>
  </si>
  <si>
    <t>First Impressions Baby Girls Ruched Leggings Cherry Flame 3-6 months</t>
  </si>
  <si>
    <t>733001582588</t>
  </si>
  <si>
    <t>First Impressions VELOUR LEGGING Ever Red 3-6 months</t>
  </si>
  <si>
    <t>766360158026</t>
  </si>
  <si>
    <t>First Impressions Baby Girls Tie Dye Tunic Shirt Bright White 3-6 months</t>
  </si>
  <si>
    <t>766370860841</t>
  </si>
  <si>
    <t>First Impressions Baby Girls Summer Vibes Tank Violet Tulle 3-6 months</t>
  </si>
  <si>
    <t>762120122665</t>
  </si>
  <si>
    <t>First Impressions Baby Girls Bow-Print Leggings Deep Black 12 months</t>
  </si>
  <si>
    <t>762120122702</t>
  </si>
  <si>
    <t>First Impressions Baby Girls Bow-Print Leggings Deep Black 24 months</t>
  </si>
  <si>
    <t>762120701204</t>
  </si>
  <si>
    <t>First Impressions Toddler Boy Airplane-Graphic S Oregano 4T</t>
  </si>
  <si>
    <t>100141391TB</t>
  </si>
  <si>
    <t>732999977420</t>
  </si>
  <si>
    <t>Epic Threads Epic Threads Little Girls Soli Black 5</t>
  </si>
  <si>
    <t>100106445LG</t>
  </si>
  <si>
    <t>766380214344</t>
  </si>
  <si>
    <t>First Impressions Baby Boys Dinosaur Shirt Blue Poppy 18 months</t>
  </si>
  <si>
    <t>766380214320</t>
  </si>
  <si>
    <t>First Impressions Baby Boys Dinosaur Shirt Blue Poppy 3-6 months</t>
  </si>
  <si>
    <t>766380214375</t>
  </si>
  <si>
    <t>First Impressions Baby Boy SAY CHEESE TEE Angel White 3-6 months</t>
  </si>
  <si>
    <t>100148787BB</t>
  </si>
  <si>
    <t>766380214399</t>
  </si>
  <si>
    <t>First Impressions Baby Boy SAY CHEESE TEE Angel White 18 months</t>
  </si>
  <si>
    <t>766380214351</t>
  </si>
  <si>
    <t>First Impressions Baby Boys Dinosaur Shirt Blue Poppy 24 months</t>
  </si>
  <si>
    <t>766380214337</t>
  </si>
  <si>
    <t>First Impressions Baby Boys Dinosaur Shirt Blue Poppy 6-9 months</t>
  </si>
  <si>
    <t>766380214382</t>
  </si>
  <si>
    <t>First Impressions Baby Boy SAY CHEESE TEE Angel White 6-9 months</t>
  </si>
  <si>
    <t>766370869868</t>
  </si>
  <si>
    <t>First Impressions Baby Boys Tank Skygaze 24 months</t>
  </si>
  <si>
    <t>762120113274</t>
  </si>
  <si>
    <t>First Impressions Baby Boys Papa Walrus Long-Sle Salmon Creek 6-9 months</t>
  </si>
  <si>
    <t>733004745744</t>
  </si>
  <si>
    <t>First Impressions Baby Boys Love You Smore Long Angel White 6-9 months</t>
  </si>
  <si>
    <t>100136071BB</t>
  </si>
  <si>
    <t>766370873124</t>
  </si>
  <si>
    <t>First Impressions Baby Boys Solid Mesh Shorts Aquarius 18 months</t>
  </si>
  <si>
    <t>766370873117</t>
  </si>
  <si>
    <t>First Impressions Baby Boys Solid Mesh Shorts Aquarius 6-9 months</t>
  </si>
  <si>
    <t>766370872875</t>
  </si>
  <si>
    <t>First Impressions Baby Boys Solid Mesh Shorts Skygaze 12 months</t>
  </si>
  <si>
    <t>766370873131</t>
  </si>
  <si>
    <t>First Impressions Baby Boys Solid Mesh Shorts Aquarius 24 months</t>
  </si>
  <si>
    <t>766370873063</t>
  </si>
  <si>
    <t>First Impressions Baby Boys Solid Mesh Shorts Skygaze 6-9 months</t>
  </si>
  <si>
    <t>766370873056</t>
  </si>
  <si>
    <t>First Impressions Baby Boys Solid Mesh Shorts Skygaze 3-6 months</t>
  </si>
  <si>
    <t>766370873100</t>
  </si>
  <si>
    <t>First Impressions Baby Boys Solid Mesh Shorts Aquarius 3-6 months</t>
  </si>
  <si>
    <t>766370862586</t>
  </si>
  <si>
    <t>First Impressions Baby Girls Toucan Friends T-Sh Sweet Berry 12 months</t>
  </si>
  <si>
    <t>100150077BG</t>
  </si>
  <si>
    <t>766370862609</t>
  </si>
  <si>
    <t>First Impressions Baby Girls Toucan Friends T-Sh Sweet Berry 6-9 months</t>
  </si>
  <si>
    <t>733004745683</t>
  </si>
  <si>
    <t>First Impressions Baby Boys Popsicle Dude Long-S Willow Hedge 3-6 months</t>
  </si>
  <si>
    <t>100136050BB</t>
  </si>
  <si>
    <t>766380211015</t>
  </si>
  <si>
    <t>762120126779</t>
  </si>
  <si>
    <t>First Impressions Baby Boys Cool Graphic Long-Sl Deep Black 3-6 months</t>
  </si>
  <si>
    <t>100137905BB</t>
  </si>
  <si>
    <t>762120126793</t>
  </si>
  <si>
    <t>First Impressions Baby Boys Cool Graphic Long-Sl Deep Black 18 months</t>
  </si>
  <si>
    <t>766360161972</t>
  </si>
  <si>
    <t>First Impressions Baby Boys Long Time No Sea Cot Blue 6-9 months</t>
  </si>
  <si>
    <t>766360160487</t>
  </si>
  <si>
    <t>First Impressions Baby Boys Tie Dye T-Shirt Sodalite Blue 3-6 months</t>
  </si>
  <si>
    <t>766370869240</t>
  </si>
  <si>
    <t>First Impressions Baby Boys Summer Graphic T-Shi White Frog 6-9 months</t>
  </si>
  <si>
    <t>766360159986</t>
  </si>
  <si>
    <t>First Impressions Baby Boys Long Time No Sea Cot Red 3-6 months</t>
  </si>
  <si>
    <t>766360159993</t>
  </si>
  <si>
    <t>First Impressions Baby Boys Long Time No Sea Cot Red 6-9 months</t>
  </si>
  <si>
    <t>726108384780</t>
  </si>
  <si>
    <t>KIDS JACKET</t>
  </si>
  <si>
    <t>726108384827</t>
  </si>
  <si>
    <t>JACKET</t>
  </si>
  <si>
    <t>726108384773</t>
  </si>
  <si>
    <t>726108385220</t>
  </si>
  <si>
    <t>194170434588</t>
  </si>
  <si>
    <t>Rare Editions Baby Girls Thermal Top with Pr Mauve 6-9 months</t>
  </si>
  <si>
    <t>194654632080</t>
  </si>
  <si>
    <t>NEW</t>
  </si>
  <si>
    <t>CF21L19H</t>
  </si>
  <si>
    <t>807421768010</t>
  </si>
  <si>
    <t>AOP BOXY TEE &amp; BIKE SHOR</t>
  </si>
  <si>
    <t>36J360G</t>
  </si>
  <si>
    <t>726108385190</t>
  </si>
  <si>
    <t>PUFFER WITH SCARF</t>
  </si>
  <si>
    <t>50305F-R1</t>
  </si>
  <si>
    <t>5045627758571</t>
  </si>
  <si>
    <t>C KG2 MITSIE CH 1312</t>
  </si>
  <si>
    <t>14 REG</t>
  </si>
  <si>
    <t>BLM</t>
  </si>
  <si>
    <t>BURBERRYS WHOLESALE/BURB GIRLS APP</t>
  </si>
  <si>
    <t>MADE IN THAILAND</t>
  </si>
  <si>
    <t>96% COTTON/4% ELASTANE; FRONT PANEL: 97% COTTON/3% ELASTANE</t>
  </si>
  <si>
    <t>5045626946405</t>
  </si>
  <si>
    <t>C KB5-GRAHAM HOODY A</t>
  </si>
  <si>
    <t>6 REG</t>
  </si>
  <si>
    <t>BURBERRYS WHOLESALE/BURB BOYS APP</t>
  </si>
  <si>
    <t>100% COTTON; TRIMS: 100% COTTON</t>
  </si>
  <si>
    <t>5045626946221</t>
  </si>
  <si>
    <t>5045626946047</t>
  </si>
  <si>
    <t>10 REG</t>
  </si>
  <si>
    <t>5045626951683</t>
  </si>
  <si>
    <t>C IB5-M-GRAHAM HOODY</t>
  </si>
  <si>
    <t>BURBERRYS WHOLESALE/BURB INFANT APP</t>
  </si>
  <si>
    <t>100% COTTON; TRIM 1: 100% POLYESTER; TRIM 2: 100% COTTON</t>
  </si>
  <si>
    <t>5045626946825</t>
  </si>
  <si>
    <t>C KB4-GRAHAM JOGGERS</t>
  </si>
  <si>
    <t>100% COTTON; TRIM 1: 100% POLYESTER; TRIM 2: 100% COTTON; POCKET LINING: 100% COTTON</t>
  </si>
  <si>
    <t>5045626946795</t>
  </si>
  <si>
    <t>4 REG</t>
  </si>
  <si>
    <t>5045626933191</t>
  </si>
  <si>
    <t>C KG7 CROSBY CHK 131</t>
  </si>
  <si>
    <t>3 REG</t>
  </si>
  <si>
    <t>SHELL &amp; TRIM: 80% RECYCLED POLYAMIDE/20% RECYCLED ELASTANE; LINING: 92% POLYESTER/8% ELASTANE</t>
  </si>
  <si>
    <t>5045626933252</t>
  </si>
  <si>
    <t>9348528128730</t>
  </si>
  <si>
    <t>FORTUNE TELLER TUTU</t>
  </si>
  <si>
    <t>TDM6994</t>
  </si>
  <si>
    <t>TUTU DU MONDE/JAMARI INT'L LTD</t>
  </si>
  <si>
    <t>SHELL &amp; LINING: 100% COTTON; TULLE: 100% NYLON, EXCLUSIVE OF DECORATION</t>
  </si>
  <si>
    <t>5045626110035</t>
  </si>
  <si>
    <t>C IB4-M-TIMOTHIE JOG</t>
  </si>
  <si>
    <t>OUTER: 100% COTTON; TRIM: 100% COTTON; PANEL: 100% POLYESTER; FILL: 100% POLYESTER</t>
  </si>
  <si>
    <t>492036907376</t>
  </si>
  <si>
    <t>ALESSIASMOCKEDSSDRESS</t>
  </si>
  <si>
    <t>SS22-902</t>
  </si>
  <si>
    <t>SEA NYC/SEA NYC DESIGN LLC</t>
  </si>
  <si>
    <t>492036907437</t>
  </si>
  <si>
    <t>FERNANDAFLUTTERSLVDRS</t>
  </si>
  <si>
    <t>SS22-905</t>
  </si>
  <si>
    <t>492036907420</t>
  </si>
  <si>
    <t>5045627751084</t>
  </si>
  <si>
    <t>C IG5-DEANNE CHECKER</t>
  </si>
  <si>
    <t>100% COTTON; PANEL: 96% COTTON/4% ELASTANE; TRIM: 94% COTTON/6% ELASTANE</t>
  </si>
  <si>
    <t>5045627751145</t>
  </si>
  <si>
    <t>5045627751053</t>
  </si>
  <si>
    <t>5045627751114</t>
  </si>
  <si>
    <t>2 REG</t>
  </si>
  <si>
    <t>3143161382824</t>
  </si>
  <si>
    <t>HOODED DRESS</t>
  </si>
  <si>
    <t>C12889L</t>
  </si>
  <si>
    <t>CHLOE/CWF USA LLC</t>
  </si>
  <si>
    <t>5045622364173</t>
  </si>
  <si>
    <t>C KB5-BLE TEE ABTOT</t>
  </si>
  <si>
    <t>100% COTTON; TRIM: 97% COTTON/3% ELASTANE</t>
  </si>
  <si>
    <t>810072144645</t>
  </si>
  <si>
    <t>BANDAGE DRESSES</t>
  </si>
  <si>
    <t>BANDAGEVEET</t>
  </si>
  <si>
    <t>KATIEJ NYC</t>
  </si>
  <si>
    <t>90% RAYON/9% NYLON/1% SPANDEX</t>
  </si>
  <si>
    <t>3143161703087</t>
  </si>
  <si>
    <t>T-SHIRT BASIC</t>
  </si>
  <si>
    <t>C15D85</t>
  </si>
  <si>
    <t>3143161702554</t>
  </si>
  <si>
    <t>C15D84</t>
  </si>
  <si>
    <t>810099944273</t>
  </si>
  <si>
    <t>OLIVIA BIKINI SET</t>
  </si>
  <si>
    <t>61907-FSTGR</t>
  </si>
  <si>
    <t>PEIXOTO/RME STUDIO INC</t>
  </si>
  <si>
    <t>MADE IN COLOMBIA</t>
  </si>
  <si>
    <t>78% POLYESTER/22% ELASTANE; LINING: 93% POLYESTER/7% ELASTANE</t>
  </si>
  <si>
    <t>810099943900</t>
  </si>
  <si>
    <t>RAJA ROMPER</t>
  </si>
  <si>
    <t>82115-FSTGR</t>
  </si>
  <si>
    <t>810099943894</t>
  </si>
  <si>
    <t>840001572386</t>
  </si>
  <si>
    <t>AYAH CUT OUT ONE PIE</t>
  </si>
  <si>
    <t>DEE-632P</t>
  </si>
  <si>
    <t>PQ SWIM/PILY Q LLC</t>
  </si>
  <si>
    <t>78% NYLON/22% ELASTANE</t>
  </si>
  <si>
    <t>810099944389</t>
  </si>
  <si>
    <t>TINA BIKINI SET</t>
  </si>
  <si>
    <t>62206-STMTRB</t>
  </si>
  <si>
    <t>PINKOVERPL</t>
  </si>
  <si>
    <t>90% POLYESTER/10% ELASTANE; LINING: 93% POLYESTER/7% ELASTANE</t>
  </si>
  <si>
    <t>882925718365</t>
  </si>
  <si>
    <t>Polo Ralph Lauren Baby Boys Plaid Poplin Shirt a Blue, Lime Multi 9M</t>
  </si>
  <si>
    <t>190618978393</t>
  </si>
  <si>
    <t>LS CN-TP-KNT</t>
  </si>
  <si>
    <t>882925893550</t>
  </si>
  <si>
    <t>Polo Ralph Lauren Baby Girls Jersey Peplum Top a Liberty Blue 24M</t>
  </si>
  <si>
    <t>882925113313</t>
  </si>
  <si>
    <t>SS KC-ST-SHS</t>
  </si>
  <si>
    <t>SSCN-ST-LGS</t>
  </si>
  <si>
    <t>882925113276</t>
  </si>
  <si>
    <t>888491711878</t>
  </si>
  <si>
    <t>MOSAIC PALM BRALETTE</t>
  </si>
  <si>
    <t>SG20162</t>
  </si>
  <si>
    <t>SPLENDID SWIMWEAR/RAJ MFG</t>
  </si>
  <si>
    <t>PRINT: 83% POLYESTER/17% SPANDEX; TEXTURE STRIPE: 93% NYLON/7% SPANDEX</t>
  </si>
  <si>
    <t>810085490951</t>
  </si>
  <si>
    <t>LILY ROSE SKIRT</t>
  </si>
  <si>
    <t>10-12(M/L)</t>
  </si>
  <si>
    <t>TIARE HAWAII LLC</t>
  </si>
  <si>
    <t>MADE IN INDONESIA</t>
  </si>
  <si>
    <t>100% RAYON</t>
  </si>
  <si>
    <t>810085490968</t>
  </si>
  <si>
    <t>810085490906</t>
  </si>
  <si>
    <t>6-8</t>
  </si>
  <si>
    <t>885031098185</t>
  </si>
  <si>
    <t>Polo Ralph Lauren Big Boys Polo Bear Spa Terry S Skipper Bearwaiian White L 1416</t>
  </si>
  <si>
    <t>MADE IN CAMBODIA</t>
  </si>
  <si>
    <t>190618900219</t>
  </si>
  <si>
    <t>LS CABLE CN-TP-SWT</t>
  </si>
  <si>
    <t>842681156887</t>
  </si>
  <si>
    <t>COLOR BLOCK FLUTTER MAXI</t>
  </si>
  <si>
    <t>KD2680</t>
  </si>
  <si>
    <t>AQUA/Q&amp;A7 LLC</t>
  </si>
  <si>
    <t>842681156894</t>
  </si>
  <si>
    <t>842681156870</t>
  </si>
  <si>
    <t>809115626156</t>
  </si>
  <si>
    <t>EMBR LAYERED TULLE D</t>
  </si>
  <si>
    <t>BS2-0106</t>
  </si>
  <si>
    <t>BLUSH BY US ANGELS/S &amp; C BRIDAL LLC</t>
  </si>
  <si>
    <t>100% NYLON; SKIRT AND LINING: 100% POLYESTER</t>
  </si>
  <si>
    <t>77539919455</t>
  </si>
  <si>
    <t>GRAY CLOUD JUMPSUIT 100% 0-3M</t>
  </si>
  <si>
    <t>ELEGANT BABY/BABY NEEDS INC</t>
  </si>
  <si>
    <t>196258038145</t>
  </si>
  <si>
    <t>CTTN CNDY SKY SHRTS</t>
  </si>
  <si>
    <t>RNS4076</t>
  </si>
  <si>
    <t>SPLENDID/DELTA GALIL USA INC</t>
  </si>
  <si>
    <t>95% RAYON/5% SPANDEX</t>
  </si>
  <si>
    <t>885031844287</t>
  </si>
  <si>
    <t>Polo Ralph Lauren Big Boys Sullivan Slim Stretch Dell White 14</t>
  </si>
  <si>
    <t>93% COTTON/6% ELASTERELL-P/1% ELASTANE</t>
  </si>
  <si>
    <t>882925842329</t>
  </si>
  <si>
    <t>Polo Ralph Lauren Toddler and Little Boys Polo B Skipper Bearwaiian White 22T</t>
  </si>
  <si>
    <t>882925090232</t>
  </si>
  <si>
    <t>SSKCDRESS-DR-DAD</t>
  </si>
  <si>
    <t>882925873484</t>
  </si>
  <si>
    <t>Polo Ralph Lauren Big Girls Polo Bear Jersey T-s Elite Blue L</t>
  </si>
  <si>
    <t>885031844294</t>
  </si>
  <si>
    <t>Polo Ralph Lauren Big Boys Sullivan Slim Stretch Dell White 16</t>
  </si>
  <si>
    <t>882925842343</t>
  </si>
  <si>
    <t>Polo Ralph Lauren Toddler and Little Boys Polo B Skipper Bearwaiian White 44T</t>
  </si>
  <si>
    <t>810099131604</t>
  </si>
  <si>
    <t>OMBRE TUBE DRESS</t>
  </si>
  <si>
    <t>KA1460</t>
  </si>
  <si>
    <t>VINTAGE HAVANA KIDS/MAJ INC</t>
  </si>
  <si>
    <t>RAYON</t>
  </si>
  <si>
    <t>797503518346</t>
  </si>
  <si>
    <t>SHORTALL</t>
  </si>
  <si>
    <t>01RRK2763</t>
  </si>
  <si>
    <t>BLANK NYC/BBC APPAREL GROUP LLC</t>
  </si>
  <si>
    <t>75% COTTON/25% POLYESTER</t>
  </si>
  <si>
    <t>196258038190</t>
  </si>
  <si>
    <t>RTS4076</t>
  </si>
  <si>
    <t>95% VISCOSE/5% ELASTANE</t>
  </si>
  <si>
    <t>196258038800</t>
  </si>
  <si>
    <t>SHAKA SHORT SET</t>
  </si>
  <si>
    <t>RTS1523</t>
  </si>
  <si>
    <t>60% COTTON/40% RAYON</t>
  </si>
  <si>
    <t>604192567909</t>
  </si>
  <si>
    <t>POLKA DOT RUFFLE 2PC</t>
  </si>
  <si>
    <t>CGK03692S</t>
  </si>
  <si>
    <t>HABITUAL/MAMIYE BROTHERS</t>
  </si>
  <si>
    <t>84% NYLON/16% SPANDEX</t>
  </si>
  <si>
    <t>604192605595</t>
  </si>
  <si>
    <t>PLEATED PUFF SLV DRE</t>
  </si>
  <si>
    <t>CGU04681S</t>
  </si>
  <si>
    <t>70% POLYESTER/23% RAYON/7% SPANDEX</t>
  </si>
  <si>
    <t>604192603560</t>
  </si>
  <si>
    <t>DRAPPED DRESS</t>
  </si>
  <si>
    <t>CGU04421S</t>
  </si>
  <si>
    <t>66% POLYESTER/30% RAYON/4% SPANDEX</t>
  </si>
  <si>
    <t>628735692545</t>
  </si>
  <si>
    <t>DOT BLUE</t>
  </si>
  <si>
    <t>BSHCSSJY0006</t>
  </si>
  <si>
    <t>14 REG/MED</t>
  </si>
  <si>
    <t>MICHAEL KORS/PEERLESS CLOTHING INTL</t>
  </si>
  <si>
    <t>93% POLYESTER/7% SPANDEX</t>
  </si>
  <si>
    <t>882925892102</t>
  </si>
  <si>
    <t>Polo Ralph Lauren Big Boys Camo Ripstop Cargo Sh Iconic Camo 14</t>
  </si>
  <si>
    <t>882925889287</t>
  </si>
  <si>
    <t>Polo Ralph Lauren Big Boys Madras Short-Sleeve S 5612 Blue, Red, Multi L 1416</t>
  </si>
  <si>
    <t>882925142504</t>
  </si>
  <si>
    <t>LS CN-TP-TSH</t>
  </si>
  <si>
    <t>882925891884</t>
  </si>
  <si>
    <t>Polo Ralph Lauren Big Boys Big Pony Color-Blocke Heritage Royal Multi L 1416</t>
  </si>
  <si>
    <t>797503518070</t>
  </si>
  <si>
    <t>SHORT</t>
  </si>
  <si>
    <t>62XVK8775</t>
  </si>
  <si>
    <t>97% COTTON/3% SPANDEX</t>
  </si>
  <si>
    <t>797503518056</t>
  </si>
  <si>
    <t>196258055715</t>
  </si>
  <si>
    <t>COTTON CNDY SKY RMPR</t>
  </si>
  <si>
    <t>RNO4077</t>
  </si>
  <si>
    <t>6-12 MOS</t>
  </si>
  <si>
    <t>797503519442</t>
  </si>
  <si>
    <t>71RK8797</t>
  </si>
  <si>
    <t>887510245936</t>
  </si>
  <si>
    <t>ABSTRACT FLUTTER</t>
  </si>
  <si>
    <t>CD578-05</t>
  </si>
  <si>
    <t>AQUA/COLLECTIVE CLOTHING</t>
  </si>
  <si>
    <t>887510245943</t>
  </si>
  <si>
    <t>604192574754</t>
  </si>
  <si>
    <t>5 POCKET SHORT W/ FR</t>
  </si>
  <si>
    <t>CGJ04369S</t>
  </si>
  <si>
    <t>75% COTTON/20% POLYESTER/5% ELASTANE</t>
  </si>
  <si>
    <t>887510253030</t>
  </si>
  <si>
    <t>LS SMOCK DRESS-SPECK</t>
  </si>
  <si>
    <t>CD582-04</t>
  </si>
  <si>
    <t>887510252996</t>
  </si>
  <si>
    <t>196258055746</t>
  </si>
  <si>
    <t>COTTON CNDY SKY DRES</t>
  </si>
  <si>
    <t>RTD4077</t>
  </si>
  <si>
    <t>95% VISCOSE/5% SPANDEX</t>
  </si>
  <si>
    <t>887510246209</t>
  </si>
  <si>
    <t>LUREX STRIPE DRESS</t>
  </si>
  <si>
    <t>CD529-08</t>
  </si>
  <si>
    <t>92% COTTON/8% METALLIC (LUREX); LINING: 100% COTTON</t>
  </si>
  <si>
    <t>887510223859</t>
  </si>
  <si>
    <t>KNIT FLORAL PUFF MIDI</t>
  </si>
  <si>
    <t>CD550-01</t>
  </si>
  <si>
    <t>SELF &amp; LINING: 100% POLYESTER</t>
  </si>
  <si>
    <t>809115616812</t>
  </si>
  <si>
    <t>S/L SEQUIN LACE BODI</t>
  </si>
  <si>
    <t>AS2-0080</t>
  </si>
  <si>
    <t>BODICE: 90% NYLON; TRIM: 10% SPANDEX; SKIRT AND LINING: 100% POLYESTER</t>
  </si>
  <si>
    <t>887510229752</t>
  </si>
  <si>
    <t>BLAC LUREX STRIPE DRESS</t>
  </si>
  <si>
    <t>CD529-03</t>
  </si>
  <si>
    <t>92% COTTON/8% METALLIC FIBERS</t>
  </si>
  <si>
    <t>842681163359</t>
  </si>
  <si>
    <t>FLUTTER MAXI</t>
  </si>
  <si>
    <t>KD51247SK36P</t>
  </si>
  <si>
    <t>842681163373</t>
  </si>
  <si>
    <t>714232466670</t>
  </si>
  <si>
    <t>FLOUNCY SUNDRESS</t>
  </si>
  <si>
    <t>CHTW296-DMW-K</t>
  </si>
  <si>
    <t>CHASER/HOUSTON SALEM INC</t>
  </si>
  <si>
    <t>97% RAYON/3% SPANDEX</t>
  </si>
  <si>
    <t>ID Ideology Toddler Little Boys Solid Kn Indigo Sea 6</t>
  </si>
  <si>
    <t>762120822626</t>
  </si>
  <si>
    <t>ID Ideology Toddler Little Boys Solid Kn Indigo Sea 3T</t>
  </si>
  <si>
    <t>766370902268</t>
  </si>
  <si>
    <t>ID Ideology Toddler Little Girls Palm Kn Pink Hustle 4T</t>
  </si>
  <si>
    <t>766370901339</t>
  </si>
  <si>
    <t>ID Ideology Toddler Little Girls Palm Kn Pink Hustle 5</t>
  </si>
  <si>
    <t>766370901353</t>
  </si>
  <si>
    <t>ID Ideology Toddler Little Girls Palm Kn Pink Hustle 6</t>
  </si>
  <si>
    <t>195861090892</t>
  </si>
  <si>
    <t>Carters Carters Baby Boys Pocket Tank Gray 3 months</t>
  </si>
  <si>
    <t>1N615010</t>
  </si>
  <si>
    <t>766370902251</t>
  </si>
  <si>
    <t>ID Ideology Toddler Little Girls Palm Kn Pink Hustle 3T</t>
  </si>
  <si>
    <t>766380257839</t>
  </si>
  <si>
    <t>Epic Threads Toddler Boys Short Sleeve Grap Light Heather Gray 2T</t>
  </si>
  <si>
    <t>100151783LB</t>
  </si>
  <si>
    <t>766370902299</t>
  </si>
  <si>
    <t>ID Ideology Little Girls Graphic-Print T-S Lime Peel 5</t>
  </si>
  <si>
    <t>766370902305</t>
  </si>
  <si>
    <t>ID Ideology Little Girls Graphic-Print T-S Lime Peel 6</t>
  </si>
  <si>
    <t>766370423466</t>
  </si>
  <si>
    <t>ID Ideology Big Girls Play Hard Tank Top Heather Grey M 1012</t>
  </si>
  <si>
    <t>100141273GR</t>
  </si>
  <si>
    <t>766370423473</t>
  </si>
  <si>
    <t>ID Ideology Big Girls Play Hard Tank Top Heather Grey L 14</t>
  </si>
  <si>
    <t>766370423480</t>
  </si>
  <si>
    <t>ID Ideology Big Girls Play Hard Tank Top Heather Grey XL 16</t>
  </si>
  <si>
    <t>766370423459</t>
  </si>
  <si>
    <t>ID Ideology Big Girls Play Hard Tank Top Heather Grey S 78</t>
  </si>
  <si>
    <t>766360647568</t>
  </si>
  <si>
    <t>Epic Threads Toddler Girls Bermuda Shorts Shell Pink 2T</t>
  </si>
  <si>
    <t>100146693LG</t>
  </si>
  <si>
    <t>766370511156</t>
  </si>
  <si>
    <t>Epic Threads Little Girls Tie Dye Bermuda S Multi Tie Dye 6X</t>
  </si>
  <si>
    <t>100145231LG</t>
  </si>
  <si>
    <t>766360769857</t>
  </si>
  <si>
    <t>Epic Threads Epic Threads Toddler Girls All Art Deco Green 3T</t>
  </si>
  <si>
    <t>100147859LG</t>
  </si>
  <si>
    <t>766370875296</t>
  </si>
  <si>
    <t>First Impressions Toddler Boys Mesh Stripe Jogge Turq Splash 3T</t>
  </si>
  <si>
    <t>100148777TB</t>
  </si>
  <si>
    <t>766370446274</t>
  </si>
  <si>
    <t>Epic Threads Little Girls All Over Printed Maize Yellow 6</t>
  </si>
  <si>
    <t>100145199LG</t>
  </si>
  <si>
    <t>766390162512</t>
  </si>
  <si>
    <t>First Impressions Toddler Girls Twinkle Lights T Winter Ivory 3T</t>
  </si>
  <si>
    <t>100154007TG</t>
  </si>
  <si>
    <t>766390162529</t>
  </si>
  <si>
    <t>First Impressions Toddler Girls Twinkle Lights T Winter Ivory 4T</t>
  </si>
  <si>
    <t>733003082444</t>
  </si>
  <si>
    <t>ID Ideology Little Girls Lace-Up Top Indigo Sea 6X</t>
  </si>
  <si>
    <t>733003082284</t>
  </si>
  <si>
    <t>ID Ideology Little Girls Lace-Up Top Indigo Sea 6</t>
  </si>
  <si>
    <t>733003082413</t>
  </si>
  <si>
    <t>ID Ideology Little Girls Lace-Up Top Indigo Sea 2T</t>
  </si>
  <si>
    <t>733003082437</t>
  </si>
  <si>
    <t>ID Ideology Little Girls Lace-Up Top Indigo Sea 4T</t>
  </si>
  <si>
    <t>733003082277</t>
  </si>
  <si>
    <t>ID Ideology Little Girls Lace-Up Top Indigo Sea 5</t>
  </si>
  <si>
    <t>733001957096</t>
  </si>
  <si>
    <t>First Impressions Baby Boy CLOSED TOE SANDAL Navy Nautical 2</t>
  </si>
  <si>
    <t>766360645465</t>
  </si>
  <si>
    <t>Epic Threads Little Girls Brighter Days Ahe Shell Pink 5</t>
  </si>
  <si>
    <t>100145094LG</t>
  </si>
  <si>
    <t>766360645380</t>
  </si>
  <si>
    <t>Epic Threads Toddler Girls Multi Stripe T-s Spacious Sky 4T</t>
  </si>
  <si>
    <t>766360161712</t>
  </si>
  <si>
    <t>First Impressions Toddler Boys Plaid Boating Sho Sodalite Blue 4T</t>
  </si>
  <si>
    <t>732999992881</t>
  </si>
  <si>
    <t>Epic Threads Big Girls Solid Basic Legging, Deep Black S 78</t>
  </si>
  <si>
    <t>100106449GR</t>
  </si>
  <si>
    <t>766390162499</t>
  </si>
  <si>
    <t>First Impressions Toddler Girls Ribbon Check Tun Cherry Red 4T</t>
  </si>
  <si>
    <t>100154006TG</t>
  </si>
  <si>
    <t>766390162482</t>
  </si>
  <si>
    <t>First Impressions Toddler Girls Ribbon Check Tun Cherry Red 3T</t>
  </si>
  <si>
    <t>195861150367</t>
  </si>
  <si>
    <t>Carters Toddler Girls Printed Bike Sho Pineapple 4T</t>
  </si>
  <si>
    <t>2N703112</t>
  </si>
  <si>
    <t>766370868960</t>
  </si>
  <si>
    <t>First Impressions Baby Girls Shell-Print Dress Hthr Dune 12 months</t>
  </si>
  <si>
    <t>194135888975</t>
  </si>
  <si>
    <t>Carters Carters Baby Boys Mommy Love Green 3 months</t>
  </si>
  <si>
    <t>1N076310</t>
  </si>
  <si>
    <t>195861090779</t>
  </si>
  <si>
    <t>Carters Carters Baby Girls Tank Top B Pink Newborn</t>
  </si>
  <si>
    <t>1N615510</t>
  </si>
  <si>
    <t>762120495745</t>
  </si>
  <si>
    <t>First Impressions Baby Boys Bright Sky Shirt Oregano 18 months</t>
  </si>
  <si>
    <t>766390158898</t>
  </si>
  <si>
    <t>First Impressions Toddler Boys Polar Bear Party Hthr Sterling 3T</t>
  </si>
  <si>
    <t>100152463TB</t>
  </si>
  <si>
    <t>766390158881</t>
  </si>
  <si>
    <t>First Impressions Toddler Boys Polar Bear Party Hthr Sterling 2T</t>
  </si>
  <si>
    <t>766360161156</t>
  </si>
  <si>
    <t>First Impressions Toddler Boys Tie-Dye Shorts Sodalite Blue 3T</t>
  </si>
  <si>
    <t>100141705TB</t>
  </si>
  <si>
    <t>766370860520</t>
  </si>
  <si>
    <t>First Impressions Toddler Girls Flutter-Sleeve S Ultra Lime 3T</t>
  </si>
  <si>
    <t>100150025TG</t>
  </si>
  <si>
    <t>766380218175</t>
  </si>
  <si>
    <t>First Impressions Baby Boys Print Jogger Pants Navy Nautical 6-9 months</t>
  </si>
  <si>
    <t>733001673101</t>
  </si>
  <si>
    <t>First Impressions Baby Boys Buffalo Check Jogger Ever Red 3-6 months</t>
  </si>
  <si>
    <t>733003921576</t>
  </si>
  <si>
    <t>First Impressions Toddler Girls Jolly Peplum Top Faintest Pink 2T</t>
  </si>
  <si>
    <t>100133904TG</t>
  </si>
  <si>
    <t>766370618787</t>
  </si>
  <si>
    <t>First Impressions Baby Unisex Stripe-Print Pants Vanilla Bean Ht 12 months</t>
  </si>
  <si>
    <t>766370618817</t>
  </si>
  <si>
    <t>First Impressions Baby Unisex Stripe-Print Pants Vanilla Bean Ht 0-3 months</t>
  </si>
  <si>
    <t>766370618794</t>
  </si>
  <si>
    <t>First Impressions Baby Unisex Stripe-Print Pants Vanilla Bean Ht 3-6 months</t>
  </si>
  <si>
    <t>766370919457</t>
  </si>
  <si>
    <t>First Impressions Toddler Boys Girls Surf Life Island Orange 4T</t>
  </si>
  <si>
    <t>766370873995</t>
  </si>
  <si>
    <t>First Impressions Baby Boys Jeep Jam Joggers Hthr Dune 6-9 months</t>
  </si>
  <si>
    <t>766370873988</t>
  </si>
  <si>
    <t>First Impressions Baby Boys Jeep Jam Joggers Hthr Dune 3-6 months</t>
  </si>
  <si>
    <t>766370919433</t>
  </si>
  <si>
    <t>First Impressions Toddler Boys Girls Surf Life Island Orange 2T</t>
  </si>
  <si>
    <t>766380216317</t>
  </si>
  <si>
    <t>First Impressions Baby Boys Striped Jogger Pants Hthr Sterling 6-9 months</t>
  </si>
  <si>
    <t>766370874015</t>
  </si>
  <si>
    <t>First Impressions Baby Boys Jeep Jam Joggers Hthr Dune 24 months</t>
  </si>
  <si>
    <t>766360828424</t>
  </si>
  <si>
    <t>ID Ideology Little Boys Core Training Shir Deep Charc 5</t>
  </si>
  <si>
    <t>766390159710</t>
  </si>
  <si>
    <t>First Impressions Baby Girls Twinkling Lights Tu Winter Ivory 6-9 months</t>
  </si>
  <si>
    <t>766380720104</t>
  </si>
  <si>
    <t>First Impressions Baby Girls Bear Hugs T-Shirt Winter Ivory 6-9 months</t>
  </si>
  <si>
    <t>100154008BG</t>
  </si>
  <si>
    <t>766380211404</t>
  </si>
  <si>
    <t>First Impressions Baby Girls Floral-Print Tunic Blush Pink 3-6 months</t>
  </si>
  <si>
    <t>100150145BG</t>
  </si>
  <si>
    <t>766370869042</t>
  </si>
  <si>
    <t>First Impressions Baby Boys Colorblocked T-Shirt Bright White 6-9 months</t>
  </si>
  <si>
    <t>100148743BB</t>
  </si>
  <si>
    <t>766360135355</t>
  </si>
  <si>
    <t>First Impressions Toddler Girls Plaid Bloomers Bright White 2T</t>
  </si>
  <si>
    <t>766360160951</t>
  </si>
  <si>
    <t>First Impressions Baby Boys Plaid Shorts Flag 18 months</t>
  </si>
  <si>
    <t>766360160845</t>
  </si>
  <si>
    <t>First Impressions Baby Boys Plaid Shorts Flag 3-6 months</t>
  </si>
  <si>
    <t>766360161057</t>
  </si>
  <si>
    <t>First Impressions Baby Boys Plaid Shorts Sodalite Blue 24 months</t>
  </si>
  <si>
    <t>766370872806</t>
  </si>
  <si>
    <t>First Impressions Baby Boys Plaid Shorts Lime Boost 18 months</t>
  </si>
  <si>
    <t>766370869998</t>
  </si>
  <si>
    <t>First Impressions Baby Boys Palm-Print Shorts Aquarius 6-9 months</t>
  </si>
  <si>
    <t>100148755BB</t>
  </si>
  <si>
    <t>766370869943</t>
  </si>
  <si>
    <t>First Impressions Baby Boys Tropical Smudge Shor Peppermintfrost 6-9 months</t>
  </si>
  <si>
    <t>762120261906</t>
  </si>
  <si>
    <t>First Impressions Baby Boys Sporty Stripe Jogger Deep Black 3-6 months</t>
  </si>
  <si>
    <t>100136326BB</t>
  </si>
  <si>
    <t>766370618695</t>
  </si>
  <si>
    <t>First Impressions Baby Girls Floral-Print Leggin Angel White 3-6 months</t>
  </si>
  <si>
    <t>100150963BG</t>
  </si>
  <si>
    <t>733002001941</t>
  </si>
  <si>
    <t>First Impressions Baby Boys 2-Pack Twinkle Bib S Angel White ONE SIZE</t>
  </si>
  <si>
    <t>100116820BB</t>
  </si>
  <si>
    <t>46094834480</t>
  </si>
  <si>
    <t>Maidenform Girls Seamless Bandeau Bra Pink Hue M</t>
  </si>
  <si>
    <t>M4310</t>
  </si>
  <si>
    <t>46094834473</t>
  </si>
  <si>
    <t>Maidenform Girls Seamless Bandeau Bra Pink Hue L 1416</t>
  </si>
  <si>
    <t>46094834497</t>
  </si>
  <si>
    <t>Maidenform Girls Seamless Bandeau Bra Pink Hue S 68</t>
  </si>
  <si>
    <t>733004738227</t>
  </si>
  <si>
    <t>First Impressions Baby Girls Penguin Pal Long-Sl Aqua Wash 24 months</t>
  </si>
  <si>
    <t>100137281BG</t>
  </si>
  <si>
    <t>766380726441</t>
  </si>
  <si>
    <t>First Impressions Baby Boys Polar Bear Party Top Hthr Sterling 12 months</t>
  </si>
  <si>
    <t>766380726489</t>
  </si>
  <si>
    <t>First Impressions Baby Boys Polar Bear Party Top Hthr Sterling 24 months</t>
  </si>
  <si>
    <t>766360125318</t>
  </si>
  <si>
    <t>First Impressions Baby Girls Cotton Ruffle-Trim Ballet Pink 0-3 months</t>
  </si>
  <si>
    <t>100143081BG</t>
  </si>
  <si>
    <t>766370919488</t>
  </si>
  <si>
    <t>First Impressions Toddler Boys Vacation Stripe T Skygaze 4T</t>
  </si>
  <si>
    <t>100148770TB</t>
  </si>
  <si>
    <t>766370873810</t>
  </si>
  <si>
    <t>First Impressions Baby Boys Palm Tree-Print Shor Skygaze 18 months</t>
  </si>
  <si>
    <t>766370873827</t>
  </si>
  <si>
    <t>First Impressions Baby Boys Palm Tree-Print Shor Skygaze 24 months</t>
  </si>
  <si>
    <t>762120119238</t>
  </si>
  <si>
    <t>First Impressions Baby Girls Hearts Kittens To Sunset Flamingo 12 months</t>
  </si>
  <si>
    <t>100137311BG</t>
  </si>
  <si>
    <t>762120119276</t>
  </si>
  <si>
    <t>First Impressions Baby Girls Hearts Kittens To Sunset Flamingo 24 months</t>
  </si>
  <si>
    <t>762120119269</t>
  </si>
  <si>
    <t>First Impressions Baby Girls Hearts Kittens To Sunset Flamingo 18 months</t>
  </si>
  <si>
    <t>762120119252</t>
  </si>
  <si>
    <t>First Impressions Baby Girls Hearts Kittens To Sunset Flamingo 6-9 months</t>
  </si>
  <si>
    <t>766370872769</t>
  </si>
  <si>
    <t>First Impressions Baby Boys Mini Surfer-Print Sh Teal Patina 24 months</t>
  </si>
  <si>
    <t>100148760BB</t>
  </si>
  <si>
    <t>766370872738</t>
  </si>
  <si>
    <t>First Impressions Baby Boys Mini Surfer-Print Sh Teal Patina 3-6 months</t>
  </si>
  <si>
    <t>733003612511</t>
  </si>
  <si>
    <t>First Impressions Baby Girls Star Velour Top Raspberry Pink 18 months</t>
  </si>
  <si>
    <t>100130839BG</t>
  </si>
  <si>
    <t>766370619265</t>
  </si>
  <si>
    <t>First Impressions Baby Boys Safari-Print Bodysui Blue Poppy 6-9 months</t>
  </si>
  <si>
    <t>100150969BB</t>
  </si>
  <si>
    <t>766370872752</t>
  </si>
  <si>
    <t>First Impressions Baby Boys Mini Surfer-Print Sh Teal Patina 18 months</t>
  </si>
  <si>
    <t>766370619258</t>
  </si>
  <si>
    <t>First Impressions Baby Boys Safari-Print Bodysui Blue Poppy 3-6 months</t>
  </si>
  <si>
    <t>766380213323</t>
  </si>
  <si>
    <t>First Impressions Baby Girl COLORFUL SPLATTER L Navy Nautical 18 months</t>
  </si>
  <si>
    <t>766380213293</t>
  </si>
  <si>
    <t>First Impressions Baby Girl COLORFUL SPLATTER L Navy Nautical 12 months</t>
  </si>
  <si>
    <t>766380213743</t>
  </si>
  <si>
    <t>First Impressions Baby Girl COLORFUL SPLATTER L Navy Nautical 24 months</t>
  </si>
  <si>
    <t>766360157982</t>
  </si>
  <si>
    <t>First Impressions Baby Girls Floral Tunic Shirt Sodalite Blue 6-9 months</t>
  </si>
  <si>
    <t>766380212982</t>
  </si>
  <si>
    <t>First Impressions Baby Girls Freestyle Floral-Pr Blush Pink 24 months</t>
  </si>
  <si>
    <t>766380212968</t>
  </si>
  <si>
    <t>First Impressions Baby Girls Freestyle Floral-Pr Blush Pink 6-9 months</t>
  </si>
  <si>
    <t>762120497701</t>
  </si>
  <si>
    <t>First Impressions Baby Girls Twirl Dye-Print Tun Bright White 12 months</t>
  </si>
  <si>
    <t>100141092BG</t>
  </si>
  <si>
    <t>766370876057</t>
  </si>
  <si>
    <t>First Impressions Toddler Boys Surf Jeep T-Shirt Bright White 3T</t>
  </si>
  <si>
    <t>100148767TB</t>
  </si>
  <si>
    <t>766370875517</t>
  </si>
  <si>
    <t>First Impressions Toddler Boys Snorkel Shark T-S White Frog 4T</t>
  </si>
  <si>
    <t>100148745TB</t>
  </si>
  <si>
    <t>766370876064</t>
  </si>
  <si>
    <t>First Impressions Toddler Boys Surf Jeep T-Shirt Bright White 4T</t>
  </si>
  <si>
    <t>766370875494</t>
  </si>
  <si>
    <t>First Impressions Toddler Boys Snorkel Shark T-S White Frog 2T</t>
  </si>
  <si>
    <t>766360158033</t>
  </si>
  <si>
    <t>First Impressions Baby Girls Tie Dye Tunic Shirt Bright White 6-9 months</t>
  </si>
  <si>
    <t>100141168BG</t>
  </si>
  <si>
    <t>766380212999</t>
  </si>
  <si>
    <t>First Impressions Baby Girls Heart-Print Legging Snow Owl Hthr 12 months</t>
  </si>
  <si>
    <t>766360124328</t>
  </si>
  <si>
    <t>First Impressions Baby Girls Boys Gingham Bunn Cocoa Butter Newborn</t>
  </si>
  <si>
    <t>766360124298</t>
  </si>
  <si>
    <t>First Impressions Baby Girls Boys Bunny Bodysu Vanilla Bean 3-6 months</t>
  </si>
  <si>
    <t>766380215198</t>
  </si>
  <si>
    <t>First Impressions Baby Boys Colorblocked Shirt Safflower 6-9 months</t>
  </si>
  <si>
    <t>766380215174</t>
  </si>
  <si>
    <t>First Impressions Baby Boys Colorblocked Shirt Safflower 12 months</t>
  </si>
  <si>
    <t>766370618749</t>
  </si>
  <si>
    <t>First Impressions Baby Unisex Giraffe-Graphic Bo Safflower 3-6 months</t>
  </si>
  <si>
    <t>766380212906</t>
  </si>
  <si>
    <t>First Impressions Baby Girl RUFFLE BACK LEGGING Safflower 3-6 months</t>
  </si>
  <si>
    <t>766370861497</t>
  </si>
  <si>
    <t>First Impressions Baby Girls Vacay Bow Tank Top Bright White 3-6 months</t>
  </si>
  <si>
    <t>766380212876</t>
  </si>
  <si>
    <t>First Impressions Baby Girl RUFFLE BACK LEGGING Blush Pink 18 months</t>
  </si>
  <si>
    <t>766370864023</t>
  </si>
  <si>
    <t>First Impressions Baby Girls Shells-Print Capri Pink Fruit 18 months</t>
  </si>
  <si>
    <t>766380212937</t>
  </si>
  <si>
    <t>First Impressions Baby Girl RUFFLE BACK LEGGING Safflower 24 months</t>
  </si>
  <si>
    <t>766370861480</t>
  </si>
  <si>
    <t>First Impressions Baby Girls Vacay Bow Tank Top Bright White 12 months</t>
  </si>
  <si>
    <t>766360124106</t>
  </si>
  <si>
    <t>First Impressions Baby Girls Love You More Flutt Angel White 6-9 months</t>
  </si>
  <si>
    <t>100143052BG</t>
  </si>
  <si>
    <t>766370869516</t>
  </si>
  <si>
    <t>First Impressions Baby Boys Palm Tree-Print Shir Skygaze 24 months</t>
  </si>
  <si>
    <t>766370862678</t>
  </si>
  <si>
    <t>First Impressions Baby Girls Tropical Smudge T-S Playful Pink 18 months</t>
  </si>
  <si>
    <t>766370862630</t>
  </si>
  <si>
    <t>First Impressions Baby Girls Tropical Smudge T-S Playful Pink 12 months</t>
  </si>
  <si>
    <t>733001668701</t>
  </si>
  <si>
    <t>First Impressions Baby Boys Long-Sleeve Tie Su Snow Owl Hthr 3-6 months</t>
  </si>
  <si>
    <t>100101735BB</t>
  </si>
  <si>
    <t>766370869714</t>
  </si>
  <si>
    <t>First Impressions Baby Boys Jeep-Print Shirt Hthr Dune 3-6 months</t>
  </si>
  <si>
    <t>766380211060</t>
  </si>
  <si>
    <t>First Impressions Baby Girls Skater Pup Long-Sle Blush Pink 18 months</t>
  </si>
  <si>
    <t>766380211039</t>
  </si>
  <si>
    <t>First Impressions Baby Girls Skater Pup Long-Sle Blush Pink 12 months</t>
  </si>
  <si>
    <t>766370618824</t>
  </si>
  <si>
    <t>First Impressions Baby Unisex Solid Pants Safflower Newborn</t>
  </si>
  <si>
    <t>766370618862</t>
  </si>
  <si>
    <t>First Impressions Baby Unisex Solid Pants Safflower 0-3 months</t>
  </si>
  <si>
    <t>766370862432</t>
  </si>
  <si>
    <t>First Impressions Baby Girls Party Fruit Top Shady Pink 12 months</t>
  </si>
  <si>
    <t>766370862470</t>
  </si>
  <si>
    <t>First Impressions Baby Girls Party Fruit Top Shady Pink 24 months</t>
  </si>
  <si>
    <t>766380214313</t>
  </si>
  <si>
    <t>First Impressions Baby Boys Dinosaur Shirt Blue Poppy 12 months</t>
  </si>
  <si>
    <t>100148785BB</t>
  </si>
  <si>
    <t>766370864047</t>
  </si>
  <si>
    <t>First Impressions Baby Girls Shells-Print Capri Peppermint Palm 12 months</t>
  </si>
  <si>
    <t>766370864184</t>
  </si>
  <si>
    <t>First Impressions Baby Girls Shells-Print Capri Blue Shells 24 months</t>
  </si>
  <si>
    <t>766370864160</t>
  </si>
  <si>
    <t>First Impressions Baby Girls Shells-Print Capri Blue Shells 6-9 months</t>
  </si>
  <si>
    <t>766370864153</t>
  </si>
  <si>
    <t>First Impressions Baby Girls Shells-Print Capri Blue Shells 3-6 months</t>
  </si>
  <si>
    <t>766370864146</t>
  </si>
  <si>
    <t>First Impressions Baby Girls Shells-Print Capri Blue Shells 12 months</t>
  </si>
  <si>
    <t>733003927356</t>
  </si>
  <si>
    <t>First Impressions Baby Boys Tree on Car T-Shirt Black Hthr 24 months</t>
  </si>
  <si>
    <t>100130702BB</t>
  </si>
  <si>
    <t>766360158743</t>
  </si>
  <si>
    <t>First Impressions Baby Girls Floral-Print Biker Sodalite Blue 3-6 months</t>
  </si>
  <si>
    <t>100141165BG</t>
  </si>
  <si>
    <t>766370860339</t>
  </si>
  <si>
    <t>First Impressions Toddler Girls Solid Flutter Tu Hthr Dune 2T</t>
  </si>
  <si>
    <t>100150092TG</t>
  </si>
  <si>
    <t>733003255985</t>
  </si>
  <si>
    <t>Epic Threads Toddler Boys Solid Basic Tee, Deep Cobalt 3T</t>
  </si>
  <si>
    <t>100108525LB</t>
  </si>
  <si>
    <t>766380215099</t>
  </si>
  <si>
    <t>First Impressions Baby Boys Doodle Long-Sleeve T Snow Owl Hthr 6-9 months</t>
  </si>
  <si>
    <t>762120113281</t>
  </si>
  <si>
    <t>First Impressions Baby Boys Papa Walrus Long-Sle Salmon Creek 18 months</t>
  </si>
  <si>
    <t>100136082BB</t>
  </si>
  <si>
    <t>762120113298</t>
  </si>
  <si>
    <t>First Impressions Baby Boys Papa Walrus Long-Sle Salmon Creek 24 months</t>
  </si>
  <si>
    <t>762120113267</t>
  </si>
  <si>
    <t>First Impressions Baby Boys Papa Walrus Long-Sle Salmon Creek 3-6 months</t>
  </si>
  <si>
    <t>762120113250</t>
  </si>
  <si>
    <t>First Impressions Baby Boys Papa Walrus Long-Sle Salmon Creek 12 months</t>
  </si>
  <si>
    <t>766380215075</t>
  </si>
  <si>
    <t>First Impressions Baby Boys Doodle Long-Sleeve T Snow Owl Hthr 12 months</t>
  </si>
  <si>
    <t>766360161897</t>
  </si>
  <si>
    <t>First Impressions Baby Boys Rugby Stripe T-Shirt Blue and Red 24 months</t>
  </si>
  <si>
    <t>100141395BB</t>
  </si>
  <si>
    <t>766360161781</t>
  </si>
  <si>
    <t>First Impressions Baby Boys Rugby Stripe T-Shirt Blue and Red 12 months</t>
  </si>
  <si>
    <t>766360161859</t>
  </si>
  <si>
    <t>First Impressions Baby Boys Rugby Stripe T-Shirt Blue and Red 18 months</t>
  </si>
  <si>
    <t>766370861565</t>
  </si>
  <si>
    <t>First Impressions Baby Girls Graphic-Print T-Shi Peppermintfrost 18 months</t>
  </si>
  <si>
    <t>100150073BG</t>
  </si>
  <si>
    <t>766370876026</t>
  </si>
  <si>
    <t>First Impressions Toddler Boys Tropical Smudge T Peppermint 3T</t>
  </si>
  <si>
    <t>100148752TB</t>
  </si>
  <si>
    <t>766370876019</t>
  </si>
  <si>
    <t>First Impressions Toddler Boys Tropical Smudge T Peppermint 2T</t>
  </si>
  <si>
    <t>766360161811</t>
  </si>
  <si>
    <t>First Impressions Baby Boys Rugby Stripe T-Shirt Blue and Red 6-9 months</t>
  </si>
  <si>
    <t>766370861572</t>
  </si>
  <si>
    <t>First Impressions Baby Girls Graphic-Print T-Shi Peppermintfrost 24 months</t>
  </si>
  <si>
    <t>766370873544</t>
  </si>
  <si>
    <t>First Impressions Baby Boys Solid Mesh Shorts Turq Splash 24 months</t>
  </si>
  <si>
    <t>766370864276</t>
  </si>
  <si>
    <t>First Impressions Baby Girls Tropical-Print Shor Deep Black 18 months</t>
  </si>
  <si>
    <t>766360161934</t>
  </si>
  <si>
    <t>First Impressions Baby Boys Awesome Sauce Cotton Bright White 18 months</t>
  </si>
  <si>
    <t>766370874022</t>
  </si>
  <si>
    <t>First Impressions Baby Boys Joggers Turq Splash 12 months</t>
  </si>
  <si>
    <t>766370874046</t>
  </si>
  <si>
    <t>First Impressions Baby Boys Joggers Turq Splash 6-9 months</t>
  </si>
  <si>
    <t>766370874060</t>
  </si>
  <si>
    <t>First Impressions Baby Boys Joggers Turq Splash 24 months</t>
  </si>
  <si>
    <t>766370874053</t>
  </si>
  <si>
    <t>First Impressions Baby Boys Joggers Turq Splash 18 months</t>
  </si>
  <si>
    <t>766360157661</t>
  </si>
  <si>
    <t>First Impressions Baby Girls Eyelet Ruffle Shirt Bright White 12 months</t>
  </si>
  <si>
    <t>766360136949</t>
  </si>
  <si>
    <t>First Impressions Baby Boys Bright Sky Shirt Navy Nautical 3-6 months</t>
  </si>
  <si>
    <t>766370869110</t>
  </si>
  <si>
    <t>First Impressions Baby Boys Graphic-Print T-Shir Lime Boost 24 months</t>
  </si>
  <si>
    <t>766360136468</t>
  </si>
  <si>
    <t>First Impressions Baby Boys Tractor T-Shirt Slate Hthr 3-6 months</t>
  </si>
  <si>
    <t>100141588BB</t>
  </si>
  <si>
    <t>766360135850</t>
  </si>
  <si>
    <t>First Impressions Baby Boys Tractor T-Shirt Slate Hthr 12 months</t>
  </si>
  <si>
    <t>766360161996</t>
  </si>
  <si>
    <t>First Impressions Baby Boys Long Time No Sea Cot Blue 24 months</t>
  </si>
  <si>
    <t>766360161958</t>
  </si>
  <si>
    <t>First Impressions Baby Boys Long Time No Sea Cot Blue 12 months</t>
  </si>
  <si>
    <t>766370861435</t>
  </si>
  <si>
    <t>First Impressions Baby Girls Surfer Girl T-Shirt Bright White 12 months</t>
  </si>
  <si>
    <t>766370869622</t>
  </si>
  <si>
    <t>First Impressions Baby Boys Sun and Surf-Graphic Turq Splash 6-9 months</t>
  </si>
  <si>
    <t>100148749BB</t>
  </si>
  <si>
    <t>766370869608</t>
  </si>
  <si>
    <t>First Impressions Baby Boys Sun and Surf-Graphic Turq Splash 12 months</t>
  </si>
  <si>
    <t>766370869233</t>
  </si>
  <si>
    <t>First Impressions Baby Boys Summer Graphic T-Shi White Frog 3-6 months</t>
  </si>
  <si>
    <t>100148745BB</t>
  </si>
  <si>
    <t>766370869455</t>
  </si>
  <si>
    <t>First Impressions Baby Boys Graphic-Print T-Shir Bright White 18 months</t>
  </si>
  <si>
    <t>766370860933</t>
  </si>
  <si>
    <t>First Impressions Baby Girls Chambray-Knot Tank Island Orange 12 months</t>
  </si>
  <si>
    <t>766370860919</t>
  </si>
  <si>
    <t>First Impressions Baby Girls Chambray-Knot Tank Peppermintfrost 18 months</t>
  </si>
  <si>
    <t>766370869684</t>
  </si>
  <si>
    <t>First Impressions Baby Boys Summer Graphic T-Shi Blue Shark 18 months</t>
  </si>
  <si>
    <t>766370869691</t>
  </si>
  <si>
    <t>First Impressions Baby Boys Summer Graphic T-Shi Blue Shark 24 months</t>
  </si>
  <si>
    <t>762120496032</t>
  </si>
  <si>
    <t>First Impressions Baby Boys Bunny-Graphic Shirt Spring Daffodil 6-9 months</t>
  </si>
  <si>
    <t>100141392BB</t>
  </si>
  <si>
    <t>766360136529</t>
  </si>
  <si>
    <t>First Impressions Baby Boys Be Kind T-Shirt Navy Nautical 6-9 months</t>
  </si>
  <si>
    <t>100141589BB</t>
  </si>
  <si>
    <t>766360159795</t>
  </si>
  <si>
    <t>First Impressions Baby Boy FLAG TANK Slate Hthr 3-6 months</t>
  </si>
  <si>
    <t>652874336848</t>
  </si>
  <si>
    <t>DRESS MAXI LENGTH SL</t>
  </si>
  <si>
    <t>SC809D01M12</t>
  </si>
  <si>
    <t>195958097926</t>
  </si>
  <si>
    <t>GRAPHIC BUBBLE</t>
  </si>
  <si>
    <t>TBFEM04F-405</t>
  </si>
  <si>
    <t>652874375076</t>
  </si>
  <si>
    <t>2PC FLORAL SATIN SKIRTST</t>
  </si>
  <si>
    <t>SC834D99QC72</t>
  </si>
  <si>
    <t>PINKOVERFL</t>
  </si>
  <si>
    <t>807421588700</t>
  </si>
  <si>
    <t>023B B NSW THRILL ZIP PKT</t>
  </si>
  <si>
    <t>86J172G</t>
  </si>
  <si>
    <t>807421551315</t>
  </si>
  <si>
    <t>023B B NK THRILL PO HOODI</t>
  </si>
  <si>
    <t>86J170G</t>
  </si>
  <si>
    <t>195958075382</t>
  </si>
  <si>
    <t>Tommy Hilfiger Tommy Hilfiger Little Girls Se Navy 4</t>
  </si>
  <si>
    <t>61L22011-99</t>
  </si>
  <si>
    <t>195958570955</t>
  </si>
  <si>
    <t>Calvin Klein Calvin Klein Baby Girls Chambr Blue 3-6 months</t>
  </si>
  <si>
    <t>196027168349</t>
  </si>
  <si>
    <t>AME Disney Princess Baby Girls Paj Assorted 18 months</t>
  </si>
  <si>
    <t>DP678VSLMA</t>
  </si>
  <si>
    <t>195958481190</t>
  </si>
  <si>
    <t>Tommy Hilfiger Tommy Hilfiger Baby Girls Amer White 3-6 months</t>
  </si>
  <si>
    <t>61M80080-99</t>
  </si>
  <si>
    <t>191539869708</t>
  </si>
  <si>
    <t>Bonnie Jean Big Girls Lace to Taffeta Skir Black 8</t>
  </si>
  <si>
    <t>R45207-SV</t>
  </si>
  <si>
    <t>882925088086</t>
  </si>
  <si>
    <t>Polo Ralph Lauren Baby Girls Color-Blocked Pique Adirondack Rose 18 months</t>
  </si>
  <si>
    <t>MADE IN MACAU</t>
  </si>
  <si>
    <t>882925882721</t>
  </si>
  <si>
    <t>Polo Ralph Lauren Little Boys Polo Prepster Mesh Lake Blue Multi 5</t>
  </si>
  <si>
    <t>882925882738</t>
  </si>
  <si>
    <t>Polo Ralph Lauren Little Boys Polo Prepster Mesh Lake Blue Multi 6</t>
  </si>
  <si>
    <t>195252113032</t>
  </si>
  <si>
    <t>Under Armour Under Armour Big Boys Fleece C Marine OD Green Medium</t>
  </si>
  <si>
    <t>747941626561</t>
  </si>
  <si>
    <t>Speechless Speechless Big Girls Floral Hi Navy Blush 14</t>
  </si>
  <si>
    <t>SC522D03QE9</t>
  </si>
  <si>
    <t>SHELL: POLYESTER/SPANDEX; LINING: POLYESTER</t>
  </si>
  <si>
    <t>747941626547</t>
  </si>
  <si>
    <t>Speechless Speechless Big Girls Floral Hi Navy Blush 10</t>
  </si>
  <si>
    <t>747941911063</t>
  </si>
  <si>
    <t>Speechless Speechless Big Girls Floral Dr Purple 12</t>
  </si>
  <si>
    <t>SC671D01QB02</t>
  </si>
  <si>
    <t>194170342999</t>
  </si>
  <si>
    <t>Rare Editions Big Girls Rainbow Chiffon Hi-L Blue 10</t>
  </si>
  <si>
    <t>E490642</t>
  </si>
  <si>
    <t>194512209126</t>
  </si>
  <si>
    <t>Under Armour Under Armour Big Boys Armour P Black 1 XLarge</t>
  </si>
  <si>
    <t>195958471559</t>
  </si>
  <si>
    <t>Blueberi Boulevard Toddler Girls 2 Piece Faux Fur Blue 2T</t>
  </si>
  <si>
    <t>807421252403</t>
  </si>
  <si>
    <t>Nike Nike Little Boys Fleece Cargo Black 5</t>
  </si>
  <si>
    <t>86I374G</t>
  </si>
  <si>
    <t>9343098048310</t>
  </si>
  <si>
    <t>Flo Dancewear Flo Dancewear Big Girls Rosett Pink Small</t>
  </si>
  <si>
    <t>FEA1518</t>
  </si>
  <si>
    <t>FLO DANCEWEAR PTY LTD GIRLS</t>
  </si>
  <si>
    <t>194170400446</t>
  </si>
  <si>
    <t>Rare Editions Big Girls Woven Stripe Dress w Blue 16</t>
  </si>
  <si>
    <t>E495121</t>
  </si>
  <si>
    <t>652874419480</t>
  </si>
  <si>
    <t>Speechless Speechless Big Girls Lace Dres Off White 8</t>
  </si>
  <si>
    <t>S4225D03HB10</t>
  </si>
  <si>
    <t>194277482963</t>
  </si>
  <si>
    <t>Nike Nike Big Boys Sport Training P BlackWhite S 810</t>
  </si>
  <si>
    <t>CU9305</t>
  </si>
  <si>
    <t>652874426914</t>
  </si>
  <si>
    <t>Speechless Speechless Big Girls Floral Ha Chambray Pink 8</t>
  </si>
  <si>
    <t>S4268D01DF25</t>
  </si>
  <si>
    <t>652874419800</t>
  </si>
  <si>
    <t>Speechless Speechless Big Girls Scallop H White Coral 12</t>
  </si>
  <si>
    <t>S4725D01DF22</t>
  </si>
  <si>
    <t>194170305468</t>
  </si>
  <si>
    <t>Rare Editions Baby Girls 2-Pc. Satin Striped Dark Green 12 months</t>
  </si>
  <si>
    <t>H832211</t>
  </si>
  <si>
    <t>194931287606</t>
  </si>
  <si>
    <t>Nautica Baby Boys Argyle Sweater Vest Yellow 18 months</t>
  </si>
  <si>
    <t>NDSFR22C-720</t>
  </si>
  <si>
    <t>NAUTICA/F &amp; T APPAREL LLC</t>
  </si>
  <si>
    <t>194870729731</t>
  </si>
  <si>
    <t>adidas Big Girls Aeroready Floral Tig Black L 1416</t>
  </si>
  <si>
    <t>652874375465</t>
  </si>
  <si>
    <t>Speechless Speechless Little Girls Scallo Navy 5</t>
  </si>
  <si>
    <t>E4725B01DNE</t>
  </si>
  <si>
    <t>194170391348</t>
  </si>
  <si>
    <t>Rare Editions Little Girls Wool Jumper with Blue 6X</t>
  </si>
  <si>
    <t>S714272</t>
  </si>
  <si>
    <t>652874423258</t>
  </si>
  <si>
    <t>Speechless Speechless Big Girls Casual V- Blue 16</t>
  </si>
  <si>
    <t>194170434694</t>
  </si>
  <si>
    <t>Rare Editions Baby Girls Rib Knit Printed Ti Ivory 24 months</t>
  </si>
  <si>
    <t>194170434663</t>
  </si>
  <si>
    <t>Rare Editions Baby Girls Rib Knit Printed Ti Ivory 6-9 months</t>
  </si>
  <si>
    <t>195240670882</t>
  </si>
  <si>
    <t>Nike Nike Big Girls Sportswear Favo Pink Foam, Magic Ember L PLUS</t>
  </si>
  <si>
    <t>DD9133</t>
  </si>
  <si>
    <t>882925876621</t>
  </si>
  <si>
    <t>Polo Ralph Lauren Baby Boys Polo Bear T-shirt White 12 months</t>
  </si>
  <si>
    <t>194931282229</t>
  </si>
  <si>
    <t>Calvin Klein Big Boys Long Sleeve Stretch C Blue 12</t>
  </si>
  <si>
    <t>CTSFB02F-421</t>
  </si>
  <si>
    <t>194827206704</t>
  </si>
  <si>
    <t>adidas adidas Big Boys All-Over Camo Navy S 810</t>
  </si>
  <si>
    <t>H20298</t>
  </si>
  <si>
    <t>194827204212</t>
  </si>
  <si>
    <t>adidas adidas Big Boys All-Over Camo Navy XL 1820</t>
  </si>
  <si>
    <t>194827206650</t>
  </si>
  <si>
    <t>adidas adidas Big Boys All-Over Camo Navy L 1416</t>
  </si>
  <si>
    <t>194827206667</t>
  </si>
  <si>
    <t>adidas adidas Big Boys All-Over Camo Navy M 1012</t>
  </si>
  <si>
    <t>191539906519</t>
  </si>
  <si>
    <t>Bonnie Baby Baby Girls Sleeveless Multi Co Denim 3-6 months</t>
  </si>
  <si>
    <t>191539803917</t>
  </si>
  <si>
    <t>Bonnie Baby Baby Girls Corduroy Dress with Navy 24 months</t>
  </si>
  <si>
    <t>W54224-PL</t>
  </si>
  <si>
    <t>194870729199</t>
  </si>
  <si>
    <t>adidas Big Girls Aeroready All Over P Shadow Navy L 1416</t>
  </si>
  <si>
    <t>AK4787</t>
  </si>
  <si>
    <t>195958006393</t>
  </si>
  <si>
    <t>Calvin Klein Calvin Klein Big Boys Logo Wai Surf The Web XL 1820</t>
  </si>
  <si>
    <t>CKFEC07F-430</t>
  </si>
  <si>
    <t>BOYS STREETWR</t>
  </si>
  <si>
    <t>195958069725</t>
  </si>
  <si>
    <t>Calvin Klein Calvin Klein Performance Big B Tech Ebony S 8</t>
  </si>
  <si>
    <t>CKFEC19F-029</t>
  </si>
  <si>
    <t>CK BOYS PERFORMANCE/KHQ INVESTMENT</t>
  </si>
  <si>
    <t>195861223368</t>
  </si>
  <si>
    <t>Carters Baby Girls Little Unicorn Hall White 24 months</t>
  </si>
  <si>
    <t>1O259010</t>
  </si>
  <si>
    <t>195861223375</t>
  </si>
  <si>
    <t>Carters Baby Girls Little Unicorn Hall White 3-6 months</t>
  </si>
  <si>
    <t>194870279373</t>
  </si>
  <si>
    <t>adidas adidas Big Boys Aeroready Game Navy Medium</t>
  </si>
  <si>
    <t>AH5557</t>
  </si>
  <si>
    <t>194870574676</t>
  </si>
  <si>
    <t>adidas Big Girls Glam Graphic Tights Black with Silver-Tone M 1012</t>
  </si>
  <si>
    <t>652874451404</t>
  </si>
  <si>
    <t>Speechless Speechless Big Girls Floral Dr Teal Brown 12</t>
  </si>
  <si>
    <t>S4172D02F599</t>
  </si>
  <si>
    <t>652874451398</t>
  </si>
  <si>
    <t>Speechless Speechless Big Girls Floral Dr Teal Brown 10</t>
  </si>
  <si>
    <t>652874451374</t>
  </si>
  <si>
    <t>Speechless Speechless Big Girls Floral Dr Teal Brown 7</t>
  </si>
  <si>
    <t>652874451411</t>
  </si>
  <si>
    <t>Speechless Speechless Big Girls Floral Dr Teal Brown 14</t>
  </si>
  <si>
    <t>652874451428</t>
  </si>
  <si>
    <t>Speechless Speechless Big Girls Floral Dr Teal Brown 16</t>
  </si>
  <si>
    <t>652874451381</t>
  </si>
  <si>
    <t>Speechless Speechless Big Girls Floral Dr Teal Brown 8</t>
  </si>
  <si>
    <t>194257609113</t>
  </si>
  <si>
    <t>Champion Champion Big Boys Dip Dye Scri Concrete, Darker Concrete XL 1820</t>
  </si>
  <si>
    <t>CHB383</t>
  </si>
  <si>
    <t>194257609106</t>
  </si>
  <si>
    <t>Champion Champion Big Boys Dip Dye Scri Concrete, Darker Concrete L 1416</t>
  </si>
  <si>
    <t>194257609090</t>
  </si>
  <si>
    <t>Champion Champion Big Boys Dip Dye Scri Concrete, Darker Concrete M 1012</t>
  </si>
  <si>
    <t>194257609083</t>
  </si>
  <si>
    <t>Champion Champion Big Boys Dip Dye Scri Concrete, Darker Concrete S 8</t>
  </si>
  <si>
    <t>677838348941</t>
  </si>
  <si>
    <t>Jordan Jordan Baby Girls DNA 23 Jerse Pink Foam 0-3 months</t>
  </si>
  <si>
    <t>556169G</t>
  </si>
  <si>
    <t>194955957486</t>
  </si>
  <si>
    <t>Nike Nike Big Girls Dri-Fit Trophy Green Small</t>
  </si>
  <si>
    <t>DA1096</t>
  </si>
  <si>
    <t>194170408169</t>
  </si>
  <si>
    <t>Rare Editions Little Girls Knit Top and Chee Black 6X</t>
  </si>
  <si>
    <t>S714542</t>
  </si>
  <si>
    <t>191539908896</t>
  </si>
  <si>
    <t>Bonnie Baby Baby Girls Sleeveless Triple T Multi 24 months</t>
  </si>
  <si>
    <t>S5-10077-PV</t>
  </si>
  <si>
    <t>766370878952</t>
  </si>
  <si>
    <t>First Impressions Baby Girls 2-Pc. Tie Dye Set Pink Fancy 12 months</t>
  </si>
  <si>
    <t>652874407548</t>
  </si>
  <si>
    <t>Speechless Big Girls Floral Tie Front Top Fuchsia, Coral L 1214</t>
  </si>
  <si>
    <t>E4742D89GD45</t>
  </si>
  <si>
    <t>BRNOVERFLW</t>
  </si>
  <si>
    <t>652874408613</t>
  </si>
  <si>
    <t>Speechless Speechless Big Girls Tropical Ivory, Fushia Medium</t>
  </si>
  <si>
    <t>S4253D89GD72</t>
  </si>
  <si>
    <t>888737623859</t>
  </si>
  <si>
    <t>Carters Hog Athletic Sneakers, Toddler Navy 10 Toddler</t>
  </si>
  <si>
    <t>HOG-B</t>
  </si>
  <si>
    <t>FAUX-SUEDE/COTTON TWILL/FAUX-LEATHER UPPER; EVA SOLE</t>
  </si>
  <si>
    <t>195958484634</t>
  </si>
  <si>
    <t>Timberland Timberland Little Boys Logo Po Off White 6</t>
  </si>
  <si>
    <t>195958332423</t>
  </si>
  <si>
    <t>Calvin Klein Calvin Klein Little Boys Logo Olive 4</t>
  </si>
  <si>
    <t>3M52038-99</t>
  </si>
  <si>
    <t>726108366007</t>
  </si>
  <si>
    <t>S Rothschild CO Big Girls Puffer Coat and Scar Pink L 14</t>
  </si>
  <si>
    <t>70305F-R1</t>
  </si>
  <si>
    <t>S ROTHSCHILD &amp; CO INC GIRLS</t>
  </si>
  <si>
    <t>194870732069</t>
  </si>
  <si>
    <t>adidas Big Girls 3 Stripe Skorts Vivid Red L 14</t>
  </si>
  <si>
    <t>AX4497</t>
  </si>
  <si>
    <t>196027062746</t>
  </si>
  <si>
    <t>PAW Patrol Toddler Girls Paw Patrol Pajam Assorted 4T</t>
  </si>
  <si>
    <t>WN859TLLMA</t>
  </si>
  <si>
    <t>193654652746</t>
  </si>
  <si>
    <t>Nike Nike Big Girls Dri-Fit Tempo R Gunsmoke M 1012</t>
  </si>
  <si>
    <t>195958055780</t>
  </si>
  <si>
    <t>Blueberi Boulevard Baby Girls 3 Piece Yummy Rib D Blue 3-6 months</t>
  </si>
  <si>
    <t>MAB13368</t>
  </si>
  <si>
    <t>766380723082</t>
  </si>
  <si>
    <t>First Impressions Baby Girls 2-Pc. Tartan Bloome Winter Ivory 0-3 months</t>
  </si>
  <si>
    <t>195718207749</t>
  </si>
  <si>
    <t>Roxy Roxy Big Girls Short Sleeves T Cool Blue M 10</t>
  </si>
  <si>
    <t>ARGZT03725</t>
  </si>
  <si>
    <t>ROXY/QUIKSILVER/BOARDRIDERS 7-16</t>
  </si>
  <si>
    <t>195958350847</t>
  </si>
  <si>
    <t>Calvin Klein Calvin Klein Baby Girls Fleece Pink 24 months</t>
  </si>
  <si>
    <t>666980522675</t>
  </si>
  <si>
    <t>Nautica Big Girls Knit Jeggings Navy 16</t>
  </si>
  <si>
    <t>NDD0021E</t>
  </si>
  <si>
    <t>194257392176</t>
  </si>
  <si>
    <t>Champion Big Boys Signature Fleece Hood Black S 810</t>
  </si>
  <si>
    <t>194257392305</t>
  </si>
  <si>
    <t>Champion Big Boys Signature Fleece Hood Scarlet M 1012</t>
  </si>
  <si>
    <t>194257392190</t>
  </si>
  <si>
    <t>Champion Big Boys Signature Fleece Hood Black M 1012</t>
  </si>
  <si>
    <t>807421755966</t>
  </si>
  <si>
    <t>Nike Nike Baby Girls Bodysuit and L Arctic Punch 3 months</t>
  </si>
  <si>
    <t>06J337G</t>
  </si>
  <si>
    <t>195861287384</t>
  </si>
  <si>
    <t>Carters Carters Toddler Girls Long Sl Yellow 4T</t>
  </si>
  <si>
    <t>194257661944</t>
  </si>
  <si>
    <t>Champion Little Girls French Terry Hood Oxford Heather 6</t>
  </si>
  <si>
    <t>CHL415</t>
  </si>
  <si>
    <t>195241844800</t>
  </si>
  <si>
    <t>Nike Nike Big Boys Sportswear T-shi Chlorine Blue XL 1820</t>
  </si>
  <si>
    <t>AR5252</t>
  </si>
  <si>
    <t>766380729060</t>
  </si>
  <si>
    <t>First Impressions Baby Boys Precious 2-Pk. Color Black Gingham 6-9 months</t>
  </si>
  <si>
    <t>194753750647</t>
  </si>
  <si>
    <t>Tommy Hilfiger Big Boys Graphic Knit Short Black M 1214</t>
  </si>
  <si>
    <t>TBSEC07F-001</t>
  </si>
  <si>
    <t>196325120971</t>
  </si>
  <si>
    <t>Disney Disney Toddler Girls Princess Multi 2T</t>
  </si>
  <si>
    <t>766360670689</t>
  </si>
  <si>
    <t>Epic Threads Big Girls Stripe Button Dress Spacious Skies XL 1820</t>
  </si>
  <si>
    <t>100145619GR</t>
  </si>
  <si>
    <t>196019038032</t>
  </si>
  <si>
    <t>Breaking Waves Big Girls 2-Pc. Wild Child Swi Open 7</t>
  </si>
  <si>
    <t>196019037974</t>
  </si>
  <si>
    <t>Breaking Waves Big Girls 2-Pc. Cheetah-Print BlackWhite 7</t>
  </si>
  <si>
    <t>766370911659</t>
  </si>
  <si>
    <t>ID Ideology Little Girls 2-Pc. T-Shirt S Bright White 6</t>
  </si>
  <si>
    <t>766370085275</t>
  </si>
  <si>
    <t>Epic Threads Little Boys Shorts Sleeve Swea Fiery Red 6</t>
  </si>
  <si>
    <t>766370085305</t>
  </si>
  <si>
    <t>Epic Threads Toddler Boys Shorts Sleeve Swe Fiery Red 2T</t>
  </si>
  <si>
    <t>195958356030</t>
  </si>
  <si>
    <t>Tommy Hilfiger Tommy Hilfiger Baby Boys Strip White, Navy 6-9 months</t>
  </si>
  <si>
    <t>61M90036-99</t>
  </si>
  <si>
    <t>194133423314</t>
  </si>
  <si>
    <t>Carters 3-Piece Floral Little Vest Set Multi 6 months</t>
  </si>
  <si>
    <t>1J084410</t>
  </si>
  <si>
    <t>195958493377</t>
  </si>
  <si>
    <t>Kids Headquarters Kids Headquarters Little Boys Blue 5</t>
  </si>
  <si>
    <t>10M52003-99</t>
  </si>
  <si>
    <t>194870754474</t>
  </si>
  <si>
    <t>adidas Big Girls Short Sleeve Long Sl White XL 1820</t>
  </si>
  <si>
    <t>AA4969</t>
  </si>
  <si>
    <t>194870754368</t>
  </si>
  <si>
    <t>adidas Big Girls Short Sleeve Dolman Clear Sky XL 1820</t>
  </si>
  <si>
    <t>AA4970</t>
  </si>
  <si>
    <t>696114451007</t>
  </si>
  <si>
    <t>Max Olivia Big Girls Top and Jogger Pants Multi Medium</t>
  </si>
  <si>
    <t>552638-MA</t>
  </si>
  <si>
    <t>194753654617</t>
  </si>
  <si>
    <t>Kids Headquarters Kids Headquarters Infant Girl Blue 24 months</t>
  </si>
  <si>
    <t>11K02015-99</t>
  </si>
  <si>
    <t>762120330350</t>
  </si>
  <si>
    <t>ID Ideology Big Girls Camo-Print Jogger Pa Indigo Sea XL</t>
  </si>
  <si>
    <t>100137760BO</t>
  </si>
  <si>
    <t>762120330343</t>
  </si>
  <si>
    <t>ID Ideology Big Girls Camo-Print Jogger Pa Indigo Sea L</t>
  </si>
  <si>
    <t>762120330305</t>
  </si>
  <si>
    <t>ID Ideology Big Girls Camo-Print Jogger Pa Deep Black L</t>
  </si>
  <si>
    <t>762120330312</t>
  </si>
  <si>
    <t>ID Ideology Big Girls Camo-Print Jogger Pa Deep Black XL</t>
  </si>
  <si>
    <t>762120330299</t>
  </si>
  <si>
    <t>ID Ideology Big Girls Camo-Print Jogger Pa Deep Black M</t>
  </si>
  <si>
    <t>762120330282</t>
  </si>
  <si>
    <t>ID Ideology Big Girls Camo-Print Jogger Pa Deep Black S</t>
  </si>
  <si>
    <t>762120330336</t>
  </si>
  <si>
    <t>ID Ideology Big Girls Camo-Print Jogger Pa Indigo Sea M</t>
  </si>
  <si>
    <t>762120330329</t>
  </si>
  <si>
    <t>ID Ideology Big Girls Camo-Print Jogger Pa Indigo Sea S</t>
  </si>
  <si>
    <t>733004723728</t>
  </si>
  <si>
    <t>First Impressions Baby Boys Metallic Faux Leathe Silver Metallic 24 months</t>
  </si>
  <si>
    <t>100134957BB</t>
  </si>
  <si>
    <t>766370765313</t>
  </si>
  <si>
    <t>Epic Threads Little Boys All Over Print T-s Iron Gate 6</t>
  </si>
  <si>
    <t>100151810LB</t>
  </si>
  <si>
    <t>194870275818</t>
  </si>
  <si>
    <t>adidas adidas Toddler and Little Boys Collegiate Navy 3T</t>
  </si>
  <si>
    <t>AH5546</t>
  </si>
  <si>
    <t>194870275801</t>
  </si>
  <si>
    <t>adidas adidas Toddler and Little Boys Collegiate Navy 2T</t>
  </si>
  <si>
    <t>194870275849</t>
  </si>
  <si>
    <t>adidas adidas Toddler and Little Boys Collegiate Navy 5</t>
  </si>
  <si>
    <t>766370310940</t>
  </si>
  <si>
    <t>Epic Threads Little Boys Graphic T-shirt Se Medium Heather Gray 7</t>
  </si>
  <si>
    <t>100144984LB</t>
  </si>
  <si>
    <t>766370085251</t>
  </si>
  <si>
    <t>Epic Threads Toddler Boys Shorts Sleeve Hoo Light Heather Gray 3T</t>
  </si>
  <si>
    <t>100144981LB</t>
  </si>
  <si>
    <t>766370311015</t>
  </si>
  <si>
    <t>Epic Threads Toddler Boys Graphic T-shirt S Bright White 4T</t>
  </si>
  <si>
    <t>100144985LB</t>
  </si>
  <si>
    <t>766370310957</t>
  </si>
  <si>
    <t>Epic Threads Toddler Boys Graphic T-shirt S Medium Heather Gray 4T</t>
  </si>
  <si>
    <t>733004722981</t>
  </si>
  <si>
    <t>First Impressions Baby Girls 2-Pc. Quilted Ruffl Sundrop 0-3 months</t>
  </si>
  <si>
    <t>100135974BG</t>
  </si>
  <si>
    <t>194135551992</t>
  </si>
  <si>
    <t>Carters Baby Girls 4-Pk. Printed Cotto Pink Multi 9 months</t>
  </si>
  <si>
    <t>1M093910</t>
  </si>
  <si>
    <t>194135550148</t>
  </si>
  <si>
    <t>Carters Baby Boys 4-Pack Long-Sleeve P Assorted 6 months</t>
  </si>
  <si>
    <t>1M102810</t>
  </si>
  <si>
    <t>195861325147</t>
  </si>
  <si>
    <t>Carters Carters Toddler Girls Long Sl Blue 2T</t>
  </si>
  <si>
    <t>2O031210</t>
  </si>
  <si>
    <t>196027125779</t>
  </si>
  <si>
    <t>Disney Princess Frozen Little Girls 2 Piece Pa Assorted 4</t>
  </si>
  <si>
    <t>762120691536</t>
  </si>
  <si>
    <t>ID Ideology Big Girls Reversible Bikini Violet Tulle L 14</t>
  </si>
  <si>
    <t>766370876729</t>
  </si>
  <si>
    <t>First Impressions Baby Boys 2-Pc. Tropical Shirt Deep Black 0-3 months</t>
  </si>
  <si>
    <t>766370876651</t>
  </si>
  <si>
    <t>First Impressions Baby Boys 2-Pc. Tropical Shirt Deep Black 3-6 months</t>
  </si>
  <si>
    <t>766370880313</t>
  </si>
  <si>
    <t>First Impressions Baby Girls Tiered Ruffle Sceni Bright White 18 months</t>
  </si>
  <si>
    <t>766370879591</t>
  </si>
  <si>
    <t>First Impressions Baby Girls Tiered Ruffle Flora Deep Black 0-3 months</t>
  </si>
  <si>
    <t>733004399190</t>
  </si>
  <si>
    <t>ID Ideology Little Girls Quarter-Zip Fleec Chic Pink 5</t>
  </si>
  <si>
    <t>100130464LG</t>
  </si>
  <si>
    <t>762120691680</t>
  </si>
  <si>
    <t>ID Ideology Big Girls Solid Bikini Indigo Sea L 14</t>
  </si>
  <si>
    <t>762120691628</t>
  </si>
  <si>
    <t>ID Ideology Big Girls Solid Bikini Deep Black M 1012</t>
  </si>
  <si>
    <t>762120691833</t>
  </si>
  <si>
    <t>ID Ideology Big Girls Solid Bikini Violet Tulle M 1012</t>
  </si>
  <si>
    <t>762120691888</t>
  </si>
  <si>
    <t>ID Ideology Big Girls Solid Bikini Rose Shadow M 1012</t>
  </si>
  <si>
    <t>762120691864</t>
  </si>
  <si>
    <t>ID Ideology Big Girls Solid Bikini Violet Tulle XXL 18</t>
  </si>
  <si>
    <t>766360444211</t>
  </si>
  <si>
    <t>ID Ideology Big Girls Colorful Trim Bikini Jet Ski XL 16</t>
  </si>
  <si>
    <t>762120691673</t>
  </si>
  <si>
    <t>ID Ideology Big Girls Solid Bikini Indigo Sea M 1012</t>
  </si>
  <si>
    <t>762120691666</t>
  </si>
  <si>
    <t>ID Ideology Big Girls Solid Bikini Indigo Sea S 78</t>
  </si>
  <si>
    <t>762120691635</t>
  </si>
  <si>
    <t>ID Ideology Big Girls Solid Bikini Deep Black L 14</t>
  </si>
  <si>
    <t>762120691567</t>
  </si>
  <si>
    <t>ID Ideology Big Girls Solid Bikini Deep Black S 78</t>
  </si>
  <si>
    <t>762120691956</t>
  </si>
  <si>
    <t>762120691949</t>
  </si>
  <si>
    <t>ID Ideology Big Girls 2-Pc. Rippling Rose Violet Tulle L 14</t>
  </si>
  <si>
    <t>762120691925</t>
  </si>
  <si>
    <t>193585494378</t>
  </si>
  <si>
    <t>adidas Toddler Boys New Pro Sport 3-S Black 2T</t>
  </si>
  <si>
    <t>193585501359</t>
  </si>
  <si>
    <t>adidas adidas Little Boys Aeroready P Black 4</t>
  </si>
  <si>
    <t>193585457571</t>
  </si>
  <si>
    <t>adidas adidas Little Boys Aeroready P Navy 5</t>
  </si>
  <si>
    <t>193585501366</t>
  </si>
  <si>
    <t>adidas adidas Little Boys Aeroready P Black 5</t>
  </si>
  <si>
    <t>195958125742</t>
  </si>
  <si>
    <t>Kids Headquarters Baby Girls 2-Pc. Textured Ruff White 6-9 months</t>
  </si>
  <si>
    <t>11L82003-99</t>
  </si>
  <si>
    <t>194135922228</t>
  </si>
  <si>
    <t>Carters Toddler Girls Cotton Heart-Pri Grayred 2T</t>
  </si>
  <si>
    <t>766360145439</t>
  </si>
  <si>
    <t>First Impressions Baby Boys 2-Pk. Bloom Stripe R Under the Sea 3-6 months</t>
  </si>
  <si>
    <t>696114450406</t>
  </si>
  <si>
    <t>Max Olivia Big Boys T-shirt and Shorts Pa Red XL 1618</t>
  </si>
  <si>
    <t>57429-MA</t>
  </si>
  <si>
    <t>762120213141</t>
  </si>
  <si>
    <t>ID Ideology Big Boys Full-Zip Hoodie Native Green L</t>
  </si>
  <si>
    <t>100137761BO</t>
  </si>
  <si>
    <t>762120213158</t>
  </si>
  <si>
    <t>ID Ideology Big Boys Full-Zip Hoodie Native Green XL</t>
  </si>
  <si>
    <t>762120213134</t>
  </si>
  <si>
    <t>ID Ideology Big Boys Full-Zip Hoodie Native Green M</t>
  </si>
  <si>
    <t>762120213127</t>
  </si>
  <si>
    <t>ID Ideology Big Boys Full-Zip Hoodie Native Green S</t>
  </si>
  <si>
    <t>733004722738</t>
  </si>
  <si>
    <t>First Impressions Baby Girls 2-Pc. Glitter Velou Lavender Pool 24 months</t>
  </si>
  <si>
    <t>100134942BG</t>
  </si>
  <si>
    <t>733004722721</t>
  </si>
  <si>
    <t>First Impressions Baby Girls 2-Pc. Glitter Velou Lavender Pool 18 months</t>
  </si>
  <si>
    <t>766370717671</t>
  </si>
  <si>
    <t>First Impressions Baby Girls 2-Pc. Splatter-Prin Authentic Wash 6-9 months</t>
  </si>
  <si>
    <t>194170333898</t>
  </si>
  <si>
    <t>Rare Editions Baby Girls Check Seersucker Dr Pink 12 months</t>
  </si>
  <si>
    <t>S811952</t>
  </si>
  <si>
    <t>194135706149</t>
  </si>
  <si>
    <t>Carters Toddler Girls 2-Pc. Floral-Pri Assorted 5T</t>
  </si>
  <si>
    <t>2M701410</t>
  </si>
  <si>
    <t>196122402508</t>
  </si>
  <si>
    <t>Koala Baby Baby Boys Sleepwear, 4 Piece S White 12 months</t>
  </si>
  <si>
    <t>KLM12448</t>
  </si>
  <si>
    <t>194753807815</t>
  </si>
  <si>
    <t>Under Armour Under Armour Little Boys Big L Tech Blue 7</t>
  </si>
  <si>
    <t>UAFEA51E-420</t>
  </si>
  <si>
    <t>733004763212</t>
  </si>
  <si>
    <t>ID Ideology Toddler Little Girls Girls Rose Shadow 2T</t>
  </si>
  <si>
    <t>100136746LG</t>
  </si>
  <si>
    <t>733002930586</t>
  </si>
  <si>
    <t>Epic Threads Big Girls Short Sleeve Pocket Oil Green M 1214</t>
  </si>
  <si>
    <t>100124530GR</t>
  </si>
  <si>
    <t>195958842250</t>
  </si>
  <si>
    <t>Tommy Hilfiger Tommy Hilfiger Big Girls Ombre Navy Blazer XL 16</t>
  </si>
  <si>
    <t>825663256867</t>
  </si>
  <si>
    <t>Nike Nike Little Girls Freeze Tag T Black 5</t>
  </si>
  <si>
    <t>840230436596</t>
  </si>
  <si>
    <t>Sol Swimwear Little Girls 2-Pc. Rainbow Ver Open 5</t>
  </si>
  <si>
    <t>195861316244</t>
  </si>
  <si>
    <t>Carters Carters Baby Girls Striped Ti Print 3 months</t>
  </si>
  <si>
    <t>194135895140</t>
  </si>
  <si>
    <t>Carters Carters Baby Girls 3-Piece Li Multi 9 months</t>
  </si>
  <si>
    <t>1N040610</t>
  </si>
  <si>
    <t>762120692076</t>
  </si>
  <si>
    <t>ID Ideology Big Girls Marble-Print Swimsui Pistachio Grn S 78</t>
  </si>
  <si>
    <t>762120692106</t>
  </si>
  <si>
    <t>ID Ideology Big Girls Marble-Print Swimsui Pistachio Grn XL 16</t>
  </si>
  <si>
    <t>733004072925</t>
  </si>
  <si>
    <t>Epic Threads Big Girls Cozy Fleece Pullover Deep Black Medium</t>
  </si>
  <si>
    <t>100134327GR</t>
  </si>
  <si>
    <t>733004764981</t>
  </si>
  <si>
    <t>ID Ideology Big Girls Open Leg Pants Violet Light L 14</t>
  </si>
  <si>
    <t>100136609GR</t>
  </si>
  <si>
    <t>766360444471</t>
  </si>
  <si>
    <t>ID Ideology Big Girls Hibiscus-Print Rash Jet Ski XL 16</t>
  </si>
  <si>
    <t>766360436018</t>
  </si>
  <si>
    <t>ID Ideology Big Girls Hooded Mesh Shirt Jet Ski M 1012</t>
  </si>
  <si>
    <t>766360435875</t>
  </si>
  <si>
    <t>ID Ideology Big Girls Hooded Mesh Shirt Tropic Blue S 78</t>
  </si>
  <si>
    <t>195861322160</t>
  </si>
  <si>
    <t>Carters Carters Baby Girls Pocket Lon Print 9 months</t>
  </si>
  <si>
    <t>195861322146</t>
  </si>
  <si>
    <t>Carters Carters Baby Girls Pocket Lon Print 3 months</t>
  </si>
  <si>
    <t>194753766556</t>
  </si>
  <si>
    <t>Tommy Hilfiger Tommy Hilfiger Big Boys Flag B Bright White Medium</t>
  </si>
  <si>
    <t>TBSEA25F-100</t>
  </si>
  <si>
    <t>194753752566</t>
  </si>
  <si>
    <t>Tommy Hilfiger Big Boys Break Point Short Sle Bright White Medium</t>
  </si>
  <si>
    <t>TBSEA34F-100</t>
  </si>
  <si>
    <t>762120690508</t>
  </si>
  <si>
    <t>ID Ideology Toddler Little Girls Marble- Barely Pink 4T</t>
  </si>
  <si>
    <t>100140975LG</t>
  </si>
  <si>
    <t>762120690492</t>
  </si>
  <si>
    <t>ID Ideology Toddler Little Girls Marble- Barely Pink 3T</t>
  </si>
  <si>
    <t>762120690485</t>
  </si>
  <si>
    <t>ID Ideology Toddler Little Girls Marble- Barely Pink 2T</t>
  </si>
  <si>
    <t>762120329996</t>
  </si>
  <si>
    <t>ID Ideology Little Toddler Girls Camo-Pr Deep Black 4T</t>
  </si>
  <si>
    <t>100147127LB</t>
  </si>
  <si>
    <t>762120330015</t>
  </si>
  <si>
    <t>ID Ideology Little Toddler Girls Camo-Pr Deep Black 3T</t>
  </si>
  <si>
    <t>762120329972</t>
  </si>
  <si>
    <t>ID Ideology Little Toddler Girls Camo-Pr Deep Black 6</t>
  </si>
  <si>
    <t>762120329989</t>
  </si>
  <si>
    <t>ID Ideology Little Toddler Girls Camo-Pr Deep Black 7</t>
  </si>
  <si>
    <t>762120329965</t>
  </si>
  <si>
    <t>NDSFR26J-100</t>
  </si>
  <si>
    <t>F &amp; T APPAREL LLC</t>
  </si>
  <si>
    <t>882925654533</t>
  </si>
  <si>
    <t>Polo Ralph Lauren Baby Girls Plaid and Floral Do Cream Multi 3 months</t>
  </si>
  <si>
    <t>882925654519</t>
  </si>
  <si>
    <t>Polo Ralph Lauren Baby Girls Plaid and Floral Do Cream Multi 18 months</t>
  </si>
  <si>
    <t>194894332504</t>
  </si>
  <si>
    <t>Columbia Big Girls Arcadia Jacket Electric Turquoise M</t>
  </si>
  <si>
    <t>KIDS OUT/WEAR</t>
  </si>
  <si>
    <t>SPORTSWEAR GIRL/COLUMBIA BRANDS USA</t>
  </si>
  <si>
    <t>191967707986</t>
  </si>
  <si>
    <t>DKNY DKNY Little Boys Reversible Sh Olive Camo, Charcoal 56</t>
  </si>
  <si>
    <t>OCZSU4G</t>
  </si>
  <si>
    <t>WEATHERPROOF/SAMSUNG C&amp;T AMER BOYS</t>
  </si>
  <si>
    <t>193654699826</t>
  </si>
  <si>
    <t>Nike Nike Big Boys Sportswear Club BlackLight Smoke Gray S 810</t>
  </si>
  <si>
    <t>CJ7861</t>
  </si>
  <si>
    <t>194170357306</t>
  </si>
  <si>
    <t>Rare Editions Toddler Girls Tie Dye Mikado S Lilac 4T</t>
  </si>
  <si>
    <t>E792102</t>
  </si>
  <si>
    <t>195251409815</t>
  </si>
  <si>
    <t>Under Armour Big Girls Armour Fleece Irides Blue Note Iridescent S 78</t>
  </si>
  <si>
    <t>882925115713</t>
  </si>
  <si>
    <t>Polo Ralph Lauren Baby Boys Big Pony Jersey Shor Heritage Royal 3M</t>
  </si>
  <si>
    <t>196134007661</t>
  </si>
  <si>
    <t>Volcom Big Girls Popztone Dress Bone S</t>
  </si>
  <si>
    <t>R1312202</t>
  </si>
  <si>
    <t>VOLCOM GIRLS/VOLCOM INC</t>
  </si>
  <si>
    <t>194170421472</t>
  </si>
  <si>
    <t>Rare Editions Baby Girls Sleeveless Basket W Taupe 6-9 months</t>
  </si>
  <si>
    <t>191539835932</t>
  </si>
  <si>
    <t>Bonnie Jean Little Girls Polka Dot Jacquar Red 5</t>
  </si>
  <si>
    <t>X64482-SL</t>
  </si>
  <si>
    <t>825663321305</t>
  </si>
  <si>
    <t>Jordan Jordan Big Boys Jumpman Nike S Gym Red S 8</t>
  </si>
  <si>
    <t>95B452G</t>
  </si>
  <si>
    <t>807421565763</t>
  </si>
  <si>
    <t>Jordan Jordan Big Boys Jumpman Elevat Black L 1416</t>
  </si>
  <si>
    <t>95B212G</t>
  </si>
  <si>
    <t>194170400187</t>
  </si>
  <si>
    <t>Rare Editions Baby Girls Embroidered Gingham Blue 12 months</t>
  </si>
  <si>
    <t>E892462</t>
  </si>
  <si>
    <t>195243813972</t>
  </si>
  <si>
    <t>Nike Nike Big Boys Sportswear Long- Dark Gray Heather M 1012</t>
  </si>
  <si>
    <t>DM3435</t>
  </si>
  <si>
    <t>194170308049</t>
  </si>
  <si>
    <t>Rare Editions Big Girls Satin Skater Dress w Navy 12</t>
  </si>
  <si>
    <t>652874338088</t>
  </si>
  <si>
    <t>Speechless Speechless Big Girls Ruffle On Rose 16</t>
  </si>
  <si>
    <t>T1993D01DNE</t>
  </si>
  <si>
    <t>888133188440</t>
  </si>
  <si>
    <t>Kenneth Cole New York Kenneth Cole New York Big Girl White 5</t>
  </si>
  <si>
    <t>KCN062</t>
  </si>
  <si>
    <t>ESQUIRE FOOTWEAR BRANDS LLC</t>
  </si>
  <si>
    <t>194870572634</t>
  </si>
  <si>
    <t>adidas Big Boys Melange Event Hoodie Collegiate Green Heather S 8</t>
  </si>
  <si>
    <t>AA7285</t>
  </si>
  <si>
    <t>194870576342</t>
  </si>
  <si>
    <t>adidas Big Girls Allover Print Foil F Black with Silver-Tone M 1012</t>
  </si>
  <si>
    <t>AA4934</t>
  </si>
  <si>
    <t>194870729748</t>
  </si>
  <si>
    <t>adidas Big Girls Aeroready Floral Tig Black XL 1820</t>
  </si>
  <si>
    <t>AK4799</t>
  </si>
  <si>
    <t>194870729717</t>
  </si>
  <si>
    <t>adidas Big Girls Aeroready Floral Tig Black S 8</t>
  </si>
  <si>
    <t>79092012611</t>
  </si>
  <si>
    <t>Baby Deer Baby Deer Baby Unisex Broadclo White 4M</t>
  </si>
  <si>
    <t>4 M</t>
  </si>
  <si>
    <t>BABY DEER/TRIMFOOT COMPANY</t>
  </si>
  <si>
    <t>194753904330</t>
  </si>
  <si>
    <t>Under Armour Under Armour Little Boys Logo Black 5</t>
  </si>
  <si>
    <t>UAFEI39J-001</t>
  </si>
  <si>
    <t>UNDER ARMOUR 2-7/KHQ INVESTMENT LLC</t>
  </si>
  <si>
    <t>191539871138</t>
  </si>
  <si>
    <t>Bonnie Baby Baby Girls Pinafore Linen Look Multi 3-6 months</t>
  </si>
  <si>
    <t>R55244-PV</t>
  </si>
  <si>
    <t>194870895801</t>
  </si>
  <si>
    <t>adidas Little Boys Poly Graphic T-shi Sky Rush 5</t>
  </si>
  <si>
    <t>AG6398C</t>
  </si>
  <si>
    <t>194870755464</t>
  </si>
  <si>
    <t>adidas Little Boys French Terry T-Shi Black 5</t>
  </si>
  <si>
    <t>AG6368C</t>
  </si>
  <si>
    <t>7620207871192</t>
  </si>
  <si>
    <t>GUESS Baby Boys 2-Pc. Colorblocked F Jet Black A996 3-6 months</t>
  </si>
  <si>
    <t>I1BG00KAD70</t>
  </si>
  <si>
    <t>807421258221</t>
  </si>
  <si>
    <t>Nike Nike Little Girls Sportswear F Black 6X</t>
  </si>
  <si>
    <t>36I333G</t>
  </si>
  <si>
    <t>807421759513</t>
  </si>
  <si>
    <t>Nike Nike Toddler Girls Dri-FIT Spr Violet Shock 4T</t>
  </si>
  <si>
    <t>26J273G</t>
  </si>
  <si>
    <t>807421579869</t>
  </si>
  <si>
    <t>Nike Nike Baby Girls Crossover Tuni Bright Mango 18 months</t>
  </si>
  <si>
    <t>825663386717</t>
  </si>
  <si>
    <t>Nike 3BRAND by Russell Wilson Big Boys Shadow Print Shorts Russell Wilson Blue L 1416</t>
  </si>
  <si>
    <t>9Q0202G</t>
  </si>
  <si>
    <t>825663266101</t>
  </si>
  <si>
    <t>Nike Nike Toddler Boys Daze Dri-fit Midnight Navy 4T</t>
  </si>
  <si>
    <t>76J541G</t>
  </si>
  <si>
    <t>825663266095</t>
  </si>
  <si>
    <t>Nike Nike Toddler Boys Daze Dri-fit Midnight Navy 3T</t>
  </si>
  <si>
    <t>807421526443</t>
  </si>
  <si>
    <t>Nike Nike Toddler Boys Dri-FIT Drop Game Royal 4T</t>
  </si>
  <si>
    <t>807421764685</t>
  </si>
  <si>
    <t>Nike Nike Little Girls Colorful Box Arctic Punch 4</t>
  </si>
  <si>
    <t>36J214G</t>
  </si>
  <si>
    <t>825663154521</t>
  </si>
  <si>
    <t>Nike 3BRAND by Russell Wilson Nike 3BRAND by Russell Wilson Carbon Heather L 1416</t>
  </si>
  <si>
    <t>9Q0160G</t>
  </si>
  <si>
    <t>677838214239</t>
  </si>
  <si>
    <t>Nike Nike Little Boys Block T-shirt Smoke Gray 6</t>
  </si>
  <si>
    <t>86G264G</t>
  </si>
  <si>
    <t>807421581541</t>
  </si>
  <si>
    <t>Nike Nike Baby Girls Printed Dri-fi Mint Foam 18 months</t>
  </si>
  <si>
    <t>16J273G</t>
  </si>
  <si>
    <t>194870728604</t>
  </si>
  <si>
    <t>adidas Big Boys Elastic Waistband Ess Collegiate Navy M 1012</t>
  </si>
  <si>
    <t>AH5612</t>
  </si>
  <si>
    <t>194870942611</t>
  </si>
  <si>
    <t>adidas Big Boys Extended Size AEROREA Focus Olive S 8</t>
  </si>
  <si>
    <t>AH5619P</t>
  </si>
  <si>
    <t>194870575215</t>
  </si>
  <si>
    <t>adidas Big Girls Aeroready Brand Love Black with Silver-Tone L 1416</t>
  </si>
  <si>
    <t>AK4785</t>
  </si>
  <si>
    <t>195238064624</t>
  </si>
  <si>
    <t>Nike Nike Big Boys Short-Sleeve Tra Total Orange, Photon Dust S PLUS</t>
  </si>
  <si>
    <t>DH3060</t>
  </si>
  <si>
    <t>733004952036</t>
  </si>
  <si>
    <t>First Impressions Baby Boys 3-Pc. Groovy Rash Gu Passion Blue 24 months</t>
  </si>
  <si>
    <t>100135704BB</t>
  </si>
  <si>
    <t>194870722879</t>
  </si>
  <si>
    <t>adidas Big Girls Elastic Waistband Om Blue Rush XL 1820</t>
  </si>
  <si>
    <t>195958650350</t>
  </si>
  <si>
    <t>Tommy Hilfiger Tommy Hilfiger Baby Boys Short Navy 12 months</t>
  </si>
  <si>
    <t>61M70101-99</t>
  </si>
  <si>
    <t>195958650374</t>
  </si>
  <si>
    <t>Tommy Hilfiger Tommy Hilfiger Baby Boys Short Navy 24 months</t>
  </si>
  <si>
    <t>195958650367</t>
  </si>
  <si>
    <t>Tommy Hilfiger Tommy Hilfiger Baby Boys Short Navy 18 months</t>
  </si>
  <si>
    <t>195958650466</t>
  </si>
  <si>
    <t>Tommy Hilfiger Tommy Hilfiger Baby Boys Knit Red 6-9 months</t>
  </si>
  <si>
    <t>61M90102-99</t>
  </si>
  <si>
    <t>825663265746</t>
  </si>
  <si>
    <t>Nike Nike Baby Boys Dri-Fit America Game Royal 24 months</t>
  </si>
  <si>
    <t>66J554G</t>
  </si>
  <si>
    <t>825663226501</t>
  </si>
  <si>
    <t>Nike Nike Baby Girl Americana T-shi Hyper Royal 18 months</t>
  </si>
  <si>
    <t>825663226495</t>
  </si>
  <si>
    <t>Nike Nike Baby Girl Americana T-shi Hyper Royal 12 months</t>
  </si>
  <si>
    <t>886785497668</t>
  </si>
  <si>
    <t>CB Sports CB Sports Big Boys Puffer Jack Charcoalblack L 1416</t>
  </si>
  <si>
    <t>OBZSD8G</t>
  </si>
  <si>
    <t>886785497934</t>
  </si>
  <si>
    <t>CB Sports CB Sports Big Boys Puffer Jack Blue, Black, White L 1416</t>
  </si>
  <si>
    <t>OBZSE1G</t>
  </si>
  <si>
    <t>886785497927</t>
  </si>
  <si>
    <t>CB Sports CB Sports Big Boys Puffer Jack Blue, Black, White M 1012</t>
  </si>
  <si>
    <t>196027141212</t>
  </si>
  <si>
    <t>Disney Princess Little Girls Frozen Fantasy Go Assorted 4</t>
  </si>
  <si>
    <t>F2141GGSMA</t>
  </si>
  <si>
    <t>193666880380</t>
  </si>
  <si>
    <t>Calvin Klein Calvin Klein Big Girls Fleece Navy Small</t>
  </si>
  <si>
    <t>CALVIN KLEIN SLEEP/DELTA GALIL GRLS</t>
  </si>
  <si>
    <t>766370878969</t>
  </si>
  <si>
    <t>First Impressions Baby Girls 2-Pc. Tie Dye Set Pink Fancy 3-6 months</t>
  </si>
  <si>
    <t>195883917436</t>
  </si>
  <si>
    <t>Hybrid Toddler Boys Nasa Active, 2 Pi Black Red Combo 4T</t>
  </si>
  <si>
    <t>2JNAS1227</t>
  </si>
  <si>
    <t>195883917627</t>
  </si>
  <si>
    <t>Hot Wheels Little Boys Hot Wheels Active Royal Blue 5</t>
  </si>
  <si>
    <t>2MLS0393</t>
  </si>
  <si>
    <t>193585457786</t>
  </si>
  <si>
    <t>adidas Big Boys AEROREADY Pro Sport 3 Black M 1012</t>
  </si>
  <si>
    <t>AH5517</t>
  </si>
  <si>
    <t>195883917450</t>
  </si>
  <si>
    <t>Hybrid Little Boys Nasa Active, 2 Pie Black Red Combo 6</t>
  </si>
  <si>
    <t>652874407616</t>
  </si>
  <si>
    <t>Speechless Speechless Big Girls Stripe Ti Ivory, Navy XLarge</t>
  </si>
  <si>
    <t>E4742D89GD46</t>
  </si>
  <si>
    <t>652874407678</t>
  </si>
  <si>
    <t>Speechless Speechless Big Girls Floral Ti Red, Orange XL 16</t>
  </si>
  <si>
    <t>E4742D89GD73</t>
  </si>
  <si>
    <t>652874305417</t>
  </si>
  <si>
    <t>Speechless Speechless Big Girls Ruffle Dr Teal 10</t>
  </si>
  <si>
    <t>C4058D03WDAA</t>
  </si>
  <si>
    <t>194257667427</t>
  </si>
  <si>
    <t>Champion Champion Big Boys All Over Pri Oxford Heather, Black L</t>
  </si>
  <si>
    <t>CHB464</t>
  </si>
  <si>
    <t>807421102746</t>
  </si>
  <si>
    <t>Levis Levis Big Boys Relaxed Jogger Peacoat M 1012</t>
  </si>
  <si>
    <t>91E095F</t>
  </si>
  <si>
    <t>762120499644</t>
  </si>
  <si>
    <t>First Impressions Baby Boys Two-Piece Shirt Pa Oregano 0-3 months</t>
  </si>
  <si>
    <t>100140062BB</t>
  </si>
  <si>
    <t>191539904058</t>
  </si>
  <si>
    <t>Bonnie Baby Baby Girls Sleeveless Seersuck Navy 6-9 months</t>
  </si>
  <si>
    <t>191539908070</t>
  </si>
  <si>
    <t>Bonnie Baby Baby Girls Sleeveless Mixed Pr Navy 18 months</t>
  </si>
  <si>
    <t>196027062531</t>
  </si>
  <si>
    <t>Disney Princess Toddler Girls Disney Princess Assorted 4T</t>
  </si>
  <si>
    <t>DP626TLLMA</t>
  </si>
  <si>
    <t>196027062517</t>
  </si>
  <si>
    <t>Disney Princess Toddler Girls Disney Princess Assorted 2T</t>
  </si>
  <si>
    <t>194257661746</t>
  </si>
  <si>
    <t>Champion Toddler Girls French Terry Hoo Pink Candy 2T</t>
  </si>
  <si>
    <t>CHL420</t>
  </si>
  <si>
    <t>825663260604</t>
  </si>
  <si>
    <t>Nike Nike Toddler Boys Sportswear C Worn Blue 3T</t>
  </si>
  <si>
    <t>677838788501</t>
  </si>
  <si>
    <t>Nike Nike Little Boys Dri-FIT Elite Volt Green 6</t>
  </si>
  <si>
    <t>766360129521</t>
  </si>
  <si>
    <t>First Impressions Baby Girls 2-Pc. Shortalls Set Bright White 12 months</t>
  </si>
  <si>
    <t>100140984BG</t>
  </si>
  <si>
    <t>196027140444</t>
  </si>
  <si>
    <t>Minnie Mouse Toddler Girls Minnie Mouse T-s Assorted 2T</t>
  </si>
  <si>
    <t>MW1200TSOMA</t>
  </si>
  <si>
    <t>196027138267</t>
  </si>
  <si>
    <t>Disney Princess Disney Princess Toddler Girls Assorted 2T</t>
  </si>
  <si>
    <t>196027140451</t>
  </si>
  <si>
    <t>Minnie Mouse Toddler Girls Minnie Mouse T-s Assorted 3T</t>
  </si>
  <si>
    <t>766390157518</t>
  </si>
  <si>
    <t>First Impressions Baby Boys 2-Pc. Jogger Set Sulfur Black 3-6 months</t>
  </si>
  <si>
    <t>196027138274</t>
  </si>
  <si>
    <t>Disney Princess Disney Princess Toddler Girls Assorted 3T</t>
  </si>
  <si>
    <t>196027168073</t>
  </si>
  <si>
    <t>AME Baby Boys Mandalorian Pajama, Assorted 18 months</t>
  </si>
  <si>
    <t>UT196YSOMA</t>
  </si>
  <si>
    <t>AMERICAN MARKETING ENTERPRISES</t>
  </si>
  <si>
    <t>660168726770</t>
  </si>
  <si>
    <t>Little Treasure Little Treasure Baby Boys Herr Multi 3-6 months</t>
  </si>
  <si>
    <t>766360769949</t>
  </si>
  <si>
    <t>Epic Threads Little Girls Lace Shortall Glendale Wash 5</t>
  </si>
  <si>
    <t>100145259LG</t>
  </si>
  <si>
    <t>194257619853</t>
  </si>
  <si>
    <t>Champion Little Girls Glitter C Script Black 6</t>
  </si>
  <si>
    <t>194257619839</t>
  </si>
  <si>
    <t>Champion Little Girls Glitter C Script Black 4</t>
  </si>
  <si>
    <t>7628067399764</t>
  </si>
  <si>
    <t>GUESS GUESS Big Boys Front and Back White 18</t>
  </si>
  <si>
    <t>L2GI07K8HM0</t>
  </si>
  <si>
    <t>18</t>
  </si>
  <si>
    <t>766380208367</t>
  </si>
  <si>
    <t>Epic Threads Toddler Girls Skirtall Coral Topaz 4T</t>
  </si>
  <si>
    <t>100151623LG</t>
  </si>
  <si>
    <t>766380208220</t>
  </si>
  <si>
    <t>Epic Threads Little Girls Skirtall Coral Topaz 5</t>
  </si>
  <si>
    <t>766380208251</t>
  </si>
  <si>
    <t>Epic Threads Toddler Girls Skirtall Coral Topaz 3T</t>
  </si>
  <si>
    <t>766380208374</t>
  </si>
  <si>
    <t>Epic Threads Little Girls Skirtall Coral Topaz 6X</t>
  </si>
  <si>
    <t>194870569085</t>
  </si>
  <si>
    <t>adidas Toddler Boys Long Sleeve Doubl Black 3T</t>
  </si>
  <si>
    <t>AA7302</t>
  </si>
  <si>
    <t>195958490321</t>
  </si>
  <si>
    <t>Timberland Timberland Toddler Boys Camo L Green 3T</t>
  </si>
  <si>
    <t>41M42023-99</t>
  </si>
  <si>
    <t>762120499705</t>
  </si>
  <si>
    <t>First Impressions Baby Girl Two-Piece Tunic Set Spring Daffodil 0-3 months</t>
  </si>
  <si>
    <t>100140058BG</t>
  </si>
  <si>
    <t>195958350755</t>
  </si>
  <si>
    <t>Calvin Klein Calvin Klein Baby Girls Flutte Blue 24 months</t>
  </si>
  <si>
    <t>3M01114-99</t>
  </si>
  <si>
    <t>195958342774</t>
  </si>
  <si>
    <t>Calvin Klein Calvin Klein Baby Girls Tunic Purple 12 months</t>
  </si>
  <si>
    <t>3M02120-99</t>
  </si>
  <si>
    <t>195958570948</t>
  </si>
  <si>
    <t>Calvin Klein Calvin Klein Baby Girls Chambr Blue 0-3 months</t>
  </si>
  <si>
    <t>3M80075-99</t>
  </si>
  <si>
    <t>195958473010</t>
  </si>
  <si>
    <t>Calvin Klein Calvin Klein Baby Girls Floral Cream 12 months</t>
  </si>
  <si>
    <t>3M00084-99</t>
  </si>
  <si>
    <t>195958145276</t>
  </si>
  <si>
    <t>Calvin Klein Baby Girls 2-Pc. Fleece Hoodie Peach 18 months</t>
  </si>
  <si>
    <t>3L02014-99</t>
  </si>
  <si>
    <t>195958423497</t>
  </si>
  <si>
    <t>Tommy Hilfiger Tommy Hilfiger Baby Girls Sign Blue 12 months</t>
  </si>
  <si>
    <t>61M00093-99</t>
  </si>
  <si>
    <t>195958350830</t>
  </si>
  <si>
    <t>Calvin Klein Calvin Klein Baby Girls Fleece Pink 18 months</t>
  </si>
  <si>
    <t>3M02033-99</t>
  </si>
  <si>
    <t>195958479272</t>
  </si>
  <si>
    <t>Calvin Klein Calvin Klein Baby Girls Monogr White 12 months</t>
  </si>
  <si>
    <t>3M00100-99</t>
  </si>
  <si>
    <t>195958410312</t>
  </si>
  <si>
    <t>Tommy Hilfiger Tommy Hilfiger Baby Boys Heath Gray 12 months</t>
  </si>
  <si>
    <t>61M72032-99</t>
  </si>
  <si>
    <t>195958477193</t>
  </si>
  <si>
    <t>Calvin Klein Calvin Klein Baby Boys Monogra Aqua 18 months</t>
  </si>
  <si>
    <t>3M72058-99</t>
  </si>
  <si>
    <t>194753860094</t>
  </si>
  <si>
    <t>Tommy Hilfiger Tommy Hilfiger Baby Boys 2 Pie Gray 24 months</t>
  </si>
  <si>
    <t>61L72008-99</t>
  </si>
  <si>
    <t>192401296141</t>
  </si>
  <si>
    <t>Ring of Fire Ring of Fire Big Boys Slick Sl Crumble 18</t>
  </si>
  <si>
    <t>RBB0991</t>
  </si>
  <si>
    <t>RING OF FIRE/ROF LLC-CONSIGNMENT</t>
  </si>
  <si>
    <t>194170417611</t>
  </si>
  <si>
    <t>Rare Editions Baby Girls Printed Dot Yummy K Yellow 24 months</t>
  </si>
  <si>
    <t>S814572</t>
  </si>
  <si>
    <t>192401296134</t>
  </si>
  <si>
    <t>Ring of Fire Ring of Fire Big Boys Slick Sl Crumble 16</t>
  </si>
  <si>
    <t>192401296127</t>
  </si>
  <si>
    <t>Ring of Fire Ring of Fire Big Boys Slick Sl Crumble 14</t>
  </si>
  <si>
    <t>192401296158</t>
  </si>
  <si>
    <t>Ring of Fire Ring of Fire Big Boys Slick Sl Crumble 20</t>
  </si>
  <si>
    <t>20</t>
  </si>
  <si>
    <t>194257547798</t>
  </si>
  <si>
    <t>Champion Big Boys C Script Fleece Hoodi Tempo Teal XL 1820</t>
  </si>
  <si>
    <t>CHB307</t>
  </si>
  <si>
    <t>194257445773</t>
  </si>
  <si>
    <t>Champion Big Boys Signature Fleece Hood White M 1012</t>
  </si>
  <si>
    <t>CHB302</t>
  </si>
  <si>
    <t>807421756024</t>
  </si>
  <si>
    <t>Nike Nike Baby Girls Fashion Club B Violet Shock 6 months</t>
  </si>
  <si>
    <t>06J349G</t>
  </si>
  <si>
    <t>194135944688</t>
  </si>
  <si>
    <t>Carters Toddler Girls 4-Piece Rainbow Print 5T</t>
  </si>
  <si>
    <t>194135941861</t>
  </si>
  <si>
    <t>Carters Toddler Boys Dinosaur Snug Fit Multi 4T</t>
  </si>
  <si>
    <t>2N001210</t>
  </si>
  <si>
    <t>194135948945</t>
  </si>
  <si>
    <t>Carters Carters Baby Boys 4-Piece Snu Green 12 months</t>
  </si>
  <si>
    <t>1N203210</t>
  </si>
  <si>
    <t>195861085058</t>
  </si>
  <si>
    <t>Carters Baby Girls 4-Pc. Snug-Fit Anim Print 24 months</t>
  </si>
  <si>
    <t>733002918256</t>
  </si>
  <si>
    <t>ID Ideology Big Girls Printed Hooded Jacke Pink Shine XL 16</t>
  </si>
  <si>
    <t>100121937GR</t>
  </si>
  <si>
    <t>194514019105</t>
  </si>
  <si>
    <t>Under Armour Under Armour Big Boys Tech 2.0 Academy Blue S 8</t>
  </si>
  <si>
    <t>196325146889</t>
  </si>
  <si>
    <t>My Little Pony My Little Pony Little Girls My Multi 4</t>
  </si>
  <si>
    <t>677838480719</t>
  </si>
  <si>
    <t>Jordan Jordan Big BoysJumpmanClassi Black Large</t>
  </si>
  <si>
    <t>95A126G</t>
  </si>
  <si>
    <t>MADE IN EGYPT</t>
  </si>
  <si>
    <t>196325121022</t>
  </si>
  <si>
    <t>Disney Little Girls Princess Be True Multi 6X</t>
  </si>
  <si>
    <t>196325120957</t>
  </si>
  <si>
    <t>Disney Little Girls Minnie Mouse Flor Multi 6</t>
  </si>
  <si>
    <t>766370296633</t>
  </si>
  <si>
    <t>Epic Threads Big Girls Dip Dye Shorts Yellow Dip Wash 16</t>
  </si>
  <si>
    <t>100145586GR</t>
  </si>
  <si>
    <t>195958008724</t>
  </si>
  <si>
    <t>Kids Headquarters Kids Headquarters Toddler Boys Multi 2T</t>
  </si>
  <si>
    <t>10L42009-99</t>
  </si>
  <si>
    <t>195958048003</t>
  </si>
  <si>
    <t>Kids Headquarters Kids Headquarters Little Boys Multi 5</t>
  </si>
  <si>
    <t>10L52014-99</t>
  </si>
  <si>
    <t>762120330145</t>
  </si>
  <si>
    <t>ID Ideology Big Girls Camo-Print Top Indigo Sea L</t>
  </si>
  <si>
    <t>196325130123</t>
  </si>
  <si>
    <t>Star Wars Toddler Girls Child Whimsical Green 2T</t>
  </si>
  <si>
    <t>T000065SWMJ0826</t>
  </si>
  <si>
    <t>196325130161</t>
  </si>
  <si>
    <t>Star Wars Little Girls Child Whimsical D Green 6</t>
  </si>
  <si>
    <t>196019038018</t>
  </si>
  <si>
    <t>Breaking Waves Big Girls 2-Pc. Cheetah-Print BlackWhite 14</t>
  </si>
  <si>
    <t>MBWI471006</t>
  </si>
  <si>
    <t>766370911697</t>
  </si>
  <si>
    <t>ID Ideology Little Girls 2-Pc. T-Shirt S Bright White 6X</t>
  </si>
  <si>
    <t>194753810747</t>
  </si>
  <si>
    <t>Under Armour Under Armour Little Boys Brawl Pitch Gray 7</t>
  </si>
  <si>
    <t>UAFEC10E-022</t>
  </si>
  <si>
    <t>194753797000</t>
  </si>
  <si>
    <t>Under Armour Under Armour Toddler Boys Braw Black 2T</t>
  </si>
  <si>
    <t>UAFEC10D-001</t>
  </si>
  <si>
    <t>807421556273</t>
  </si>
  <si>
    <t>Nike Nike Little Boys Blocked Dri-F Black 5</t>
  </si>
  <si>
    <t>194753810679</t>
  </si>
  <si>
    <t>Under Armour Under Armour Little Boys Brawl Black 4</t>
  </si>
  <si>
    <t>UAFEC10E-001</t>
  </si>
  <si>
    <t>191021294551</t>
  </si>
  <si>
    <t>adidas 0 Blue S 8</t>
  </si>
  <si>
    <t>CF1045</t>
  </si>
  <si>
    <t>RECYCLED POLYESTER</t>
  </si>
  <si>
    <t>715418127767</t>
  </si>
  <si>
    <t>green sprouts green sprouts Baby Girls and B White 18-24 months</t>
  </si>
  <si>
    <t>GREEN SPROUT INC</t>
  </si>
  <si>
    <t>191021298825</t>
  </si>
  <si>
    <t>adidas 0 Black White S 8</t>
  </si>
  <si>
    <t>CF1041</t>
  </si>
  <si>
    <t>733003192365</t>
  </si>
  <si>
    <t>ID Ideology Big Girls Solid Hooded Jacket Deep Black XL 16</t>
  </si>
  <si>
    <t>100121897GR</t>
  </si>
  <si>
    <t>194135872899</t>
  </si>
  <si>
    <t>Carters Carters Baby Boys 5-Pack Tank Multi 3 months</t>
  </si>
  <si>
    <t>194135453104</t>
  </si>
  <si>
    <t>Carters Baby Boys Zip-up Sherpa Jacket Navy 6 months</t>
  </si>
  <si>
    <t>1M145910</t>
  </si>
  <si>
    <t>766360142056</t>
  </si>
  <si>
    <t>First Impressions Baby Girls 2-Pk. Coveralls Ultra Lime 3-6 months</t>
  </si>
  <si>
    <t>766360143008</t>
  </si>
  <si>
    <t>First Impressions Baby Girls 2-Pk. Wildflower Fo Bright White 6-9 months</t>
  </si>
  <si>
    <t>100141554BG</t>
  </si>
  <si>
    <t>733003708559</t>
  </si>
  <si>
    <t>Epic Threads Epic Threads Toddler Girls Bas Pink Floral, Navy, White 4T</t>
  </si>
  <si>
    <t>100138262LG</t>
  </si>
  <si>
    <t>194870276556</t>
  </si>
  <si>
    <t>adidas Big Boys Classic 3-Stripes Sho Collegiate Navy XL 1820</t>
  </si>
  <si>
    <t>AH5547</t>
  </si>
  <si>
    <t>766360661397</t>
  </si>
  <si>
    <t>Epic Threads Little Girls Dip Dye Denim Sho Yellow Dip Wash 6X</t>
  </si>
  <si>
    <t>100145334LG</t>
  </si>
  <si>
    <t>194135551442</t>
  </si>
  <si>
    <t>Carters Baby Boys 4-Pk. Multi-Color Lo Green Multi 12 months</t>
  </si>
  <si>
    <t>1M103110</t>
  </si>
  <si>
    <t>194135550957</t>
  </si>
  <si>
    <t>Carters Baby Girls 4-Pk. Printed Cotto PinkTeal 3 months</t>
  </si>
  <si>
    <t>733004762666</t>
  </si>
  <si>
    <t>ID Ideology Big Girls Girls Can Sweatshi Rose Shadow L 14</t>
  </si>
  <si>
    <t>766360143282</t>
  </si>
  <si>
    <t>First Impressions Baby Boys 4-Pk. Bodysuits Skygaze 6-9 months</t>
  </si>
  <si>
    <t>100141492BB</t>
  </si>
  <si>
    <t>766360147488</t>
  </si>
  <si>
    <t>First Impressions Baby Unisex PICNIC BUDDIES BOD Light Grey Hthr 12 months</t>
  </si>
  <si>
    <t>766360143060</t>
  </si>
  <si>
    <t>First Impressions Baby Girls 4-Pk. Bodysuits Ultra Lime Newborn</t>
  </si>
  <si>
    <t>100141564BG</t>
  </si>
  <si>
    <t>766360143183</t>
  </si>
  <si>
    <t>First Impressions Baby Girls 4-Pk. Bodysuits Ultra Lime 0-3 months</t>
  </si>
  <si>
    <t>196027132494</t>
  </si>
  <si>
    <t>Disney Princess Big Girls Disney Princess T-sh Assorted 10</t>
  </si>
  <si>
    <t>640013314130</t>
  </si>
  <si>
    <t>Univibe Big Boys Simon Knit Shorts Blue XL 1820</t>
  </si>
  <si>
    <t>UB122816</t>
  </si>
  <si>
    <t>194870826355</t>
  </si>
  <si>
    <t>adidas Little Boys Aeroready Gradient Collegiate Navy 6</t>
  </si>
  <si>
    <t>194870826300</t>
  </si>
  <si>
    <t>adidas Toddler Boys Aeroready Gradien Collegiate Navy 2T</t>
  </si>
  <si>
    <t>194870725443</t>
  </si>
  <si>
    <t>adidas Little Boys Elastic Waistband Vivid Red 5</t>
  </si>
  <si>
    <t>766370878914</t>
  </si>
  <si>
    <t>First Impressions Baby Boys 2-Pc. Scenic-Print S Bright White 0-3 months</t>
  </si>
  <si>
    <t>807421768539</t>
  </si>
  <si>
    <t>Nike Nike Baby Boys Raglan Footed C Carbon Heather 0-3 months</t>
  </si>
  <si>
    <t>56J324G</t>
  </si>
  <si>
    <t>0-3</t>
  </si>
  <si>
    <t>193585457533</t>
  </si>
  <si>
    <t>adidas Toddler Boys New Pro Sport 3-S Navy 2T</t>
  </si>
  <si>
    <t>AH5516</t>
  </si>
  <si>
    <t>193585457540</t>
  </si>
  <si>
    <t>adidas Toddler Boys New Pro Sport 3-S Navy 3T</t>
  </si>
  <si>
    <t>193585501373</t>
  </si>
  <si>
    <t>adidas adidas Little Boys Aeroready P Black 6</t>
  </si>
  <si>
    <t>696114420188</t>
  </si>
  <si>
    <t>Max Olivia Toddler Boys Soft Cuddly Robe Blue 2T</t>
  </si>
  <si>
    <t>25483-MA</t>
  </si>
  <si>
    <t>193585494385</t>
  </si>
  <si>
    <t>adidas Toddler Boys New Pro Sport 3-S Black 3T</t>
  </si>
  <si>
    <t>194870740026</t>
  </si>
  <si>
    <t>adidas Big Boys Tiger Camo Badge of S Orange Rush S 8</t>
  </si>
  <si>
    <t>AA7384</t>
  </si>
  <si>
    <t>196122519732</t>
  </si>
  <si>
    <t>Koala Baby Koala Baby Girls Pumpkin Leggi Peach 0-3 months</t>
  </si>
  <si>
    <t>KLF02720</t>
  </si>
  <si>
    <t>195958058972</t>
  </si>
  <si>
    <t>Kids Headquarters Baby Girls 2-Pc. Dotted Terry Pink 12 months</t>
  </si>
  <si>
    <t>11L02016-99</t>
  </si>
  <si>
    <t>193585457595</t>
  </si>
  <si>
    <t>adidas adidas Little Boys Aeroready P Navy 7</t>
  </si>
  <si>
    <t>194135922044</t>
  </si>
  <si>
    <t>Carters Toddler Girls Love Peplum Jers Pink 3T</t>
  </si>
  <si>
    <t>2N100510</t>
  </si>
  <si>
    <t>766370908956</t>
  </si>
  <si>
    <t>ID Ideology Big Girls Stripe Wrap Skort Deep Black L 14</t>
  </si>
  <si>
    <t>194135922099</t>
  </si>
  <si>
    <t>Carters Toddler Girls Fruit Sweatshirt Ivory 3T</t>
  </si>
  <si>
    <t>2N100610</t>
  </si>
  <si>
    <t>766370908932</t>
  </si>
  <si>
    <t>ID Ideology Big Girls Stripe Wrap Skort Deep Black S 78</t>
  </si>
  <si>
    <t>766360145415</t>
  </si>
  <si>
    <t>First Impressions Baby Boys 2-Pk. Bloom Stripe R Under the Sea Newborn</t>
  </si>
  <si>
    <t>100141544BB</t>
  </si>
  <si>
    <t>766360145705</t>
  </si>
  <si>
    <t>First Impressions Baby Boys 2-Pk. Mini Dinos Rom Yellow Light Newborn</t>
  </si>
  <si>
    <t>100141547BB</t>
  </si>
  <si>
    <t>696114450963</t>
  </si>
  <si>
    <t>Max Olivia Little Girls T-shirt and Short Yellow 66x</t>
  </si>
  <si>
    <t>552738-MA</t>
  </si>
  <si>
    <t>SLEEP ON IT/CLOUD NINE CLTHNG GIRLS</t>
  </si>
  <si>
    <t>195861136644</t>
  </si>
  <si>
    <t>Carters Toddler Girls 2-Pk. Nightgown Print 2T</t>
  </si>
  <si>
    <t>2N711510</t>
  </si>
  <si>
    <t>194170340377</t>
  </si>
  <si>
    <t>Rare Editions Rare Editions Baby Girls Check Red 3-6 months</t>
  </si>
  <si>
    <t>S812022</t>
  </si>
  <si>
    <t>194870898215</t>
  </si>
  <si>
    <t>adidas Little Boys Elastic Waistband Black 7</t>
  </si>
  <si>
    <t>194870744444</t>
  </si>
  <si>
    <t>adidas Little Boys AEROREADY Bos Toss Medium Gray Heather 5</t>
  </si>
  <si>
    <t>194870898192</t>
  </si>
  <si>
    <t>adidas Little Boys Elastic Waistband Black 5</t>
  </si>
  <si>
    <t>194870898208</t>
  </si>
  <si>
    <t>adidas Little Boys Elastic Waistband Black 6</t>
  </si>
  <si>
    <t>766360131388</t>
  </si>
  <si>
    <t>First Impressions Baby Boys Indigo French Terry Authentic Wash 24 months</t>
  </si>
  <si>
    <t>100141050BB</t>
  </si>
  <si>
    <t>196027071885</t>
  </si>
  <si>
    <t>Disney Princess Little Girls Frozen 2 Pajamas, Assorted 4</t>
  </si>
  <si>
    <t>F2371GLLMA</t>
  </si>
  <si>
    <t>194135860186</t>
  </si>
  <si>
    <t>Carters Carters Baby Girls 2-Piece Ro Multi Newborn</t>
  </si>
  <si>
    <t>1N037210</t>
  </si>
  <si>
    <t>806409706419</t>
  </si>
  <si>
    <t>Champion Champion Big Boys Article Bean Black, White ONE SIZE</t>
  </si>
  <si>
    <t>CV5-1076</t>
  </si>
  <si>
    <t>OSFA REG</t>
  </si>
  <si>
    <t>CHAMPION ACCESSORIES/UNITED LEGWEAR</t>
  </si>
  <si>
    <t>194135871090</t>
  </si>
  <si>
    <t>Carters Carters Baby Girls 3-Piece Fi Ivory Newborn</t>
  </si>
  <si>
    <t>1N037110</t>
  </si>
  <si>
    <t>766380222523</t>
  </si>
  <si>
    <t>First Impressions Baby Boys French Terry Sweatsh Hthr Sterling 18 months</t>
  </si>
  <si>
    <t>100148417BB</t>
  </si>
  <si>
    <t>766370905184</t>
  </si>
  <si>
    <t>ID Ideology Toddler Little Girls Mesh Ac Rose Shadow 4T</t>
  </si>
  <si>
    <t>766360641672</t>
  </si>
  <si>
    <t>Epic Threads Toddler Girls Butterfly Denim Medium Butterfly Wash 3T</t>
  </si>
  <si>
    <t>100145337LG</t>
  </si>
  <si>
    <t>766360641375</t>
  </si>
  <si>
    <t>Epic Threads Epic Threads Little Girls Flor Spacious Sky 5</t>
  </si>
  <si>
    <t>766360641696</t>
  </si>
  <si>
    <t>Epic Threads Little Girls Butterfly Denim S Medium Butterfly Wash 6X</t>
  </si>
  <si>
    <t>194135939325</t>
  </si>
  <si>
    <t>Carters Toddler Girls 2-Piece Mixed Pr Assorted 4T</t>
  </si>
  <si>
    <t>2N087410</t>
  </si>
  <si>
    <t>194135930926</t>
  </si>
  <si>
    <t>Carters Toddler Girls 2-Piece Striped Assorted 2T</t>
  </si>
  <si>
    <t>2N086010</t>
  </si>
  <si>
    <t>195861088912</t>
  </si>
  <si>
    <t>Carters Carters Baby Girls 2-Piece T- Blue Multi 6 months</t>
  </si>
  <si>
    <t>1N586110</t>
  </si>
  <si>
    <t>195861096078</t>
  </si>
  <si>
    <t>Carters Carters Baby Girls 2-Piece Te Plaid 3 months</t>
  </si>
  <si>
    <t>1N586210</t>
  </si>
  <si>
    <t>766360439613</t>
  </si>
  <si>
    <t>ID Ideology Toddler Little Girls 2-Pc. I Violet Tulle 5</t>
  </si>
  <si>
    <t>100141389LG</t>
  </si>
  <si>
    <t>766360439620</t>
  </si>
  <si>
    <t>ID Ideology Toddler Little Girls 2-Pc. I Violet Tulle 6</t>
  </si>
  <si>
    <t>766360439651</t>
  </si>
  <si>
    <t>ID Ideology Toddler Little Girls 2-Pc. I Violet Tulle 4T</t>
  </si>
  <si>
    <t>194135896567</t>
  </si>
  <si>
    <t>Carters Carters Baby Girls 2-Piece Bu Blue 6 months</t>
  </si>
  <si>
    <t>1N041610</t>
  </si>
  <si>
    <t>194135896529</t>
  </si>
  <si>
    <t>Carters Carters Baby Girls 2-Piece Bu Blue 12 months</t>
  </si>
  <si>
    <t>194135906327</t>
  </si>
  <si>
    <t>Carters Carters Baby Girls 3-Piece Li Stripe 24 months</t>
  </si>
  <si>
    <t>1N041010</t>
  </si>
  <si>
    <t>194135896536</t>
  </si>
  <si>
    <t>Carters Carters Baby Girls 2-Piece Bu Blue 18 months</t>
  </si>
  <si>
    <t>194135896543</t>
  </si>
  <si>
    <t>Carters Carters Baby Girls 2-Piece Bu Blue 24 months</t>
  </si>
  <si>
    <t>194135321458</t>
  </si>
  <si>
    <t>Carters Baby Boys 2-Piece Jumpsuit B Navy Newborn</t>
  </si>
  <si>
    <t>195861162711</t>
  </si>
  <si>
    <t>Carters Toddler Girls Stripe-Print Shi Floral 3T</t>
  </si>
  <si>
    <t>2N881710</t>
  </si>
  <si>
    <t>762120261647</t>
  </si>
  <si>
    <t>First Impressions Baby Girls Heart Denim Romper Authentic Wash 0-3 months</t>
  </si>
  <si>
    <t>100135976BG</t>
  </si>
  <si>
    <t>766360444235</t>
  </si>
  <si>
    <t>ID Ideology Big Girls Hibiscus-Print Rash Jet Ski S 78</t>
  </si>
  <si>
    <t>100140974GR</t>
  </si>
  <si>
    <t>766360444464</t>
  </si>
  <si>
    <t>ID Ideology Big Girls Hibiscus-Print Rash Jet Ski L 14</t>
  </si>
  <si>
    <t>807421775933</t>
  </si>
  <si>
    <t>Nike Nike Toddler Boys Textured Fut Carbon Heather 2T</t>
  </si>
  <si>
    <t>86J354G</t>
  </si>
  <si>
    <t>807421776282</t>
  </si>
  <si>
    <t>Nike Nike Little Boys Just Do It T- University Red 4</t>
  </si>
  <si>
    <t>86J355G</t>
  </si>
  <si>
    <t>807421240615</t>
  </si>
  <si>
    <t>Nike Nike Little Boys Ice Cream Gra Black 5</t>
  </si>
  <si>
    <t>195861094005</t>
  </si>
  <si>
    <t>Carters Carters Baby Boys 2-Piece Poc Gray 12 months</t>
  </si>
  <si>
    <t>1N654510</t>
  </si>
  <si>
    <t>677838022759</t>
  </si>
  <si>
    <t>Levis Levis Big Girls Dolman T-shir Light Gray Heather XLarge</t>
  </si>
  <si>
    <t>41A846F</t>
  </si>
  <si>
    <t>696114452394</t>
  </si>
  <si>
    <t>Max Olivia Toddler Boys All Over Printed Navy 4T</t>
  </si>
  <si>
    <t>76683-MA</t>
  </si>
  <si>
    <t>196027169711</t>
  </si>
  <si>
    <t>AME Baby Girls Minnie Mouse Pajama Assorted 12 months</t>
  </si>
  <si>
    <t>MW1211VSLMA</t>
  </si>
  <si>
    <t>807421755621</t>
  </si>
  <si>
    <t>Nike Nike Baby Girls Coverall Arctic Punch 6 months</t>
  </si>
  <si>
    <t>06J326G</t>
  </si>
  <si>
    <t>194133674365</t>
  </si>
  <si>
    <t>Carters Baby Boys 2-Pc. Plaid Hooded F Plaid Newborn</t>
  </si>
  <si>
    <t>194257660909</t>
  </si>
  <si>
    <t>Champion Champion Big Boys Ombre Mesh S Electric Cyan, Navy, White L 1416</t>
  </si>
  <si>
    <t>CHB543</t>
  </si>
  <si>
    <t>733003642761</t>
  </si>
  <si>
    <t>ID Ideology Big Girls Pink Fleece Sweatshi Fresh Orchid S 78</t>
  </si>
  <si>
    <t>100133039GR</t>
  </si>
  <si>
    <t>196027071823</t>
  </si>
  <si>
    <t>DP615TLLMA</t>
  </si>
  <si>
    <t>196027071816</t>
  </si>
  <si>
    <t>Disney Princess Toddler Girls Disney Princess Assorted 3T</t>
  </si>
  <si>
    <t>766380191881</t>
  </si>
  <si>
    <t>ID Ideology Big Girls Color Block Leggings Lime Peel M 1012</t>
  </si>
  <si>
    <t>766380191874</t>
  </si>
  <si>
    <t>ID Ideology Big Girls Color Block Leggings Lime Peel S 78</t>
  </si>
  <si>
    <t>766380191898</t>
  </si>
  <si>
    <t>ID Ideology Big Girls Color Block Leggings Lime Peel L 14</t>
  </si>
  <si>
    <t>766370717879</t>
  </si>
  <si>
    <t>First Impressions Baby Girls Rainbow Tiered Jump Authentic Wash 18 months</t>
  </si>
  <si>
    <t>194135927742</t>
  </si>
  <si>
    <t>Carters Carters Baby Girls 2-Piece Fl Multi 24 months</t>
  </si>
  <si>
    <t>194135869561</t>
  </si>
  <si>
    <t>Carters Carters Baby Boys 2-Piece Str Multi 3 months</t>
  </si>
  <si>
    <t>1M993410</t>
  </si>
  <si>
    <t>194135869585</t>
  </si>
  <si>
    <t>Carters Carters Baby Boys 2-Piece Str Multi 9 months</t>
  </si>
  <si>
    <t>762120213974</t>
  </si>
  <si>
    <t>ID Ideology Big Girls Neon Sweatshirt Training Yellow L 14</t>
  </si>
  <si>
    <t>100135445GR</t>
  </si>
  <si>
    <t>756845995024</t>
  </si>
  <si>
    <t>First Impressions 2-Pc. Bear-Print Top Legging Light Grey Newborn</t>
  </si>
  <si>
    <t>48283004247</t>
  </si>
  <si>
    <t>Nautica Little Boys Uniform Performan Red XL 7</t>
  </si>
  <si>
    <t>N481685E</t>
  </si>
  <si>
    <t>NAUTICA/F &amp; T APPAREL LLC-CONSIGN</t>
  </si>
  <si>
    <t>48283004308</t>
  </si>
  <si>
    <t>Nautica Boys Uniform Performance Polo Light Blue M 1012</t>
  </si>
  <si>
    <t>N881605E</t>
  </si>
  <si>
    <t>191655279252</t>
  </si>
  <si>
    <t>Chickpea Chickpea Baby Boys Fashion Rom Red 3-6 months</t>
  </si>
  <si>
    <t>PE22232162</t>
  </si>
  <si>
    <t>733001245674</t>
  </si>
  <si>
    <t>ID Ideology Big Girls Printed Leggings Foliage Green L 14</t>
  </si>
  <si>
    <t>100092009GR</t>
  </si>
  <si>
    <t>766360129842</t>
  </si>
  <si>
    <t>First Impressions Toddler Girls Light-Wash Denim Lt Medium Wash 4T</t>
  </si>
  <si>
    <t>100140986TG</t>
  </si>
  <si>
    <t>652874368597</t>
  </si>
  <si>
    <t>Speechless Speechless Big Girls Smocked T Hot Pink XL 16</t>
  </si>
  <si>
    <t>733001052975</t>
  </si>
  <si>
    <t>ID Ideology Big Girls Animal-Print Caged L Floral Noir L 14</t>
  </si>
  <si>
    <t>100092012GR</t>
  </si>
  <si>
    <t>194257646583</t>
  </si>
  <si>
    <t>Champion Champion Big Boys Angled Peek Lakeside Green L 1416</t>
  </si>
  <si>
    <t>CHB551</t>
  </si>
  <si>
    <t>194257726797</t>
  </si>
  <si>
    <t>Champion Champion Big Boys Angled Block Navy and Scarlet L 1416</t>
  </si>
  <si>
    <t>CHB544</t>
  </si>
  <si>
    <t>742728753416</t>
  </si>
  <si>
    <t>Nike Nike Little Girls Swoosh Rise Violet Shock 6</t>
  </si>
  <si>
    <t>36I040G</t>
  </si>
  <si>
    <t>193666160024</t>
  </si>
  <si>
    <t>Maidenform Little Big Girls Seamless Hy Nude 30A</t>
  </si>
  <si>
    <t>M4392</t>
  </si>
  <si>
    <t>30 A</t>
  </si>
  <si>
    <t>756500913196</t>
  </si>
  <si>
    <t>Tommy Hilfiger Tommy Hilfiger Boys Spirit Gin Navy One Size Fits All</t>
  </si>
  <si>
    <t>81K21508</t>
  </si>
  <si>
    <t>640013960528</t>
  </si>
  <si>
    <t>Univibe Big Boys Dazed Dip-Dyed Hooded White S 8</t>
  </si>
  <si>
    <t>UB121483</t>
  </si>
  <si>
    <t>194135857711</t>
  </si>
  <si>
    <t>Carters Carters Baby Boys 2-Pack Shor Blue 3 months</t>
  </si>
  <si>
    <t>1N042810</t>
  </si>
  <si>
    <t>194135892668</t>
  </si>
  <si>
    <t>Carters Baby Girls Bodysuit and Shorts Pink Newborn</t>
  </si>
  <si>
    <t>1N056410</t>
  </si>
  <si>
    <t>194135888654</t>
  </si>
  <si>
    <t>Carters Toddler Boys Dinosaur Bicycle Green 3T</t>
  </si>
  <si>
    <t>2M997710</t>
  </si>
  <si>
    <t>196122322974</t>
  </si>
  <si>
    <t>Koala Baby Baby Boys Bodysuit and Pants R Blue Fog Newborn</t>
  </si>
  <si>
    <t>KLM02257</t>
  </si>
  <si>
    <t>196122323179</t>
  </si>
  <si>
    <t>Koala Baby Baby Boys Bodysuit and Pants R Blue Fog 12-18 months</t>
  </si>
  <si>
    <t>KLM12257</t>
  </si>
  <si>
    <t>196027159156</t>
  </si>
  <si>
    <t>AME Baby Boys Mickey Mouse Romper Assorted 18 months</t>
  </si>
  <si>
    <t>MK918YRMMA</t>
  </si>
  <si>
    <t>194753533530</t>
  </si>
  <si>
    <t>Under Armour Under Armour Little Boys Proto Black, White 4</t>
  </si>
  <si>
    <t>UASEC32E-985</t>
  </si>
  <si>
    <t>195958667815</t>
  </si>
  <si>
    <t>Tommy Hilfiger Tommy Hilfiger Toddler Boys To Tropical Breeze 2T</t>
  </si>
  <si>
    <t>TBSFB91J-439</t>
  </si>
  <si>
    <t>766380220659</t>
  </si>
  <si>
    <t>First Impressions Baby Girls Ruffled Hoodie Angel White 6-9 months</t>
  </si>
  <si>
    <t>194135911314</t>
  </si>
  <si>
    <t>Carters Toddler Boys Pull-on Dock Shor Print 2T</t>
  </si>
  <si>
    <t>2N004310</t>
  </si>
  <si>
    <t>191159218542</t>
  </si>
  <si>
    <t>Happy Threads Baby Boys Batman Sleeveless Fo Multi 3-6 months</t>
  </si>
  <si>
    <t>WBB799RP</t>
  </si>
  <si>
    <t>191159218504</t>
  </si>
  <si>
    <t>Happy Threads Baby Boys Batman Sleeveless Fo Multi 0-3 months</t>
  </si>
  <si>
    <t>191159218559</t>
  </si>
  <si>
    <t>Happy Threads Baby Boys Batman Sleeveless Fo Multi 6-9 months</t>
  </si>
  <si>
    <t>766360131135</t>
  </si>
  <si>
    <t>First Impressions Baby Boys Rugby Polo Green Brillianc 0-3 months</t>
  </si>
  <si>
    <t>100141038BB</t>
  </si>
  <si>
    <t>766360131104</t>
  </si>
  <si>
    <t>First Impressions Baby Boys Rugby Polo Green Brillianc 6-9 months</t>
  </si>
  <si>
    <t>196122330979</t>
  </si>
  <si>
    <t>Koala Baby Baby Boys Rib Pants, Pack of 2 Navy 3-6 months</t>
  </si>
  <si>
    <t>KLM02263</t>
  </si>
  <si>
    <t>762120689472</t>
  </si>
  <si>
    <t>ID Ideology Toddler Little Girls Solid S Violet Tulle 2T</t>
  </si>
  <si>
    <t>762120689847</t>
  </si>
  <si>
    <t>ID Ideology Toddler Little Girls Solid S Rose Shadow 5</t>
  </si>
  <si>
    <t>762120689823</t>
  </si>
  <si>
    <t>ID Ideology Toddler Little Girls Solid S Violet Tulle 4T</t>
  </si>
  <si>
    <t>766360446246</t>
  </si>
  <si>
    <t>ID Ideology ID Ideology Big Girls Core Pol Indigo Sea XL 16</t>
  </si>
  <si>
    <t>194135896444</t>
  </si>
  <si>
    <t>Carters Carters Baby Girls Eyelet Sna Mint 12 months</t>
  </si>
  <si>
    <t>194135887763</t>
  </si>
  <si>
    <t>Carters Carters Baby Boys Chambray Po Navy Newborn</t>
  </si>
  <si>
    <t>1N070210</t>
  </si>
  <si>
    <t>195861099130</t>
  </si>
  <si>
    <t>Carters Baby Girls Pink Floral Jumpsui Pink Newborn</t>
  </si>
  <si>
    <t>766360447229</t>
  </si>
  <si>
    <t>ID Ideology Big Girls Geo-Print Leggings Pear Passion XXL 18</t>
  </si>
  <si>
    <t>100141289GR</t>
  </si>
  <si>
    <t>193712372616</t>
  </si>
  <si>
    <t>193712372692</t>
  </si>
  <si>
    <t>Imperial Star Big Girls Athleisure Shorts Pastel Td M</t>
  </si>
  <si>
    <t>195861124344</t>
  </si>
  <si>
    <t>Carters Toddler Boys Colorblocked Pock Ivory 5T</t>
  </si>
  <si>
    <t>2N608610</t>
  </si>
  <si>
    <t>195861124337</t>
  </si>
  <si>
    <t>Carters Toddler Boys Colorblocked Pock Ivory 4T</t>
  </si>
  <si>
    <t>195861135340</t>
  </si>
  <si>
    <t>Carters Toddler Boys Colorblocked Pock Green 5T</t>
  </si>
  <si>
    <t>2N608810</t>
  </si>
  <si>
    <t>195861124313</t>
  </si>
  <si>
    <t>Carters Toddler Boys Colorblocked Pock Ivory 2T</t>
  </si>
  <si>
    <t>195861135326</t>
  </si>
  <si>
    <t>Carters Toddler Boys Colorblocked Pock Green 3T</t>
  </si>
  <si>
    <t>766360650018</t>
  </si>
  <si>
    <t>ID Ideology oddler Little Girls 2-Pc. Ch Bright White 5</t>
  </si>
  <si>
    <t>100141386LG</t>
  </si>
  <si>
    <t>766380220864</t>
  </si>
  <si>
    <t>First Impressions Baby Girls Floral-Print Hoodie Blush Pink 24 months</t>
  </si>
  <si>
    <t>766380221007</t>
  </si>
  <si>
    <t>First Impressions Baby Girls Graffiti Heart Hood Snow Owl Hthr 3-6 months</t>
  </si>
  <si>
    <t>100150179BG</t>
  </si>
  <si>
    <t>766370905474</t>
  </si>
  <si>
    <t>ID Ideology Toddler Little Girls Mesh Ac Rose Shadow 5</t>
  </si>
  <si>
    <t>195861280491</t>
  </si>
  <si>
    <t>Carters Carters Toddler Girls Jersey Yellow 3T</t>
  </si>
  <si>
    <t>2O036510</t>
  </si>
  <si>
    <t>194257667441</t>
  </si>
  <si>
    <t>Champion Big Boys Champion Globe Tee White, Lakeside Green M 1012</t>
  </si>
  <si>
    <t>CHB212</t>
  </si>
  <si>
    <t>762120162364</t>
  </si>
  <si>
    <t>Epic Threads Toddler Girls Happy Graphic T- Sunset Flamingo 3T</t>
  </si>
  <si>
    <t>100138311LG</t>
  </si>
  <si>
    <t>762120084413</t>
  </si>
  <si>
    <t>Epic Threads Big Girls Long Sleeve Velour S Aqua Wash M</t>
  </si>
  <si>
    <t>100138498GR</t>
  </si>
  <si>
    <t>766360437589</t>
  </si>
  <si>
    <t>ID Ideology Big Girls One-Shoulder Tennis Bright White XL 16</t>
  </si>
  <si>
    <t>194257622389</t>
  </si>
  <si>
    <t>Champion Toddler Boys Ko Script Long Sl Black 2T</t>
  </si>
  <si>
    <t>CHY084</t>
  </si>
  <si>
    <t>195861117162</t>
  </si>
  <si>
    <t>Carters Toddler Boys One-Piece Snug Fi Construction Print 2T</t>
  </si>
  <si>
    <t>2N720210</t>
  </si>
  <si>
    <t>195861147374</t>
  </si>
  <si>
    <t>Carters Toddler Girls Graphic-Print Fl Yellow 5T</t>
  </si>
  <si>
    <t>195861117179</t>
  </si>
  <si>
    <t>Carters Toddler Boys One-Piece Snug Fi Construction Print 3T</t>
  </si>
  <si>
    <t>195861117193</t>
  </si>
  <si>
    <t>Carters Toddler Boys One-Piece Snug Fi Construction Print 5T</t>
  </si>
  <si>
    <t>195861150879</t>
  </si>
  <si>
    <t>Carters Toddler Girls Jersey Tank Top Green 4T</t>
  </si>
  <si>
    <t>2N692610</t>
  </si>
  <si>
    <t>195861145080</t>
  </si>
  <si>
    <t>Carters Toddler Girls Jersey Tank Top White 3T</t>
  </si>
  <si>
    <t>2N692410</t>
  </si>
  <si>
    <t>195861149040</t>
  </si>
  <si>
    <t>Carters Toddler Girls Graphic-Print Fl Green 4T</t>
  </si>
  <si>
    <t>195861147428</t>
  </si>
  <si>
    <t>Carters Toddler Girls Graphic-Print Fl Pink 5T</t>
  </si>
  <si>
    <t>195861153290</t>
  </si>
  <si>
    <t>Carters Toddler Girls Graphic-Print Fl Cream 3T</t>
  </si>
  <si>
    <t>195861147350</t>
  </si>
  <si>
    <t>Carters Toddler Girls Graphic-Print Fl Yellow 3T</t>
  </si>
  <si>
    <t>195861147411</t>
  </si>
  <si>
    <t>Carters Toddler Girls Graphic-Print Fl Pink 4T</t>
  </si>
  <si>
    <t>195861116004</t>
  </si>
  <si>
    <t>Carters Carters Baby Girls One-Piece Peacock Print 24 months</t>
  </si>
  <si>
    <t>1N718710</t>
  </si>
  <si>
    <t>195861128731</t>
  </si>
  <si>
    <t>Carters Baby Girls Printed Loose-Fit P Print 12 months</t>
  </si>
  <si>
    <t>195861115991</t>
  </si>
  <si>
    <t>Carters Carters Baby Girls One-Piece Peacock Print 18 months</t>
  </si>
  <si>
    <t>195861115984</t>
  </si>
  <si>
    <t>Carters Carters Baby Girls One-Piece Peacock Print 12 months</t>
  </si>
  <si>
    <t>195861128748</t>
  </si>
  <si>
    <t>Carters Baby Girls Printed Loose-Fit P Print 18 months</t>
  </si>
  <si>
    <t>195861137030</t>
  </si>
  <si>
    <t>Carters Baby Boys Sports-Print Footie Print 24 months</t>
  </si>
  <si>
    <t>1N706210</t>
  </si>
  <si>
    <t>194135938229</t>
  </si>
  <si>
    <t>Carters Carters Baby Girls One-Piece Green Swan 18 months</t>
  </si>
  <si>
    <t>194135928459</t>
  </si>
  <si>
    <t>Carters Carters Baby Boys One-Piece S Print 24 months</t>
  </si>
  <si>
    <t>195861127451</t>
  </si>
  <si>
    <t>Carters Toddler Boys One-Piece Snug Fi Sports Print 2T</t>
  </si>
  <si>
    <t>2N709610</t>
  </si>
  <si>
    <t>762120263696</t>
  </si>
  <si>
    <t>Epic Threads Epic Threads Big Girls Graphic Cherry Flame L 1214</t>
  </si>
  <si>
    <t>100138546GR</t>
  </si>
  <si>
    <t>196122338050</t>
  </si>
  <si>
    <t>Koala Baby Baby Boys 1 Piece Rib Sleep an Blue Haze 0-3 months</t>
  </si>
  <si>
    <t>KLM02243</t>
  </si>
  <si>
    <t>196122338012</t>
  </si>
  <si>
    <t>Koala Baby Baby Boys 1 Piece Rib Sleep an Smoke 3-6 months</t>
  </si>
  <si>
    <t>KLM02228</t>
  </si>
  <si>
    <t>196122337992</t>
  </si>
  <si>
    <t>Koala Baby Baby Boys 1 Piece Rib Sleep an Smoke Newborn</t>
  </si>
  <si>
    <t>196122338067</t>
  </si>
  <si>
    <t>Koala Baby Baby Boys 1 Piece Rib Sleep an Blue Haze 3-6 months</t>
  </si>
  <si>
    <t>196122338074</t>
  </si>
  <si>
    <t>Koala Baby Baby Boys 1 Piece Rib Sleep an Blue Haze 6-9 months</t>
  </si>
  <si>
    <t>196122338005</t>
  </si>
  <si>
    <t>Koala Baby Baby Boys 1 Piece Rib Sleep an Smoke 0-3 months</t>
  </si>
  <si>
    <t>766380186672</t>
  </si>
  <si>
    <t>ID Ideology Little Girls Safari Tropical-P Deep Black 5</t>
  </si>
  <si>
    <t>100146836LG</t>
  </si>
  <si>
    <t>195861089292</t>
  </si>
  <si>
    <t>Carters Carters Baby Boys 2-Piece Tan Green 24 months</t>
  </si>
  <si>
    <t>1N616210</t>
  </si>
  <si>
    <t>766370306844</t>
  </si>
  <si>
    <t>Epic Threads Epic Threads Big Boys Graphic Lime Pulp Small</t>
  </si>
  <si>
    <t>100144940BO</t>
  </si>
  <si>
    <t>766360439439</t>
  </si>
  <si>
    <t>ID Ideology Toddler Little Girls Play Ha Jet Ski 6X</t>
  </si>
  <si>
    <t>100141351LG</t>
  </si>
  <si>
    <t>766360439392</t>
  </si>
  <si>
    <t>ID Ideology Toddler Little Girls Play Ha Jet Ski 6</t>
  </si>
  <si>
    <t>766370911093</t>
  </si>
  <si>
    <t>ID Ideology Little Toddler Girls Woven S Mock Orange 4T</t>
  </si>
  <si>
    <t>194257880567</t>
  </si>
  <si>
    <t>Champion Champion Toddler Boys Fade T-s Capri Orange 3T</t>
  </si>
  <si>
    <t>766370079519</t>
  </si>
  <si>
    <t>Epic Threads Big Boys Racecar Graphic T-shi Deep Black M 1214</t>
  </si>
  <si>
    <t>100144937BO</t>
  </si>
  <si>
    <t>762120084376</t>
  </si>
  <si>
    <t>Epic Threads Epic Threads Big Girls Long Sl Holiday Ivory M</t>
  </si>
  <si>
    <t>762120263658</t>
  </si>
  <si>
    <t>Epic Threads Epic Threads Big Girls All Ove Deep Black L 1214</t>
  </si>
  <si>
    <t>100138545GR</t>
  </si>
  <si>
    <t>766360439361</t>
  </si>
  <si>
    <t>ID Ideology Toddler Little Girls Strong Bright White 4T</t>
  </si>
  <si>
    <t>100141350LG</t>
  </si>
  <si>
    <t>766360438807</t>
  </si>
  <si>
    <t>ID Ideology Toddler Little Girls Strong Bright White 5</t>
  </si>
  <si>
    <t>733003081348</t>
  </si>
  <si>
    <t>ID Ideology Big Girl Core Stretch Capri Le Fresh Orchid XXL 18</t>
  </si>
  <si>
    <t>100123163GR</t>
  </si>
  <si>
    <t>766360648121</t>
  </si>
  <si>
    <t>Epic Threads Toddler Girls Rainbow Skater D Washed Indigo 2T</t>
  </si>
  <si>
    <t>100145351LG</t>
  </si>
  <si>
    <t>766370749368</t>
  </si>
  <si>
    <t>Epic Threads Epic Threads Toddler Girls Kni Gossamer Green 4T</t>
  </si>
  <si>
    <t>766370749344</t>
  </si>
  <si>
    <t>Epic Threads Epic Threads Toddler Girls Kni Gossamer Green 2T</t>
  </si>
  <si>
    <t>766370749320</t>
  </si>
  <si>
    <t>Epic Threads Epic Threads Little Girls Knit Gossamer Green 5</t>
  </si>
  <si>
    <t>766370749450</t>
  </si>
  <si>
    <t>Epic Threads Epic Threads Little Girls Knit Sweet Berry 6</t>
  </si>
  <si>
    <t>194135897946</t>
  </si>
  <si>
    <t>Carters Carters Baby Girls Romper Yellow 6 months</t>
  </si>
  <si>
    <t>194135897953</t>
  </si>
  <si>
    <t>Carters Carters Baby Girls Romper Yellow 9 months</t>
  </si>
  <si>
    <t>733004750809</t>
  </si>
  <si>
    <t>Epic Threads Big Girls Long Sleeve Graphic Holiday Ivory S 810</t>
  </si>
  <si>
    <t>100138493GR</t>
  </si>
  <si>
    <t>766370827615</t>
  </si>
  <si>
    <t>Epic Threads Epic Threads Big Girls Palm Pr Coral Topaz M 810</t>
  </si>
  <si>
    <t>100153002GR</t>
  </si>
  <si>
    <t>766370619753</t>
  </si>
  <si>
    <t>First Impressions Baby Girls Pineapple Smocked C Ultra Lime 6-9 months</t>
  </si>
  <si>
    <t>100148753BG</t>
  </si>
  <si>
    <t>196325169321</t>
  </si>
  <si>
    <t>Star Wars Star Wars Big Boys Comic Graph Red XLarge</t>
  </si>
  <si>
    <t>2YSWM0614</t>
  </si>
  <si>
    <t>196325117643</t>
  </si>
  <si>
    <t>DC Comics Big Boys Batman Dark Knight Gr Heather Gray XLarge</t>
  </si>
  <si>
    <t>196325087595</t>
  </si>
  <si>
    <t>Ninja Turtles Big Boys Teenage Turtles Selec Navy L</t>
  </si>
  <si>
    <t>2YTMNT2312</t>
  </si>
  <si>
    <t>733003081621</t>
  </si>
  <si>
    <t>ID Ideology Little Girls Flex Leggings Indigo Sea 2T</t>
  </si>
  <si>
    <t>100123168LG</t>
  </si>
  <si>
    <t>733003081614</t>
  </si>
  <si>
    <t>ID Ideology Little Girls Flex Leggings Indigo Sea 6</t>
  </si>
  <si>
    <t>766370827691</t>
  </si>
  <si>
    <t>Epic Threads Epic Threads Big Girls Stay Go Island Orange M 810</t>
  </si>
  <si>
    <t>766370168893</t>
  </si>
  <si>
    <t>ID Ideology Toddler Little Girls Marble- Pistachio Green 6X</t>
  </si>
  <si>
    <t>766370168848</t>
  </si>
  <si>
    <t>ID Ideology Toddler Little Girls Marble- Pistachio Green 5</t>
  </si>
  <si>
    <t>766370168879</t>
  </si>
  <si>
    <t>ID Ideology Toddler Little Girls Marble- Pistachio Green 3T</t>
  </si>
  <si>
    <t>194870728192</t>
  </si>
  <si>
    <t>adidas Little Boys Aeroready Elastic Black with Acid Yellow 7</t>
  </si>
  <si>
    <t>194135880290</t>
  </si>
  <si>
    <t>Carters Carters Baby Boys Snap-Up Rom Stripe 24 months</t>
  </si>
  <si>
    <t>1N054610</t>
  </si>
  <si>
    <t>194135901087</t>
  </si>
  <si>
    <t>Carters Carters Baby Girls Romper Pink Newborn</t>
  </si>
  <si>
    <t>1N057010</t>
  </si>
  <si>
    <t>195861087762</t>
  </si>
  <si>
    <t>Carters Carters Baby Boys 4th of July Multicolor 24 months</t>
  </si>
  <si>
    <t>766370168732</t>
  </si>
  <si>
    <t>ID Ideology Toddler Little Girls I AM Ta Violet Tulle 6</t>
  </si>
  <si>
    <t>100141346LG</t>
  </si>
  <si>
    <t>766370168725</t>
  </si>
  <si>
    <t>ID Ideology Toddler Little Girls I AM Ta Violet Tulle 5</t>
  </si>
  <si>
    <t>766370168800</t>
  </si>
  <si>
    <t>ID Ideology Toddler Little Girls ID POWE Bright White 2T</t>
  </si>
  <si>
    <t>766370168749</t>
  </si>
  <si>
    <t>ID Ideology Toddler Little Girls I AM Ta Violet Tulle 2T</t>
  </si>
  <si>
    <t>762120959490</t>
  </si>
  <si>
    <t>ID Ideology Little Girls Lace-Up Top Jet Ski 4T</t>
  </si>
  <si>
    <t>762120959452</t>
  </si>
  <si>
    <t>ID Ideology Little Girls Lace-Up Top Jet Ski 5</t>
  </si>
  <si>
    <t>762120824835</t>
  </si>
  <si>
    <t>ID Ideology Toddler Little Boys Polo Indigo Sea 4T</t>
  </si>
  <si>
    <t>100141169LB</t>
  </si>
  <si>
    <t>762120214360</t>
  </si>
  <si>
    <t>ID Ideology Little Girls Be Awesome T-Shir Bright White 6</t>
  </si>
  <si>
    <t>196325117711</t>
  </si>
  <si>
    <t>Batman Toddler Boys Batmobile Short S White 2T</t>
  </si>
  <si>
    <t>2JBATM0016</t>
  </si>
  <si>
    <t>733003082994</t>
  </si>
  <si>
    <t>ID Ideology Big Girls Core Lace-Up T-Shirt Vibrant Blue XXL 18</t>
  </si>
  <si>
    <t>766370899391</t>
  </si>
  <si>
    <t>ID Ideology Big Girls Palm Tree T-Shirt, C Pink Hustle M 1012</t>
  </si>
  <si>
    <t>766380184494</t>
  </si>
  <si>
    <t>ID Ideology Toddler Little Girls Core Ca Pink Hustle 4T</t>
  </si>
  <si>
    <t>766380184685</t>
  </si>
  <si>
    <t>ID Ideology Little Girls Tropical-Print Ta Deep Black 5</t>
  </si>
  <si>
    <t>100146835LG</t>
  </si>
  <si>
    <t>766380186665</t>
  </si>
  <si>
    <t>ID Ideology Little Girls Tropical-Print Ta Deep Black 6X</t>
  </si>
  <si>
    <t>762120498869</t>
  </si>
  <si>
    <t>First Impressions Baby Girl DOT SUNSUIT Spring Daffodil 24 months</t>
  </si>
  <si>
    <t>766370619944</t>
  </si>
  <si>
    <t>First Impressions Baby Girls Safari Sunsuit Playful Pink 18 months</t>
  </si>
  <si>
    <t>100148761BG</t>
  </si>
  <si>
    <t>766360156152</t>
  </si>
  <si>
    <t>First Impressions Baby Girls Freedom Stars Sunsu Bright White 6-9 months</t>
  </si>
  <si>
    <t>766370898691</t>
  </si>
  <si>
    <t>ID Ideology Toddler Little Boys Striped Jaffa Orange 5</t>
  </si>
  <si>
    <t>195861145707</t>
  </si>
  <si>
    <t>Carters Toddler Girls Stripe-Print Fre Stripe 5T</t>
  </si>
  <si>
    <t>2N705211</t>
  </si>
  <si>
    <t>195861146650</t>
  </si>
  <si>
    <t>Carters Toddler Girls Stripe-Print Fre Floral 5T</t>
  </si>
  <si>
    <t>2N705210</t>
  </si>
  <si>
    <t>766370902237</t>
  </si>
  <si>
    <t>ID Ideology Toddler Little Girls Palm Kn Pink Hustle 2T</t>
  </si>
  <si>
    <t>100148293LG</t>
  </si>
  <si>
    <t>762120822589</t>
  </si>
  <si>
    <t>Carters Carters Baby Boys Dinosaur Bo Gray 3 months</t>
  </si>
  <si>
    <t>1K476110</t>
  </si>
  <si>
    <t>766360649517</t>
  </si>
  <si>
    <t>ID Ideology Little Girls Colorblocked Jogg Hthr Grey 4T</t>
  </si>
  <si>
    <t>194135596856</t>
  </si>
  <si>
    <t>Carters Toddler Boys 2-Pc. Plaid Pajam Print 2T</t>
  </si>
  <si>
    <t>2M503810</t>
  </si>
  <si>
    <t>194135489547</t>
  </si>
  <si>
    <t>Carters Toddler Boys Dinosaur Jersey H Olive 4T</t>
  </si>
  <si>
    <t>2M045310</t>
  </si>
  <si>
    <t>733002266951</t>
  </si>
  <si>
    <t>First Impressions Toddler Boys Authentic Wash De Authentic Wash 4T</t>
  </si>
  <si>
    <t>100116979TB</t>
  </si>
  <si>
    <t>194257661661</t>
  </si>
  <si>
    <t>Champion Big Girls Boxy T-shirt Aruba Blue S 8</t>
  </si>
  <si>
    <t>CHG123</t>
  </si>
  <si>
    <t>191655248500</t>
  </si>
  <si>
    <t>Chickpea Chickpea Baby Girls Fashion Qu Light Pink 0-3 months</t>
  </si>
  <si>
    <t>HE12229102</t>
  </si>
  <si>
    <t>766380191393</t>
  </si>
  <si>
    <t>ID Ideology Big Girls Zebra Print Leggings Deep Black L 14</t>
  </si>
  <si>
    <t>766380191379</t>
  </si>
  <si>
    <t>ID Ideology Big Girls Zebra Print Leggings Deep Black S 78</t>
  </si>
  <si>
    <t>766360448974</t>
  </si>
  <si>
    <t>ID Ideology Toddler Little Girls Geo-Pri Pistachio Green 4T</t>
  </si>
  <si>
    <t>766360448882</t>
  </si>
  <si>
    <t>ID Ideology Toddler Little Girls Geo-Pri Pistachio Green 5</t>
  </si>
  <si>
    <t>766360446239</t>
  </si>
  <si>
    <t>ID Ideology ID Ideology Big Girls Core Pol Indigo Sea L 14</t>
  </si>
  <si>
    <t>100141141GR</t>
  </si>
  <si>
    <t>766360446222</t>
  </si>
  <si>
    <t>ID Ideology ID Ideology Big Girls Core Pol Indigo Sea M 1012</t>
  </si>
  <si>
    <t>766380238012</t>
  </si>
  <si>
    <t>Epic Threads Epic Threads Big Girls Babydol Coral Topaz S 78</t>
  </si>
  <si>
    <t>195861368632</t>
  </si>
  <si>
    <t>Carters Carters Baby Girls Floral Zip Green 6 months</t>
  </si>
  <si>
    <t>1O012610</t>
  </si>
  <si>
    <t>195861099062</t>
  </si>
  <si>
    <t>Carters Baby Girls Pink Floral Jumpsui Pink 12 months</t>
  </si>
  <si>
    <t>1N597810</t>
  </si>
  <si>
    <t>195861088400</t>
  </si>
  <si>
    <t>Carters Carters Baby Boy or Baby Girl Denim 18 months</t>
  </si>
  <si>
    <t>1N602110</t>
  </si>
  <si>
    <t>194135896468</t>
  </si>
  <si>
    <t>Carters Carters Baby Girls Eyelet Sna Mint 24 months</t>
  </si>
  <si>
    <t>1N070910</t>
  </si>
  <si>
    <t>193712372715</t>
  </si>
  <si>
    <t>Imperial Star Big Girls Athleisure Shorts Pastel Td XL</t>
  </si>
  <si>
    <t>191655192582</t>
  </si>
  <si>
    <t>Chickpea Chickpea Baby Boys 2-Pc. Top Blue 3-6 months</t>
  </si>
  <si>
    <t>PE22223770</t>
  </si>
  <si>
    <t>194135910416</t>
  </si>
  <si>
    <t>Carters Toddler Boys Striped Pocket He Stripe 4T</t>
  </si>
  <si>
    <t>2N002410</t>
  </si>
  <si>
    <t>766360442163</t>
  </si>
  <si>
    <t>ID Ideology Toddler Little Girls Fearles Violet Tulle 4T</t>
  </si>
  <si>
    <t>100141348LG</t>
  </si>
  <si>
    <t>766370911338</t>
  </si>
  <si>
    <t>ID Ideology Little Girls 2-Pc. T-Shirt S Pink Hustle 6</t>
  </si>
  <si>
    <t>100148303LG</t>
  </si>
  <si>
    <t>766360649104</t>
  </si>
  <si>
    <t>Epic Threads Epic Threads Toddler Girls All Orchid Bloom 2T</t>
  </si>
  <si>
    <t>100145370LG</t>
  </si>
  <si>
    <t>766380221076</t>
  </si>
  <si>
    <t>First Impressions Baby Boys Smile Full-Zip Jacke Hthr Sterling 12 months</t>
  </si>
  <si>
    <t>766380221113</t>
  </si>
  <si>
    <t>First Impressions Baby Boys Smile Full-Zip Jacke Hthr Sterling 24 months</t>
  </si>
  <si>
    <t>194257737229</t>
  </si>
  <si>
    <t>Champion Toddler Boys Brush Stroke Camo Electric Cyan 2T</t>
  </si>
  <si>
    <t>766370762039</t>
  </si>
  <si>
    <t>Epic Threads Big Boys Graphic Tank Gossamer Green S 810</t>
  </si>
  <si>
    <t>100151705BO</t>
  </si>
  <si>
    <t>762120847940</t>
  </si>
  <si>
    <t>ID Ideology Toddler Little Boys Active P Deep Black 7</t>
  </si>
  <si>
    <t>762120847926</t>
  </si>
  <si>
    <t>ID Ideology Toddler Little Boys Active P Deep Black 6</t>
  </si>
  <si>
    <t>195861280460</t>
  </si>
  <si>
    <t>Carters Carters Toddler Girls Jersey Gray 5T</t>
  </si>
  <si>
    <t>195861280439</t>
  </si>
  <si>
    <t>Carters Carters Toddler Girls Jersey Gray 2T</t>
  </si>
  <si>
    <t>194257839152</t>
  </si>
  <si>
    <t>Champion Big Boys Washed Up Champion Te Swiss Blue XL 1820</t>
  </si>
  <si>
    <t>194257619624</t>
  </si>
  <si>
    <t>Champion Big Boys Short Sleeve Signatur Blue Seaglass S 8</t>
  </si>
  <si>
    <t>CHB000</t>
  </si>
  <si>
    <t>194257851208</t>
  </si>
  <si>
    <t>Champion Champion Little Boys Vertical Swiss Blue 4</t>
  </si>
  <si>
    <t>194257851499</t>
  </si>
  <si>
    <t>Champion Champion Little Boys Vertical Capri Orange 5</t>
  </si>
  <si>
    <t>194257635983</t>
  </si>
  <si>
    <t>Champion Champion Big Boys Vertical Scr White and Navy L 1416</t>
  </si>
  <si>
    <t>CHB163</t>
  </si>
  <si>
    <t>762120076678</t>
  </si>
  <si>
    <t>ID Ideology Big Girls Ombre Olympic T-Shir Bright White XL 16</t>
  </si>
  <si>
    <t>100136764GR</t>
  </si>
  <si>
    <t>194257393791</t>
  </si>
  <si>
    <t>Champion Big Boys Short Sleeve Signatur Black L 1416</t>
  </si>
  <si>
    <t>766360129866</t>
  </si>
  <si>
    <t>First Impressions Baby Girls Daisy Shorts Lt Medium Wash 3-6 months</t>
  </si>
  <si>
    <t>195883922867</t>
  </si>
  <si>
    <t>Mickey Mouse Little Boys Disney Mickey Shor Red Tie Dye 7</t>
  </si>
  <si>
    <t>2JBDNY4325</t>
  </si>
  <si>
    <t>766360437596</t>
  </si>
  <si>
    <t>ID Ideology Big Girls One-Shoulder Tennis Bright White XXL 18</t>
  </si>
  <si>
    <t>766360437558</t>
  </si>
  <si>
    <t>ID Ideology Big Girls One-Shoulder Tennis Bright White S 78</t>
  </si>
  <si>
    <t>766360437572</t>
  </si>
  <si>
    <t>ID Ideology Big Girls One-Shoulder Tennis Bright White L 14</t>
  </si>
  <si>
    <t>766360437565</t>
  </si>
  <si>
    <t>ID Ideology Big Girls One-Shoulder Tennis Bright White M 1012</t>
  </si>
  <si>
    <t>766360437671</t>
  </si>
  <si>
    <t>ID Ideology Big Girls One-Shoulder Tennis Jet Ski XXL 18</t>
  </si>
  <si>
    <t>766360437619</t>
  </si>
  <si>
    <t>ID Ideology Big Girls One-Shoulder Tennis Jet Ski M 1012</t>
  </si>
  <si>
    <t>766360437633</t>
  </si>
  <si>
    <t>ID Ideology Big Girls One-Shoulder Tennis Jet Ski XL 16</t>
  </si>
  <si>
    <t>766360437602</t>
  </si>
  <si>
    <t>ID Ideology Big Girls One-Shoulder Tennis Jet Ski S 78</t>
  </si>
  <si>
    <t>766360437626</t>
  </si>
  <si>
    <t>ID Ideology Big Girls One-Shoulder Tennis Jet Ski L 14</t>
  </si>
  <si>
    <t>194257535924</t>
  </si>
  <si>
    <t>Champion Little Boys All Over Print Scr White 7</t>
  </si>
  <si>
    <t>CHY071</t>
  </si>
  <si>
    <t>762120819961</t>
  </si>
  <si>
    <t>ID Ideology Big Boys Colorblocked Shorts Native Green L</t>
  </si>
  <si>
    <t>100141173BO</t>
  </si>
  <si>
    <t>194257518897</t>
  </si>
  <si>
    <t>Champion Little Girls Champion Leopard White 5</t>
  </si>
  <si>
    <t>CHL065</t>
  </si>
  <si>
    <t>195861147398</t>
  </si>
  <si>
    <t>Carters Toddler Girls Graphic-Print Fl Pink 2T</t>
  </si>
  <si>
    <t>2N700810</t>
  </si>
  <si>
    <t>195861149026</t>
  </si>
  <si>
    <t>Carters Toddler Girls Graphic-Print Fl Green 2T</t>
  </si>
  <si>
    <t>2N700010</t>
  </si>
  <si>
    <t>195861147343</t>
  </si>
  <si>
    <t>Carters Toddler Girls Graphic-Print Fl Yellow 2T</t>
  </si>
  <si>
    <t>2N701010</t>
  </si>
  <si>
    <t>194135928435</t>
  </si>
  <si>
    <t>Carters Carters Baby Boys One-Piece S Print 12 months</t>
  </si>
  <si>
    <t>1N032510</t>
  </si>
  <si>
    <t>194135860018</t>
  </si>
  <si>
    <t>Carters Carters Baby Boys Snap-Up Foo Gray 9 months</t>
  </si>
  <si>
    <t>1N036610</t>
  </si>
  <si>
    <t>195861128755</t>
  </si>
  <si>
    <t>Carters Baby Girls Printed Loose-Fit P Print 24 months</t>
  </si>
  <si>
    <t>1N706510</t>
  </si>
  <si>
    <t>195861099659</t>
  </si>
  <si>
    <t>Carters Carters Baby Boy or Baby Girl Black Newborn</t>
  </si>
  <si>
    <t>195861099529</t>
  </si>
  <si>
    <t>Carters Baby Boys or Baby Girls Hallow White Newborn</t>
  </si>
  <si>
    <t>766370750029</t>
  </si>
  <si>
    <t>Epic Threads Epic Threads Toddler Girls Kni Island Orange 3T</t>
  </si>
  <si>
    <t>100152987LG</t>
  </si>
  <si>
    <t>762120955850</t>
  </si>
  <si>
    <t>ID Ideology Big Girl Core Stretch Leggings Violet Tulle M 1012</t>
  </si>
  <si>
    <t>100121190GR</t>
  </si>
  <si>
    <t>762120691093</t>
  </si>
  <si>
    <t>ID Ideology Big Girls Asymmetrical Tennis Violet Tulle L 14</t>
  </si>
  <si>
    <t>762120691079</t>
  </si>
  <si>
    <t>ID Ideology Big Girls Asymmetrical Tennis Violet Tulle S 78</t>
  </si>
  <si>
    <t>766380383033</t>
  </si>
  <si>
    <t>ID Ideology Big Girl Core Stretch Leggings Pink Hustl M 1012</t>
  </si>
  <si>
    <t>766380383040</t>
  </si>
  <si>
    <t>ID Ideology Big Girl Core Stretch Leggings Pink Hustl L 14</t>
  </si>
  <si>
    <t>762120691109</t>
  </si>
  <si>
    <t>ID Ideology Big Girls Asymmetrical Tennis Violet Tulle XL 16</t>
  </si>
  <si>
    <t>766370894488</t>
  </si>
  <si>
    <t>ID Ideology Big Boys Mesh Break Shorts Lime Popsicle S</t>
  </si>
  <si>
    <t>100137757BO</t>
  </si>
  <si>
    <t>194135454941</t>
  </si>
  <si>
    <t>Carters Baby Boys Camo-Print Fleece Co Print Newborn</t>
  </si>
  <si>
    <t>1M076810</t>
  </si>
  <si>
    <t>194257533388</t>
  </si>
  <si>
    <t>Champion Big Boys Pixel Script Short Sl Dark Blue M 1012</t>
  </si>
  <si>
    <t>CHB016</t>
  </si>
  <si>
    <t>766370877580</t>
  </si>
  <si>
    <t>First Impressions Baby Boys Tie Dye Terrycloth R Turq Splash 0-3 months</t>
  </si>
  <si>
    <t>100146512BB</t>
  </si>
  <si>
    <t>766370877559</t>
  </si>
  <si>
    <t>First Impressions Baby Boys Tie Dye Terrycloth R Turq Splash 6-9 months</t>
  </si>
  <si>
    <t>766370877573</t>
  </si>
  <si>
    <t>First Impressions Baby Boys Tie Dye Terrycloth R Turq Splash 24 months</t>
  </si>
  <si>
    <t>766370878303</t>
  </si>
  <si>
    <t>First Impressions Baby Boys Stripe-Print Terrycl Lime Boost 3-6 months</t>
  </si>
  <si>
    <t>766370878662</t>
  </si>
  <si>
    <t>First Impressions Baby Boys Stripe-Print Terrycl Lime Boost 0-3 months</t>
  </si>
  <si>
    <t>766370877542</t>
  </si>
  <si>
    <t>First Impressions Baby Boys Tie Dye Terrycloth R Turq Splash 3-6 months</t>
  </si>
  <si>
    <t>766370877566</t>
  </si>
  <si>
    <t>First Impressions Baby Boys Tie Dye Terrycloth R Turq Splash 18 months</t>
  </si>
  <si>
    <t>766370878334</t>
  </si>
  <si>
    <t>First Impressions Baby Boys Stripe-Print Terrycl Lime Boost 24 months</t>
  </si>
  <si>
    <t>766370878297</t>
  </si>
  <si>
    <t>First Impressions Baby Boys Stripe-Print Terrycl Lime Boost 12 months</t>
  </si>
  <si>
    <t>195958841727</t>
  </si>
  <si>
    <t>Tommy Hilfiger Tommy Hilfiger Big Girls Foil Teaberry S 7</t>
  </si>
  <si>
    <t>TGMFA05S-613</t>
  </si>
  <si>
    <t>195861101772</t>
  </si>
  <si>
    <t>Carters Baby Girls Halloween Tutu Body Orange 3 months</t>
  </si>
  <si>
    <t>1N733410</t>
  </si>
  <si>
    <t>766360446505</t>
  </si>
  <si>
    <t>ID Ideology Big Girls Geo-Print Bicycle Sh Jet Ski M 1012</t>
  </si>
  <si>
    <t>100141284GR</t>
  </si>
  <si>
    <t>766360446819</t>
  </si>
  <si>
    <t>ID Ideology Big Girls Geo-Print Bicycle Sh Pistachio S 78</t>
  </si>
  <si>
    <t>100141285GR</t>
  </si>
  <si>
    <t>840144218851</t>
  </si>
  <si>
    <t>InMocean Little Girls Rainbow Sequin 2P Multi</t>
  </si>
  <si>
    <t>DFA31226-MAC-MLT</t>
  </si>
  <si>
    <t>2-14GIRLS ACC</t>
  </si>
  <si>
    <t>IN MOCEAN GROUP LLC</t>
  </si>
  <si>
    <t>840144218868</t>
  </si>
  <si>
    <t>InMocean Little Girls Love 2 Piece Set Multi</t>
  </si>
  <si>
    <t>DFA31227-MAC-MLT</t>
  </si>
  <si>
    <t>766360438043</t>
  </si>
  <si>
    <t>ID Ideology Big Girls I AM T-Shirt Jet Ski S 78</t>
  </si>
  <si>
    <t>100141276GR</t>
  </si>
  <si>
    <t>766380221519</t>
  </si>
  <si>
    <t>First Impressions Baby Boys Colorblocked Hoodie Tomato Puree 6-9 months</t>
  </si>
  <si>
    <t>100148796BB</t>
  </si>
  <si>
    <t>194257657039</t>
  </si>
  <si>
    <t>Champion Little Girls Graphic T-shirt Oxford Heather 6</t>
  </si>
  <si>
    <t>762120084383</t>
  </si>
  <si>
    <t>Epic Threads Epic Threads Big Girls Long Sl Holiday Ivory L</t>
  </si>
  <si>
    <t>100138497GR</t>
  </si>
  <si>
    <t>194257891389</t>
  </si>
  <si>
    <t>Champion Champion Little Boys Abstract Capri Orange 5</t>
  </si>
  <si>
    <t>CHY175</t>
  </si>
  <si>
    <t>191655254815</t>
  </si>
  <si>
    <t>Chickpea Chickpea Baby Girls Bodysuit, Light Pink 0-3 months</t>
  </si>
  <si>
    <t>HE12228847</t>
  </si>
  <si>
    <t>733004951442</t>
  </si>
  <si>
    <t>First Impressions Baby Girls Ice Cream Cotton Su Sunset Flamingo 3-6 months</t>
  </si>
  <si>
    <t>100136421BG</t>
  </si>
  <si>
    <t>766370877696</t>
  </si>
  <si>
    <t>First Impressions Baby Boys Shirt Peppermint Fros 18 months</t>
  </si>
  <si>
    <t>766370877719</t>
  </si>
  <si>
    <t>First Impressions Baby Boys Shirt Peppermint Fros 0-3 months</t>
  </si>
  <si>
    <t>766370770164</t>
  </si>
  <si>
    <t>Epic Threads Epic Threads Big Girls Uni Hea Skygaze XL 16</t>
  </si>
  <si>
    <t>100153009GR</t>
  </si>
  <si>
    <t>766370770003</t>
  </si>
  <si>
    <t>Epic Threads Epic Threads Big Girls Follow True Green S 78</t>
  </si>
  <si>
    <t>766370770119</t>
  </si>
  <si>
    <t>Epic Threads Epic Threads Big Girls Pacific Coral Topaz L 1214</t>
  </si>
  <si>
    <t>766370749986</t>
  </si>
  <si>
    <t>Epic Threads Epic Threads Little Girls Knit Sweet Berry 6X</t>
  </si>
  <si>
    <t>100152986LG</t>
  </si>
  <si>
    <t>766370749405</t>
  </si>
  <si>
    <t>Epic Threads Epic Threads Toddler Girls Kni Skygaze 2T</t>
  </si>
  <si>
    <t>766370749399</t>
  </si>
  <si>
    <t>Epic Threads Epic Threads Little Girls Knit Skygaze 6</t>
  </si>
  <si>
    <t>766370749375</t>
  </si>
  <si>
    <t>Epic Threads Epic Threads Little Girls Knit Gossamer Green 6X</t>
  </si>
  <si>
    <t>766370749351</t>
  </si>
  <si>
    <t>Epic Threads Epic Threads Toddler Girls Kni Gossamer Green 3T</t>
  </si>
  <si>
    <t>766370770041</t>
  </si>
  <si>
    <t>Epic Threads Epic Threads Big Girls Pacific Coral Topaz S 78</t>
  </si>
  <si>
    <t>766370770133</t>
  </si>
  <si>
    <t>Epic Threads Epic Threads Big Girls Uni Hea Skygaze S 7</t>
  </si>
  <si>
    <t>766370770140</t>
  </si>
  <si>
    <t>Epic Threads Epic Threads Big Girls Uni Hea Skygaze M 810</t>
  </si>
  <si>
    <t>766370749962</t>
  </si>
  <si>
    <t>Epic Threads Epic Threads Toddler Girls Kni Sweet Berry 3T</t>
  </si>
  <si>
    <t>762120966887</t>
  </si>
  <si>
    <t>ID Ideology Big Girls Core Lace-Up T-Shirt Jet Ski M 1012</t>
  </si>
  <si>
    <t>762120966900</t>
  </si>
  <si>
    <t>ID Ideology Big Girls Core Lace-Up T-Shirt Jet Ski XL 16</t>
  </si>
  <si>
    <t>194135897922</t>
  </si>
  <si>
    <t>Carters Carters Baby Girls Romper Yellow 24 months</t>
  </si>
  <si>
    <t>1N071710</t>
  </si>
  <si>
    <t>195861095255</t>
  </si>
  <si>
    <t>Carters Carters Baby Girls 4th of Jul Multicolor Newborn</t>
  </si>
  <si>
    <t>194135893344</t>
  </si>
  <si>
    <t>Carters Carters Baby Girls Flower Pow Multi 9 months</t>
  </si>
  <si>
    <t>194135897939</t>
  </si>
  <si>
    <t>Carters Carters Baby Girls Romper Yellow 3 months</t>
  </si>
  <si>
    <t>762120263627</t>
  </si>
  <si>
    <t>Epic Threads Epic Threads Big Girls Text Gr Sunset Flamingo XL 16</t>
  </si>
  <si>
    <t>766370427181</t>
  </si>
  <si>
    <t>Epic Threads Big Girls Short Sleeve Heart P Slate Heather S 78</t>
  </si>
  <si>
    <t>762120263610</t>
  </si>
  <si>
    <t>Epic Threads Epic Threads Big Girls Text Gr Sunset Flamingo L 1214</t>
  </si>
  <si>
    <t>766360666651</t>
  </si>
  <si>
    <t>Epic Threads Big Girls Peace Sign Tie Front Orchid Bloom L 1416</t>
  </si>
  <si>
    <t>100145142GR</t>
  </si>
  <si>
    <t>194257511423</t>
  </si>
  <si>
    <t>Champion Champion Little Girls Drop Sha Black 6X</t>
  </si>
  <si>
    <t>CHL052</t>
  </si>
  <si>
    <t>194257388711</t>
  </si>
  <si>
    <t>Champion Little Boys Script Over Camo T White 7</t>
  </si>
  <si>
    <t>CHY019</t>
  </si>
  <si>
    <t>766360147464</t>
  </si>
  <si>
    <t>First Impressions Baby Girls 2-Pk. Leggings, Ultra Lime 0-3 months</t>
  </si>
  <si>
    <t>766360141974</t>
  </si>
  <si>
    <t>First Impressions Baby Girls 2-Pk. Leggings, Bright White Newborn</t>
  </si>
  <si>
    <t>100141485BG</t>
  </si>
  <si>
    <t>766370619593</t>
  </si>
  <si>
    <t>First Impressions Baby Boys Newport Stripe Sunsu Bright White 24 months</t>
  </si>
  <si>
    <t>100150980BB</t>
  </si>
  <si>
    <t>194135258983</t>
  </si>
  <si>
    <t>Carters Baby Boys Little Brother 2-Way Red Newborn</t>
  </si>
  <si>
    <t>1L722710</t>
  </si>
  <si>
    <t>194135263369</t>
  </si>
  <si>
    <t>Carters Baby Girls 2-Way Zip Cotton Sl White Newborn</t>
  </si>
  <si>
    <t>1L735110</t>
  </si>
  <si>
    <t>194135259225</t>
  </si>
  <si>
    <t>Carters Baby Boys Car 2-Way Zip Cotton Blue 6 months</t>
  </si>
  <si>
    <t>1L750010</t>
  </si>
  <si>
    <t>194135258969</t>
  </si>
  <si>
    <t>Carters Baby Boys Little Brother 2-Way Red 9 months</t>
  </si>
  <si>
    <t>194135262232</t>
  </si>
  <si>
    <t>Carters Baby Girls 2-Way Zip Cotton Sl Pink Floral 3 months</t>
  </si>
  <si>
    <t>1L736010</t>
  </si>
  <si>
    <t>196325117612</t>
  </si>
  <si>
    <t>DC Comics Big Boys Batman Dark Knight Gr Heather Gray Small</t>
  </si>
  <si>
    <t>2YDCB2042</t>
  </si>
  <si>
    <t>733004951251</t>
  </si>
  <si>
    <t>First Impressions Baby Girls Tie-Dye Cotton Suns Sunset Flamingo 12 months</t>
  </si>
  <si>
    <t>100136401BG</t>
  </si>
  <si>
    <t>196325090267</t>
  </si>
  <si>
    <t>Disney Little Girls Stitch T-shirt Blue 5</t>
  </si>
  <si>
    <t>T000126GD13845</t>
  </si>
  <si>
    <t>193666743395</t>
  </si>
  <si>
    <t>Maidenform Little Big Girls Cropped Ruc Blue Tie-Dye Heart XL 1820</t>
  </si>
  <si>
    <t>766370827714</t>
  </si>
  <si>
    <t>Epic Threads Epic Threads Big Girls Stay Go Island Orange XL 16</t>
  </si>
  <si>
    <t>766370827684</t>
  </si>
  <si>
    <t>Epic Threads Epic Threads Big Girls Stay Go Island Orange S 7</t>
  </si>
  <si>
    <t>766370168886</t>
  </si>
  <si>
    <t>ID Ideology Toddler Little Girls Marble- Pistachio Green 4T</t>
  </si>
  <si>
    <t>100146018LG</t>
  </si>
  <si>
    <t>766360437770</t>
  </si>
  <si>
    <t>ID Ideology Big Girls Geo-Print Tank Top Jet Ski L 14</t>
  </si>
  <si>
    <t>100141278GR</t>
  </si>
  <si>
    <t>766360437756</t>
  </si>
  <si>
    <t>ID Ideology Big Girls Geo-Print Tank Top Jet Ski S 78</t>
  </si>
  <si>
    <t>766360437817</t>
  </si>
  <si>
    <t>ID Ideology Big Girls Geo-Print Tank Top Jet Ski XXL 18</t>
  </si>
  <si>
    <t>766360437725</t>
  </si>
  <si>
    <t>ID Ideology Big Girls Geo-Print Tank Top Pear Passion L 14</t>
  </si>
  <si>
    <t>766360437763</t>
  </si>
  <si>
    <t>ID Ideology Big Girls Geo-Print Tank Top Jet Ski M 1012</t>
  </si>
  <si>
    <t>766360437794</t>
  </si>
  <si>
    <t>ID Ideology Big Girls Geo-Print Tank Top Jet Ski XL 16</t>
  </si>
  <si>
    <t>766360437749</t>
  </si>
  <si>
    <t>ID Ideology Big Girls Geo-Print Tank Top Pear Passion XXL 18</t>
  </si>
  <si>
    <t>766360437718</t>
  </si>
  <si>
    <t>ID Ideology Big Girls Geo-Print Tank Top Pear Passion M 1012</t>
  </si>
  <si>
    <t>766360437732</t>
  </si>
  <si>
    <t>ID Ideology Big Girls Geo-Print Tank Top Pear Passion XL 16</t>
  </si>
  <si>
    <t>194870728161</t>
  </si>
  <si>
    <t>adidas Little Boys Aeroready Elastic Black with Acid Yellow 4</t>
  </si>
  <si>
    <t>AH5608</t>
  </si>
  <si>
    <t>766360156053</t>
  </si>
  <si>
    <t>First Impressions Baby Boys Walrus Sunsuit Ski Patrol 24 months</t>
  </si>
  <si>
    <t>100143055BB</t>
  </si>
  <si>
    <t>194135874688</t>
  </si>
  <si>
    <t>Carters Carters Baby Boys Dinosaur Sn Green Newborn</t>
  </si>
  <si>
    <t>1N055110</t>
  </si>
  <si>
    <t>195861087779</t>
  </si>
  <si>
    <t>Carters Carters Baby Boys 4th of July Multicolor 3 months</t>
  </si>
  <si>
    <t>1N654010</t>
  </si>
  <si>
    <t>194135879904</t>
  </si>
  <si>
    <t>Carters Carters Baby Boys Snap-Up Rom Multi 3 months</t>
  </si>
  <si>
    <t>1N053710</t>
  </si>
  <si>
    <t>766370168824</t>
  </si>
  <si>
    <t>ID Ideology Toddler Little Girls ID POWE Bright White 4T</t>
  </si>
  <si>
    <t>100141347LG</t>
  </si>
  <si>
    <t>762120959513</t>
  </si>
  <si>
    <t>ID Ideology Little Girls Lace-Up Top Violet Tulle 5</t>
  </si>
  <si>
    <t>100123169LG</t>
  </si>
  <si>
    <t>884411620879</t>
  </si>
  <si>
    <t>Hello Kitty Toddler Girls Dot Leggings Pink 2T</t>
  </si>
  <si>
    <t>TB6414GHK0801</t>
  </si>
  <si>
    <t>COTTON/POLYESTER/SPANDEX</t>
  </si>
  <si>
    <t>733003083007</t>
  </si>
  <si>
    <t>ID Ideology Big Girls Core Lace-Up T-Shirt Fresh Orchid S 78</t>
  </si>
  <si>
    <t>766370899414</t>
  </si>
  <si>
    <t>ID Ideology Big Girls Palm Tree T-Shirt, C Pink Hustle XL 16</t>
  </si>
  <si>
    <t>100148205GR</t>
  </si>
  <si>
    <t>766370767805</t>
  </si>
  <si>
    <t>Epic Threads Little Boys Graphic Tank Peppermint Frost 5</t>
  </si>
  <si>
    <t>100151704LB</t>
  </si>
  <si>
    <t>766380184470</t>
  </si>
  <si>
    <t>ID Ideology Toddler Little Girls Core Ca Pink Hustle 2T</t>
  </si>
  <si>
    <t>100123163LG</t>
  </si>
  <si>
    <t>766370778559</t>
  </si>
  <si>
    <t>Epic Threads Epic Threads Toddler Girls Pin Angel White 4T</t>
  </si>
  <si>
    <t>100152959LG</t>
  </si>
  <si>
    <t>766370778870</t>
  </si>
  <si>
    <t>Epic Threads Epic Threads Toddler Girls Uni Island Orange 4T</t>
  </si>
  <si>
    <t>766370770744</t>
  </si>
  <si>
    <t>Epic Threads Epic Thread Big Girls Graphic Coral Topaz S 78</t>
  </si>
  <si>
    <t>100153023GR</t>
  </si>
  <si>
    <t>766360156169</t>
  </si>
  <si>
    <t>First Impressions Baby Girls Freedom Stars Sunsu Bright White 18 months</t>
  </si>
  <si>
    <t>733004951343</t>
  </si>
  <si>
    <t>First Impressions Baby Girls Flamingo Sunsuit Light Grey Heather 18 months</t>
  </si>
  <si>
    <t>100136402BG</t>
  </si>
  <si>
    <t>766360156114</t>
  </si>
  <si>
    <t>First Impressions Baby Girl DOT SUNSUIT Fiery Red 24 months</t>
  </si>
  <si>
    <t>100118335BG</t>
  </si>
  <si>
    <t>762120493857</t>
  </si>
  <si>
    <t>First Impressions Toddler Boy Tie-Dyed Shirt Oregano 4T</t>
  </si>
  <si>
    <t>100141397TB</t>
  </si>
  <si>
    <t>766370770584</t>
  </si>
  <si>
    <t>Epic Threads Epic Threads Big Girls Bike Sh Peppermint Frost M 810</t>
  </si>
  <si>
    <t>766360668976</t>
  </si>
  <si>
    <t>Epic Threads Epic Threads Big Girls Bike Sh Spacious Skies L 1416</t>
  </si>
  <si>
    <t>766370912670</t>
  </si>
  <si>
    <t>ID Ideology Toddler Little Boys Striped Vivid Turq 7</t>
  </si>
  <si>
    <t>100148317LB</t>
  </si>
  <si>
    <t>766370770614</t>
  </si>
  <si>
    <t>Epic Threads Epic Threads Big Girls Bike Sh Sweet Berry S 78</t>
  </si>
  <si>
    <t>766370770713</t>
  </si>
  <si>
    <t>Epic Threads Epic Threads Big Girls Bike Sh Island Orange M 810</t>
  </si>
  <si>
    <t>766370770607</t>
  </si>
  <si>
    <t>Epic Threads Epic Threads Big Girls Bike Sh Peppermint Frost XL 16</t>
  </si>
  <si>
    <t>766370770546</t>
  </si>
  <si>
    <t>Epic Threads Epic Threads Big Girls Bike Sh Skygaze M 810</t>
  </si>
  <si>
    <t>762120821926</t>
  </si>
  <si>
    <t>ID Ideology Toddler Little Boys Solid Kn Deep Black 7</t>
  </si>
  <si>
    <t>100141216LB</t>
  </si>
  <si>
    <t>194135905641</t>
  </si>
  <si>
    <t>Carters Carters Baby Girls Fruit Orig Purple 3 months</t>
  </si>
  <si>
    <t>1N077810</t>
  </si>
  <si>
    <t>766370779037</t>
  </si>
  <si>
    <t>Epic Threads Epic Threads Toddler Girls Vac Ultra Lime 4T</t>
  </si>
  <si>
    <t>100152962LG</t>
  </si>
  <si>
    <t>766370778078</t>
  </si>
  <si>
    <t>Epic Threads Epic Threads Toddler Girls Mer True Green 4T</t>
  </si>
  <si>
    <t>100152958LG</t>
  </si>
  <si>
    <t>766370902312</t>
  </si>
  <si>
    <t>ID Ideology Little Girls Graphic-Print T-S Lime Peel 2T</t>
  </si>
  <si>
    <t>766370779235</t>
  </si>
  <si>
    <t>Epic Threads Little Girls Scooter Skirt Island Orange 6</t>
  </si>
  <si>
    <t>100152980LG</t>
  </si>
  <si>
    <t>766370425033</t>
  </si>
  <si>
    <t>Epic Threads Little Girls Short Sleeves Hea Washed Indigo 6</t>
  </si>
  <si>
    <t>766370778894</t>
  </si>
  <si>
    <t>Epic Threads Epic Threads Little Girls Vaca Ultra Lime 5</t>
  </si>
  <si>
    <t>766370778917</t>
  </si>
  <si>
    <t>Epic Threads Epic Threads Toddler Girls Vac Ultra Lime 2T</t>
  </si>
  <si>
    <t>766360904562</t>
  </si>
  <si>
    <t>Epic Threads Epic Threads Toddler Girls But Angel White 2T</t>
  </si>
  <si>
    <t>100147860LG</t>
  </si>
  <si>
    <t>766370778085</t>
  </si>
  <si>
    <t>Epic Threads Epic Threads Little Girls Merm True Green 6X</t>
  </si>
  <si>
    <t>766370748514</t>
  </si>
  <si>
    <t>Epic Threads Toddler Girls Bermuda Shorts Angel White 4T</t>
  </si>
  <si>
    <t>100152981LG</t>
  </si>
  <si>
    <t>194135534094</t>
  </si>
  <si>
    <t>Carters Carters Toddler Girls Elastic Black 5T</t>
  </si>
  <si>
    <t>2M405410</t>
  </si>
  <si>
    <t>194135534070</t>
  </si>
  <si>
    <t>Carters Carters Toddler Girls Elastic Black 3T</t>
  </si>
  <si>
    <t>766390156214</t>
  </si>
  <si>
    <t>First Impressions Toddler Boys Truck Stripe Jogg Riviera 3T</t>
  </si>
  <si>
    <t>100152482TB</t>
  </si>
  <si>
    <t>762120061377</t>
  </si>
  <si>
    <t>ID Ideology Big Boys Core Training Shirt Licorice Red XL</t>
  </si>
  <si>
    <t>762120061353</t>
  </si>
  <si>
    <t>ID Ideology Big Boys Core Training Shirt Licorice Red M</t>
  </si>
  <si>
    <t>766370874909</t>
  </si>
  <si>
    <t>First Impressions Toddler Boys Underwater-Print Peppermintfrost 3T</t>
  </si>
  <si>
    <t>100148775TB</t>
  </si>
  <si>
    <t>762120057226</t>
  </si>
  <si>
    <t>ID Ideology Little Girls Lace-Up Top Deep Black 5</t>
  </si>
  <si>
    <t>766370874916</t>
  </si>
  <si>
    <t>First Impressions Toddler Boys Underwater-Print Peppermintfrost 4T</t>
  </si>
  <si>
    <t>766370446427</t>
  </si>
  <si>
    <t>Epic Threads Toddler Girls Knee Graphic Leg Royal Ink 4T</t>
  </si>
  <si>
    <t>100145201LG</t>
  </si>
  <si>
    <t>766360647230</t>
  </si>
  <si>
    <t>Epic Threads Toddler Girls Checkered All Ov Washed Indigo 4T</t>
  </si>
  <si>
    <t>766380266787</t>
  </si>
  <si>
    <t>Epic Threads Toddler Girls Dye Leggings Peppermint Frost 4T</t>
  </si>
  <si>
    <t>766360662783</t>
  </si>
  <si>
    <t>Epic Threads Little Girls Flower All Over P Angel White 6X</t>
  </si>
  <si>
    <t>100145079LG</t>
  </si>
  <si>
    <t>766380267401</t>
  </si>
  <si>
    <t>Epic Threads Epic Threads Little Girls Rib Gossamer Green 5</t>
  </si>
  <si>
    <t>100152976LG</t>
  </si>
  <si>
    <t>733002285532</t>
  </si>
  <si>
    <t>Epic Threads Toddler Boys Short Sleeve Grap Medium Gray 4T</t>
  </si>
  <si>
    <t>100120951LB</t>
  </si>
  <si>
    <t>762120077125</t>
  </si>
  <si>
    <t>Epic Threads Toddler Boys Peace sign Graphi Medium Heather Gray 2T</t>
  </si>
  <si>
    <t>100138418LB</t>
  </si>
  <si>
    <t>766370084001</t>
  </si>
  <si>
    <t>Epic Threads Little Boys Racecar Graphic T- Bright White 6</t>
  </si>
  <si>
    <t>100144945LB</t>
  </si>
  <si>
    <t>766380514512</t>
  </si>
  <si>
    <t>Epic Threads Big Girls Unicorn-Print T-Shir Sweet Berry S 7</t>
  </si>
  <si>
    <t>100154091GR</t>
  </si>
  <si>
    <t>733003082246</t>
  </si>
  <si>
    <t>ID Ideology Little Girls Lace-Up Top Hthr Grey 050 3T</t>
  </si>
  <si>
    <t>733003082215</t>
  </si>
  <si>
    <t>ID Ideology Little Girls Lace-Up Top Hthr Grey 050 5</t>
  </si>
  <si>
    <t>733003082239</t>
  </si>
  <si>
    <t>ID Ideology Little Girls Lace-Up Top Hthr Grey 050 2T</t>
  </si>
  <si>
    <t>733003082420</t>
  </si>
  <si>
    <t>ID Ideology Little Girls Lace-Up Top Indigo Sea 3T</t>
  </si>
  <si>
    <t>766380265551</t>
  </si>
  <si>
    <t>Epic Threads Little Girls Always Be Kind Gr Angel White 6X</t>
  </si>
  <si>
    <t>100152948LG</t>
  </si>
  <si>
    <t>733001957218</t>
  </si>
  <si>
    <t>First Impressions Baby Boy CLOSED TOE SANDAL Finest Pink 4</t>
  </si>
  <si>
    <t>100117432BB</t>
  </si>
  <si>
    <t>766360644918</t>
  </si>
  <si>
    <t>Epic Threads Toddler Girls Flower All Over Angel White 3T</t>
  </si>
  <si>
    <t>100145048LG</t>
  </si>
  <si>
    <t>766380265575</t>
  </si>
  <si>
    <t>Epic Threads Epic Threads Little Girls Surf Sky Gaze 6</t>
  </si>
  <si>
    <t>100152950LG</t>
  </si>
  <si>
    <t>766370777743</t>
  </si>
  <si>
    <t>Epic Threads Epic Threads Toddler Girls Pal Angel White 3T</t>
  </si>
  <si>
    <t>100152957LG</t>
  </si>
  <si>
    <t>766370777699</t>
  </si>
  <si>
    <t>Epic Threads Toddler Girls Mermaid Graphic Peppermnt Frost 4T</t>
  </si>
  <si>
    <t>766380265582</t>
  </si>
  <si>
    <t>Epic Threads Epic Threads Toddler Girls Sur Sky Gaze 2T</t>
  </si>
  <si>
    <t>766380265605</t>
  </si>
  <si>
    <t>Epic Threads Epic Threads Toddler Girls Sur Sky Gaze 4T</t>
  </si>
  <si>
    <t>766370777927</t>
  </si>
  <si>
    <t>Epic Threads Epic Threads Toddler Girls Pin Skygaze 3T</t>
  </si>
  <si>
    <t>100152955LG</t>
  </si>
  <si>
    <t>766380265599</t>
  </si>
  <si>
    <t>Epic Threads Epic Threads Toddler Girls Sur Sky Gaze 3T</t>
  </si>
  <si>
    <t>766370777897</t>
  </si>
  <si>
    <t>Epic Threads Epic Threads Little Girls Pine Skygaze 5</t>
  </si>
  <si>
    <t>766360645953</t>
  </si>
  <si>
    <t>Epic Threads Toddler Girls Smile T-shirt Washed Indigo 3T</t>
  </si>
  <si>
    <t>100145100LG</t>
  </si>
  <si>
    <t>766380265766</t>
  </si>
  <si>
    <t>Epic Threads Toddler Girls Love Graphic T Gossamer Green 2T</t>
  </si>
  <si>
    <t>766370827202</t>
  </si>
  <si>
    <t>Epic Threads Epic Threads Little Girls Aloh Angel White 5</t>
  </si>
  <si>
    <t>766370827233</t>
  </si>
  <si>
    <t>Epic Threads Toddler Girls Aloha Graphic T- Angel White 3T</t>
  </si>
  <si>
    <t>766370827226</t>
  </si>
  <si>
    <t>Epic Threads Toddler Girls Aloha Graphic T- Angel White 2T</t>
  </si>
  <si>
    <t>766380265414</t>
  </si>
  <si>
    <t>Epic Threads Toddler Girls Tropical Rainbow Angel White 2T</t>
  </si>
  <si>
    <t>100152947LG</t>
  </si>
  <si>
    <t>766380265483</t>
  </si>
  <si>
    <t>Epic Threads Toddler Girls Tropical Rainbow Angel White 4T</t>
  </si>
  <si>
    <t>766380265391</t>
  </si>
  <si>
    <t>Epic Threads Little Girls Tropical Rainbow Angel White 5</t>
  </si>
  <si>
    <t>766370777934</t>
  </si>
  <si>
    <t>Epic Threads Epic Threads Toddler Girls Pin Skygaze 4T</t>
  </si>
  <si>
    <t>733001957225</t>
  </si>
  <si>
    <t>First Impressions Baby Boy CLOSED TOE SANDAL Finest Pink 5</t>
  </si>
  <si>
    <t>733001957119</t>
  </si>
  <si>
    <t>First Impressions Baby Boy CLOSED TOE SANDAL Navy Nautical 4</t>
  </si>
  <si>
    <t>766360645144</t>
  </si>
  <si>
    <t>Epic Threads Toddler Girls Unicorn Graphic Washed Indigo 4T</t>
  </si>
  <si>
    <t>100145050LG</t>
  </si>
  <si>
    <t>766360161705</t>
  </si>
  <si>
    <t>First Impressions Toddler Boys Plaid Boating Sho Sodalite Blue 3T</t>
  </si>
  <si>
    <t>100141706TB</t>
  </si>
  <si>
    <t>762120494700</t>
  </si>
  <si>
    <t>First Impressions Baby Girls Daisy-Print Dress Apple Blossom 6-9 months</t>
  </si>
  <si>
    <t>100141161BG</t>
  </si>
  <si>
    <t>195861148371</t>
  </si>
  <si>
    <t>Carters Carters Baby Girls Faux Denim Blue 24 months</t>
  </si>
  <si>
    <t>1N718510</t>
  </si>
  <si>
    <t>762120819220</t>
  </si>
  <si>
    <t>ID Ideology Big Boys Core Athletic Tank Indigo Sea M</t>
  </si>
  <si>
    <t>194135889323</t>
  </si>
  <si>
    <t>Carters Carters Baby Boys and Girls F Gray 18 months</t>
  </si>
  <si>
    <t>1N160110</t>
  </si>
  <si>
    <t>194135899209</t>
  </si>
  <si>
    <t>Carters Carters Baby Girls Love My Mo Stripe 3 months</t>
  </si>
  <si>
    <t>1N077910</t>
  </si>
  <si>
    <t>733004291180</t>
  </si>
  <si>
    <t>First Impressions Toddler Girl T BOW VELOUR TOP Deep Black 4T</t>
  </si>
  <si>
    <t>100101624TG</t>
  </si>
  <si>
    <t>733004291166</t>
  </si>
  <si>
    <t>First Impressions Toddler Girl T BOW VELOUR TOP Deep Black 2T</t>
  </si>
  <si>
    <t>733004291173</t>
  </si>
  <si>
    <t>First Impressions Toddler Girl T BOW VELOUR TOP Deep Black 3T</t>
  </si>
  <si>
    <t>766380217970</t>
  </si>
  <si>
    <t>First Impressions Baby Boys Knee Patch Jogger Pa Blue Poppy 12 months</t>
  </si>
  <si>
    <t>100148790BB</t>
  </si>
  <si>
    <t>196325188308</t>
  </si>
  <si>
    <t>Hybrid Big Boys NASA Chrome Logo Grap Navy XL 1820</t>
  </si>
  <si>
    <t>2YNAS0952</t>
  </si>
  <si>
    <t>766360109943</t>
  </si>
  <si>
    <t>Epic Threads Big Girls Daisy-Print Shirt Apple Blossom M</t>
  </si>
  <si>
    <t>100147698GR</t>
  </si>
  <si>
    <t>766360135836</t>
  </si>
  <si>
    <t>First Impressions Toddler Girls Chambray Ruffle Dark Blue 3T</t>
  </si>
  <si>
    <t>733001673118</t>
  </si>
  <si>
    <t>First Impressions Baby Boys Buffalo Check Jogger Ever Red 6-9 months</t>
  </si>
  <si>
    <t>100101765BB</t>
  </si>
  <si>
    <t>766380213774</t>
  </si>
  <si>
    <t>First Impressions Toddler Girls Ruffle-Back Legg Blue Poppy 4T</t>
  </si>
  <si>
    <t>100141138TG</t>
  </si>
  <si>
    <t>733003083304</t>
  </si>
  <si>
    <t>ID Ideology Big Girls Core Lace-Up T-Shirt Bright White L 14</t>
  </si>
  <si>
    <t>733003932169</t>
  </si>
  <si>
    <t>First Impressions Baby Boys Lumberjack Plaid Pan Angel White 12 months</t>
  </si>
  <si>
    <t>100130728BB</t>
  </si>
  <si>
    <t>766370618770</t>
  </si>
  <si>
    <t>First Impressions Baby Unisex Stripe-Print Pants Vanilla Bean Ht Newborn</t>
  </si>
  <si>
    <t>766370873834</t>
  </si>
  <si>
    <t>First Impressions Baby Boys Underwater Adventure Peppermintfrost 12 months</t>
  </si>
  <si>
    <t>766370873889</t>
  </si>
  <si>
    <t>First Impressions Baby Boys Jeep Jam Joggers Hthr Dune 12 months</t>
  </si>
  <si>
    <t>100148776BB</t>
  </si>
  <si>
    <t>766370860667</t>
  </si>
  <si>
    <t>First Impressions Toddler Girls Ruffle Shoulder Shady Pink 2T</t>
  </si>
  <si>
    <t>766370898608</t>
  </si>
  <si>
    <t>ID Ideology Little Boys Core Training Shir Vivid Turq 3T</t>
  </si>
  <si>
    <t>766370898554</t>
  </si>
  <si>
    <t>ID Ideology Little Boys Core Training Shir Vivid Turq 5</t>
  </si>
  <si>
    <t>766360314491</t>
  </si>
  <si>
    <t>ID Ideology Little Boys Core Training Shir Deep Cobal 6</t>
  </si>
  <si>
    <t>766370898585</t>
  </si>
  <si>
    <t>ID Ideology Little Boys Core Training Shir Vivid Turq 4T</t>
  </si>
  <si>
    <t>766370898561</t>
  </si>
  <si>
    <t>ID Ideology Little Boys Core Training Shir Vivid Turq 6</t>
  </si>
  <si>
    <t>766370898592</t>
  </si>
  <si>
    <t>ID Ideology Little Boys Core Training Shir Vivid Turq 2T</t>
  </si>
  <si>
    <t>766390159734</t>
  </si>
  <si>
    <t>First Impressions Baby Girls Twinkling Lights Tu Winter Ivory 24 months</t>
  </si>
  <si>
    <t>100154007BG</t>
  </si>
  <si>
    <t>762120858540</t>
  </si>
  <si>
    <t>ID Ideology Toddler Little Boys Core Tan Bright White 3T</t>
  </si>
  <si>
    <t>100141167LB</t>
  </si>
  <si>
    <t>762120858571</t>
  </si>
  <si>
    <t>ID Ideology Toddler Little Boys Core Tan Native Green 7</t>
  </si>
  <si>
    <t>766370618466</t>
  </si>
  <si>
    <t>First Impressions Baby Girls Graphic-Print Bodys Blush Pink 6-9 months</t>
  </si>
  <si>
    <t>100150960BG</t>
  </si>
  <si>
    <t>766370870031</t>
  </si>
  <si>
    <t>First Impressions Baby Boys Plaid Shorts Peppermintfrost 3-6 months</t>
  </si>
  <si>
    <t>766370872783</t>
  </si>
  <si>
    <t>First Impressions Baby Boys Plaid Shorts Lime Boost 3-6 months</t>
  </si>
  <si>
    <t>100148779BB</t>
  </si>
  <si>
    <t>766360160999</t>
  </si>
  <si>
    <t>First Impressions Baby Boys Plaid Shorts Sodalite Blue 6-9 months</t>
  </si>
  <si>
    <t>100141706BB</t>
  </si>
  <si>
    <t>766360160838</t>
  </si>
  <si>
    <t>First Impressions Baby Boys Plaid Shorts Flag 12 months</t>
  </si>
  <si>
    <t>766360160982</t>
  </si>
  <si>
    <t>First Impressions Baby Boys Plaid Shorts Sodalite Blue 3-6 months</t>
  </si>
  <si>
    <t>766370872226</t>
  </si>
  <si>
    <t>First Impressions Baby Boys Plaid Shorts Peppermintfrost 6-9 months</t>
  </si>
  <si>
    <t>766370869929</t>
  </si>
  <si>
    <t>First Impressions Baby Boys Tropical Smudge Shor Peppermintfrost 12 months</t>
  </si>
  <si>
    <t>100148754BB</t>
  </si>
  <si>
    <t>191764580645</t>
  </si>
  <si>
    <t>Jem Graphic-Print T-Shirt, Little Heather Grey 5</t>
  </si>
  <si>
    <t>766370862531</t>
  </si>
  <si>
    <t>First Impressions Baby Girls Ruffle Shorts Playful Pink 12 months</t>
  </si>
  <si>
    <t>733004287510</t>
  </si>
  <si>
    <t>First Impressions Baby Girl BOW VELOUR TOP Deep Black 18 months</t>
  </si>
  <si>
    <t>100101624BG</t>
  </si>
  <si>
    <t>733004287503</t>
  </si>
  <si>
    <t>First Impressions Baby Girl BOW VELOUR TOP Deep Black 6-9 months</t>
  </si>
  <si>
    <t>733004287435</t>
  </si>
  <si>
    <t>First Impressions Baby Girl BOW VELOUR TOP Deep Black 12 months</t>
  </si>
  <si>
    <t>733004287442</t>
  </si>
  <si>
    <t>First Impressions Baby Girl BOW VELOUR TOP Deep Black 3-6 months</t>
  </si>
  <si>
    <t>733004287527</t>
  </si>
  <si>
    <t>First Impressions Baby Girl BOW VELOUR TOP Deep Black 24 months</t>
  </si>
  <si>
    <t>766370861015</t>
  </si>
  <si>
    <t>First Impressions Baby Girls Sleeveless Tie-Dyed Hthr Dune 18 months</t>
  </si>
  <si>
    <t>100150019BG</t>
  </si>
  <si>
    <t>766370860988</t>
  </si>
  <si>
    <t>First Impressions Baby Girls Sleeveless Tie-Dyed Hthr Dune 12 months</t>
  </si>
  <si>
    <t>766370861008</t>
  </si>
  <si>
    <t>First Impressions Baby Girls Sleeveless Tie-Dyed Hthr Dune 6-9 months</t>
  </si>
  <si>
    <t>766370873797</t>
  </si>
  <si>
    <t>First Impressions Baby Boys Palm Tree-Print Shor Skygaze 3-6 months</t>
  </si>
  <si>
    <t>100148759BB</t>
  </si>
  <si>
    <t>766370861053</t>
  </si>
  <si>
    <t>First Impressions Baby Girls Tropical-Print Tuni Deep Black 6-9 months</t>
  </si>
  <si>
    <t>100150020BG</t>
  </si>
  <si>
    <t>766370873803</t>
  </si>
  <si>
    <t>First Impressions Baby Boys Palm Tree-Print Shor Skygaze 6-9 months</t>
  </si>
  <si>
    <t>733001582618</t>
  </si>
  <si>
    <t>First Impressions VELOUR LEGGING Ever Red 24 months</t>
  </si>
  <si>
    <t>100101896BG</t>
  </si>
  <si>
    <t>733004290640</t>
  </si>
  <si>
    <t>First Impressions Baby Boys Mountain-Print Long- Washed Blue 6-9 months</t>
  </si>
  <si>
    <t>100130704BB</t>
  </si>
  <si>
    <t>733001582595</t>
  </si>
  <si>
    <t>First Impressions VELOUR LEGGING Ever Red 6-9 months</t>
  </si>
  <si>
    <t>733003927301</t>
  </si>
  <si>
    <t>First Impressions Baby Boys Handsome Penguin Cot Cherry Red 24 months</t>
  </si>
  <si>
    <t>766390158492</t>
  </si>
  <si>
    <t>First Impressions Toddler Boys Bulldozer T-Shirt Travertine Tile 2T</t>
  </si>
  <si>
    <t>100157204TB</t>
  </si>
  <si>
    <t>766360157968</t>
  </si>
  <si>
    <t>First Impressions Baby Girls Floral Tunic Shirt Sodalite Blue 12 months</t>
  </si>
  <si>
    <t>100141157BG</t>
  </si>
  <si>
    <t>766370875487</t>
  </si>
  <si>
    <t>First Impressions Toddler Boys Turtle T-Shirt Ultra Lime 4T</t>
  </si>
  <si>
    <t>100148744TB</t>
  </si>
  <si>
    <t>766370863453</t>
  </si>
  <si>
    <t>First Impressions Baby Girls Eyelet Shorts Island Orange 3-6 months</t>
  </si>
  <si>
    <t>766370863446</t>
  </si>
  <si>
    <t>First Impressions Baby Girls Eyelet Shorts Island Orange 12 months</t>
  </si>
  <si>
    <t>762120496711</t>
  </si>
  <si>
    <t>First Impressions Baby Girls Twirl-Dye Leggings Bright White 18 months</t>
  </si>
  <si>
    <t>100141118BG</t>
  </si>
  <si>
    <t>766360134341</t>
  </si>
  <si>
    <t>First Impressions Baby Girls Cotton Chambray Ruf Dark Blue 6-9 months</t>
  </si>
  <si>
    <t>766370863460</t>
  </si>
  <si>
    <t>First Impressions Baby Girls Eyelet Shorts Island Orange 6-9 months</t>
  </si>
  <si>
    <t>766370860865</t>
  </si>
  <si>
    <t>First Impressions Baby Girls Summer Vibes Tank Violet Tulle 18 months</t>
  </si>
  <si>
    <t>100150017BG</t>
  </si>
  <si>
    <t>766370863972</t>
  </si>
  <si>
    <t>First Impressions Baby Girls Shell-Print Bike Sh Violet Tulle 18 months</t>
  </si>
  <si>
    <t>766370862654</t>
  </si>
  <si>
    <t>First Impressions Baby Girls Tropical Smudge T-S Playful Pink 3-6 months</t>
  </si>
  <si>
    <t>100150078BG</t>
  </si>
  <si>
    <t>766370862661</t>
  </si>
  <si>
    <t>First Impressions Baby Girls Tropical Smudge T-S Playful Pink 6-9 months</t>
  </si>
  <si>
    <t>766380214252</t>
  </si>
  <si>
    <t>First Impressions Baby Boys Rad Top Navy Nautical 24 months</t>
  </si>
  <si>
    <t>100148780BB</t>
  </si>
  <si>
    <t>766370869738</t>
  </si>
  <si>
    <t>First Impressions Baby Boys Jeep-Print Shirt Hthr Dune 18 months</t>
  </si>
  <si>
    <t>100148768BB</t>
  </si>
  <si>
    <t>766370869721</t>
  </si>
  <si>
    <t>First Impressions Baby Boys Jeep-Print Shirt Hthr Dune 6-9 months</t>
  </si>
  <si>
    <t>766360151355</t>
  </si>
  <si>
    <t>First Impressions Baby Girl RUFFLE BACK LEGGING Shell Pink 3-6 months</t>
  </si>
  <si>
    <t>100141138BG</t>
  </si>
  <si>
    <t>766360111731</t>
  </si>
  <si>
    <t>Epic Threads Little Girls Basic T-Shirt Spring Daffodil 2T</t>
  </si>
  <si>
    <t>766360111755</t>
  </si>
  <si>
    <t>Epic Threads Little Girls Basic T-Shirt Spring Daffodil 4T</t>
  </si>
  <si>
    <t>766360111748</t>
  </si>
  <si>
    <t>Epic Threads Little Girls Basic T-Shirt Spring Daffodil 3T</t>
  </si>
  <si>
    <t>766360111717</t>
  </si>
  <si>
    <t>Epic Threads Little Girls Basic T-Shirt Spring Daffodil 5</t>
  </si>
  <si>
    <t>766360133948</t>
  </si>
  <si>
    <t>First Impressions Baby Girls Fruit Fun Capri Pan Bright White 6-9 months</t>
  </si>
  <si>
    <t>100141133BG</t>
  </si>
  <si>
    <t>766370864085</t>
  </si>
  <si>
    <t>First Impressions Baby Girls Shells-Print Capri Peppermint Palm 24 months</t>
  </si>
  <si>
    <t>766370864177</t>
  </si>
  <si>
    <t>First Impressions Baby Girls Shells-Print Capri Blue Shells 18 months</t>
  </si>
  <si>
    <t>100150097BG</t>
  </si>
  <si>
    <t>766370864078</t>
  </si>
  <si>
    <t>First Impressions Baby Girls Shells-Print Capri Peppermint Palm 18 months</t>
  </si>
  <si>
    <t>766360132989</t>
  </si>
  <si>
    <t>First Impressions Baby Girls Mommys Sunshine T- Spring Daffodil 3-6 months</t>
  </si>
  <si>
    <t>733004738388</t>
  </si>
  <si>
    <t>First Impressions Baby Girls Penguin Skate Long- Lavendar Pool 18 months</t>
  </si>
  <si>
    <t>100137298BG</t>
  </si>
  <si>
    <t>766380215112</t>
  </si>
  <si>
    <t>First Impressions Baby Boys Doodle Long-Sleeve T Snow Owl Hthr 24 months</t>
  </si>
  <si>
    <t>100148781BB</t>
  </si>
  <si>
    <t>766370863538</t>
  </si>
  <si>
    <t>First Impressions Baby Girls Palm-Print Bike Sho Sweet Berry 24 months</t>
  </si>
  <si>
    <t>766360162351</t>
  </si>
  <si>
    <t>First Impressions Toddler Boys Cotton Sailing T- Blue 2T</t>
  </si>
  <si>
    <t>100141667TB</t>
  </si>
  <si>
    <t>732999790791</t>
  </si>
  <si>
    <t>First Impressions Baby Girls Vacay Cat Cotton To Misty Blue 24 months</t>
  </si>
  <si>
    <t>100092642BG</t>
  </si>
  <si>
    <t>766370864269</t>
  </si>
  <si>
    <t>First Impressions Baby Girls Tropical-Print Shor Deep Black 6-9 months</t>
  </si>
  <si>
    <t>100150137BG</t>
  </si>
  <si>
    <t>766370864283</t>
  </si>
  <si>
    <t>First Impressions Baby Girls Tropical-Print Shor Deep Black 24 months</t>
  </si>
  <si>
    <t>766370873551</t>
  </si>
  <si>
    <t>First Impressions Baby Boys Solid Mesh Shorts Island Orange 12 months</t>
  </si>
  <si>
    <t>100148764BB</t>
  </si>
  <si>
    <t>766370873537</t>
  </si>
  <si>
    <t>First Impressions Baby Boys Solid Mesh Shorts Turq Splash 18 months</t>
  </si>
  <si>
    <t>766370864245</t>
  </si>
  <si>
    <t>First Impressions Baby Girls Tropical-Print Shor Deep Black 12 months</t>
  </si>
  <si>
    <t>766370872820</t>
  </si>
  <si>
    <t>First Impressions Baby Boys Solid Mesh Shorts Lime Boost 12 months</t>
  </si>
  <si>
    <t>766370919365</t>
  </si>
  <si>
    <t>First Impressions Baby Boys Surf Life-Graphic Ta Island Orange 18 months</t>
  </si>
  <si>
    <t>100148751BB</t>
  </si>
  <si>
    <t>766370919396</t>
  </si>
  <si>
    <t>First Impressions Baby Boys Vacation Stripe-Prin Skygaze 3-6 months</t>
  </si>
  <si>
    <t>100148770BB</t>
  </si>
  <si>
    <t>766370919341</t>
  </si>
  <si>
    <t>First Impressions Baby Boys Surf Life-Graphic Ta Island Orange 3-6 months</t>
  </si>
  <si>
    <t>766380211206</t>
  </si>
  <si>
    <t>First Impressions Baby Girls Skater Pup T-Shirt Blush Pink 18 months</t>
  </si>
  <si>
    <t>100151857BG</t>
  </si>
  <si>
    <t>766370869097</t>
  </si>
  <si>
    <t>First Impressions Baby Boys Graphic-Print T-Shir Lime Boost 6-9 months</t>
  </si>
  <si>
    <t>100148747BB</t>
  </si>
  <si>
    <t>766360157722</t>
  </si>
  <si>
    <t>First Impressions Baby Girls Peace Sign Tank Top Ski Patrol 3-6 months</t>
  </si>
  <si>
    <t>100141147BG</t>
  </si>
  <si>
    <t>766370864221</t>
  </si>
  <si>
    <t>First Impressions Baby Girls Solid Capri Legging Ultra Lime 18 months</t>
  </si>
  <si>
    <t>766380210957</t>
  </si>
  <si>
    <t>First Impressions Baby Girls Wild Free Top Hthr Sterling 6-9 months</t>
  </si>
  <si>
    <t>766380210964</t>
  </si>
  <si>
    <t>First Impressions Baby Girls Wild Free Top Hthr Sterling 18 months</t>
  </si>
  <si>
    <t>766360137151</t>
  </si>
  <si>
    <t>First Impressions Baby Boys Dino T-Shirt Stone Wall 24 months</t>
  </si>
  <si>
    <t>100141590BB</t>
  </si>
  <si>
    <t>766360161965</t>
  </si>
  <si>
    <t>First Impressions Baby Boys Long Time No Sea Cot Blue 3-6 months</t>
  </si>
  <si>
    <t>100141667BB</t>
  </si>
  <si>
    <t>766360160586</t>
  </si>
  <si>
    <t>First Impressions Baby Boys Tie Dye T-Shirt Sodalite Blue 18 months</t>
  </si>
  <si>
    <t>100141666BB</t>
  </si>
  <si>
    <t>766370869431</t>
  </si>
  <si>
    <t>First Impressions Baby Boys Graphic-Print T-Shir Bright White 3-6 months</t>
  </si>
  <si>
    <t>766370860957</t>
  </si>
  <si>
    <t>First Impressions Baby Girls Chambray-Knot Tank Island Orange 6-9 months</t>
  </si>
  <si>
    <t>766370860889</t>
  </si>
  <si>
    <t>First Impressions Baby Girls Chambray-Knot Tank Peppermintfrost 12 months</t>
  </si>
  <si>
    <t>766370860926</t>
  </si>
  <si>
    <t>First Impressions Baby Girls Chambray-Knot Tank Peppermintfrost 24 months</t>
  </si>
  <si>
    <t>766370869660</t>
  </si>
  <si>
    <t>First Impressions Baby Boys Summer Graphic T-Shi Blue Shark 3-6 months</t>
  </si>
  <si>
    <t>766370869677</t>
  </si>
  <si>
    <t>First Impressions Baby Boys Summer Graphic T-Shi Blue Shark 6-9 months</t>
  </si>
  <si>
    <t>766370861602</t>
  </si>
  <si>
    <t>First Impressions Baby Girls Beach Babe T-Shirt Hthr Dune 6-9 months</t>
  </si>
  <si>
    <t>766360159962</t>
  </si>
  <si>
    <t>First Impressions Baby Boys Sail-Print T-Shirt Daybreak Blue 24 months</t>
  </si>
  <si>
    <t>766370862425</t>
  </si>
  <si>
    <t>First Impressions Baby Girls Beach Babe T-Shirt Hthr Dune 24 months</t>
  </si>
  <si>
    <t>766360160005</t>
  </si>
  <si>
    <t>First Impressions Baby Boys Long Time No Sea Cot Red 18 months</t>
  </si>
  <si>
    <t>100141668BB</t>
  </si>
  <si>
    <t>766370861596</t>
  </si>
  <si>
    <t>First Impressions Baby Girls Beach Babe T-Shirt Hthr Dune 3-6 months</t>
  </si>
  <si>
    <t>766380211114</t>
  </si>
  <si>
    <t>First Impressions Baby Girls Crayon Heart T-Shir Angel White 18 months</t>
  </si>
  <si>
    <t>100151855BG</t>
  </si>
  <si>
    <t>766370861619</t>
  </si>
  <si>
    <t>First Impressions Baby Girls Beach Babe T-Shirt Hthr Dune 18 months</t>
  </si>
  <si>
    <t>766370869417</t>
  </si>
  <si>
    <t>First Impressions Baby Boys Tropical Smudge Tank Peppermintfrost 24 months</t>
  </si>
  <si>
    <t>100148752BB</t>
  </si>
  <si>
    <t>766360159788</t>
  </si>
  <si>
    <t>First Impressions Baby Boy FLAG TANK Slate Hthr 12 months</t>
  </si>
  <si>
    <t>191539949042</t>
  </si>
  <si>
    <t>Bonnie Baby Baby Girls Short Sleeved Bow F Burgundy 3-6 months</t>
  </si>
  <si>
    <t>W5-10508-PS</t>
  </si>
  <si>
    <t>194170434519</t>
  </si>
  <si>
    <t>Rare Editions Big Girls Thermal Top with Tie Mustard 12 months</t>
  </si>
  <si>
    <t>194170434502</t>
  </si>
  <si>
    <t>Rare Editions Big Girls Thermal Top with Tie Mustard 6-9 months</t>
  </si>
  <si>
    <t>194654552579</t>
  </si>
  <si>
    <t>ATLAS</t>
  </si>
  <si>
    <t>CF21A03H</t>
  </si>
  <si>
    <t>9</t>
  </si>
  <si>
    <t>KIDS SHOES</t>
  </si>
  <si>
    <t>WILLIAM CARTER/VIDA SHOES</t>
  </si>
  <si>
    <t>194654814608</t>
  </si>
  <si>
    <t>DREAMY</t>
  </si>
  <si>
    <t>CS22G08H</t>
  </si>
  <si>
    <t>194654814561</t>
  </si>
  <si>
    <t>194654814516</t>
  </si>
  <si>
    <t>CS22G07H</t>
  </si>
  <si>
    <t>194654820180</t>
  </si>
  <si>
    <t>CURAZO-B</t>
  </si>
  <si>
    <t>CS22G03H</t>
  </si>
  <si>
    <t>194654814615</t>
  </si>
  <si>
    <t>191539882462</t>
  </si>
  <si>
    <t>Bonnie Baby Baby Girls Short Sleeved Mash Pink 18 months</t>
  </si>
  <si>
    <t>R54935-PS</t>
  </si>
  <si>
    <t>194654815346</t>
  </si>
  <si>
    <t>DELRAY-G</t>
  </si>
  <si>
    <t>CS22J05H</t>
  </si>
  <si>
    <t>11</t>
  </si>
  <si>
    <t>194654815292</t>
  </si>
  <si>
    <t>194654815322</t>
  </si>
  <si>
    <t>194654815285</t>
  </si>
  <si>
    <t>194654815353</t>
  </si>
  <si>
    <t>194654816640</t>
  </si>
  <si>
    <t>DUNCAN4</t>
  </si>
  <si>
    <t>CS22K06H</t>
  </si>
  <si>
    <t>194654816657</t>
  </si>
  <si>
    <t>194654817159</t>
  </si>
  <si>
    <t>PALOMA</t>
  </si>
  <si>
    <t>CS22K08H</t>
  </si>
  <si>
    <t>194654816688</t>
  </si>
  <si>
    <t>191539909169</t>
  </si>
  <si>
    <t>Bonnie Baby Baby Girls Sleeveless Tiered M Green 18 months</t>
  </si>
  <si>
    <t>742728756967</t>
  </si>
  <si>
    <t>DRAFT - Nike Toddler Girls Lum Arctic Punch 2T</t>
  </si>
  <si>
    <t>194654815568</t>
  </si>
  <si>
    <t>DENALI2</t>
  </si>
  <si>
    <t>CS22T02H</t>
  </si>
  <si>
    <t>194654815582</t>
  </si>
  <si>
    <t>196027025680</t>
  </si>
  <si>
    <t>MICKEY 2 PC COAT SET</t>
  </si>
  <si>
    <t>MK856ECLZA</t>
  </si>
  <si>
    <t>640013844101</t>
  </si>
  <si>
    <t>DRAFT - Big Boys Arlo Multi St Indigo XLarge</t>
  </si>
  <si>
    <t>UB122947</t>
  </si>
  <si>
    <t>885031306853</t>
  </si>
  <si>
    <t>Polo Ralph Lauren Big Boys Team USA Jogger Pants French Navy S 8</t>
  </si>
  <si>
    <t>664854644843</t>
  </si>
  <si>
    <t>Kinderkind Toddler, Little, and Big Girls Pink 5T</t>
  </si>
  <si>
    <t>GFW19-10022-KK</t>
  </si>
  <si>
    <t>KINDERKIND/JUSH INTERNATIONAL INC</t>
  </si>
  <si>
    <t>882925112767</t>
  </si>
  <si>
    <t>Polo Ralph Lauren Baby Boys Poplin Shirt and Str Medium Blue, White 3 months</t>
  </si>
  <si>
    <t>194931287880</t>
  </si>
  <si>
    <t>Nautica Nautica Toddler Boys Special O White 2T</t>
  </si>
  <si>
    <t>First Impressions Baby Boys Polar Bear Facts Top Harbor Blue 24 months</t>
  </si>
  <si>
    <t>100152462BB</t>
  </si>
  <si>
    <t>766380726427</t>
  </si>
  <si>
    <t>First Impressions Baby Boys Polar Bear Facts Top Harbor Blue 18 months</t>
  </si>
  <si>
    <t>766380726403</t>
  </si>
  <si>
    <t>First Impressions Baby Boys Polar Bear Facts Top Harbor Blue 3-6 months</t>
  </si>
  <si>
    <t>766380726410</t>
  </si>
  <si>
    <t>First Impressions Baby Boys Polar Bear Facts Top Harbor Blue 6-9 months</t>
  </si>
  <si>
    <t>766380726397</t>
  </si>
  <si>
    <t>First Impressions Baby Boys Polar Bear Facts Top Harbor Blue 12 months</t>
  </si>
  <si>
    <t>766370864207</t>
  </si>
  <si>
    <t>First Impressions Baby Girls Solid Capri Legging Ultra Lime 3-6 months</t>
  </si>
  <si>
    <t>100150098BG</t>
  </si>
  <si>
    <t>766370864214</t>
  </si>
  <si>
    <t>First Impressions Baby Girls Solid Capri Legging Ultra Lime 6-9 months</t>
  </si>
  <si>
    <t>766370864191</t>
  </si>
  <si>
    <t>First Impressions Baby Girls Solid Capri Legging Ultra Lime 12 months</t>
  </si>
  <si>
    <t>766360136567</t>
  </si>
  <si>
    <t>First Impressions Baby Boys Balloon T-Shirt Spacious Skies 3-6 months</t>
  </si>
  <si>
    <t>100141593BB</t>
  </si>
  <si>
    <t>766380210995</t>
  </si>
  <si>
    <t>First Impressions Baby Girls Crayon Heart T-Shir Angel White 3-6 months</t>
  </si>
  <si>
    <t>100150141BG</t>
  </si>
  <si>
    <t>766380210940</t>
  </si>
  <si>
    <t>First Impressions Baby Girls Wild Free Top Hthr Sterling 3-6 months</t>
  </si>
  <si>
    <t>100150140BG</t>
  </si>
  <si>
    <t>766370869165</t>
  </si>
  <si>
    <t>First Impressions Baby Boys Summer Graphic T-Shi Heather Hawaii 24 months</t>
  </si>
  <si>
    <t>100148771BB</t>
  </si>
  <si>
    <t>762120496124</t>
  </si>
  <si>
    <t>First Impressions Baby Boy Farm-Print Shirt Light Grey Hthr 3-6 months</t>
  </si>
  <si>
    <t>100141398BB</t>
  </si>
  <si>
    <t>766370861459</t>
  </si>
  <si>
    <t>First Impressions Baby Girls Surfer Girl T-Shirt Bright White 6-9 months</t>
  </si>
  <si>
    <t>100150026BG</t>
  </si>
  <si>
    <t>766370862814</t>
  </si>
  <si>
    <t>First Impressions Baby Girls Pineapple-Graphic T Coral Topaz 6-9 months</t>
  </si>
  <si>
    <t>100150333BG</t>
  </si>
  <si>
    <t>766370861442</t>
  </si>
  <si>
    <t>First Impressions Baby Girls Surfer Girl T-Shirt Bright White 3-6 months</t>
  </si>
  <si>
    <t>766370869189</t>
  </si>
  <si>
    <t>First Impressions Baby Boys Summer Graphic T-Shi Lime Turtle 3-6 months</t>
  </si>
  <si>
    <t>100148744BB</t>
  </si>
  <si>
    <t>766370869202</t>
  </si>
  <si>
    <t>First Impressions Baby Boys Summer Graphic T-Shi Lime Turtle 18 months</t>
  </si>
  <si>
    <t>766370869462</t>
  </si>
  <si>
    <t>First Impressions Baby Boys Graphic-Print T-Shir Bright White 24 months</t>
  </si>
  <si>
    <t>100148767BB</t>
  </si>
  <si>
    <t>766370860094</t>
  </si>
  <si>
    <t>First Impressions Baby Girls Flutter Tunic Hthr Dune 6-9 months</t>
  </si>
  <si>
    <t>100150092BG</t>
  </si>
  <si>
    <t>766370860070</t>
  </si>
  <si>
    <t>First Impressions Baby Girls Flutter Tunic Hthr Dune 12 months</t>
  </si>
  <si>
    <t>766370860100</t>
  </si>
  <si>
    <t>First Impressions Baby Girls Flutter Tunic Hthr Dune 18 months</t>
  </si>
  <si>
    <t>766370860896</t>
  </si>
  <si>
    <t>First Impressions Baby Girls Chambray-Knot Tank Peppermintfrost 3-6 months</t>
  </si>
  <si>
    <t>100150018BG</t>
  </si>
  <si>
    <t>766370860902</t>
  </si>
  <si>
    <t>First Impressions Baby Girls Chambray-Knot Tank Peppermintfrost 6-9 months</t>
  </si>
  <si>
    <t>766370860964</t>
  </si>
  <si>
    <t>First Impressions Baby Girls Chambray-Knot Tank Island Orange 18 months</t>
  </si>
  <si>
    <t>766370860940</t>
  </si>
  <si>
    <t>First Impressions Baby Girls Chambray-Knot Tank Island Orange 3-6 months</t>
  </si>
  <si>
    <t>766370869653</t>
  </si>
  <si>
    <t>First Impressions Baby Boys Summer Graphic T-Shi Blue Shark 12 months</t>
  </si>
  <si>
    <t>100148766BB</t>
  </si>
  <si>
    <t>766370861589</t>
  </si>
  <si>
    <t>First Impressions Baby Girls Beach Babe T-Shirt Hthr Dune 12 months</t>
  </si>
  <si>
    <t>100150075BG</t>
  </si>
  <si>
    <t>766360159948</t>
  </si>
  <si>
    <t>First Impressions Baby Boys Sail-Print T-Shirt Daybreak Blue 6-9 months</t>
  </si>
  <si>
    <t>100141665BB</t>
  </si>
  <si>
    <t>762120496070</t>
  </si>
  <si>
    <t>First Impressions Baby Boys Golf-Graphic Shirt Bright White 3-6 months</t>
  </si>
  <si>
    <t>100141394BB</t>
  </si>
  <si>
    <t>766360159870</t>
  </si>
  <si>
    <t>First Impressions Baby Boys Sail-Print T-Shirt Daybreak Blue 12 months</t>
  </si>
  <si>
    <t>46094700433</t>
  </si>
  <si>
    <t>Maidenform Lace-Trim Underwear, Little Pink Hue L 1012</t>
  </si>
  <si>
    <t>M4372</t>
  </si>
  <si>
    <t>46094700457</t>
  </si>
  <si>
    <t>Maidenform Lace-Trim Underwear, Little Pink Hue S 66X</t>
  </si>
  <si>
    <t>46094700464</t>
  </si>
  <si>
    <t>Maidenform Lace-Trim Underwear, Little Pink Hue XL 1416</t>
  </si>
  <si>
    <t>46094700440</t>
  </si>
  <si>
    <t>Maidenform Lace-Trim Underwear, Little Pink Hue M 78</t>
  </si>
  <si>
    <t>766360159856</t>
  </si>
  <si>
    <t>First Impressions Baby Boy FLAG TANK Slate Hthr 18 months</t>
  </si>
  <si>
    <t>100084141BB</t>
  </si>
  <si>
    <t>191539937360</t>
  </si>
  <si>
    <t>Bonnie Baby Baby Girls Short Sleeved Metal Rose 18 months</t>
  </si>
  <si>
    <t>B5-10396-PS</t>
  </si>
  <si>
    <t>191539919809</t>
  </si>
  <si>
    <t>Bonnie Baby Baby Girls Sleeveless Pinafore Blue 18 months</t>
  </si>
  <si>
    <t>B5-10157-PV</t>
  </si>
  <si>
    <t>191539882424</t>
  </si>
  <si>
    <t>Bonnie Baby Baby Girls Three Quarter Bell Chambray 3-6 months</t>
  </si>
  <si>
    <t>R55022-PT</t>
  </si>
  <si>
    <t>191539882431</t>
  </si>
  <si>
    <t>Bonnie Baby Baby Girls Three Quarter Bell Chambray 6-9 months</t>
  </si>
  <si>
    <t>191539882400</t>
  </si>
  <si>
    <t>Bonnie Baby Baby Girls Three Quarter Bell Chambray 18 months</t>
  </si>
  <si>
    <t>191539909176</t>
  </si>
  <si>
    <t>Bonnie Baby Baby Girls Sleeveless Tiered M Green 24 months</t>
  </si>
  <si>
    <t>S5-10108-PV</t>
  </si>
  <si>
    <t>191539909152</t>
  </si>
  <si>
    <t>Bonnie Baby Baby Girls Sleeveless Tiered M Green 12 months</t>
  </si>
  <si>
    <t>191539909190</t>
  </si>
  <si>
    <t>Bonnie Baby Baby Girls Sleeveless Tiered M Green 6-9 months</t>
  </si>
  <si>
    <t>191539909183</t>
  </si>
  <si>
    <t>Bonnie Baby Baby Girls Sleeveless Tiered M Green 3-6 months</t>
  </si>
  <si>
    <t>195883508764</t>
  </si>
  <si>
    <t>SPIDER-MAN REPEAT</t>
  </si>
  <si>
    <t>2BMVL1979</t>
  </si>
  <si>
    <t>196325103028</t>
  </si>
  <si>
    <t>PRINCESS SQUAD 2PC SET</t>
  </si>
  <si>
    <t>T000033GD13414</t>
  </si>
  <si>
    <t>492030649210</t>
  </si>
  <si>
    <t>FIRST IMPRESSIONS MISMATE</t>
  </si>
  <si>
    <t>FIRSTIMPRESS MISMATE</t>
  </si>
  <si>
    <t>NO COLOR</t>
  </si>
  <si>
    <t>NO SIZE</t>
  </si>
  <si>
    <t>492030649234</t>
  </si>
  <si>
    <t>KIDS FURNISH MISMATE</t>
  </si>
  <si>
    <t>WUNDIES</t>
  </si>
  <si>
    <t>492030649227</t>
  </si>
  <si>
    <t>CARTER MISMATE</t>
  </si>
  <si>
    <t>TOTAL ORIGINAL COST</t>
  </si>
  <si>
    <t>194931283493</t>
  </si>
  <si>
    <t>Calvin Klein Big Boys Stretch Plain Weave J Light Gray 12</t>
  </si>
  <si>
    <t>CTSFD06F-030</t>
  </si>
  <si>
    <t>CALVIN KLEIN/F &amp; T APPAREL LLC</t>
  </si>
  <si>
    <t>194931283547</t>
  </si>
  <si>
    <t>Calvin Klein Big Boys Stretch Plain Weave J Light Gray 8</t>
  </si>
  <si>
    <t>882925872937</t>
  </si>
  <si>
    <t>Polo Ralph Lauren Big Girls Madras Wrap Skirt Pink, Navy Multi 12</t>
  </si>
  <si>
    <t>882925731395</t>
  </si>
  <si>
    <t>Polo Ralph Lauren Big Girls Striped Jersey Dress Lite Chambray Heather, Andover S</t>
  </si>
  <si>
    <t>882925881731</t>
  </si>
  <si>
    <t>Polo Ralph Lauren Toddler Boys Big Pony Color-Bl Heritage Royal Multi 4T</t>
  </si>
  <si>
    <t>194953490046</t>
  </si>
  <si>
    <t>Nike Nike Sportswear Big Boys 2 Pie Smoke Gray, Light Smoke Gray, Medium</t>
  </si>
  <si>
    <t>882925654557</t>
  </si>
  <si>
    <t>Polo Ralph Lauren Baby Girls Plaid and Floral Do Cream Multi 9 months</t>
  </si>
  <si>
    <t>882925654502</t>
  </si>
  <si>
    <t>Polo Ralph Lauren Baby Girls Plaid and Floral Do Cream Multi 12 months</t>
  </si>
  <si>
    <t>MADE IN INDIA</t>
  </si>
  <si>
    <t>100% COTTON</t>
  </si>
  <si>
    <t>882925871619</t>
  </si>
  <si>
    <t>Polo Ralph Lauren Big Girls Logo Fleece Skirt Heritage Royal M</t>
  </si>
  <si>
    <t>194811814816</t>
  </si>
  <si>
    <t>adidas Big Girls Her Studio London Fl Dark Pink Small</t>
  </si>
  <si>
    <t>GN4220</t>
  </si>
  <si>
    <t>SMALL S/S</t>
  </si>
  <si>
    <t>ADIDAS AMERICA INC</t>
  </si>
  <si>
    <t>194821695849</t>
  </si>
  <si>
    <t>adidas Big Girls Her Studio London Fl Dark Pink Large</t>
  </si>
  <si>
    <t>LARGE S/S</t>
  </si>
  <si>
    <t>194811814793</t>
  </si>
  <si>
    <t>adidas Big Girls Her Studio London Fl Dark Pink Medium</t>
  </si>
  <si>
    <t>MEDIUM S/S</t>
  </si>
  <si>
    <t>883288042227</t>
  </si>
  <si>
    <t>Polo Ralph Lauren Baby Boys Cotton Interlock Top Oatmeal Heather 6 months</t>
  </si>
  <si>
    <t>882925939357</t>
  </si>
  <si>
    <t>Polo Ralph Lauren Baby Boys Striped Velour Cover Red 3 months</t>
  </si>
  <si>
    <t>194277677215</t>
  </si>
  <si>
    <t>Nike Nike Big Boys Training Pants BlackBlack S 810</t>
  </si>
  <si>
    <t>CU9082</t>
  </si>
  <si>
    <t>882925239778</t>
  </si>
  <si>
    <t>Polo Ralph Lauren Baby Girls Striped Oxford Bubb Harbor Island Bluewhite Newborn</t>
  </si>
  <si>
    <t>MADE IN CHINA</t>
  </si>
  <si>
    <t>882925088178</t>
  </si>
  <si>
    <t>Polo Ralph Lauren Baby Girls Striped Jersey T-sh Empire Yellow, Deckwash White 6 months</t>
  </si>
  <si>
    <t>882925878304</t>
  </si>
  <si>
    <t>Polo Ralph Lauren Baby Boys Big Pony Mesh Shorta White Multi 6 months</t>
  </si>
  <si>
    <t>190618775671</t>
  </si>
  <si>
    <t>Polo Ralph Lauren Baby Boys Big Polo Bear Jersey Andover Heather Newborn</t>
  </si>
  <si>
    <t>742728723532</t>
  </si>
  <si>
    <t>Nike Nike Little Boys Tracksuit, 2 Black 4</t>
  </si>
  <si>
    <t>86I122G</t>
  </si>
  <si>
    <t>194170421465</t>
  </si>
  <si>
    <t>Rare Editions Baby Girls Sleeveless Basket W Taupe 3-6 months</t>
  </si>
  <si>
    <t>F895752</t>
  </si>
  <si>
    <t>MED BEIGE</t>
  </si>
  <si>
    <t>194170370619</t>
  </si>
  <si>
    <t>Rare Editions Big Girls Skirt with Gauze Kno Blue 12</t>
  </si>
  <si>
    <t>E491692</t>
  </si>
  <si>
    <t>882925886989</t>
  </si>
  <si>
    <t>Polo Ralph Lauren Little Boys Camo Jersey T-shir Southern Orange Montauk Camo 6</t>
  </si>
  <si>
    <t>617847616617</t>
  </si>
  <si>
    <t>Levis 511 Husky Boys Slim-Fit Jeans Black Denim 16</t>
  </si>
  <si>
    <t>91H511F</t>
  </si>
  <si>
    <t>16 HUSKY</t>
  </si>
  <si>
    <t>194170304614</t>
  </si>
  <si>
    <t>Rare Editions Baby Girls Striped Organza Dre Red 12 months</t>
  </si>
  <si>
    <t>H830451</t>
  </si>
  <si>
    <t>194811841713</t>
  </si>
  <si>
    <t>adidas Big Girls All Over Print Short Light Pink Medium</t>
  </si>
  <si>
    <t>GN2242</t>
  </si>
  <si>
    <t>652874330402</t>
  </si>
  <si>
    <t>Speechless Speechless Big Girls Floral Ma Sage Pink Large</t>
  </si>
  <si>
    <t>Q3750D99JD70</t>
  </si>
  <si>
    <t>191539899262</t>
  </si>
  <si>
    <t>Bonnie Jean Big Girls Striped Dress with O Chambray 8</t>
  </si>
  <si>
    <t>S4-10068-DV</t>
  </si>
  <si>
    <t>GERSON &amp; GERSON</t>
  </si>
  <si>
    <t>194170434601</t>
  </si>
  <si>
    <t>Rare Editions Baby Girls Thermal Top with Pr Mauve 18 months</t>
  </si>
  <si>
    <t>F896012</t>
  </si>
  <si>
    <t>194170434526</t>
  </si>
  <si>
    <t>Rare Editions Big Girls Thermal Top with Tie Mustard 18 months</t>
  </si>
  <si>
    <t>F896002</t>
  </si>
  <si>
    <t>194170434618</t>
  </si>
  <si>
    <t>Rare Editions Baby Girls Thermal Top with Pr Mauve 24 months</t>
  </si>
  <si>
    <t>194870759493</t>
  </si>
  <si>
    <t>adidas Little Boys Printed Top and Sh Semi Solar Yellow 4</t>
  </si>
  <si>
    <t>AG6361C</t>
  </si>
  <si>
    <t>882925088871</t>
  </si>
  <si>
    <t>Polo Ralph Lauren Baby Boys Polo Bear Jersey T-s Deckwash White 24 months</t>
  </si>
  <si>
    <t>882925088895</t>
  </si>
  <si>
    <t>Polo Ralph Lauren Baby Boys Polo Bear Jersey T-s Deckwash White 6 months</t>
  </si>
  <si>
    <t>190618766617</t>
  </si>
  <si>
    <t>Polo Ralph Lauren Baby Boys Polo Bear T-shirt Andover Heather 24 months</t>
  </si>
  <si>
    <t>825663286574</t>
  </si>
  <si>
    <t>Nike Nike Toddler Boys Icon Muscle Midnight Navy 4T</t>
  </si>
  <si>
    <t>76J553G</t>
  </si>
  <si>
    <t>194753746633</t>
  </si>
  <si>
    <t>Tommy Hilfiger Tommy Hilfiger Big Girls Ruffl Dark Blue S 7</t>
  </si>
  <si>
    <t>TGSEH06S-405</t>
  </si>
  <si>
    <t>807421761097</t>
  </si>
  <si>
    <t>Nike Nike Toddler Girls Boxy T-shir Black 2T</t>
  </si>
  <si>
    <t>26J360G</t>
  </si>
  <si>
    <t>807421526436</t>
  </si>
  <si>
    <t>Nike Nike Toddler Boys Dri-FIT Drop Game Royal 3T</t>
  </si>
  <si>
    <t>76J196G</t>
  </si>
  <si>
    <t>191539882417</t>
  </si>
  <si>
    <t>Bonnie Baby Baby Girls Three Quarter Bell Chambray 24 months</t>
  </si>
  <si>
    <t>191539903129</t>
  </si>
  <si>
    <t>Bonnie Jean Big Girls Sleeveless Twist Fro Chambray 16</t>
  </si>
  <si>
    <t>S4-10060-SV</t>
  </si>
  <si>
    <t>194170501709</t>
  </si>
  <si>
    <t>Rare Editions Baby Girls Check Printed Woven Black 18M</t>
  </si>
  <si>
    <t>F813082</t>
  </si>
  <si>
    <t>633716934811</t>
  </si>
  <si>
    <t>Jordan Jordan Big Boys Jumpman Dri-FI Carbon Heather XL 1820</t>
  </si>
  <si>
    <t>956129G</t>
  </si>
  <si>
    <t>745644765808</t>
  </si>
  <si>
    <t>Focus Kids Baby Boys 2-Pc. Night Sky Shor Blue 24 months</t>
  </si>
  <si>
    <t>MLJ01729I</t>
  </si>
  <si>
    <t>195958660557</t>
  </si>
  <si>
    <t>Tommy Hilfiger Big Boys Retro Denim Shorts Portola M 1214</t>
  </si>
  <si>
    <t>TBSFC39F-486</t>
  </si>
  <si>
    <t>195958660564</t>
  </si>
  <si>
    <t>Tommy Hilfiger Big Boys Retro Denim Shorts Portola S 810</t>
  </si>
  <si>
    <t>766390156047</t>
  </si>
  <si>
    <t>First Impressions Baby Girls Hooded Faux-Fur Cap Cherry Red 6-9 months</t>
  </si>
  <si>
    <t>100159323BG</t>
  </si>
  <si>
    <t>196601070891</t>
  </si>
  <si>
    <t>Tommy Hilfiger Tommy Hilfiger Baby Boys Flag Gray 12 months</t>
  </si>
  <si>
    <t>TBFFN41C-999</t>
  </si>
  <si>
    <t>195861101864</t>
  </si>
  <si>
    <t>Carters Little Strawberry Halloween Co Pink 6-9 months</t>
  </si>
  <si>
    <t>1N722410</t>
  </si>
  <si>
    <t>825663284631</t>
  </si>
  <si>
    <t>Nike Nike Baby Boys Sportswear Musc University Red 12 months</t>
  </si>
  <si>
    <t>66J528G</t>
  </si>
  <si>
    <t>194870574683</t>
  </si>
  <si>
    <t>adidas Big Girls Glam Graphic Tights Black with Silver-Tone L 1416</t>
  </si>
  <si>
    <t>AK4783</t>
  </si>
  <si>
    <t>195958626706</t>
  </si>
  <si>
    <t>Tommy Hilfiger Tommy Hilfiger Little Girls Fl Gray 4</t>
  </si>
  <si>
    <t>61M22020-99</t>
  </si>
  <si>
    <t>677838236453</t>
  </si>
  <si>
    <t>Jordan Jordan Baby Boys Sleeveless DN University Blue 24 months</t>
  </si>
  <si>
    <t>656169G</t>
  </si>
  <si>
    <t>195958626171</t>
  </si>
  <si>
    <t>Tommy Hilfiger Tommy Hilfiger Little Girls Fl Pink 5</t>
  </si>
  <si>
    <t>61M22019-99</t>
  </si>
  <si>
    <t>195958396692</t>
  </si>
  <si>
    <t>Tommy Hilfiger Tommy Hilfiger Toddler Girls R Pink 4T</t>
  </si>
  <si>
    <t>61M12025-99</t>
  </si>
  <si>
    <t>195958461536</t>
  </si>
  <si>
    <t>Calvin Klein Little Girls Plaid Muslin Tuni Green 6X</t>
  </si>
  <si>
    <t>195958626720</t>
  </si>
  <si>
    <t>Tommy Hilfiger Tommy Hilfiger Little Girls Fl Gray 6</t>
  </si>
  <si>
    <t>195958659414</t>
  </si>
  <si>
    <t>Tommy Hilfiger Big Boys Knit Waist Band Pull- Nebulas Blue M 1214</t>
  </si>
  <si>
    <t>TBSFC02F-451</t>
  </si>
  <si>
    <t>742728116242</t>
  </si>
  <si>
    <t>Nike Nike Toddler Boys Elite Dri-FI Game Royal 4T</t>
  </si>
  <si>
    <t>86H351G</t>
  </si>
  <si>
    <t>807421546267</t>
  </si>
  <si>
    <t>Nike Nike Little Boys Read Shorts Midnight Navy 7</t>
  </si>
  <si>
    <t>733004951220</t>
  </si>
  <si>
    <t>First Impressions Baby Boys 3-Pc. Critters Hat, Bright White 6-9 months</t>
  </si>
  <si>
    <t>194870722824</t>
  </si>
  <si>
    <t>adidas Big Girls Elastic Waistband Om Crew Blue XL 1820</t>
  </si>
  <si>
    <t>AH4342</t>
  </si>
  <si>
    <t>194870722817</t>
  </si>
  <si>
    <t>adidas Big Girls Elastic Waistband Om Crew Blue L 1416</t>
  </si>
  <si>
    <t>195251354405</t>
  </si>
  <si>
    <t>Under Armour Under Armour Big Boys Tech Log Royal Small</t>
  </si>
  <si>
    <t>UNDER ARMOUR</t>
  </si>
  <si>
    <t>194135945944</t>
  </si>
  <si>
    <t>Carters Big Girls 4-Piece Snug Fit T-s Yellow 8</t>
  </si>
  <si>
    <t>3M977510</t>
  </si>
  <si>
    <t>194257619310</t>
  </si>
  <si>
    <t>Champion Champion Toddler Girls Printed Ice Cake, Collage Blue, White 2T</t>
  </si>
  <si>
    <t>CHL359</t>
  </si>
  <si>
    <t>194257611093</t>
  </si>
  <si>
    <t>Champion Little Boys Colorblock Sherpa Natural, Cargo Olive 6</t>
  </si>
  <si>
    <t>CHY392</t>
  </si>
  <si>
    <t>195958650381</t>
  </si>
  <si>
    <t>Tommy Hilfiger Tommy Hilfiger Baby Boys Knit Red 12 months</t>
  </si>
  <si>
    <t>825663226518</t>
  </si>
  <si>
    <t>Nike Nike Baby Girl Americana T-shi Hyper Royal 24 months</t>
  </si>
  <si>
    <t>16J617G</t>
  </si>
  <si>
    <t>195958654143</t>
  </si>
  <si>
    <t>Tommy Hilfiger Toddler Boys Retro Denim Short Portola 2T</t>
  </si>
  <si>
    <t>TBSFC39J-486</t>
  </si>
  <si>
    <t>195958654198</t>
  </si>
  <si>
    <t>Tommy Hilfiger Little Boys Retro Denim Shorts Portola 7</t>
  </si>
  <si>
    <t>195958654167</t>
  </si>
  <si>
    <t>Tommy Hilfiger Little Boys Retro Denim Shorts Portola 4</t>
  </si>
  <si>
    <t>807421903138</t>
  </si>
  <si>
    <t>Levis Levis Midi Shorts Low Pro 6</t>
  </si>
  <si>
    <t>31E372F</t>
  </si>
  <si>
    <t>LEVI'S/HADDAD APPAREL-LITTLE</t>
  </si>
  <si>
    <t>766360680022</t>
  </si>
  <si>
    <t>Epic Threads Big Girls Tie Dye Shortall Tie Dye 16</t>
  </si>
  <si>
    <t>100145594GR</t>
  </si>
  <si>
    <t>196027183151</t>
  </si>
  <si>
    <t>Tommy Hilfiger Big Boys Two Piece Set Assorted S</t>
  </si>
  <si>
    <t>5D067BSSZA</t>
  </si>
  <si>
    <t>TOMMY HILFIGER/AMERICAN MARKET BOYS</t>
  </si>
  <si>
    <t>766370879171</t>
  </si>
  <si>
    <t>First Impressions Baby Girls 2-Pc. Tie Dye Set Pink Fancy 24 months</t>
  </si>
  <si>
    <t>100146487BG</t>
  </si>
  <si>
    <t>194748159479</t>
  </si>
  <si>
    <t>Dreamwave Toddler Baby Shark Swimsuit, 2 Multi 3T</t>
  </si>
  <si>
    <t>2250315RK</t>
  </si>
  <si>
    <t>BOYS/DREAM WAVE LLC</t>
  </si>
  <si>
    <t>652874408453</t>
  </si>
  <si>
    <t>Speechless Speechless Big Girls Ditsy Flo Fuchsia, White XLarge</t>
  </si>
  <si>
    <t>S4253D89GC08</t>
  </si>
  <si>
    <t>652874408033</t>
  </si>
  <si>
    <t>Speechless Speechless Big Girls Dot Scoot Mustard, White Large</t>
  </si>
  <si>
    <t>E4743D89GB87</t>
  </si>
  <si>
    <t>742728756998</t>
  </si>
  <si>
    <t>Nike Little Girls Luminous Leggings Arctic Punch 4</t>
  </si>
  <si>
    <t>36I104G</t>
  </si>
  <si>
    <t>194811795573</t>
  </si>
  <si>
    <t>adidas Big Girls All Over Print Tee Light Pink Large</t>
  </si>
  <si>
    <t>GN2238</t>
  </si>
  <si>
    <t>194170412067</t>
  </si>
  <si>
    <t>Rare Editions Toddler Girls Rib Knit Top and Mustard 4T</t>
  </si>
  <si>
    <t>S714582</t>
  </si>
  <si>
    <t>766370777569</t>
  </si>
  <si>
    <t>Epic Threads Epic Threads Big Girls Distres Harlow Wash 12</t>
  </si>
  <si>
    <t>100151632GR</t>
  </si>
  <si>
    <t>766360679736</t>
  </si>
  <si>
    <t>Epic Threads Big Girls Butterfly Denim Shor Glendale Wash 16</t>
  </si>
  <si>
    <t>100145593GR</t>
  </si>
  <si>
    <t>766370777521</t>
  </si>
  <si>
    <t>Epic Threads Epic Threads Big Girls Shortal Angel White 16</t>
  </si>
  <si>
    <t>100151625GR</t>
  </si>
  <si>
    <t>766380222066</t>
  </si>
  <si>
    <t>First Impressions Baby Boys Denim Overalls Authentic Wash 0-3 months</t>
  </si>
  <si>
    <t>100148406BB</t>
  </si>
  <si>
    <t>766380222011</t>
  </si>
  <si>
    <t>First Impressions Baby Boys Denim Overalls Authentic Wash 12 months</t>
  </si>
  <si>
    <t>194170354800</t>
  </si>
  <si>
    <t>Rare Editions Little Girls Pleated Chiffon D Pink 6</t>
  </si>
  <si>
    <t>E791732</t>
  </si>
  <si>
    <t>194870723173</t>
  </si>
  <si>
    <t>adidas Big Girls Elastic Waistband Al Mint Rush L 1416</t>
  </si>
  <si>
    <t>AH4344</t>
  </si>
  <si>
    <t>194870723180</t>
  </si>
  <si>
    <t>adidas Big Girls Elastic Waistband Al Mint Rush XL 1820</t>
  </si>
  <si>
    <t>194257609519</t>
  </si>
  <si>
    <t>Champion Champion Big Boys Neon Vinyl S White M 1012</t>
  </si>
  <si>
    <t>CHB377</t>
  </si>
  <si>
    <t>194257797919</t>
  </si>
  <si>
    <t>Champion Champion Toddler Boys Brush St Bozetto Blue 2T</t>
  </si>
  <si>
    <t>CHY454</t>
  </si>
  <si>
    <t>196027140338</t>
  </si>
  <si>
    <t>Disney Princess Frozen Toddler Girls Pajamas, Assorted 3T</t>
  </si>
  <si>
    <t>F2413TSOMA</t>
  </si>
  <si>
    <t>196027138281</t>
  </si>
  <si>
    <t>Disney Princess Disney Princess Toddler Girls Assorted 4T</t>
  </si>
  <si>
    <t>DP483TSOMA</t>
  </si>
  <si>
    <t>196027140604</t>
  </si>
  <si>
    <t>Spider-Man Spider-Man and Friends Toddler Assorted 3T</t>
  </si>
  <si>
    <t>SF024ESOMA</t>
  </si>
  <si>
    <t>196027140321</t>
  </si>
  <si>
    <t>Disney Princess Frozen Toddler Girls Pajamas, Assorted 2T</t>
  </si>
  <si>
    <t>196027143025</t>
  </si>
  <si>
    <t>AME Toddler Boys 4-Pc. Mandalorian Assorted 2T</t>
  </si>
  <si>
    <t>UT196ESOMA</t>
  </si>
  <si>
    <t>766380275789</t>
  </si>
  <si>
    <t>Epic Threads Epic Threads Big Girls Stripe Coral Topaz L 1214</t>
  </si>
  <si>
    <t>100153259GR</t>
  </si>
  <si>
    <t>766380275796</t>
  </si>
  <si>
    <t>Epic Threads Epic Threads Big Girls Stripe Coral Topaz XL 16</t>
  </si>
  <si>
    <t>766360656690</t>
  </si>
  <si>
    <t>Epic Threads Toddler Girls Top and Skirt, S Golden Haze 3T</t>
  </si>
  <si>
    <t>100145411LG</t>
  </si>
  <si>
    <t>195450201654</t>
  </si>
  <si>
    <t>Laguna Toddler Little Boys 2-Pc. Ra Deep Sky 2T</t>
  </si>
  <si>
    <t>LYX2079</t>
  </si>
  <si>
    <t>M HIDARY &amp; CO INC BOYS</t>
  </si>
  <si>
    <t>194257619846</t>
  </si>
  <si>
    <t>Champion Little Girls Glitter C Script Black 5</t>
  </si>
  <si>
    <t>CHL369</t>
  </si>
  <si>
    <t>766390062096</t>
  </si>
  <si>
    <t>Epic Threads Big Girls Stella Groovy Shorts Cornsilk M</t>
  </si>
  <si>
    <t>100158796GR</t>
  </si>
  <si>
    <t>766390062102</t>
  </si>
  <si>
    <t>Epic Threads Big Girls Stella Groovy Shorts Cornsilk L</t>
  </si>
  <si>
    <t>766390062119</t>
  </si>
  <si>
    <t>Epic Threads Big Girls Stella Groovy Shorts Cornsilk XL</t>
  </si>
  <si>
    <t>194257661999</t>
  </si>
  <si>
    <t>Champion Champion Big Girls French Terr Oxford Heather XL 1820</t>
  </si>
  <si>
    <t>CHG415</t>
  </si>
  <si>
    <t>193579394882</t>
  </si>
  <si>
    <t>Tommy Hilfiger Baby Boys Stretch Twill Pants Golden Khaki 24 months</t>
  </si>
  <si>
    <t>TBACC01C-250</t>
  </si>
  <si>
    <t>BEIGEKHAKI</t>
  </si>
  <si>
    <t>TOMMY SEPARATES/KHQ INVSTMNT BOYS</t>
  </si>
  <si>
    <t>766380208404</t>
  </si>
  <si>
    <t>Epic Threads Epic Threads Little Girls Shor Angel White 6</t>
  </si>
  <si>
    <t>100151625LG</t>
  </si>
  <si>
    <t>195958477131</t>
  </si>
  <si>
    <t>Calvin Klein Calvin Klein Little Boys Logo Lime 5</t>
  </si>
  <si>
    <t>3M52063-99</t>
  </si>
  <si>
    <t>766380723051</t>
  </si>
  <si>
    <t>First Impressions Baby Girls 2-Pc. Tartan Bloome Winter Ivory 6-9 months</t>
  </si>
  <si>
    <t>100153866BG</t>
  </si>
  <si>
    <t>77478825855</t>
  </si>
  <si>
    <t>Polo Ralph Lauren Big Boys Ribbed V-neckline Und Blue XL</t>
  </si>
  <si>
    <t>RKVNP3AMRD</t>
  </si>
  <si>
    <t>POLO/HANESBRANDS UNDERWEAR BOYS</t>
  </si>
  <si>
    <t>77478825541</t>
  </si>
  <si>
    <t>Polo Ralph Lauren Big Boys Ribbed V-neckline Und White S</t>
  </si>
  <si>
    <t>RKVNP3WHD</t>
  </si>
  <si>
    <t>77478826142</t>
  </si>
  <si>
    <t>Polo Ralph Lauren Big Boys 3-Pack Boxer Briefs Red, Black XL</t>
  </si>
  <si>
    <t>RKBBP3U1O</t>
  </si>
  <si>
    <t>195958555198</t>
  </si>
  <si>
    <t>Tommy Hilfiger Tommy Hilfiger Baby Girls Clas Red 24 months</t>
  </si>
  <si>
    <t>TGSFK00P-620</t>
  </si>
  <si>
    <t>TOMMY SEPARATES/KHQ INVSTMNT GIRLS</t>
  </si>
  <si>
    <t>195861091677</t>
  </si>
  <si>
    <t>Carters Toddler Boys 4-Pc. Snug Fit Pi Trucks 5T</t>
  </si>
  <si>
    <t>2N708510</t>
  </si>
  <si>
    <t>195861085041</t>
  </si>
  <si>
    <t>Carters Baby Girls 4-Pc. Snug-Fit Anim Print 18 months</t>
  </si>
  <si>
    <t>194135942059</t>
  </si>
  <si>
    <t>Carters Toddler Girls 4-Piece Strawber Print 3T</t>
  </si>
  <si>
    <t>2M989910</t>
  </si>
  <si>
    <t>194135943773</t>
  </si>
  <si>
    <t>Carters Toddler Boys 4-Piece Snug Fit Print 3T</t>
  </si>
  <si>
    <t>2N000810</t>
  </si>
  <si>
    <t>195237986590</t>
  </si>
  <si>
    <t>Nike Nike Big Girls Trophy Sports B Pink Foam, Light Smoke Gray Medium</t>
  </si>
  <si>
    <t>CU8250</t>
  </si>
  <si>
    <t>194277467144</t>
  </si>
  <si>
    <t>Nike Nike Big Girls Trophy Sports B Black Small</t>
  </si>
  <si>
    <t>195243815075</t>
  </si>
  <si>
    <t>Nike Nike Big Girls Sportswear T-sh White M 1012</t>
  </si>
  <si>
    <t>DM3484</t>
  </si>
  <si>
    <t>766380729015</t>
  </si>
  <si>
    <t>First Impressions Baby Boys Festive Triangles Hthr Sterling 6-9 months</t>
  </si>
  <si>
    <t>733004948985</t>
  </si>
  <si>
    <t>First Impressions Baby Girls 3-Pc. Striped Tanki Bright White 18 months</t>
  </si>
  <si>
    <t>100136062BG</t>
  </si>
  <si>
    <t>733004948978</t>
  </si>
  <si>
    <t>First Impressions Baby Girls 3-Pc. Striped Tanki Bright White 6-9 months</t>
  </si>
  <si>
    <t>766380729008</t>
  </si>
  <si>
    <t>First Impressions Baby Boys Festive Triangles Hthr Sterling 3-6 months</t>
  </si>
  <si>
    <t>79092453308</t>
  </si>
  <si>
    <t>First Impressions xCriss-Cross Ballet Flats, Bab White 2</t>
  </si>
  <si>
    <t>60016FI410</t>
  </si>
  <si>
    <t>193712367278</t>
  </si>
  <si>
    <t>Imperial Star Big Girls Denim Shorts Annali Wash 16</t>
  </si>
  <si>
    <t>IS122D3763</t>
  </si>
  <si>
    <t>16 REG</t>
  </si>
  <si>
    <t>193712367193</t>
  </si>
  <si>
    <t>Imperial Star Big Girls Denim Shortie Faith Wash 12</t>
  </si>
  <si>
    <t>IS122D3184</t>
  </si>
  <si>
    <t>12 REG</t>
  </si>
  <si>
    <t>193712367254</t>
  </si>
  <si>
    <t>Imperial Star Big Girls Denim Shorts Annali Wash 12</t>
  </si>
  <si>
    <t>193712367230</t>
  </si>
  <si>
    <t>Imperial Star Big Girls Denim Shorts Annali Wash 8</t>
  </si>
  <si>
    <t>8 REG</t>
  </si>
  <si>
    <t>745644766218</t>
  </si>
  <si>
    <t>Little Me Baby Boys 2-Pc. Baseball Bodys Blue Multi 3 months</t>
  </si>
  <si>
    <t>LCJ11910N</t>
  </si>
  <si>
    <t>193712367216</t>
  </si>
  <si>
    <t>Imperial Star Big Girls Denim Shortie Faith Wash 16</t>
  </si>
  <si>
    <t>194257661265</t>
  </si>
  <si>
    <t>Champion Champion Big Boys Script Frenc Black XL</t>
  </si>
  <si>
    <t>CHB744</t>
  </si>
  <si>
    <t>195861385684</t>
  </si>
  <si>
    <t>Carters Carters Baby Boys Varsity Lon Red Newborn</t>
  </si>
  <si>
    <t>1N957910</t>
  </si>
  <si>
    <t>196019037905</t>
  </si>
  <si>
    <t>Breaking Waves Big Girls 2-Pc.Tie-Dye Swimsui Open 16</t>
  </si>
  <si>
    <t>196019038087</t>
  </si>
  <si>
    <t>Breaking Waves Big Girls 2-Pc. Wild Child Swi Open 16</t>
  </si>
  <si>
    <t>196019038070</t>
  </si>
  <si>
    <t>Breaking Waves Big Girls 2-Pc. Wild Child Swi Open 14</t>
  </si>
  <si>
    <t>196019038261</t>
  </si>
  <si>
    <t>Breaking Waves Big Girls 2-Pc. Lemon Drops Pink 16</t>
  </si>
  <si>
    <t>MBWI471013</t>
  </si>
  <si>
    <t>196019038247</t>
  </si>
  <si>
    <t>Breaking Waves Big Girls 2-Pc. Lemon Drops Pink 12</t>
  </si>
  <si>
    <t>196019037547</t>
  </si>
  <si>
    <t>Breaking Waves Big Girls Sweet Spirals Swimsu Open 16</t>
  </si>
  <si>
    <t>MBWI470002</t>
  </si>
  <si>
    <t>196019037943</t>
  </si>
  <si>
    <t>Breaking Waves Big Girls 2-Pc. Sweet Spirals Open 12</t>
  </si>
  <si>
    <t>MBWI471003</t>
  </si>
  <si>
    <t>196019037912</t>
  </si>
  <si>
    <t>Breaking Waves Big Girls 2-Pc. Sweet Spirals Open 7</t>
  </si>
  <si>
    <t>196019038056</t>
  </si>
  <si>
    <t>Breaking Waves Big Girls 2-Pc. Wild Child Swi Open 10</t>
  </si>
  <si>
    <t>196019037967</t>
  </si>
  <si>
    <t>Breaking Waves Big Girls 2-Pc. Sweet Spirals Open 16</t>
  </si>
  <si>
    <t>195958376519</t>
  </si>
  <si>
    <t>Kids Headquarters Kids Headquarters Little Girls Purple 5</t>
  </si>
  <si>
    <t>11M22005-99</t>
  </si>
  <si>
    <t>KIDS HEADQUARTERS/GENERIC</t>
  </si>
  <si>
    <t>766370769830</t>
  </si>
  <si>
    <t>Epic Threads Little Girls Tank and Culotte Coral Topaz 6X</t>
  </si>
  <si>
    <t>100153263LG</t>
  </si>
  <si>
    <t>766370769618</t>
  </si>
  <si>
    <t>Epic Threads Little Girls Tank and Culotte Coral Topaz 5</t>
  </si>
  <si>
    <t>194514063061</t>
  </si>
  <si>
    <t>Under Armour Under Armour Big Boys Prototyp Black XLarge</t>
  </si>
  <si>
    <t>840028945613</t>
  </si>
  <si>
    <t>earth by art eden Baby Boys 2-Pc. T-Shirt Shor Butter Cup Bright White 24 months</t>
  </si>
  <si>
    <t>6061BBW</t>
  </si>
  <si>
    <t>195861151340</t>
  </si>
  <si>
    <t>Carters Big Girls 2-Pc. Chambray Tank Assorted 8</t>
  </si>
  <si>
    <t>3N663610</t>
  </si>
  <si>
    <t>7628067436742</t>
  </si>
  <si>
    <t>GUESS GUESS Big Boys Loop Embroidere Gray 8</t>
  </si>
  <si>
    <t>L2GI08KAV10</t>
  </si>
  <si>
    <t>GUESS INC</t>
  </si>
  <si>
    <t>195958480803</t>
  </si>
  <si>
    <t>Calvin Klein Calvin Klein Baby Girls Tie-Dy Multi 0-3 months</t>
  </si>
  <si>
    <t>3M80078-99</t>
  </si>
  <si>
    <t>195958480810</t>
  </si>
  <si>
    <t>Calvin Klein Calvin Klein Baby Girls Tie-Dy Multi 3-6 months</t>
  </si>
  <si>
    <t>195958480827</t>
  </si>
  <si>
    <t>Calvin Klein Calvin Klein Baby Girls Tie-Dy Multi 6-9 months</t>
  </si>
  <si>
    <t>194135872936</t>
  </si>
  <si>
    <t>Carters Carters Baby Boys 5-Pack Tank Multi Newborn</t>
  </si>
  <si>
    <t>1N043110</t>
  </si>
  <si>
    <t>195958493445</t>
  </si>
  <si>
    <t>Kids Headquarters Kids Headquarters Little Boys Navy 6</t>
  </si>
  <si>
    <t>10M52004-99</t>
  </si>
  <si>
    <t>KIDS HEADQUARTERS/KHQ INVESTMENT</t>
  </si>
  <si>
    <t>195958492868</t>
  </si>
  <si>
    <t>Kids Headquarters Kids Headquarters Toddler Boys Blue 3T</t>
  </si>
  <si>
    <t>10M42003-99</t>
  </si>
  <si>
    <t>194870821091</t>
  </si>
  <si>
    <t>adidas Big Girls Sleeveless Muscle Ta Vivid Red M 1012</t>
  </si>
  <si>
    <t>194870748893</t>
  </si>
  <si>
    <t>adidas Big Girls Sleeveless Tie Front White XL 1820</t>
  </si>
  <si>
    <t>AA4975</t>
  </si>
  <si>
    <t>766360142100</t>
  </si>
  <si>
    <t>First Impressions Baby Girls 2-Pk. Bunny Prance Lilac Moon 6-9 months</t>
  </si>
  <si>
    <t>100141548BG</t>
  </si>
  <si>
    <t>766370769984</t>
  </si>
  <si>
    <t>Epic Threads Toddler Girls Tank and Culotte Island Orange 4T</t>
  </si>
  <si>
    <t>47852943604</t>
  </si>
  <si>
    <t>Ralph Lauren Girls Two-Pack Microfiber Tig Navy 7-10</t>
  </si>
  <si>
    <t>G43002GPK</t>
  </si>
  <si>
    <t>POLO RALPH LAUREN-HOT SOX GIRLS</t>
  </si>
  <si>
    <t>MADE IN USA</t>
  </si>
  <si>
    <t>766380727448</t>
  </si>
  <si>
    <t>First Impressions Baby Girls Chloe 2-Pk. Solid Bone Hthr Newborn</t>
  </si>
  <si>
    <t>766380727493</t>
  </si>
  <si>
    <t>First Impressions Baby Girls Boys Smiley Splas Deep Black 3-6 months</t>
  </si>
  <si>
    <t>766380727486</t>
  </si>
  <si>
    <t>First Impressions Baby Girls Boys Smiley Splas Deep Black Newborn</t>
  </si>
  <si>
    <t>9357755880113</t>
  </si>
  <si>
    <t>COTTON ON Baby Girls Molly Long Sleeve D Cloud Marle, Red Orange 0-3 months</t>
  </si>
  <si>
    <t>791897-45</t>
  </si>
  <si>
    <t>COTTON ON USA INC</t>
  </si>
  <si>
    <t>886275299598</t>
  </si>
  <si>
    <t>Capezio Capezio Big Girls High Neck Ta Lavender XL</t>
  </si>
  <si>
    <t>CC201C</t>
  </si>
  <si>
    <t>BALLET MAKERS INC</t>
  </si>
  <si>
    <t>COTTON, SPANDEX</t>
  </si>
  <si>
    <t>733004951749</t>
  </si>
  <si>
    <t>First Impressions Baby Boys or Girls 4-Pack Prin Angel White 6-9 months</t>
  </si>
  <si>
    <t>100136391BB</t>
  </si>
  <si>
    <t>194135321359</t>
  </si>
  <si>
    <t>Carters Baby Boys Bear Three-Piece Lit Blue Newborn</t>
  </si>
  <si>
    <t>194135552227</t>
  </si>
  <si>
    <t>Carters Baby Boys 4-Pk. Multi-Color Lo Brown Multi 9 months</t>
  </si>
  <si>
    <t>194135550971</t>
  </si>
  <si>
    <t>Carters Baby Girls 4-Pk. Printed Cotto PinkTeal 9 months</t>
  </si>
  <si>
    <t>1M092810</t>
  </si>
  <si>
    <t>194135552203</t>
  </si>
  <si>
    <t>Carters Baby Boys 4-Pk. Multi-Color Lo Brown Multi 3 months</t>
  </si>
  <si>
    <t>194257798732</t>
  </si>
  <si>
    <t>Champion Little Boys French Terry Flap Natural 7</t>
  </si>
  <si>
    <t>CHY552</t>
  </si>
  <si>
    <t>194257798725</t>
  </si>
  <si>
    <t>Champion Little Boys French Terry Flap Natural 6</t>
  </si>
  <si>
    <t>766360309824</t>
  </si>
  <si>
    <t>ID Ideology Big Boys Solid Pullover Hoodie Deep Cobal XL</t>
  </si>
  <si>
    <t>100141214BO</t>
  </si>
  <si>
    <t>194135321922</t>
  </si>
  <si>
    <t>Carters Baby Boys Hooded Cardigan Navy Newborn</t>
  </si>
  <si>
    <t>1L776710</t>
  </si>
  <si>
    <t>766360143831</t>
  </si>
  <si>
    <t>First Impressions Baby Boys 4-Pk. Bodysuits Yellow Light 24 months</t>
  </si>
  <si>
    <t>100141494BB</t>
  </si>
  <si>
    <t>766360139117</t>
  </si>
  <si>
    <t>First Impressions Baby Girls 4-Pk. Bodysuits Lilac Moon 18 months</t>
  </si>
  <si>
    <t>100141486BG</t>
  </si>
  <si>
    <t>766360139100</t>
  </si>
  <si>
    <t>First Impressions Baby Girls 4-Pk. Bodysuits Lilac Moon 6-9 months</t>
  </si>
  <si>
    <t>733002398980</t>
  </si>
  <si>
    <t>Epic Threads Big Girls Basic Tee Bundle, Se Multi M 1214</t>
  </si>
  <si>
    <t>100120501GR</t>
  </si>
  <si>
    <t>196027134023</t>
  </si>
  <si>
    <t>Disney Princess Big Girls Disney Princess T-sh Assorted 8</t>
  </si>
  <si>
    <t>DP660GSLMA</t>
  </si>
  <si>
    <t>640013314291</t>
  </si>
  <si>
    <t>Univibe Univibe Big Boys Stone Dale Pe Indigo XL 1820</t>
  </si>
  <si>
    <t>UB1221216</t>
  </si>
  <si>
    <t>196027125762</t>
  </si>
  <si>
    <t>Disney Princess Frozen Big Girls Pajama 2 Piec Assorted 10</t>
  </si>
  <si>
    <t>F2433GSLMA</t>
  </si>
  <si>
    <t>762120691543</t>
  </si>
  <si>
    <t>ID Ideology Big Girls Reversible Bikini Violet Tulle XL 16</t>
  </si>
  <si>
    <t>652874368214</t>
  </si>
  <si>
    <t>Speechless Speechless Big Girls Rib Top w Coral Medium</t>
  </si>
  <si>
    <t>Q3750D01JD98</t>
  </si>
  <si>
    <t>196190007643</t>
  </si>
  <si>
    <t>Gogo Jeans Big Girls Elastic Waistband De Med Lght 16</t>
  </si>
  <si>
    <t>GOGO-60441</t>
  </si>
  <si>
    <t>GOGO JEANS INC</t>
  </si>
  <si>
    <t>652874368290</t>
  </si>
  <si>
    <t>Speechless Speechless Big Girls Rib Top w Periwinkle XLarge</t>
  </si>
  <si>
    <t>807421429287</t>
  </si>
  <si>
    <t>Levis Levis Levis X Clements Twins Potpourri S 7</t>
  </si>
  <si>
    <t>41E316F</t>
  </si>
  <si>
    <t>HADDAD APPAREL GRP/HADDAD CLEMENTS</t>
  </si>
  <si>
    <t>766370878907</t>
  </si>
  <si>
    <t>First Impressions Baby Boys 2-Pc. Scenic-Print S Bright White 24 months</t>
  </si>
  <si>
    <t>100148313BB</t>
  </si>
  <si>
    <t>733003959319</t>
  </si>
  <si>
    <t>Epic Threads Toddler Boys Basic Tee Bundle, GreyNavyRed 4T</t>
  </si>
  <si>
    <t>100138301LB</t>
  </si>
  <si>
    <t>766370879560</t>
  </si>
  <si>
    <t>First Impressions Baby Girls Tiered Ruffle Flora Deep Black 6-9 months</t>
  </si>
  <si>
    <t>766370880283</t>
  </si>
  <si>
    <t>First Impressions Baby Girls Tiered Ruffle Sceni Bright White 12 months</t>
  </si>
  <si>
    <t>100149491BG</t>
  </si>
  <si>
    <t>766370880290</t>
  </si>
  <si>
    <t>First Impressions Baby Girls Tiered Ruffle Sceni Bright White 3-6 months</t>
  </si>
  <si>
    <t>766360444204</t>
  </si>
  <si>
    <t>ID Ideology Big Girls Colorful Trim Bikini Jet Ski L 14</t>
  </si>
  <si>
    <t>762120691642</t>
  </si>
  <si>
    <t>ID Ideology Big Girls Solid Bikini Deep Black XL 16</t>
  </si>
  <si>
    <t>766360443993</t>
  </si>
  <si>
    <t>ID Ideology Big Girls Colorful Trim Bikini Jet Ski S 78</t>
  </si>
  <si>
    <t>733004952081</t>
  </si>
  <si>
    <t>First Impressions Baby Boys 2-Pc. Rash Guard Set Sundrop 3-6 months</t>
  </si>
  <si>
    <t>195958610576</t>
  </si>
  <si>
    <t>Kids Headquarters Kids Headquarters Baby Girls D Royal Blue 12 months</t>
  </si>
  <si>
    <t>11M02023-99</t>
  </si>
  <si>
    <t>GENERIC/KHQ INVESTMENT LLC</t>
  </si>
  <si>
    <t>762120691932</t>
  </si>
  <si>
    <t>ID Ideology Big Girls 2-Pc. Rippling Rose Violet Tulle M 1012</t>
  </si>
  <si>
    <t>100140967GR</t>
  </si>
  <si>
    <t>742728090122</t>
  </si>
  <si>
    <t>Converse Converse Big Girls Shorts White Large</t>
  </si>
  <si>
    <t>807421681586</t>
  </si>
  <si>
    <t>Converse Converse Big Girls Printed Shi Converse Beyond Pink XL</t>
  </si>
  <si>
    <t>4CC303E</t>
  </si>
  <si>
    <t>BRGHT PINK</t>
  </si>
  <si>
    <t>840230437050</t>
  </si>
  <si>
    <t>Sol Swimwear Little Girls 2-Pc. Floral-Prin Navy 2T</t>
  </si>
  <si>
    <t>GS2-596M</t>
  </si>
  <si>
    <t>840230436992</t>
  </si>
  <si>
    <t>Sol Swimwear Little Girls Seashell-Print Sw Open 2T</t>
  </si>
  <si>
    <t>GS2-590M</t>
  </si>
  <si>
    <t>194870778135</t>
  </si>
  <si>
    <t>adidas Big Boys Short Sleeve Two Colo Semi Mint Rush XL 1820</t>
  </si>
  <si>
    <t>AA7356</t>
  </si>
  <si>
    <t>766370908963</t>
  </si>
  <si>
    <t>ID Ideology Big Girls Stripe Wrap Skort Deep Black XL 16</t>
  </si>
  <si>
    <t>100148275GR</t>
  </si>
  <si>
    <t>766370908949</t>
  </si>
  <si>
    <t>ID Ideology Big Girls Stripe Wrap Skort Deep Black M 1012</t>
  </si>
  <si>
    <t>766360145484</t>
  </si>
  <si>
    <t>First Impressions Baby Boys 2-Pk. Bloom Stripe R Stripes Newborn</t>
  </si>
  <si>
    <t>100141545BB</t>
  </si>
  <si>
    <t>696114450444</t>
  </si>
  <si>
    <t>Max Olivia Big Boys T-shirt and Shorts Pa Gray XL 1618</t>
  </si>
  <si>
    <t>57439-MA</t>
  </si>
  <si>
    <t>SLEEP ON IT/CLOUD NINE CLTHNG BOYS</t>
  </si>
  <si>
    <t>194135942561</t>
  </si>
  <si>
    <t>Carters Toddler Girls Nightgown, Pack Purple Multi 4T</t>
  </si>
  <si>
    <t>2N049010</t>
  </si>
  <si>
    <t>194257660510</t>
  </si>
  <si>
    <t>Champion Big Girls French Terry Shorts Capri Orange L 1416</t>
  </si>
  <si>
    <t>CHG517</t>
  </si>
  <si>
    <t>194257660534</t>
  </si>
  <si>
    <t>Champion Big Girls French Terry Shorts Capri Orange S 8</t>
  </si>
  <si>
    <t>194257660541</t>
  </si>
  <si>
    <t>Champion Big Girls French Terry Shorts Capri Orange XL 1820</t>
  </si>
  <si>
    <t>194257660527</t>
  </si>
  <si>
    <t>Champion Big Girls French Terry Shorts Capri Orange M 1012</t>
  </si>
  <si>
    <t>195958485839</t>
  </si>
  <si>
    <t>Kids Headquarters Kids Headquarters Toddler Boys Gray 2T</t>
  </si>
  <si>
    <t>10M42013-99</t>
  </si>
  <si>
    <t>195958486201</t>
  </si>
  <si>
    <t>Kids Headquarters Kids Headquarters Little Boys Black 6</t>
  </si>
  <si>
    <t>10M52020-99</t>
  </si>
  <si>
    <t>195958485860</t>
  </si>
  <si>
    <t>Kids Headquarters Kids Headquarters Toddler Boys Green 2T</t>
  </si>
  <si>
    <t>10M42014-99</t>
  </si>
  <si>
    <t>766360157494</t>
  </si>
  <si>
    <t>First Impressions Baby Boys 2Pc. Shark-Print Swi Sodalite Blue 3-6 months</t>
  </si>
  <si>
    <t>194870744468</t>
  </si>
  <si>
    <t>adidas Little Boys AEROREADY Bos Toss Medium Gray Heather 7</t>
  </si>
  <si>
    <t>AA7409</t>
  </si>
  <si>
    <t>194870738221</t>
  </si>
  <si>
    <t>adidas Little Boys Short Sleeve Glitc White with Blue 4</t>
  </si>
  <si>
    <t>AA7376</t>
  </si>
  <si>
    <t>733004764318</t>
  </si>
  <si>
    <t>ID Ideology Big Girls Fleece Hoodie Rose Shadow L 14</t>
  </si>
  <si>
    <t>100135442GR</t>
  </si>
  <si>
    <t>193666517774</t>
  </si>
  <si>
    <t>Maidenform Little Big Girls 2-Pack Seam Black Heather Gray S 68</t>
  </si>
  <si>
    <t>193666517767</t>
  </si>
  <si>
    <t>Maidenform Little Big Girls 2-Pack Seam Black Heather Gray M 78</t>
  </si>
  <si>
    <t>696114426876</t>
  </si>
  <si>
    <t>Sleep On It Little Boys Tight Fit Pajama S Multi 6</t>
  </si>
  <si>
    <t>75989-MA</t>
  </si>
  <si>
    <t>733002930548</t>
  </si>
  <si>
    <t>Epic Threads Big Girls Short Sleeve Pocket Gray M 1214</t>
  </si>
  <si>
    <t>100124529GR</t>
  </si>
  <si>
    <t>195958842229</t>
  </si>
  <si>
    <t>Tommy Hilfiger Tommy Hilfiger Big Girls Ombre Navy Blazer L 1214</t>
  </si>
  <si>
    <t>12-14(LRG)</t>
  </si>
  <si>
    <t>825663256881</t>
  </si>
  <si>
    <t>Nike Nike Little Girls Freeze Tag T Black 6X</t>
  </si>
  <si>
    <t>36J618G</t>
  </si>
  <si>
    <t>840230436572</t>
  </si>
  <si>
    <t>Sol Swimwear Little Girls 2-Pc. Rainbow Ver Open 2T</t>
  </si>
  <si>
    <t>GS2-704M</t>
  </si>
  <si>
    <t>825663318770</t>
  </si>
  <si>
    <t>Jordan Jordan Little Boys Jumpman X N Gym Red 5</t>
  </si>
  <si>
    <t>85B475G</t>
  </si>
  <si>
    <t>195861089698</t>
  </si>
  <si>
    <t>Carters Carters Baby Girls 2-Piece T- Purple 24 months</t>
  </si>
  <si>
    <t>1N586010</t>
  </si>
  <si>
    <t>733004949036</t>
  </si>
  <si>
    <t>First Impressions Baby Girls 2-Pc. Metallic Ice Strawberry Pink 18 months</t>
  </si>
  <si>
    <t>195861368687</t>
  </si>
  <si>
    <t>Carters Carters Baby Girls and Boys T Heather 18 months</t>
  </si>
  <si>
    <t>1N989510</t>
  </si>
  <si>
    <t>195861096450</t>
  </si>
  <si>
    <t>Carters Carters Baby Girls 4th of Jul Red 6 months</t>
  </si>
  <si>
    <t>1N654910</t>
  </si>
  <si>
    <t>194135321434</t>
  </si>
  <si>
    <t>Carters Baby Boys 2-Piece Jumpsuit B Navy 9 months</t>
  </si>
  <si>
    <t>762120692083</t>
  </si>
  <si>
    <t>ID Ideology Big Girls Marble-Print Swimsui Pistachio Grn M 1012</t>
  </si>
  <si>
    <t>100140970GR</t>
  </si>
  <si>
    <t>194135323315</t>
  </si>
  <si>
    <t>Carters Baby Boys Dinosaur Fuzzy Plush Blue ONE SIZE</t>
  </si>
  <si>
    <t>9L767710</t>
  </si>
  <si>
    <t>OSFA</t>
  </si>
  <si>
    <t>766360311780</t>
  </si>
  <si>
    <t>ID Ideology Big Boys Solid Sweatpants Deep Cobal XL</t>
  </si>
  <si>
    <t>100141215BO</t>
  </si>
  <si>
    <t>766360311704</t>
  </si>
  <si>
    <t>ID Ideology Big Boys Solid Sweatpants Deep Cobal S</t>
  </si>
  <si>
    <t>766360311742</t>
  </si>
  <si>
    <t>ID Ideology Big Boys Solid Sweatpants Deep Cobal L</t>
  </si>
  <si>
    <t>766360436032</t>
  </si>
  <si>
    <t>ID Ideology Big Girls Hooded Mesh Shirt Jet Ski XL 16</t>
  </si>
  <si>
    <t>766360436025</t>
  </si>
  <si>
    <t>ID Ideology Big Girls Hooded Mesh Shirt Jet Ski L 14</t>
  </si>
  <si>
    <t>807421240622</t>
  </si>
  <si>
    <t>Nike Nike Little Boys Ice Cream Gra Black 6</t>
  </si>
  <si>
    <t>195861318514</t>
  </si>
  <si>
    <t>Carters Carters Baby Girls French Ter White 6 months</t>
  </si>
  <si>
    <t>1O441510</t>
  </si>
  <si>
    <t>194257662170</t>
  </si>
  <si>
    <t>Champion Little Girls Tie Dye Script Le Black 5</t>
  </si>
  <si>
    <t>CHL752</t>
  </si>
  <si>
    <t>194135879249</t>
  </si>
  <si>
    <t>Carters Toddler Boys Roar Pullover Hoo Navy 2T</t>
  </si>
  <si>
    <t>2M991010</t>
  </si>
  <si>
    <t>195861128908</t>
  </si>
  <si>
    <t>Carters Toddler Boys Flat-Front Shorts Blue 3T</t>
  </si>
  <si>
    <t>2N609510</t>
  </si>
  <si>
    <t>696114452295</t>
  </si>
  <si>
    <t>Max Olivia Baby Boys All Over Printed Paj Blue 18 months</t>
  </si>
  <si>
    <t>76673-MA</t>
  </si>
  <si>
    <t>MAX AND OLIVIA/CLOUD NINE CLOTHING</t>
  </si>
  <si>
    <t>195450212643</t>
  </si>
  <si>
    <t>Laguna Big Boys Tripped Out Swim Trun Royal S 8</t>
  </si>
  <si>
    <t>LBS2083</t>
  </si>
  <si>
    <t>195450190187</t>
  </si>
  <si>
    <t>Laguna Big Boys Stripe-Print Swim Sho Sky Bluea L 1416</t>
  </si>
  <si>
    <t>LBS2093</t>
  </si>
  <si>
    <t>194135316683</t>
  </si>
  <si>
    <t>Carters Baby 3-Pc. Cotton Animal Frien Green 18 months</t>
  </si>
  <si>
    <t>1L763610</t>
  </si>
  <si>
    <t>194133505287</t>
  </si>
  <si>
    <t>Carters Baby Boys 2-Pc. Fox Sweater Navy Newborn</t>
  </si>
  <si>
    <t>1J250710</t>
  </si>
  <si>
    <t>766360657291</t>
  </si>
  <si>
    <t>Epic Threads Epic Threads Toddler Girls Gra Spring Daffodil 2T</t>
  </si>
  <si>
    <t>100145441LG</t>
  </si>
  <si>
    <t>194257691644</t>
  </si>
  <si>
    <t>Champion Baby Boys Wavy Box Script T-sh White, Navy 18 months</t>
  </si>
  <si>
    <t>CHJ880</t>
  </si>
  <si>
    <t>762120690065</t>
  </si>
  <si>
    <t>ID Ideology Toddler Little Girls Basic B Violet Tulle 2T</t>
  </si>
  <si>
    <t>762120690287</t>
  </si>
  <si>
    <t>ID Ideology Toddler Little Girls Basic B Rose Shadow 2T</t>
  </si>
  <si>
    <t>762120690317</t>
  </si>
  <si>
    <t>ID Ideology Toddler Little Girls Basic B Rose Shadow 6X</t>
  </si>
  <si>
    <t>194257651662</t>
  </si>
  <si>
    <t>Champion Champion Big Girls Solid Varsi Pink Candy L 1416</t>
  </si>
  <si>
    <t>CHG524</t>
  </si>
  <si>
    <t>766380191904</t>
  </si>
  <si>
    <t>ID Ideology Big Girls Color Block Leggings Lime Peel XL 16</t>
  </si>
  <si>
    <t>100148221GR</t>
  </si>
  <si>
    <t>38257555745</t>
  </si>
  <si>
    <t>Hanes Big Boys Ultimate No Show Sock White 9-11</t>
  </si>
  <si>
    <t>HBUDN0</t>
  </si>
  <si>
    <t>HANESBRANDS INC SOCKS BOYS</t>
  </si>
  <si>
    <t>766360657376</t>
  </si>
  <si>
    <t>Epic Threads Toddler Girls Graphic Denim Ro Washed Indigo 4T</t>
  </si>
  <si>
    <t>100145442LG</t>
  </si>
  <si>
    <t>38257555721</t>
  </si>
  <si>
    <t>Hanes Big Boys Ultimate No Show Sock White 5-6.5</t>
  </si>
  <si>
    <t>46094705292</t>
  </si>
  <si>
    <t>Calvin Klein 2-Pack Cotton Boxer Briefs, To Heather Gray XL 1618</t>
  </si>
  <si>
    <t>766360445997</t>
  </si>
  <si>
    <t>ID Ideology Big Girl Layered-Look Tan Top Pistachio Green XL 16</t>
  </si>
  <si>
    <t>766360445980</t>
  </si>
  <si>
    <t>ID Ideology Big Girl Layered-Look Tan Top Pistachio Green L 14</t>
  </si>
  <si>
    <t>766360445911</t>
  </si>
  <si>
    <t>ID Ideology Big Girls Layered-Look Tank To Jet Ski S 78</t>
  </si>
  <si>
    <t>100141279GR</t>
  </si>
  <si>
    <t>756845970205</t>
  </si>
  <si>
    <t>First Impressions 2-Pc. Floral-Print Tunic Leg Aqua Ice Newborn</t>
  </si>
  <si>
    <t>2326FI410</t>
  </si>
  <si>
    <t>766360446031</t>
  </si>
  <si>
    <t>ID Ideology Big Girls Layered-Look Tank To Bright White L 14</t>
  </si>
  <si>
    <t>194257562869</t>
  </si>
  <si>
    <t>Champion Champion Big Girls Raglan Hood White, Navy Small</t>
  </si>
  <si>
    <t>CHG048</t>
  </si>
  <si>
    <t>766360651893</t>
  </si>
  <si>
    <t>ID Ideology Big Girls Colorblocked Joggers Heather Grey M 1012</t>
  </si>
  <si>
    <t>766360651886</t>
  </si>
  <si>
    <t>ID Ideology Big Girls Colorblocked Joggers Heather Grey S 78</t>
  </si>
  <si>
    <t>807421896096</t>
  </si>
  <si>
    <t>Levis Baby Boys Footed Coverall Estate Blue 3 months</t>
  </si>
  <si>
    <t>51E850F</t>
  </si>
  <si>
    <t>733004952166</t>
  </si>
  <si>
    <t>First Impressions Baby Boys One-Piece Rash Guard Ribbon Blue 3-6 months</t>
  </si>
  <si>
    <t>100135707BB</t>
  </si>
  <si>
    <t>194135919792</t>
  </si>
  <si>
    <t>Carters Carters Toddler Boys Waves Ra Green 3T</t>
  </si>
  <si>
    <t>2N127810</t>
  </si>
  <si>
    <t>195861099673</t>
  </si>
  <si>
    <t>Carters Carters Baby Boy or Baby Girl Orange 18 months</t>
  </si>
  <si>
    <t>1N732910</t>
  </si>
  <si>
    <t>195861366478</t>
  </si>
  <si>
    <t>Carters Carters Baby Boy or Baby Girl White Newborn</t>
  </si>
  <si>
    <t>1N990010</t>
  </si>
  <si>
    <t>195861366423</t>
  </si>
  <si>
    <t>Carters Carters Baby Boy or Baby Girl White 24 months</t>
  </si>
  <si>
    <t>766380728803</t>
  </si>
  <si>
    <t>766360447809</t>
  </si>
  <si>
    <t>ID Ideology Big Girls Geo-Print Leggings Pistachio Green XL 16</t>
  </si>
  <si>
    <t>756500913202</t>
  </si>
  <si>
    <t>Tommy Hilfiger Tommy Hilfiger Boys Bold Strip Green One Size Fits All</t>
  </si>
  <si>
    <t>81K21409</t>
  </si>
  <si>
    <t>38257548969</t>
  </si>
  <si>
    <t>Hanes Boys or Little Boys 10-Pack White S</t>
  </si>
  <si>
    <t>351 10</t>
  </si>
  <si>
    <t>COTTON/POLYESTER/NATURAL LATEX RUBBER/OTHER FIBERS</t>
  </si>
  <si>
    <t>194135873148</t>
  </si>
  <si>
    <t>Carters Carters Baby Girls 2-Pack Pul Pink 3 months</t>
  </si>
  <si>
    <t>1N042910</t>
  </si>
  <si>
    <t>194135873162</t>
  </si>
  <si>
    <t>Carters Carters Baby Girls 2-Pack Pul Pink 9 months</t>
  </si>
  <si>
    <t>766360129620</t>
  </si>
  <si>
    <t>First Impressions Baby Girls Eyelet Shirt Spring Daffodil 3-6 months</t>
  </si>
  <si>
    <t>100140985BG</t>
  </si>
  <si>
    <t>766360314682</t>
  </si>
  <si>
    <t>ID Ideology Toddler Little Boys Solid Sw Deep Cobal 6</t>
  </si>
  <si>
    <t>100141215LB</t>
  </si>
  <si>
    <t>766380793191</t>
  </si>
  <si>
    <t>Epic Threads Epic Threads Big Girls Knit Sh Island Orange L 1214</t>
  </si>
  <si>
    <t>100153022GR</t>
  </si>
  <si>
    <t>194135893504</t>
  </si>
  <si>
    <t>Carters Baby Boys Dog Bodysuit and Pan Gray 9 months</t>
  </si>
  <si>
    <t>766370718289</t>
  </si>
  <si>
    <t>First Impressions Baby Boys Discharge Splatter C Authentic Wash 18 months</t>
  </si>
  <si>
    <t>194135892675</t>
  </si>
  <si>
    <t>Carters Baby Boys 2-Pc. Truck-Print Bo Blue 12 months</t>
  </si>
  <si>
    <t>1N051810</t>
  </si>
  <si>
    <t>766370879980</t>
  </si>
  <si>
    <t>First Impressions Baby Girls 2-Pc. Terrycloth Sh Island Orange 6-9 months</t>
  </si>
  <si>
    <t>766370880122</t>
  </si>
  <si>
    <t>First Impressions Baby Girls 2-Pc. Terrycloth Sh Island Orange 24 months</t>
  </si>
  <si>
    <t>766370904736</t>
  </si>
  <si>
    <t>ID Ideology Big Girls Mesh Accent Jogger P Rose Shadow XXL 18</t>
  </si>
  <si>
    <t>766370904712</t>
  </si>
  <si>
    <t>ID Ideology Big Girls Mesh Accent Jogger P Rose Shadow L 14</t>
  </si>
  <si>
    <t>191655274707</t>
  </si>
  <si>
    <t>Chickpea Chickpea Baby Girls Grow with PurplePink 0-6 months</t>
  </si>
  <si>
    <t>HE12231093</t>
  </si>
  <si>
    <t>CUTIE PIE BABY INC</t>
  </si>
  <si>
    <t>766360141943</t>
  </si>
  <si>
    <t>First Impressions Baby Girls 2-Pk. Gingham Sol Apple Blossom 18 months</t>
  </si>
  <si>
    <t>100141541BG</t>
  </si>
  <si>
    <t>191655254624</t>
  </si>
  <si>
    <t>Chickpea Chickpea Baby Girls Grow with Pink 3-9 months</t>
  </si>
  <si>
    <t>HE12228966</t>
  </si>
  <si>
    <t>194135316867</t>
  </si>
  <si>
    <t>Carters Baby 2-Pk. Cotton Jogger-Style Greengrey 3 months</t>
  </si>
  <si>
    <t>1L763910</t>
  </si>
  <si>
    <t>194135318250</t>
  </si>
  <si>
    <t>Carters Baby Girls 2-Pack Pull-On Cott Pinkyellow 6 months</t>
  </si>
  <si>
    <t>1L764210</t>
  </si>
  <si>
    <t>195958836501</t>
  </si>
  <si>
    <t>Calvin Klein Calvin Klein Performance Big G Light Gray Heather XL 1820</t>
  </si>
  <si>
    <t>CASEA04S-050</t>
  </si>
  <si>
    <t>CK PERFORMANCE/KHQ INVESTMENT LLC</t>
  </si>
  <si>
    <t>195958667754</t>
  </si>
  <si>
    <t>Tommy Hilfiger Tommy Hilfiger Toddler Boys Sc Orchid Pink 2T</t>
  </si>
  <si>
    <t>195958667297</t>
  </si>
  <si>
    <t>Tommy Hilfiger Tommy Hilfiger Toddler Boys To Bright White 2T</t>
  </si>
  <si>
    <t>TBSFB78J-100</t>
  </si>
  <si>
    <t>766380220673</t>
  </si>
  <si>
    <t>First Impressions Baby Girls Ruffled Hoodie Angel White 18 months</t>
  </si>
  <si>
    <t>766380220734</t>
  </si>
  <si>
    <t>First Impressions Baby Girls Ruffled Hoodie Blush Pink 18 months</t>
  </si>
  <si>
    <t>195861115748</t>
  </si>
  <si>
    <t>Carters Toddler Boys Pull-on Shorts Green 3T</t>
  </si>
  <si>
    <t>2N107210</t>
  </si>
  <si>
    <t>194135059832</t>
  </si>
  <si>
    <t>Carters Toddler Boys Pull-on Poplin Sh Gray 4T</t>
  </si>
  <si>
    <t>2N263410</t>
  </si>
  <si>
    <t>196122371880</t>
  </si>
  <si>
    <t>Koala Baby Baby Girls Top, Bodysuit and M Orange 6-9 months</t>
  </si>
  <si>
    <t>KLF02318</t>
  </si>
  <si>
    <t>762120822985</t>
  </si>
  <si>
    <t>ID Ideology Big Boys Active Pants Indigo Sea L</t>
  </si>
  <si>
    <t>100141172BO</t>
  </si>
  <si>
    <t>194135893528</t>
  </si>
  <si>
    <t>Carters Baby Boys Dog Bodysuit and Pan Gray Newborn</t>
  </si>
  <si>
    <t>1N052610</t>
  </si>
  <si>
    <t>195861098607</t>
  </si>
  <si>
    <t>Carters Baby Girls 2-Pc. Floral-Print Brown 12 months</t>
  </si>
  <si>
    <t>1N601010</t>
  </si>
  <si>
    <t>BROWN</t>
  </si>
  <si>
    <t>766370718609</t>
  </si>
  <si>
    <t>First Impressions Baby Boys Discharge Splatter C Authentic Wash 0-3 months</t>
  </si>
  <si>
    <t>100148412BB</t>
  </si>
  <si>
    <t>194135887794</t>
  </si>
  <si>
    <t>Carters Baby Girls Flutter Bodysuit an Yellow 24 months</t>
  </si>
  <si>
    <t>1N050210</t>
  </si>
  <si>
    <t>195861377672</t>
  </si>
  <si>
    <t>Carters Carters Baby Boys Car Bodysui Heather, Green 12 months</t>
  </si>
  <si>
    <t>1N961410</t>
  </si>
  <si>
    <t>195861383062</t>
  </si>
  <si>
    <t>Carters Carters Baby Boys Zip-Up Flee Navy 6 months</t>
  </si>
  <si>
    <t>1O006710</t>
  </si>
  <si>
    <t>766370879966</t>
  </si>
  <si>
    <t>First Impressions Baby Girls 2-Pc. Terrycloth Sh Island Orange 12 months</t>
  </si>
  <si>
    <t>100148285BG</t>
  </si>
  <si>
    <t>766370880139</t>
  </si>
  <si>
    <t>First Impressions Baby Girls 2-Pc. Terrycloth Sh Island Orange 0-3 months</t>
  </si>
  <si>
    <t>766370904699</t>
  </si>
  <si>
    <t>ID Ideology Big Girls Mesh Accent Jogger P Rose Shadow S 78</t>
  </si>
  <si>
    <t>100148282GR</t>
  </si>
  <si>
    <t>766370904729</t>
  </si>
  <si>
    <t>ID Ideology Big Girls Mesh Accent Jogger P Rose Shadow XL 16</t>
  </si>
  <si>
    <t>191159168373</t>
  </si>
  <si>
    <t>Happy Threads Baby Boys Baby Yoda Set, 3 Pie Gray, Green, and White 3-6 months</t>
  </si>
  <si>
    <t>STB202ST</t>
  </si>
  <si>
    <t>HAPPY THREADS LLC</t>
  </si>
  <si>
    <t>766370879904</t>
  </si>
  <si>
    <t>First Impressions Baby Girls 2-Pc. Terrycloth Sh Lime Boost 12 months</t>
  </si>
  <si>
    <t>79092450536</t>
  </si>
  <si>
    <t>First Impressions Hi Bye Slip-On Shoes, Baby Boy Blue 1</t>
  </si>
  <si>
    <t>40033FI410</t>
  </si>
  <si>
    <t>1</t>
  </si>
  <si>
    <t>COTTON UPPER; FAUX-LEATHER SOLE</t>
  </si>
  <si>
    <t>79092450529</t>
  </si>
  <si>
    <t>First Impressions Hi Bye Slip-On Shoes, Baby Boy Blue 0</t>
  </si>
  <si>
    <t>195861161332</t>
  </si>
  <si>
    <t>Carters Toddler Girls Chambray Bubble Blue 3T</t>
  </si>
  <si>
    <t>2N694610</t>
  </si>
  <si>
    <t>194135320239</t>
  </si>
  <si>
    <t>Carters Baby Boys 2-Pk. Cotton Striped Blue 3 months</t>
  </si>
  <si>
    <t>1L763710</t>
  </si>
  <si>
    <t>194135973916</t>
  </si>
  <si>
    <t>Carters Carters Toddler Boys Dinosaur Red 2T</t>
  </si>
  <si>
    <t>2N128810</t>
  </si>
  <si>
    <t>WILLIAM CARTER COMPANY GIRLS</t>
  </si>
  <si>
    <t>195958667792</t>
  </si>
  <si>
    <t>Tommy Hilfiger Tommy Hilfiger Little Boys Scr Orchid Pink 6</t>
  </si>
  <si>
    <t>TBSFB86J-606</t>
  </si>
  <si>
    <t>766380220741</t>
  </si>
  <si>
    <t>First Impressions Baby Girls Ruffled Hoodie Blush Pink 24 months</t>
  </si>
  <si>
    <t>100150168BG</t>
  </si>
  <si>
    <t>766380220710</t>
  </si>
  <si>
    <t>First Impressions Baby Girls Ruffled Hoodie Blush Pink 3-6 months</t>
  </si>
  <si>
    <t>766380220703</t>
  </si>
  <si>
    <t>First Impressions Baby Girls Ruffled Hoodie Blush Pink 12 months</t>
  </si>
  <si>
    <t>766360649500</t>
  </si>
  <si>
    <t>ID Ideology Little Girls Colorblocked Jogg Hthr Grey 3T</t>
  </si>
  <si>
    <t>100141031LG</t>
  </si>
  <si>
    <t>194257879400</t>
  </si>
  <si>
    <t>Champion Little Girls All Over Print Di Deep Forte Blue 6X</t>
  </si>
  <si>
    <t>CHL564</t>
  </si>
  <si>
    <t>194257873002</t>
  </si>
  <si>
    <t>Champion Champion Big Girls Classic Scr Deep Forte Blue XL 1820</t>
  </si>
  <si>
    <t>CHG154</t>
  </si>
  <si>
    <t>194257734501</t>
  </si>
  <si>
    <t>Champion Little Boys Angled Peek Shorts Lakeside Green, Sunbeam Glow 5</t>
  </si>
  <si>
    <t>CHY551</t>
  </si>
  <si>
    <t>DARK GREEN</t>
  </si>
  <si>
    <t>194257708120</t>
  </si>
  <si>
    <t>Champion Little Boys Big Logo Mesh Shor Black 5</t>
  </si>
  <si>
    <t>CHY561</t>
  </si>
  <si>
    <t>194257661319</t>
  </si>
  <si>
    <t>Champion Champion Big Boys Angled Color Lakeside GreenSunbeam L 1416</t>
  </si>
  <si>
    <t>CHB169</t>
  </si>
  <si>
    <t>194257661371</t>
  </si>
  <si>
    <t>Champion Champion Big Boys Abstract Cam Cargo Olive M 1012</t>
  </si>
  <si>
    <t>CHB174</t>
  </si>
  <si>
    <t>MED GREEN</t>
  </si>
  <si>
    <t>194257734471</t>
  </si>
  <si>
    <t>Champion Little Boys Angled Peek Shorts Lakeside Green, Sunbeam Glow 7</t>
  </si>
  <si>
    <t>194257734518</t>
  </si>
  <si>
    <t>Champion Little Boys Angled Peek Shorts Lakeside Green, Sunbeam Glow 6</t>
  </si>
  <si>
    <t>194257708090</t>
  </si>
  <si>
    <t>Champion Champion Toddler Boys Big Logo Black 2T</t>
  </si>
  <si>
    <t>191159218856</t>
  </si>
  <si>
    <t>Happy Threads Baby Boys Yoda Sleeveless Foot Multi 6-9 months</t>
  </si>
  <si>
    <t>STB284RP</t>
  </si>
  <si>
    <t>766380191386</t>
  </si>
  <si>
    <t>ID Ideology Big Girls Zebra Print Leggings Deep Black M 1012</t>
  </si>
  <si>
    <t>100148248GR</t>
  </si>
  <si>
    <t>195861313366</t>
  </si>
  <si>
    <t>Carters Carters Toddler Girls 1-Piece Pink 5T</t>
  </si>
  <si>
    <t>2O026510</t>
  </si>
  <si>
    <t>766360448950</t>
  </si>
  <si>
    <t>ID Ideology Toddler Little Girls Geo-Pri Pistachio Green 2T</t>
  </si>
  <si>
    <t>100141286LG</t>
  </si>
  <si>
    <t>766360448899</t>
  </si>
  <si>
    <t>ID Ideology Toddler Little Girls Geo-Pri Pistachio Green 6</t>
  </si>
  <si>
    <t>762120689861</t>
  </si>
  <si>
    <t>ID Ideology Toddler Little Girls Solid S Rose Shadow 2T</t>
  </si>
  <si>
    <t>100140865LG</t>
  </si>
  <si>
    <t>766360443399</t>
  </si>
  <si>
    <t>ID Ideology Toddler Little Girls Hibiscu Jet Ski 3T</t>
  </si>
  <si>
    <t>100140978LG</t>
  </si>
  <si>
    <t>766360443405</t>
  </si>
  <si>
    <t>ID Ideology Toddler Little Girls Hibiscu Jet Ski 4T</t>
  </si>
  <si>
    <t>766380221335</t>
  </si>
  <si>
    <t>First Impressions Baby Boys Splatter Paint Zip H Snow Owl Hthr 6-9 months</t>
  </si>
  <si>
    <t>100148794BB</t>
  </si>
  <si>
    <t>766380238043</t>
  </si>
  <si>
    <t>Epic Threads Epic Threads Big Girls Babydol Coral Topaz XL 16</t>
  </si>
  <si>
    <t>100151655GR</t>
  </si>
  <si>
    <t>195861099932</t>
  </si>
  <si>
    <t>Carters Baby Girls Floral-Print Jumpsu Print 12 months</t>
  </si>
  <si>
    <t>1N597710</t>
  </si>
  <si>
    <t>194135936096</t>
  </si>
  <si>
    <t>Carters Big Girls Good Vibes Only Open Blue 14</t>
  </si>
  <si>
    <t>3N104610</t>
  </si>
  <si>
    <t>195861099956</t>
  </si>
  <si>
    <t>Carters Baby Girls Floral-Print Jumpsu Print 24 months</t>
  </si>
  <si>
    <t>195861099949</t>
  </si>
  <si>
    <t>Carters Baby Girls Floral-Print Jumpsu Print 18 months</t>
  </si>
  <si>
    <t>195861099963</t>
  </si>
  <si>
    <t>Carters Baby Girls Floral-Print Jumpsu Print 3 months</t>
  </si>
  <si>
    <t>195861099970</t>
  </si>
  <si>
    <t>Carters Baby Girls Floral-Print Jumpsu Print 6 months</t>
  </si>
  <si>
    <t>766370067004</t>
  </si>
  <si>
    <t>Epic Threads Epic Threads Big Girls AOP Flu Angel White S 78</t>
  </si>
  <si>
    <t>100145353GR</t>
  </si>
  <si>
    <t>762120691222</t>
  </si>
  <si>
    <t>ID Ideology Big Girls Lace-Up T-Shirt Violet Tulle M 1012</t>
  </si>
  <si>
    <t>100141260GR</t>
  </si>
  <si>
    <t>193712372623</t>
  </si>
  <si>
    <t>Imperial Star Big Girls Athleisure Shorts Tie Dye L</t>
  </si>
  <si>
    <t>IS122M516</t>
  </si>
  <si>
    <t>LARGE</t>
  </si>
  <si>
    <t>VANILLA STAR/REVISE CLOTHING INC</t>
  </si>
  <si>
    <t>193712372760</t>
  </si>
  <si>
    <t>Imperial Star Big Girls Athleisure Shorts Medium Blue S</t>
  </si>
  <si>
    <t>IS122M473</t>
  </si>
  <si>
    <t>S</t>
  </si>
  <si>
    <t>193712372807</t>
  </si>
  <si>
    <t>Imperial Star Big Girls Athleisure Shorts Tie Dye S</t>
  </si>
  <si>
    <t>193712372814</t>
  </si>
  <si>
    <t>Imperial Star Big Girls Athleisure Shorts Tie Dye M</t>
  </si>
  <si>
    <t>M</t>
  </si>
  <si>
    <t>193712372821</t>
  </si>
  <si>
    <t>193712372708</t>
  </si>
  <si>
    <t>Imperial Star Big Girls Athleisure Shorts Pastel Td L</t>
  </si>
  <si>
    <t>195883920887</t>
  </si>
  <si>
    <t>Hybrid Big Boys Nintendo Jumbo Mario White L</t>
  </si>
  <si>
    <t>2YNIN6107</t>
  </si>
  <si>
    <t>HYBRID PROMOTIONS</t>
  </si>
  <si>
    <t>195883920979</t>
  </si>
  <si>
    <t>Star Wars Big Boys Star Wars Baby Yoda G Black XL</t>
  </si>
  <si>
    <t>2YSWM0547</t>
  </si>
  <si>
    <t>195883920948</t>
  </si>
  <si>
    <t>Star Wars Big Boys Star Wars Baby Yoda G Black S</t>
  </si>
  <si>
    <t>195883920894</t>
  </si>
  <si>
    <t>Hybrid Big Boys Nintendo Jumbo Mario White XL</t>
  </si>
  <si>
    <t>194135909274</t>
  </si>
  <si>
    <t>Carters Toddler Boys Striped Pocket He Stripe 2T</t>
  </si>
  <si>
    <t>2N002710</t>
  </si>
  <si>
    <t>762120347044</t>
  </si>
  <si>
    <t>First Impressions Baby Girl SEERSUCKER SANDAL Spacious Skies 0</t>
  </si>
  <si>
    <t>100117428BG</t>
  </si>
  <si>
    <t>762120347075</t>
  </si>
  <si>
    <t>First Impressions Baby Girl SEERSUCKER SANDAL Spacious Skies 3</t>
  </si>
  <si>
    <t>3</t>
  </si>
  <si>
    <t>733004723650</t>
  </si>
  <si>
    <t>First Impressions Baby Boys Lightning Bolt Hoode Sundrop 18 months</t>
  </si>
  <si>
    <t>100134956BB</t>
  </si>
  <si>
    <t>766380220840</t>
  </si>
  <si>
    <t>First Impressions Baby Girls Floral-Print Hoodie Blush Pink 6-9 months</t>
  </si>
  <si>
    <t>100150177BG</t>
  </si>
  <si>
    <t>766380220857</t>
  </si>
  <si>
    <t>First Impressions Baby Girls Floral-Print Hoodie Blush Pink 18 months</t>
  </si>
  <si>
    <t>766370905481</t>
  </si>
  <si>
    <t>ID Ideology Toddler Little Girls Mesh Ac Rose Shadow 6</t>
  </si>
  <si>
    <t>100148282LG</t>
  </si>
  <si>
    <t>766360649173</t>
  </si>
  <si>
    <t>Epic Threads Toddler Girls Checkered Romper Spring Daffodil 3T</t>
  </si>
  <si>
    <t>100145371LG</t>
  </si>
  <si>
    <t>640013314024</t>
  </si>
  <si>
    <t>Univibe Univibe Big Boys Orion Short S Black S 8</t>
  </si>
  <si>
    <t>UB122412</t>
  </si>
  <si>
    <t>UNIVIBE/FAMMA GROUP INC</t>
  </si>
  <si>
    <t>766380221090</t>
  </si>
  <si>
    <t>First Impressions Baby Boys Smile Full-Zip Jacke Hthr Sterling 6-9 months</t>
  </si>
  <si>
    <t>100148793BB</t>
  </si>
  <si>
    <t>766380221106</t>
  </si>
  <si>
    <t>First Impressions Baby Boys Smile Full-Zip Jacke Hthr Sterling 18 months</t>
  </si>
  <si>
    <t>766380221144</t>
  </si>
  <si>
    <t>First Impressions Baby Boys Smile Full-Zip Jacke Blue Poppy 6-9 months</t>
  </si>
  <si>
    <t>766380221243</t>
  </si>
  <si>
    <t>First Impressions Baby Boys Smile Full-Zip Jacke Blue Poppy 24 months</t>
  </si>
  <si>
    <t>766380221120</t>
  </si>
  <si>
    <t>First Impressions Baby Boys Smile Full-Zip Jacke Blue Poppy 12 months</t>
  </si>
  <si>
    <t>766380221083</t>
  </si>
  <si>
    <t>First Impressions Baby Boys Smile Full-Zip Jacke Hthr Sterling 3-6 months</t>
  </si>
  <si>
    <t>194257724915</t>
  </si>
  <si>
    <t>Champion Toddler Boys Abstract Camo Sho Cargo Olive 3T</t>
  </si>
  <si>
    <t>CHY174</t>
  </si>
  <si>
    <t>194257724946</t>
  </si>
  <si>
    <t>Champion Little Boys Abstract Camo Shor Cargo Olive 6</t>
  </si>
  <si>
    <t>194257737236</t>
  </si>
  <si>
    <t>Champion Toddler Boys Brush Stroke Camo Electric Cyan 3T</t>
  </si>
  <si>
    <t>CHY176</t>
  </si>
  <si>
    <t>194257658302</t>
  </si>
  <si>
    <t>Champion Little Girls Tie Front T-shirt Urban Lilac 5</t>
  </si>
  <si>
    <t>CHL157</t>
  </si>
  <si>
    <t>194257737212</t>
  </si>
  <si>
    <t>Champion Little Boys Brush Stroke Camo Electric Cyan 4</t>
  </si>
  <si>
    <t>194257658296</t>
  </si>
  <si>
    <t>Champion Toddler Girls Tie Front T-shir Urban Lilac 4T</t>
  </si>
  <si>
    <t>194257724922</t>
  </si>
  <si>
    <t>Champion Little Boys Abstract Camo Shor Cargo Olive 4</t>
  </si>
  <si>
    <t>766370083240</t>
  </si>
  <si>
    <t>Epic Threads Epic Threads Toddler Boys Tie Caribe Blue 2T</t>
  </si>
  <si>
    <t>100146645LB</t>
  </si>
  <si>
    <t>762120847957</t>
  </si>
  <si>
    <t>ID Ideology Toddler Little Boys Active P Deep Black 4T</t>
  </si>
  <si>
    <t>100141172LB</t>
  </si>
  <si>
    <t>195861280453</t>
  </si>
  <si>
    <t>Carters Carters Toddler Girls Jersey Gray 4T</t>
  </si>
  <si>
    <t>2O036610</t>
  </si>
  <si>
    <t>194257873101</t>
  </si>
  <si>
    <t>Champion Big Boys Script Aberration Cir Capri Orange M 1012</t>
  </si>
  <si>
    <t>CHB215</t>
  </si>
  <si>
    <t>194257873347</t>
  </si>
  <si>
    <t>Champion Big Boys Ko C Checker Fade Sho Blue Atoll XL 1820</t>
  </si>
  <si>
    <t>CHB211</t>
  </si>
  <si>
    <t>194257839145</t>
  </si>
  <si>
    <t>Champion Big Boys Washed Up Champion Te Swiss Blue L 1416</t>
  </si>
  <si>
    <t>CHB214</t>
  </si>
  <si>
    <t>194257851239</t>
  </si>
  <si>
    <t>Champion Champion Little Boys Vertical Swiss Blue 7</t>
  </si>
  <si>
    <t>CHY559</t>
  </si>
  <si>
    <t>766360437473</t>
  </si>
  <si>
    <t>ID Ideology Toddler Little Girls Sunrise Barely Pink 3T</t>
  </si>
  <si>
    <t>100141352LG</t>
  </si>
  <si>
    <t>191603349921</t>
  </si>
  <si>
    <t>Nintendo Toddler Boys Mario Icon Graphi Red Heather 3T</t>
  </si>
  <si>
    <t>2TNIN2737</t>
  </si>
  <si>
    <t>766360156565</t>
  </si>
  <si>
    <t>First Impressions Baby Girl DOT BOW ONE PIECE Apple Blossom 18 months</t>
  </si>
  <si>
    <t>100111424BG</t>
  </si>
  <si>
    <t>766380222462</t>
  </si>
  <si>
    <t>First Impressions Baby Boys Hooded Bodysuit Safflower 18 months</t>
  </si>
  <si>
    <t>100148414BB</t>
  </si>
  <si>
    <t>766380222486</t>
  </si>
  <si>
    <t>First Impressions Baby Boys Hooded Bodysuit Safflower 0-3 months</t>
  </si>
  <si>
    <t>766360129880</t>
  </si>
  <si>
    <t>First Impressions Baby Girls Daisy Shorts Lt Medium Wash 18 months</t>
  </si>
  <si>
    <t>100140987BG</t>
  </si>
  <si>
    <t>762120060646</t>
  </si>
  <si>
    <t>ID Ideology Toddler Little Boys Olympic INDIGO SEA 3T</t>
  </si>
  <si>
    <t>100137764LB</t>
  </si>
  <si>
    <t>762120023955</t>
  </si>
  <si>
    <t>ID Ideology Toddler Little Boys Camo-Pri DEEP BLACK 4T</t>
  </si>
  <si>
    <t>100137756LB</t>
  </si>
  <si>
    <t>194257385031</t>
  </si>
  <si>
    <t>Champion Little Boys All Over Print Cam Camo Concrete 5</t>
  </si>
  <si>
    <t>CHY022</t>
  </si>
  <si>
    <t>194257394705</t>
  </si>
  <si>
    <t>Champion Little Boys All Over Print Ope White 7</t>
  </si>
  <si>
    <t>CHY069</t>
  </si>
  <si>
    <t>194135938236</t>
  </si>
  <si>
    <t>Carters Carters Baby Girls One-Piece Green Swan 24 months</t>
  </si>
  <si>
    <t>1N048010</t>
  </si>
  <si>
    <t>194135934351</t>
  </si>
  <si>
    <t>Carters Toddler Boys One-Piece Snug Fi Frog Print 4T</t>
  </si>
  <si>
    <t>2N032210</t>
  </si>
  <si>
    <t>195861099635</t>
  </si>
  <si>
    <t>Carters Carters Baby Boy or Baby Girl Black 9 months</t>
  </si>
  <si>
    <t>1N733010</t>
  </si>
  <si>
    <t>195861099499</t>
  </si>
  <si>
    <t>Carters Baby Boys or Baby Girls Hallow White 6 months</t>
  </si>
  <si>
    <t>1N733110</t>
  </si>
  <si>
    <t>195861153283</t>
  </si>
  <si>
    <t>Carters Toddler Girls Graphic-Print Fl Cream 2T</t>
  </si>
  <si>
    <t>2N700510</t>
  </si>
  <si>
    <t>BEIGE</t>
  </si>
  <si>
    <t>195861135128</t>
  </si>
  <si>
    <t>Carters Toddler Boys One-Piece Snug Fi Nautical Print 3T</t>
  </si>
  <si>
    <t>2N710110</t>
  </si>
  <si>
    <t>194135928770</t>
  </si>
  <si>
    <t>Carters Toddler Boys One-Piece Snug Fi Cookie Print 2T</t>
  </si>
  <si>
    <t>2N204110</t>
  </si>
  <si>
    <t>766370761278</t>
  </si>
  <si>
    <t>Epic Threads Big Boys All Over Print Tank Turq Splash L 1416</t>
  </si>
  <si>
    <t>100151696BO</t>
  </si>
  <si>
    <t>EPIC THREADS-EDI/TOPSV BIG BOY 8-20</t>
  </si>
  <si>
    <t>762120084307</t>
  </si>
  <si>
    <t>Epic Threads Big Girls Long Sleeve Graphic Violet Light L</t>
  </si>
  <si>
    <t>100138496GR</t>
  </si>
  <si>
    <t>194135322035</t>
  </si>
  <si>
    <t>Carters Baby Boys or Girls 2-Pc. Cap Yellow Multi Newborn</t>
  </si>
  <si>
    <t>1L783310</t>
  </si>
  <si>
    <t>762120214209</t>
  </si>
  <si>
    <t>ID Ideology Big Girls Challenge Accepted H Training Yellow M 1012</t>
  </si>
  <si>
    <t>100136775GR</t>
  </si>
  <si>
    <t>762120691086</t>
  </si>
  <si>
    <t>ID Ideology Big Girls Asymmetrical Tennis Violet Tulle M 1012</t>
  </si>
  <si>
    <t>100140170GR</t>
  </si>
  <si>
    <t>762120060561</t>
  </si>
  <si>
    <t>ID Ideology Little Boys Knit Joggers INDIGO SEA 4T</t>
  </si>
  <si>
    <t>100137762LB</t>
  </si>
  <si>
    <t>766370878310</t>
  </si>
  <si>
    <t>First Impressions Baby Boys Stripe-Print Terrycl Lime Boost 6-9 months</t>
  </si>
  <si>
    <t>100148312BB</t>
  </si>
  <si>
    <t>766380724539</t>
  </si>
  <si>
    <t>First Impressions Baby Boys Girls Smiley Splas Deep Black 0-3 months</t>
  </si>
  <si>
    <t>766380724607</t>
  </si>
  <si>
    <t>First Impressions Baby Boys Girls Smiley Splas Angel White 0-3 months</t>
  </si>
  <si>
    <t>766380724546</t>
  </si>
  <si>
    <t>First Impressions Baby Boys Girls Smiley Splas Angel White Newborn</t>
  </si>
  <si>
    <t>766380724591</t>
  </si>
  <si>
    <t>First Impressions Baby Boys Girls Smiley Splas Angel White 24 months</t>
  </si>
  <si>
    <t>766380724089</t>
  </si>
  <si>
    <t>First Impressions Baby Boys Girls Smiley Splas Deep Black Newborn</t>
  </si>
  <si>
    <t>766380724577</t>
  </si>
  <si>
    <t>First Impressions Baby Boys Girls Smiley Splas Angel White 6-9 months</t>
  </si>
  <si>
    <t>766380724492</t>
  </si>
  <si>
    <t>First Impressions Baby Boys Girls Smiley Splas Deep Black 3-6 months</t>
  </si>
  <si>
    <t>766380723938</t>
  </si>
  <si>
    <t>First Impressions Baby Boys Critters Solid Pan Snow Owl Hthr 0-3 months</t>
  </si>
  <si>
    <t>100152385BB</t>
  </si>
  <si>
    <t>766380723419</t>
  </si>
  <si>
    <t>First Impressions Baby Boys Critters Solid Pan Snow Owl Hthr Newborn</t>
  </si>
  <si>
    <t>766380723433</t>
  </si>
  <si>
    <t>First Impressions Baby Boys Critters Solid Pan Snow Owl Hthr 3-6 months</t>
  </si>
  <si>
    <t>766370770225</t>
  </si>
  <si>
    <t>Epic Threads Epic Threads Big Girls Pineapp Angel White M 810</t>
  </si>
  <si>
    <t>100153012GR</t>
  </si>
  <si>
    <t>766380816586</t>
  </si>
  <si>
    <t>Epic Threads Epic Threads Big Boys Short Sl True Green XL 1820</t>
  </si>
  <si>
    <t>100151586BO</t>
  </si>
  <si>
    <t>766370770461</t>
  </si>
  <si>
    <t>Epic Threads Epic Threads Big Girls Surf Cl Ultra Lime M 810</t>
  </si>
  <si>
    <t>100153010GR</t>
  </si>
  <si>
    <t>194135878310</t>
  </si>
  <si>
    <t>Carters Carters Baby Girls Floral Jer Multi 3 months</t>
  </si>
  <si>
    <t>1N071410</t>
  </si>
  <si>
    <t>195861151227</t>
  </si>
  <si>
    <t>Carters Toddler Girls Printed Sleevele Stripe 4T</t>
  </si>
  <si>
    <t>2N679610</t>
  </si>
  <si>
    <t>766370156586</t>
  </si>
  <si>
    <t>Epic Threads Epic Threads Big Girls Side St Ghost Heather M 810</t>
  </si>
  <si>
    <t>100145565GR</t>
  </si>
  <si>
    <t>194257880543</t>
  </si>
  <si>
    <t>Champion Champion Toddler Boys Fade T-s Capri Orange 2T</t>
  </si>
  <si>
    <t>CHY211</t>
  </si>
  <si>
    <t>766370910683</t>
  </si>
  <si>
    <t>ID Ideology Little Toddler Girls Woven S Mock Orange 3T</t>
  </si>
  <si>
    <t>100121218LG</t>
  </si>
  <si>
    <t>766370306561</t>
  </si>
  <si>
    <t>Epic Threads Big Boys Graphic Skater T-shir Bright White Large</t>
  </si>
  <si>
    <t>100144936BO</t>
  </si>
  <si>
    <t>194257656995</t>
  </si>
  <si>
    <t>Champion Toddler Girls Graphic T-shirt Oxford Heather 3T</t>
  </si>
  <si>
    <t>CHL144</t>
  </si>
  <si>
    <t>766360649579</t>
  </si>
  <si>
    <t>ID Ideology Big Girls POWER Hooded T-Shirt Pistachio Green XXL 18</t>
  </si>
  <si>
    <t>100141274GR</t>
  </si>
  <si>
    <t>766370877672</t>
  </si>
  <si>
    <t>First Impressions Baby Boys Shirt Peppermint Fros 6-9 months</t>
  </si>
  <si>
    <t>100148301BB</t>
  </si>
  <si>
    <t>766370770010</t>
  </si>
  <si>
    <t>Epic Threads Epic Threads Big Girls Follow True Green M 810</t>
  </si>
  <si>
    <t>100153007GR</t>
  </si>
  <si>
    <t>766370892927</t>
  </si>
  <si>
    <t>ID Ideology Big Boys Stripe-Print T-Shirt Vivid Turq L</t>
  </si>
  <si>
    <t>100148317BO</t>
  </si>
  <si>
    <t>766370770126</t>
  </si>
  <si>
    <t>Epic Threads Epic Threads Big Girls Pacific Coral Topaz XL 16</t>
  </si>
  <si>
    <t>100153008GR</t>
  </si>
  <si>
    <t>766370770102</t>
  </si>
  <si>
    <t>Epic Threads Epic Threads Big Girls Pacific Coral Topaz M 810</t>
  </si>
  <si>
    <t>195861095194</t>
  </si>
  <si>
    <t>Carters Carters Baby Girls 4th of Jul Multicolor 18 months</t>
  </si>
  <si>
    <t>1N654810</t>
  </si>
  <si>
    <t>762120856782</t>
  </si>
  <si>
    <t>ID Ideology Big Boys Active Polo Deep Black S</t>
  </si>
  <si>
    <t>100141169BO</t>
  </si>
  <si>
    <t>194135893313</t>
  </si>
  <si>
    <t>Carters Carters Baby Girls Flower Pow Multi 24 months</t>
  </si>
  <si>
    <t>1N071310</t>
  </si>
  <si>
    <t>194135893368</t>
  </si>
  <si>
    <t>Carters Carters Baby Girls Flower Pow Multi Newborn</t>
  </si>
  <si>
    <t>766370903104</t>
  </si>
  <si>
    <t>ID Ideology Big Girls Change the World T-S True Green S 78</t>
  </si>
  <si>
    <t>100148238GR</t>
  </si>
  <si>
    <t>766360648787</t>
  </si>
  <si>
    <t>Epic Threads Little Girls Cold Shoulder Dre Orchid Bloom 5</t>
  </si>
  <si>
    <t>100145357LG</t>
  </si>
  <si>
    <t>762120263825</t>
  </si>
  <si>
    <t>Epic Threads Epic Threads Big Girls Heather Charcoal Htr XL 16</t>
  </si>
  <si>
    <t>100138548GR</t>
  </si>
  <si>
    <t>766380716343</t>
  </si>
  <si>
    <t>First Impressions Baby Boy REINDEER SUNSUIT Cherry Red 0-3 months</t>
  </si>
  <si>
    <t>100101826BB</t>
  </si>
  <si>
    <t>MEDIUN RED</t>
  </si>
  <si>
    <t>766370427167</t>
  </si>
  <si>
    <t>Epic Threads Big Girls Short Sleeve Heart P Deep Black L 1214</t>
  </si>
  <si>
    <t>100158010GR</t>
  </si>
  <si>
    <t>762120263603</t>
  </si>
  <si>
    <t>Epic Threads Epic Threads Big Girls Text Gr Sunset Flamingo M 810</t>
  </si>
  <si>
    <t>100138544GR</t>
  </si>
  <si>
    <t>766380727332</t>
  </si>
  <si>
    <t>First Impressions Baby Girls 2-Pk. Solid Heart Raspberry Pie 3-6 months</t>
  </si>
  <si>
    <t>100152392BG</t>
  </si>
  <si>
    <t>766380727318</t>
  </si>
  <si>
    <t>First Impressions Baby Girls 2-Pk. Solid Heart Raspberry Pie Newborn</t>
  </si>
  <si>
    <t>766380727370</t>
  </si>
  <si>
    <t>First Impressions Baby Girls 2-Pk. Solid Heart Raspberry Pie 0-3 months</t>
  </si>
  <si>
    <t>766380727349</t>
  </si>
  <si>
    <t>First Impressions Baby Girls 2-Pk. Solid Heart Raspberry Pie 6-9 months</t>
  </si>
  <si>
    <t>766360147419</t>
  </si>
  <si>
    <t>First Impressions Baby Girls 2-Pk. Leggings, Ultra Lime 3-6 months</t>
  </si>
  <si>
    <t>100141489BG</t>
  </si>
  <si>
    <t>762120499170</t>
  </si>
  <si>
    <t>First Impressions Baby Boy Rugby Polo Romper Spring Daffodil 12 months</t>
  </si>
  <si>
    <t>100143053BB</t>
  </si>
  <si>
    <t>766360127701</t>
  </si>
  <si>
    <t>First Impressions Baby Boy Rugby Polo Romper Spacious Skies 18 months</t>
  </si>
  <si>
    <t>196325191834</t>
  </si>
  <si>
    <t>Pokemon Big Boys Pokemon Pika Pika Sho Royal L 1416</t>
  </si>
  <si>
    <t>2YPKM3348</t>
  </si>
  <si>
    <t>196325191841</t>
  </si>
  <si>
    <t>Pokemon Big Boys Pokemon Pika Pika Sho Royal XL 1820</t>
  </si>
  <si>
    <t>766380725802</t>
  </si>
  <si>
    <t>First Impressions Baby Girls Dot-Print Sunsuit RedWinter Ivory 18 months</t>
  </si>
  <si>
    <t>100154064BG</t>
  </si>
  <si>
    <t>766380725918</t>
  </si>
  <si>
    <t>First Impressions Baby Girls Dot-Print Sunsuit RedWinter Ivory 24 months</t>
  </si>
  <si>
    <t>766380725925</t>
  </si>
  <si>
    <t>First Impressions Baby Girls Dot-Print Sunsuit RedWinter Ivory 0-3 months</t>
  </si>
  <si>
    <t>766370273061</t>
  </si>
  <si>
    <t>Epic Threads Epic Threads Big Girls Positiv Gossamer Green XL 16</t>
  </si>
  <si>
    <t>100145203GR</t>
  </si>
  <si>
    <t>766370064256</t>
  </si>
  <si>
    <t>Epic Threads Big Girls Be Kind Graphic T-sh Spacious Skies L 1214</t>
  </si>
  <si>
    <t>100145152GR</t>
  </si>
  <si>
    <t>766370827707</t>
  </si>
  <si>
    <t>Epic Threads Epic Threads Big Girls Stay Go Island Orange L 1214</t>
  </si>
  <si>
    <t>100153004GR</t>
  </si>
  <si>
    <t>195861147619</t>
  </si>
  <si>
    <t>Carters Big Girls Floral-Print French Stripe 66x</t>
  </si>
  <si>
    <t>3N703812</t>
  </si>
  <si>
    <t>733001912477</t>
  </si>
  <si>
    <t>First Impressions Baby Boys Giraffe Cotton Sunsu Sunny Yellow 0-3 months</t>
  </si>
  <si>
    <t>100112712BB</t>
  </si>
  <si>
    <t>733003950675</t>
  </si>
  <si>
    <t>ID Ideology Big Girls Stripe-Print Open-Ba Hthr Grey XL 16</t>
  </si>
  <si>
    <t>100130917GR</t>
  </si>
  <si>
    <t>80538131759</t>
  </si>
  <si>
    <t>Trimfit Trimfit Big Girls Glitter Butt Pink, White 6-8</t>
  </si>
  <si>
    <t>TR0058</t>
  </si>
  <si>
    <t>LT/PAS RED</t>
  </si>
  <si>
    <t>TRIMFIT INC GIRLS</t>
  </si>
  <si>
    <t>762120214353</t>
  </si>
  <si>
    <t>ID Ideology Little Girls Be Awesome T-Shir Bright White 5</t>
  </si>
  <si>
    <t>100136781LG</t>
  </si>
  <si>
    <t>195883380674</t>
  </si>
  <si>
    <t>Hybrid Little Boys Animal Crossing Fa Oatmeal Heather 6</t>
  </si>
  <si>
    <t>2TNIN5840</t>
  </si>
  <si>
    <t>195883380643</t>
  </si>
  <si>
    <t>Hybrid Toddler Boys Animal Crossing F Oatmeal Heather 3T</t>
  </si>
  <si>
    <t>195883653594</t>
  </si>
  <si>
    <t>Pokemon Big Boys Pokemon Short Sleeves Navy XL 1820</t>
  </si>
  <si>
    <t>2YPKM3591</t>
  </si>
  <si>
    <t>195883380667</t>
  </si>
  <si>
    <t>Hybrid Little Boys Animal Crossing Fa Oatmeal Heather 5</t>
  </si>
  <si>
    <t>195883380605</t>
  </si>
  <si>
    <t>Hybrid Little Boys Be Brave and Stron Charcoal Snow 6</t>
  </si>
  <si>
    <t>2TSWM0399</t>
  </si>
  <si>
    <t>733003082765</t>
  </si>
  <si>
    <t>ID Ideology Big Girls Core Lace-Up T-Shirt Hthr Grey M 1012</t>
  </si>
  <si>
    <t>100121185GR</t>
  </si>
  <si>
    <t>733003083151</t>
  </si>
  <si>
    <t>ID Ideology Big Girls Core Lace-Up T-Shirt Rose Shadow L 14</t>
  </si>
  <si>
    <t>733003082819</t>
  </si>
  <si>
    <t>ID Ideology Big Girls Core Lace-Up T-Shirt Hthr Grey XL 16</t>
  </si>
  <si>
    <t>766380818528</t>
  </si>
  <si>
    <t>Epic Threads 3489190 Angel White 4T</t>
  </si>
  <si>
    <t>100151588LB</t>
  </si>
  <si>
    <t>766380188676</t>
  </si>
  <si>
    <t>ID Ideology Big Girls Floating Petals Tank Pink Hustle S 78</t>
  </si>
  <si>
    <t>100148210GR</t>
  </si>
  <si>
    <t>766380188690</t>
  </si>
  <si>
    <t>ID Ideology Big Girls Floating Petals Tank Pink Hustle L 14</t>
  </si>
  <si>
    <t>766380188706</t>
  </si>
  <si>
    <t>ID Ideology Big Girls Floating Petals Tank Pink Hustle XL 16</t>
  </si>
  <si>
    <t>766380188683</t>
  </si>
  <si>
    <t>ID Ideology Big Girls Floating Petals Tank Pink Hustle M 1012</t>
  </si>
  <si>
    <t>766370778665</t>
  </si>
  <si>
    <t>Epic Threads Epic Threads Toddler Girls Uni Island Orange 3T</t>
  </si>
  <si>
    <t>100152961LG</t>
  </si>
  <si>
    <t>766360669034</t>
  </si>
  <si>
    <t>Epic Threads Epic Threads Big Girls Tie Dye Washed Indigo S 810</t>
  </si>
  <si>
    <t>100145568GR</t>
  </si>
  <si>
    <t>766360156138</t>
  </si>
  <si>
    <t>First Impressions Baby Girls Freedom Stars Sunsu Bright White 12 months</t>
  </si>
  <si>
    <t>100141049BG</t>
  </si>
  <si>
    <t>766370901308</t>
  </si>
  <si>
    <t>ID Ideology Toddler Little Girls Dream C Bright White 3T</t>
  </si>
  <si>
    <t>100148292LG</t>
  </si>
  <si>
    <t>766380219486</t>
  </si>
  <si>
    <t>First Impressions Toddler Boys Solid Pocket Jogg Tomato Puree 3T</t>
  </si>
  <si>
    <t>100148789TB</t>
  </si>
  <si>
    <t>194135952928</t>
  </si>
  <si>
    <t>Carters Toddler Girls Capri Leggings Pink 2T</t>
  </si>
  <si>
    <t>2N268310</t>
  </si>
  <si>
    <t>194135956766</t>
  </si>
  <si>
    <t>Carters Toddler Girls Capri Leggings Green 3T</t>
  </si>
  <si>
    <t>2N269210</t>
  </si>
  <si>
    <t>766370770621</t>
  </si>
  <si>
    <t>Epic Threads Epic Threads Big Girls Bike Sh Sweet Berry M 810</t>
  </si>
  <si>
    <t>100145567GR</t>
  </si>
  <si>
    <t>766370770539</t>
  </si>
  <si>
    <t>Epic Threads Epic Threads Big Girls Bike Sh Skygaze S 78</t>
  </si>
  <si>
    <t>766380219547</t>
  </si>
  <si>
    <t>First Impressions Toddler Boys Knee Patch Jogger Blue Poppy 3T</t>
  </si>
  <si>
    <t>100148790TB</t>
  </si>
  <si>
    <t>766370425255</t>
  </si>
  <si>
    <t>Epic Threads Toddler Girls Short Sleeves He Blush Pink 4T</t>
  </si>
  <si>
    <t>100158010LG</t>
  </si>
  <si>
    <t>766370902343</t>
  </si>
  <si>
    <t>ID Ideology Little Girls Graphic-Print T-S Lime Peel 6X</t>
  </si>
  <si>
    <t>100148294LG</t>
  </si>
  <si>
    <t>766380189659</t>
  </si>
  <si>
    <t>ID Ideology Little Girls Safari Tiger Tank Mock Orange 5</t>
  </si>
  <si>
    <t>100148296LG</t>
  </si>
  <si>
    <t>766380189680</t>
  </si>
  <si>
    <t>ID Ideology Little Girls Safari Tiger Tank Mock Orange 3T</t>
  </si>
  <si>
    <t>766380189703</t>
  </si>
  <si>
    <t>ID Ideology Little Girls Safari Tiger Tank Mock Orange 6X</t>
  </si>
  <si>
    <t>766380189697</t>
  </si>
  <si>
    <t>ID Ideology Little Girls Safari Tiger Tank Mock Orange 4T</t>
  </si>
  <si>
    <t>766380189673</t>
  </si>
  <si>
    <t>ID Ideology Little Girls Safari Tiger Tank Mock Orange 2T</t>
  </si>
  <si>
    <t>766370446533</t>
  </si>
  <si>
    <t>Epic Threads Toddler Girls Denim Bermuda Sh Dark Denim 3T</t>
  </si>
  <si>
    <t>100145230LG</t>
  </si>
  <si>
    <t>762120061360</t>
  </si>
  <si>
    <t>ID Ideology Big Boys Core Training Shirt Licorice Red L</t>
  </si>
  <si>
    <t>100137755BO</t>
  </si>
  <si>
    <t>762120061346</t>
  </si>
  <si>
    <t>ID Ideology Big Boys Core Training Shirt Licorice Red S</t>
  </si>
  <si>
    <t>766370875319</t>
  </si>
  <si>
    <t>First Impressions Toddler Boys Striped Jogger Pa Angel White 2T</t>
  </si>
  <si>
    <t>100148778TB</t>
  </si>
  <si>
    <t>766370875364</t>
  </si>
  <si>
    <t>First Impressions Toddler Boys Striped Jogger Pa Skygaze 4T</t>
  </si>
  <si>
    <t>766370875357</t>
  </si>
  <si>
    <t>First Impressions Toddler Boys Striped Jogger Pa Skygaze 3T</t>
  </si>
  <si>
    <t>762120057301</t>
  </si>
  <si>
    <t>ID Ideology Little Girls Lace-Up Top Deep Black 4T</t>
  </si>
  <si>
    <t>100130283LG</t>
  </si>
  <si>
    <t>766360646776</t>
  </si>
  <si>
    <t>Epic Threads Little Girls Hearts All Over P Blush Pink 5</t>
  </si>
  <si>
    <t>100145076LG</t>
  </si>
  <si>
    <t>766380266770</t>
  </si>
  <si>
    <t>Epic Threads Toddler Girls Dye Leggings Peppermint Frost 3T</t>
  </si>
  <si>
    <t>100152974LG</t>
  </si>
  <si>
    <t>766380266824</t>
  </si>
  <si>
    <t>Epic Threads Toddler Girls Rainbow Knee Gra Coral Topaz 2T</t>
  </si>
  <si>
    <t>100152975LG</t>
  </si>
  <si>
    <t>766380266763</t>
  </si>
  <si>
    <t>Epic Threads Toddler Girls Dye Leggings Peppermint Frost 2T</t>
  </si>
  <si>
    <t>766360647216</t>
  </si>
  <si>
    <t>Epic Threads Toddler Girls Checkered All Ov Washed Indigo 2T</t>
  </si>
  <si>
    <t>100145118LG</t>
  </si>
  <si>
    <t>766360646738</t>
  </si>
  <si>
    <t>Epic Threads Toddler Girls Stripe All Over Washed Indigo 2T</t>
  </si>
  <si>
    <t>100145075LG</t>
  </si>
  <si>
    <t>766380266749</t>
  </si>
  <si>
    <t>Epic Threads Little Girls Dye Leggings Peppermint Frost 5</t>
  </si>
  <si>
    <t>766380266978</t>
  </si>
  <si>
    <t>Epic Threads Toddler Girls Side Tape Leggin Sky Gaze 4T</t>
  </si>
  <si>
    <t>100152977LG</t>
  </si>
  <si>
    <t>766380266794</t>
  </si>
  <si>
    <t>Epic Threads Little Girls Dye Leggings Peppermint Frost 6X</t>
  </si>
  <si>
    <t>766360685263</t>
  </si>
  <si>
    <t>Epic Threads Little Boys Stegosaurus Graphi Bright White 6</t>
  </si>
  <si>
    <t>100144718LB</t>
  </si>
  <si>
    <t>766380817606</t>
  </si>
  <si>
    <t>Epic Threads Epic Threads Toddler Boys Shor Sodalite Blue 3T</t>
  </si>
  <si>
    <t>100151800LB</t>
  </si>
  <si>
    <t>766360645373</t>
  </si>
  <si>
    <t>Epic Threads Toddler Girls Multi Stripe T-s Spacious Sky 3T</t>
  </si>
  <si>
    <t>100145092LG</t>
  </si>
  <si>
    <t>766370777682</t>
  </si>
  <si>
    <t>Epic Threads Toddler Girls Mermaid Graphic Peppermnt Frost 3T</t>
  </si>
  <si>
    <t>100152945LG</t>
  </si>
  <si>
    <t>766380265834</t>
  </si>
  <si>
    <t>Epic Threads Toddler Girls Watermelon Strip Angel White 3T</t>
  </si>
  <si>
    <t>100152949LG</t>
  </si>
  <si>
    <t>766370777880</t>
  </si>
  <si>
    <t>Epic Threads Epic Threads Little Girls Palm Angel White 6X</t>
  </si>
  <si>
    <t>100152952LG</t>
  </si>
  <si>
    <t>766370827219</t>
  </si>
  <si>
    <t>Epic Threads Epic Threads Little Girls Aloh Angel White 6</t>
  </si>
  <si>
    <t>100152953LG</t>
  </si>
  <si>
    <t>766380265742</t>
  </si>
  <si>
    <t>Epic Threads Epic Threads Little Girls LOV Gossamer Green 5</t>
  </si>
  <si>
    <t>100154966LG</t>
  </si>
  <si>
    <t>766360661816</t>
  </si>
  <si>
    <t>Epic Threads Epic Threads Toddler Girls Sho Gossamer Green 3T</t>
  </si>
  <si>
    <t>100145129LG</t>
  </si>
  <si>
    <t>762120823708</t>
  </si>
  <si>
    <t>ID Ideology Little Boys Core Training Shir Lime Popsicle 4T</t>
  </si>
  <si>
    <t>100137755LB</t>
  </si>
  <si>
    <t>766370869011</t>
  </si>
  <si>
    <t>First Impressions Baby Girls Shell-Print Dress Hthr Dune 0-3 months</t>
  </si>
  <si>
    <t>100150203BG</t>
  </si>
  <si>
    <t>766370868830</t>
  </si>
  <si>
    <t>First Impressions Baby Girls Bow-Strap Knit Dres Sweet Berry 0-3 months</t>
  </si>
  <si>
    <t>100150200BG</t>
  </si>
  <si>
    <t>762120818407</t>
  </si>
  <si>
    <t>ID Ideology Big Boys Core Athletic Tank Deep Black S</t>
  </si>
  <si>
    <t>100141167BO</t>
  </si>
  <si>
    <t>762120818766</t>
  </si>
  <si>
    <t>ID Ideology Big Boys Core Athletic Tank Bright White S</t>
  </si>
  <si>
    <t>762120819107</t>
  </si>
  <si>
    <t>ID Ideology Big Boys Core Athletic Tank Bright White M</t>
  </si>
  <si>
    <t>762120818421</t>
  </si>
  <si>
    <t>ID Ideology Big Boys Core Athletic Tank Deep Black L</t>
  </si>
  <si>
    <t>762120819121</t>
  </si>
  <si>
    <t>ID Ideology Big Boys Core Athletic Tank Bright White XL</t>
  </si>
  <si>
    <t>766370893818</t>
  </si>
  <si>
    <t>ID Ideology Big Boys Core Athletic Tank Licorice Red L</t>
  </si>
  <si>
    <t>194135881020</t>
  </si>
  <si>
    <t>Carters Carters Baby Boys Lil Bro Ori Ivory Newborn</t>
  </si>
  <si>
    <t>1N080210</t>
  </si>
  <si>
    <t>762120495721</t>
  </si>
  <si>
    <t>First Impressions Baby Boys Bright Sky Shirt Oregano 3-6 months</t>
  </si>
  <si>
    <t>100141397BB</t>
  </si>
  <si>
    <t>766370864467</t>
  </si>
  <si>
    <t>First Impressions Toddler Girls Ruffle Trim Shor Playful Pink 2T</t>
  </si>
  <si>
    <t>100149583TG</t>
  </si>
  <si>
    <t>762120495035</t>
  </si>
  <si>
    <t>First Impressions Toddler boys Chambray Shorts Dark Blue 4T</t>
  </si>
  <si>
    <t>100143071TB</t>
  </si>
  <si>
    <t>766380514581</t>
  </si>
  <si>
    <t>Epic Threads Big Girls Rainbow-Print T-Shir Bright White XL 16</t>
  </si>
  <si>
    <t>100154093GR</t>
  </si>
  <si>
    <t>766380221670</t>
  </si>
  <si>
    <t>First Impressions Baby Girls Fashion Bodysuit Pink Fancy 6-9 months</t>
  </si>
  <si>
    <t>100148287BG</t>
  </si>
  <si>
    <t>196325191742</t>
  </si>
  <si>
    <t>Hybrid Big Boys NASA Space Above Shor Black M 1012</t>
  </si>
  <si>
    <t>2YNAS1274</t>
  </si>
  <si>
    <t>196325191759</t>
  </si>
  <si>
    <t>Hybrid Big Boys NASA Space Above Shor Black L 1416</t>
  </si>
  <si>
    <t>766380218038</t>
  </si>
  <si>
    <t>First Impressions Baby Boys Print Jogger Pants Navy Nautical 3-6 months</t>
  </si>
  <si>
    <t>100148833BB</t>
  </si>
  <si>
    <t>766360135621</t>
  </si>
  <si>
    <t>First Impressions Toddler Girls Chambray Ruffle Dark Blue 2T</t>
  </si>
  <si>
    <t>100141171TG</t>
  </si>
  <si>
    <t>766380213965</t>
  </si>
  <si>
    <t>First Impressions Toddler Girls Graffiti Heart L Snow Owl Hthr 3T</t>
  </si>
  <si>
    <t>100150152TG</t>
  </si>
  <si>
    <t>766370860742</t>
  </si>
  <si>
    <t>First Impressions Toddler Girls Ruffle Shoulder Playful Pink 4T</t>
  </si>
  <si>
    <t>100150078TG</t>
  </si>
  <si>
    <t>766380211701</t>
  </si>
  <si>
    <t>First Impressions First Impressions Toddler Girl Blush Pink 3T</t>
  </si>
  <si>
    <t>100150142TG</t>
  </si>
  <si>
    <t>733003083236</t>
  </si>
  <si>
    <t>ID Ideology Big Girls Core Lace-Up T-Shirt Deep Black S 78</t>
  </si>
  <si>
    <t>100130264GR</t>
  </si>
  <si>
    <t>733003083328</t>
  </si>
  <si>
    <t>ID Ideology Big Girls Core Lace-Up T-Shirt Bright White XXL 18</t>
  </si>
  <si>
    <t>766370919440</t>
  </si>
  <si>
    <t>First Impressions Toddler Boys Girls Surf Life Island Orange 3T</t>
  </si>
  <si>
    <t>100148751TB</t>
  </si>
  <si>
    <t>766370873841</t>
  </si>
  <si>
    <t>First Impressions Baby Boys Underwater Adventure Peppermintfrost 3-6 months</t>
  </si>
  <si>
    <t>100148775BB</t>
  </si>
  <si>
    <t>766370873858</t>
  </si>
  <si>
    <t>First Impressions Baby Boys Underwater Adventure Peppermintfrost 6-9 months</t>
  </si>
  <si>
    <t>766380216294</t>
  </si>
  <si>
    <t>First Impressions Baby Boys Striped Jogger Pants Hthr Sterling 12 months</t>
  </si>
  <si>
    <t>100148791BB</t>
  </si>
  <si>
    <t>766370860681</t>
  </si>
  <si>
    <t>First Impressions Toddler Girls Ruffle Shoulder Shady Pink 4T</t>
  </si>
  <si>
    <t>100150076TG</t>
  </si>
  <si>
    <t>766370866119</t>
  </si>
  <si>
    <t>First Impressions Toddler Girls Print Bow-Ankle Peppermint Palm 3T</t>
  </si>
  <si>
    <t>100150095TG</t>
  </si>
  <si>
    <t>766360964009</t>
  </si>
  <si>
    <t>Epic Threads Little Girls Striped Leggings Apple Blossom 4T</t>
  </si>
  <si>
    <t>100142714LG</t>
  </si>
  <si>
    <t>766370864566</t>
  </si>
  <si>
    <t>First Impressions Toddler Girls Palm-Print Bike Sweet Berry 2T</t>
  </si>
  <si>
    <t>100148646TG</t>
  </si>
  <si>
    <t>766370864573</t>
  </si>
  <si>
    <t>First Impressions Toddler Girls Palm-Print Bike Sweet Berry 3T</t>
  </si>
  <si>
    <t>766380211350</t>
  </si>
  <si>
    <t>First Impressions Baby Girls Splatter-Print Tuni Navy Nautical 3-6 months</t>
  </si>
  <si>
    <t>100150144BG</t>
  </si>
  <si>
    <t>766380211343</t>
  </si>
  <si>
    <t>First Impressions Baby Girls Splatter-Print Tuni Navy Nautical 12 months</t>
  </si>
  <si>
    <t>766380211367</t>
  </si>
  <si>
    <t>First Impressions Baby Girls Splatter-Print Tuni Navy Nautical 6-9 months</t>
  </si>
  <si>
    <t>766360108762</t>
  </si>
  <si>
    <t>Epic Threads Big Girls Basic Shirt Aquarius M 810</t>
  </si>
  <si>
    <t>100142592GR</t>
  </si>
  <si>
    <t>766380211381</t>
  </si>
  <si>
    <t>First Impressions Baby Girls Splatter-Print Tuni Navy Nautical 24 months</t>
  </si>
  <si>
    <t>766360108755</t>
  </si>
  <si>
    <t>Epic Threads Big Girls Basic Shirt Aquarius S 7</t>
  </si>
  <si>
    <t>766380211374</t>
  </si>
  <si>
    <t>First Impressions Baby Girls Splatter-Print Tuni Navy Nautical 18 months</t>
  </si>
  <si>
    <t>766360135584</t>
  </si>
  <si>
    <t>First Impressions Toddler Girls Plaid Bloomers Bright White 4T</t>
  </si>
  <si>
    <t>100141134TG</t>
  </si>
  <si>
    <t>766360160852</t>
  </si>
  <si>
    <t>First Impressions Baby Boys Plaid Shorts Flag 6-9 months</t>
  </si>
  <si>
    <t>100141704BB</t>
  </si>
  <si>
    <t>766370872233</t>
  </si>
  <si>
    <t>First Impressions Baby Boys Plaid Shorts Peppermintfrost 18 months</t>
  </si>
  <si>
    <t>100148756BB</t>
  </si>
  <si>
    <t>766360137823</t>
  </si>
  <si>
    <t>First Impressions Baby Boys Gingham Shorts Navy Nautical 3-6 months</t>
  </si>
  <si>
    <t>100141476BB</t>
  </si>
  <si>
    <t>733003928445</t>
  </si>
  <si>
    <t>First Impressions Toddler Boys Cutest Elf Long-S Pewter Heather 4T</t>
  </si>
  <si>
    <t>100130715TB</t>
  </si>
  <si>
    <t>191764580652</t>
  </si>
  <si>
    <t>Jem Graphic-Print T-Shirt, Little Heather Grey 6</t>
  </si>
  <si>
    <t>1TJBWRD4774</t>
  </si>
  <si>
    <t>191764580669</t>
  </si>
  <si>
    <t>Jem Graphic-Print T-Shirt, Little Heather Grey 7</t>
  </si>
  <si>
    <t>766380218298</t>
  </si>
  <si>
    <t>First Impressions Baby Boys Solid Shorts Blue Poppy 6-9 months</t>
  </si>
  <si>
    <t>100151881BB</t>
  </si>
  <si>
    <t>766360113407</t>
  </si>
  <si>
    <t>Epic Threads Little Girls Striped T-Shirt White Multi 2T</t>
  </si>
  <si>
    <t>100147733LG</t>
  </si>
  <si>
    <t>766360113384</t>
  </si>
  <si>
    <t>Epic Threads Little Girls Striped T-Shirt White Multi 5</t>
  </si>
  <si>
    <t>766370862500</t>
  </si>
  <si>
    <t>First Impressions Baby Girls Ruffle Shorts Lime Boost 6-9 months</t>
  </si>
  <si>
    <t>100149583BG</t>
  </si>
  <si>
    <t>766370862548</t>
  </si>
  <si>
    <t>First Impressions Baby Girls Ruffle Shorts Playful Pink 3-6 months</t>
  </si>
  <si>
    <t>766370862487</t>
  </si>
  <si>
    <t>First Impressions Baby Girls Ruffle Shorts Lime Boost 12 months</t>
  </si>
  <si>
    <t>766370866218</t>
  </si>
  <si>
    <t>First Impressions Toddler Girls Solid Capri Legg Ultra Lime 4T</t>
  </si>
  <si>
    <t>100150098TG</t>
  </si>
  <si>
    <t>766370862494</t>
  </si>
  <si>
    <t>First Impressions Baby Girls Ruffle Shorts Lime Boost 3-6 months</t>
  </si>
  <si>
    <t>766370862524</t>
  </si>
  <si>
    <t>First Impressions Baby Girls Ruffle Shorts Lime Boost 24 months</t>
  </si>
  <si>
    <t>766370862517</t>
  </si>
  <si>
    <t>First Impressions Baby Girls Ruffle Shorts Lime Boost 18 months</t>
  </si>
  <si>
    <t>766370862579</t>
  </si>
  <si>
    <t>First Impressions Baby Girls Ruffle Shorts Playful Pink 24 months</t>
  </si>
  <si>
    <t>766370862555</t>
  </si>
  <si>
    <t>First Impressions Baby Girls Ruffle Shorts Playful Pink 6-9 months</t>
  </si>
  <si>
    <t>766380726458</t>
  </si>
  <si>
    <t>First Impressions Baby Boys Polar Bear Party Top Hthr Sterling 3-6 months</t>
  </si>
  <si>
    <t>100152463BB</t>
  </si>
  <si>
    <t>766380726465</t>
  </si>
  <si>
    <t>First Impressions Baby Boys Polar Bear Party Top Hthr Sterling 6-9 months</t>
  </si>
  <si>
    <t>766370618534</t>
  </si>
  <si>
    <t>First Impressions Baby Girls Solid Pants Blush Pink Newborn</t>
  </si>
  <si>
    <t>100150962BG</t>
  </si>
  <si>
    <t>733003927271</t>
  </si>
  <si>
    <t>First Impressions Baby Boys Handsome Penguin Cot Cherry Red 3-6 months</t>
  </si>
  <si>
    <t>100130701BB</t>
  </si>
  <si>
    <t>766380212975</t>
  </si>
  <si>
    <t>First Impressions Baby Girls Freestyle Floral-Pr Blush Pink 18 months</t>
  </si>
  <si>
    <t>100150150BG</t>
  </si>
  <si>
    <t>766380212944</t>
  </si>
  <si>
    <t>First Impressions Baby Girls Freestyle Floral-Pr Blush Pink 12 months</t>
  </si>
  <si>
    <t>766380213309</t>
  </si>
  <si>
    <t>First Impressions Baby Girl COLORFUL SPLATTER L Navy Nautical 3-6 months</t>
  </si>
  <si>
    <t>100150153BG</t>
  </si>
  <si>
    <t>733003927295</t>
  </si>
  <si>
    <t>First Impressions Baby Boys Handsome Penguin Cot Cherry Red 18 months</t>
  </si>
  <si>
    <t>733003927288</t>
  </si>
  <si>
    <t>First Impressions Baby Boys Handsome Penguin Cot Cherry Red 6-9 months</t>
  </si>
  <si>
    <t>766380213316</t>
  </si>
  <si>
    <t>First Impressions Baby Girl COLORFUL SPLATTER L Navy Nautical 6-9 months</t>
  </si>
  <si>
    <t>766380212951</t>
  </si>
  <si>
    <t>First Impressions Baby Girls Freestyle Floral-Pr Blush Pink 3-6 months</t>
  </si>
  <si>
    <t>766370876170</t>
  </si>
  <si>
    <t>First Impressions Toddler Boys Snorkel Shark T-S Orange Surf 3T</t>
  </si>
  <si>
    <t>100148772TB</t>
  </si>
  <si>
    <t>766370876163</t>
  </si>
  <si>
    <t>First Impressions Toddler Boys Snorkel Shark T-S Orange Surf 2T</t>
  </si>
  <si>
    <t>766360963583</t>
  </si>
  <si>
    <t>Epic Threads Epic Threads Little Girls Soli Spring Daffodil 4T</t>
  </si>
  <si>
    <t>100142599LG</t>
  </si>
  <si>
    <t>766380213286</t>
  </si>
  <si>
    <t>First Impressions Baby Girls Heart-Print Legging Snow Owl Hthr 24 months</t>
  </si>
  <si>
    <t>100150152BG</t>
  </si>
  <si>
    <t>766360134334</t>
  </si>
  <si>
    <t>First Impressions Baby Girls Cotton Chambray Ruf Dark Blue 3-6 months</t>
  </si>
  <si>
    <t>100141171BG</t>
  </si>
  <si>
    <t>766380215204</t>
  </si>
  <si>
    <t>First Impressions Baby Boys Colorblocked Shirt Safflower 18 months</t>
  </si>
  <si>
    <t>100148783BB</t>
  </si>
  <si>
    <t>762120496551</t>
  </si>
  <si>
    <t>First Impressions Baby Girls Eyelet Shorts Bright White 6-9 months</t>
  </si>
  <si>
    <t>100141113BG</t>
  </si>
  <si>
    <t>766360134365</t>
  </si>
  <si>
    <t>First Impressions Baby Girls Cotton Chambray Ruf Dark Blue 24 months</t>
  </si>
  <si>
    <t>762120496636</t>
  </si>
  <si>
    <t>First Impressions Baby Girls Eyelet Shorts Spring Daffodil 12 months</t>
  </si>
  <si>
    <t>766370863965</t>
  </si>
  <si>
    <t>First Impressions Baby Girls Shell-Print Bike Sh Violet Tulle 6-9 months</t>
  </si>
  <si>
    <t>100149896BG</t>
  </si>
  <si>
    <t>766370863989</t>
  </si>
  <si>
    <t>First Impressions Baby Girls Shell-Print Bike Sh Violet Tulle 24 months</t>
  </si>
  <si>
    <t>766370863941</t>
  </si>
  <si>
    <t>First Impressions Baby Girls Shell-Print Bike Sh Violet Tulle 12 months</t>
  </si>
  <si>
    <t>766370863958</t>
  </si>
  <si>
    <t>First Impressions Baby Girls Shell-Print Bike Sh Violet Tulle 3-6 months</t>
  </si>
  <si>
    <t>766370618190</t>
  </si>
  <si>
    <t>First Impressions Baby Girls Floral-Print Bodysu Angel White 3-6 months</t>
  </si>
  <si>
    <t>100150959BG</t>
  </si>
  <si>
    <t>762120122696</t>
  </si>
  <si>
    <t>First Impressions Baby Girls Bow-Print Leggings Deep Black 18 months</t>
  </si>
  <si>
    <t>100137322BG</t>
  </si>
  <si>
    <t>766370861510</t>
  </si>
  <si>
    <t>First Impressions Baby Girls Vacay Bow Tank Top Bright White 18 months</t>
  </si>
  <si>
    <t>100150072BG</t>
  </si>
  <si>
    <t>766370864009</t>
  </si>
  <si>
    <t>First Impressions Baby Girls Shells-Print Capri Pink Fruit 3-6 months</t>
  </si>
  <si>
    <t>100150094BG</t>
  </si>
  <si>
    <t>733004919329</t>
  </si>
  <si>
    <t>First Impressions SNOWFAKE SWEETIE LEGGING Washed Indigo 6-9 months</t>
  </si>
  <si>
    <t>100137288BG</t>
  </si>
  <si>
    <t>766370869493</t>
  </si>
  <si>
    <t>First Impressions Baby Boys Palm Tree-Print Shir Skygaze 6-9 months</t>
  </si>
  <si>
    <t>100148746BB</t>
  </si>
  <si>
    <t>766370869486</t>
  </si>
  <si>
    <t>First Impressions Baby Boys Palm Tree-Print Shir Skygaze 3-6 months</t>
  </si>
  <si>
    <t>193666794236</t>
  </si>
  <si>
    <t>Maidenform Maidenform Big Girls Printed S Blu Tiedye Hrt M 78</t>
  </si>
  <si>
    <t>NYLON/SPANDEX</t>
  </si>
  <si>
    <t>766360124243</t>
  </si>
  <si>
    <t>First Impressions Baby Boys Girls Hedgehog Bod Angel White 3-6 months</t>
  </si>
  <si>
    <t>766380211046</t>
  </si>
  <si>
    <t>First Impressions Baby Girls Skater Pup Long-Sle Blush Pink 3-6 months</t>
  </si>
  <si>
    <t>100150142BG</t>
  </si>
  <si>
    <t>762120854627</t>
  </si>
  <si>
    <t>Epic Threads Little Boys T-Shirt Orange Peel 4T</t>
  </si>
  <si>
    <t>100142612LB</t>
  </si>
  <si>
    <t>766380211077</t>
  </si>
  <si>
    <t>First Impressions Baby Girls Skater Pup Long-Sle Blush Pink 24 months</t>
  </si>
  <si>
    <t>762120854641</t>
  </si>
  <si>
    <t>Epic Threads Little Boys T-Shirt Orange Peel 3T</t>
  </si>
  <si>
    <t>766370862449</t>
  </si>
  <si>
    <t>First Impressions Baby Girls Party Fruit Top Shady Pink 3-6 months</t>
  </si>
  <si>
    <t>100150076BG</t>
  </si>
  <si>
    <t>766370862456</t>
  </si>
  <si>
    <t>First Impressions Baby Girls Party Fruit Top Shady Pink 6-9 months</t>
  </si>
  <si>
    <t>766360111779</t>
  </si>
  <si>
    <t>Epic Threads Little Girls Basic T-Shirt Shell Pink 5</t>
  </si>
  <si>
    <t>100142591LG</t>
  </si>
  <si>
    <t>766370864337</t>
  </si>
  <si>
    <t>First Impressions Baby Girl Tie-Dyed Palm Tree S Hthr Dune 24 months</t>
  </si>
  <si>
    <t>100150138BG</t>
  </si>
  <si>
    <t>766370864313</t>
  </si>
  <si>
    <t>First Impressions Baby Girl Tie-Dyed Palm Tree S Hthr Dune 6-9 months</t>
  </si>
  <si>
    <t>766370864290</t>
  </si>
  <si>
    <t>First Impressions Baby Girl Tie-Dyed Palm Tree S Hthr Dune 12 months</t>
  </si>
  <si>
    <t>766370864320</t>
  </si>
  <si>
    <t>First Impressions Baby Girl Tie-Dyed Palm Tree S Hthr Dune 18 months</t>
  </si>
  <si>
    <t>766370864061</t>
  </si>
  <si>
    <t>First Impressions Baby Girls Shells-Print Capri Peppermint Palm 6-9 months</t>
  </si>
  <si>
    <t>100150095BG</t>
  </si>
  <si>
    <t>766370864306</t>
  </si>
  <si>
    <t>First Impressions Baby Girl Tie-Dyed Palm Tree S Hthr Dune 3-6 months</t>
  </si>
  <si>
    <t>766370864054</t>
  </si>
  <si>
    <t>First Impressions Baby Girls Shells-Print Capri Peppermint Palm 3-6 months</t>
  </si>
  <si>
    <t>766360132996</t>
  </si>
  <si>
    <t>First Impressions Baby Girls Mommys Sunshine T- Spring Daffodil 6-9 months</t>
  </si>
  <si>
    <t>100141127BG</t>
  </si>
  <si>
    <t>766360158927</t>
  </si>
  <si>
    <t>First Impressions Baby Girls Tie Dye Biker Short Bright White 6-9 months</t>
  </si>
  <si>
    <t>100141170BG</t>
  </si>
  <si>
    <t>766370869806</t>
  </si>
  <si>
    <t>First Impressions Baby Boys Tank Skygaze 12 months</t>
  </si>
  <si>
    <t>100148773BB</t>
  </si>
  <si>
    <t>766370869851</t>
  </si>
  <si>
    <t>First Impressions Baby Boys Tank Skygaze 18 months</t>
  </si>
  <si>
    <t>766360158941</t>
  </si>
  <si>
    <t>First Impressions Baby Girls Tie Dye Biker Short Bright White 24 months</t>
  </si>
  <si>
    <t>766370863491</t>
  </si>
  <si>
    <t>First Impressions Baby Girls Palm-Print Bike Sho Sweet Berry 12 months</t>
  </si>
  <si>
    <t>100148646BG</t>
  </si>
  <si>
    <t>766370863514</t>
  </si>
  <si>
    <t>First Impressions Baby Girls Palm-Print Bike Sho Sweet Berry 6-9 months</t>
  </si>
  <si>
    <t>766370863507</t>
  </si>
  <si>
    <t>First Impressions Baby Girls Palm-Print Bike Sho Sweet Berry 3-6 months</t>
  </si>
  <si>
    <t>766370863521</t>
  </si>
  <si>
    <t>First Impressions Baby Girls Palm-Print Bike Sho Sweet Berry 18 months</t>
  </si>
  <si>
    <t>766360161927</t>
  </si>
  <si>
    <t>First Impressions Baby Boys Awesome Sauce Cotton Bright White 6-9 months</t>
  </si>
  <si>
    <t>100141664BB</t>
  </si>
  <si>
    <t>766370874039</t>
  </si>
  <si>
    <t>First Impressions Baby Boys Joggers Turq Splash 3-6 months</t>
  </si>
  <si>
    <t>100148777BB</t>
  </si>
  <si>
    <t>766360161903</t>
  </si>
  <si>
    <t>First Impressions Baby Boys Awesome Sauce Cotton Bright White 12 months</t>
  </si>
  <si>
    <t>766360157678</t>
  </si>
  <si>
    <t>First Impressions Baby Girls Eyelet Ruffle Shirt Bright White 3-6 months</t>
  </si>
  <si>
    <t>100141122BG</t>
  </si>
  <si>
    <t>766380726434</t>
  </si>
  <si>
    <t>LOCATION</t>
  </si>
  <si>
    <t>LOT #</t>
  </si>
  <si>
    <t>CATEGORY</t>
  </si>
  <si>
    <t>SEASON CODE</t>
  </si>
  <si>
    <t>ORIGINAL RETAIL</t>
  </si>
  <si>
    <t>CHILDRENS APPAREL &amp; ACCESSORIES</t>
  </si>
  <si>
    <t>PRIMARILY SPRING AND SUMMER</t>
  </si>
  <si>
    <t>JOPPA CRC, JOPPA, MD</t>
  </si>
  <si>
    <t># OF
PALLETS</t>
  </si>
  <si>
    <t># OF
UNITS</t>
  </si>
  <si>
    <t>ORIGINAL
RETAIL</t>
  </si>
  <si>
    <t>UPC</t>
  </si>
  <si>
    <t>ITEM DESCRIPTION</t>
  </si>
  <si>
    <t>ORIGINAL QTY</t>
  </si>
  <si>
    <t>TOTAL ORIGINAL RETAIL</t>
  </si>
  <si>
    <t>VENDOR / STYLE #</t>
  </si>
  <si>
    <t>COLOR</t>
  </si>
  <si>
    <t>SIZE</t>
  </si>
  <si>
    <t>DIVISION</t>
  </si>
  <si>
    <t>DEPARTMENT NAME</t>
  </si>
  <si>
    <t>VENDOR NAME</t>
  </si>
  <si>
    <t>COUNTRY OF ORIGIN</t>
  </si>
  <si>
    <t>FABRIC CONTENT</t>
  </si>
  <si>
    <t>IMAGE</t>
  </si>
  <si>
    <t>194953489965</t>
  </si>
  <si>
    <t>Nike Nike Sportswear Big Boys 2 Pie Black, White XLarge</t>
  </si>
  <si>
    <t>DD0324</t>
  </si>
  <si>
    <t>CHARCOAL</t>
  </si>
  <si>
    <t>XLRG</t>
  </si>
  <si>
    <t>MCY</t>
  </si>
  <si>
    <t>2-20 ACTIVE</t>
  </si>
  <si>
    <t>NIKE</t>
  </si>
  <si>
    <t>8719323587878</t>
  </si>
  <si>
    <t>OppoSuits TEEN BOYS Black Knight Black 16</t>
  </si>
  <si>
    <t>OSTB-0008</t>
  </si>
  <si>
    <t>BLACK</t>
  </si>
  <si>
    <t>16</t>
  </si>
  <si>
    <t>DRESSWEAR2-20</t>
  </si>
  <si>
    <t>OPPOSUITS USA INC</t>
  </si>
  <si>
    <t>IMPORTED</t>
  </si>
  <si>
    <t>100% POLYESTER</t>
  </si>
  <si>
    <t>882925088734</t>
  </si>
  <si>
    <t>Polo Ralph Lauren Baby Girls Logo Top and Stretc Adirondack Rose 12 months</t>
  </si>
  <si>
    <t>PINK</t>
  </si>
  <si>
    <t>12MOS</t>
  </si>
  <si>
    <t>INFANT COLL</t>
  </si>
  <si>
    <t>RL CHILDRENSWEAR/POLO RALPH LAUREN</t>
  </si>
  <si>
    <t>TOP: 100% COTTON; LEGGINGS: 92% COTTON/8% ELASTANE</t>
  </si>
  <si>
    <t>882925088741</t>
  </si>
  <si>
    <t>Polo Ralph Lauren Baby Girls Logo Top and Stretc Adirondack Rose 18 months</t>
  </si>
  <si>
    <t>18MOS</t>
  </si>
  <si>
    <t>882925928665</t>
  </si>
  <si>
    <t>Polo Ralph Lauren Toddler Boys Big Pony Fleece H Cruise Navy 2T</t>
  </si>
  <si>
    <t>NAVY</t>
  </si>
  <si>
    <t>2T</t>
  </si>
  <si>
    <t>2-20 POLO FAS</t>
  </si>
  <si>
    <t>194953490039</t>
  </si>
  <si>
    <t>Nike Nike Sportswear Big Boys 2 Pie Smoke Gray, Light Smoke Gray, Small</t>
  </si>
  <si>
    <t>GRAY</t>
  </si>
  <si>
    <t>SML</t>
  </si>
  <si>
    <t>882925889317</t>
  </si>
  <si>
    <t>Polo Ralph Lauren Big Boys Madras Short-Sleeve S 5612 Blue, Red, Multi XL 1820</t>
  </si>
  <si>
    <t>ASSORTED</t>
  </si>
  <si>
    <t>882925878908</t>
  </si>
  <si>
    <t>Polo Ralph Lauren Toddler Boys Polo Prepster Mes Lake Blue Multi 3T</t>
  </si>
  <si>
    <t>3T SLIM</t>
  </si>
  <si>
    <t>882925880192</t>
  </si>
  <si>
    <t>Polo Ralph Lauren Toddler Boys Color-Blocked Spa Andover Heather Multi 3T</t>
  </si>
  <si>
    <t>766390062058</t>
  </si>
  <si>
    <t>Epic Threads Big Girls Stella Hoodie Angel White M 810</t>
  </si>
  <si>
    <t>100158789GR</t>
  </si>
  <si>
    <t>WHITE</t>
  </si>
  <si>
    <t>MED</t>
  </si>
  <si>
    <t>EPICTHREADS G</t>
  </si>
  <si>
    <t>EPIC THREADS-MMG</t>
  </si>
  <si>
    <t>882925892584</t>
  </si>
  <si>
    <t>Polo Ralph Lauren Big Boys Camo Jersey T-shirt Southern Orange Montauk Camo XL 1820</t>
  </si>
  <si>
    <t>GREEN</t>
  </si>
  <si>
    <t>COTTON</t>
  </si>
  <si>
    <t>190618961395</t>
  </si>
  <si>
    <t>Polo Ralph Lauren Little Boys Big Pony Long-Slee White 5</t>
  </si>
  <si>
    <t>5</t>
  </si>
  <si>
    <t>882925892553</t>
  </si>
  <si>
    <t>Polo Ralph Lauren Big Boys Camo Jersey T-shirt Southern Orange Montauk Camo L 1416</t>
  </si>
  <si>
    <t>LRG</t>
  </si>
  <si>
    <t>882925088413</t>
  </si>
  <si>
    <t>Polo Ralph Lauren Baby Girls Logo Jersey Dress a Adirondack Rose 6 months</t>
  </si>
  <si>
    <t>6MOS</t>
  </si>
  <si>
    <t>882925892577</t>
  </si>
  <si>
    <t>Polo Ralph Lauren Big Boys Camo Jersey T-shirt Southern Orange Montauk Camo S 810</t>
  </si>
  <si>
    <t>190618772830</t>
  </si>
  <si>
    <t>Polo Ralph Lauren Big Boys Big Pony Jersey T-shi Cruise Navy L 1416</t>
  </si>
  <si>
    <t>190618958050</t>
  </si>
  <si>
    <t>Polo Ralph Lauren Toddler Boys Big Pony Long-Sle White 33T</t>
  </si>
  <si>
    <t>195958471603</t>
  </si>
  <si>
    <t>Blueberi Boulevard Little Girls 2 Piece Faux Fur Blue 6X</t>
  </si>
  <si>
    <t>MAB25203</t>
  </si>
  <si>
    <t>6X</t>
  </si>
  <si>
    <t>GRLS 2-6X DRS</t>
  </si>
  <si>
    <t>BLUEBERRY BLVD/KHQ INVESTMENT LLC</t>
  </si>
  <si>
    <t>194170382056</t>
  </si>
  <si>
    <t>Rare Editions Rare Editions Baby Girls Satin Blush 6-9 months</t>
  </si>
  <si>
    <t>E893532</t>
  </si>
  <si>
    <t>DARK PINK</t>
  </si>
  <si>
    <t>6-9MOS</t>
  </si>
  <si>
    <t>GIRLS 3-24 MO</t>
  </si>
  <si>
    <t>RARE EDITIONS</t>
  </si>
  <si>
    <t>882925914613</t>
  </si>
  <si>
    <t>Polo Ralph Lauren Toddler Girls Eyelet Jersey To Blue 22T</t>
  </si>
  <si>
    <t>2-16 G/POL FA</t>
  </si>
  <si>
    <t>190618768468</t>
  </si>
  <si>
    <t>Polo Ralph Lauren Toddler Boys Jersey T-shirt Andover Heather 4T</t>
  </si>
  <si>
    <t>4T SLIM</t>
  </si>
  <si>
    <t>190618770638</t>
  </si>
  <si>
    <t>Polo Ralph Lauren Little Boys Big Pony Jersey T- Andover Heather 4</t>
  </si>
  <si>
    <t>4</t>
  </si>
  <si>
    <t>194170308056</t>
  </si>
  <si>
    <t>Rare Editions Big Girls Satin Skater Dress w Navy 14</t>
  </si>
  <si>
    <t>H433261</t>
  </si>
  <si>
    <t>14</t>
  </si>
  <si>
    <t>7-16 DRESSES</t>
  </si>
  <si>
    <t>617847155338</t>
  </si>
  <si>
    <t>Levis Big Boys Slim-Fit Stretch Jean Indigo Canvas 14</t>
  </si>
  <si>
    <t>919001F</t>
  </si>
  <si>
    <t>BLUE</t>
  </si>
  <si>
    <t>LEVIBOYS 8-20</t>
  </si>
  <si>
    <t>LEVI'S/HADDAD APPAREL GROUP</t>
  </si>
  <si>
    <t>COTTON/POLYESTER/LYOCELL/VISCOSE/ELASTANE</t>
  </si>
  <si>
    <t>195958723481</t>
  </si>
  <si>
    <t>Blueberi Boulevard Baby Girls Shrug Cardigan and Multi 12 months</t>
  </si>
  <si>
    <t>MAB11397</t>
  </si>
  <si>
    <t>NEW BLUEBERRI/KHQ INVESTMENT LLC</t>
  </si>
  <si>
    <t>745644634234</t>
  </si>
  <si>
    <t>Little Me Baby Boys Golf Woven Pant Set Blue 24 months</t>
  </si>
  <si>
    <t>LPB10599I</t>
  </si>
  <si>
    <t>LT/PASBLUE</t>
  </si>
  <si>
    <t>24MOS</t>
  </si>
  <si>
    <t>LAYETTE</t>
  </si>
  <si>
    <t>JETSET-MAMIYE BROTHERS</t>
  </si>
  <si>
    <t>652874419404</t>
  </si>
  <si>
    <t>Speechless Speechless Big Girls Casual V- Blush Fushia 16</t>
  </si>
  <si>
    <t>S4162D03WA36</t>
  </si>
  <si>
    <t>MED PINK</t>
  </si>
  <si>
    <t>SWAT FAME INC</t>
  </si>
  <si>
    <t>652874423241</t>
  </si>
  <si>
    <t>Speechless Speechless Big Girls Casual V- Blue 14</t>
  </si>
  <si>
    <t>S4245D01WA36</t>
  </si>
  <si>
    <t>BGEOVERFLW</t>
  </si>
  <si>
    <t>807421780258</t>
  </si>
  <si>
    <t>Nike Nike Little Boys Thrill Shorts Game Royal 7</t>
  </si>
  <si>
    <t>86J173G</t>
  </si>
  <si>
    <t>MED BLUE</t>
  </si>
  <si>
    <t>7</t>
  </si>
  <si>
    <t>NIKE 2-7/HADDAD GROUP</t>
  </si>
  <si>
    <t>MADE IN VIETNAM</t>
  </si>
  <si>
    <t>COTTON/POLYESTER</t>
  </si>
  <si>
    <t>194870759677</t>
  </si>
  <si>
    <t>adidas Toddler Boys Tiger Camo T-Shir Orange Rush 3T</t>
  </si>
  <si>
    <t>AG6362C</t>
  </si>
  <si>
    <t>BRGHTORANG</t>
  </si>
  <si>
    <t>ADIDAS 2-7/LOLLYTOGS LTD</t>
  </si>
  <si>
    <t>194170434687</t>
  </si>
  <si>
    <t>Rare Editions Baby Girls Rib Knit Printed Ti Ivory 18 months</t>
  </si>
  <si>
    <t>F896032</t>
  </si>
  <si>
    <t>195238046583</t>
  </si>
  <si>
    <t>Nike Nike Big Girls Dri-Fit One Leg Pink Foam Blue VoidLight Smo L 14</t>
  </si>
  <si>
    <t>DD8015</t>
  </si>
  <si>
    <t>GIRLS ACTIVE</t>
  </si>
  <si>
    <t>766390062126</t>
  </si>
  <si>
    <t>Epic Threads Big Girls Stella Jogger Pants Angel White S 7</t>
  </si>
  <si>
    <t>100158797GR</t>
  </si>
  <si>
    <t>766390023295</t>
  </si>
  <si>
    <t>Epic Threads Big Boys Blaise Shorts Skygaze XL 20</t>
  </si>
  <si>
    <t>100158779BO</t>
  </si>
  <si>
    <t>EPCTHRD B2-20</t>
  </si>
  <si>
    <t>194870761939</t>
  </si>
  <si>
    <t>adidas Baby Girls 2 Piece Winning 3-S White 12 months</t>
  </si>
  <si>
    <t>AG4576N</t>
  </si>
  <si>
    <t>ADIDAS/LOLLYTOGS LTD</t>
  </si>
  <si>
    <t>807421579876</t>
  </si>
  <si>
    <t>Nike Nike Baby Girls Crossover Tuni Bright Mango 24 months</t>
  </si>
  <si>
    <t>16J114G</t>
  </si>
  <si>
    <t>LT/PAS ORG</t>
  </si>
  <si>
    <t>NIKE/HADDAD APPAREL GROUP</t>
  </si>
  <si>
    <t>194257619075</t>
  </si>
  <si>
    <t>Champion Little Boys Script Fleece Hood Concrete, Darker Concrete 7</t>
  </si>
  <si>
    <t>CHY852</t>
  </si>
  <si>
    <t>LT/PAS GRY</t>
  </si>
  <si>
    <t>CHAMPION 2-7/BELUGA INC</t>
  </si>
  <si>
    <t>194257619020</t>
  </si>
  <si>
    <t>Champion Toddler Boys Script Fleece Hoo Concrete, Darker Concrete 2T</t>
  </si>
  <si>
    <t>807421572914</t>
  </si>
  <si>
    <t>Nike Nike Toddler Boys Block Dri-FI Black, Carbon Heather 3T</t>
  </si>
  <si>
    <t>76J195G</t>
  </si>
  <si>
    <t>194170354930</t>
  </si>
  <si>
    <t>Rare Editions Big Girls Chiffon Dress and De Lilac 8</t>
  </si>
  <si>
    <t>E491712</t>
  </si>
  <si>
    <t>LT/PAS PUR</t>
  </si>
  <si>
    <t>8</t>
  </si>
  <si>
    <t>RARE EDITIONS FOR GIRLS-CONSIGNEMNT</t>
  </si>
  <si>
    <t>194170469443</t>
  </si>
  <si>
    <t>Rare Editions Baby Girls Solid Knit Top and Rust 12M</t>
  </si>
  <si>
    <t>F810302</t>
  </si>
  <si>
    <t>RUSTCOPPER</t>
  </si>
  <si>
    <t>191539906526</t>
  </si>
  <si>
    <t>Bonnie Baby Baby Girls Sleeveless Multi Co Denim 6-9 months</t>
  </si>
  <si>
    <t>S5-10147-PV</t>
  </si>
  <si>
    <t>BONNIE JEAN/GERSON &amp; GERSON</t>
  </si>
  <si>
    <t>807421519483</t>
  </si>
  <si>
    <t>Nike Nike Baby Boy Amplify Set, 2 P Midnight Navy 24 months</t>
  </si>
  <si>
    <t>66J223G</t>
  </si>
  <si>
    <t>BOYS 3-24 MON</t>
  </si>
  <si>
    <t>194170408237</t>
  </si>
  <si>
    <t>Rare Editions Big Girls Knit Top and Challis Black 14</t>
  </si>
  <si>
    <t>S414542</t>
  </si>
  <si>
    <t>194170412302</t>
  </si>
  <si>
    <t>Rare Editions Big Girls Rib Knit Top and Pri Mustard 10</t>
  </si>
  <si>
    <t>S414582</t>
  </si>
  <si>
    <t>MED YELLOW</t>
  </si>
  <si>
    <t>194170408220</t>
  </si>
  <si>
    <t>Rare Editions Big Girls Knit Top and Challis Black 12</t>
  </si>
  <si>
    <t>12</t>
  </si>
  <si>
    <t>194170412418</t>
  </si>
  <si>
    <t>Rare Editions Big Girls Knit Smocked Top and White 16</t>
  </si>
  <si>
    <t>S414852</t>
  </si>
  <si>
    <t>807421837716</t>
  </si>
  <si>
    <t>Levis Levis Big Girls Daisy Print S Truth Unfolds 16</t>
  </si>
  <si>
    <t>41E612F</t>
  </si>
  <si>
    <t>2-16 BR SPRTS</t>
  </si>
  <si>
    <t>LEVI'S/HADDAD APPAREL-BIG</t>
  </si>
  <si>
    <t>633716778804</t>
  </si>
  <si>
    <t>Levis Levis Toddler Boys 502 Non De Quiet Shade 2T</t>
  </si>
  <si>
    <t>716305F</t>
  </si>
  <si>
    <t>MED GRAY</t>
  </si>
  <si>
    <t>BOYS 2-7</t>
  </si>
  <si>
    <t>30673990247</t>
  </si>
  <si>
    <t>Nike Nike Big Boys Block Logo Break University Red L</t>
  </si>
  <si>
    <t>NESSC785DS</t>
  </si>
  <si>
    <t>MEDIUM RED</t>
  </si>
  <si>
    <t>KIDS SWIMWEAR</t>
  </si>
  <si>
    <t>NIKE SWIM/SUPREME/PERRY ELLIS BOYS</t>
  </si>
  <si>
    <t>766370068827</t>
  </si>
  <si>
    <t>Epic Threads Epic Threads Big Girls All Ove Light Wash Floral 10</t>
  </si>
  <si>
    <t>100145595GR</t>
  </si>
  <si>
    <t>EPIC THREADS-EDI/TOPSVILLE INC</t>
  </si>
  <si>
    <t>194870827529</t>
  </si>
  <si>
    <t>adidas Big Boys Aeroready Gradient 3- Glory Blue M 1012</t>
  </si>
  <si>
    <t>AH5625</t>
  </si>
  <si>
    <t>BRIGHTBLUE</t>
  </si>
  <si>
    <t>ADIDAS 8-20/LOLLYTOGS LTD</t>
  </si>
  <si>
    <t>194870452004</t>
  </si>
  <si>
    <t>adidas Big Girls Aeroready Colorblock Black with Green M 1012</t>
  </si>
  <si>
    <t>AK4767</t>
  </si>
  <si>
    <t>ADIDAS (SZ 7-16)/LOLLYTOGS LTD</t>
  </si>
  <si>
    <t>191539907905</t>
  </si>
  <si>
    <t>Bonnie Baby Baby Girls Knit Top with Foile Gold Tone 3-6 months</t>
  </si>
  <si>
    <t>S5-10054-SV</t>
  </si>
  <si>
    <t>GOLD</t>
  </si>
  <si>
    <t>3-6MOS</t>
  </si>
  <si>
    <t>677838732467</t>
  </si>
  <si>
    <t>Nike Nike Little Boys Drawstring Sp Black 6</t>
  </si>
  <si>
    <t>86G710G</t>
  </si>
  <si>
    <t>6</t>
  </si>
  <si>
    <t>195958331242</t>
  </si>
  <si>
    <t>Calvin Klein Calvin Klein Toddler Boys Shor Lime 4T</t>
  </si>
  <si>
    <t>3M42035-99</t>
  </si>
  <si>
    <t>CALVIN KLEIN/KHQ INVESTMENT LLC</t>
  </si>
  <si>
    <t>195958461529</t>
  </si>
  <si>
    <t>Calvin Klein Little Girls Plaid Muslin Tuni Green 6</t>
  </si>
  <si>
    <t>3M22039-99</t>
  </si>
  <si>
    <t>GRLS 2-6X COL</t>
  </si>
  <si>
    <t>195958611191</t>
  </si>
  <si>
    <t>Tommy Hilfiger Tommy Hilfiger Little Girls Fi Gray 6</t>
  </si>
  <si>
    <t>61M22008-99</t>
  </si>
  <si>
    <t>TOMMY HILFIGER/KHQ INVESTMENT</t>
  </si>
  <si>
    <t>886608345657</t>
  </si>
  <si>
    <t>Volcom Boys Frickin Chino Shorts Black 23</t>
  </si>
  <si>
    <t>C0911800</t>
  </si>
  <si>
    <t>23</t>
  </si>
  <si>
    <t>KIDS SURF</t>
  </si>
  <si>
    <t>VOLCOM INC</t>
  </si>
  <si>
    <t>RECYCLED POLYESTER/COTTON</t>
  </si>
  <si>
    <t>195958624009</t>
  </si>
  <si>
    <t>Timberland Timberland Big Boys Tree Logo Black XL 1820</t>
  </si>
  <si>
    <t>TLSFC04F-001</t>
  </si>
  <si>
    <t>8-20 CLSFCTNS</t>
  </si>
  <si>
    <t>TIMBERLAND/KHQ INVESTMENT CONSIGN</t>
  </si>
  <si>
    <t>807421546236</t>
  </si>
  <si>
    <t>Nike Nike Little Boys Read Shorts Midnight Navy 4</t>
  </si>
  <si>
    <t>86J059G</t>
  </si>
  <si>
    <t>766390156191</t>
  </si>
  <si>
    <t>First Impressions Baby Boys 3-Pc. Plaid Shirt, V Deep Black 0-3 months</t>
  </si>
  <si>
    <t>100158199BB</t>
  </si>
  <si>
    <t>1ST IMPRESSNS</t>
  </si>
  <si>
    <t>FIRST IMPRESSIONS-MMG</t>
  </si>
  <si>
    <t>194501556552</t>
  </si>
  <si>
    <t>Nike Nike Big Boys Dri-Fit Training Smoke Gray, White Small</t>
  </si>
  <si>
    <t>CU8959</t>
  </si>
  <si>
    <t>633731026621</t>
  </si>
  <si>
    <t>Levis Baby Girls 2-Pc. Logo T-Shirt White 24 months</t>
  </si>
  <si>
    <t>11A079F</t>
  </si>
  <si>
    <t>TOP: COTTON; LEGGINGS: COTTON/POLYESTER/ELASTANE</t>
  </si>
  <si>
    <t>766360157098</t>
  </si>
  <si>
    <t>First Impressions Baby Boys 3Pc. Seersucker Swim Sundrop 24 months</t>
  </si>
  <si>
    <t>100141040BB</t>
  </si>
  <si>
    <t>LT/PAS YEL</t>
  </si>
  <si>
    <t>733004951206</t>
  </si>
  <si>
    <t>First Impressions Baby Boys 3-Pc. Critters Hat, Bright White 12 months</t>
  </si>
  <si>
    <t>100135706BB</t>
  </si>
  <si>
    <t>733004951237</t>
  </si>
  <si>
    <t>First Impressions Baby Boys 3-Pc. Critters Hat, Bright White 18 months</t>
  </si>
  <si>
    <t>196325161707</t>
  </si>
  <si>
    <t>Evy of California Evy of California Little Girls Multi 4</t>
  </si>
  <si>
    <t>T000075GPIG334</t>
  </si>
  <si>
    <t>YELLOW</t>
  </si>
  <si>
    <t>GRLS2-16 CLAS</t>
  </si>
  <si>
    <t>EVY/EVY OF CALIFORNIA-LITTLE</t>
  </si>
  <si>
    <t>196325161684</t>
  </si>
  <si>
    <t>Evy of California Eve of California Toddler Girl Multi 2T</t>
  </si>
  <si>
    <t>194135953543</t>
  </si>
  <si>
    <t>Carters Little Girls Snug Fit T-shirt, Sunflower 5</t>
  </si>
  <si>
    <t>3M977710</t>
  </si>
  <si>
    <t>CARTER TODLER</t>
  </si>
  <si>
    <t>WILLIAM CARTER-TODDLER SLEEPWEAR</t>
  </si>
  <si>
    <t>195861286332</t>
  </si>
  <si>
    <t>Carters Carters Big Girls Pajama and Peace Out 14</t>
  </si>
  <si>
    <t>3N991810</t>
  </si>
  <si>
    <t>195958650404</t>
  </si>
  <si>
    <t>Tommy Hilfiger Tommy Hilfiger Baby Boys Knit Red 24 months</t>
  </si>
  <si>
    <t>61M70102-99</t>
  </si>
  <si>
    <t>195958659971</t>
  </si>
  <si>
    <t>Tommy Hilfiger Big Boys Graphic Knit Shorts Bright White M 1214</t>
  </si>
  <si>
    <t>TBSFC06F-100</t>
  </si>
  <si>
    <t>TH BOYS 8-20</t>
  </si>
  <si>
    <t>TOMMY HILFIGER/KHQ INVESTMENTS LLC</t>
  </si>
  <si>
    <t>195958659452</t>
  </si>
  <si>
    <t>Tommy Hilfiger Tommy Hilfiger Big Boys Tie Dy Navy Blazer M 1214</t>
  </si>
  <si>
    <t>TBSFC03F-405</t>
  </si>
  <si>
    <t>DARK BLUE</t>
  </si>
  <si>
    <t>633716934132</t>
  </si>
  <si>
    <t>Jordan Jordan Little Boys Jumpman Air Carbon Heather 7</t>
  </si>
  <si>
    <t>856129G</t>
  </si>
  <si>
    <t>SILVER</t>
  </si>
  <si>
    <t>JORDAN 2-7/HADDAD APPAREL GROUP</t>
  </si>
  <si>
    <t>194870776575</t>
  </si>
  <si>
    <t>adidas Big Boys Elastic Waistband Bol Black L 1416</t>
  </si>
  <si>
    <t>AH5618</t>
  </si>
  <si>
    <t>825663322357</t>
  </si>
  <si>
    <t>Jordan Jordan Big Boys Jumpman Dip Dy Gym Red S 8</t>
  </si>
  <si>
    <t>95B547G</t>
  </si>
  <si>
    <t>DARK RED</t>
  </si>
  <si>
    <t>JORDAN/HADDAD APPAREL GROUP LTD</t>
  </si>
  <si>
    <t>195958893832</t>
  </si>
  <si>
    <t>Blueberi Boulevard Baby Girls Mesh Gingham Tiered Orange, White 3-6 months</t>
  </si>
  <si>
    <t>MAB11458</t>
  </si>
  <si>
    <t>ORANGE</t>
  </si>
  <si>
    <t>195958484627</t>
  </si>
  <si>
    <t>Timberland Timberland Little Boys Logo Po Off White 5</t>
  </si>
  <si>
    <t>41M52013-99</t>
  </si>
  <si>
    <t>TIMBERLAND/KHQ INVESTMENT LLC</t>
  </si>
  <si>
    <t>195958484573</t>
  </si>
  <si>
    <t>Timberland Timberland Toddler Boys Signat Brown Sugar 3T</t>
  </si>
  <si>
    <t>41M42014-99</t>
  </si>
  <si>
    <t>195958542426</t>
  </si>
  <si>
    <t>Calvin Klein Calvin Klein Toddler Boys 2 Pi Navy 2T</t>
  </si>
  <si>
    <t>3M42068-99</t>
  </si>
  <si>
    <t>195958403345</t>
  </si>
  <si>
    <t>Calvin Klein Calvin Klein Little Boys Overs Black 5</t>
  </si>
  <si>
    <t>3M52051-99</t>
  </si>
  <si>
    <t>766370069138</t>
  </si>
  <si>
    <t>Epic Threads Big Girls Floral All Over Prin Angel White M 810</t>
  </si>
  <si>
    <t>100145630GR</t>
  </si>
  <si>
    <t>766370069053</t>
  </si>
  <si>
    <t>Epic Threads Big Girls Floral All Over Prin Angel White S 78</t>
  </si>
  <si>
    <t>191539904034</t>
  </si>
  <si>
    <t>Bonnie Baby Baby Girls Sleeveless Seersuck Navy 24 months</t>
  </si>
  <si>
    <t>S5-10011-BV</t>
  </si>
  <si>
    <t>195958659285</t>
  </si>
  <si>
    <t>Tommy Hilfiger Tommy Hilfiger Big Boys Pull O Kelp L 1618</t>
  </si>
  <si>
    <t>TBSFC02F-232</t>
  </si>
  <si>
    <t>LT/PAS BWN</t>
  </si>
  <si>
    <t>191539908087</t>
  </si>
  <si>
    <t>Bonnie Baby Baby Girls Sleeveless Mixed Pr Navy 24 months</t>
  </si>
  <si>
    <t>S5-10027-PV</t>
  </si>
  <si>
    <t>677838120585</t>
  </si>
  <si>
    <t>Jordan Jordan Big Boys Jump Man Wrap Gym Red L 1416</t>
  </si>
  <si>
    <t>957371G</t>
  </si>
  <si>
    <t>762120499927</t>
  </si>
  <si>
    <t>First Impressions Baby Girl Two-Piece Eyelet Set Art Deco Green 24 months</t>
  </si>
  <si>
    <t>100140981BG</t>
  </si>
  <si>
    <t>LT/PAS GRN</t>
  </si>
  <si>
    <t>766380221953</t>
  </si>
  <si>
    <t>First Impressions Baby Girls Floral-Print Top Blush Pink 18 months</t>
  </si>
  <si>
    <t>100148299BG</t>
  </si>
  <si>
    <t>LT/PASPINK</t>
  </si>
  <si>
    <t>766380221939</t>
  </si>
  <si>
    <t>First Impressions Baby Girls Floral-Print Top Blush Pink 3-6 months</t>
  </si>
  <si>
    <t>677838788495</t>
  </si>
  <si>
    <t>Nike Nike Little Boys Dri-FIT Elite Volt Green 5</t>
  </si>
  <si>
    <t>86E393G</t>
  </si>
  <si>
    <t>BRGHT YELL</t>
  </si>
  <si>
    <t>677838788518</t>
  </si>
  <si>
    <t>Nike Nike Little Boys Dri-FIT Elite Volt Green 7</t>
  </si>
  <si>
    <t>677838788488</t>
  </si>
  <si>
    <t>Nike Nike Little Boys Dri-FIT Elite Volt Green 4</t>
  </si>
  <si>
    <t>887346139904</t>
  </si>
  <si>
    <t>Tommy Hilfiger Dagger Twill Shorts, Little Bo White 7</t>
  </si>
  <si>
    <t>T361051-100</t>
  </si>
  <si>
    <t>TH BOYS 2-7</t>
  </si>
  <si>
    <t>COTTON/SPANDEX</t>
  </si>
  <si>
    <t>766390157556</t>
  </si>
  <si>
    <t>First Impressions Baby Boys 2-Pc. Jogger Set Sulfur Black 0-3 months</t>
  </si>
  <si>
    <t>100153917BB</t>
  </si>
  <si>
    <t>196027143018</t>
  </si>
  <si>
    <t>AME Toddler Boys Mickey Mouse Paja Assorted 4T</t>
  </si>
  <si>
    <t>MK917ESOMA</t>
  </si>
  <si>
    <t>KIDS SLEEP</t>
  </si>
  <si>
    <t>AMERICAN MARKETING ENT BOYS</t>
  </si>
  <si>
    <t>766390157532</t>
  </si>
  <si>
    <t>First Impressions Baby Boys 2-Pc. Jogger Set Sulfur Black 18 months</t>
  </si>
  <si>
    <t>766390157501</t>
  </si>
  <si>
    <t>First Impressions Baby Boys 2-Pc. Jogger Set Sulfur Black 12 months</t>
  </si>
  <si>
    <t>194257384621</t>
  </si>
  <si>
    <t>Champion Little Boys All Over Print Cam Camo Desert 5</t>
  </si>
  <si>
    <t>CHY315</t>
  </si>
  <si>
    <t>195861387404</t>
  </si>
  <si>
    <t>Carters Carters Baby Girls Hooded Car Print 6 months</t>
  </si>
  <si>
    <t>1N957410</t>
  </si>
  <si>
    <t>CARTER'S</t>
  </si>
  <si>
    <t>WILLIAM CARTER-BABY</t>
  </si>
  <si>
    <t>766360129941</t>
  </si>
  <si>
    <t>First Impressions Baby Boys 2-Pc. Shorts Set Stone Wall 12 months</t>
  </si>
  <si>
    <t>100140086BB</t>
  </si>
  <si>
    <t>LT BEIGE</t>
  </si>
  <si>
    <t>195958372474</t>
  </si>
  <si>
    <t>Timberland Timberland Toddler Boys Short Brown Sugar 4T</t>
  </si>
  <si>
    <t>41M42001-99</t>
  </si>
  <si>
    <t>195958477025</t>
  </si>
  <si>
    <t>Calvin Klein Calvin Klein Little Boys Monog Mint Green 6</t>
  </si>
  <si>
    <t>3M52058-99</t>
  </si>
  <si>
    <t>733004952364</t>
  </si>
  <si>
    <t>First Impressions Baby Boys 2-Pc. Hooded Rash Gu Cherry Flame 3-6 months</t>
  </si>
  <si>
    <t>100135708BB</t>
  </si>
  <si>
    <t>766390062188</t>
  </si>
  <si>
    <t>Epic Threads Big Girls Stella Ribbed Polo T Violet Tulle L 1214</t>
  </si>
  <si>
    <t>100158786GR</t>
  </si>
  <si>
    <t>195958540309</t>
  </si>
  <si>
    <t>Calvin Klein Calvin Klein Baby Girls Flounc Blue 12 months</t>
  </si>
  <si>
    <t>3M02052-99</t>
  </si>
  <si>
    <t>CALVIN KLEIN/KHQ INVESTMENT</t>
  </si>
  <si>
    <t>195958479104</t>
  </si>
  <si>
    <t>Calvin Klein Calvin Klein Baby Girls Ruffle Coral 24 months</t>
  </si>
  <si>
    <t>3M00072-99</t>
  </si>
  <si>
    <t>195958570931</t>
  </si>
  <si>
    <t>Calvin Klein Calvin Klein Baby Girls Chambr Multi 24 months</t>
  </si>
  <si>
    <t>3M00085-99</t>
  </si>
  <si>
    <t>195958484801</t>
  </si>
  <si>
    <t>Timberland Timberland Baby Boys Short Sle Brown Sugar 24 months</t>
  </si>
  <si>
    <t>41M72014-99</t>
  </si>
  <si>
    <t>195958570924</t>
  </si>
  <si>
    <t>Calvin Klein Calvin Klein Baby Girls Chambr Multi 18 months</t>
  </si>
  <si>
    <t>195958540323</t>
  </si>
  <si>
    <t>Calvin Klein Calvin Klein Baby Girls Flounc Blue 24 months</t>
  </si>
  <si>
    <t>195958540316</t>
  </si>
  <si>
    <t>Calvin Klein Calvin Klein Baby Girls Flounc Blue 18 months</t>
  </si>
  <si>
    <t>194135944664</t>
  </si>
  <si>
    <t>Carters Toddler Girls 4-Piece Rainbow Print 3T</t>
  </si>
  <si>
    <t>2M990110</t>
  </si>
  <si>
    <t>195861287377</t>
  </si>
  <si>
    <t>Carters Carters Toddler Girls Long Sl Yellow 3T</t>
  </si>
  <si>
    <t>2O023510</t>
  </si>
  <si>
    <t>195861085034</t>
  </si>
  <si>
    <t>Carters Baby Girls 4-Pc. Snug-Fit Anim Print 12 months</t>
  </si>
  <si>
    <t>1N708210</t>
  </si>
  <si>
    <t>WILLIAM CARTER-BABY SLEEPWEAR</t>
  </si>
  <si>
    <t>194135944978</t>
  </si>
  <si>
    <t>Carters Carters Baby Boys 4-Piece Snu Planes 18 months</t>
  </si>
  <si>
    <t>1N001110</t>
  </si>
  <si>
    <t>195861287285</t>
  </si>
  <si>
    <t>Carters Carters Toddler Girls Short S Brown, Pink 5T</t>
  </si>
  <si>
    <t>2O023710</t>
  </si>
  <si>
    <t>888408048240</t>
  </si>
  <si>
    <t>Nike Nike Big Boys Dri-FIT Trophy T Dark Gray, Wolf Gray M 1012</t>
  </si>
  <si>
    <t>DARK GRAY</t>
  </si>
  <si>
    <t>POLYESTER</t>
  </si>
  <si>
    <t>766380729022</t>
  </si>
  <si>
    <t>First Impressions Baby Boys Festive Triangles Hthr Sterling 0-3 months</t>
  </si>
  <si>
    <t>100152434BB</t>
  </si>
  <si>
    <t>766380728988</t>
  </si>
  <si>
    <t>First Impressions Baby Boys Festive Triangles Hthr Sterling Newborn</t>
  </si>
  <si>
    <t>NEWBORN</t>
  </si>
  <si>
    <t>766380728957</t>
  </si>
  <si>
    <t>First Impressions Baby Boys Precious 2-Pk. Color Cherry Red Stripe 0-3 months</t>
  </si>
  <si>
    <t>100152430BB</t>
  </si>
  <si>
    <t>766380729077</t>
  </si>
  <si>
    <t>First Impressions Baby Boys Precious 2-Pk. Color Black Gingham 0-3 months</t>
  </si>
  <si>
    <t>100152435BB</t>
  </si>
  <si>
    <t>766380729053</t>
  </si>
  <si>
    <t>First Impressions Baby Boys Precious 2-Pk. Color Black Gingham 3-6 months</t>
  </si>
  <si>
    <t>766380728940</t>
  </si>
  <si>
    <t>First Impressions Baby Boys Precious 2-Pk. Color Cherry Red Stripe 6-9 months</t>
  </si>
  <si>
    <t>766380728919</t>
  </si>
  <si>
    <t>First Impressions Baby Boys Precious 2-Pk. Color Cherry Red Stripe Newborn</t>
  </si>
  <si>
    <t>766380728926</t>
  </si>
  <si>
    <t>First Impressions Baby Boys Precious 2-Pk. Color Cherry Red Stripe 12 months</t>
  </si>
  <si>
    <t>766380728995</t>
  </si>
  <si>
    <t>First Impressions Baby Boys Festive Triangles Hthr Sterling 12 months</t>
  </si>
  <si>
    <t>766380728933</t>
  </si>
  <si>
    <t>First Impressions Baby Boys Precious 2-Pk. Color Cherry Red Stripe 3-6 months</t>
  </si>
  <si>
    <t>766380729039</t>
  </si>
  <si>
    <t>First Impressions Baby Boys Precious 2-Pk. Color Black Gingham Newborn</t>
  </si>
  <si>
    <t>766390062256</t>
  </si>
  <si>
    <t>Epic Threads Big Girls Stella Surf Tank Top Teal Patina M 810</t>
  </si>
  <si>
    <t>100158787GR</t>
  </si>
  <si>
    <t>TURQ/AQUA</t>
  </si>
  <si>
    <t>766390062270</t>
  </si>
  <si>
    <t>Epic Threads Big Girls Stella Surf Tank Top Teal Patina XL 16</t>
  </si>
  <si>
    <t>XL</t>
  </si>
  <si>
    <t>196325120988</t>
  </si>
  <si>
    <t>Disney Disney Toddler Girls Princess Multi 3T</t>
  </si>
  <si>
    <t>T000325GD13873</t>
  </si>
  <si>
    <t>NATURAL</t>
  </si>
  <si>
    <t>196325120940</t>
  </si>
  <si>
    <t>Disney Little Girls Minnie Mouse Flor Multi 5</t>
  </si>
  <si>
    <t>T000325GD13872</t>
  </si>
  <si>
    <t>196325120995</t>
  </si>
  <si>
    <t>Disney Little Girls Princess Be True Multi 4</t>
  </si>
  <si>
    <t>196325146872</t>
  </si>
  <si>
    <t>My Little Pony My Little Pony Toddler Girls M Multi 3T</t>
  </si>
  <si>
    <t>T000325GLPM0040</t>
  </si>
  <si>
    <t>REDOVERFLW</t>
  </si>
  <si>
    <t>762120330152</t>
  </si>
  <si>
    <t>ID Ideology Big Girls Camo-Print Top Indigo Sea XL</t>
  </si>
  <si>
    <t>100147127BO</t>
  </si>
  <si>
    <t>PURPLE</t>
  </si>
  <si>
    <t>PBIDEOLOGYBOY</t>
  </si>
  <si>
    <t>IDEOLOGY BOYS 8-20/EDI/TOPSVILLE</t>
  </si>
  <si>
    <t>195861376774</t>
  </si>
  <si>
    <t>Carters Carters Baby Boys Striped Sle Multicolor 24 months</t>
  </si>
  <si>
    <t>1N959610</t>
  </si>
  <si>
    <t>194870723890</t>
  </si>
  <si>
    <t>adidas Big Girls AEROREADY Detached W Crew Blue L 1416</t>
  </si>
  <si>
    <t>AH4348</t>
  </si>
  <si>
    <t>194870723838</t>
  </si>
  <si>
    <t>adidas Big Girls Aeroready Detached W Black S 8</t>
  </si>
  <si>
    <t>AH4347</t>
  </si>
  <si>
    <t>194870723852</t>
  </si>
  <si>
    <t>adidas Big Girls Aeroready Detached W Black L 1416</t>
  </si>
  <si>
    <t>196325130000</t>
  </si>
  <si>
    <t>Disney Toddler Girls Rainbow Minnie D Heather Gray 2T</t>
  </si>
  <si>
    <t>T000065GD13876</t>
  </si>
  <si>
    <t>196019038049</t>
  </si>
  <si>
    <t>Breaking Waves Big Girls 2-Pc. Wild Child Swi Open S 8</t>
  </si>
  <si>
    <t>MBWI471008</t>
  </si>
  <si>
    <t>BREAKING WAVES GIRLS</t>
  </si>
  <si>
    <t>196019038063</t>
  </si>
  <si>
    <t>Breaking Waves Big Girls 2-Pc. Wild Child Swi Open 12</t>
  </si>
  <si>
    <t>196019037721</t>
  </si>
  <si>
    <t>Breaking Waves Big Girls Watermelon Stripe-Pr Open 16</t>
  </si>
  <si>
    <t>MBWI470007</t>
  </si>
  <si>
    <t>196019037868</t>
  </si>
  <si>
    <t>Breaking Waves Big Girls 2-Pc.Tie-Dye Swimsui Open S 8</t>
  </si>
  <si>
    <t>MBWI471001</t>
  </si>
  <si>
    <t>196019038209</t>
  </si>
  <si>
    <t>Breaking Waves Big Girls 2-Pc. Tie Dye Burst Yellow 16</t>
  </si>
  <si>
    <t>MBWI471011</t>
  </si>
  <si>
    <t>766370911642</t>
  </si>
  <si>
    <t>ID Ideology Little Girls 2-Pc. T-Shirt S Bright White 5</t>
  </si>
  <si>
    <t>100148304LG</t>
  </si>
  <si>
    <t>PB ACTIVE</t>
  </si>
  <si>
    <t>IDEOLOGY-EDI/7-16</t>
  </si>
  <si>
    <t>840028945682</t>
  </si>
  <si>
    <t>earth by art eden Baby Boys 2-Pc. T-Shirt Shor Deep Cobalt Multi 24 months</t>
  </si>
  <si>
    <t>6062DCM</t>
  </si>
  <si>
    <t>ART &amp; EDEN PBC</t>
  </si>
  <si>
    <t>840028941257</t>
  </si>
  <si>
    <t>earth by art eden Baby Boys 3-Pk. Mix and Match Vista Blue Multi 24 months</t>
  </si>
  <si>
    <t>0014VBM</t>
  </si>
  <si>
    <t>807421556242</t>
  </si>
  <si>
    <t>Nike Nike Toddler Boys Blocked Dri- Black 3T</t>
  </si>
  <si>
    <t>86J242G</t>
  </si>
  <si>
    <t>825663252548</t>
  </si>
  <si>
    <t>Nike Nike Toddler Boys Daze Dri-fit Game Royal 2T</t>
  </si>
  <si>
    <t>86J540G</t>
  </si>
  <si>
    <t>825663252555</t>
  </si>
  <si>
    <t>Nike Nike Toddler Boys Daze Dri-fit Game Royal 3T</t>
  </si>
  <si>
    <t>807421556266</t>
  </si>
  <si>
    <t>Nike Nike Little Boys Blocked Dri-F Black 4</t>
  </si>
  <si>
    <t>825663252609</t>
  </si>
  <si>
    <t>Nike Nike Little Boys Daze Dri-fit Game Royal 7</t>
  </si>
  <si>
    <t>194257668011</t>
  </si>
  <si>
    <t>Champion Champion Big Boys French Terry Natural, Electric Cyan XL 1820</t>
  </si>
  <si>
    <t>CHB552</t>
  </si>
  <si>
    <t>CHAMPION/BELUGA INC</t>
  </si>
  <si>
    <t>194257668004</t>
  </si>
  <si>
    <t>Champion Champion Big Boys French Terry Natural, Electric Cyan L 1416</t>
  </si>
  <si>
    <t>766370085268</t>
  </si>
  <si>
    <t>Epic Threads Little Boys Shorts Sleeve Swea Fiery Red 5</t>
  </si>
  <si>
    <t>100144982LB</t>
  </si>
  <si>
    <t>RED</t>
  </si>
  <si>
    <t>194135859852</t>
  </si>
  <si>
    <t>Carters Baby Boy 5-Pack Short-Sleeve B Blue Tie Dye 6 months</t>
  </si>
  <si>
    <t>1N043010</t>
  </si>
  <si>
    <t>194870821114</t>
  </si>
  <si>
    <t>adidas Big Girls Sleeveless Muscle Ta Vivid Red XL 1820</t>
  </si>
  <si>
    <t>AA4979</t>
  </si>
  <si>
    <t>BRIGHT RED</t>
  </si>
  <si>
    <t>194870749500</t>
  </si>
  <si>
    <t>adidas Big Girls Short Sleeve Oversiz White, Multicolor M 1012</t>
  </si>
  <si>
    <t>AA4972</t>
  </si>
  <si>
    <t>194870749524</t>
  </si>
  <si>
    <t>adidas Big Girls Short Sleeve Oversiz White, Multicolor XL 1820</t>
  </si>
  <si>
    <t>766360145958</t>
  </si>
  <si>
    <t>First Impressions Baby Boys 2-Pk. Coveralls Art Deco Green 6-9 months</t>
  </si>
  <si>
    <t>100141572BB</t>
  </si>
  <si>
    <t>766360142070</t>
  </si>
  <si>
    <t>First Impressions Baby Girls 2-Pk. Coveralls Ultra Lime 0-3 months</t>
  </si>
  <si>
    <t>100141488BG</t>
  </si>
  <si>
    <t>766360146603</t>
  </si>
  <si>
    <t>First Impressions Baby Boys 2-Pk. Coveralls Stripes 0-3 months</t>
  </si>
  <si>
    <t>100141577BB</t>
  </si>
  <si>
    <t>766360146405</t>
  </si>
  <si>
    <t>First Impressions Baby Boys 2-Pk. Coveralls Art Deco Green 0-3 months</t>
  </si>
  <si>
    <t>766370769977</t>
  </si>
  <si>
    <t>Epic Threads Toddler Girls Tank and Culotte Island Orange 3T</t>
  </si>
  <si>
    <t>100153264LG</t>
  </si>
  <si>
    <t>MED ORANGE</t>
  </si>
  <si>
    <t>3T REG</t>
  </si>
  <si>
    <t>EPCTHRD G2-6X</t>
  </si>
  <si>
    <t>766380727264</t>
  </si>
  <si>
    <t>First Impressions Baby Girls 4-Pk. Solid Heart Raspberry Pie 3-6 months</t>
  </si>
  <si>
    <t>100152389BG</t>
  </si>
  <si>
    <t>766380727462</t>
  </si>
  <si>
    <t>First Impressions Baby Girls Chloe 2-Pk. Solid Bone Hthr 6-9 months</t>
  </si>
  <si>
    <t>100152415BG</t>
  </si>
  <si>
    <t>766380727479</t>
  </si>
  <si>
    <t>First Impressions Baby Girls Chloe 2-Pk. Solid Bone Hthr 0-3 months</t>
  </si>
  <si>
    <t>766380727516</t>
  </si>
  <si>
    <t>First Impressions Baby Girls Boys Smiley Splas Deep Black 0-3 months</t>
  </si>
  <si>
    <t>766380727554</t>
  </si>
  <si>
    <t>First Impressions Baby Girls Boys Precious 2-P Cherry Red 0-3 months</t>
  </si>
  <si>
    <t>766380727530</t>
  </si>
  <si>
    <t>First Impressions Baby Girls Boys Precious 2-P Cherry Red 3-6 months</t>
  </si>
  <si>
    <t>766380727523</t>
  </si>
  <si>
    <t>First Impressions Baby Girls Boys Precious 2-P Cherry Red Newborn</t>
  </si>
  <si>
    <t>766380727455</t>
  </si>
  <si>
    <t>First Impressions Baby Girls Chloe 2-Pk. Solid Bone Hthr 3-6 months</t>
  </si>
  <si>
    <t>766380727509</t>
  </si>
  <si>
    <t>First Impressions Baby Girls Boys Smiley Splas Deep Black 6-9 months</t>
  </si>
  <si>
    <t>825663134943</t>
  </si>
  <si>
    <t>Nike 3BRAND by Russell Wilson Big Boys Icons Cutout T-shirt White S 8</t>
  </si>
  <si>
    <t>9Q0090G</t>
  </si>
  <si>
    <t>RUSSELL WILSON BIG/HADDAD GROUP</t>
  </si>
  <si>
    <t>194870728413</t>
  </si>
  <si>
    <t>adidas adidas Big Boys Classic 3S Sho Black with Acid Yellow L 1416</t>
  </si>
  <si>
    <t>AH5609</t>
  </si>
  <si>
    <t>194870728390</t>
  </si>
  <si>
    <t>adidas adidas Big Boys Classic 3S Sho Black with Acid Yellow S 8</t>
  </si>
  <si>
    <t>194870728420</t>
  </si>
  <si>
    <t>adidas adidas Big Boys Classic 3S Sho Black with Acid Yellow XL 1820</t>
  </si>
  <si>
    <t>194135321328</t>
  </si>
  <si>
    <t>Carters Baby Boys Bear Three-Piece Lit Blue 6 months</t>
  </si>
  <si>
    <t>1L772810</t>
  </si>
  <si>
    <t>194135552241</t>
  </si>
  <si>
    <t>Carters Baby Boys 4-Pk. Multi-Color Lo Brown Multi Newborn</t>
  </si>
  <si>
    <t>1M102410</t>
  </si>
  <si>
    <t>194257613479</t>
  </si>
  <si>
    <t>Champion Champion Big Girls Solid with Oxford Heather M 1012</t>
  </si>
  <si>
    <t>CHG713</t>
  </si>
  <si>
    <t>194257870858</t>
  </si>
  <si>
    <t>Champion Champion Toddler Boys Abstract Sunbeam Glow Absteact Camo, El 2T</t>
  </si>
  <si>
    <t>CHY871</t>
  </si>
  <si>
    <t>733004762611</t>
  </si>
  <si>
    <t>ID Ideology Big Girls Girls Can Sweatshi Violet Light L 14</t>
  </si>
  <si>
    <t>100136601GR</t>
  </si>
  <si>
    <t>MED PURPLE</t>
  </si>
  <si>
    <t>766370903494</t>
  </si>
  <si>
    <t>ID Ideology Big Girls Mesh Accent Zip Hood Deep Black S 78</t>
  </si>
  <si>
    <t>100148279GR</t>
  </si>
  <si>
    <t>766360139018</t>
  </si>
  <si>
    <t>First Impressions Baby Girls 4-Pk. Bodysuits Bright White 0-3 months</t>
  </si>
  <si>
    <t>100141484BG</t>
  </si>
  <si>
    <t>196027125908</t>
  </si>
  <si>
    <t>The Mandalorian The Mandalorian Big Girls Paja Assorted 10</t>
  </si>
  <si>
    <t>UT179GSLMA</t>
  </si>
  <si>
    <t>AMERICAN MARKETING ENT GIRLS</t>
  </si>
  <si>
    <t>660168546828</t>
  </si>
  <si>
    <t>Hudson Baby Hudson Baby - Toddler Boys and Cream 0-6 months</t>
  </si>
  <si>
    <t>0-6 MOS</t>
  </si>
  <si>
    <t>LUVABLE FRIENDS/BABY VISION INC</t>
  </si>
  <si>
    <t>762120691529</t>
  </si>
  <si>
    <t>ID Ideology Big Girls Reversible Bikini Violet Tulle M 1012</t>
  </si>
  <si>
    <t>100140169GR</t>
  </si>
  <si>
    <t>194870826331</t>
  </si>
  <si>
    <t>adidas Little Boys Aeroready Gradient Collegiate Navy 4</t>
  </si>
  <si>
    <t>AH5621</t>
  </si>
  <si>
    <t>194870725405</t>
  </si>
  <si>
    <t>adidas Toddler Boys Elastic Waistband Vivid Red 2T</t>
  </si>
  <si>
    <t>AH5597</t>
  </si>
  <si>
    <t>194870826362</t>
  </si>
  <si>
    <t>adidas Little Boys Aeroready Gradient Collegiate Navy 7</t>
  </si>
  <si>
    <t>194870826317</t>
  </si>
  <si>
    <t>adidas Toddler Boys Aeroready Gradien Collegiate Navy 3T</t>
  </si>
  <si>
    <t>733004951947</t>
  </si>
  <si>
    <t>First Impressions Baby Boys 2-Pc. Surf Local Ras Navy Sea 12 months</t>
  </si>
  <si>
    <t>100135702BB</t>
  </si>
  <si>
    <t>766370876699</t>
  </si>
  <si>
    <t>First Impressions Baby Boys 2-Pc. Tropical Shirt Deep Black 6-9 months</t>
  </si>
  <si>
    <t>100146510BB</t>
  </si>
  <si>
    <t>766370879539</t>
  </si>
  <si>
    <t>First Impressions Baby Girls Tiered Ruffle Flora Deep Black 12 months</t>
  </si>
  <si>
    <t>100146486BG</t>
  </si>
  <si>
    <t>766370879584</t>
  </si>
  <si>
    <t>First Impressions Baby Girls Tiered Ruffle Flora Deep Black 24 months</t>
  </si>
  <si>
    <t>194135931206</t>
  </si>
  <si>
    <t>Carters Big Boys 2-Piece Gamer Loose F Print 10</t>
  </si>
  <si>
    <t>3M979010</t>
  </si>
  <si>
    <t>10</t>
  </si>
  <si>
    <t>194135931275</t>
  </si>
  <si>
    <t>Carters Big Boys 2-Piece Gamer Loose F Print 8</t>
  </si>
  <si>
    <t>762120691901</t>
  </si>
  <si>
    <t>ID Ideology Big Girls Solid Bikini Rose Shadow XL 16</t>
  </si>
  <si>
    <t>100140867GR</t>
  </si>
  <si>
    <t>762120691895</t>
  </si>
  <si>
    <t>ID Ideology Big Girls Solid Bikini Rose Shadow L 14</t>
  </si>
  <si>
    <t>762120691697</t>
  </si>
  <si>
    <t>ID Ideology Big Girls Solid Bikini Indigo Sea XL 16</t>
  </si>
  <si>
    <t>762120691857</t>
  </si>
  <si>
    <t>ID Ideology Big Girls Solid Bikini Violet Tulle XL 16</t>
  </si>
  <si>
    <t>762120691871</t>
  </si>
  <si>
    <t>ID Ideology Big Girls Solid Bikini Rose Shadow S 78</t>
  </si>
  <si>
    <t>762120691840</t>
  </si>
  <si>
    <t>ID Ideology Big Girls Solid Bikini Violet Tulle L 14</t>
  </si>
  <si>
    <t>766360444006</t>
  </si>
  <si>
    <t>ID Ideology Big Girls Colorful Trim Bikini Jet Ski M 1012</t>
  </si>
  <si>
    <t>100140973GR</t>
  </si>
  <si>
    <t>733004952111</t>
  </si>
  <si>
    <t>First Impressions Baby Boys 2-Pc. Rash Guard Set Sundrop 24 months</t>
  </si>
  <si>
    <t>100135705BB</t>
  </si>
  <si>
    <t>733004952098</t>
  </si>
  <si>
    <t>First Impressions Baby Boys 2-Pc. Rash Guard Set Sundrop 6-9 months</t>
  </si>
  <si>
    <t>742728090115</t>
  </si>
  <si>
    <t>Converse Converse Big Girls Shorts White Medium</t>
  </si>
  <si>
    <t>4CB356E</t>
  </si>
  <si>
    <t>GIRLS 7-16 SPRTWR/HADDAD APPAREL</t>
  </si>
  <si>
    <t>840230437234</t>
  </si>
  <si>
    <t>Sol Swimwear Little Girls Polkadot-Print Sw Yellow 2T</t>
  </si>
  <si>
    <t>GS2-593M</t>
  </si>
  <si>
    <t>SOLO INTL GIRLS SWIMWEAR/SOLO INTL</t>
  </si>
  <si>
    <t>652874372990</t>
  </si>
  <si>
    <t>Speechless Speechless Big Girls Swiss Dot Pistachio M 810</t>
  </si>
  <si>
    <t>Q3804D01WHX</t>
  </si>
  <si>
    <t>733004762727</t>
  </si>
  <si>
    <t>ID Ideology Big Girls Girls Can Jogger P Rose Shadow XL 16</t>
  </si>
  <si>
    <t>100136607GR</t>
  </si>
  <si>
    <t>733004296789</t>
  </si>
  <si>
    <t>ID Ideology Big Girls Velour Logo Tape Pan Sweet Alyssum S 78</t>
  </si>
  <si>
    <t>100130423GR</t>
  </si>
  <si>
    <t>194135922235</t>
  </si>
  <si>
    <t>Carters Toddler Girls Cotton Heart-Pri Grayred 3T</t>
  </si>
  <si>
    <t>2N309010</t>
  </si>
  <si>
    <t>WILLIAM CARTER-TODDLER PLAYWEAR</t>
  </si>
  <si>
    <t>195861306023</t>
  </si>
  <si>
    <t>Carters Carters Little Boys Drawstrin Heather 7</t>
  </si>
  <si>
    <t>3O003910</t>
  </si>
  <si>
    <t>766360144944</t>
  </si>
  <si>
    <t>First Impressions Baby Boys 2-Pk. Bloom Stripe R Skygaze Newborn</t>
  </si>
  <si>
    <t>100141542BB</t>
  </si>
  <si>
    <t>194257655523</t>
  </si>
  <si>
    <t>Champion Champion Big Girls Tie Dye Gra Black XL 1820</t>
  </si>
  <si>
    <t>CHG752</t>
  </si>
  <si>
    <t>194257876058</t>
  </si>
  <si>
    <t>Champion Champion Big Girls Tie Dye Gra Oxford Heather, Sizzling Mint S 8</t>
  </si>
  <si>
    <t>766370717695</t>
  </si>
  <si>
    <t>First Impressions Baby Girls 2-Pc. Splatter-Prin Authentic Wash 24 months</t>
  </si>
  <si>
    <t>100148288BG</t>
  </si>
  <si>
    <t>766370717701</t>
  </si>
  <si>
    <t>First Impressions Baby Girls 2-Pc. Splatter-Prin Authentic Wash 0-3 months</t>
  </si>
  <si>
    <t>766360157500</t>
  </si>
  <si>
    <t>First Impressions Baby Boys 2Pc. Shark-Print Swi Sodalite Blue 6-9 months</t>
  </si>
  <si>
    <t>100141041BB</t>
  </si>
  <si>
    <t>194870744789</t>
  </si>
  <si>
    <t>adidas Little Boys Short Sleeve Aeror Collegiate Navy 6</t>
  </si>
  <si>
    <t>AA7410</t>
  </si>
  <si>
    <t>194870898154</t>
  </si>
  <si>
    <t>adidas Toddler Boys Elastic Waistband Black 2T</t>
  </si>
  <si>
    <t>AH5617</t>
  </si>
  <si>
    <t>194870744741</t>
  </si>
  <si>
    <t>adidas Toddler Boys Short Sleeve Aero Collegiate Navy 3T</t>
  </si>
  <si>
    <t>194870898161</t>
  </si>
  <si>
    <t>adidas Toddler Boys Elastic Waistband Black 3T</t>
  </si>
  <si>
    <t>733002217601</t>
  </si>
  <si>
    <t>Epic Threads Big Girls All Over Print Denim Medium Wash L 1416</t>
  </si>
  <si>
    <t>100117738GR</t>
  </si>
  <si>
    <t>196258086818</t>
  </si>
  <si>
    <t>Maidenform Big Girls 3-Pack Cropped Br Heartwhiterose M 78</t>
  </si>
  <si>
    <t>KIDS FURNISH</t>
  </si>
  <si>
    <t>MAIDENFORM GIRLS/HANESBRANDS</t>
  </si>
  <si>
    <t>196258086832</t>
  </si>
  <si>
    <t>Maidenform Big Girls 3-Pack Cropped Br Heartwhiterose XL 1820</t>
  </si>
  <si>
    <t>194135857643</t>
  </si>
  <si>
    <t>Carters Carters Baby Girls 2-Piece Bo Turquoise 6 months</t>
  </si>
  <si>
    <t>1N036910</t>
  </si>
  <si>
    <t>766370905177</t>
  </si>
  <si>
    <t>ID Ideology Toddler Little Girls Mesh Ac Rose Shadow 3T</t>
  </si>
  <si>
    <t>100148279LG</t>
  </si>
  <si>
    <t>766360443108</t>
  </si>
  <si>
    <t>ID Ideology Toddler Little Girls Mesh Co Jet Ski 4T</t>
  </si>
  <si>
    <t>100140971LG</t>
  </si>
  <si>
    <t>4T REG</t>
  </si>
  <si>
    <t>762120690430</t>
  </si>
  <si>
    <t>ID Ideology Toddler Little Girls Mesh Co Barely Pink 3T</t>
  </si>
  <si>
    <t>766360641412</t>
  </si>
  <si>
    <t>Epic Threads Epic Threads Toddler Girls Flo Spacious Sky 3T</t>
  </si>
  <si>
    <t>100145333LG</t>
  </si>
  <si>
    <t>194135927643</t>
  </si>
  <si>
    <t>Carters Toddler Girls 2-Piece Sunflowe Assorted 4T</t>
  </si>
  <si>
    <t>2N086110</t>
  </si>
  <si>
    <t>194135929203</t>
  </si>
  <si>
    <t>Carters Toddler Girls 2-Piece Chambray Assorted 5T</t>
  </si>
  <si>
    <t>2N298910</t>
  </si>
  <si>
    <t>195958842243</t>
  </si>
  <si>
    <t>Tommy Hilfiger Tommy Hilfiger Big Girls Ombre Navy Blazer S 7</t>
  </si>
  <si>
    <t>TGMFH05S-405</t>
  </si>
  <si>
    <t>TOMMYGRLS7-16</t>
  </si>
  <si>
    <t>TOMMY GIRL/KHQ INVESTMENT LLC</t>
  </si>
  <si>
    <t>196122463851</t>
  </si>
  <si>
    <t>Koala Baby Koala Baby Baby Boys or Baby G Heather 12-18 months</t>
  </si>
  <si>
    <t>KLM12508</t>
  </si>
  <si>
    <t>12-18 MOS</t>
  </si>
  <si>
    <t>KOALA BABY/O5 MD LLC</t>
  </si>
  <si>
    <t>194135938755</t>
  </si>
  <si>
    <t>Carters Big Girls Floral Jersey Romper Floral 14</t>
  </si>
  <si>
    <t>3N307810</t>
  </si>
  <si>
    <t>195861296713</t>
  </si>
  <si>
    <t>Carters Carters Baby Boys Button Fron Print 18 months</t>
  </si>
  <si>
    <t>1N955510</t>
  </si>
  <si>
    <t>195861316282</t>
  </si>
  <si>
    <t>Carters Carters Baby Girls Striped Ti Print Newborn</t>
  </si>
  <si>
    <t>1O031210</t>
  </si>
  <si>
    <t>195861316220</t>
  </si>
  <si>
    <t>Carters Carters Baby Girls Striped Ti Print 18 months</t>
  </si>
  <si>
    <t>733004949005</t>
  </si>
  <si>
    <t>First Impressions Baby Girls 2-Pc. Metallic Ice Strawberry Pink 12 months</t>
  </si>
  <si>
    <t>100136065BG</t>
  </si>
  <si>
    <t>762120692021</t>
  </si>
  <si>
    <t>ID Ideology Big Girls 2-Pc. Rippling Rose Violet Tulle S 78</t>
  </si>
  <si>
    <t>100140969GR</t>
  </si>
  <si>
    <t>762120692052</t>
  </si>
  <si>
    <t>ID Ideology Big Girls 2-Pc. Rippling Rose Violet Tulle XL 16</t>
  </si>
  <si>
    <t>766360439590</t>
  </si>
  <si>
    <t>ID Ideology Toddler Little Girls 2-Pc. T Barely Pink 4T</t>
  </si>
  <si>
    <t>100141388LG</t>
  </si>
  <si>
    <t>766360439576</t>
  </si>
  <si>
    <t>ID Ideology Toddler Little Girls 2-Pc. T Barely Pink 2T</t>
  </si>
  <si>
    <t>2T REG</t>
  </si>
  <si>
    <t>766360656799</t>
  </si>
  <si>
    <t>Epic Threads Little Girls Tanks and Shorts, Shell Pink 6</t>
  </si>
  <si>
    <t>100145415LG</t>
  </si>
  <si>
    <t>194257660480</t>
  </si>
  <si>
    <t>Champion Big Girls French Terry Shorts Sunbeam Glowcapri Orange M 1012</t>
  </si>
  <si>
    <t>CHG507</t>
  </si>
  <si>
    <t>194257660596</t>
  </si>
  <si>
    <t>Champion Little Girls Shorts Capri Orange 4</t>
  </si>
  <si>
    <t>CHL517</t>
  </si>
  <si>
    <t>DARKORANGE</t>
  </si>
  <si>
    <t>BABY BELUGA/BELUGA INC</t>
  </si>
  <si>
    <t>194257660619</t>
  </si>
  <si>
    <t>Champion Little Girls Shorts Capri Orange 5</t>
  </si>
  <si>
    <t>194135892934</t>
  </si>
  <si>
    <t>Carters Carters Baby Girls 3-Piece Li Multi Strawberry 9 months</t>
  </si>
  <si>
    <t>1N041210</t>
  </si>
  <si>
    <t>9MOS</t>
  </si>
  <si>
    <t>194135878419</t>
  </si>
  <si>
    <t>Carters Carters Baby Girls 3-Piece Li Multi Floral 9 months</t>
  </si>
  <si>
    <t>1N040710</t>
  </si>
  <si>
    <t>194135901124</t>
  </si>
  <si>
    <t>Carters Carters Baby Boys 3-Piece Lit Stripe 3 months</t>
  </si>
  <si>
    <t>1N045710</t>
  </si>
  <si>
    <t>3MOS</t>
  </si>
  <si>
    <t>194135321427</t>
  </si>
  <si>
    <t>Carters Baby Boys 2-Piece Jumpsuit B Navy 6 months</t>
  </si>
  <si>
    <t>1L775910</t>
  </si>
  <si>
    <t>194134472557</t>
  </si>
  <si>
    <t>Koala Baby Baby Boys Dino Footie, 2 Piece Green 3-6 months</t>
  </si>
  <si>
    <t>KLM01222</t>
  </si>
  <si>
    <t>766360435882</t>
  </si>
  <si>
    <t>ID Ideology Big Girls Hooded Mesh Shirt Tropic Blue M 1012</t>
  </si>
  <si>
    <t>100141281GR</t>
  </si>
  <si>
    <t>766360435929</t>
  </si>
  <si>
    <t>ID Ideology Big Girls Hooded Mesh Shirt Tropic Blue L 14</t>
  </si>
  <si>
    <t>195861322184</t>
  </si>
  <si>
    <t>Carters Carters Baby Girls Pocket Lon Print Newborn</t>
  </si>
  <si>
    <t>1O030810</t>
  </si>
  <si>
    <t>195861291701</t>
  </si>
  <si>
    <t>Carters Carters Baby Boys Long Sleeve Print 3 months</t>
  </si>
  <si>
    <t>1N955910</t>
  </si>
  <si>
    <t>195861293491</t>
  </si>
  <si>
    <t>Carters Carters Baby Boys Long Sleeve YellowCamo 3 months</t>
  </si>
  <si>
    <t>1N956210</t>
  </si>
  <si>
    <t>195861293415</t>
  </si>
  <si>
    <t>Carters Carters Baby Boys Dinosaur Je Assorted 3 months</t>
  </si>
  <si>
    <t>1N955610</t>
  </si>
  <si>
    <t>195861293392</t>
  </si>
  <si>
    <t>Carters Carters Baby Boys Dinosaur Je Assorted 18 months</t>
  </si>
  <si>
    <t>195861322153</t>
  </si>
  <si>
    <t>Carters Carters Baby Girls Pocket Lon Print 6 months</t>
  </si>
  <si>
    <t>195861291749</t>
  </si>
  <si>
    <t>Carters Carters Baby Boys Long Sleeve Print Newborn</t>
  </si>
  <si>
    <t>807421240639</t>
  </si>
  <si>
    <t>Nike Nike Little Boys Ice Cream Gra Black 7</t>
  </si>
  <si>
    <t>86I530G</t>
  </si>
  <si>
    <t>195861322115</t>
  </si>
  <si>
    <t>Carters Carters Baby Girls Pocket Lon Print 12 months</t>
  </si>
  <si>
    <t>194135864641</t>
  </si>
  <si>
    <t>Carters Carters Baby Boys 1st Birthda Ivory 24 months</t>
  </si>
  <si>
    <t>1N089910</t>
  </si>
  <si>
    <t>733004752773</t>
  </si>
  <si>
    <t>Epic Threads Big Girls Long Sleeve All Over Tie Dye XL 1820</t>
  </si>
  <si>
    <t>100138518GR</t>
  </si>
  <si>
    <t>194135316362</t>
  </si>
  <si>
    <t>Carters Baby Boys 3-Pc. Car Little Cha Blue Newborn</t>
  </si>
  <si>
    <t>1L761910</t>
  </si>
  <si>
    <t>194135551534</t>
  </si>
  <si>
    <t>Carters Baby Girls 3-Pc. Cotton Kangar Light Pinkblue 18 months</t>
  </si>
  <si>
    <t>1M106810</t>
  </si>
  <si>
    <t>194135551565</t>
  </si>
  <si>
    <t>Carters Baby Girls 3-Pc. Cotton Kangar Light Pinkblue 6 months</t>
  </si>
  <si>
    <t>194133674327</t>
  </si>
  <si>
    <t>Carters Baby Boys 2-Pc. Plaid Hooded F Plaid 3 months</t>
  </si>
  <si>
    <t>1J228010</t>
  </si>
  <si>
    <t>194257797575</t>
  </si>
  <si>
    <t>Champion Baby Boys All Over Print Tosse Oxford Heather, Black 24 months</t>
  </si>
  <si>
    <t>CHJ869</t>
  </si>
  <si>
    <t>194870735381</t>
  </si>
  <si>
    <t>adidas Little Boys Short Sleeve Ameri White 7</t>
  </si>
  <si>
    <t>AA7359</t>
  </si>
  <si>
    <t>733003642747</t>
  </si>
  <si>
    <t>ID Ideology Big Girls Pink Fleece Sweatshi Candy Fizz XL 16</t>
  </si>
  <si>
    <t>100133038GR</t>
  </si>
  <si>
    <t>IDEOLOGY GIRLS 7-16-EDI/TOPSVILLE</t>
  </si>
  <si>
    <t>762120690041</t>
  </si>
  <si>
    <t>ID Ideology Toddler Little Girls Basic B Violet Tulle 5</t>
  </si>
  <si>
    <t>100140867LG</t>
  </si>
  <si>
    <t>79092450772</t>
  </si>
  <si>
    <t>First Impressions Hi-Top Sneakers, Baby Boys 0- Black 0</t>
  </si>
  <si>
    <t>40038FI410</t>
  </si>
  <si>
    <t>0</t>
  </si>
  <si>
    <t>FIRST IMPRESSIONS-EDI/TRIMFOOT CO</t>
  </si>
  <si>
    <t>FAUX-LEATHER UPPER; FAUX-LEATHER SOLE</t>
  </si>
  <si>
    <t>79092450796</t>
  </si>
  <si>
    <t>First Impressions Hi-Top Sneakers, Baby Boys 0- Black 2</t>
  </si>
  <si>
    <t>2</t>
  </si>
  <si>
    <t>79092227985</t>
  </si>
  <si>
    <t>First Impressions Baby Boys High-Top Denim Snea Denim 0</t>
  </si>
  <si>
    <t>UPPER AND SOLE: COTTON</t>
  </si>
  <si>
    <t>766370717855</t>
  </si>
  <si>
    <t>First Impressions Baby Girls Rainbow Tiered Jump Authentic Wash 3-6 months</t>
  </si>
  <si>
    <t>100148290BG</t>
  </si>
  <si>
    <t>194135927766</t>
  </si>
  <si>
    <t>Carters Carters Baby Girls 2-Piece Fl Multi 6 months</t>
  </si>
  <si>
    <t>1N274210</t>
  </si>
  <si>
    <t>766360657260</t>
  </si>
  <si>
    <t>Epic Threads Epic Threads Little Girls Grap Shell Pink 6X</t>
  </si>
  <si>
    <t>100145440LG</t>
  </si>
  <si>
    <t>766360657215</t>
  </si>
  <si>
    <t>Epic Threads Epic Threads Little Girls Grap Shell Pink 5</t>
  </si>
  <si>
    <t>46094705285</t>
  </si>
  <si>
    <t>Calvin Klein 2-Pack Cotton Boxer Briefs, To Heather Gray S 67</t>
  </si>
  <si>
    <t>M5133</t>
  </si>
  <si>
    <t>CALVIN KLEIN UNDRWR/DELTA GALIL BOY</t>
  </si>
  <si>
    <t>COTTON/ELASTANE</t>
  </si>
  <si>
    <t>46094705308</t>
  </si>
  <si>
    <t>Calvin Klein 2-Pack Cotton Boxer Briefs, To Heather Gray XS 45</t>
  </si>
  <si>
    <t>756845995017</t>
  </si>
  <si>
    <t>First Impressions 2-Pc. Bear-Print Top Legging Light Grey 6-9 months</t>
  </si>
  <si>
    <t>FIRST IMPRESSIONS-EDI/IMPACT IMPORT</t>
  </si>
  <si>
    <t>ALL COTTON</t>
  </si>
  <si>
    <t>756845994997</t>
  </si>
  <si>
    <t>First Impressions 2-Pc. Bear-Print Top Legging Light Grey 0-3 months</t>
  </si>
  <si>
    <t>766360446024</t>
  </si>
  <si>
    <t>ID Ideology Big Girls Layered-Look Tank To Bright White M 1012</t>
  </si>
  <si>
    <t>100146029GR</t>
  </si>
  <si>
    <t>766360445966</t>
  </si>
  <si>
    <t>ID Ideology Big Girl Layered-Look Tan Top Pistachio Green S 78</t>
  </si>
  <si>
    <t>100141280GR</t>
  </si>
  <si>
    <t>756845995000</t>
  </si>
  <si>
    <t>First Impressions 2-Pc. Bear-Print Top Legging Light Grey 3-6 months</t>
  </si>
  <si>
    <t>766360651916</t>
  </si>
  <si>
    <t>ID Ideology Big Girls Colorblocked Joggers Heather Grey XL 16</t>
  </si>
  <si>
    <t>100141029GR</t>
  </si>
  <si>
    <t>46094705209</t>
  </si>
  <si>
    <t>Calvin Klein 3-Pack Cotton Briefs, Toddler, Blue Bell XS 45</t>
  </si>
  <si>
    <t>M5132</t>
  </si>
  <si>
    <t>46094705186</t>
  </si>
  <si>
    <t>Calvin Klein 3-Pack Cotton Briefs, Toddler, Blue Bell S 67</t>
  </si>
  <si>
    <t>46094705179</t>
  </si>
  <si>
    <t>Calvin Klein 3-Pack Cotton Briefs, Toddler, Blue Bell M 810</t>
  </si>
  <si>
    <t>677838328745</t>
  </si>
  <si>
    <t>Nike Nike Little Boys Motion Block Pacific Blue 6</t>
  </si>
  <si>
    <t>86G509G</t>
  </si>
  <si>
    <t>677838328721</t>
  </si>
  <si>
    <t>Nike Nike Little Boys Motion Block Pacific Blue 4</t>
  </si>
  <si>
    <t>807421951603</t>
  </si>
  <si>
    <t>Nike Nike Little Boys Futura Air T- Black, White 4</t>
  </si>
  <si>
    <t>86F939G</t>
  </si>
  <si>
    <t>766380221489</t>
  </si>
  <si>
    <t>First Impressions Toddler Boys Splatter Paint Zi Navy Nautical 4T</t>
  </si>
  <si>
    <t>100148795TB</t>
  </si>
  <si>
    <t>756845970144</t>
  </si>
  <si>
    <t>First Impressions 1-Pc. Floral-Print Footed Cove Aqua Ice 3-6 months</t>
  </si>
  <si>
    <t>2325FI410</t>
  </si>
  <si>
    <t>652874410340</t>
  </si>
  <si>
    <t>Speechless Speechless Big Girls Smocked T Black S 7</t>
  </si>
  <si>
    <t>Z2883D02KDJL</t>
  </si>
  <si>
    <t>756845970977</t>
  </si>
  <si>
    <t>First Impressions Tulle Tutu Bodysuit, Baby Girl Baby Pink 3-6 months</t>
  </si>
  <si>
    <t>2320FI410</t>
  </si>
  <si>
    <t>BODY: COTTON/ DECORATION: POLYESTER</t>
  </si>
  <si>
    <t>756845987081</t>
  </si>
  <si>
    <t>First Impressions Tulle Tutu Bodysuit, Baby Girl Ivory 3-6 months</t>
  </si>
  <si>
    <t>2343FI410</t>
  </si>
  <si>
    <t>COTTON; TULLE: POLYESTER</t>
  </si>
  <si>
    <t>194257878083</t>
  </si>
  <si>
    <t>Champion Champion Big Girls Diagonal Sc Deep Forte Blue M 1012</t>
  </si>
  <si>
    <t>CHG564</t>
  </si>
  <si>
    <t>DARKPURPLE</t>
  </si>
  <si>
    <t>194257878106</t>
  </si>
  <si>
    <t>Champion Champion Big Girls Diagonal Sc Deep Forte Blue XL 1820</t>
  </si>
  <si>
    <t>766380728827</t>
  </si>
  <si>
    <t>First Impressions Baby Girls Chloe 2-Pk. Solid Bone Hthr 18 months</t>
  </si>
  <si>
    <t>100152428BG</t>
  </si>
  <si>
    <t>766380728841</t>
  </si>
  <si>
    <t>766380728810</t>
  </si>
  <si>
    <t>766360447786</t>
  </si>
  <si>
    <t>ID Ideology Big Girls Geo-Print Leggings Pistachio Green M 1012</t>
  </si>
  <si>
    <t>100141286GR</t>
  </si>
  <si>
    <t>756500913134</t>
  </si>
  <si>
    <t>Tommy Hilfiger Tommy Hilfiger Boys Nantucket Green One Size Fits All</t>
  </si>
  <si>
    <t>81K21502</t>
  </si>
  <si>
    <t>NAUTICA/PVH NECKWEAR INC</t>
  </si>
  <si>
    <t>766360132651</t>
  </si>
  <si>
    <t>First Impressions Baby Boys Light-Wash Denim Sho Light Wash 6-9 months</t>
  </si>
  <si>
    <t>100141039BB</t>
  </si>
  <si>
    <t>194135975538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</si>
</sst>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_);[Red]\(&quot;$&quot;#,##0.00\)"/>
  </numFmts>
  <fonts count="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9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7" fillId="26" borderId="0" applyNumberFormat="0" applyBorder="0" applyAlignment="0" applyProtection="0"/>
    <xf numFmtId="0" fontId="8" fillId="27" borderId="7" applyNumberFormat="0" applyAlignment="0" applyProtection="0"/>
    <xf numFmtId="0" fontId="9" fillId="28" borderId="8" applyNumberFormat="0" applyAlignment="0" applyProtection="0"/>
    <xf numFmtId="0" fontId="10" fillId="0" borderId="0" applyNumberFormat="0" applyFill="0" applyBorder="0" applyAlignment="0" applyProtection="0"/>
    <xf numFmtId="0" fontId="11" fillId="29" borderId="0" applyNumberFormat="0" applyBorder="0" applyAlignment="0" applyProtection="0"/>
    <xf numFmtId="0" fontId="12" fillId="0" borderId="9" applyNumberFormat="0" applyFill="0" applyAlignment="0" applyProtection="0"/>
    <xf numFmtId="0" fontId="13" fillId="0" borderId="10" applyNumberFormat="0" applyFill="0" applyAlignment="0" applyProtection="0"/>
    <xf numFmtId="0" fontId="14" fillId="0" borderId="11" applyNumberFormat="0" applyFill="0" applyAlignment="0" applyProtection="0"/>
    <xf numFmtId="0" fontId="14" fillId="0" borderId="0" applyNumberFormat="0" applyFill="0" applyBorder="0" applyAlignment="0" applyProtection="0"/>
    <xf numFmtId="0" fontId="15" fillId="30" borderId="7" applyNumberFormat="0" applyAlignment="0" applyProtection="0"/>
    <xf numFmtId="0" fontId="16" fillId="0" borderId="12" applyNumberFormat="0" applyFill="0" applyAlignment="0" applyProtection="0"/>
    <xf numFmtId="0" fontId="17" fillId="31" borderId="0" applyNumberFormat="0" applyBorder="0" applyAlignment="0" applyProtection="0"/>
    <xf numFmtId="0" fontId="1" fillId="32" borderId="13" applyNumberFormat="0" applyFont="0" applyAlignment="0" applyProtection="0"/>
    <xf numFmtId="0" fontId="18" fillId="27" borderId="14" applyNumberFormat="0" applyAlignment="0" applyProtection="0"/>
    <xf numFmtId="0" fontId="19" fillId="0" borderId="0" applyNumberFormat="0" applyFill="0" applyBorder="0" applyAlignment="0" applyProtection="0"/>
    <xf numFmtId="0" fontId="20" fillId="0" borderId="15" applyNumberFormat="0" applyFill="0" applyAlignment="0" applyProtection="0"/>
    <xf numFmtId="0" fontId="21" fillId="0" borderId="0" applyNumberFormat="0" applyFill="0" applyBorder="0" applyAlignment="0" applyProtection="0"/>
  </cellStyleXfs>
  <cellXfs count="26">
    <xf numFmtId="0" fontId="0" fillId="0" borderId="0" xfId="0"/>
    <xf numFmtId="0" fontId="2" fillId="0" borderId="0" xfId="0" applyFont="1" applyAlignment="1">
      <alignment horizontal="center" vertical="center" wrapText="1"/>
    </xf>
    <xf numFmtId="1" fontId="3" fillId="0" borderId="0" xfId="0" applyNumberFormat="1" applyFont="1" applyAlignment="1">
      <alignment horizontal="center" wrapText="1"/>
    </xf>
    <xf numFmtId="164" fontId="3" fillId="0" borderId="0" xfId="0" applyNumberFormat="1" applyFont="1" applyAlignment="1">
      <alignment wrapText="1"/>
    </xf>
    <xf numFmtId="0" fontId="3" fillId="0" borderId="1" xfId="0" applyFont="1" applyBorder="1" applyAlignment="1">
      <alignment horizontal="left" wrapText="1"/>
    </xf>
    <xf numFmtId="1" fontId="3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164" fontId="3" fillId="0" borderId="1" xfId="0" applyNumberFormat="1" applyFont="1" applyBorder="1" applyAlignment="1">
      <alignment wrapText="1"/>
    </xf>
    <xf numFmtId="0" fontId="2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left" wrapText="1"/>
    </xf>
    <xf numFmtId="164" fontId="3" fillId="0" borderId="4" xfId="0" applyNumberFormat="1" applyFont="1" applyBorder="1" applyAlignment="1">
      <alignment wrapText="1"/>
    </xf>
    <xf numFmtId="3" fontId="3" fillId="0" borderId="1" xfId="0" applyNumberFormat="1" applyFont="1" applyBorder="1" applyAlignment="1">
      <alignment horizontal="center" wrapText="1"/>
    </xf>
    <xf numFmtId="0" fontId="0" fillId="0" borderId="5" xfId="0" applyBorder="1"/>
    <xf numFmtId="0" fontId="0" fillId="0" borderId="5" xfId="0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0" fontId="3" fillId="0" borderId="6" xfId="0" applyFont="1" applyBorder="1" applyAlignment="1">
      <alignment horizontal="left" wrapText="1"/>
    </xf>
    <xf numFmtId="1" fontId="3" fillId="0" borderId="6" xfId="0" applyNumberFormat="1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3" fontId="3" fillId="0" borderId="6" xfId="0" applyNumberFormat="1" applyFont="1" applyBorder="1" applyAlignment="1">
      <alignment horizontal="center" wrapText="1"/>
    </xf>
    <xf numFmtId="164" fontId="3" fillId="0" borderId="6" xfId="0" applyNumberFormat="1" applyFont="1" applyBorder="1" applyAlignment="1">
      <alignment wrapText="1"/>
    </xf>
    <xf numFmtId="49" fontId="3" fillId="0" borderId="0" xfId="0" applyNumberFormat="1" applyFont="1" applyAlignment="1">
      <alignment wrapText="1"/>
    </xf>
    <xf numFmtId="0" fontId="3" fillId="0" borderId="0" xfId="0" applyFont="1" applyAlignment="1">
      <alignment wrapText="1"/>
    </xf>
    <xf numFmtId="164" fontId="3" fillId="0" borderId="0" xfId="0" applyNumberFormat="1" applyFont="1" applyAlignment="1">
      <alignment horizontal="right" wrapText="1"/>
    </xf>
    <xf numFmtId="49" fontId="3" fillId="0" borderId="0" xfId="0" applyNumberFormat="1" applyFont="1" applyAlignment="1">
      <alignment horizontal="center" wrapText="1"/>
    </xf>
    <xf numFmtId="0" fontId="4" fillId="0" borderId="0" xfId="0" applyFont="1" applyAlignment="1">
      <alignment wrapText="1"/>
    </xf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tabSelected="1" workbookViewId="0">
      <selection activeCell="C31" sqref="C31"/>
    </sheetView>
  </sheetViews>
  <sheetFormatPr defaultRowHeight="15" x14ac:dyDescent="0.25"/>
  <cols>
    <col min="1" max="1" width="20.5703125" bestFit="1" customWidth="1"/>
    <col min="2" max="2" width="9" bestFit="1" customWidth="1"/>
    <col min="3" max="3" width="34.42578125" bestFit="1" customWidth="1"/>
    <col min="4" max="4" width="29.42578125" bestFit="1" customWidth="1"/>
    <col min="5" max="5" width="8.42578125" bestFit="1" customWidth="1"/>
    <col min="6" max="6" width="6.5703125" bestFit="1" customWidth="1"/>
    <col min="7" max="7" width="11.85546875" bestFit="1" customWidth="1"/>
  </cols>
  <sheetData>
    <row r="1" spans="1:7" ht="24.75" thickBot="1" x14ac:dyDescent="0.3">
      <c r="A1" s="8" t="s">
        <v>19280</v>
      </c>
      <c r="B1" s="8" t="s">
        <v>19281</v>
      </c>
      <c r="C1" s="8" t="s">
        <v>19282</v>
      </c>
      <c r="D1" s="8" t="s">
        <v>19283</v>
      </c>
      <c r="E1" s="8" t="s">
        <v>19288</v>
      </c>
      <c r="F1" s="8" t="s">
        <v>19289</v>
      </c>
      <c r="G1" s="8" t="s">
        <v>19290</v>
      </c>
    </row>
    <row r="2" spans="1:7" ht="15" customHeight="1" x14ac:dyDescent="0.25">
      <c r="A2" s="9" t="s">
        <v>19287</v>
      </c>
      <c r="B2" s="5">
        <v>14598175</v>
      </c>
      <c r="C2" s="5" t="s">
        <v>19285</v>
      </c>
      <c r="D2" s="6" t="s">
        <v>19286</v>
      </c>
      <c r="E2" s="6">
        <v>1</v>
      </c>
      <c r="F2" s="11">
        <v>890</v>
      </c>
      <c r="G2" s="10">
        <v>13266.95</v>
      </c>
    </row>
    <row r="3" spans="1:7" ht="15" customHeight="1" x14ac:dyDescent="0.25">
      <c r="A3" s="9" t="s">
        <v>19287</v>
      </c>
      <c r="B3" s="5">
        <v>14598432</v>
      </c>
      <c r="C3" s="5" t="s">
        <v>19285</v>
      </c>
      <c r="D3" s="6" t="s">
        <v>19286</v>
      </c>
      <c r="E3" s="6">
        <v>1</v>
      </c>
      <c r="F3" s="11">
        <v>1001</v>
      </c>
      <c r="G3" s="10">
        <v>15678.17</v>
      </c>
    </row>
    <row r="4" spans="1:7" ht="15" customHeight="1" x14ac:dyDescent="0.25">
      <c r="A4" s="9" t="s">
        <v>19287</v>
      </c>
      <c r="B4" s="5">
        <v>14600445</v>
      </c>
      <c r="C4" s="5" t="s">
        <v>19285</v>
      </c>
      <c r="D4" s="6" t="s">
        <v>19286</v>
      </c>
      <c r="E4" s="6">
        <v>1</v>
      </c>
      <c r="F4" s="11">
        <v>749</v>
      </c>
      <c r="G4" s="10">
        <v>12463.7</v>
      </c>
    </row>
    <row r="5" spans="1:7" ht="15" customHeight="1" x14ac:dyDescent="0.25">
      <c r="A5" s="9" t="s">
        <v>19287</v>
      </c>
      <c r="B5" s="5">
        <v>14602340</v>
      </c>
      <c r="C5" s="5" t="s">
        <v>19285</v>
      </c>
      <c r="D5" s="6" t="s">
        <v>19286</v>
      </c>
      <c r="E5" s="6">
        <v>1</v>
      </c>
      <c r="F5" s="11">
        <v>978</v>
      </c>
      <c r="G5" s="10">
        <v>13822.26</v>
      </c>
    </row>
    <row r="6" spans="1:7" ht="15" customHeight="1" x14ac:dyDescent="0.25">
      <c r="A6" s="9" t="s">
        <v>19287</v>
      </c>
      <c r="B6" s="5">
        <v>14613228</v>
      </c>
      <c r="C6" s="5" t="s">
        <v>19285</v>
      </c>
      <c r="D6" s="6" t="s">
        <v>19286</v>
      </c>
      <c r="E6" s="6">
        <v>1</v>
      </c>
      <c r="F6" s="11">
        <v>918</v>
      </c>
      <c r="G6" s="10">
        <v>24752.15</v>
      </c>
    </row>
    <row r="7" spans="1:7" ht="15" customHeight="1" x14ac:dyDescent="0.25">
      <c r="A7" s="9" t="s">
        <v>19287</v>
      </c>
      <c r="B7" s="5">
        <v>14615136</v>
      </c>
      <c r="C7" s="5" t="s">
        <v>19285</v>
      </c>
      <c r="D7" s="6" t="s">
        <v>19286</v>
      </c>
      <c r="E7" s="6">
        <v>1</v>
      </c>
      <c r="F7" s="11">
        <v>775</v>
      </c>
      <c r="G7" s="10">
        <v>12594.12</v>
      </c>
    </row>
    <row r="8" spans="1:7" ht="15" customHeight="1" x14ac:dyDescent="0.25">
      <c r="A8" s="9" t="s">
        <v>19287</v>
      </c>
      <c r="B8" s="5">
        <v>14615865</v>
      </c>
      <c r="C8" s="5" t="s">
        <v>19285</v>
      </c>
      <c r="D8" s="6" t="s">
        <v>19286</v>
      </c>
      <c r="E8" s="6">
        <v>1</v>
      </c>
      <c r="F8" s="11">
        <v>2634</v>
      </c>
      <c r="G8" s="10">
        <v>41687.06</v>
      </c>
    </row>
    <row r="9" spans="1:7" ht="15" customHeight="1" x14ac:dyDescent="0.25">
      <c r="A9" s="9" t="s">
        <v>19287</v>
      </c>
      <c r="B9" s="5">
        <v>14620278</v>
      </c>
      <c r="C9" s="5" t="s">
        <v>19285</v>
      </c>
      <c r="D9" s="6" t="s">
        <v>19286</v>
      </c>
      <c r="E9" s="6">
        <v>1</v>
      </c>
      <c r="F9" s="11">
        <v>800</v>
      </c>
      <c r="G9" s="10">
        <v>13759.71</v>
      </c>
    </row>
    <row r="10" spans="1:7" ht="15" customHeight="1" x14ac:dyDescent="0.25">
      <c r="A10" s="9" t="s">
        <v>19287</v>
      </c>
      <c r="B10" s="5">
        <v>14630010</v>
      </c>
      <c r="C10" s="5" t="s">
        <v>19285</v>
      </c>
      <c r="D10" s="6" t="s">
        <v>19286</v>
      </c>
      <c r="E10" s="6">
        <v>1</v>
      </c>
      <c r="F10" s="11">
        <v>858</v>
      </c>
      <c r="G10" s="10">
        <v>12760.03</v>
      </c>
    </row>
    <row r="11" spans="1:7" ht="15" customHeight="1" x14ac:dyDescent="0.25">
      <c r="A11" s="9" t="s">
        <v>19287</v>
      </c>
      <c r="B11" s="5">
        <v>14633550</v>
      </c>
      <c r="C11" s="5" t="s">
        <v>19285</v>
      </c>
      <c r="D11" s="6" t="s">
        <v>19286</v>
      </c>
      <c r="E11" s="6">
        <v>1</v>
      </c>
      <c r="F11" s="11">
        <v>2850</v>
      </c>
      <c r="G11" s="10">
        <v>42335.49</v>
      </c>
    </row>
    <row r="12" spans="1:7" ht="15" customHeight="1" x14ac:dyDescent="0.25">
      <c r="A12" s="9" t="s">
        <v>19287</v>
      </c>
      <c r="B12" s="5">
        <v>14653360</v>
      </c>
      <c r="C12" s="5" t="s">
        <v>19285</v>
      </c>
      <c r="D12" s="6" t="s">
        <v>19286</v>
      </c>
      <c r="E12" s="6">
        <v>1</v>
      </c>
      <c r="F12" s="11">
        <v>2520</v>
      </c>
      <c r="G12" s="10">
        <v>49528.9</v>
      </c>
    </row>
    <row r="13" spans="1:7" ht="15" customHeight="1" x14ac:dyDescent="0.25">
      <c r="A13" s="9" t="s">
        <v>19287</v>
      </c>
      <c r="B13" s="5">
        <v>14653377</v>
      </c>
      <c r="C13" s="5" t="s">
        <v>19285</v>
      </c>
      <c r="D13" s="6" t="s">
        <v>19286</v>
      </c>
      <c r="E13" s="6">
        <v>1</v>
      </c>
      <c r="F13" s="11">
        <v>2124</v>
      </c>
      <c r="G13" s="10">
        <v>34746.57</v>
      </c>
    </row>
    <row r="14" spans="1:7" ht="15" customHeight="1" x14ac:dyDescent="0.25">
      <c r="A14" s="9" t="s">
        <v>19287</v>
      </c>
      <c r="B14" s="5">
        <v>14653382</v>
      </c>
      <c r="C14" s="5" t="s">
        <v>19285</v>
      </c>
      <c r="D14" s="6" t="s">
        <v>19286</v>
      </c>
      <c r="E14" s="6">
        <v>1</v>
      </c>
      <c r="F14" s="11">
        <v>2039</v>
      </c>
      <c r="G14" s="10">
        <v>37746.410000000003</v>
      </c>
    </row>
    <row r="15" spans="1:7" ht="15" customHeight="1" x14ac:dyDescent="0.25">
      <c r="A15" s="9" t="s">
        <v>19287</v>
      </c>
      <c r="B15" s="5">
        <v>14657310</v>
      </c>
      <c r="C15" s="5" t="s">
        <v>19285</v>
      </c>
      <c r="D15" s="6" t="s">
        <v>19286</v>
      </c>
      <c r="E15" s="6">
        <v>1</v>
      </c>
      <c r="F15" s="11">
        <v>2613</v>
      </c>
      <c r="G15" s="10">
        <v>44958.9</v>
      </c>
    </row>
    <row r="16" spans="1:7" ht="15" customHeight="1" x14ac:dyDescent="0.25">
      <c r="A16" s="9" t="s">
        <v>19287</v>
      </c>
      <c r="B16" s="5">
        <v>14657315</v>
      </c>
      <c r="C16" s="5" t="s">
        <v>19285</v>
      </c>
      <c r="D16" s="6" t="s">
        <v>19286</v>
      </c>
      <c r="E16" s="6">
        <v>1</v>
      </c>
      <c r="F16" s="11">
        <v>2304</v>
      </c>
      <c r="G16" s="10">
        <v>39389.980000000003</v>
      </c>
    </row>
    <row r="17" spans="1:7" ht="15" customHeight="1" x14ac:dyDescent="0.25">
      <c r="A17" s="9" t="s">
        <v>19287</v>
      </c>
      <c r="B17" s="5">
        <v>14658885</v>
      </c>
      <c r="C17" s="5" t="s">
        <v>19285</v>
      </c>
      <c r="D17" s="6" t="s">
        <v>19286</v>
      </c>
      <c r="E17" s="6">
        <v>1</v>
      </c>
      <c r="F17" s="11">
        <v>901</v>
      </c>
      <c r="G17" s="10">
        <v>12031.71</v>
      </c>
    </row>
    <row r="18" spans="1:7" ht="15" customHeight="1" x14ac:dyDescent="0.25">
      <c r="A18" s="9" t="s">
        <v>19287</v>
      </c>
      <c r="B18" s="5">
        <v>14663014</v>
      </c>
      <c r="C18" s="5" t="s">
        <v>19285</v>
      </c>
      <c r="D18" s="6" t="s">
        <v>19286</v>
      </c>
      <c r="E18" s="6">
        <v>1</v>
      </c>
      <c r="F18" s="11">
        <v>839</v>
      </c>
      <c r="G18" s="10">
        <v>13723.94</v>
      </c>
    </row>
    <row r="19" spans="1:7" ht="15" customHeight="1" x14ac:dyDescent="0.25">
      <c r="A19" s="9" t="s">
        <v>19287</v>
      </c>
      <c r="B19" s="5">
        <v>14664700</v>
      </c>
      <c r="C19" s="5" t="s">
        <v>19285</v>
      </c>
      <c r="D19" s="6" t="s">
        <v>19286</v>
      </c>
      <c r="E19" s="6">
        <v>1</v>
      </c>
      <c r="F19" s="11">
        <v>1124</v>
      </c>
      <c r="G19" s="10">
        <v>19061.63</v>
      </c>
    </row>
    <row r="20" spans="1:7" ht="15" customHeight="1" x14ac:dyDescent="0.25">
      <c r="A20" s="9" t="s">
        <v>19287</v>
      </c>
      <c r="B20" s="5">
        <v>14666103</v>
      </c>
      <c r="C20" s="5" t="s">
        <v>19285</v>
      </c>
      <c r="D20" s="6" t="s">
        <v>19286</v>
      </c>
      <c r="E20" s="6">
        <v>1</v>
      </c>
      <c r="F20" s="11">
        <v>3134</v>
      </c>
      <c r="G20" s="10">
        <v>49342.81</v>
      </c>
    </row>
    <row r="21" spans="1:7" ht="15" customHeight="1" x14ac:dyDescent="0.25">
      <c r="A21" s="9" t="s">
        <v>19287</v>
      </c>
      <c r="B21" s="5">
        <v>14666106</v>
      </c>
      <c r="C21" s="5" t="s">
        <v>19285</v>
      </c>
      <c r="D21" s="6" t="s">
        <v>19286</v>
      </c>
      <c r="E21" s="6">
        <v>2</v>
      </c>
      <c r="F21" s="11">
        <v>3069</v>
      </c>
      <c r="G21" s="10">
        <v>43029.21</v>
      </c>
    </row>
    <row r="22" spans="1:7" ht="15" customHeight="1" x14ac:dyDescent="0.25">
      <c r="A22" s="9" t="s">
        <v>19287</v>
      </c>
      <c r="B22" s="5">
        <v>14666142</v>
      </c>
      <c r="C22" s="5" t="s">
        <v>19285</v>
      </c>
      <c r="D22" s="6" t="s">
        <v>19286</v>
      </c>
      <c r="E22" s="6">
        <v>1</v>
      </c>
      <c r="F22" s="11">
        <v>2899</v>
      </c>
      <c r="G22" s="10">
        <v>39706.85</v>
      </c>
    </row>
    <row r="23" spans="1:7" ht="15" customHeight="1" x14ac:dyDescent="0.25">
      <c r="A23" s="9" t="s">
        <v>19287</v>
      </c>
      <c r="B23" s="5">
        <v>14674047</v>
      </c>
      <c r="C23" s="5" t="s">
        <v>19285</v>
      </c>
      <c r="D23" s="6" t="s">
        <v>19286</v>
      </c>
      <c r="E23" s="6">
        <v>1</v>
      </c>
      <c r="F23" s="11">
        <v>951</v>
      </c>
      <c r="G23" s="10">
        <v>14578.01</v>
      </c>
    </row>
    <row r="24" spans="1:7" ht="15" customHeight="1" x14ac:dyDescent="0.25">
      <c r="A24" s="9" t="s">
        <v>19287</v>
      </c>
      <c r="B24" s="5">
        <v>14697972</v>
      </c>
      <c r="C24" s="5" t="s">
        <v>19285</v>
      </c>
      <c r="D24" s="6" t="s">
        <v>19286</v>
      </c>
      <c r="E24" s="6">
        <v>1</v>
      </c>
      <c r="F24" s="11">
        <v>597</v>
      </c>
      <c r="G24" s="10">
        <v>10391.719999999999</v>
      </c>
    </row>
    <row r="25" spans="1:7" ht="15" customHeight="1" x14ac:dyDescent="0.25">
      <c r="A25" s="9" t="s">
        <v>19287</v>
      </c>
      <c r="B25" s="5">
        <v>14703445</v>
      </c>
      <c r="C25" s="5" t="s">
        <v>19285</v>
      </c>
      <c r="D25" s="6" t="s">
        <v>19286</v>
      </c>
      <c r="E25" s="6">
        <v>1</v>
      </c>
      <c r="F25" s="11">
        <v>1526</v>
      </c>
      <c r="G25" s="10">
        <v>20947.919999999998</v>
      </c>
    </row>
    <row r="26" spans="1:7" ht="15" customHeight="1" x14ac:dyDescent="0.25">
      <c r="A26" s="4" t="s">
        <v>19287</v>
      </c>
      <c r="B26" s="5">
        <v>14710469</v>
      </c>
      <c r="C26" s="5" t="s">
        <v>19285</v>
      </c>
      <c r="D26" s="6" t="s">
        <v>19286</v>
      </c>
      <c r="E26" s="6">
        <v>1</v>
      </c>
      <c r="F26" s="11">
        <v>451</v>
      </c>
      <c r="G26" s="7">
        <v>7967.57</v>
      </c>
    </row>
    <row r="27" spans="1:7" ht="15" customHeight="1" thickBot="1" x14ac:dyDescent="0.3">
      <c r="A27" s="16" t="s">
        <v>19287</v>
      </c>
      <c r="B27" s="17">
        <v>14712012</v>
      </c>
      <c r="C27" s="17" t="s">
        <v>19285</v>
      </c>
      <c r="D27" s="18" t="s">
        <v>19286</v>
      </c>
      <c r="E27" s="18">
        <v>1</v>
      </c>
      <c r="F27" s="19">
        <v>1147</v>
      </c>
      <c r="G27" s="20">
        <v>21549.01</v>
      </c>
    </row>
    <row r="28" spans="1:7" ht="15.75" thickBot="1" x14ac:dyDescent="0.3">
      <c r="A28" s="12"/>
      <c r="B28" s="12"/>
      <c r="C28" s="12"/>
      <c r="D28" s="12"/>
      <c r="E28" s="13">
        <f>SUM(E2:E27)</f>
        <v>27</v>
      </c>
      <c r="F28" s="14">
        <f>SUM(F2:F27)</f>
        <v>40691</v>
      </c>
      <c r="G28" s="15">
        <f>SUM(G2:G27)</f>
        <v>661820.78</v>
      </c>
    </row>
  </sheetData>
  <phoneticPr fontId="0" type="noConversion"/>
  <pageMargins left="0.75" right="0.75" top="1" bottom="1" header="0.5" footer="0.5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45"/>
  <sheetViews>
    <sheetView workbookViewId="0">
      <selection activeCell="F11" sqref="F11"/>
    </sheetView>
  </sheetViews>
  <sheetFormatPr defaultRowHeight="15" x14ac:dyDescent="0.25"/>
  <cols>
    <col min="1" max="1" width="14.42578125" customWidth="1"/>
    <col min="2" max="2" width="53.5703125" customWidth="1"/>
    <col min="3" max="4" width="15" customWidth="1"/>
    <col min="5" max="5" width="9.5703125" customWidth="1"/>
    <col min="6" max="6" width="17.140625" customWidth="1"/>
    <col min="7" max="8" width="11.42578125" customWidth="1"/>
    <col min="9" max="9" width="10.85546875" customWidth="1"/>
    <col min="10" max="10" width="12.140625" customWidth="1"/>
    <col min="11" max="11" width="36.5703125" bestFit="1" customWidth="1"/>
    <col min="12" max="13" width="20.5703125" customWidth="1"/>
    <col min="14" max="14" width="64.42578125" customWidth="1"/>
  </cols>
  <sheetData>
    <row r="1" spans="1:14" ht="36" x14ac:dyDescent="0.25">
      <c r="A1" s="1" t="s">
        <v>19291</v>
      </c>
      <c r="B1" s="1" t="s">
        <v>19292</v>
      </c>
      <c r="C1" s="1" t="s">
        <v>19293</v>
      </c>
      <c r="D1" s="1" t="s">
        <v>19284</v>
      </c>
      <c r="E1" s="1" t="s">
        <v>19294</v>
      </c>
      <c r="F1" s="1" t="s">
        <v>19295</v>
      </c>
      <c r="G1" s="1" t="s">
        <v>19296</v>
      </c>
      <c r="H1" s="1" t="s">
        <v>19297</v>
      </c>
      <c r="I1" s="1" t="s">
        <v>19298</v>
      </c>
      <c r="J1" s="1" t="s">
        <v>19299</v>
      </c>
      <c r="K1" s="1" t="s">
        <v>19300</v>
      </c>
      <c r="L1" s="1" t="s">
        <v>19301</v>
      </c>
      <c r="M1" s="1" t="s">
        <v>19302</v>
      </c>
      <c r="N1" s="1" t="s">
        <v>19303</v>
      </c>
    </row>
    <row r="2" spans="1:14" ht="24.75" x14ac:dyDescent="0.25">
      <c r="A2" s="21" t="s">
        <v>10246</v>
      </c>
      <c r="B2" s="22" t="s">
        <v>10247</v>
      </c>
      <c r="C2" s="2">
        <v>1</v>
      </c>
      <c r="D2" s="23">
        <v>59.5</v>
      </c>
      <c r="E2" s="3">
        <v>59.5</v>
      </c>
      <c r="F2" s="2">
        <v>310868480001</v>
      </c>
      <c r="G2" s="22" t="s">
        <v>19333</v>
      </c>
      <c r="H2" s="24" t="s">
        <v>20159</v>
      </c>
      <c r="I2" s="22" t="s">
        <v>19309</v>
      </c>
      <c r="J2" s="22" t="s">
        <v>19325</v>
      </c>
      <c r="K2" s="22" t="s">
        <v>19326</v>
      </c>
      <c r="L2" s="22"/>
      <c r="M2" s="22"/>
      <c r="N2" s="25" t="str">
        <f>HYPERLINK("http://slimages.macys.com/is/image/MCY/20655203 ")</f>
        <v xml:space="preserve">http://slimages.macys.com/is/image/MCY/20655203 </v>
      </c>
    </row>
    <row r="3" spans="1:14" ht="24.75" x14ac:dyDescent="0.25">
      <c r="A3" s="21" t="s">
        <v>10248</v>
      </c>
      <c r="B3" s="22" t="s">
        <v>10249</v>
      </c>
      <c r="C3" s="2">
        <v>1</v>
      </c>
      <c r="D3" s="23">
        <v>55</v>
      </c>
      <c r="E3" s="3">
        <v>55</v>
      </c>
      <c r="F3" s="2" t="s">
        <v>10250</v>
      </c>
      <c r="G3" s="22" t="s">
        <v>19537</v>
      </c>
      <c r="H3" s="24" t="s">
        <v>10251</v>
      </c>
      <c r="I3" s="22" t="s">
        <v>19309</v>
      </c>
      <c r="J3" s="22" t="s">
        <v>17328</v>
      </c>
      <c r="K3" s="22" t="s">
        <v>10252</v>
      </c>
      <c r="L3" s="22" t="s">
        <v>19319</v>
      </c>
      <c r="M3" s="22" t="s">
        <v>10253</v>
      </c>
      <c r="N3" s="25" t="str">
        <f>HYPERLINK("http://slimages.macys.com/is/image/MCY/2808429 ")</f>
        <v xml:space="preserve">http://slimages.macys.com/is/image/MCY/2808429 </v>
      </c>
    </row>
    <row r="4" spans="1:14" ht="24.75" x14ac:dyDescent="0.25">
      <c r="A4" s="21" t="s">
        <v>10254</v>
      </c>
      <c r="B4" s="22" t="s">
        <v>10255</v>
      </c>
      <c r="C4" s="2">
        <v>1</v>
      </c>
      <c r="D4" s="23">
        <v>49.5</v>
      </c>
      <c r="E4" s="3">
        <v>49.5</v>
      </c>
      <c r="F4" s="2">
        <v>323870935004</v>
      </c>
      <c r="G4" s="22" t="s">
        <v>19342</v>
      </c>
      <c r="H4" s="24" t="s">
        <v>19364</v>
      </c>
      <c r="I4" s="22" t="s">
        <v>19309</v>
      </c>
      <c r="J4" s="22" t="s">
        <v>19335</v>
      </c>
      <c r="K4" s="22" t="s">
        <v>19326</v>
      </c>
      <c r="L4" s="22"/>
      <c r="M4" s="22"/>
      <c r="N4" s="25" t="str">
        <f>HYPERLINK("http://slimages.macys.com/is/image/MCY/22155915 ")</f>
        <v xml:space="preserve">http://slimages.macys.com/is/image/MCY/22155915 </v>
      </c>
    </row>
    <row r="5" spans="1:14" ht="24.75" x14ac:dyDescent="0.25">
      <c r="A5" s="21" t="s">
        <v>10256</v>
      </c>
      <c r="B5" s="22" t="s">
        <v>10257</v>
      </c>
      <c r="C5" s="2">
        <v>1</v>
      </c>
      <c r="D5" s="23">
        <v>45</v>
      </c>
      <c r="E5" s="3">
        <v>45</v>
      </c>
      <c r="F5" s="2">
        <v>313786391001</v>
      </c>
      <c r="G5" s="22" t="s">
        <v>19333</v>
      </c>
      <c r="H5" s="24" t="s">
        <v>19399</v>
      </c>
      <c r="I5" s="22" t="s">
        <v>19309</v>
      </c>
      <c r="J5" s="22" t="s">
        <v>19389</v>
      </c>
      <c r="K5" s="22" t="s">
        <v>19326</v>
      </c>
      <c r="L5" s="22"/>
      <c r="M5" s="22"/>
      <c r="N5" s="25" t="str">
        <f>HYPERLINK("http://slimages.macys.com/is/image/MCY/16755798 ")</f>
        <v xml:space="preserve">http://slimages.macys.com/is/image/MCY/16755798 </v>
      </c>
    </row>
    <row r="6" spans="1:14" ht="24.75" x14ac:dyDescent="0.25">
      <c r="A6" s="21" t="s">
        <v>10258</v>
      </c>
      <c r="B6" s="22" t="s">
        <v>10259</v>
      </c>
      <c r="C6" s="2">
        <v>1</v>
      </c>
      <c r="D6" s="23">
        <v>45</v>
      </c>
      <c r="E6" s="3">
        <v>45</v>
      </c>
      <c r="F6" s="2">
        <v>313862068001</v>
      </c>
      <c r="G6" s="22" t="s">
        <v>19333</v>
      </c>
      <c r="H6" s="24" t="s">
        <v>19797</v>
      </c>
      <c r="I6" s="22" t="s">
        <v>19309</v>
      </c>
      <c r="J6" s="22" t="s">
        <v>19389</v>
      </c>
      <c r="K6" s="22" t="s">
        <v>19326</v>
      </c>
      <c r="L6" s="22" t="s">
        <v>19319</v>
      </c>
      <c r="M6" s="22" t="s">
        <v>19435</v>
      </c>
      <c r="N6" s="25" t="str">
        <f>HYPERLINK("http://images.bloomingdales.com/is/image/BLM/12044291 ")</f>
        <v xml:space="preserve">http://images.bloomingdales.com/is/image/BLM/12044291 </v>
      </c>
    </row>
    <row r="7" spans="1:14" ht="24.75" x14ac:dyDescent="0.25">
      <c r="A7" s="21" t="s">
        <v>10260</v>
      </c>
      <c r="B7" s="22" t="s">
        <v>10261</v>
      </c>
      <c r="C7" s="2">
        <v>1</v>
      </c>
      <c r="D7" s="23">
        <v>59.99</v>
      </c>
      <c r="E7" s="3">
        <v>59.99</v>
      </c>
      <c r="F7" s="2" t="s">
        <v>10262</v>
      </c>
      <c r="G7" s="22" t="s">
        <v>19351</v>
      </c>
      <c r="H7" s="24" t="s">
        <v>19399</v>
      </c>
      <c r="I7" s="22" t="s">
        <v>19309</v>
      </c>
      <c r="J7" s="22" t="s">
        <v>19400</v>
      </c>
      <c r="K7" s="22" t="s">
        <v>19423</v>
      </c>
      <c r="L7" s="22"/>
      <c r="M7" s="22"/>
      <c r="N7" s="25" t="str">
        <f>HYPERLINK("http://slimages.macys.com/is/image/MCY/21621738 ")</f>
        <v xml:space="preserve">http://slimages.macys.com/is/image/MCY/21621738 </v>
      </c>
    </row>
    <row r="8" spans="1:14" ht="24.75" x14ac:dyDescent="0.25">
      <c r="A8" s="21" t="s">
        <v>10263</v>
      </c>
      <c r="B8" s="22" t="s">
        <v>10264</v>
      </c>
      <c r="C8" s="2">
        <v>1</v>
      </c>
      <c r="D8" s="23">
        <v>39.5</v>
      </c>
      <c r="E8" s="3">
        <v>39.5</v>
      </c>
      <c r="F8" s="2">
        <v>323873970001</v>
      </c>
      <c r="G8" s="22" t="s">
        <v>19357</v>
      </c>
      <c r="H8" s="24" t="s">
        <v>19352</v>
      </c>
      <c r="I8" s="22" t="s">
        <v>19309</v>
      </c>
      <c r="J8" s="22" t="s">
        <v>19335</v>
      </c>
      <c r="K8" s="22" t="s">
        <v>19326</v>
      </c>
      <c r="L8" s="22" t="s">
        <v>19319</v>
      </c>
      <c r="M8" s="22" t="s">
        <v>19358</v>
      </c>
      <c r="N8" s="25" t="str">
        <f>HYPERLINK("http://images.bloomingdales.com/is/image/BLM/12289196 ")</f>
        <v xml:space="preserve">http://images.bloomingdales.com/is/image/BLM/12289196 </v>
      </c>
    </row>
    <row r="9" spans="1:14" ht="24.75" x14ac:dyDescent="0.25">
      <c r="A9" s="21" t="s">
        <v>10265</v>
      </c>
      <c r="B9" s="22" t="s">
        <v>10266</v>
      </c>
      <c r="C9" s="2">
        <v>1</v>
      </c>
      <c r="D9" s="23">
        <v>39.5</v>
      </c>
      <c r="E9" s="3">
        <v>39.5</v>
      </c>
      <c r="F9" s="2">
        <v>320871498001</v>
      </c>
      <c r="G9" s="22" t="s">
        <v>19635</v>
      </c>
      <c r="H9" s="24" t="s">
        <v>19416</v>
      </c>
      <c r="I9" s="22" t="s">
        <v>19309</v>
      </c>
      <c r="J9" s="22" t="s">
        <v>19325</v>
      </c>
      <c r="K9" s="22" t="s">
        <v>19326</v>
      </c>
      <c r="L9" s="22"/>
      <c r="M9" s="22"/>
      <c r="N9" s="25" t="str">
        <f>HYPERLINK("http://slimages.macys.com/is/image/MCY/22292353 ")</f>
        <v xml:space="preserve">http://slimages.macys.com/is/image/MCY/22292353 </v>
      </c>
    </row>
    <row r="10" spans="1:14" ht="24.75" x14ac:dyDescent="0.25">
      <c r="A10" s="21" t="s">
        <v>19368</v>
      </c>
      <c r="B10" s="22" t="s">
        <v>19369</v>
      </c>
      <c r="C10" s="2">
        <v>1</v>
      </c>
      <c r="D10" s="23">
        <v>39.5</v>
      </c>
      <c r="E10" s="3">
        <v>39.5</v>
      </c>
      <c r="F10" s="2">
        <v>323873970001</v>
      </c>
      <c r="G10" s="22" t="s">
        <v>19357</v>
      </c>
      <c r="H10" s="24" t="s">
        <v>19339</v>
      </c>
      <c r="I10" s="22" t="s">
        <v>19309</v>
      </c>
      <c r="J10" s="22" t="s">
        <v>19335</v>
      </c>
      <c r="K10" s="22" t="s">
        <v>19326</v>
      </c>
      <c r="L10" s="22"/>
      <c r="M10" s="22"/>
      <c r="N10" s="25" t="str">
        <f>HYPERLINK("http://slimages.macys.com/is/image/MCY/21850709 ")</f>
        <v xml:space="preserve">http://slimages.macys.com/is/image/MCY/21850709 </v>
      </c>
    </row>
    <row r="11" spans="1:14" ht="24.75" x14ac:dyDescent="0.25">
      <c r="A11" s="21" t="s">
        <v>10267</v>
      </c>
      <c r="B11" s="22" t="s">
        <v>10268</v>
      </c>
      <c r="C11" s="2">
        <v>1</v>
      </c>
      <c r="D11" s="23">
        <v>35</v>
      </c>
      <c r="E11" s="3">
        <v>35</v>
      </c>
      <c r="F11" s="2">
        <v>322867158051</v>
      </c>
      <c r="G11" s="22" t="s">
        <v>19338</v>
      </c>
      <c r="H11" s="24" t="s">
        <v>19542</v>
      </c>
      <c r="I11" s="22" t="s">
        <v>19309</v>
      </c>
      <c r="J11" s="22" t="s">
        <v>19335</v>
      </c>
      <c r="K11" s="22" t="s">
        <v>19326</v>
      </c>
      <c r="L11" s="22"/>
      <c r="M11" s="22"/>
      <c r="N11" s="25" t="str">
        <f>HYPERLINK("http://slimages.macys.com/is/image/MCY/22007482 ")</f>
        <v xml:space="preserve">http://slimages.macys.com/is/image/MCY/22007482 </v>
      </c>
    </row>
    <row r="12" spans="1:14" ht="24.75" x14ac:dyDescent="0.25">
      <c r="A12" s="21" t="s">
        <v>10269</v>
      </c>
      <c r="B12" s="22" t="s">
        <v>10270</v>
      </c>
      <c r="C12" s="2">
        <v>1</v>
      </c>
      <c r="D12" s="23">
        <v>32.99</v>
      </c>
      <c r="E12" s="3">
        <v>32.99</v>
      </c>
      <c r="F12" s="2" t="s">
        <v>10271</v>
      </c>
      <c r="G12" s="22" t="s">
        <v>19383</v>
      </c>
      <c r="H12" s="24" t="s">
        <v>19339</v>
      </c>
      <c r="I12" s="22" t="s">
        <v>19309</v>
      </c>
      <c r="J12" s="22" t="s">
        <v>19310</v>
      </c>
      <c r="K12" s="22" t="s">
        <v>19311</v>
      </c>
      <c r="L12" s="22"/>
      <c r="M12" s="22"/>
      <c r="N12" s="25" t="str">
        <f>HYPERLINK("http://slimages.macys.com/is/image/MCY/18249496 ")</f>
        <v xml:space="preserve">http://slimages.macys.com/is/image/MCY/18249496 </v>
      </c>
    </row>
    <row r="13" spans="1:14" ht="24.75" x14ac:dyDescent="0.25">
      <c r="A13" s="21" t="s">
        <v>10272</v>
      </c>
      <c r="B13" s="22" t="s">
        <v>10273</v>
      </c>
      <c r="C13" s="2">
        <v>1</v>
      </c>
      <c r="D13" s="23">
        <v>48.44</v>
      </c>
      <c r="E13" s="3">
        <v>48.44</v>
      </c>
      <c r="F13" s="2" t="s">
        <v>10274</v>
      </c>
      <c r="G13" s="22" t="s">
        <v>19383</v>
      </c>
      <c r="H13" s="24" t="s">
        <v>19361</v>
      </c>
      <c r="I13" s="22" t="s">
        <v>19309</v>
      </c>
      <c r="J13" s="22" t="s">
        <v>19378</v>
      </c>
      <c r="K13" s="22" t="s">
        <v>19423</v>
      </c>
      <c r="L13" s="22" t="s">
        <v>19319</v>
      </c>
      <c r="M13" s="22" t="s">
        <v>10275</v>
      </c>
      <c r="N13" s="25" t="str">
        <f>HYPERLINK("http://slimages.macys.com/is/image/MCY/16224508 ")</f>
        <v xml:space="preserve">http://slimages.macys.com/is/image/MCY/16224508 </v>
      </c>
    </row>
    <row r="14" spans="1:14" ht="24.75" x14ac:dyDescent="0.25">
      <c r="A14" s="21" t="s">
        <v>10276</v>
      </c>
      <c r="B14" s="22" t="s">
        <v>10277</v>
      </c>
      <c r="C14" s="2">
        <v>1</v>
      </c>
      <c r="D14" s="23">
        <v>39.99</v>
      </c>
      <c r="E14" s="3">
        <v>39.99</v>
      </c>
      <c r="F14" s="2" t="s">
        <v>10278</v>
      </c>
      <c r="G14" s="22" t="s">
        <v>19383</v>
      </c>
      <c r="H14" s="24" t="s">
        <v>19542</v>
      </c>
      <c r="I14" s="22" t="s">
        <v>19309</v>
      </c>
      <c r="J14" s="22" t="s">
        <v>19378</v>
      </c>
      <c r="K14" s="22" t="s">
        <v>19479</v>
      </c>
      <c r="L14" s="22"/>
      <c r="M14" s="22"/>
      <c r="N14" s="25" t="str">
        <f>HYPERLINK("http://slimages.macys.com/is/image/MCY/21082140 ")</f>
        <v xml:space="preserve">http://slimages.macys.com/is/image/MCY/21082140 </v>
      </c>
    </row>
    <row r="15" spans="1:14" ht="24.75" x14ac:dyDescent="0.25">
      <c r="A15" s="21" t="s">
        <v>10279</v>
      </c>
      <c r="B15" s="22" t="s">
        <v>10280</v>
      </c>
      <c r="C15" s="2">
        <v>1</v>
      </c>
      <c r="D15" s="23">
        <v>44.99</v>
      </c>
      <c r="E15" s="3">
        <v>44.99</v>
      </c>
      <c r="F15" s="2" t="s">
        <v>10281</v>
      </c>
      <c r="G15" s="22" t="s">
        <v>19383</v>
      </c>
      <c r="H15" s="24" t="s">
        <v>19316</v>
      </c>
      <c r="I15" s="22" t="s">
        <v>19309</v>
      </c>
      <c r="J15" s="22" t="s">
        <v>19400</v>
      </c>
      <c r="K15" s="22" t="s">
        <v>19479</v>
      </c>
      <c r="L15" s="22"/>
      <c r="M15" s="22"/>
      <c r="N15" s="25" t="str">
        <f>HYPERLINK("http://slimages.macys.com/is/image/MCY/20536069 ")</f>
        <v xml:space="preserve">http://slimages.macys.com/is/image/MCY/20536069 </v>
      </c>
    </row>
    <row r="16" spans="1:14" x14ac:dyDescent="0.25">
      <c r="A16" s="21" t="s">
        <v>10282</v>
      </c>
      <c r="B16" s="22" t="s">
        <v>10283</v>
      </c>
      <c r="C16" s="2">
        <v>1</v>
      </c>
      <c r="D16" s="23">
        <v>32</v>
      </c>
      <c r="E16" s="3">
        <v>32</v>
      </c>
      <c r="F16" s="2">
        <v>1366377</v>
      </c>
      <c r="G16" s="22" t="s">
        <v>19315</v>
      </c>
      <c r="H16" s="24" t="s">
        <v>19308</v>
      </c>
      <c r="I16" s="22" t="s">
        <v>19309</v>
      </c>
      <c r="J16" s="22" t="s">
        <v>19310</v>
      </c>
      <c r="K16" s="22" t="s">
        <v>17686</v>
      </c>
      <c r="L16" s="22"/>
      <c r="M16" s="22"/>
      <c r="N16" s="25" t="str">
        <f>HYPERLINK("http://slimages.macys.com/is/image/MCY/20071420 ")</f>
        <v xml:space="preserve">http://slimages.macys.com/is/image/MCY/20071420 </v>
      </c>
    </row>
    <row r="17" spans="1:14" x14ac:dyDescent="0.25">
      <c r="A17" s="21" t="s">
        <v>10284</v>
      </c>
      <c r="B17" s="22" t="s">
        <v>10285</v>
      </c>
      <c r="C17" s="2">
        <v>2</v>
      </c>
      <c r="D17" s="23">
        <v>31.99</v>
      </c>
      <c r="E17" s="3">
        <v>63.98</v>
      </c>
      <c r="F17" s="2" t="s">
        <v>19430</v>
      </c>
      <c r="G17" s="22" t="s">
        <v>19622</v>
      </c>
      <c r="H17" s="24" t="s">
        <v>19542</v>
      </c>
      <c r="I17" s="22" t="s">
        <v>19309</v>
      </c>
      <c r="J17" s="22" t="s">
        <v>19310</v>
      </c>
      <c r="K17" s="22" t="s">
        <v>19433</v>
      </c>
      <c r="L17" s="22"/>
      <c r="M17" s="22"/>
      <c r="N17" s="25" t="str">
        <f>HYPERLINK("http://slimages.macys.com/is/image/MCY/20988726 ")</f>
        <v xml:space="preserve">http://slimages.macys.com/is/image/MCY/20988726 </v>
      </c>
    </row>
    <row r="18" spans="1:14" x14ac:dyDescent="0.25">
      <c r="A18" s="21" t="s">
        <v>10286</v>
      </c>
      <c r="B18" s="22" t="s">
        <v>10287</v>
      </c>
      <c r="C18" s="2">
        <v>1</v>
      </c>
      <c r="D18" s="23">
        <v>31.99</v>
      </c>
      <c r="E18" s="3">
        <v>31.99</v>
      </c>
      <c r="F18" s="2" t="s">
        <v>19430</v>
      </c>
      <c r="G18" s="22" t="s">
        <v>19622</v>
      </c>
      <c r="H18" s="24" t="s">
        <v>19361</v>
      </c>
      <c r="I18" s="22" t="s">
        <v>19309</v>
      </c>
      <c r="J18" s="22" t="s">
        <v>19310</v>
      </c>
      <c r="K18" s="22" t="s">
        <v>19433</v>
      </c>
      <c r="L18" s="22"/>
      <c r="M18" s="22"/>
      <c r="N18" s="25" t="str">
        <f>HYPERLINK("http://slimages.macys.com/is/image/MCY/20988726 ")</f>
        <v xml:space="preserve">http://slimages.macys.com/is/image/MCY/20988726 </v>
      </c>
    </row>
    <row r="19" spans="1:14" x14ac:dyDescent="0.25">
      <c r="A19" s="21" t="s">
        <v>10288</v>
      </c>
      <c r="B19" s="22" t="s">
        <v>10289</v>
      </c>
      <c r="C19" s="2">
        <v>1</v>
      </c>
      <c r="D19" s="23">
        <v>31.99</v>
      </c>
      <c r="E19" s="3">
        <v>31.99</v>
      </c>
      <c r="F19" s="2" t="s">
        <v>19430</v>
      </c>
      <c r="G19" s="22" t="s">
        <v>19622</v>
      </c>
      <c r="H19" s="24" t="s">
        <v>19432</v>
      </c>
      <c r="I19" s="22" t="s">
        <v>19309</v>
      </c>
      <c r="J19" s="22" t="s">
        <v>19310</v>
      </c>
      <c r="K19" s="22" t="s">
        <v>19433</v>
      </c>
      <c r="L19" s="22"/>
      <c r="M19" s="22"/>
      <c r="N19" s="25" t="str">
        <f>HYPERLINK("http://slimages.macys.com/is/image/MCY/20988726 ")</f>
        <v xml:space="preserve">http://slimages.macys.com/is/image/MCY/20988726 </v>
      </c>
    </row>
    <row r="20" spans="1:14" ht="24.75" x14ac:dyDescent="0.25">
      <c r="A20" s="21" t="s">
        <v>10290</v>
      </c>
      <c r="B20" s="22" t="s">
        <v>10291</v>
      </c>
      <c r="C20" s="2">
        <v>1</v>
      </c>
      <c r="D20" s="23">
        <v>42.19</v>
      </c>
      <c r="E20" s="3">
        <v>42.19</v>
      </c>
      <c r="F20" s="2" t="s">
        <v>10292</v>
      </c>
      <c r="G20" s="22" t="s">
        <v>19323</v>
      </c>
      <c r="H20" s="24" t="s">
        <v>19352</v>
      </c>
      <c r="I20" s="22" t="s">
        <v>19309</v>
      </c>
      <c r="J20" s="22" t="s">
        <v>19595</v>
      </c>
      <c r="K20" s="22" t="s">
        <v>19423</v>
      </c>
      <c r="L20" s="22"/>
      <c r="M20" s="22"/>
      <c r="N20" s="25" t="str">
        <f>HYPERLINK("http://slimages.macys.com/is/image/MCY/20918679 ")</f>
        <v xml:space="preserve">http://slimages.macys.com/is/image/MCY/20918679 </v>
      </c>
    </row>
    <row r="21" spans="1:14" ht="24.75" x14ac:dyDescent="0.25">
      <c r="A21" s="21" t="s">
        <v>12865</v>
      </c>
      <c r="B21" s="22" t="s">
        <v>12866</v>
      </c>
      <c r="C21" s="2">
        <v>1</v>
      </c>
      <c r="D21" s="23">
        <v>33.99</v>
      </c>
      <c r="E21" s="3">
        <v>33.99</v>
      </c>
      <c r="F21" s="2" t="s">
        <v>19443</v>
      </c>
      <c r="G21" s="22" t="s">
        <v>19351</v>
      </c>
      <c r="H21" s="24" t="s">
        <v>19324</v>
      </c>
      <c r="I21" s="22" t="s">
        <v>19309</v>
      </c>
      <c r="J21" s="22" t="s">
        <v>19385</v>
      </c>
      <c r="K21" s="22" t="s">
        <v>19386</v>
      </c>
      <c r="L21" s="22"/>
      <c r="M21" s="22"/>
      <c r="N21" s="25" t="str">
        <f>HYPERLINK("http://slimages.macys.com/is/image/MCY/22175297 ")</f>
        <v xml:space="preserve">http://slimages.macys.com/is/image/MCY/22175297 </v>
      </c>
    </row>
    <row r="22" spans="1:14" ht="24.75" x14ac:dyDescent="0.25">
      <c r="A22" s="21" t="s">
        <v>15119</v>
      </c>
      <c r="B22" s="22" t="s">
        <v>15120</v>
      </c>
      <c r="C22" s="2">
        <v>1</v>
      </c>
      <c r="D22" s="23">
        <v>33.99</v>
      </c>
      <c r="E22" s="3">
        <v>33.99</v>
      </c>
      <c r="F22" s="2" t="s">
        <v>19443</v>
      </c>
      <c r="G22" s="22" t="s">
        <v>19351</v>
      </c>
      <c r="H22" s="24" t="s">
        <v>19384</v>
      </c>
      <c r="I22" s="22" t="s">
        <v>19309</v>
      </c>
      <c r="J22" s="22" t="s">
        <v>19385</v>
      </c>
      <c r="K22" s="22" t="s">
        <v>19386</v>
      </c>
      <c r="L22" s="22"/>
      <c r="M22" s="22"/>
      <c r="N22" s="25" t="str">
        <f>HYPERLINK("http://slimages.macys.com/is/image/MCY/22175297 ")</f>
        <v xml:space="preserve">http://slimages.macys.com/is/image/MCY/22175297 </v>
      </c>
    </row>
    <row r="23" spans="1:14" ht="24.75" x14ac:dyDescent="0.25">
      <c r="A23" s="21" t="s">
        <v>10293</v>
      </c>
      <c r="B23" s="22" t="s">
        <v>10294</v>
      </c>
      <c r="C23" s="2">
        <v>1</v>
      </c>
      <c r="D23" s="23">
        <v>33.99</v>
      </c>
      <c r="E23" s="3">
        <v>33.99</v>
      </c>
      <c r="F23" s="2" t="s">
        <v>19443</v>
      </c>
      <c r="G23" s="22" t="s">
        <v>19351</v>
      </c>
      <c r="H23" s="24" t="s">
        <v>19538</v>
      </c>
      <c r="I23" s="22" t="s">
        <v>19309</v>
      </c>
      <c r="J23" s="22" t="s">
        <v>19385</v>
      </c>
      <c r="K23" s="22" t="s">
        <v>19386</v>
      </c>
      <c r="L23" s="22"/>
      <c r="M23" s="22"/>
      <c r="N23" s="25" t="str">
        <f>HYPERLINK("http://slimages.macys.com/is/image/MCY/22175297 ")</f>
        <v xml:space="preserve">http://slimages.macys.com/is/image/MCY/22175297 </v>
      </c>
    </row>
    <row r="24" spans="1:14" ht="24.75" x14ac:dyDescent="0.25">
      <c r="A24" s="21" t="s">
        <v>17590</v>
      </c>
      <c r="B24" s="22" t="s">
        <v>17591</v>
      </c>
      <c r="C24" s="2">
        <v>1</v>
      </c>
      <c r="D24" s="23">
        <v>33.99</v>
      </c>
      <c r="E24" s="3">
        <v>33.99</v>
      </c>
      <c r="F24" s="2" t="s">
        <v>17592</v>
      </c>
      <c r="G24" s="22" t="s">
        <v>19422</v>
      </c>
      <c r="H24" s="24" t="s">
        <v>19330</v>
      </c>
      <c r="I24" s="22" t="s">
        <v>19309</v>
      </c>
      <c r="J24" s="22" t="s">
        <v>19385</v>
      </c>
      <c r="K24" s="22" t="s">
        <v>19386</v>
      </c>
      <c r="L24" s="22"/>
      <c r="M24" s="22"/>
      <c r="N24" s="25" t="str">
        <f>HYPERLINK("http://slimages.macys.com/is/image/MCY/22175295 ")</f>
        <v xml:space="preserve">http://slimages.macys.com/is/image/MCY/22175295 </v>
      </c>
    </row>
    <row r="25" spans="1:14" ht="24.75" x14ac:dyDescent="0.25">
      <c r="A25" s="21" t="s">
        <v>17596</v>
      </c>
      <c r="B25" s="22" t="s">
        <v>17597</v>
      </c>
      <c r="C25" s="2">
        <v>1</v>
      </c>
      <c r="D25" s="23">
        <v>33.99</v>
      </c>
      <c r="E25" s="3">
        <v>33.99</v>
      </c>
      <c r="F25" s="2" t="s">
        <v>17592</v>
      </c>
      <c r="G25" s="22" t="s">
        <v>19422</v>
      </c>
      <c r="H25" s="24" t="s">
        <v>19416</v>
      </c>
      <c r="I25" s="22" t="s">
        <v>19309</v>
      </c>
      <c r="J25" s="22" t="s">
        <v>19385</v>
      </c>
      <c r="K25" s="22" t="s">
        <v>19386</v>
      </c>
      <c r="L25" s="22"/>
      <c r="M25" s="22"/>
      <c r="N25" s="25" t="str">
        <f>HYPERLINK("http://slimages.macys.com/is/image/MCY/22175295 ")</f>
        <v xml:space="preserve">http://slimages.macys.com/is/image/MCY/22175295 </v>
      </c>
    </row>
    <row r="26" spans="1:14" ht="24.75" x14ac:dyDescent="0.25">
      <c r="A26" s="21" t="s">
        <v>15117</v>
      </c>
      <c r="B26" s="22" t="s">
        <v>15118</v>
      </c>
      <c r="C26" s="2">
        <v>1</v>
      </c>
      <c r="D26" s="23">
        <v>33.99</v>
      </c>
      <c r="E26" s="3">
        <v>33.99</v>
      </c>
      <c r="F26" s="2" t="s">
        <v>19443</v>
      </c>
      <c r="G26" s="22" t="s">
        <v>19351</v>
      </c>
      <c r="H26" s="24" t="s">
        <v>19416</v>
      </c>
      <c r="I26" s="22" t="s">
        <v>19309</v>
      </c>
      <c r="J26" s="22" t="s">
        <v>19385</v>
      </c>
      <c r="K26" s="22" t="s">
        <v>19386</v>
      </c>
      <c r="L26" s="22"/>
      <c r="M26" s="22"/>
      <c r="N26" s="25" t="str">
        <f>HYPERLINK("http://slimages.macys.com/is/image/MCY/22175297 ")</f>
        <v xml:space="preserve">http://slimages.macys.com/is/image/MCY/22175297 </v>
      </c>
    </row>
    <row r="27" spans="1:14" ht="24.75" x14ac:dyDescent="0.25">
      <c r="A27" s="21" t="s">
        <v>10295</v>
      </c>
      <c r="B27" s="22" t="s">
        <v>10296</v>
      </c>
      <c r="C27" s="2">
        <v>1</v>
      </c>
      <c r="D27" s="23">
        <v>28.41</v>
      </c>
      <c r="E27" s="3">
        <v>28.41</v>
      </c>
      <c r="F27" s="2" t="s">
        <v>10297</v>
      </c>
      <c r="G27" s="22" t="s">
        <v>19618</v>
      </c>
      <c r="H27" s="24" t="s">
        <v>19478</v>
      </c>
      <c r="I27" s="22" t="s">
        <v>19309</v>
      </c>
      <c r="J27" s="22" t="s">
        <v>19405</v>
      </c>
      <c r="K27" s="22" t="s">
        <v>19406</v>
      </c>
      <c r="L27" s="22"/>
      <c r="M27" s="22"/>
      <c r="N27" s="25" t="str">
        <f>HYPERLINK("http://slimages.macys.com/is/image/MCY/21483843 ")</f>
        <v xml:space="preserve">http://slimages.macys.com/is/image/MCY/21483843 </v>
      </c>
    </row>
    <row r="28" spans="1:14" ht="24.75" x14ac:dyDescent="0.25">
      <c r="A28" s="21" t="s">
        <v>10298</v>
      </c>
      <c r="B28" s="22" t="s">
        <v>10299</v>
      </c>
      <c r="C28" s="2">
        <v>2</v>
      </c>
      <c r="D28" s="23">
        <v>28.41</v>
      </c>
      <c r="E28" s="3">
        <v>56.82</v>
      </c>
      <c r="F28" s="2" t="s">
        <v>10297</v>
      </c>
      <c r="G28" s="22" t="s">
        <v>19618</v>
      </c>
      <c r="H28" s="24" t="s">
        <v>19997</v>
      </c>
      <c r="I28" s="22" t="s">
        <v>19309</v>
      </c>
      <c r="J28" s="22" t="s">
        <v>19405</v>
      </c>
      <c r="K28" s="22" t="s">
        <v>19406</v>
      </c>
      <c r="L28" s="22"/>
      <c r="M28" s="22"/>
      <c r="N28" s="25" t="str">
        <f>HYPERLINK("http://slimages.macys.com/is/image/MCY/21483843 ")</f>
        <v xml:space="preserve">http://slimages.macys.com/is/image/MCY/21483843 </v>
      </c>
    </row>
    <row r="29" spans="1:14" ht="24.75" x14ac:dyDescent="0.25">
      <c r="A29" s="21" t="s">
        <v>10300</v>
      </c>
      <c r="B29" s="22" t="s">
        <v>10301</v>
      </c>
      <c r="C29" s="2">
        <v>1</v>
      </c>
      <c r="D29" s="23">
        <v>29.99</v>
      </c>
      <c r="E29" s="3">
        <v>29.99</v>
      </c>
      <c r="F29" s="2" t="s">
        <v>10302</v>
      </c>
      <c r="G29" s="22" t="s">
        <v>19415</v>
      </c>
      <c r="H29" s="24" t="s">
        <v>15803</v>
      </c>
      <c r="I29" s="22" t="s">
        <v>19309</v>
      </c>
      <c r="J29" s="22" t="s">
        <v>19317</v>
      </c>
      <c r="K29" s="22" t="s">
        <v>17515</v>
      </c>
      <c r="L29" s="22"/>
      <c r="M29" s="22"/>
      <c r="N29" s="25" t="str">
        <f>HYPERLINK("http://slimages.macys.com/is/image/MCY/21211148 ")</f>
        <v xml:space="preserve">http://slimages.macys.com/is/image/MCY/21211148 </v>
      </c>
    </row>
    <row r="30" spans="1:14" ht="24.75" x14ac:dyDescent="0.25">
      <c r="A30" s="21" t="s">
        <v>15589</v>
      </c>
      <c r="B30" s="22" t="s">
        <v>15590</v>
      </c>
      <c r="C30" s="2">
        <v>1</v>
      </c>
      <c r="D30" s="23">
        <v>28.99</v>
      </c>
      <c r="E30" s="3">
        <v>28.99</v>
      </c>
      <c r="F30" s="2" t="s">
        <v>19461</v>
      </c>
      <c r="G30" s="22" t="s">
        <v>19462</v>
      </c>
      <c r="H30" s="24" t="s">
        <v>19330</v>
      </c>
      <c r="I30" s="22" t="s">
        <v>19309</v>
      </c>
      <c r="J30" s="22" t="s">
        <v>19385</v>
      </c>
      <c r="K30" s="22" t="s">
        <v>19463</v>
      </c>
      <c r="L30" s="22"/>
      <c r="M30" s="22"/>
      <c r="N30" s="25" t="str">
        <f>HYPERLINK("http://slimages.macys.com/is/image/MCY/21423842 ")</f>
        <v xml:space="preserve">http://slimages.macys.com/is/image/MCY/21423842 </v>
      </c>
    </row>
    <row r="31" spans="1:14" x14ac:dyDescent="0.25">
      <c r="A31" s="21" t="s">
        <v>15594</v>
      </c>
      <c r="B31" s="22" t="s">
        <v>15595</v>
      </c>
      <c r="C31" s="2">
        <v>1</v>
      </c>
      <c r="D31" s="23">
        <v>28.99</v>
      </c>
      <c r="E31" s="3">
        <v>28.99</v>
      </c>
      <c r="F31" s="2" t="s">
        <v>15596</v>
      </c>
      <c r="G31" s="22" t="s">
        <v>19333</v>
      </c>
      <c r="H31" s="24" t="s">
        <v>19392</v>
      </c>
      <c r="I31" s="22" t="s">
        <v>19309</v>
      </c>
      <c r="J31" s="22" t="s">
        <v>19310</v>
      </c>
      <c r="K31" s="22" t="s">
        <v>19433</v>
      </c>
      <c r="L31" s="22"/>
      <c r="M31" s="22"/>
      <c r="N31" s="25" t="str">
        <f>HYPERLINK("http://slimages.macys.com/is/image/MCY/21677802 ")</f>
        <v xml:space="preserve">http://slimages.macys.com/is/image/MCY/21677802 </v>
      </c>
    </row>
    <row r="32" spans="1:14" x14ac:dyDescent="0.25">
      <c r="A32" s="21" t="s">
        <v>10303</v>
      </c>
      <c r="B32" s="22" t="s">
        <v>10304</v>
      </c>
      <c r="C32" s="2">
        <v>1</v>
      </c>
      <c r="D32" s="23">
        <v>28.99</v>
      </c>
      <c r="E32" s="3">
        <v>28.99</v>
      </c>
      <c r="F32" s="2" t="s">
        <v>17618</v>
      </c>
      <c r="G32" s="22" t="s">
        <v>19307</v>
      </c>
      <c r="H32" s="24" t="s">
        <v>19392</v>
      </c>
      <c r="I32" s="22" t="s">
        <v>19309</v>
      </c>
      <c r="J32" s="22" t="s">
        <v>19310</v>
      </c>
      <c r="K32" s="22" t="s">
        <v>19433</v>
      </c>
      <c r="L32" s="22"/>
      <c r="M32" s="22"/>
      <c r="N32" s="25" t="str">
        <f>HYPERLINK("http://slimages.macys.com/is/image/MCY/21784642 ")</f>
        <v xml:space="preserve">http://slimages.macys.com/is/image/MCY/21784642 </v>
      </c>
    </row>
    <row r="33" spans="1:14" ht="24.75" x14ac:dyDescent="0.25">
      <c r="A33" s="21" t="s">
        <v>10305</v>
      </c>
      <c r="B33" s="22" t="s">
        <v>10306</v>
      </c>
      <c r="C33" s="2">
        <v>1</v>
      </c>
      <c r="D33" s="23">
        <v>27.99</v>
      </c>
      <c r="E33" s="3">
        <v>27.99</v>
      </c>
      <c r="F33" s="2" t="s">
        <v>10307</v>
      </c>
      <c r="G33" s="22" t="s">
        <v>19404</v>
      </c>
      <c r="H33" s="24" t="s">
        <v>19399</v>
      </c>
      <c r="I33" s="22" t="s">
        <v>19309</v>
      </c>
      <c r="J33" s="22" t="s">
        <v>19565</v>
      </c>
      <c r="K33" s="22" t="s">
        <v>17934</v>
      </c>
      <c r="L33" s="22"/>
      <c r="M33" s="22"/>
      <c r="N33" s="25" t="str">
        <f>HYPERLINK("http://slimages.macys.com/is/image/MCY/20818410 ")</f>
        <v xml:space="preserve">http://slimages.macys.com/is/image/MCY/20818410 </v>
      </c>
    </row>
    <row r="34" spans="1:14" x14ac:dyDescent="0.25">
      <c r="A34" s="21" t="s">
        <v>10308</v>
      </c>
      <c r="B34" s="22" t="s">
        <v>10309</v>
      </c>
      <c r="C34" s="2">
        <v>1</v>
      </c>
      <c r="D34" s="23">
        <v>27.99</v>
      </c>
      <c r="E34" s="3">
        <v>27.99</v>
      </c>
      <c r="F34" s="2" t="s">
        <v>10310</v>
      </c>
      <c r="G34" s="22" t="s">
        <v>19307</v>
      </c>
      <c r="H34" s="24" t="s">
        <v>19542</v>
      </c>
      <c r="I34" s="22" t="s">
        <v>19309</v>
      </c>
      <c r="J34" s="22" t="s">
        <v>19310</v>
      </c>
      <c r="K34" s="22" t="s">
        <v>19433</v>
      </c>
      <c r="L34" s="22" t="s">
        <v>14481</v>
      </c>
      <c r="M34" s="22" t="s">
        <v>19320</v>
      </c>
      <c r="N34" s="25" t="str">
        <f>HYPERLINK("http://images.bloomingdales.com/is/image/BLM/12076229 ")</f>
        <v xml:space="preserve">http://images.bloomingdales.com/is/image/BLM/12076229 </v>
      </c>
    </row>
    <row r="35" spans="1:14" x14ac:dyDescent="0.25">
      <c r="A35" s="21" t="s">
        <v>10311</v>
      </c>
      <c r="B35" s="22" t="s">
        <v>10312</v>
      </c>
      <c r="C35" s="2">
        <v>1</v>
      </c>
      <c r="D35" s="23">
        <v>27.99</v>
      </c>
      <c r="E35" s="3">
        <v>27.99</v>
      </c>
      <c r="F35" s="2" t="s">
        <v>10310</v>
      </c>
      <c r="G35" s="22" t="s">
        <v>19307</v>
      </c>
      <c r="H35" s="24" t="s">
        <v>19395</v>
      </c>
      <c r="I35" s="22" t="s">
        <v>19309</v>
      </c>
      <c r="J35" s="22" t="s">
        <v>19310</v>
      </c>
      <c r="K35" s="22" t="s">
        <v>19433</v>
      </c>
      <c r="L35" s="22" t="s">
        <v>14481</v>
      </c>
      <c r="M35" s="22" t="s">
        <v>19320</v>
      </c>
      <c r="N35" s="25" t="str">
        <f>HYPERLINK("http://images.bloomingdales.com/is/image/BLM/12076229 ")</f>
        <v xml:space="preserve">http://images.bloomingdales.com/is/image/BLM/12076229 </v>
      </c>
    </row>
    <row r="36" spans="1:14" x14ac:dyDescent="0.25">
      <c r="A36" s="21" t="s">
        <v>10313</v>
      </c>
      <c r="B36" s="22" t="s">
        <v>10314</v>
      </c>
      <c r="C36" s="2">
        <v>1</v>
      </c>
      <c r="D36" s="23">
        <v>24.99</v>
      </c>
      <c r="E36" s="3">
        <v>24.99</v>
      </c>
      <c r="F36" s="2" t="s">
        <v>19527</v>
      </c>
      <c r="G36" s="22" t="s">
        <v>19333</v>
      </c>
      <c r="H36" s="24" t="s">
        <v>19339</v>
      </c>
      <c r="I36" s="22" t="s">
        <v>19309</v>
      </c>
      <c r="J36" s="22" t="s">
        <v>19310</v>
      </c>
      <c r="K36" s="22" t="s">
        <v>19529</v>
      </c>
      <c r="L36" s="22"/>
      <c r="M36" s="22"/>
      <c r="N36" s="25" t="str">
        <f>HYPERLINK("http://slimages.macys.com/is/image/MCY/21646848 ")</f>
        <v xml:space="preserve">http://slimages.macys.com/is/image/MCY/21646848 </v>
      </c>
    </row>
    <row r="37" spans="1:14" x14ac:dyDescent="0.25">
      <c r="A37" s="21" t="s">
        <v>10315</v>
      </c>
      <c r="B37" s="22" t="s">
        <v>10316</v>
      </c>
      <c r="C37" s="2">
        <v>1</v>
      </c>
      <c r="D37" s="23">
        <v>24.99</v>
      </c>
      <c r="E37" s="3">
        <v>24.99</v>
      </c>
      <c r="F37" s="2" t="s">
        <v>10317</v>
      </c>
      <c r="G37" s="22" t="s">
        <v>19315</v>
      </c>
      <c r="H37" s="24" t="s">
        <v>19339</v>
      </c>
      <c r="I37" s="22" t="s">
        <v>19309</v>
      </c>
      <c r="J37" s="22" t="s">
        <v>19310</v>
      </c>
      <c r="K37" s="22" t="s">
        <v>19529</v>
      </c>
      <c r="L37" s="22"/>
      <c r="M37" s="22"/>
      <c r="N37" s="25" t="str">
        <f>HYPERLINK("http://slimages.macys.com/is/image/MCY/21531008 ")</f>
        <v xml:space="preserve">http://slimages.macys.com/is/image/MCY/21531008 </v>
      </c>
    </row>
    <row r="38" spans="1:14" x14ac:dyDescent="0.25">
      <c r="A38" s="21" t="s">
        <v>17675</v>
      </c>
      <c r="B38" s="22" t="s">
        <v>17676</v>
      </c>
      <c r="C38" s="2">
        <v>1</v>
      </c>
      <c r="D38" s="23">
        <v>25.99</v>
      </c>
      <c r="E38" s="3">
        <v>25.99</v>
      </c>
      <c r="F38" s="2" t="s">
        <v>19569</v>
      </c>
      <c r="G38" s="22" t="s">
        <v>19333</v>
      </c>
      <c r="H38" s="24" t="s">
        <v>19432</v>
      </c>
      <c r="I38" s="22" t="s">
        <v>19309</v>
      </c>
      <c r="J38" s="22" t="s">
        <v>19310</v>
      </c>
      <c r="K38" s="22" t="s">
        <v>19433</v>
      </c>
      <c r="L38" s="22"/>
      <c r="M38" s="22"/>
      <c r="N38" s="25" t="str">
        <f>HYPERLINK("http://slimages.macys.com/is/image/MCY/21964510 ")</f>
        <v xml:space="preserve">http://slimages.macys.com/is/image/MCY/21964510 </v>
      </c>
    </row>
    <row r="39" spans="1:14" ht="24.75" x14ac:dyDescent="0.25">
      <c r="A39" s="21" t="s">
        <v>10318</v>
      </c>
      <c r="B39" s="22" t="s">
        <v>10319</v>
      </c>
      <c r="C39" s="2">
        <v>1</v>
      </c>
      <c r="D39" s="23">
        <v>23.99</v>
      </c>
      <c r="E39" s="3">
        <v>23.99</v>
      </c>
      <c r="F39" s="2" t="s">
        <v>10320</v>
      </c>
      <c r="G39" s="22" t="s">
        <v>18429</v>
      </c>
      <c r="H39" s="24" t="s">
        <v>19364</v>
      </c>
      <c r="I39" s="22" t="s">
        <v>19309</v>
      </c>
      <c r="J39" s="22" t="s">
        <v>19310</v>
      </c>
      <c r="K39" s="22" t="s">
        <v>19311</v>
      </c>
      <c r="L39" s="22"/>
      <c r="M39" s="22"/>
      <c r="N39" s="25" t="str">
        <f>HYPERLINK("http://slimages.macys.com/is/image/MCY/21356584 ")</f>
        <v xml:space="preserve">http://slimages.macys.com/is/image/MCY/21356584 </v>
      </c>
    </row>
    <row r="40" spans="1:14" ht="24.75" x14ac:dyDescent="0.25">
      <c r="A40" s="21" t="s">
        <v>10321</v>
      </c>
      <c r="B40" s="22" t="s">
        <v>10322</v>
      </c>
      <c r="C40" s="2">
        <v>1</v>
      </c>
      <c r="D40" s="23">
        <v>23.99</v>
      </c>
      <c r="E40" s="3">
        <v>23.99</v>
      </c>
      <c r="F40" s="2" t="s">
        <v>10323</v>
      </c>
      <c r="G40" s="22" t="s">
        <v>19886</v>
      </c>
      <c r="H40" s="24" t="s">
        <v>19324</v>
      </c>
      <c r="I40" s="22" t="s">
        <v>19309</v>
      </c>
      <c r="J40" s="22" t="s">
        <v>19491</v>
      </c>
      <c r="K40" s="22" t="s">
        <v>19463</v>
      </c>
      <c r="L40" s="22"/>
      <c r="M40" s="22"/>
      <c r="N40" s="25" t="str">
        <f>HYPERLINK("http://slimages.macys.com/is/image/MCY/22021278 ")</f>
        <v xml:space="preserve">http://slimages.macys.com/is/image/MCY/22021278 </v>
      </c>
    </row>
    <row r="41" spans="1:14" ht="24.75" x14ac:dyDescent="0.25">
      <c r="A41" s="21" t="s">
        <v>17698</v>
      </c>
      <c r="B41" s="22" t="s">
        <v>17699</v>
      </c>
      <c r="C41" s="2">
        <v>1</v>
      </c>
      <c r="D41" s="23">
        <v>26.99</v>
      </c>
      <c r="E41" s="3">
        <v>26.99</v>
      </c>
      <c r="F41" s="2" t="s">
        <v>17700</v>
      </c>
      <c r="G41" s="22" t="s">
        <v>19528</v>
      </c>
      <c r="H41" s="24" t="s">
        <v>19416</v>
      </c>
      <c r="I41" s="22" t="s">
        <v>19309</v>
      </c>
      <c r="J41" s="22" t="s">
        <v>19385</v>
      </c>
      <c r="K41" s="22" t="s">
        <v>19463</v>
      </c>
      <c r="L41" s="22"/>
      <c r="M41" s="22"/>
      <c r="N41" s="25" t="str">
        <f>HYPERLINK("http://slimages.macys.com/is/image/MCY/22291356 ")</f>
        <v xml:space="preserve">http://slimages.macys.com/is/image/MCY/22291356 </v>
      </c>
    </row>
    <row r="42" spans="1:14" ht="24.75" x14ac:dyDescent="0.25">
      <c r="A42" s="21" t="s">
        <v>10324</v>
      </c>
      <c r="B42" s="22" t="s">
        <v>10325</v>
      </c>
      <c r="C42" s="2">
        <v>1</v>
      </c>
      <c r="D42" s="23">
        <v>18.11</v>
      </c>
      <c r="E42" s="3">
        <v>18.11</v>
      </c>
      <c r="F42" s="2" t="s">
        <v>10326</v>
      </c>
      <c r="G42" s="22" t="s">
        <v>19307</v>
      </c>
      <c r="H42" s="24" t="s">
        <v>19345</v>
      </c>
      <c r="I42" s="22" t="s">
        <v>19309</v>
      </c>
      <c r="J42" s="22" t="s">
        <v>15506</v>
      </c>
      <c r="K42" s="22" t="s">
        <v>15511</v>
      </c>
      <c r="L42" s="22"/>
      <c r="M42" s="22"/>
      <c r="N42" s="25" t="str">
        <f>HYPERLINK("http://slimages.macys.com/is/image/MCY/20077179 ")</f>
        <v xml:space="preserve">http://slimages.macys.com/is/image/MCY/20077179 </v>
      </c>
    </row>
    <row r="43" spans="1:14" ht="24.75" x14ac:dyDescent="0.25">
      <c r="A43" s="21" t="s">
        <v>10327</v>
      </c>
      <c r="B43" s="22" t="s">
        <v>10328</v>
      </c>
      <c r="C43" s="2">
        <v>1</v>
      </c>
      <c r="D43" s="23">
        <v>26.99</v>
      </c>
      <c r="E43" s="3">
        <v>26.99</v>
      </c>
      <c r="F43" s="2" t="s">
        <v>10329</v>
      </c>
      <c r="G43" s="22" t="s">
        <v>19315</v>
      </c>
      <c r="H43" s="24" t="s">
        <v>19345</v>
      </c>
      <c r="I43" s="22" t="s">
        <v>19309</v>
      </c>
      <c r="J43" s="22" t="s">
        <v>15506</v>
      </c>
      <c r="K43" s="22" t="s">
        <v>15511</v>
      </c>
      <c r="L43" s="22"/>
      <c r="M43" s="22"/>
      <c r="N43" s="25" t="str">
        <f>HYPERLINK("http://slimages.macys.com/is/image/MCY/20077171 ")</f>
        <v xml:space="preserve">http://slimages.macys.com/is/image/MCY/20077171 </v>
      </c>
    </row>
    <row r="44" spans="1:14" x14ac:dyDescent="0.25">
      <c r="A44" s="21" t="s">
        <v>10330</v>
      </c>
      <c r="B44" s="22" t="s">
        <v>10331</v>
      </c>
      <c r="C44" s="2">
        <v>1</v>
      </c>
      <c r="D44" s="23">
        <v>30.99</v>
      </c>
      <c r="E44" s="3">
        <v>30.99</v>
      </c>
      <c r="F44" s="2">
        <v>4000</v>
      </c>
      <c r="G44" s="22" t="s">
        <v>19404</v>
      </c>
      <c r="H44" s="24" t="s">
        <v>19352</v>
      </c>
      <c r="I44" s="22" t="s">
        <v>19309</v>
      </c>
      <c r="J44" s="22" t="s">
        <v>19696</v>
      </c>
      <c r="K44" s="22" t="s">
        <v>15660</v>
      </c>
      <c r="L44" s="22"/>
      <c r="M44" s="22"/>
      <c r="N44" s="25" t="str">
        <f>HYPERLINK("http://slimages.macys.com/is/image/MCY/20586527 ")</f>
        <v xml:space="preserve">http://slimages.macys.com/is/image/MCY/20586527 </v>
      </c>
    </row>
    <row r="45" spans="1:14" x14ac:dyDescent="0.25">
      <c r="A45" s="21" t="s">
        <v>10332</v>
      </c>
      <c r="B45" s="22" t="s">
        <v>10333</v>
      </c>
      <c r="C45" s="2">
        <v>1</v>
      </c>
      <c r="D45" s="23">
        <v>29.01</v>
      </c>
      <c r="E45" s="3">
        <v>29.01</v>
      </c>
      <c r="F45" s="2" t="s">
        <v>10334</v>
      </c>
      <c r="G45" s="22" t="s">
        <v>19431</v>
      </c>
      <c r="H45" s="24" t="s">
        <v>19324</v>
      </c>
      <c r="I45" s="22" t="s">
        <v>19309</v>
      </c>
      <c r="J45" s="22" t="s">
        <v>19708</v>
      </c>
      <c r="K45" s="22" t="s">
        <v>19709</v>
      </c>
      <c r="L45" s="22"/>
      <c r="M45" s="22"/>
      <c r="N45" s="25" t="str">
        <f>HYPERLINK("http://slimages.macys.com/is/image/MCY/21427024 ")</f>
        <v xml:space="preserve">http://slimages.macys.com/is/image/MCY/21427024 </v>
      </c>
    </row>
    <row r="46" spans="1:14" ht="24.75" x14ac:dyDescent="0.25">
      <c r="A46" s="21" t="s">
        <v>10335</v>
      </c>
      <c r="B46" s="22" t="s">
        <v>10336</v>
      </c>
      <c r="C46" s="2">
        <v>1</v>
      </c>
      <c r="D46" s="23">
        <v>32.99</v>
      </c>
      <c r="E46" s="3">
        <v>32.99</v>
      </c>
      <c r="F46" s="2" t="s">
        <v>12922</v>
      </c>
      <c r="G46" s="22" t="s">
        <v>19404</v>
      </c>
      <c r="H46" s="24" t="s">
        <v>19339</v>
      </c>
      <c r="I46" s="22" t="s">
        <v>19309</v>
      </c>
      <c r="J46" s="22" t="s">
        <v>19595</v>
      </c>
      <c r="K46" s="22" t="s">
        <v>19423</v>
      </c>
      <c r="L46" s="22"/>
      <c r="M46" s="22"/>
      <c r="N46" s="25" t="str">
        <f>HYPERLINK("http://slimages.macys.com/is/image/MCY/21398445 ")</f>
        <v xml:space="preserve">http://slimages.macys.com/is/image/MCY/21398445 </v>
      </c>
    </row>
    <row r="47" spans="1:14" x14ac:dyDescent="0.25">
      <c r="A47" s="21" t="s">
        <v>10337</v>
      </c>
      <c r="B47" s="22" t="s">
        <v>10338</v>
      </c>
      <c r="C47" s="2">
        <v>1</v>
      </c>
      <c r="D47" s="23">
        <v>19.22</v>
      </c>
      <c r="E47" s="3">
        <v>19.22</v>
      </c>
      <c r="F47" s="2" t="s">
        <v>10339</v>
      </c>
      <c r="G47" s="22" t="s">
        <v>19467</v>
      </c>
      <c r="H47" s="24" t="s">
        <v>20232</v>
      </c>
      <c r="I47" s="22" t="s">
        <v>19309</v>
      </c>
      <c r="J47" s="22" t="s">
        <v>19514</v>
      </c>
      <c r="K47" s="22" t="s">
        <v>18514</v>
      </c>
      <c r="L47" s="22"/>
      <c r="M47" s="22"/>
      <c r="N47" s="25" t="str">
        <f>HYPERLINK("http://slimages.macys.com/is/image/MCY/21374437 ")</f>
        <v xml:space="preserve">http://slimages.macys.com/is/image/MCY/21374437 </v>
      </c>
    </row>
    <row r="48" spans="1:14" x14ac:dyDescent="0.25">
      <c r="A48" s="21" t="s">
        <v>10340</v>
      </c>
      <c r="B48" s="22" t="s">
        <v>10341</v>
      </c>
      <c r="C48" s="2">
        <v>1</v>
      </c>
      <c r="D48" s="23">
        <v>19.22</v>
      </c>
      <c r="E48" s="3">
        <v>19.22</v>
      </c>
      <c r="F48" s="2" t="s">
        <v>10342</v>
      </c>
      <c r="G48" s="22" t="s">
        <v>19357</v>
      </c>
      <c r="H48" s="24" t="s">
        <v>19361</v>
      </c>
      <c r="I48" s="22" t="s">
        <v>19309</v>
      </c>
      <c r="J48" s="22" t="s">
        <v>19514</v>
      </c>
      <c r="K48" s="22" t="s">
        <v>18514</v>
      </c>
      <c r="L48" s="22"/>
      <c r="M48" s="22"/>
      <c r="N48" s="25" t="str">
        <f>HYPERLINK("http://slimages.macys.com/is/image/MCY/21374452 ")</f>
        <v xml:space="preserve">http://slimages.macys.com/is/image/MCY/21374452 </v>
      </c>
    </row>
    <row r="49" spans="1:14" x14ac:dyDescent="0.25">
      <c r="A49" s="21" t="s">
        <v>10343</v>
      </c>
      <c r="B49" s="22" t="s">
        <v>10344</v>
      </c>
      <c r="C49" s="2">
        <v>1</v>
      </c>
      <c r="D49" s="23">
        <v>19.22</v>
      </c>
      <c r="E49" s="3">
        <v>19.22</v>
      </c>
      <c r="F49" s="2" t="s">
        <v>15665</v>
      </c>
      <c r="G49" s="22" t="s">
        <v>19467</v>
      </c>
      <c r="H49" s="24" t="s">
        <v>20232</v>
      </c>
      <c r="I49" s="22" t="s">
        <v>19309</v>
      </c>
      <c r="J49" s="22" t="s">
        <v>19514</v>
      </c>
      <c r="K49" s="22" t="s">
        <v>18514</v>
      </c>
      <c r="L49" s="22"/>
      <c r="M49" s="22"/>
      <c r="N49" s="25" t="str">
        <f>HYPERLINK("http://slimages.macys.com/is/image/MCY/21374448 ")</f>
        <v xml:space="preserve">http://slimages.macys.com/is/image/MCY/21374448 </v>
      </c>
    </row>
    <row r="50" spans="1:14" x14ac:dyDescent="0.25">
      <c r="A50" s="21" t="s">
        <v>10345</v>
      </c>
      <c r="B50" s="22" t="s">
        <v>10346</v>
      </c>
      <c r="C50" s="2">
        <v>2</v>
      </c>
      <c r="D50" s="23">
        <v>19.22</v>
      </c>
      <c r="E50" s="3">
        <v>38.44</v>
      </c>
      <c r="F50" s="2" t="s">
        <v>10339</v>
      </c>
      <c r="G50" s="22" t="s">
        <v>19467</v>
      </c>
      <c r="H50" s="24" t="s">
        <v>19395</v>
      </c>
      <c r="I50" s="22" t="s">
        <v>19309</v>
      </c>
      <c r="J50" s="22" t="s">
        <v>19514</v>
      </c>
      <c r="K50" s="22" t="s">
        <v>18514</v>
      </c>
      <c r="L50" s="22"/>
      <c r="M50" s="22"/>
      <c r="N50" s="25" t="str">
        <f>HYPERLINK("http://slimages.macys.com/is/image/MCY/21374437 ")</f>
        <v xml:space="preserve">http://slimages.macys.com/is/image/MCY/21374437 </v>
      </c>
    </row>
    <row r="51" spans="1:14" x14ac:dyDescent="0.25">
      <c r="A51" s="21" t="s">
        <v>10347</v>
      </c>
      <c r="B51" s="22" t="s">
        <v>10348</v>
      </c>
      <c r="C51" s="2">
        <v>1</v>
      </c>
      <c r="D51" s="23">
        <v>19.22</v>
      </c>
      <c r="E51" s="3">
        <v>19.22</v>
      </c>
      <c r="F51" s="2" t="s">
        <v>10342</v>
      </c>
      <c r="G51" s="22" t="s">
        <v>19357</v>
      </c>
      <c r="H51" s="24" t="s">
        <v>19432</v>
      </c>
      <c r="I51" s="22" t="s">
        <v>19309</v>
      </c>
      <c r="J51" s="22" t="s">
        <v>19514</v>
      </c>
      <c r="K51" s="22" t="s">
        <v>18514</v>
      </c>
      <c r="L51" s="22"/>
      <c r="M51" s="22"/>
      <c r="N51" s="25" t="str">
        <f>HYPERLINK("http://slimages.macys.com/is/image/MCY/21374452 ")</f>
        <v xml:space="preserve">http://slimages.macys.com/is/image/MCY/21374452 </v>
      </c>
    </row>
    <row r="52" spans="1:14" x14ac:dyDescent="0.25">
      <c r="A52" s="21" t="s">
        <v>10349</v>
      </c>
      <c r="B52" s="22" t="s">
        <v>10350</v>
      </c>
      <c r="C52" s="2">
        <v>1</v>
      </c>
      <c r="D52" s="23">
        <v>19.22</v>
      </c>
      <c r="E52" s="3">
        <v>19.22</v>
      </c>
      <c r="F52" s="2" t="s">
        <v>10342</v>
      </c>
      <c r="G52" s="22" t="s">
        <v>19357</v>
      </c>
      <c r="H52" s="24" t="s">
        <v>18530</v>
      </c>
      <c r="I52" s="22" t="s">
        <v>19309</v>
      </c>
      <c r="J52" s="22" t="s">
        <v>19514</v>
      </c>
      <c r="K52" s="22" t="s">
        <v>18514</v>
      </c>
      <c r="L52" s="22"/>
      <c r="M52" s="22"/>
      <c r="N52" s="25" t="str">
        <f>HYPERLINK("http://slimages.macys.com/is/image/MCY/21374452 ")</f>
        <v xml:space="preserve">http://slimages.macys.com/is/image/MCY/21374452 </v>
      </c>
    </row>
    <row r="53" spans="1:14" x14ac:dyDescent="0.25">
      <c r="A53" s="21" t="s">
        <v>10351</v>
      </c>
      <c r="B53" s="22" t="s">
        <v>10352</v>
      </c>
      <c r="C53" s="2">
        <v>1</v>
      </c>
      <c r="D53" s="23">
        <v>19.22</v>
      </c>
      <c r="E53" s="3">
        <v>19.22</v>
      </c>
      <c r="F53" s="2" t="s">
        <v>10342</v>
      </c>
      <c r="G53" s="22" t="s">
        <v>19357</v>
      </c>
      <c r="H53" s="24" t="s">
        <v>19395</v>
      </c>
      <c r="I53" s="22" t="s">
        <v>19309</v>
      </c>
      <c r="J53" s="22" t="s">
        <v>19514</v>
      </c>
      <c r="K53" s="22" t="s">
        <v>18514</v>
      </c>
      <c r="L53" s="22"/>
      <c r="M53" s="22"/>
      <c r="N53" s="25" t="str">
        <f>HYPERLINK("http://slimages.macys.com/is/image/MCY/21374452 ")</f>
        <v xml:space="preserve">http://slimages.macys.com/is/image/MCY/21374452 </v>
      </c>
    </row>
    <row r="54" spans="1:14" x14ac:dyDescent="0.25">
      <c r="A54" s="21" t="s">
        <v>10353</v>
      </c>
      <c r="B54" s="22" t="s">
        <v>10354</v>
      </c>
      <c r="C54" s="2">
        <v>1</v>
      </c>
      <c r="D54" s="23">
        <v>19.22</v>
      </c>
      <c r="E54" s="3">
        <v>19.22</v>
      </c>
      <c r="F54" s="2" t="s">
        <v>10339</v>
      </c>
      <c r="G54" s="22" t="s">
        <v>19467</v>
      </c>
      <c r="H54" s="24" t="s">
        <v>18530</v>
      </c>
      <c r="I54" s="22" t="s">
        <v>19309</v>
      </c>
      <c r="J54" s="22" t="s">
        <v>19514</v>
      </c>
      <c r="K54" s="22" t="s">
        <v>18514</v>
      </c>
      <c r="L54" s="22"/>
      <c r="M54" s="22"/>
      <c r="N54" s="25" t="str">
        <f>HYPERLINK("http://slimages.macys.com/is/image/MCY/21374437 ")</f>
        <v xml:space="preserve">http://slimages.macys.com/is/image/MCY/21374437 </v>
      </c>
    </row>
    <row r="55" spans="1:14" ht="24.75" x14ac:dyDescent="0.25">
      <c r="A55" s="21" t="s">
        <v>10355</v>
      </c>
      <c r="B55" s="22" t="s">
        <v>10356</v>
      </c>
      <c r="C55" s="2">
        <v>1</v>
      </c>
      <c r="D55" s="23">
        <v>26.99</v>
      </c>
      <c r="E55" s="3">
        <v>26.99</v>
      </c>
      <c r="F55" s="2" t="s">
        <v>19634</v>
      </c>
      <c r="G55" s="22" t="s">
        <v>19635</v>
      </c>
      <c r="H55" s="24" t="s">
        <v>19416</v>
      </c>
      <c r="I55" s="22" t="s">
        <v>19309</v>
      </c>
      <c r="J55" s="22" t="s">
        <v>19385</v>
      </c>
      <c r="K55" s="22" t="s">
        <v>19411</v>
      </c>
      <c r="L55" s="22"/>
      <c r="M55" s="22"/>
      <c r="N55" s="25" t="str">
        <f>HYPERLINK("http://slimages.macys.com/is/image/MCY/21677796 ")</f>
        <v xml:space="preserve">http://slimages.macys.com/is/image/MCY/21677796 </v>
      </c>
    </row>
    <row r="56" spans="1:14" ht="36.75" x14ac:dyDescent="0.25">
      <c r="A56" s="21" t="s">
        <v>10357</v>
      </c>
      <c r="B56" s="22" t="s">
        <v>10358</v>
      </c>
      <c r="C56" s="2">
        <v>2</v>
      </c>
      <c r="D56" s="23">
        <v>20</v>
      </c>
      <c r="E56" s="3">
        <v>40</v>
      </c>
      <c r="F56" s="2" t="s">
        <v>10359</v>
      </c>
      <c r="G56" s="22" t="s">
        <v>19351</v>
      </c>
      <c r="H56" s="24" t="s">
        <v>17541</v>
      </c>
      <c r="I56" s="22" t="s">
        <v>19309</v>
      </c>
      <c r="J56" s="22" t="s">
        <v>19317</v>
      </c>
      <c r="K56" s="22" t="s">
        <v>16124</v>
      </c>
      <c r="L56" s="22" t="s">
        <v>19319</v>
      </c>
      <c r="M56" s="22" t="s">
        <v>10360</v>
      </c>
      <c r="N56" s="25" t="str">
        <f>HYPERLINK("http://slimages.macys.com/is/image/MCY/13914404 ")</f>
        <v xml:space="preserve">http://slimages.macys.com/is/image/MCY/13914404 </v>
      </c>
    </row>
    <row r="57" spans="1:14" ht="24.75" x14ac:dyDescent="0.25">
      <c r="A57" s="21" t="s">
        <v>19649</v>
      </c>
      <c r="B57" s="22" t="s">
        <v>19650</v>
      </c>
      <c r="C57" s="2">
        <v>2</v>
      </c>
      <c r="D57" s="23">
        <v>30.99</v>
      </c>
      <c r="E57" s="3">
        <v>61.98</v>
      </c>
      <c r="F57" s="2" t="s">
        <v>19651</v>
      </c>
      <c r="G57" s="22" t="s">
        <v>19351</v>
      </c>
      <c r="H57" s="24" t="s">
        <v>19352</v>
      </c>
      <c r="I57" s="22" t="s">
        <v>19309</v>
      </c>
      <c r="J57" s="22" t="s">
        <v>19353</v>
      </c>
      <c r="K57" s="22" t="s">
        <v>19524</v>
      </c>
      <c r="L57" s="22"/>
      <c r="M57" s="22"/>
      <c r="N57" s="25" t="str">
        <f>HYPERLINK("http://slimages.macys.com/is/image/MCY/1352878 ")</f>
        <v xml:space="preserve">http://slimages.macys.com/is/image/MCY/1352878 </v>
      </c>
    </row>
    <row r="58" spans="1:14" ht="24.75" x14ac:dyDescent="0.25">
      <c r="A58" s="21" t="s">
        <v>10361</v>
      </c>
      <c r="B58" s="22" t="s">
        <v>10362</v>
      </c>
      <c r="C58" s="2">
        <v>1</v>
      </c>
      <c r="D58" s="23">
        <v>25.99</v>
      </c>
      <c r="E58" s="3">
        <v>25.99</v>
      </c>
      <c r="F58" s="2" t="s">
        <v>17752</v>
      </c>
      <c r="G58" s="22" t="s">
        <v>19431</v>
      </c>
      <c r="H58" s="24" t="s">
        <v>19384</v>
      </c>
      <c r="I58" s="22" t="s">
        <v>19309</v>
      </c>
      <c r="J58" s="22" t="s">
        <v>19573</v>
      </c>
      <c r="K58" s="22" t="s">
        <v>19574</v>
      </c>
      <c r="L58" s="22"/>
      <c r="M58" s="22"/>
      <c r="N58" s="25" t="str">
        <f>HYPERLINK("http://slimages.macys.com/is/image/MCY/1554793 ")</f>
        <v xml:space="preserve">http://slimages.macys.com/is/image/MCY/1554793 </v>
      </c>
    </row>
    <row r="59" spans="1:14" ht="24.75" x14ac:dyDescent="0.25">
      <c r="A59" s="21" t="s">
        <v>10363</v>
      </c>
      <c r="B59" s="22" t="s">
        <v>10364</v>
      </c>
      <c r="C59" s="2">
        <v>1</v>
      </c>
      <c r="D59" s="23">
        <v>25.99</v>
      </c>
      <c r="E59" s="3">
        <v>25.99</v>
      </c>
      <c r="F59" s="2" t="s">
        <v>15691</v>
      </c>
      <c r="G59" s="22" t="s">
        <v>18439</v>
      </c>
      <c r="H59" s="24" t="s">
        <v>19384</v>
      </c>
      <c r="I59" s="22" t="s">
        <v>19309</v>
      </c>
      <c r="J59" s="22" t="s">
        <v>19573</v>
      </c>
      <c r="K59" s="22" t="s">
        <v>19574</v>
      </c>
      <c r="L59" s="22"/>
      <c r="M59" s="22"/>
      <c r="N59" s="25" t="str">
        <f>HYPERLINK("http://slimages.macys.com/is/image/MCY/20550994 ")</f>
        <v xml:space="preserve">http://slimages.macys.com/is/image/MCY/20550994 </v>
      </c>
    </row>
    <row r="60" spans="1:14" ht="24.75" x14ac:dyDescent="0.25">
      <c r="A60" s="21" t="s">
        <v>10365</v>
      </c>
      <c r="B60" s="22" t="s">
        <v>10366</v>
      </c>
      <c r="C60" s="2">
        <v>1</v>
      </c>
      <c r="D60" s="23">
        <v>25.99</v>
      </c>
      <c r="E60" s="3">
        <v>25.99</v>
      </c>
      <c r="F60" s="2" t="s">
        <v>15691</v>
      </c>
      <c r="G60" s="22" t="s">
        <v>18439</v>
      </c>
      <c r="H60" s="24" t="s">
        <v>19538</v>
      </c>
      <c r="I60" s="22" t="s">
        <v>19309</v>
      </c>
      <c r="J60" s="22" t="s">
        <v>19573</v>
      </c>
      <c r="K60" s="22" t="s">
        <v>19574</v>
      </c>
      <c r="L60" s="22"/>
      <c r="M60" s="22"/>
      <c r="N60" s="25" t="str">
        <f>HYPERLINK("http://slimages.macys.com/is/image/MCY/20550994 ")</f>
        <v xml:space="preserve">http://slimages.macys.com/is/image/MCY/20550994 </v>
      </c>
    </row>
    <row r="61" spans="1:14" ht="24.75" x14ac:dyDescent="0.25">
      <c r="A61" s="21" t="s">
        <v>15689</v>
      </c>
      <c r="B61" s="22" t="s">
        <v>15690</v>
      </c>
      <c r="C61" s="2">
        <v>1</v>
      </c>
      <c r="D61" s="23">
        <v>25.99</v>
      </c>
      <c r="E61" s="3">
        <v>25.99</v>
      </c>
      <c r="F61" s="2" t="s">
        <v>15691</v>
      </c>
      <c r="G61" s="22" t="s">
        <v>18439</v>
      </c>
      <c r="H61" s="24"/>
      <c r="I61" s="22" t="s">
        <v>19309</v>
      </c>
      <c r="J61" s="22" t="s">
        <v>19573</v>
      </c>
      <c r="K61" s="22" t="s">
        <v>19574</v>
      </c>
      <c r="L61" s="22"/>
      <c r="M61" s="22"/>
      <c r="N61" s="25" t="str">
        <f>HYPERLINK("http://slimages.macys.com/is/image/MCY/1116904 ")</f>
        <v xml:space="preserve">http://slimages.macys.com/is/image/MCY/1116904 </v>
      </c>
    </row>
    <row r="62" spans="1:14" ht="24.75" x14ac:dyDescent="0.25">
      <c r="A62" s="21" t="s">
        <v>10367</v>
      </c>
      <c r="B62" s="22" t="s">
        <v>10368</v>
      </c>
      <c r="C62" s="2">
        <v>1</v>
      </c>
      <c r="D62" s="23">
        <v>22.99</v>
      </c>
      <c r="E62" s="3">
        <v>22.99</v>
      </c>
      <c r="F62" s="2" t="s">
        <v>15222</v>
      </c>
      <c r="G62" s="22" t="s">
        <v>19886</v>
      </c>
      <c r="H62" s="24" t="s">
        <v>19339</v>
      </c>
      <c r="I62" s="22" t="s">
        <v>19309</v>
      </c>
      <c r="J62" s="22" t="s">
        <v>19447</v>
      </c>
      <c r="K62" s="22" t="s">
        <v>19533</v>
      </c>
      <c r="L62" s="22"/>
      <c r="M62" s="22"/>
      <c r="N62" s="25" t="str">
        <f>HYPERLINK("http://slimages.macys.com/is/image/MCY/20930978 ")</f>
        <v xml:space="preserve">http://slimages.macys.com/is/image/MCY/20930978 </v>
      </c>
    </row>
    <row r="63" spans="1:14" ht="24.75" x14ac:dyDescent="0.25">
      <c r="A63" s="21" t="s">
        <v>10369</v>
      </c>
      <c r="B63" s="22" t="s">
        <v>10370</v>
      </c>
      <c r="C63" s="2">
        <v>1</v>
      </c>
      <c r="D63" s="23">
        <v>24.99</v>
      </c>
      <c r="E63" s="3">
        <v>24.99</v>
      </c>
      <c r="F63" s="2" t="s">
        <v>10882</v>
      </c>
      <c r="G63" s="22" t="s">
        <v>19323</v>
      </c>
      <c r="H63" s="24" t="s">
        <v>19538</v>
      </c>
      <c r="I63" s="22" t="s">
        <v>19309</v>
      </c>
      <c r="J63" s="22" t="s">
        <v>19385</v>
      </c>
      <c r="K63" s="22" t="s">
        <v>19386</v>
      </c>
      <c r="L63" s="22"/>
      <c r="M63" s="22"/>
      <c r="N63" s="25" t="str">
        <f>HYPERLINK("http://slimages.macys.com/is/image/MCY/21820640 ")</f>
        <v xml:space="preserve">http://slimages.macys.com/is/image/MCY/21820640 </v>
      </c>
    </row>
    <row r="64" spans="1:14" x14ac:dyDescent="0.25">
      <c r="A64" s="21" t="s">
        <v>17766</v>
      </c>
      <c r="B64" s="22" t="s">
        <v>17767</v>
      </c>
      <c r="C64" s="2">
        <v>1</v>
      </c>
      <c r="D64" s="23">
        <v>16.989999999999998</v>
      </c>
      <c r="E64" s="3">
        <v>16.989999999999998</v>
      </c>
      <c r="F64" s="2" t="s">
        <v>17768</v>
      </c>
      <c r="G64" s="22" t="s">
        <v>19618</v>
      </c>
      <c r="H64" s="24" t="s">
        <v>19334</v>
      </c>
      <c r="I64" s="22" t="s">
        <v>19309</v>
      </c>
      <c r="J64" s="22" t="s">
        <v>19310</v>
      </c>
      <c r="K64" s="22" t="s">
        <v>19468</v>
      </c>
      <c r="L64" s="22"/>
      <c r="M64" s="22"/>
      <c r="N64" s="25" t="str">
        <f>HYPERLINK("http://slimages.macys.com/is/image/MCY/20663245 ")</f>
        <v xml:space="preserve">http://slimages.macys.com/is/image/MCY/20663245 </v>
      </c>
    </row>
    <row r="65" spans="1:14" ht="24.75" x14ac:dyDescent="0.25">
      <c r="A65" s="21" t="s">
        <v>10371</v>
      </c>
      <c r="B65" s="22" t="s">
        <v>10372</v>
      </c>
      <c r="C65" s="2">
        <v>1</v>
      </c>
      <c r="D65" s="23">
        <v>34.99</v>
      </c>
      <c r="E65" s="3">
        <v>34.99</v>
      </c>
      <c r="F65" s="2" t="s">
        <v>10373</v>
      </c>
      <c r="G65" s="22" t="s">
        <v>19906</v>
      </c>
      <c r="H65" s="24" t="s">
        <v>19907</v>
      </c>
      <c r="I65" s="22" t="s">
        <v>19309</v>
      </c>
      <c r="J65" s="22" t="s">
        <v>19454</v>
      </c>
      <c r="K65" s="22" t="s">
        <v>19524</v>
      </c>
      <c r="L65" s="22"/>
      <c r="M65" s="22"/>
      <c r="N65" s="25" t="str">
        <f>HYPERLINK("http://slimages.macys.com/is/image/MCY/1473057 ")</f>
        <v xml:space="preserve">http://slimages.macys.com/is/image/MCY/1473057 </v>
      </c>
    </row>
    <row r="66" spans="1:14" x14ac:dyDescent="0.25">
      <c r="A66" s="21" t="s">
        <v>10374</v>
      </c>
      <c r="B66" s="22" t="s">
        <v>10375</v>
      </c>
      <c r="C66" s="2">
        <v>1</v>
      </c>
      <c r="D66" s="23">
        <v>27.99</v>
      </c>
      <c r="E66" s="3">
        <v>27.99</v>
      </c>
      <c r="F66" s="2" t="s">
        <v>17777</v>
      </c>
      <c r="G66" s="22" t="s">
        <v>19342</v>
      </c>
      <c r="H66" s="24" t="s">
        <v>19334</v>
      </c>
      <c r="I66" s="22" t="s">
        <v>19309</v>
      </c>
      <c r="J66" s="22" t="s">
        <v>19696</v>
      </c>
      <c r="K66" s="22" t="s">
        <v>19697</v>
      </c>
      <c r="L66" s="22"/>
      <c r="M66" s="22"/>
      <c r="N66" s="25" t="str">
        <f>HYPERLINK("http://slimages.macys.com/is/image/MCY/21364964 ")</f>
        <v xml:space="preserve">http://slimages.macys.com/is/image/MCY/21364964 </v>
      </c>
    </row>
    <row r="67" spans="1:14" x14ac:dyDescent="0.25">
      <c r="A67" s="21" t="s">
        <v>15716</v>
      </c>
      <c r="B67" s="22" t="s">
        <v>15717</v>
      </c>
      <c r="C67" s="2">
        <v>1</v>
      </c>
      <c r="D67" s="23">
        <v>27.99</v>
      </c>
      <c r="E67" s="3">
        <v>27.99</v>
      </c>
      <c r="F67" s="2" t="s">
        <v>15713</v>
      </c>
      <c r="G67" s="22" t="s">
        <v>19342</v>
      </c>
      <c r="H67" s="24" t="s">
        <v>19345</v>
      </c>
      <c r="I67" s="22" t="s">
        <v>19309</v>
      </c>
      <c r="J67" s="22" t="s">
        <v>19696</v>
      </c>
      <c r="K67" s="22" t="s">
        <v>19965</v>
      </c>
      <c r="L67" s="22"/>
      <c r="M67" s="22"/>
      <c r="N67" s="25" t="str">
        <f>HYPERLINK("http://slimages.macys.com/is/image/MCY/21530621 ")</f>
        <v xml:space="preserve">http://slimages.macys.com/is/image/MCY/21530621 </v>
      </c>
    </row>
    <row r="68" spans="1:14" ht="24.75" x14ac:dyDescent="0.25">
      <c r="A68" s="21" t="s">
        <v>10376</v>
      </c>
      <c r="B68" s="22" t="s">
        <v>10377</v>
      </c>
      <c r="C68" s="2">
        <v>1</v>
      </c>
      <c r="D68" s="23">
        <v>21.99</v>
      </c>
      <c r="E68" s="3">
        <v>21.99</v>
      </c>
      <c r="F68" s="2" t="s">
        <v>10378</v>
      </c>
      <c r="G68" s="22" t="s">
        <v>19351</v>
      </c>
      <c r="H68" s="24" t="s">
        <v>19352</v>
      </c>
      <c r="I68" s="22" t="s">
        <v>19309</v>
      </c>
      <c r="J68" s="22" t="s">
        <v>19454</v>
      </c>
      <c r="K68" s="22" t="s">
        <v>18654</v>
      </c>
      <c r="L68" s="22"/>
      <c r="M68" s="22"/>
      <c r="N68" s="25" t="str">
        <f>HYPERLINK("http://slimages.macys.com/is/image/MCY/1486253 ")</f>
        <v xml:space="preserve">http://slimages.macys.com/is/image/MCY/1486253 </v>
      </c>
    </row>
    <row r="69" spans="1:14" ht="24.75" x14ac:dyDescent="0.25">
      <c r="A69" s="21" t="s">
        <v>10379</v>
      </c>
      <c r="B69" s="22" t="s">
        <v>10380</v>
      </c>
      <c r="C69" s="2">
        <v>1</v>
      </c>
      <c r="D69" s="23">
        <v>21.99</v>
      </c>
      <c r="E69" s="3">
        <v>21.99</v>
      </c>
      <c r="F69" s="2" t="s">
        <v>10378</v>
      </c>
      <c r="G69" s="22" t="s">
        <v>19351</v>
      </c>
      <c r="H69" s="24" t="s">
        <v>19364</v>
      </c>
      <c r="I69" s="22" t="s">
        <v>19309</v>
      </c>
      <c r="J69" s="22" t="s">
        <v>19454</v>
      </c>
      <c r="K69" s="22" t="s">
        <v>18654</v>
      </c>
      <c r="L69" s="22"/>
      <c r="M69" s="22"/>
      <c r="N69" s="25" t="str">
        <f>HYPERLINK("http://slimages.macys.com/is/image/MCY/1486253 ")</f>
        <v xml:space="preserve">http://slimages.macys.com/is/image/MCY/1486253 </v>
      </c>
    </row>
    <row r="70" spans="1:14" ht="24.75" x14ac:dyDescent="0.25">
      <c r="A70" s="21" t="s">
        <v>10381</v>
      </c>
      <c r="B70" s="22" t="s">
        <v>10382</v>
      </c>
      <c r="C70" s="2">
        <v>1</v>
      </c>
      <c r="D70" s="23">
        <v>21.99</v>
      </c>
      <c r="E70" s="3">
        <v>21.99</v>
      </c>
      <c r="F70" s="2" t="s">
        <v>11854</v>
      </c>
      <c r="G70" s="22" t="s">
        <v>19323</v>
      </c>
      <c r="H70" s="24" t="s">
        <v>19361</v>
      </c>
      <c r="I70" s="22" t="s">
        <v>19309</v>
      </c>
      <c r="J70" s="22" t="s">
        <v>19595</v>
      </c>
      <c r="K70" s="22" t="s">
        <v>19596</v>
      </c>
      <c r="L70" s="22"/>
      <c r="M70" s="22"/>
      <c r="N70" s="25" t="str">
        <f>HYPERLINK("http://slimages.macys.com/is/image/MCY/21623032 ")</f>
        <v xml:space="preserve">http://slimages.macys.com/is/image/MCY/21623032 </v>
      </c>
    </row>
    <row r="71" spans="1:14" ht="24.75" x14ac:dyDescent="0.25">
      <c r="A71" s="21" t="s">
        <v>10383</v>
      </c>
      <c r="B71" s="22" t="s">
        <v>10384</v>
      </c>
      <c r="C71" s="2">
        <v>1</v>
      </c>
      <c r="D71" s="23">
        <v>18.989999999999998</v>
      </c>
      <c r="E71" s="3">
        <v>18.989999999999998</v>
      </c>
      <c r="F71" s="2" t="s">
        <v>10385</v>
      </c>
      <c r="G71" s="22" t="s">
        <v>20145</v>
      </c>
      <c r="H71" s="24" t="s">
        <v>19432</v>
      </c>
      <c r="I71" s="22" t="s">
        <v>19309</v>
      </c>
      <c r="J71" s="22" t="s">
        <v>19310</v>
      </c>
      <c r="K71" s="22" t="s">
        <v>19468</v>
      </c>
      <c r="L71" s="22"/>
      <c r="M71" s="22"/>
      <c r="N71" s="25" t="str">
        <f>HYPERLINK("http://slimages.macys.com/is/image/MCY/20189606 ")</f>
        <v xml:space="preserve">http://slimages.macys.com/is/image/MCY/20189606 </v>
      </c>
    </row>
    <row r="72" spans="1:14" ht="24.75" x14ac:dyDescent="0.25">
      <c r="A72" s="21" t="s">
        <v>10386</v>
      </c>
      <c r="B72" s="22" t="s">
        <v>10387</v>
      </c>
      <c r="C72" s="2">
        <v>1</v>
      </c>
      <c r="D72" s="23">
        <v>15.99</v>
      </c>
      <c r="E72" s="3">
        <v>15.99</v>
      </c>
      <c r="F72" s="2" t="s">
        <v>10388</v>
      </c>
      <c r="G72" s="22" t="s">
        <v>19518</v>
      </c>
      <c r="H72" s="24" t="s">
        <v>19770</v>
      </c>
      <c r="I72" s="22" t="s">
        <v>19309</v>
      </c>
      <c r="J72" s="22" t="s">
        <v>19573</v>
      </c>
      <c r="K72" s="22" t="s">
        <v>19574</v>
      </c>
      <c r="L72" s="22"/>
      <c r="M72" s="22"/>
      <c r="N72" s="25" t="str">
        <f>HYPERLINK("http://slimages.macys.com/is/image/MCY/18880366 ")</f>
        <v xml:space="preserve">http://slimages.macys.com/is/image/MCY/18880366 </v>
      </c>
    </row>
    <row r="73" spans="1:14" ht="24.75" x14ac:dyDescent="0.25">
      <c r="A73" s="21" t="s">
        <v>10389</v>
      </c>
      <c r="B73" s="22" t="s">
        <v>10390</v>
      </c>
      <c r="C73" s="2">
        <v>1</v>
      </c>
      <c r="D73" s="23">
        <v>22.99</v>
      </c>
      <c r="E73" s="3">
        <v>22.99</v>
      </c>
      <c r="F73" s="2" t="s">
        <v>19712</v>
      </c>
      <c r="G73" s="22" t="s">
        <v>19713</v>
      </c>
      <c r="H73" s="24"/>
      <c r="I73" s="22" t="s">
        <v>19309</v>
      </c>
      <c r="J73" s="22" t="s">
        <v>19573</v>
      </c>
      <c r="K73" s="22" t="s">
        <v>19574</v>
      </c>
      <c r="L73" s="22"/>
      <c r="M73" s="22"/>
      <c r="N73" s="25" t="str">
        <f>HYPERLINK("http://slimages.macys.com/is/image/MCY/20757507 ")</f>
        <v xml:space="preserve">http://slimages.macys.com/is/image/MCY/20757507 </v>
      </c>
    </row>
    <row r="74" spans="1:14" ht="24.75" x14ac:dyDescent="0.25">
      <c r="A74" s="21" t="s">
        <v>15742</v>
      </c>
      <c r="B74" s="22" t="s">
        <v>15743</v>
      </c>
      <c r="C74" s="2">
        <v>1</v>
      </c>
      <c r="D74" s="23">
        <v>23.99</v>
      </c>
      <c r="E74" s="3">
        <v>23.99</v>
      </c>
      <c r="F74" s="2" t="s">
        <v>15741</v>
      </c>
      <c r="G74" s="22" t="s">
        <v>19462</v>
      </c>
      <c r="H74" s="24" t="s">
        <v>19361</v>
      </c>
      <c r="I74" s="22" t="s">
        <v>19309</v>
      </c>
      <c r="J74" s="22" t="s">
        <v>19908</v>
      </c>
      <c r="K74" s="22" t="s">
        <v>19524</v>
      </c>
      <c r="L74" s="22"/>
      <c r="M74" s="22"/>
      <c r="N74" s="25" t="str">
        <f>HYPERLINK("http://slimages.macys.com/is/image/MCY/22028931 ")</f>
        <v xml:space="preserve">http://slimages.macys.com/is/image/MCY/22028931 </v>
      </c>
    </row>
    <row r="75" spans="1:14" x14ac:dyDescent="0.25">
      <c r="A75" s="21" t="s">
        <v>10391</v>
      </c>
      <c r="B75" s="22" t="s">
        <v>10392</v>
      </c>
      <c r="C75" s="2">
        <v>1</v>
      </c>
      <c r="D75" s="23">
        <v>20.58</v>
      </c>
      <c r="E75" s="3">
        <v>20.58</v>
      </c>
      <c r="F75" s="2" t="s">
        <v>19719</v>
      </c>
      <c r="G75" s="22" t="s">
        <v>19342</v>
      </c>
      <c r="H75" s="24" t="s">
        <v>19361</v>
      </c>
      <c r="I75" s="22" t="s">
        <v>19309</v>
      </c>
      <c r="J75" s="22" t="s">
        <v>19514</v>
      </c>
      <c r="K75" s="22" t="s">
        <v>19546</v>
      </c>
      <c r="L75" s="22"/>
      <c r="M75" s="22"/>
      <c r="N75" s="25" t="str">
        <f>HYPERLINK("http://slimages.macys.com/is/image/MCY/21333463 ")</f>
        <v xml:space="preserve">http://slimages.macys.com/is/image/MCY/21333463 </v>
      </c>
    </row>
    <row r="76" spans="1:14" ht="24.75" x14ac:dyDescent="0.25">
      <c r="A76" s="21" t="s">
        <v>15231</v>
      </c>
      <c r="B76" s="22" t="s">
        <v>15232</v>
      </c>
      <c r="C76" s="2">
        <v>1</v>
      </c>
      <c r="D76" s="23">
        <v>24.99</v>
      </c>
      <c r="E76" s="3">
        <v>24.99</v>
      </c>
      <c r="F76" s="2" t="s">
        <v>17821</v>
      </c>
      <c r="G76" s="22" t="s">
        <v>19713</v>
      </c>
      <c r="H76" s="24"/>
      <c r="I76" s="22" t="s">
        <v>19309</v>
      </c>
      <c r="J76" s="22" t="s">
        <v>19573</v>
      </c>
      <c r="K76" s="22" t="s">
        <v>19574</v>
      </c>
      <c r="L76" s="22"/>
      <c r="M76" s="22"/>
      <c r="N76" s="25" t="str">
        <f>HYPERLINK("http://slimages.macys.com/is/image/MCY/1679020 ")</f>
        <v xml:space="preserve">http://slimages.macys.com/is/image/MCY/1679020 </v>
      </c>
    </row>
    <row r="77" spans="1:14" ht="24.75" x14ac:dyDescent="0.25">
      <c r="A77" s="21" t="s">
        <v>10393</v>
      </c>
      <c r="B77" s="22" t="s">
        <v>10394</v>
      </c>
      <c r="C77" s="2">
        <v>2</v>
      </c>
      <c r="D77" s="23">
        <v>24.99</v>
      </c>
      <c r="E77" s="3">
        <v>49.98</v>
      </c>
      <c r="F77" s="2" t="s">
        <v>10395</v>
      </c>
      <c r="G77" s="22" t="s">
        <v>19342</v>
      </c>
      <c r="H77" s="24" t="s">
        <v>19330</v>
      </c>
      <c r="I77" s="22" t="s">
        <v>19309</v>
      </c>
      <c r="J77" s="22" t="s">
        <v>19385</v>
      </c>
      <c r="K77" s="22" t="s">
        <v>19729</v>
      </c>
      <c r="L77" s="22"/>
      <c r="M77" s="22"/>
      <c r="N77" s="25" t="str">
        <f>HYPERLINK("http://slimages.macys.com/is/image/MCY/21506850 ")</f>
        <v xml:space="preserve">http://slimages.macys.com/is/image/MCY/21506850 </v>
      </c>
    </row>
    <row r="78" spans="1:14" ht="24.75" x14ac:dyDescent="0.25">
      <c r="A78" s="21" t="s">
        <v>19726</v>
      </c>
      <c r="B78" s="22" t="s">
        <v>19727</v>
      </c>
      <c r="C78" s="2">
        <v>3</v>
      </c>
      <c r="D78" s="23">
        <v>24.99</v>
      </c>
      <c r="E78" s="3">
        <v>74.97</v>
      </c>
      <c r="F78" s="2" t="s">
        <v>19728</v>
      </c>
      <c r="G78" s="22" t="s">
        <v>19342</v>
      </c>
      <c r="H78" s="24" t="s">
        <v>19324</v>
      </c>
      <c r="I78" s="22" t="s">
        <v>19309</v>
      </c>
      <c r="J78" s="22" t="s">
        <v>19385</v>
      </c>
      <c r="K78" s="22" t="s">
        <v>19729</v>
      </c>
      <c r="L78" s="22"/>
      <c r="M78" s="22"/>
      <c r="N78" s="25" t="str">
        <f>HYPERLINK("http://slimages.macys.com/is/image/MCY/21773792 ")</f>
        <v xml:space="preserve">http://slimages.macys.com/is/image/MCY/21773792 </v>
      </c>
    </row>
    <row r="79" spans="1:14" ht="24.75" x14ac:dyDescent="0.25">
      <c r="A79" s="21" t="s">
        <v>19733</v>
      </c>
      <c r="B79" s="22" t="s">
        <v>19734</v>
      </c>
      <c r="C79" s="2">
        <v>1</v>
      </c>
      <c r="D79" s="23">
        <v>24.99</v>
      </c>
      <c r="E79" s="3">
        <v>24.99</v>
      </c>
      <c r="F79" s="2" t="s">
        <v>19735</v>
      </c>
      <c r="G79" s="22" t="s">
        <v>19342</v>
      </c>
      <c r="H79" s="24" t="s">
        <v>19416</v>
      </c>
      <c r="I79" s="22" t="s">
        <v>19309</v>
      </c>
      <c r="J79" s="22" t="s">
        <v>19385</v>
      </c>
      <c r="K79" s="22" t="s">
        <v>19729</v>
      </c>
      <c r="L79" s="22"/>
      <c r="M79" s="22"/>
      <c r="N79" s="25" t="str">
        <f>HYPERLINK("http://slimages.macys.com/is/image/MCY/21265748 ")</f>
        <v xml:space="preserve">http://slimages.macys.com/is/image/MCY/21265748 </v>
      </c>
    </row>
    <row r="80" spans="1:14" ht="24.75" x14ac:dyDescent="0.25">
      <c r="A80" s="21" t="s">
        <v>10396</v>
      </c>
      <c r="B80" s="22" t="s">
        <v>10397</v>
      </c>
      <c r="C80" s="2">
        <v>4</v>
      </c>
      <c r="D80" s="23">
        <v>24.99</v>
      </c>
      <c r="E80" s="3">
        <v>99.96</v>
      </c>
      <c r="F80" s="2" t="s">
        <v>10395</v>
      </c>
      <c r="G80" s="22" t="s">
        <v>19342</v>
      </c>
      <c r="H80" s="24" t="s">
        <v>19324</v>
      </c>
      <c r="I80" s="22" t="s">
        <v>19309</v>
      </c>
      <c r="J80" s="22" t="s">
        <v>19385</v>
      </c>
      <c r="K80" s="22" t="s">
        <v>19729</v>
      </c>
      <c r="L80" s="22"/>
      <c r="M80" s="22"/>
      <c r="N80" s="25" t="str">
        <f>HYPERLINK("http://slimages.macys.com/is/image/MCY/21506850 ")</f>
        <v xml:space="preserve">http://slimages.macys.com/is/image/MCY/21506850 </v>
      </c>
    </row>
    <row r="81" spans="1:14" ht="24.75" x14ac:dyDescent="0.25">
      <c r="A81" s="21" t="s">
        <v>19743</v>
      </c>
      <c r="B81" s="22" t="s">
        <v>19744</v>
      </c>
      <c r="C81" s="2">
        <v>1</v>
      </c>
      <c r="D81" s="23">
        <v>24.99</v>
      </c>
      <c r="E81" s="3">
        <v>24.99</v>
      </c>
      <c r="F81" s="2" t="s">
        <v>19728</v>
      </c>
      <c r="G81" s="22" t="s">
        <v>19342</v>
      </c>
      <c r="H81" s="24" t="s">
        <v>19330</v>
      </c>
      <c r="I81" s="22" t="s">
        <v>19309</v>
      </c>
      <c r="J81" s="22" t="s">
        <v>19385</v>
      </c>
      <c r="K81" s="22" t="s">
        <v>19729</v>
      </c>
      <c r="L81" s="22"/>
      <c r="M81" s="22"/>
      <c r="N81" s="25" t="str">
        <f>HYPERLINK("http://slimages.macys.com/is/image/MCY/21773792 ")</f>
        <v xml:space="preserve">http://slimages.macys.com/is/image/MCY/21773792 </v>
      </c>
    </row>
    <row r="82" spans="1:14" ht="24.75" x14ac:dyDescent="0.25">
      <c r="A82" s="21" t="s">
        <v>19741</v>
      </c>
      <c r="B82" s="22" t="s">
        <v>19742</v>
      </c>
      <c r="C82" s="2">
        <v>4</v>
      </c>
      <c r="D82" s="23">
        <v>24.99</v>
      </c>
      <c r="E82" s="3">
        <v>99.96</v>
      </c>
      <c r="F82" s="2" t="s">
        <v>19728</v>
      </c>
      <c r="G82" s="22" t="s">
        <v>19342</v>
      </c>
      <c r="H82" s="24" t="s">
        <v>19416</v>
      </c>
      <c r="I82" s="22" t="s">
        <v>19309</v>
      </c>
      <c r="J82" s="22" t="s">
        <v>19385</v>
      </c>
      <c r="K82" s="22" t="s">
        <v>19729</v>
      </c>
      <c r="L82" s="22"/>
      <c r="M82" s="22"/>
      <c r="N82" s="25" t="str">
        <f>HYPERLINK("http://slimages.macys.com/is/image/MCY/21773792 ")</f>
        <v xml:space="preserve">http://slimages.macys.com/is/image/MCY/21773792 </v>
      </c>
    </row>
    <row r="83" spans="1:14" ht="24.75" x14ac:dyDescent="0.25">
      <c r="A83" s="21" t="s">
        <v>10398</v>
      </c>
      <c r="B83" s="22" t="s">
        <v>10399</v>
      </c>
      <c r="C83" s="2">
        <v>1</v>
      </c>
      <c r="D83" s="23">
        <v>24.99</v>
      </c>
      <c r="E83" s="3">
        <v>24.99</v>
      </c>
      <c r="F83" s="2" t="s">
        <v>10395</v>
      </c>
      <c r="G83" s="22" t="s">
        <v>19342</v>
      </c>
      <c r="H83" s="24" t="s">
        <v>19416</v>
      </c>
      <c r="I83" s="22" t="s">
        <v>19309</v>
      </c>
      <c r="J83" s="22" t="s">
        <v>19385</v>
      </c>
      <c r="K83" s="22" t="s">
        <v>19729</v>
      </c>
      <c r="L83" s="22"/>
      <c r="M83" s="22"/>
      <c r="N83" s="25" t="str">
        <f>HYPERLINK("http://slimages.macys.com/is/image/MCY/21506850 ")</f>
        <v xml:space="preserve">http://slimages.macys.com/is/image/MCY/21506850 </v>
      </c>
    </row>
    <row r="84" spans="1:14" ht="24.75" x14ac:dyDescent="0.25">
      <c r="A84" s="21" t="s">
        <v>10400</v>
      </c>
      <c r="B84" s="22" t="s">
        <v>10401</v>
      </c>
      <c r="C84" s="2">
        <v>2</v>
      </c>
      <c r="D84" s="23">
        <v>24.99</v>
      </c>
      <c r="E84" s="3">
        <v>49.98</v>
      </c>
      <c r="F84" s="2" t="s">
        <v>15780</v>
      </c>
      <c r="G84" s="22" t="s">
        <v>19342</v>
      </c>
      <c r="H84" s="24" t="s">
        <v>19330</v>
      </c>
      <c r="I84" s="22" t="s">
        <v>19309</v>
      </c>
      <c r="J84" s="22" t="s">
        <v>19385</v>
      </c>
      <c r="K84" s="22" t="s">
        <v>19729</v>
      </c>
      <c r="L84" s="22"/>
      <c r="M84" s="22"/>
      <c r="N84" s="25" t="str">
        <f>HYPERLINK("http://slimages.macys.com/is/image/MCY/21506851 ")</f>
        <v xml:space="preserve">http://slimages.macys.com/is/image/MCY/21506851 </v>
      </c>
    </row>
    <row r="85" spans="1:14" ht="24.75" x14ac:dyDescent="0.25">
      <c r="A85" s="21" t="s">
        <v>10402</v>
      </c>
      <c r="B85" s="22" t="s">
        <v>10403</v>
      </c>
      <c r="C85" s="2">
        <v>1</v>
      </c>
      <c r="D85" s="23">
        <v>24.99</v>
      </c>
      <c r="E85" s="3">
        <v>24.99</v>
      </c>
      <c r="F85" s="2" t="s">
        <v>19732</v>
      </c>
      <c r="G85" s="22" t="s">
        <v>19342</v>
      </c>
      <c r="H85" s="24" t="s">
        <v>19324</v>
      </c>
      <c r="I85" s="22" t="s">
        <v>19309</v>
      </c>
      <c r="J85" s="22" t="s">
        <v>19385</v>
      </c>
      <c r="K85" s="22" t="s">
        <v>19729</v>
      </c>
      <c r="L85" s="22"/>
      <c r="M85" s="22"/>
      <c r="N85" s="25" t="str">
        <f>HYPERLINK("http://slimages.macys.com/is/image/MCY/21529290 ")</f>
        <v xml:space="preserve">http://slimages.macys.com/is/image/MCY/21529290 </v>
      </c>
    </row>
    <row r="86" spans="1:14" ht="24.75" x14ac:dyDescent="0.25">
      <c r="A86" s="21" t="s">
        <v>10404</v>
      </c>
      <c r="B86" s="22" t="s">
        <v>10405</v>
      </c>
      <c r="C86" s="2">
        <v>4</v>
      </c>
      <c r="D86" s="23">
        <v>24.99</v>
      </c>
      <c r="E86" s="3">
        <v>99.96</v>
      </c>
      <c r="F86" s="2" t="s">
        <v>10406</v>
      </c>
      <c r="G86" s="22" t="s">
        <v>19333</v>
      </c>
      <c r="H86" s="24" t="s">
        <v>16005</v>
      </c>
      <c r="I86" s="22" t="s">
        <v>19309</v>
      </c>
      <c r="J86" s="22" t="s">
        <v>16678</v>
      </c>
      <c r="K86" s="22" t="s">
        <v>10407</v>
      </c>
      <c r="L86" s="22"/>
      <c r="M86" s="22"/>
      <c r="N86" s="25" t="str">
        <f>HYPERLINK("http://slimages.macys.com/is/image/MCY/21770650 ")</f>
        <v xml:space="preserve">http://slimages.macys.com/is/image/MCY/21770650 </v>
      </c>
    </row>
    <row r="87" spans="1:14" ht="24.75" x14ac:dyDescent="0.25">
      <c r="A87" s="21" t="s">
        <v>10408</v>
      </c>
      <c r="B87" s="22" t="s">
        <v>10409</v>
      </c>
      <c r="C87" s="2">
        <v>1</v>
      </c>
      <c r="D87" s="23">
        <v>26.9</v>
      </c>
      <c r="E87" s="3">
        <v>26.9</v>
      </c>
      <c r="F87" s="2" t="s">
        <v>10410</v>
      </c>
      <c r="G87" s="22"/>
      <c r="H87" s="24" t="s">
        <v>19377</v>
      </c>
      <c r="I87" s="22" t="s">
        <v>19309</v>
      </c>
      <c r="J87" s="22" t="s">
        <v>19378</v>
      </c>
      <c r="K87" s="22" t="s">
        <v>19379</v>
      </c>
      <c r="L87" s="22"/>
      <c r="M87" s="22"/>
      <c r="N87" s="25" t="str">
        <f>HYPERLINK("http://slimages.macys.com/is/image/MCY/20015702 ")</f>
        <v xml:space="preserve">http://slimages.macys.com/is/image/MCY/20015702 </v>
      </c>
    </row>
    <row r="88" spans="1:14" ht="24.75" x14ac:dyDescent="0.25">
      <c r="A88" s="21" t="s">
        <v>10411</v>
      </c>
      <c r="B88" s="22" t="s">
        <v>10412</v>
      </c>
      <c r="C88" s="2">
        <v>1</v>
      </c>
      <c r="D88" s="23">
        <v>24.99</v>
      </c>
      <c r="E88" s="3">
        <v>24.99</v>
      </c>
      <c r="F88" s="2" t="s">
        <v>15796</v>
      </c>
      <c r="G88" s="22" t="s">
        <v>19594</v>
      </c>
      <c r="H88" s="24" t="s">
        <v>19384</v>
      </c>
      <c r="I88" s="22" t="s">
        <v>19309</v>
      </c>
      <c r="J88" s="22" t="s">
        <v>19385</v>
      </c>
      <c r="K88" s="22" t="s">
        <v>19386</v>
      </c>
      <c r="L88" s="22"/>
      <c r="M88" s="22"/>
      <c r="N88" s="25" t="str">
        <f>HYPERLINK("http://slimages.macys.com/is/image/MCY/21820646 ")</f>
        <v xml:space="preserve">http://slimages.macys.com/is/image/MCY/21820646 </v>
      </c>
    </row>
    <row r="89" spans="1:14" ht="24.75" x14ac:dyDescent="0.25">
      <c r="A89" s="21" t="s">
        <v>10413</v>
      </c>
      <c r="B89" s="22" t="s">
        <v>10414</v>
      </c>
      <c r="C89" s="2">
        <v>1</v>
      </c>
      <c r="D89" s="23">
        <v>21.43</v>
      </c>
      <c r="E89" s="3">
        <v>21.43</v>
      </c>
      <c r="F89" s="2" t="s">
        <v>12981</v>
      </c>
      <c r="G89" s="22"/>
      <c r="H89" s="24" t="s">
        <v>19334</v>
      </c>
      <c r="I89" s="22" t="s">
        <v>19309</v>
      </c>
      <c r="J89" s="22" t="s">
        <v>19602</v>
      </c>
      <c r="K89" s="22" t="s">
        <v>19603</v>
      </c>
      <c r="L89" s="22"/>
      <c r="M89" s="22"/>
      <c r="N89" s="25" t="str">
        <f>HYPERLINK("http://slimages.macys.com/is/image/MCY/21421353 ")</f>
        <v xml:space="preserve">http://slimages.macys.com/is/image/MCY/21421353 </v>
      </c>
    </row>
    <row r="90" spans="1:14" x14ac:dyDescent="0.25">
      <c r="A90" s="21" t="s">
        <v>10415</v>
      </c>
      <c r="B90" s="22" t="s">
        <v>10416</v>
      </c>
      <c r="C90" s="2">
        <v>1</v>
      </c>
      <c r="D90" s="23">
        <v>25.89</v>
      </c>
      <c r="E90" s="3">
        <v>25.89</v>
      </c>
      <c r="F90" s="2" t="s">
        <v>10417</v>
      </c>
      <c r="G90" s="22"/>
      <c r="H90" s="24" t="s">
        <v>19416</v>
      </c>
      <c r="I90" s="22" t="s">
        <v>19309</v>
      </c>
      <c r="J90" s="22" t="s">
        <v>19708</v>
      </c>
      <c r="K90" s="22" t="s">
        <v>19754</v>
      </c>
      <c r="L90" s="22"/>
      <c r="M90" s="22"/>
      <c r="N90" s="25" t="str">
        <f>HYPERLINK("http://slimages.macys.com/is/image/MCY/22595736 ")</f>
        <v xml:space="preserve">http://slimages.macys.com/is/image/MCY/22595736 </v>
      </c>
    </row>
    <row r="91" spans="1:14" x14ac:dyDescent="0.25">
      <c r="A91" s="21" t="s">
        <v>19761</v>
      </c>
      <c r="B91" s="22" t="s">
        <v>19762</v>
      </c>
      <c r="C91" s="2">
        <v>1</v>
      </c>
      <c r="D91" s="23">
        <v>17.989999999999998</v>
      </c>
      <c r="E91" s="3">
        <v>17.989999999999998</v>
      </c>
      <c r="F91" s="2">
        <v>939655</v>
      </c>
      <c r="G91" s="22" t="s">
        <v>19763</v>
      </c>
      <c r="H91" s="24" t="s">
        <v>19352</v>
      </c>
      <c r="I91" s="22" t="s">
        <v>19309</v>
      </c>
      <c r="J91" s="22" t="s">
        <v>19310</v>
      </c>
      <c r="K91" s="22" t="s">
        <v>19311</v>
      </c>
      <c r="L91" s="22" t="s">
        <v>19319</v>
      </c>
      <c r="M91" s="22" t="s">
        <v>19764</v>
      </c>
      <c r="N91" s="25" t="str">
        <f>HYPERLINK("http://slimages.macys.com/is/image/MCY/9300991 ")</f>
        <v xml:space="preserve">http://slimages.macys.com/is/image/MCY/9300991 </v>
      </c>
    </row>
    <row r="92" spans="1:14" ht="24.75" x14ac:dyDescent="0.25">
      <c r="A92" s="21" t="s">
        <v>10418</v>
      </c>
      <c r="B92" s="22" t="s">
        <v>10419</v>
      </c>
      <c r="C92" s="2">
        <v>1</v>
      </c>
      <c r="D92" s="23">
        <v>18.989999999999998</v>
      </c>
      <c r="E92" s="3">
        <v>18.989999999999998</v>
      </c>
      <c r="F92" s="2" t="s">
        <v>10420</v>
      </c>
      <c r="G92" s="22" t="s">
        <v>19338</v>
      </c>
      <c r="H92" s="24" t="s">
        <v>19339</v>
      </c>
      <c r="I92" s="22" t="s">
        <v>19309</v>
      </c>
      <c r="J92" s="22" t="s">
        <v>19447</v>
      </c>
      <c r="K92" s="22" t="s">
        <v>19311</v>
      </c>
      <c r="L92" s="22"/>
      <c r="M92" s="22"/>
      <c r="N92" s="25" t="str">
        <f>HYPERLINK("http://slimages.macys.com/is/image/MCY/19556402 ")</f>
        <v xml:space="preserve">http://slimages.macys.com/is/image/MCY/19556402 </v>
      </c>
    </row>
    <row r="93" spans="1:14" ht="24.75" x14ac:dyDescent="0.25">
      <c r="A93" s="21" t="s">
        <v>10421</v>
      </c>
      <c r="B93" s="22" t="s">
        <v>10422</v>
      </c>
      <c r="C93" s="2">
        <v>1</v>
      </c>
      <c r="D93" s="23">
        <v>18.989999999999998</v>
      </c>
      <c r="E93" s="3">
        <v>18.989999999999998</v>
      </c>
      <c r="F93" s="2" t="s">
        <v>10420</v>
      </c>
      <c r="G93" s="22" t="s">
        <v>19814</v>
      </c>
      <c r="H93" s="24" t="s">
        <v>19364</v>
      </c>
      <c r="I93" s="22" t="s">
        <v>19309</v>
      </c>
      <c r="J93" s="22" t="s">
        <v>19447</v>
      </c>
      <c r="K93" s="22" t="s">
        <v>19311</v>
      </c>
      <c r="L93" s="22"/>
      <c r="M93" s="22"/>
      <c r="N93" s="25" t="str">
        <f>HYPERLINK("http://slimages.macys.com/is/image/MCY/19197082 ")</f>
        <v xml:space="preserve">http://slimages.macys.com/is/image/MCY/19197082 </v>
      </c>
    </row>
    <row r="94" spans="1:14" ht="24.75" x14ac:dyDescent="0.25">
      <c r="A94" s="21" t="s">
        <v>19787</v>
      </c>
      <c r="B94" s="22" t="s">
        <v>19788</v>
      </c>
      <c r="C94" s="2">
        <v>3</v>
      </c>
      <c r="D94" s="23">
        <v>19.989999999999998</v>
      </c>
      <c r="E94" s="3">
        <v>59.97</v>
      </c>
      <c r="F94" s="2" t="s">
        <v>19773</v>
      </c>
      <c r="G94" s="22" t="s">
        <v>19518</v>
      </c>
      <c r="H94" s="24" t="s">
        <v>19538</v>
      </c>
      <c r="I94" s="22" t="s">
        <v>19309</v>
      </c>
      <c r="J94" s="22" t="s">
        <v>19573</v>
      </c>
      <c r="K94" s="22" t="s">
        <v>19574</v>
      </c>
      <c r="L94" s="22"/>
      <c r="M94" s="22"/>
      <c r="N94" s="25" t="str">
        <f>HYPERLINK("http://slimages.macys.com/is/image/MCY/1646350 ")</f>
        <v xml:space="preserve">http://slimages.macys.com/is/image/MCY/1646350 </v>
      </c>
    </row>
    <row r="95" spans="1:14" ht="24.75" x14ac:dyDescent="0.25">
      <c r="A95" s="21" t="s">
        <v>19789</v>
      </c>
      <c r="B95" s="22" t="s">
        <v>19790</v>
      </c>
      <c r="C95" s="2">
        <v>1</v>
      </c>
      <c r="D95" s="23">
        <v>19.989999999999998</v>
      </c>
      <c r="E95" s="3">
        <v>19.989999999999998</v>
      </c>
      <c r="F95" s="2" t="s">
        <v>19776</v>
      </c>
      <c r="G95" s="22" t="s">
        <v>19315</v>
      </c>
      <c r="H95" s="24" t="s">
        <v>19770</v>
      </c>
      <c r="I95" s="22" t="s">
        <v>19309</v>
      </c>
      <c r="J95" s="22" t="s">
        <v>19573</v>
      </c>
      <c r="K95" s="22" t="s">
        <v>19574</v>
      </c>
      <c r="L95" s="22"/>
      <c r="M95" s="22"/>
      <c r="N95" s="25" t="str">
        <f>HYPERLINK("http://slimages.macys.com/is/image/MCY/1646345 ")</f>
        <v xml:space="preserve">http://slimages.macys.com/is/image/MCY/1646345 </v>
      </c>
    </row>
    <row r="96" spans="1:14" ht="24.75" x14ac:dyDescent="0.25">
      <c r="A96" s="21" t="s">
        <v>19774</v>
      </c>
      <c r="B96" s="22" t="s">
        <v>19775</v>
      </c>
      <c r="C96" s="2">
        <v>1</v>
      </c>
      <c r="D96" s="23">
        <v>19.989999999999998</v>
      </c>
      <c r="E96" s="3">
        <v>19.989999999999998</v>
      </c>
      <c r="F96" s="2" t="s">
        <v>19776</v>
      </c>
      <c r="G96" s="22" t="s">
        <v>19315</v>
      </c>
      <c r="H96" s="24"/>
      <c r="I96" s="22" t="s">
        <v>19309</v>
      </c>
      <c r="J96" s="22" t="s">
        <v>19573</v>
      </c>
      <c r="K96" s="22" t="s">
        <v>19574</v>
      </c>
      <c r="L96" s="22"/>
      <c r="M96" s="22"/>
      <c r="N96" s="25" t="str">
        <f>HYPERLINK("http://slimages.macys.com/is/image/MCY/1646345 ")</f>
        <v xml:space="preserve">http://slimages.macys.com/is/image/MCY/1646345 </v>
      </c>
    </row>
    <row r="97" spans="1:14" ht="24.75" x14ac:dyDescent="0.25">
      <c r="A97" s="21" t="s">
        <v>10423</v>
      </c>
      <c r="B97" s="22" t="s">
        <v>10424</v>
      </c>
      <c r="C97" s="2">
        <v>1</v>
      </c>
      <c r="D97" s="23">
        <v>24.99</v>
      </c>
      <c r="E97" s="3">
        <v>24.99</v>
      </c>
      <c r="F97" s="2" t="s">
        <v>10425</v>
      </c>
      <c r="G97" s="22" t="s">
        <v>19333</v>
      </c>
      <c r="H97" s="24" t="s">
        <v>16005</v>
      </c>
      <c r="I97" s="22" t="s">
        <v>19309</v>
      </c>
      <c r="J97" s="22" t="s">
        <v>16678</v>
      </c>
      <c r="K97" s="22" t="s">
        <v>10407</v>
      </c>
      <c r="L97" s="22"/>
      <c r="M97" s="22"/>
      <c r="N97" s="25" t="str">
        <f>HYPERLINK("http://slimages.macys.com/is/image/MCY/19407107 ")</f>
        <v xml:space="preserve">http://slimages.macys.com/is/image/MCY/19407107 </v>
      </c>
    </row>
    <row r="98" spans="1:14" ht="24.75" x14ac:dyDescent="0.25">
      <c r="A98" s="21" t="s">
        <v>10426</v>
      </c>
      <c r="B98" s="22" t="s">
        <v>10427</v>
      </c>
      <c r="C98" s="2">
        <v>1</v>
      </c>
      <c r="D98" s="23">
        <v>25.99</v>
      </c>
      <c r="E98" s="3">
        <v>25.99</v>
      </c>
      <c r="F98" s="2" t="s">
        <v>17873</v>
      </c>
      <c r="G98" s="22" t="s">
        <v>19431</v>
      </c>
      <c r="H98" s="24" t="s">
        <v>14375</v>
      </c>
      <c r="I98" s="22" t="s">
        <v>19309</v>
      </c>
      <c r="J98" s="22" t="s">
        <v>19595</v>
      </c>
      <c r="K98" s="22" t="s">
        <v>18498</v>
      </c>
      <c r="L98" s="22"/>
      <c r="M98" s="22"/>
      <c r="N98" s="25" t="str">
        <f>HYPERLINK("http://slimages.macys.com/is/image/MCY/21365806 ")</f>
        <v xml:space="preserve">http://slimages.macys.com/is/image/MCY/21365806 </v>
      </c>
    </row>
    <row r="99" spans="1:14" ht="24.75" x14ac:dyDescent="0.25">
      <c r="A99" s="21" t="s">
        <v>19805</v>
      </c>
      <c r="B99" s="22" t="s">
        <v>19806</v>
      </c>
      <c r="C99" s="2">
        <v>1</v>
      </c>
      <c r="D99" s="23">
        <v>21.99</v>
      </c>
      <c r="E99" s="3">
        <v>21.99</v>
      </c>
      <c r="F99" s="2" t="s">
        <v>19800</v>
      </c>
      <c r="G99" s="22" t="s">
        <v>19801</v>
      </c>
      <c r="H99" s="24" t="s">
        <v>19395</v>
      </c>
      <c r="I99" s="22" t="s">
        <v>19309</v>
      </c>
      <c r="J99" s="22" t="s">
        <v>19595</v>
      </c>
      <c r="K99" s="22" t="s">
        <v>19596</v>
      </c>
      <c r="L99" s="22"/>
      <c r="M99" s="22"/>
      <c r="N99" s="25" t="str">
        <f>HYPERLINK("http://slimages.macys.com/is/image/MCY/21623034 ")</f>
        <v xml:space="preserve">http://slimages.macys.com/is/image/MCY/21623034 </v>
      </c>
    </row>
    <row r="100" spans="1:14" ht="24.75" x14ac:dyDescent="0.25">
      <c r="A100" s="21" t="s">
        <v>19802</v>
      </c>
      <c r="B100" s="22" t="s">
        <v>19803</v>
      </c>
      <c r="C100" s="2">
        <v>1</v>
      </c>
      <c r="D100" s="23">
        <v>21.99</v>
      </c>
      <c r="E100" s="3">
        <v>21.99</v>
      </c>
      <c r="F100" s="2" t="s">
        <v>19804</v>
      </c>
      <c r="G100" s="22" t="s">
        <v>19351</v>
      </c>
      <c r="H100" s="24" t="s">
        <v>19361</v>
      </c>
      <c r="I100" s="22" t="s">
        <v>19309</v>
      </c>
      <c r="J100" s="22" t="s">
        <v>19595</v>
      </c>
      <c r="K100" s="22" t="s">
        <v>19596</v>
      </c>
      <c r="L100" s="22"/>
      <c r="M100" s="22"/>
      <c r="N100" s="25" t="str">
        <f>HYPERLINK("http://slimages.macys.com/is/image/MCY/21623048 ")</f>
        <v xml:space="preserve">http://slimages.macys.com/is/image/MCY/21623048 </v>
      </c>
    </row>
    <row r="101" spans="1:14" ht="24.75" x14ac:dyDescent="0.25">
      <c r="A101" s="21" t="s">
        <v>10428</v>
      </c>
      <c r="B101" s="22" t="s">
        <v>10429</v>
      </c>
      <c r="C101" s="2">
        <v>1</v>
      </c>
      <c r="D101" s="23">
        <v>21.99</v>
      </c>
      <c r="E101" s="3">
        <v>21.99</v>
      </c>
      <c r="F101" s="2" t="s">
        <v>12986</v>
      </c>
      <c r="G101" s="22"/>
      <c r="H101" s="24" t="s">
        <v>19334</v>
      </c>
      <c r="I101" s="22" t="s">
        <v>19309</v>
      </c>
      <c r="J101" s="22" t="s">
        <v>19595</v>
      </c>
      <c r="K101" s="22" t="s">
        <v>19596</v>
      </c>
      <c r="L101" s="22"/>
      <c r="M101" s="22"/>
      <c r="N101" s="25" t="str">
        <f>HYPERLINK("http://slimages.macys.com/is/image/MCY/21622998 ")</f>
        <v xml:space="preserve">http://slimages.macys.com/is/image/MCY/21622998 </v>
      </c>
    </row>
    <row r="102" spans="1:14" ht="24.75" x14ac:dyDescent="0.25">
      <c r="A102" s="21" t="s">
        <v>10430</v>
      </c>
      <c r="B102" s="22" t="s">
        <v>10431</v>
      </c>
      <c r="C102" s="2">
        <v>1</v>
      </c>
      <c r="D102" s="23">
        <v>25.99</v>
      </c>
      <c r="E102" s="3">
        <v>25.99</v>
      </c>
      <c r="F102" s="2" t="s">
        <v>17869</v>
      </c>
      <c r="G102" s="22" t="s">
        <v>19431</v>
      </c>
      <c r="H102" s="24" t="s">
        <v>12828</v>
      </c>
      <c r="I102" s="22" t="s">
        <v>19309</v>
      </c>
      <c r="J102" s="22" t="s">
        <v>19595</v>
      </c>
      <c r="K102" s="22" t="s">
        <v>18498</v>
      </c>
      <c r="L102" s="22"/>
      <c r="M102" s="22"/>
      <c r="N102" s="25" t="str">
        <f>HYPERLINK("http://slimages.macys.com/is/image/MCY/21365850 ")</f>
        <v xml:space="preserve">http://slimages.macys.com/is/image/MCY/21365850 </v>
      </c>
    </row>
    <row r="103" spans="1:14" ht="24.75" x14ac:dyDescent="0.25">
      <c r="A103" s="21" t="s">
        <v>10432</v>
      </c>
      <c r="B103" s="22" t="s">
        <v>10433</v>
      </c>
      <c r="C103" s="2">
        <v>1</v>
      </c>
      <c r="D103" s="23">
        <v>24.99</v>
      </c>
      <c r="E103" s="3">
        <v>24.99</v>
      </c>
      <c r="F103" s="2" t="s">
        <v>10434</v>
      </c>
      <c r="G103" s="22" t="s">
        <v>19342</v>
      </c>
      <c r="H103" s="24" t="s">
        <v>19330</v>
      </c>
      <c r="I103" s="22" t="s">
        <v>19309</v>
      </c>
      <c r="J103" s="22" t="s">
        <v>19385</v>
      </c>
      <c r="K103" s="22" t="s">
        <v>19729</v>
      </c>
      <c r="L103" s="22"/>
      <c r="M103" s="22"/>
      <c r="N103" s="25" t="str">
        <f>HYPERLINK("http://slimages.macys.com/is/image/MCY/19061080 ")</f>
        <v xml:space="preserve">http://slimages.macys.com/is/image/MCY/19061080 </v>
      </c>
    </row>
    <row r="104" spans="1:14" ht="24.75" x14ac:dyDescent="0.25">
      <c r="A104" s="21" t="s">
        <v>11514</v>
      </c>
      <c r="B104" s="22" t="s">
        <v>11515</v>
      </c>
      <c r="C104" s="2">
        <v>1</v>
      </c>
      <c r="D104" s="23">
        <v>20.62</v>
      </c>
      <c r="E104" s="3">
        <v>20.62</v>
      </c>
      <c r="F104" s="2" t="s">
        <v>11516</v>
      </c>
      <c r="G104" s="22"/>
      <c r="H104" s="24" t="s">
        <v>19334</v>
      </c>
      <c r="I104" s="22" t="s">
        <v>19309</v>
      </c>
      <c r="J104" s="22" t="s">
        <v>19602</v>
      </c>
      <c r="K104" s="22" t="s">
        <v>19603</v>
      </c>
      <c r="L104" s="22"/>
      <c r="M104" s="22"/>
      <c r="N104" s="25" t="str">
        <f>HYPERLINK("http://slimages.macys.com/is/image/MCY/19973423 ")</f>
        <v xml:space="preserve">http://slimages.macys.com/is/image/MCY/19973423 </v>
      </c>
    </row>
    <row r="105" spans="1:14" ht="24.75" x14ac:dyDescent="0.25">
      <c r="A105" s="21" t="s">
        <v>10435</v>
      </c>
      <c r="B105" s="22" t="s">
        <v>10436</v>
      </c>
      <c r="C105" s="2">
        <v>1</v>
      </c>
      <c r="D105" s="23">
        <v>19.989999999999998</v>
      </c>
      <c r="E105" s="3">
        <v>19.989999999999998</v>
      </c>
      <c r="F105" s="2" t="s">
        <v>10437</v>
      </c>
      <c r="G105" s="22" t="s">
        <v>19333</v>
      </c>
      <c r="H105" s="24" t="s">
        <v>19432</v>
      </c>
      <c r="I105" s="22" t="s">
        <v>19309</v>
      </c>
      <c r="J105" s="22" t="s">
        <v>19353</v>
      </c>
      <c r="K105" s="22" t="s">
        <v>19524</v>
      </c>
      <c r="L105" s="22"/>
      <c r="M105" s="22"/>
      <c r="N105" s="25" t="str">
        <f>HYPERLINK("http://slimages.macys.com/is/image/MCY/1092232 ")</f>
        <v xml:space="preserve">http://slimages.macys.com/is/image/MCY/1092232 </v>
      </c>
    </row>
    <row r="106" spans="1:14" ht="24.75" x14ac:dyDescent="0.25">
      <c r="A106" s="21" t="s">
        <v>10438</v>
      </c>
      <c r="B106" s="22" t="s">
        <v>10439</v>
      </c>
      <c r="C106" s="2">
        <v>1</v>
      </c>
      <c r="D106" s="23">
        <v>20.420000000000002</v>
      </c>
      <c r="E106" s="3">
        <v>20.420000000000002</v>
      </c>
      <c r="F106" s="2" t="s">
        <v>10440</v>
      </c>
      <c r="G106" s="22"/>
      <c r="H106" s="24" t="s">
        <v>19392</v>
      </c>
      <c r="I106" s="22" t="s">
        <v>19309</v>
      </c>
      <c r="J106" s="22" t="s">
        <v>19602</v>
      </c>
      <c r="K106" s="22" t="s">
        <v>20041</v>
      </c>
      <c r="L106" s="22"/>
      <c r="M106" s="22"/>
      <c r="N106" s="25" t="str">
        <f>HYPERLINK("http://slimages.macys.com/is/image/MCY/21421564 ")</f>
        <v xml:space="preserve">http://slimages.macys.com/is/image/MCY/21421564 </v>
      </c>
    </row>
    <row r="107" spans="1:14" ht="24.75" x14ac:dyDescent="0.25">
      <c r="A107" s="21" t="s">
        <v>19835</v>
      </c>
      <c r="B107" s="22" t="s">
        <v>19836</v>
      </c>
      <c r="C107" s="2">
        <v>2</v>
      </c>
      <c r="D107" s="23">
        <v>24.99</v>
      </c>
      <c r="E107" s="3">
        <v>49.98</v>
      </c>
      <c r="F107" s="2" t="s">
        <v>19833</v>
      </c>
      <c r="G107" s="22"/>
      <c r="H107" s="24" t="s">
        <v>19501</v>
      </c>
      <c r="I107" s="22" t="s">
        <v>19309</v>
      </c>
      <c r="J107" s="22" t="s">
        <v>19519</v>
      </c>
      <c r="K107" s="22" t="s">
        <v>19834</v>
      </c>
      <c r="L107" s="22"/>
      <c r="M107" s="22"/>
      <c r="N107" s="25" t="str">
        <f>HYPERLINK("http://slimages.macys.com/is/image/MCY/20950688 ")</f>
        <v xml:space="preserve">http://slimages.macys.com/is/image/MCY/20950688 </v>
      </c>
    </row>
    <row r="108" spans="1:14" ht="24.75" x14ac:dyDescent="0.25">
      <c r="A108" s="21" t="s">
        <v>17893</v>
      </c>
      <c r="B108" s="22" t="s">
        <v>17894</v>
      </c>
      <c r="C108" s="2">
        <v>1</v>
      </c>
      <c r="D108" s="23">
        <v>24.99</v>
      </c>
      <c r="E108" s="3">
        <v>24.99</v>
      </c>
      <c r="F108" s="2" t="s">
        <v>19833</v>
      </c>
      <c r="G108" s="22"/>
      <c r="H108" s="24" t="s">
        <v>19316</v>
      </c>
      <c r="I108" s="22" t="s">
        <v>19309</v>
      </c>
      <c r="J108" s="22" t="s">
        <v>19519</v>
      </c>
      <c r="K108" s="22" t="s">
        <v>19834</v>
      </c>
      <c r="L108" s="22"/>
      <c r="M108" s="22"/>
      <c r="N108" s="25" t="str">
        <f>HYPERLINK("http://slimages.macys.com/is/image/MCY/20950688 ")</f>
        <v xml:space="preserve">http://slimages.macys.com/is/image/MCY/20950688 </v>
      </c>
    </row>
    <row r="109" spans="1:14" ht="24.75" x14ac:dyDescent="0.25">
      <c r="A109" s="21" t="s">
        <v>15269</v>
      </c>
      <c r="B109" s="22" t="s">
        <v>15270</v>
      </c>
      <c r="C109" s="2">
        <v>1</v>
      </c>
      <c r="D109" s="23">
        <v>24.99</v>
      </c>
      <c r="E109" s="3">
        <v>24.99</v>
      </c>
      <c r="F109" s="2" t="s">
        <v>19833</v>
      </c>
      <c r="G109" s="22"/>
      <c r="H109" s="24" t="s">
        <v>19432</v>
      </c>
      <c r="I109" s="22" t="s">
        <v>19309</v>
      </c>
      <c r="J109" s="22" t="s">
        <v>19519</v>
      </c>
      <c r="K109" s="22" t="s">
        <v>19834</v>
      </c>
      <c r="L109" s="22"/>
      <c r="M109" s="22"/>
      <c r="N109" s="25" t="str">
        <f>HYPERLINK("http://slimages.macys.com/is/image/MCY/20950688 ")</f>
        <v xml:space="preserve">http://slimages.macys.com/is/image/MCY/20950688 </v>
      </c>
    </row>
    <row r="110" spans="1:14" ht="24.75" x14ac:dyDescent="0.25">
      <c r="A110" s="21" t="s">
        <v>19831</v>
      </c>
      <c r="B110" s="22" t="s">
        <v>19832</v>
      </c>
      <c r="C110" s="2">
        <v>1</v>
      </c>
      <c r="D110" s="23">
        <v>24.99</v>
      </c>
      <c r="E110" s="3">
        <v>24.99</v>
      </c>
      <c r="F110" s="2" t="s">
        <v>19833</v>
      </c>
      <c r="G110" s="22"/>
      <c r="H110" s="24" t="s">
        <v>19478</v>
      </c>
      <c r="I110" s="22" t="s">
        <v>19309</v>
      </c>
      <c r="J110" s="22" t="s">
        <v>19519</v>
      </c>
      <c r="K110" s="22" t="s">
        <v>19834</v>
      </c>
      <c r="L110" s="22"/>
      <c r="M110" s="22"/>
      <c r="N110" s="25" t="str">
        <f>HYPERLINK("http://slimages.macys.com/is/image/MCY/20950688 ")</f>
        <v xml:space="preserve">http://slimages.macys.com/is/image/MCY/20950688 </v>
      </c>
    </row>
    <row r="111" spans="1:14" ht="24.75" x14ac:dyDescent="0.25">
      <c r="A111" s="21" t="s">
        <v>17895</v>
      </c>
      <c r="B111" s="22" t="s">
        <v>17896</v>
      </c>
      <c r="C111" s="2">
        <v>3</v>
      </c>
      <c r="D111" s="23">
        <v>24.99</v>
      </c>
      <c r="E111" s="3">
        <v>74.97</v>
      </c>
      <c r="F111" s="2" t="s">
        <v>19833</v>
      </c>
      <c r="G111" s="22"/>
      <c r="H111" s="24" t="s">
        <v>19399</v>
      </c>
      <c r="I111" s="22" t="s">
        <v>19309</v>
      </c>
      <c r="J111" s="22" t="s">
        <v>19519</v>
      </c>
      <c r="K111" s="22" t="s">
        <v>19834</v>
      </c>
      <c r="L111" s="22"/>
      <c r="M111" s="22"/>
      <c r="N111" s="25" t="str">
        <f>HYPERLINK("http://slimages.macys.com/is/image/MCY/20950688 ")</f>
        <v xml:space="preserve">http://slimages.macys.com/is/image/MCY/20950688 </v>
      </c>
    </row>
    <row r="112" spans="1:14" ht="24.75" x14ac:dyDescent="0.25">
      <c r="A112" s="21" t="s">
        <v>13012</v>
      </c>
      <c r="B112" s="22" t="s">
        <v>13013</v>
      </c>
      <c r="C112" s="2">
        <v>1</v>
      </c>
      <c r="D112" s="23">
        <v>21.99</v>
      </c>
      <c r="E112" s="3">
        <v>21.99</v>
      </c>
      <c r="F112" s="2" t="s">
        <v>15851</v>
      </c>
      <c r="G112" s="22" t="s">
        <v>19357</v>
      </c>
      <c r="H112" s="24" t="s">
        <v>19377</v>
      </c>
      <c r="I112" s="22" t="s">
        <v>19309</v>
      </c>
      <c r="J112" s="22" t="s">
        <v>19595</v>
      </c>
      <c r="K112" s="22" t="s">
        <v>19596</v>
      </c>
      <c r="L112" s="22"/>
      <c r="M112" s="22"/>
      <c r="N112" s="25" t="str">
        <f>HYPERLINK("http://slimages.macys.com/is/image/MCY/21909784 ")</f>
        <v xml:space="preserve">http://slimages.macys.com/is/image/MCY/21909784 </v>
      </c>
    </row>
    <row r="113" spans="1:14" ht="24.75" x14ac:dyDescent="0.25">
      <c r="A113" s="21" t="s">
        <v>10441</v>
      </c>
      <c r="B113" s="22" t="s">
        <v>10442</v>
      </c>
      <c r="C113" s="2">
        <v>1</v>
      </c>
      <c r="D113" s="23">
        <v>19.989999999999998</v>
      </c>
      <c r="E113" s="3">
        <v>19.989999999999998</v>
      </c>
      <c r="F113" s="2" t="s">
        <v>10443</v>
      </c>
      <c r="G113" s="22" t="s">
        <v>19338</v>
      </c>
      <c r="H113" s="24" t="s">
        <v>16005</v>
      </c>
      <c r="I113" s="22" t="s">
        <v>19309</v>
      </c>
      <c r="J113" s="22" t="s">
        <v>16678</v>
      </c>
      <c r="K113" s="22" t="s">
        <v>16006</v>
      </c>
      <c r="L113" s="22" t="s">
        <v>19319</v>
      </c>
      <c r="M113" s="22" t="s">
        <v>10444</v>
      </c>
      <c r="N113" s="25" t="str">
        <f>HYPERLINK("http://slimages.macys.com/is/image/MCY/12753113 ")</f>
        <v xml:space="preserve">http://slimages.macys.com/is/image/MCY/12753113 </v>
      </c>
    </row>
    <row r="114" spans="1:14" ht="24.75" x14ac:dyDescent="0.25">
      <c r="A114" s="21" t="s">
        <v>10445</v>
      </c>
      <c r="B114" s="22" t="s">
        <v>10446</v>
      </c>
      <c r="C114" s="2">
        <v>1</v>
      </c>
      <c r="D114" s="23">
        <v>23.99</v>
      </c>
      <c r="E114" s="3">
        <v>23.99</v>
      </c>
      <c r="F114" s="2" t="s">
        <v>10447</v>
      </c>
      <c r="G114" s="22" t="s">
        <v>19955</v>
      </c>
      <c r="H114" s="24" t="s">
        <v>19432</v>
      </c>
      <c r="I114" s="22" t="s">
        <v>19309</v>
      </c>
      <c r="J114" s="22" t="s">
        <v>19447</v>
      </c>
      <c r="K114" s="22" t="s">
        <v>18333</v>
      </c>
      <c r="L114" s="22"/>
      <c r="M114" s="22"/>
      <c r="N114" s="25" t="str">
        <f>HYPERLINK("http://slimages.macys.com/is/image/MCY/21000260 ")</f>
        <v xml:space="preserve">http://slimages.macys.com/is/image/MCY/21000260 </v>
      </c>
    </row>
    <row r="115" spans="1:14" ht="24.75" x14ac:dyDescent="0.25">
      <c r="A115" s="21" t="s">
        <v>10448</v>
      </c>
      <c r="B115" s="22" t="s">
        <v>10449</v>
      </c>
      <c r="C115" s="2">
        <v>2</v>
      </c>
      <c r="D115" s="23">
        <v>22.99</v>
      </c>
      <c r="E115" s="3">
        <v>45.98</v>
      </c>
      <c r="F115" s="2" t="s">
        <v>10450</v>
      </c>
      <c r="G115" s="22" t="s">
        <v>19585</v>
      </c>
      <c r="H115" s="24" t="s">
        <v>19538</v>
      </c>
      <c r="I115" s="22" t="s">
        <v>19309</v>
      </c>
      <c r="J115" s="22" t="s">
        <v>19573</v>
      </c>
      <c r="K115" s="22" t="s">
        <v>19574</v>
      </c>
      <c r="L115" s="22"/>
      <c r="M115" s="22"/>
      <c r="N115" s="25" t="str">
        <f>HYPERLINK("http://slimages.macys.com/is/image/MCY/20757581 ")</f>
        <v xml:space="preserve">http://slimages.macys.com/is/image/MCY/20757581 </v>
      </c>
    </row>
    <row r="116" spans="1:14" ht="24.75" x14ac:dyDescent="0.25">
      <c r="A116" s="21" t="s">
        <v>10451</v>
      </c>
      <c r="B116" s="22" t="s">
        <v>10452</v>
      </c>
      <c r="C116" s="2">
        <v>1</v>
      </c>
      <c r="D116" s="23">
        <v>22.99</v>
      </c>
      <c r="E116" s="3">
        <v>22.99</v>
      </c>
      <c r="F116" s="2" t="s">
        <v>10450</v>
      </c>
      <c r="G116" s="22" t="s">
        <v>19585</v>
      </c>
      <c r="H116" s="24"/>
      <c r="I116" s="22" t="s">
        <v>19309</v>
      </c>
      <c r="J116" s="22" t="s">
        <v>19573</v>
      </c>
      <c r="K116" s="22" t="s">
        <v>19574</v>
      </c>
      <c r="L116" s="22"/>
      <c r="M116" s="22"/>
      <c r="N116" s="25" t="str">
        <f>HYPERLINK("http://slimages.macys.com/is/image/MCY/20757581 ")</f>
        <v xml:space="preserve">http://slimages.macys.com/is/image/MCY/20757581 </v>
      </c>
    </row>
    <row r="117" spans="1:14" ht="24.75" x14ac:dyDescent="0.25">
      <c r="A117" s="21" t="s">
        <v>10453</v>
      </c>
      <c r="B117" s="22" t="s">
        <v>10454</v>
      </c>
      <c r="C117" s="2">
        <v>1</v>
      </c>
      <c r="D117" s="23">
        <v>21.99</v>
      </c>
      <c r="E117" s="3">
        <v>21.99</v>
      </c>
      <c r="F117" s="2" t="s">
        <v>10455</v>
      </c>
      <c r="G117" s="22" t="s">
        <v>19594</v>
      </c>
      <c r="H117" s="24" t="s">
        <v>19352</v>
      </c>
      <c r="I117" s="22" t="s">
        <v>19309</v>
      </c>
      <c r="J117" s="22" t="s">
        <v>19353</v>
      </c>
      <c r="K117" s="22" t="s">
        <v>19524</v>
      </c>
      <c r="L117" s="22"/>
      <c r="M117" s="22"/>
      <c r="N117" s="25" t="str">
        <f>HYPERLINK("http://slimages.macys.com/is/image/MCY/21233437 ")</f>
        <v xml:space="preserve">http://slimages.macys.com/is/image/MCY/21233437 </v>
      </c>
    </row>
    <row r="118" spans="1:14" ht="24.75" x14ac:dyDescent="0.25">
      <c r="A118" s="21" t="s">
        <v>10456</v>
      </c>
      <c r="B118" s="22" t="s">
        <v>10457</v>
      </c>
      <c r="C118" s="2">
        <v>3</v>
      </c>
      <c r="D118" s="23">
        <v>32.5</v>
      </c>
      <c r="E118" s="3">
        <v>97.5</v>
      </c>
      <c r="F118" s="2" t="s">
        <v>11525</v>
      </c>
      <c r="G118" s="22" t="s">
        <v>19383</v>
      </c>
      <c r="H118" s="24" t="s">
        <v>18139</v>
      </c>
      <c r="I118" s="22" t="s">
        <v>19309</v>
      </c>
      <c r="J118" s="22" t="s">
        <v>20104</v>
      </c>
      <c r="K118" s="22" t="s">
        <v>20105</v>
      </c>
      <c r="L118" s="22"/>
      <c r="M118" s="22"/>
      <c r="N118" s="25" t="str">
        <f>HYPERLINK("http://slimages.macys.com/is/image/MCY/20694083 ")</f>
        <v xml:space="preserve">http://slimages.macys.com/is/image/MCY/20694083 </v>
      </c>
    </row>
    <row r="119" spans="1:14" ht="24.75" x14ac:dyDescent="0.25">
      <c r="A119" s="21" t="s">
        <v>10458</v>
      </c>
      <c r="B119" s="22" t="s">
        <v>10459</v>
      </c>
      <c r="C119" s="2">
        <v>2</v>
      </c>
      <c r="D119" s="23">
        <v>32.5</v>
      </c>
      <c r="E119" s="3">
        <v>65</v>
      </c>
      <c r="F119" s="2" t="s">
        <v>11525</v>
      </c>
      <c r="G119" s="22" t="s">
        <v>19383</v>
      </c>
      <c r="H119" s="24" t="s">
        <v>11751</v>
      </c>
      <c r="I119" s="22" t="s">
        <v>19309</v>
      </c>
      <c r="J119" s="22" t="s">
        <v>20104</v>
      </c>
      <c r="K119" s="22" t="s">
        <v>20105</v>
      </c>
      <c r="L119" s="22"/>
      <c r="M119" s="22"/>
      <c r="N119" s="25" t="str">
        <f>HYPERLINK("http://slimages.macys.com/is/image/MCY/20694083 ")</f>
        <v xml:space="preserve">http://slimages.macys.com/is/image/MCY/20694083 </v>
      </c>
    </row>
    <row r="120" spans="1:14" ht="24.75" x14ac:dyDescent="0.25">
      <c r="A120" s="21" t="s">
        <v>10460</v>
      </c>
      <c r="B120" s="22" t="s">
        <v>10461</v>
      </c>
      <c r="C120" s="2">
        <v>1</v>
      </c>
      <c r="D120" s="23">
        <v>19.989999999999998</v>
      </c>
      <c r="E120" s="3">
        <v>19.989999999999998</v>
      </c>
      <c r="F120" s="2" t="s">
        <v>10462</v>
      </c>
      <c r="G120" s="22" t="s">
        <v>19477</v>
      </c>
      <c r="H120" s="24" t="s">
        <v>19538</v>
      </c>
      <c r="I120" s="22" t="s">
        <v>19309</v>
      </c>
      <c r="J120" s="22" t="s">
        <v>19573</v>
      </c>
      <c r="K120" s="22" t="s">
        <v>19574</v>
      </c>
      <c r="L120" s="22"/>
      <c r="M120" s="22"/>
      <c r="N120" s="25" t="str">
        <f>HYPERLINK("http://slimages.macys.com/is/image/MCY/20736427 ")</f>
        <v xml:space="preserve">http://slimages.macys.com/is/image/MCY/20736427 </v>
      </c>
    </row>
    <row r="121" spans="1:14" ht="24.75" x14ac:dyDescent="0.25">
      <c r="A121" s="21" t="s">
        <v>19895</v>
      </c>
      <c r="B121" s="22" t="s">
        <v>19896</v>
      </c>
      <c r="C121" s="2">
        <v>2</v>
      </c>
      <c r="D121" s="23">
        <v>19.989999999999998</v>
      </c>
      <c r="E121" s="3">
        <v>39.979999999999997</v>
      </c>
      <c r="F121" s="2" t="s">
        <v>19897</v>
      </c>
      <c r="G121" s="22" t="s">
        <v>19670</v>
      </c>
      <c r="H121" s="24"/>
      <c r="I121" s="22" t="s">
        <v>19309</v>
      </c>
      <c r="J121" s="22" t="s">
        <v>19573</v>
      </c>
      <c r="K121" s="22" t="s">
        <v>19574</v>
      </c>
      <c r="L121" s="22"/>
      <c r="M121" s="22"/>
      <c r="N121" s="25" t="str">
        <f>HYPERLINK("http://slimages.macys.com/is/image/MCY/20757750 ")</f>
        <v xml:space="preserve">http://slimages.macys.com/is/image/MCY/20757750 </v>
      </c>
    </row>
    <row r="122" spans="1:14" ht="24.75" x14ac:dyDescent="0.25">
      <c r="A122" s="21" t="s">
        <v>10463</v>
      </c>
      <c r="B122" s="22" t="s">
        <v>10464</v>
      </c>
      <c r="C122" s="2">
        <v>2</v>
      </c>
      <c r="D122" s="23">
        <v>19.989999999999998</v>
      </c>
      <c r="E122" s="3">
        <v>39.979999999999997</v>
      </c>
      <c r="F122" s="2" t="s">
        <v>19900</v>
      </c>
      <c r="G122" s="22" t="s">
        <v>19467</v>
      </c>
      <c r="H122" s="24" t="s">
        <v>19538</v>
      </c>
      <c r="I122" s="22" t="s">
        <v>19309</v>
      </c>
      <c r="J122" s="22" t="s">
        <v>19573</v>
      </c>
      <c r="K122" s="22" t="s">
        <v>19574</v>
      </c>
      <c r="L122" s="22"/>
      <c r="M122" s="22"/>
      <c r="N122" s="25" t="str">
        <f>HYPERLINK("http://slimages.macys.com/is/image/MCY/1248248 ")</f>
        <v xml:space="preserve">http://slimages.macys.com/is/image/MCY/1248248 </v>
      </c>
    </row>
    <row r="123" spans="1:14" ht="24.75" x14ac:dyDescent="0.25">
      <c r="A123" s="21" t="s">
        <v>10465</v>
      </c>
      <c r="B123" s="22" t="s">
        <v>10466</v>
      </c>
      <c r="C123" s="2">
        <v>2</v>
      </c>
      <c r="D123" s="23">
        <v>19.989999999999998</v>
      </c>
      <c r="E123" s="3">
        <v>39.979999999999997</v>
      </c>
      <c r="F123" s="2" t="s">
        <v>19900</v>
      </c>
      <c r="G123" s="22" t="s">
        <v>19467</v>
      </c>
      <c r="H123" s="24" t="s">
        <v>19770</v>
      </c>
      <c r="I123" s="22" t="s">
        <v>19309</v>
      </c>
      <c r="J123" s="22" t="s">
        <v>19573</v>
      </c>
      <c r="K123" s="22" t="s">
        <v>19574</v>
      </c>
      <c r="L123" s="22"/>
      <c r="M123" s="22"/>
      <c r="N123" s="25" t="str">
        <f>HYPERLINK("http://slimages.macys.com/is/image/MCY/1248248 ")</f>
        <v xml:space="preserve">http://slimages.macys.com/is/image/MCY/1248248 </v>
      </c>
    </row>
    <row r="124" spans="1:14" ht="24.75" x14ac:dyDescent="0.25">
      <c r="A124" s="21" t="s">
        <v>19898</v>
      </c>
      <c r="B124" s="22" t="s">
        <v>19899</v>
      </c>
      <c r="C124" s="2">
        <v>2</v>
      </c>
      <c r="D124" s="23">
        <v>19.989999999999998</v>
      </c>
      <c r="E124" s="3">
        <v>39.979999999999997</v>
      </c>
      <c r="F124" s="2" t="s">
        <v>19900</v>
      </c>
      <c r="G124" s="22" t="s">
        <v>19467</v>
      </c>
      <c r="H124" s="24"/>
      <c r="I124" s="22" t="s">
        <v>19309</v>
      </c>
      <c r="J124" s="22" t="s">
        <v>19573</v>
      </c>
      <c r="K124" s="22" t="s">
        <v>19574</v>
      </c>
      <c r="L124" s="22"/>
      <c r="M124" s="22"/>
      <c r="N124" s="25" t="str">
        <f>HYPERLINK("http://slimages.macys.com/is/image/MCY/1248248 ")</f>
        <v xml:space="preserve">http://slimages.macys.com/is/image/MCY/1248248 </v>
      </c>
    </row>
    <row r="125" spans="1:14" ht="24.75" x14ac:dyDescent="0.25">
      <c r="A125" s="21" t="s">
        <v>10467</v>
      </c>
      <c r="B125" s="22" t="s">
        <v>10468</v>
      </c>
      <c r="C125" s="2">
        <v>1</v>
      </c>
      <c r="D125" s="23">
        <v>19.989999999999998</v>
      </c>
      <c r="E125" s="3">
        <v>19.989999999999998</v>
      </c>
      <c r="F125" s="2" t="s">
        <v>10469</v>
      </c>
      <c r="G125" s="22" t="s">
        <v>19585</v>
      </c>
      <c r="H125" s="24"/>
      <c r="I125" s="22" t="s">
        <v>19309</v>
      </c>
      <c r="J125" s="22" t="s">
        <v>19573</v>
      </c>
      <c r="K125" s="22" t="s">
        <v>19574</v>
      </c>
      <c r="L125" s="22"/>
      <c r="M125" s="22"/>
      <c r="N125" s="25" t="str">
        <f>HYPERLINK("http://slimages.macys.com/is/image/MCY/20757681 ")</f>
        <v xml:space="preserve">http://slimages.macys.com/is/image/MCY/20757681 </v>
      </c>
    </row>
    <row r="126" spans="1:14" ht="24.75" x14ac:dyDescent="0.25">
      <c r="A126" s="21" t="s">
        <v>10470</v>
      </c>
      <c r="B126" s="22" t="s">
        <v>10471</v>
      </c>
      <c r="C126" s="2">
        <v>1</v>
      </c>
      <c r="D126" s="23">
        <v>16.989999999999998</v>
      </c>
      <c r="E126" s="3">
        <v>16.989999999999998</v>
      </c>
      <c r="F126" s="2" t="s">
        <v>19911</v>
      </c>
      <c r="G126" s="22" t="s">
        <v>19422</v>
      </c>
      <c r="H126" s="24" t="s">
        <v>19770</v>
      </c>
      <c r="I126" s="22" t="s">
        <v>19309</v>
      </c>
      <c r="J126" s="22" t="s">
        <v>19573</v>
      </c>
      <c r="K126" s="22" t="s">
        <v>19574</v>
      </c>
      <c r="L126" s="22"/>
      <c r="M126" s="22"/>
      <c r="N126" s="25" t="str">
        <f>HYPERLINK("http://slimages.macys.com/is/image/MCY/1646328 ")</f>
        <v xml:space="preserve">http://slimages.macys.com/is/image/MCY/1646328 </v>
      </c>
    </row>
    <row r="127" spans="1:14" ht="24.75" x14ac:dyDescent="0.25">
      <c r="A127" s="21" t="s">
        <v>10472</v>
      </c>
      <c r="B127" s="22" t="s">
        <v>10473</v>
      </c>
      <c r="C127" s="2">
        <v>1</v>
      </c>
      <c r="D127" s="23">
        <v>19.989999999999998</v>
      </c>
      <c r="E127" s="3">
        <v>19.989999999999998</v>
      </c>
      <c r="F127" s="2">
        <v>10014158200</v>
      </c>
      <c r="G127" s="22" t="s">
        <v>19351</v>
      </c>
      <c r="H127" s="24" t="s">
        <v>19770</v>
      </c>
      <c r="I127" s="22" t="s">
        <v>19309</v>
      </c>
      <c r="J127" s="22" t="s">
        <v>19573</v>
      </c>
      <c r="K127" s="22" t="s">
        <v>19574</v>
      </c>
      <c r="L127" s="22"/>
      <c r="M127" s="22"/>
      <c r="N127" s="25" t="str">
        <f>HYPERLINK("http://slimages.macys.com/is/image/MCY/20757719 ")</f>
        <v xml:space="preserve">http://slimages.macys.com/is/image/MCY/20757719 </v>
      </c>
    </row>
    <row r="128" spans="1:14" ht="24.75" x14ac:dyDescent="0.25">
      <c r="A128" s="21" t="s">
        <v>13029</v>
      </c>
      <c r="B128" s="22" t="s">
        <v>13030</v>
      </c>
      <c r="C128" s="2">
        <v>1</v>
      </c>
      <c r="D128" s="23">
        <v>16.989999999999998</v>
      </c>
      <c r="E128" s="3">
        <v>16.989999999999998</v>
      </c>
      <c r="F128" s="2" t="s">
        <v>13031</v>
      </c>
      <c r="G128" s="22" t="s">
        <v>19351</v>
      </c>
      <c r="H128" s="24"/>
      <c r="I128" s="22" t="s">
        <v>19309</v>
      </c>
      <c r="J128" s="22" t="s">
        <v>19573</v>
      </c>
      <c r="K128" s="22" t="s">
        <v>19574</v>
      </c>
      <c r="L128" s="22"/>
      <c r="M128" s="22"/>
      <c r="N128" s="25" t="str">
        <f>HYPERLINK("http://slimages.macys.com/is/image/MCY/1679025 ")</f>
        <v xml:space="preserve">http://slimages.macys.com/is/image/MCY/1679025 </v>
      </c>
    </row>
    <row r="129" spans="1:14" ht="24.75" x14ac:dyDescent="0.25">
      <c r="A129" s="21" t="s">
        <v>11957</v>
      </c>
      <c r="B129" s="22" t="s">
        <v>11958</v>
      </c>
      <c r="C129" s="2">
        <v>1</v>
      </c>
      <c r="D129" s="23">
        <v>16.989999999999998</v>
      </c>
      <c r="E129" s="3">
        <v>16.989999999999998</v>
      </c>
      <c r="F129" s="2" t="s">
        <v>13031</v>
      </c>
      <c r="G129" s="22" t="s">
        <v>19351</v>
      </c>
      <c r="H129" s="24" t="s">
        <v>19770</v>
      </c>
      <c r="I129" s="22" t="s">
        <v>19309</v>
      </c>
      <c r="J129" s="22" t="s">
        <v>19573</v>
      </c>
      <c r="K129" s="22" t="s">
        <v>19574</v>
      </c>
      <c r="L129" s="22"/>
      <c r="M129" s="22"/>
      <c r="N129" s="25" t="str">
        <f>HYPERLINK("http://slimages.macys.com/is/image/MCY/1679024 ")</f>
        <v xml:space="preserve">http://slimages.macys.com/is/image/MCY/1679024 </v>
      </c>
    </row>
    <row r="130" spans="1:14" ht="24.75" x14ac:dyDescent="0.25">
      <c r="A130" s="21" t="s">
        <v>11953</v>
      </c>
      <c r="B130" s="22" t="s">
        <v>11954</v>
      </c>
      <c r="C130" s="2">
        <v>2</v>
      </c>
      <c r="D130" s="23">
        <v>16.989999999999998</v>
      </c>
      <c r="E130" s="3">
        <v>33.979999999999997</v>
      </c>
      <c r="F130" s="2" t="s">
        <v>13031</v>
      </c>
      <c r="G130" s="22" t="s">
        <v>19351</v>
      </c>
      <c r="H130" s="24" t="s">
        <v>19538</v>
      </c>
      <c r="I130" s="22" t="s">
        <v>19309</v>
      </c>
      <c r="J130" s="22" t="s">
        <v>19573</v>
      </c>
      <c r="K130" s="22" t="s">
        <v>19574</v>
      </c>
      <c r="L130" s="22"/>
      <c r="M130" s="22"/>
      <c r="N130" s="25" t="str">
        <f>HYPERLINK("http://slimages.macys.com/is/image/MCY/1679025 ")</f>
        <v xml:space="preserve">http://slimages.macys.com/is/image/MCY/1679025 </v>
      </c>
    </row>
    <row r="131" spans="1:14" ht="24.75" x14ac:dyDescent="0.25">
      <c r="A131" s="21" t="s">
        <v>17967</v>
      </c>
      <c r="B131" s="22" t="s">
        <v>17968</v>
      </c>
      <c r="C131" s="2">
        <v>1</v>
      </c>
      <c r="D131" s="23">
        <v>18.989999999999998</v>
      </c>
      <c r="E131" s="3">
        <v>18.989999999999998</v>
      </c>
      <c r="F131" s="2" t="s">
        <v>19914</v>
      </c>
      <c r="G131" s="22" t="s">
        <v>19713</v>
      </c>
      <c r="H131" s="24" t="s">
        <v>19770</v>
      </c>
      <c r="I131" s="22" t="s">
        <v>19309</v>
      </c>
      <c r="J131" s="22" t="s">
        <v>19573</v>
      </c>
      <c r="K131" s="22" t="s">
        <v>19574</v>
      </c>
      <c r="L131" s="22"/>
      <c r="M131" s="22"/>
      <c r="N131" s="25" t="str">
        <f>HYPERLINK("http://slimages.macys.com/is/image/MCY/1322715 ")</f>
        <v xml:space="preserve">http://slimages.macys.com/is/image/MCY/1322715 </v>
      </c>
    </row>
    <row r="132" spans="1:14" ht="24.75" x14ac:dyDescent="0.25">
      <c r="A132" s="21" t="s">
        <v>19915</v>
      </c>
      <c r="B132" s="22" t="s">
        <v>19916</v>
      </c>
      <c r="C132" s="2">
        <v>1</v>
      </c>
      <c r="D132" s="23">
        <v>18.989999999999998</v>
      </c>
      <c r="E132" s="3">
        <v>18.989999999999998</v>
      </c>
      <c r="F132" s="2" t="s">
        <v>19914</v>
      </c>
      <c r="G132" s="22" t="s">
        <v>19713</v>
      </c>
      <c r="H132" s="24"/>
      <c r="I132" s="22" t="s">
        <v>19309</v>
      </c>
      <c r="J132" s="22" t="s">
        <v>19573</v>
      </c>
      <c r="K132" s="22" t="s">
        <v>19574</v>
      </c>
      <c r="L132" s="22"/>
      <c r="M132" s="22"/>
      <c r="N132" s="25" t="str">
        <f>HYPERLINK("http://slimages.macys.com/is/image/MCY/1322715 ")</f>
        <v xml:space="preserve">http://slimages.macys.com/is/image/MCY/1322715 </v>
      </c>
    </row>
    <row r="133" spans="1:14" ht="24.75" x14ac:dyDescent="0.25">
      <c r="A133" s="21" t="s">
        <v>17971</v>
      </c>
      <c r="B133" s="22" t="s">
        <v>17972</v>
      </c>
      <c r="C133" s="2">
        <v>1</v>
      </c>
      <c r="D133" s="23">
        <v>18.989999999999998</v>
      </c>
      <c r="E133" s="3">
        <v>18.989999999999998</v>
      </c>
      <c r="F133" s="2">
        <v>10015242200</v>
      </c>
      <c r="G133" s="22" t="s">
        <v>19315</v>
      </c>
      <c r="H133" s="24" t="s">
        <v>19770</v>
      </c>
      <c r="I133" s="22" t="s">
        <v>19309</v>
      </c>
      <c r="J133" s="22" t="s">
        <v>19573</v>
      </c>
      <c r="K133" s="22" t="s">
        <v>19574</v>
      </c>
      <c r="L133" s="22"/>
      <c r="M133" s="22"/>
      <c r="N133" s="25" t="str">
        <f>HYPERLINK("http://slimages.macys.com/is/image/MCY/1322715 ")</f>
        <v xml:space="preserve">http://slimages.macys.com/is/image/MCY/1322715 </v>
      </c>
    </row>
    <row r="134" spans="1:14" ht="24.75" x14ac:dyDescent="0.25">
      <c r="A134" s="21" t="s">
        <v>10474</v>
      </c>
      <c r="B134" s="22" t="s">
        <v>10475</v>
      </c>
      <c r="C134" s="2">
        <v>1</v>
      </c>
      <c r="D134" s="23">
        <v>24.99</v>
      </c>
      <c r="E134" s="3">
        <v>24.99</v>
      </c>
      <c r="F134" s="2" t="s">
        <v>15332</v>
      </c>
      <c r="G134" s="22" t="s">
        <v>19338</v>
      </c>
      <c r="H134" s="24" t="s">
        <v>19361</v>
      </c>
      <c r="I134" s="22" t="s">
        <v>19309</v>
      </c>
      <c r="J134" s="22" t="s">
        <v>19454</v>
      </c>
      <c r="K134" s="22" t="s">
        <v>19524</v>
      </c>
      <c r="L134" s="22"/>
      <c r="M134" s="22"/>
      <c r="N134" s="25" t="str">
        <f>HYPERLINK("http://slimages.macys.com/is/image/MCY/21569832 ")</f>
        <v xml:space="preserve">http://slimages.macys.com/is/image/MCY/21569832 </v>
      </c>
    </row>
    <row r="135" spans="1:14" x14ac:dyDescent="0.25">
      <c r="A135" s="21" t="s">
        <v>15907</v>
      </c>
      <c r="B135" s="22" t="s">
        <v>15908</v>
      </c>
      <c r="C135" s="2">
        <v>1</v>
      </c>
      <c r="D135" s="23">
        <v>21.99</v>
      </c>
      <c r="E135" s="3">
        <v>21.99</v>
      </c>
      <c r="F135" s="2" t="s">
        <v>19954</v>
      </c>
      <c r="G135" s="22" t="s">
        <v>19674</v>
      </c>
      <c r="H135" s="24" t="s">
        <v>19364</v>
      </c>
      <c r="I135" s="22" t="s">
        <v>19309</v>
      </c>
      <c r="J135" s="22" t="s">
        <v>19849</v>
      </c>
      <c r="K135" s="22" t="s">
        <v>19850</v>
      </c>
      <c r="L135" s="22"/>
      <c r="M135" s="22"/>
      <c r="N135" s="25" t="str">
        <f>HYPERLINK("http://slimages.macys.com/is/image/MCY/20530475 ")</f>
        <v xml:space="preserve">http://slimages.macys.com/is/image/MCY/20530475 </v>
      </c>
    </row>
    <row r="136" spans="1:14" ht="24.75" x14ac:dyDescent="0.25">
      <c r="A136" s="21" t="s">
        <v>10476</v>
      </c>
      <c r="B136" s="22" t="s">
        <v>10477</v>
      </c>
      <c r="C136" s="2">
        <v>1</v>
      </c>
      <c r="D136" s="23">
        <v>21.99</v>
      </c>
      <c r="E136" s="3">
        <v>21.99</v>
      </c>
      <c r="F136" s="2" t="s">
        <v>19954</v>
      </c>
      <c r="G136" s="22" t="s">
        <v>19955</v>
      </c>
      <c r="H136" s="24" t="s">
        <v>19797</v>
      </c>
      <c r="I136" s="22" t="s">
        <v>19309</v>
      </c>
      <c r="J136" s="22" t="s">
        <v>19849</v>
      </c>
      <c r="K136" s="22" t="s">
        <v>19850</v>
      </c>
      <c r="L136" s="22"/>
      <c r="M136" s="22"/>
      <c r="N136" s="25" t="str">
        <f>HYPERLINK("http://slimages.macys.com/is/image/MCY/20530475 ")</f>
        <v xml:space="preserve">http://slimages.macys.com/is/image/MCY/20530475 </v>
      </c>
    </row>
    <row r="137" spans="1:14" x14ac:dyDescent="0.25">
      <c r="A137" s="21" t="s">
        <v>10478</v>
      </c>
      <c r="B137" s="22" t="s">
        <v>10479</v>
      </c>
      <c r="C137" s="2">
        <v>2</v>
      </c>
      <c r="D137" s="23">
        <v>21.99</v>
      </c>
      <c r="E137" s="3">
        <v>43.98</v>
      </c>
      <c r="F137" s="2" t="s">
        <v>19954</v>
      </c>
      <c r="G137" s="22" t="s">
        <v>19674</v>
      </c>
      <c r="H137" s="24" t="s">
        <v>19352</v>
      </c>
      <c r="I137" s="22" t="s">
        <v>19309</v>
      </c>
      <c r="J137" s="22" t="s">
        <v>19849</v>
      </c>
      <c r="K137" s="22" t="s">
        <v>19850</v>
      </c>
      <c r="L137" s="22"/>
      <c r="M137" s="22"/>
      <c r="N137" s="25" t="str">
        <f>HYPERLINK("http://slimages.macys.com/is/image/MCY/20530475 ")</f>
        <v xml:space="preserve">http://slimages.macys.com/is/image/MCY/20530475 </v>
      </c>
    </row>
    <row r="138" spans="1:14" x14ac:dyDescent="0.25">
      <c r="A138" s="21" t="s">
        <v>18025</v>
      </c>
      <c r="B138" s="22" t="s">
        <v>18026</v>
      </c>
      <c r="C138" s="2">
        <v>1</v>
      </c>
      <c r="D138" s="23">
        <v>24.5</v>
      </c>
      <c r="E138" s="3">
        <v>24.5</v>
      </c>
      <c r="F138" s="2" t="s">
        <v>19972</v>
      </c>
      <c r="G138" s="22" t="s">
        <v>19477</v>
      </c>
      <c r="H138" s="24" t="s">
        <v>19797</v>
      </c>
      <c r="I138" s="22" t="s">
        <v>19309</v>
      </c>
      <c r="J138" s="22" t="s">
        <v>19849</v>
      </c>
      <c r="K138" s="22" t="s">
        <v>19850</v>
      </c>
      <c r="L138" s="22"/>
      <c r="M138" s="22"/>
      <c r="N138" s="25" t="str">
        <f>HYPERLINK("http://slimages.macys.com/is/image/MCY/20549465 ")</f>
        <v xml:space="preserve">http://slimages.macys.com/is/image/MCY/20549465 </v>
      </c>
    </row>
    <row r="139" spans="1:14" x14ac:dyDescent="0.25">
      <c r="A139" s="21" t="s">
        <v>10480</v>
      </c>
      <c r="B139" s="22" t="s">
        <v>10481</v>
      </c>
      <c r="C139" s="2">
        <v>1</v>
      </c>
      <c r="D139" s="23">
        <v>24.5</v>
      </c>
      <c r="E139" s="3">
        <v>24.5</v>
      </c>
      <c r="F139" s="2" t="s">
        <v>19972</v>
      </c>
      <c r="G139" s="22" t="s">
        <v>19477</v>
      </c>
      <c r="H139" s="24" t="s">
        <v>19339</v>
      </c>
      <c r="I139" s="22" t="s">
        <v>19309</v>
      </c>
      <c r="J139" s="22" t="s">
        <v>19849</v>
      </c>
      <c r="K139" s="22" t="s">
        <v>19850</v>
      </c>
      <c r="L139" s="22"/>
      <c r="M139" s="22"/>
      <c r="N139" s="25" t="str">
        <f>HYPERLINK("http://slimages.macys.com/is/image/MCY/20549465 ")</f>
        <v xml:space="preserve">http://slimages.macys.com/is/image/MCY/20549465 </v>
      </c>
    </row>
    <row r="140" spans="1:14" x14ac:dyDescent="0.25">
      <c r="A140" s="21" t="s">
        <v>19970</v>
      </c>
      <c r="B140" s="22" t="s">
        <v>19971</v>
      </c>
      <c r="C140" s="2">
        <v>1</v>
      </c>
      <c r="D140" s="23">
        <v>24.5</v>
      </c>
      <c r="E140" s="3">
        <v>24.5</v>
      </c>
      <c r="F140" s="2" t="s">
        <v>19972</v>
      </c>
      <c r="G140" s="22" t="s">
        <v>19477</v>
      </c>
      <c r="H140" s="24" t="s">
        <v>19352</v>
      </c>
      <c r="I140" s="22" t="s">
        <v>19309</v>
      </c>
      <c r="J140" s="22" t="s">
        <v>19849</v>
      </c>
      <c r="K140" s="22" t="s">
        <v>19850</v>
      </c>
      <c r="L140" s="22"/>
      <c r="M140" s="22"/>
      <c r="N140" s="25" t="str">
        <f>HYPERLINK("http://slimages.macys.com/is/image/MCY/20549465 ")</f>
        <v xml:space="preserve">http://slimages.macys.com/is/image/MCY/20549465 </v>
      </c>
    </row>
    <row r="141" spans="1:14" x14ac:dyDescent="0.25">
      <c r="A141" s="21" t="s">
        <v>19981</v>
      </c>
      <c r="B141" s="22" t="s">
        <v>19982</v>
      </c>
      <c r="C141" s="2">
        <v>1</v>
      </c>
      <c r="D141" s="23">
        <v>16.989999999999998</v>
      </c>
      <c r="E141" s="3">
        <v>16.989999999999998</v>
      </c>
      <c r="F141" s="2" t="s">
        <v>19975</v>
      </c>
      <c r="G141" s="22" t="s">
        <v>19333</v>
      </c>
      <c r="H141" s="24" t="s">
        <v>19345</v>
      </c>
      <c r="I141" s="22" t="s">
        <v>19309</v>
      </c>
      <c r="J141" s="22" t="s">
        <v>19310</v>
      </c>
      <c r="K141" s="22" t="s">
        <v>19440</v>
      </c>
      <c r="L141" s="22"/>
      <c r="M141" s="22"/>
      <c r="N141" s="25" t="str">
        <f>HYPERLINK("http://slimages.macys.com/is/image/MCY/21149135 ")</f>
        <v xml:space="preserve">http://slimages.macys.com/is/image/MCY/21149135 </v>
      </c>
    </row>
    <row r="142" spans="1:14" ht="24.75" x14ac:dyDescent="0.25">
      <c r="A142" s="21" t="s">
        <v>10482</v>
      </c>
      <c r="B142" s="22" t="s">
        <v>10483</v>
      </c>
      <c r="C142" s="2">
        <v>1</v>
      </c>
      <c r="D142" s="23">
        <v>19.989999999999998</v>
      </c>
      <c r="E142" s="3">
        <v>19.989999999999998</v>
      </c>
      <c r="F142" s="2" t="s">
        <v>10484</v>
      </c>
      <c r="G142" s="22" t="s">
        <v>19431</v>
      </c>
      <c r="H142" s="24" t="s">
        <v>19538</v>
      </c>
      <c r="I142" s="22" t="s">
        <v>19309</v>
      </c>
      <c r="J142" s="22" t="s">
        <v>19573</v>
      </c>
      <c r="K142" s="22" t="s">
        <v>19574</v>
      </c>
      <c r="L142" s="22"/>
      <c r="M142" s="22"/>
      <c r="N142" s="25" t="str">
        <f>HYPERLINK("http://slimages.macys.com/is/image/MCY/20757745 ")</f>
        <v xml:space="preserve">http://slimages.macys.com/is/image/MCY/20757745 </v>
      </c>
    </row>
    <row r="143" spans="1:14" x14ac:dyDescent="0.25">
      <c r="A143" s="21" t="s">
        <v>15384</v>
      </c>
      <c r="B143" s="22" t="s">
        <v>15385</v>
      </c>
      <c r="C143" s="2">
        <v>1</v>
      </c>
      <c r="D143" s="23">
        <v>16.989999999999998</v>
      </c>
      <c r="E143" s="3">
        <v>16.989999999999998</v>
      </c>
      <c r="F143" s="2" t="s">
        <v>20002</v>
      </c>
      <c r="G143" s="22" t="s">
        <v>19315</v>
      </c>
      <c r="H143" s="24" t="s">
        <v>19364</v>
      </c>
      <c r="I143" s="22" t="s">
        <v>19309</v>
      </c>
      <c r="J143" s="22" t="s">
        <v>19849</v>
      </c>
      <c r="K143" s="22" t="s">
        <v>19850</v>
      </c>
      <c r="L143" s="22"/>
      <c r="M143" s="22"/>
      <c r="N143" s="25" t="str">
        <f t="shared" ref="N143:N148" si="0">HYPERLINK("http://slimages.macys.com/is/image/MCY/20549392 ")</f>
        <v xml:space="preserve">http://slimages.macys.com/is/image/MCY/20549392 </v>
      </c>
    </row>
    <row r="144" spans="1:14" x14ac:dyDescent="0.25">
      <c r="A144" s="21" t="s">
        <v>20011</v>
      </c>
      <c r="B144" s="22" t="s">
        <v>20012</v>
      </c>
      <c r="C144" s="2">
        <v>3</v>
      </c>
      <c r="D144" s="23">
        <v>16.989999999999998</v>
      </c>
      <c r="E144" s="3">
        <v>50.97</v>
      </c>
      <c r="F144" s="2" t="s">
        <v>20002</v>
      </c>
      <c r="G144" s="22" t="s">
        <v>19477</v>
      </c>
      <c r="H144" s="24" t="s">
        <v>19364</v>
      </c>
      <c r="I144" s="22" t="s">
        <v>19309</v>
      </c>
      <c r="J144" s="22" t="s">
        <v>19849</v>
      </c>
      <c r="K144" s="22" t="s">
        <v>19850</v>
      </c>
      <c r="L144" s="22"/>
      <c r="M144" s="22"/>
      <c r="N144" s="25" t="str">
        <f t="shared" si="0"/>
        <v xml:space="preserve">http://slimages.macys.com/is/image/MCY/20549392 </v>
      </c>
    </row>
    <row r="145" spans="1:14" x14ac:dyDescent="0.25">
      <c r="A145" s="21" t="s">
        <v>12011</v>
      </c>
      <c r="B145" s="22" t="s">
        <v>12012</v>
      </c>
      <c r="C145" s="2">
        <v>1</v>
      </c>
      <c r="D145" s="23">
        <v>16.989999999999998</v>
      </c>
      <c r="E145" s="3">
        <v>16.989999999999998</v>
      </c>
      <c r="F145" s="2" t="s">
        <v>20002</v>
      </c>
      <c r="G145" s="22" t="s">
        <v>19477</v>
      </c>
      <c r="H145" s="24" t="s">
        <v>19339</v>
      </c>
      <c r="I145" s="22" t="s">
        <v>19309</v>
      </c>
      <c r="J145" s="22" t="s">
        <v>19849</v>
      </c>
      <c r="K145" s="22" t="s">
        <v>19850</v>
      </c>
      <c r="L145" s="22"/>
      <c r="M145" s="22"/>
      <c r="N145" s="25" t="str">
        <f t="shared" si="0"/>
        <v xml:space="preserve">http://slimages.macys.com/is/image/MCY/20549392 </v>
      </c>
    </row>
    <row r="146" spans="1:14" x14ac:dyDescent="0.25">
      <c r="A146" s="21" t="s">
        <v>15372</v>
      </c>
      <c r="B146" s="22" t="s">
        <v>15373</v>
      </c>
      <c r="C146" s="2">
        <v>2</v>
      </c>
      <c r="D146" s="23">
        <v>16.989999999999998</v>
      </c>
      <c r="E146" s="3">
        <v>33.979999999999997</v>
      </c>
      <c r="F146" s="2" t="s">
        <v>20002</v>
      </c>
      <c r="G146" s="22" t="s">
        <v>19477</v>
      </c>
      <c r="H146" s="24" t="s">
        <v>19352</v>
      </c>
      <c r="I146" s="22" t="s">
        <v>19309</v>
      </c>
      <c r="J146" s="22" t="s">
        <v>19849</v>
      </c>
      <c r="K146" s="22" t="s">
        <v>19850</v>
      </c>
      <c r="L146" s="22"/>
      <c r="M146" s="22"/>
      <c r="N146" s="25" t="str">
        <f t="shared" si="0"/>
        <v xml:space="preserve">http://slimages.macys.com/is/image/MCY/20549392 </v>
      </c>
    </row>
    <row r="147" spans="1:14" x14ac:dyDescent="0.25">
      <c r="A147" s="21" t="s">
        <v>20007</v>
      </c>
      <c r="B147" s="22" t="s">
        <v>20008</v>
      </c>
      <c r="C147" s="2">
        <v>4</v>
      </c>
      <c r="D147" s="23">
        <v>16.989999999999998</v>
      </c>
      <c r="E147" s="3">
        <v>67.959999999999994</v>
      </c>
      <c r="F147" s="2" t="s">
        <v>20002</v>
      </c>
      <c r="G147" s="22" t="s">
        <v>19477</v>
      </c>
      <c r="H147" s="24" t="s">
        <v>19797</v>
      </c>
      <c r="I147" s="22" t="s">
        <v>19309</v>
      </c>
      <c r="J147" s="22" t="s">
        <v>19849</v>
      </c>
      <c r="K147" s="22" t="s">
        <v>19850</v>
      </c>
      <c r="L147" s="22"/>
      <c r="M147" s="22"/>
      <c r="N147" s="25" t="str">
        <f t="shared" si="0"/>
        <v xml:space="preserve">http://slimages.macys.com/is/image/MCY/20549392 </v>
      </c>
    </row>
    <row r="148" spans="1:14" x14ac:dyDescent="0.25">
      <c r="A148" s="21" t="s">
        <v>15370</v>
      </c>
      <c r="B148" s="22" t="s">
        <v>15371</v>
      </c>
      <c r="C148" s="2">
        <v>1</v>
      </c>
      <c r="D148" s="23">
        <v>16.989999999999998</v>
      </c>
      <c r="E148" s="3">
        <v>16.989999999999998</v>
      </c>
      <c r="F148" s="2" t="s">
        <v>20002</v>
      </c>
      <c r="G148" s="22" t="s">
        <v>19315</v>
      </c>
      <c r="H148" s="24" t="s">
        <v>19352</v>
      </c>
      <c r="I148" s="22" t="s">
        <v>19309</v>
      </c>
      <c r="J148" s="22" t="s">
        <v>19849</v>
      </c>
      <c r="K148" s="22" t="s">
        <v>19850</v>
      </c>
      <c r="L148" s="22"/>
      <c r="M148" s="22"/>
      <c r="N148" s="25" t="str">
        <f t="shared" si="0"/>
        <v xml:space="preserve">http://slimages.macys.com/is/image/MCY/20549392 </v>
      </c>
    </row>
    <row r="149" spans="1:14" ht="24.75" x14ac:dyDescent="0.25">
      <c r="A149" s="21" t="s">
        <v>10485</v>
      </c>
      <c r="B149" s="22" t="s">
        <v>10486</v>
      </c>
      <c r="C149" s="2">
        <v>1</v>
      </c>
      <c r="D149" s="23">
        <v>19.989999999999998</v>
      </c>
      <c r="E149" s="3">
        <v>19.989999999999998</v>
      </c>
      <c r="F149" s="2" t="s">
        <v>10487</v>
      </c>
      <c r="G149" s="22" t="s">
        <v>19342</v>
      </c>
      <c r="H149" s="24" t="s">
        <v>19416</v>
      </c>
      <c r="I149" s="22" t="s">
        <v>19309</v>
      </c>
      <c r="J149" s="22" t="s">
        <v>19385</v>
      </c>
      <c r="K149" s="22" t="s">
        <v>18064</v>
      </c>
      <c r="L149" s="22"/>
      <c r="M149" s="22"/>
      <c r="N149" s="25" t="str">
        <f>HYPERLINK("http://slimages.macys.com/is/image/MCY/20876791 ")</f>
        <v xml:space="preserve">http://slimages.macys.com/is/image/MCY/20876791 </v>
      </c>
    </row>
    <row r="150" spans="1:14" ht="24.75" x14ac:dyDescent="0.25">
      <c r="A150" s="21" t="s">
        <v>10488</v>
      </c>
      <c r="B150" s="22" t="s">
        <v>10489</v>
      </c>
      <c r="C150" s="2">
        <v>1</v>
      </c>
      <c r="D150" s="23">
        <v>16.989999999999998</v>
      </c>
      <c r="E150" s="3">
        <v>16.989999999999998</v>
      </c>
      <c r="F150" s="2" t="s">
        <v>10490</v>
      </c>
      <c r="G150" s="22" t="s">
        <v>19415</v>
      </c>
      <c r="H150" s="24" t="s">
        <v>20135</v>
      </c>
      <c r="I150" s="22" t="s">
        <v>19309</v>
      </c>
      <c r="J150" s="22" t="s">
        <v>19573</v>
      </c>
      <c r="K150" s="22" t="s">
        <v>19574</v>
      </c>
      <c r="L150" s="22"/>
      <c r="M150" s="22"/>
      <c r="N150" s="25" t="str">
        <f>HYPERLINK("http://slimages.macys.com/is/image/MCY/20757458 ")</f>
        <v xml:space="preserve">http://slimages.macys.com/is/image/MCY/20757458 </v>
      </c>
    </row>
    <row r="151" spans="1:14" ht="24.75" x14ac:dyDescent="0.25">
      <c r="A151" s="21" t="s">
        <v>10491</v>
      </c>
      <c r="B151" s="22" t="s">
        <v>10492</v>
      </c>
      <c r="C151" s="2">
        <v>1</v>
      </c>
      <c r="D151" s="23">
        <v>23.99</v>
      </c>
      <c r="E151" s="3">
        <v>23.99</v>
      </c>
      <c r="F151" s="2" t="s">
        <v>20055</v>
      </c>
      <c r="G151" s="22" t="s">
        <v>19431</v>
      </c>
      <c r="H151" s="24" t="s">
        <v>19324</v>
      </c>
      <c r="I151" s="22" t="s">
        <v>19309</v>
      </c>
      <c r="J151" s="22" t="s">
        <v>19573</v>
      </c>
      <c r="K151" s="22" t="s">
        <v>19574</v>
      </c>
      <c r="L151" s="22"/>
      <c r="M151" s="22"/>
      <c r="N151" s="25" t="str">
        <f>HYPERLINK("http://slimages.macys.com/is/image/MCY/1485261 ")</f>
        <v xml:space="preserve">http://slimages.macys.com/is/image/MCY/1485261 </v>
      </c>
    </row>
    <row r="152" spans="1:14" ht="24.75" x14ac:dyDescent="0.25">
      <c r="A152" s="21" t="s">
        <v>20053</v>
      </c>
      <c r="B152" s="22" t="s">
        <v>20054</v>
      </c>
      <c r="C152" s="2">
        <v>1</v>
      </c>
      <c r="D152" s="23">
        <v>23.99</v>
      </c>
      <c r="E152" s="3">
        <v>23.99</v>
      </c>
      <c r="F152" s="2" t="s">
        <v>20055</v>
      </c>
      <c r="G152" s="22" t="s">
        <v>19431</v>
      </c>
      <c r="H152" s="24" t="s">
        <v>19416</v>
      </c>
      <c r="I152" s="22" t="s">
        <v>19309</v>
      </c>
      <c r="J152" s="22" t="s">
        <v>19573</v>
      </c>
      <c r="K152" s="22" t="s">
        <v>19574</v>
      </c>
      <c r="L152" s="22"/>
      <c r="M152" s="22"/>
      <c r="N152" s="25" t="str">
        <f>HYPERLINK("http://slimages.macys.com/is/image/MCY/21907735 ")</f>
        <v xml:space="preserve">http://slimages.macys.com/is/image/MCY/21907735 </v>
      </c>
    </row>
    <row r="153" spans="1:14" ht="24.75" x14ac:dyDescent="0.25">
      <c r="A153" s="21" t="s">
        <v>20058</v>
      </c>
      <c r="B153" s="22" t="s">
        <v>20059</v>
      </c>
      <c r="C153" s="2">
        <v>1</v>
      </c>
      <c r="D153" s="23">
        <v>19.989999999999998</v>
      </c>
      <c r="E153" s="3">
        <v>19.989999999999998</v>
      </c>
      <c r="F153" s="2" t="s">
        <v>20060</v>
      </c>
      <c r="G153" s="22" t="s">
        <v>19618</v>
      </c>
      <c r="H153" s="24" t="s">
        <v>19384</v>
      </c>
      <c r="I153" s="22" t="s">
        <v>19309</v>
      </c>
      <c r="J153" s="22" t="s">
        <v>19573</v>
      </c>
      <c r="K153" s="22" t="s">
        <v>19574</v>
      </c>
      <c r="L153" s="22"/>
      <c r="M153" s="22"/>
      <c r="N153" s="25" t="str">
        <f>HYPERLINK("http://slimages.macys.com/is/image/MCY/21088467 ")</f>
        <v xml:space="preserve">http://slimages.macys.com/is/image/MCY/21088467 </v>
      </c>
    </row>
    <row r="154" spans="1:14" x14ac:dyDescent="0.25">
      <c r="A154" s="21" t="s">
        <v>10493</v>
      </c>
      <c r="B154" s="22" t="s">
        <v>10494</v>
      </c>
      <c r="C154" s="2">
        <v>1</v>
      </c>
      <c r="D154" s="23">
        <v>15.99</v>
      </c>
      <c r="E154" s="3">
        <v>15.99</v>
      </c>
      <c r="F154" s="2" t="s">
        <v>20063</v>
      </c>
      <c r="G154" s="22" t="s">
        <v>19333</v>
      </c>
      <c r="H154" s="24" t="s">
        <v>19361</v>
      </c>
      <c r="I154" s="22" t="s">
        <v>19309</v>
      </c>
      <c r="J154" s="22" t="s">
        <v>19310</v>
      </c>
      <c r="K154" s="22" t="s">
        <v>19440</v>
      </c>
      <c r="L154" s="22"/>
      <c r="M154" s="22"/>
      <c r="N154" s="25" t="str">
        <f>HYPERLINK("http://slimages.macys.com/is/image/MCY/21149116 ")</f>
        <v xml:space="preserve">http://slimages.macys.com/is/image/MCY/21149116 </v>
      </c>
    </row>
    <row r="155" spans="1:14" x14ac:dyDescent="0.25">
      <c r="A155" s="21" t="s">
        <v>10495</v>
      </c>
      <c r="B155" s="22" t="s">
        <v>10496</v>
      </c>
      <c r="C155" s="2">
        <v>1</v>
      </c>
      <c r="D155" s="23">
        <v>15.99</v>
      </c>
      <c r="E155" s="3">
        <v>15.99</v>
      </c>
      <c r="F155" s="2" t="s">
        <v>20063</v>
      </c>
      <c r="G155" s="22" t="s">
        <v>19333</v>
      </c>
      <c r="H155" s="24" t="s">
        <v>19395</v>
      </c>
      <c r="I155" s="22" t="s">
        <v>19309</v>
      </c>
      <c r="J155" s="22" t="s">
        <v>19310</v>
      </c>
      <c r="K155" s="22" t="s">
        <v>19440</v>
      </c>
      <c r="L155" s="22"/>
      <c r="M155" s="22"/>
      <c r="N155" s="25" t="str">
        <f>HYPERLINK("http://slimages.macys.com/is/image/MCY/21149116 ")</f>
        <v xml:space="preserve">http://slimages.macys.com/is/image/MCY/21149116 </v>
      </c>
    </row>
    <row r="156" spans="1:14" x14ac:dyDescent="0.25">
      <c r="A156" s="21" t="s">
        <v>10497</v>
      </c>
      <c r="B156" s="22" t="s">
        <v>10498</v>
      </c>
      <c r="C156" s="2">
        <v>1</v>
      </c>
      <c r="D156" s="23">
        <v>15.3</v>
      </c>
      <c r="E156" s="3">
        <v>15.3</v>
      </c>
      <c r="F156" s="2" t="s">
        <v>10499</v>
      </c>
      <c r="G156" s="22" t="s">
        <v>19338</v>
      </c>
      <c r="H156" s="24" t="s">
        <v>19770</v>
      </c>
      <c r="I156" s="22" t="s">
        <v>19309</v>
      </c>
      <c r="J156" s="22" t="s">
        <v>19708</v>
      </c>
      <c r="K156" s="22" t="s">
        <v>19709</v>
      </c>
      <c r="L156" s="22"/>
      <c r="M156" s="22"/>
      <c r="N156" s="25" t="str">
        <f>HYPERLINK("http://slimages.macys.com/is/image/MCY/21409832 ")</f>
        <v xml:space="preserve">http://slimages.macys.com/is/image/MCY/21409832 </v>
      </c>
    </row>
    <row r="157" spans="1:14" x14ac:dyDescent="0.25">
      <c r="A157" s="21" t="s">
        <v>10500</v>
      </c>
      <c r="B157" s="22" t="s">
        <v>10501</v>
      </c>
      <c r="C157" s="2">
        <v>1</v>
      </c>
      <c r="D157" s="23">
        <v>15.3</v>
      </c>
      <c r="E157" s="3">
        <v>15.3</v>
      </c>
      <c r="F157" s="2" t="s">
        <v>10502</v>
      </c>
      <c r="G157" s="22" t="s">
        <v>19338</v>
      </c>
      <c r="H157" s="24" t="s">
        <v>19770</v>
      </c>
      <c r="I157" s="22" t="s">
        <v>19309</v>
      </c>
      <c r="J157" s="22" t="s">
        <v>19708</v>
      </c>
      <c r="K157" s="22" t="s">
        <v>19709</v>
      </c>
      <c r="L157" s="22"/>
      <c r="M157" s="22"/>
      <c r="N157" s="25" t="str">
        <f>HYPERLINK("http://slimages.macys.com/is/image/MCY/21752286 ")</f>
        <v xml:space="preserve">http://slimages.macys.com/is/image/MCY/21752286 </v>
      </c>
    </row>
    <row r="158" spans="1:14" x14ac:dyDescent="0.25">
      <c r="A158" s="21" t="s">
        <v>10503</v>
      </c>
      <c r="B158" s="22" t="s">
        <v>10504</v>
      </c>
      <c r="C158" s="2">
        <v>1</v>
      </c>
      <c r="D158" s="23">
        <v>21.99</v>
      </c>
      <c r="E158" s="3">
        <v>21.99</v>
      </c>
      <c r="F158" s="2" t="s">
        <v>18126</v>
      </c>
      <c r="G158" s="22" t="s">
        <v>19674</v>
      </c>
      <c r="H158" s="24" t="s">
        <v>19352</v>
      </c>
      <c r="I158" s="22" t="s">
        <v>19309</v>
      </c>
      <c r="J158" s="22" t="s">
        <v>19849</v>
      </c>
      <c r="K158" s="22" t="s">
        <v>19850</v>
      </c>
      <c r="L158" s="22"/>
      <c r="M158" s="22"/>
      <c r="N158" s="25" t="str">
        <f>HYPERLINK("http://slimages.macys.com/is/image/MCY/975791 ")</f>
        <v xml:space="preserve">http://slimages.macys.com/is/image/MCY/975791 </v>
      </c>
    </row>
    <row r="159" spans="1:14" ht="24.75" x14ac:dyDescent="0.25">
      <c r="A159" s="21" t="s">
        <v>16020</v>
      </c>
      <c r="B159" s="22" t="s">
        <v>16021</v>
      </c>
      <c r="C159" s="2">
        <v>2</v>
      </c>
      <c r="D159" s="23">
        <v>19.989999999999998</v>
      </c>
      <c r="E159" s="3">
        <v>39.979999999999997</v>
      </c>
      <c r="F159" s="2" t="s">
        <v>16017</v>
      </c>
      <c r="G159" s="22" t="s">
        <v>19333</v>
      </c>
      <c r="H159" s="24" t="s">
        <v>19377</v>
      </c>
      <c r="I159" s="22" t="s">
        <v>19309</v>
      </c>
      <c r="J159" s="22" t="s">
        <v>19908</v>
      </c>
      <c r="K159" s="22" t="s">
        <v>19524</v>
      </c>
      <c r="L159" s="22"/>
      <c r="M159" s="22"/>
      <c r="N159" s="25" t="str">
        <f>HYPERLINK("http://slimages.macys.com/is/image/MCY/21070253 ")</f>
        <v xml:space="preserve">http://slimages.macys.com/is/image/MCY/21070253 </v>
      </c>
    </row>
    <row r="160" spans="1:14" ht="24.75" x14ac:dyDescent="0.25">
      <c r="A160" s="21" t="s">
        <v>10505</v>
      </c>
      <c r="B160" s="22" t="s">
        <v>10506</v>
      </c>
      <c r="C160" s="2">
        <v>1</v>
      </c>
      <c r="D160" s="23">
        <v>19.989999999999998</v>
      </c>
      <c r="E160" s="3">
        <v>19.989999999999998</v>
      </c>
      <c r="F160" s="2" t="s">
        <v>16017</v>
      </c>
      <c r="G160" s="22" t="s">
        <v>19333</v>
      </c>
      <c r="H160" s="24" t="s">
        <v>19542</v>
      </c>
      <c r="I160" s="22" t="s">
        <v>19309</v>
      </c>
      <c r="J160" s="22" t="s">
        <v>19908</v>
      </c>
      <c r="K160" s="22" t="s">
        <v>19524</v>
      </c>
      <c r="L160" s="22"/>
      <c r="M160" s="22"/>
      <c r="N160" s="25" t="str">
        <f>HYPERLINK("http://slimages.macys.com/is/image/MCY/21070253 ")</f>
        <v xml:space="preserve">http://slimages.macys.com/is/image/MCY/21070253 </v>
      </c>
    </row>
    <row r="161" spans="1:14" ht="24.75" x14ac:dyDescent="0.25">
      <c r="A161" s="21" t="s">
        <v>10507</v>
      </c>
      <c r="B161" s="22" t="s">
        <v>10508</v>
      </c>
      <c r="C161" s="2">
        <v>2</v>
      </c>
      <c r="D161" s="23">
        <v>19.989999999999998</v>
      </c>
      <c r="E161" s="3">
        <v>39.979999999999997</v>
      </c>
      <c r="F161" s="2" t="s">
        <v>20094</v>
      </c>
      <c r="G161" s="22" t="s">
        <v>19415</v>
      </c>
      <c r="H161" s="24" t="s">
        <v>19377</v>
      </c>
      <c r="I161" s="22" t="s">
        <v>19309</v>
      </c>
      <c r="J161" s="22" t="s">
        <v>19908</v>
      </c>
      <c r="K161" s="22" t="s">
        <v>19524</v>
      </c>
      <c r="L161" s="22"/>
      <c r="M161" s="22"/>
      <c r="N161" s="25" t="str">
        <f>HYPERLINK("http://slimages.macys.com/is/image/MCY/21070251 ")</f>
        <v xml:space="preserve">http://slimages.macys.com/is/image/MCY/21070251 </v>
      </c>
    </row>
    <row r="162" spans="1:14" ht="24.75" x14ac:dyDescent="0.25">
      <c r="A162" s="21" t="s">
        <v>20106</v>
      </c>
      <c r="B162" s="22" t="s">
        <v>20107</v>
      </c>
      <c r="C162" s="2">
        <v>1</v>
      </c>
      <c r="D162" s="23">
        <v>24</v>
      </c>
      <c r="E162" s="3">
        <v>24</v>
      </c>
      <c r="F162" s="2" t="s">
        <v>20108</v>
      </c>
      <c r="G162" s="22" t="s">
        <v>19513</v>
      </c>
      <c r="H162" s="24" t="s">
        <v>20109</v>
      </c>
      <c r="I162" s="22" t="s">
        <v>19309</v>
      </c>
      <c r="J162" s="22" t="s">
        <v>19417</v>
      </c>
      <c r="K162" s="22" t="s">
        <v>20110</v>
      </c>
      <c r="L162" s="22"/>
      <c r="M162" s="22"/>
      <c r="N162" s="25" t="str">
        <f>HYPERLINK("http://slimages.macys.com/is/image/MCY/22528913 ")</f>
        <v xml:space="preserve">http://slimages.macys.com/is/image/MCY/22528913 </v>
      </c>
    </row>
    <row r="163" spans="1:14" ht="24.75" x14ac:dyDescent="0.25">
      <c r="A163" s="21" t="s">
        <v>10509</v>
      </c>
      <c r="B163" s="22" t="s">
        <v>10510</v>
      </c>
      <c r="C163" s="2">
        <v>1</v>
      </c>
      <c r="D163" s="23">
        <v>24</v>
      </c>
      <c r="E163" s="3">
        <v>24</v>
      </c>
      <c r="F163" s="2" t="s">
        <v>20108</v>
      </c>
      <c r="G163" s="22" t="s">
        <v>19513</v>
      </c>
      <c r="H163" s="24"/>
      <c r="I163" s="22" t="s">
        <v>19309</v>
      </c>
      <c r="J163" s="22" t="s">
        <v>19417</v>
      </c>
      <c r="K163" s="22" t="s">
        <v>20110</v>
      </c>
      <c r="L163" s="22"/>
      <c r="M163" s="22"/>
      <c r="N163" s="25" t="str">
        <f>HYPERLINK("http://slimages.macys.com/is/image/MCY/22528913 ")</f>
        <v xml:space="preserve">http://slimages.macys.com/is/image/MCY/22528913 </v>
      </c>
    </row>
    <row r="164" spans="1:14" x14ac:dyDescent="0.25">
      <c r="A164" s="21" t="s">
        <v>10511</v>
      </c>
      <c r="B164" s="22" t="s">
        <v>10512</v>
      </c>
      <c r="C164" s="2">
        <v>2</v>
      </c>
      <c r="D164" s="23">
        <v>24</v>
      </c>
      <c r="E164" s="3">
        <v>48</v>
      </c>
      <c r="F164" s="2" t="s">
        <v>10513</v>
      </c>
      <c r="G164" s="22" t="s">
        <v>19513</v>
      </c>
      <c r="H164" s="24" t="s">
        <v>19770</v>
      </c>
      <c r="I164" s="22" t="s">
        <v>19309</v>
      </c>
      <c r="J164" s="22" t="s">
        <v>19417</v>
      </c>
      <c r="K164" s="22" t="s">
        <v>20110</v>
      </c>
      <c r="L164" s="22"/>
      <c r="M164" s="22"/>
      <c r="N164" s="25" t="str">
        <f>HYPERLINK("http://slimages.macys.com/is/image/MCY/22527644 ")</f>
        <v xml:space="preserve">http://slimages.macys.com/is/image/MCY/22527644 </v>
      </c>
    </row>
    <row r="165" spans="1:14" x14ac:dyDescent="0.25">
      <c r="A165" s="21" t="s">
        <v>10514</v>
      </c>
      <c r="B165" s="22" t="s">
        <v>10515</v>
      </c>
      <c r="C165" s="2">
        <v>1</v>
      </c>
      <c r="D165" s="23">
        <v>24</v>
      </c>
      <c r="E165" s="3">
        <v>24</v>
      </c>
      <c r="F165" s="2" t="s">
        <v>10513</v>
      </c>
      <c r="G165" s="22" t="s">
        <v>19513</v>
      </c>
      <c r="H165" s="24" t="s">
        <v>19538</v>
      </c>
      <c r="I165" s="22" t="s">
        <v>19309</v>
      </c>
      <c r="J165" s="22" t="s">
        <v>19417</v>
      </c>
      <c r="K165" s="22" t="s">
        <v>20110</v>
      </c>
      <c r="L165" s="22"/>
      <c r="M165" s="22"/>
      <c r="N165" s="25" t="str">
        <f>HYPERLINK("http://slimages.macys.com/is/image/MCY/22528913 ")</f>
        <v xml:space="preserve">http://slimages.macys.com/is/image/MCY/22528913 </v>
      </c>
    </row>
    <row r="166" spans="1:14" x14ac:dyDescent="0.25">
      <c r="A166" s="21" t="s">
        <v>10516</v>
      </c>
      <c r="B166" s="22" t="s">
        <v>10517</v>
      </c>
      <c r="C166" s="2">
        <v>1</v>
      </c>
      <c r="D166" s="23">
        <v>24</v>
      </c>
      <c r="E166" s="3">
        <v>24</v>
      </c>
      <c r="F166" s="2" t="s">
        <v>10518</v>
      </c>
      <c r="G166" s="22" t="s">
        <v>19674</v>
      </c>
      <c r="H166" s="24" t="s">
        <v>20109</v>
      </c>
      <c r="I166" s="22" t="s">
        <v>19309</v>
      </c>
      <c r="J166" s="22" t="s">
        <v>19417</v>
      </c>
      <c r="K166" s="22" t="s">
        <v>20110</v>
      </c>
      <c r="L166" s="22"/>
      <c r="M166" s="22"/>
      <c r="N166" s="25" t="str">
        <f>HYPERLINK("http://slimages.macys.com/is/image/MCY/22527606 ")</f>
        <v xml:space="preserve">http://slimages.macys.com/is/image/MCY/22527606 </v>
      </c>
    </row>
    <row r="167" spans="1:14" ht="24.75" x14ac:dyDescent="0.25">
      <c r="A167" s="21" t="s">
        <v>10519</v>
      </c>
      <c r="B167" s="22" t="s">
        <v>10520</v>
      </c>
      <c r="C167" s="2">
        <v>1</v>
      </c>
      <c r="D167" s="23">
        <v>14</v>
      </c>
      <c r="E167" s="3">
        <v>14</v>
      </c>
      <c r="F167" s="2" t="s">
        <v>10521</v>
      </c>
      <c r="G167" s="22" t="s">
        <v>19404</v>
      </c>
      <c r="H167" s="24" t="s">
        <v>10522</v>
      </c>
      <c r="I167" s="22" t="s">
        <v>19309</v>
      </c>
      <c r="J167" s="22" t="s">
        <v>19317</v>
      </c>
      <c r="K167" s="22" t="s">
        <v>16124</v>
      </c>
      <c r="L167" s="22" t="s">
        <v>19319</v>
      </c>
      <c r="M167" s="22" t="s">
        <v>19320</v>
      </c>
      <c r="N167" s="25" t="str">
        <f>HYPERLINK("http://slimages.macys.com/is/image/MCY/13914363 ")</f>
        <v xml:space="preserve">http://slimages.macys.com/is/image/MCY/13914363 </v>
      </c>
    </row>
    <row r="168" spans="1:14" x14ac:dyDescent="0.25">
      <c r="A168" s="21" t="s">
        <v>11609</v>
      </c>
      <c r="B168" s="22" t="s">
        <v>11610</v>
      </c>
      <c r="C168" s="2">
        <v>1</v>
      </c>
      <c r="D168" s="23">
        <v>24</v>
      </c>
      <c r="E168" s="3">
        <v>24</v>
      </c>
      <c r="F168" s="2" t="s">
        <v>11611</v>
      </c>
      <c r="G168" s="22" t="s">
        <v>19351</v>
      </c>
      <c r="H168" s="24" t="s">
        <v>19770</v>
      </c>
      <c r="I168" s="22" t="s">
        <v>19309</v>
      </c>
      <c r="J168" s="22" t="s">
        <v>19417</v>
      </c>
      <c r="K168" s="22" t="s">
        <v>20110</v>
      </c>
      <c r="L168" s="22"/>
      <c r="M168" s="22"/>
      <c r="N168" s="25" t="str">
        <f>HYPERLINK("http://slimages.macys.com/is/image/MCY/22527606 ")</f>
        <v xml:space="preserve">http://slimages.macys.com/is/image/MCY/22527606 </v>
      </c>
    </row>
    <row r="169" spans="1:14" x14ac:dyDescent="0.25">
      <c r="A169" s="21" t="s">
        <v>11606</v>
      </c>
      <c r="B169" s="22" t="s">
        <v>11607</v>
      </c>
      <c r="C169" s="2">
        <v>1</v>
      </c>
      <c r="D169" s="23">
        <v>24</v>
      </c>
      <c r="E169" s="3">
        <v>24</v>
      </c>
      <c r="F169" s="2" t="s">
        <v>11608</v>
      </c>
      <c r="G169" s="22" t="s">
        <v>19674</v>
      </c>
      <c r="H169" s="24" t="s">
        <v>19770</v>
      </c>
      <c r="I169" s="22" t="s">
        <v>19309</v>
      </c>
      <c r="J169" s="22" t="s">
        <v>19417</v>
      </c>
      <c r="K169" s="22" t="s">
        <v>20110</v>
      </c>
      <c r="L169" s="22"/>
      <c r="M169" s="22"/>
      <c r="N169" s="25" t="str">
        <f>HYPERLINK("http://slimages.macys.com/is/image/MCY/22527679 ")</f>
        <v xml:space="preserve">http://slimages.macys.com/is/image/MCY/22527679 </v>
      </c>
    </row>
    <row r="170" spans="1:14" x14ac:dyDescent="0.25">
      <c r="A170" s="21" t="s">
        <v>10523</v>
      </c>
      <c r="B170" s="22" t="s">
        <v>10524</v>
      </c>
      <c r="C170" s="2">
        <v>2</v>
      </c>
      <c r="D170" s="23">
        <v>24</v>
      </c>
      <c r="E170" s="3">
        <v>48</v>
      </c>
      <c r="F170" s="2" t="s">
        <v>10518</v>
      </c>
      <c r="G170" s="22" t="s">
        <v>19674</v>
      </c>
      <c r="H170" s="24" t="s">
        <v>12224</v>
      </c>
      <c r="I170" s="22" t="s">
        <v>19309</v>
      </c>
      <c r="J170" s="22" t="s">
        <v>19417</v>
      </c>
      <c r="K170" s="22" t="s">
        <v>20110</v>
      </c>
      <c r="L170" s="22"/>
      <c r="M170" s="22"/>
      <c r="N170" s="25" t="str">
        <f>HYPERLINK("http://slimages.macys.com/is/image/MCY/22527679 ")</f>
        <v xml:space="preserve">http://slimages.macys.com/is/image/MCY/22527679 </v>
      </c>
    </row>
    <row r="171" spans="1:14" x14ac:dyDescent="0.25">
      <c r="A171" s="21" t="s">
        <v>10525</v>
      </c>
      <c r="B171" s="22" t="s">
        <v>10526</v>
      </c>
      <c r="C171" s="2">
        <v>1</v>
      </c>
      <c r="D171" s="23">
        <v>24</v>
      </c>
      <c r="E171" s="3">
        <v>24</v>
      </c>
      <c r="F171" s="2" t="s">
        <v>10513</v>
      </c>
      <c r="G171" s="22" t="s">
        <v>19513</v>
      </c>
      <c r="H171" s="24"/>
      <c r="I171" s="22" t="s">
        <v>19309</v>
      </c>
      <c r="J171" s="22" t="s">
        <v>19417</v>
      </c>
      <c r="K171" s="22" t="s">
        <v>20110</v>
      </c>
      <c r="L171" s="22"/>
      <c r="M171" s="22"/>
      <c r="N171" s="25" t="str">
        <f>HYPERLINK("http://slimages.macys.com/is/image/MCY/22528913 ")</f>
        <v xml:space="preserve">http://slimages.macys.com/is/image/MCY/22528913 </v>
      </c>
    </row>
    <row r="172" spans="1:14" x14ac:dyDescent="0.25">
      <c r="A172" s="21" t="s">
        <v>10527</v>
      </c>
      <c r="B172" s="22" t="s">
        <v>10528</v>
      </c>
      <c r="C172" s="2">
        <v>1</v>
      </c>
      <c r="D172" s="23">
        <v>24</v>
      </c>
      <c r="E172" s="3">
        <v>24</v>
      </c>
      <c r="F172" s="2" t="s">
        <v>11611</v>
      </c>
      <c r="G172" s="22" t="s">
        <v>19351</v>
      </c>
      <c r="H172" s="24"/>
      <c r="I172" s="22" t="s">
        <v>19309</v>
      </c>
      <c r="J172" s="22" t="s">
        <v>19417</v>
      </c>
      <c r="K172" s="22" t="s">
        <v>20110</v>
      </c>
      <c r="L172" s="22"/>
      <c r="M172" s="22"/>
      <c r="N172" s="25" t="str">
        <f>HYPERLINK("http://slimages.macys.com/is/image/MCY/22527679 ")</f>
        <v xml:space="preserve">http://slimages.macys.com/is/image/MCY/22527679 </v>
      </c>
    </row>
    <row r="173" spans="1:14" x14ac:dyDescent="0.25">
      <c r="A173" s="21" t="s">
        <v>11629</v>
      </c>
      <c r="B173" s="22" t="s">
        <v>11630</v>
      </c>
      <c r="C173" s="2">
        <v>1</v>
      </c>
      <c r="D173" s="23">
        <v>18.77</v>
      </c>
      <c r="E173" s="3">
        <v>18.77</v>
      </c>
      <c r="F173" s="2" t="s">
        <v>18156</v>
      </c>
      <c r="G173" s="22"/>
      <c r="H173" s="24" t="s">
        <v>20152</v>
      </c>
      <c r="I173" s="22" t="s">
        <v>19309</v>
      </c>
      <c r="J173" s="22" t="s">
        <v>19708</v>
      </c>
      <c r="K173" s="22" t="s">
        <v>19709</v>
      </c>
      <c r="L173" s="22"/>
      <c r="M173" s="22"/>
      <c r="N173" s="25" t="str">
        <f>HYPERLINK("http://slimages.macys.com/is/image/MCY/22596095 ")</f>
        <v xml:space="preserve">http://slimages.macys.com/is/image/MCY/22596095 </v>
      </c>
    </row>
    <row r="174" spans="1:14" x14ac:dyDescent="0.25">
      <c r="A174" s="21" t="s">
        <v>11619</v>
      </c>
      <c r="B174" s="22" t="s">
        <v>11620</v>
      </c>
      <c r="C174" s="2">
        <v>1</v>
      </c>
      <c r="D174" s="23">
        <v>18.77</v>
      </c>
      <c r="E174" s="3">
        <v>18.77</v>
      </c>
      <c r="F174" s="2" t="s">
        <v>18156</v>
      </c>
      <c r="G174" s="22"/>
      <c r="H174" s="24" t="s">
        <v>20159</v>
      </c>
      <c r="I174" s="22" t="s">
        <v>19309</v>
      </c>
      <c r="J174" s="22" t="s">
        <v>19708</v>
      </c>
      <c r="K174" s="22" t="s">
        <v>19709</v>
      </c>
      <c r="L174" s="22"/>
      <c r="M174" s="22"/>
      <c r="N174" s="25" t="str">
        <f>HYPERLINK("http://slimages.macys.com/is/image/MCY/22596095 ")</f>
        <v xml:space="preserve">http://slimages.macys.com/is/image/MCY/22596095 </v>
      </c>
    </row>
    <row r="175" spans="1:14" ht="24.75" x14ac:dyDescent="0.25">
      <c r="A175" s="21" t="s">
        <v>10529</v>
      </c>
      <c r="B175" s="22" t="s">
        <v>10530</v>
      </c>
      <c r="C175" s="2">
        <v>1</v>
      </c>
      <c r="D175" s="23">
        <v>14.99</v>
      </c>
      <c r="E175" s="3">
        <v>14.99</v>
      </c>
      <c r="F175" s="2" t="s">
        <v>13092</v>
      </c>
      <c r="G175" s="22" t="s">
        <v>19674</v>
      </c>
      <c r="H175" s="24" t="s">
        <v>19770</v>
      </c>
      <c r="I175" s="22" t="s">
        <v>19309</v>
      </c>
      <c r="J175" s="22" t="s">
        <v>19573</v>
      </c>
      <c r="K175" s="22" t="s">
        <v>20256</v>
      </c>
      <c r="L175" s="22" t="s">
        <v>19319</v>
      </c>
      <c r="M175" s="22" t="s">
        <v>19358</v>
      </c>
      <c r="N175" s="25" t="str">
        <f>HYPERLINK("http://slimages.macys.com/is/image/MCY/3931288 ")</f>
        <v xml:space="preserve">http://slimages.macys.com/is/image/MCY/3931288 </v>
      </c>
    </row>
    <row r="176" spans="1:14" ht="24.75" x14ac:dyDescent="0.25">
      <c r="A176" s="21" t="s">
        <v>13093</v>
      </c>
      <c r="B176" s="22" t="s">
        <v>13094</v>
      </c>
      <c r="C176" s="2">
        <v>1</v>
      </c>
      <c r="D176" s="23">
        <v>14.99</v>
      </c>
      <c r="E176" s="3">
        <v>14.99</v>
      </c>
      <c r="F176" s="2" t="s">
        <v>13092</v>
      </c>
      <c r="G176" s="22" t="s">
        <v>19674</v>
      </c>
      <c r="H176" s="24" t="s">
        <v>19538</v>
      </c>
      <c r="I176" s="22" t="s">
        <v>19309</v>
      </c>
      <c r="J176" s="22" t="s">
        <v>19573</v>
      </c>
      <c r="K176" s="22" t="s">
        <v>20256</v>
      </c>
      <c r="L176" s="22" t="s">
        <v>19319</v>
      </c>
      <c r="M176" s="22" t="s">
        <v>19358</v>
      </c>
      <c r="N176" s="25" t="str">
        <f>HYPERLINK("http://slimages.macys.com/is/image/MCY/3931288 ")</f>
        <v xml:space="preserve">http://slimages.macys.com/is/image/MCY/3931288 </v>
      </c>
    </row>
    <row r="177" spans="1:14" ht="24.75" x14ac:dyDescent="0.25">
      <c r="A177" s="21" t="s">
        <v>10531</v>
      </c>
      <c r="B177" s="22" t="s">
        <v>10532</v>
      </c>
      <c r="C177" s="2">
        <v>1</v>
      </c>
      <c r="D177" s="23">
        <v>16.989999999999998</v>
      </c>
      <c r="E177" s="3">
        <v>16.989999999999998</v>
      </c>
      <c r="F177" s="2" t="s">
        <v>10533</v>
      </c>
      <c r="G177" s="22" t="s">
        <v>19415</v>
      </c>
      <c r="H177" s="24" t="s">
        <v>19361</v>
      </c>
      <c r="I177" s="22" t="s">
        <v>19309</v>
      </c>
      <c r="J177" s="22" t="s">
        <v>19908</v>
      </c>
      <c r="K177" s="22" t="s">
        <v>19524</v>
      </c>
      <c r="L177" s="22"/>
      <c r="M177" s="22"/>
      <c r="N177" s="25" t="str">
        <f>HYPERLINK("http://slimages.macys.com/is/image/MCY/21070305 ")</f>
        <v xml:space="preserve">http://slimages.macys.com/is/image/MCY/21070305 </v>
      </c>
    </row>
    <row r="178" spans="1:14" x14ac:dyDescent="0.25">
      <c r="A178" s="21" t="s">
        <v>10534</v>
      </c>
      <c r="B178" s="22" t="s">
        <v>10535</v>
      </c>
      <c r="C178" s="2">
        <v>1</v>
      </c>
      <c r="D178" s="23">
        <v>18.66</v>
      </c>
      <c r="E178" s="3">
        <v>18.66</v>
      </c>
      <c r="F178" s="2" t="s">
        <v>15454</v>
      </c>
      <c r="G178" s="22"/>
      <c r="H178" s="24" t="s">
        <v>19770</v>
      </c>
      <c r="I178" s="22" t="s">
        <v>19309</v>
      </c>
      <c r="J178" s="22" t="s">
        <v>19708</v>
      </c>
      <c r="K178" s="22" t="s">
        <v>19709</v>
      </c>
      <c r="L178" s="22"/>
      <c r="M178" s="22"/>
      <c r="N178" s="25" t="str">
        <f>HYPERLINK("http://slimages.macys.com/is/image/MCY/21414177 ")</f>
        <v xml:space="preserve">http://slimages.macys.com/is/image/MCY/21414177 </v>
      </c>
    </row>
    <row r="179" spans="1:14" x14ac:dyDescent="0.25">
      <c r="A179" s="21" t="s">
        <v>10536</v>
      </c>
      <c r="B179" s="22" t="s">
        <v>10537</v>
      </c>
      <c r="C179" s="2">
        <v>1</v>
      </c>
      <c r="D179" s="23">
        <v>18.66</v>
      </c>
      <c r="E179" s="3">
        <v>18.66</v>
      </c>
      <c r="F179" s="2" t="s">
        <v>20155</v>
      </c>
      <c r="G179" s="22"/>
      <c r="H179" s="24" t="s">
        <v>19770</v>
      </c>
      <c r="I179" s="22" t="s">
        <v>19309</v>
      </c>
      <c r="J179" s="22" t="s">
        <v>19708</v>
      </c>
      <c r="K179" s="22" t="s">
        <v>19709</v>
      </c>
      <c r="L179" s="22"/>
      <c r="M179" s="22"/>
      <c r="N179" s="25" t="str">
        <f>HYPERLINK("http://slimages.macys.com/is/image/MCY/21414177 ")</f>
        <v xml:space="preserve">http://slimages.macys.com/is/image/MCY/21414177 </v>
      </c>
    </row>
    <row r="180" spans="1:14" x14ac:dyDescent="0.25">
      <c r="A180" s="21" t="s">
        <v>10538</v>
      </c>
      <c r="B180" s="22" t="s">
        <v>10539</v>
      </c>
      <c r="C180" s="2">
        <v>1</v>
      </c>
      <c r="D180" s="23">
        <v>14.67</v>
      </c>
      <c r="E180" s="3">
        <v>14.67</v>
      </c>
      <c r="F180" s="2" t="s">
        <v>10540</v>
      </c>
      <c r="G180" s="22" t="s">
        <v>19338</v>
      </c>
      <c r="H180" s="24" t="s">
        <v>19324</v>
      </c>
      <c r="I180" s="22" t="s">
        <v>19309</v>
      </c>
      <c r="J180" s="22" t="s">
        <v>19708</v>
      </c>
      <c r="K180" s="22" t="s">
        <v>19709</v>
      </c>
      <c r="L180" s="22"/>
      <c r="M180" s="22"/>
      <c r="N180" s="25" t="str">
        <f>HYPERLINK("http://slimages.macys.com/is/image/MCY/19066726 ")</f>
        <v xml:space="preserve">http://slimages.macys.com/is/image/MCY/19066726 </v>
      </c>
    </row>
    <row r="181" spans="1:14" x14ac:dyDescent="0.25">
      <c r="A181" s="21" t="s">
        <v>10541</v>
      </c>
      <c r="B181" s="22" t="s">
        <v>10542</v>
      </c>
      <c r="C181" s="2">
        <v>1</v>
      </c>
      <c r="D181" s="23">
        <v>14.67</v>
      </c>
      <c r="E181" s="3">
        <v>14.67</v>
      </c>
      <c r="F181" s="2" t="s">
        <v>10543</v>
      </c>
      <c r="G181" s="22" t="s">
        <v>19351</v>
      </c>
      <c r="H181" s="24" t="s">
        <v>19324</v>
      </c>
      <c r="I181" s="22" t="s">
        <v>19309</v>
      </c>
      <c r="J181" s="22" t="s">
        <v>19708</v>
      </c>
      <c r="K181" s="22" t="s">
        <v>19709</v>
      </c>
      <c r="L181" s="22"/>
      <c r="M181" s="22"/>
      <c r="N181" s="25" t="str">
        <f>HYPERLINK("http://slimages.macys.com/is/image/MCY/19172037 ")</f>
        <v xml:space="preserve">http://slimages.macys.com/is/image/MCY/19172037 </v>
      </c>
    </row>
    <row r="182" spans="1:14" ht="24.75" x14ac:dyDescent="0.25">
      <c r="A182" s="21" t="s">
        <v>10544</v>
      </c>
      <c r="B182" s="22" t="s">
        <v>10545</v>
      </c>
      <c r="C182" s="2">
        <v>1</v>
      </c>
      <c r="D182" s="23">
        <v>16.989999999999998</v>
      </c>
      <c r="E182" s="3">
        <v>16.989999999999998</v>
      </c>
      <c r="F182" s="2" t="s">
        <v>10546</v>
      </c>
      <c r="G182" s="22" t="s">
        <v>19622</v>
      </c>
      <c r="H182" s="24"/>
      <c r="I182" s="22" t="s">
        <v>19309</v>
      </c>
      <c r="J182" s="22" t="s">
        <v>19565</v>
      </c>
      <c r="K182" s="22" t="s">
        <v>17976</v>
      </c>
      <c r="L182" s="22"/>
      <c r="M182" s="22"/>
      <c r="N182" s="25" t="str">
        <f>HYPERLINK("http://slimages.macys.com/is/image/MCY/17630650 ")</f>
        <v xml:space="preserve">http://slimages.macys.com/is/image/MCY/17630650 </v>
      </c>
    </row>
    <row r="183" spans="1:14" x14ac:dyDescent="0.25">
      <c r="A183" s="21" t="s">
        <v>15457</v>
      </c>
      <c r="B183" s="22" t="s">
        <v>15458</v>
      </c>
      <c r="C183" s="2">
        <v>1</v>
      </c>
      <c r="D183" s="23">
        <v>19.989999999999998</v>
      </c>
      <c r="E183" s="3">
        <v>19.989999999999998</v>
      </c>
      <c r="F183" s="2" t="s">
        <v>18164</v>
      </c>
      <c r="G183" s="22" t="s">
        <v>19670</v>
      </c>
      <c r="H183" s="24" t="s">
        <v>19797</v>
      </c>
      <c r="I183" s="22" t="s">
        <v>19309</v>
      </c>
      <c r="J183" s="22" t="s">
        <v>19849</v>
      </c>
      <c r="K183" s="22" t="s">
        <v>19850</v>
      </c>
      <c r="L183" s="22"/>
      <c r="M183" s="22"/>
      <c r="N183" s="25" t="str">
        <f>HYPERLINK("http://slimages.macys.com/is/image/MCY/20549415 ")</f>
        <v xml:space="preserve">http://slimages.macys.com/is/image/MCY/20549415 </v>
      </c>
    </row>
    <row r="184" spans="1:14" ht="24.75" x14ac:dyDescent="0.25">
      <c r="A184" s="21" t="s">
        <v>10547</v>
      </c>
      <c r="B184" s="22" t="s">
        <v>10548</v>
      </c>
      <c r="C184" s="2">
        <v>1</v>
      </c>
      <c r="D184" s="23">
        <v>15.99</v>
      </c>
      <c r="E184" s="3">
        <v>15.99</v>
      </c>
      <c r="F184" s="2" t="s">
        <v>10549</v>
      </c>
      <c r="G184" s="22" t="s">
        <v>19323</v>
      </c>
      <c r="H184" s="24" t="s">
        <v>19330</v>
      </c>
      <c r="I184" s="22" t="s">
        <v>19309</v>
      </c>
      <c r="J184" s="22" t="s">
        <v>19385</v>
      </c>
      <c r="K184" s="22" t="s">
        <v>18197</v>
      </c>
      <c r="L184" s="22"/>
      <c r="M184" s="22"/>
      <c r="N184" s="25" t="str">
        <f>HYPERLINK("http://slimages.macys.com/is/image/MCY/21541848 ")</f>
        <v xml:space="preserve">http://slimages.macys.com/is/image/MCY/21541848 </v>
      </c>
    </row>
    <row r="185" spans="1:14" ht="24.75" x14ac:dyDescent="0.25">
      <c r="A185" s="21" t="s">
        <v>10550</v>
      </c>
      <c r="B185" s="22" t="s">
        <v>10551</v>
      </c>
      <c r="C185" s="2">
        <v>2</v>
      </c>
      <c r="D185" s="23">
        <v>21.99</v>
      </c>
      <c r="E185" s="3">
        <v>43.98</v>
      </c>
      <c r="F185" s="2" t="s">
        <v>15464</v>
      </c>
      <c r="G185" s="22" t="s">
        <v>19955</v>
      </c>
      <c r="H185" s="24" t="s">
        <v>19797</v>
      </c>
      <c r="I185" s="22" t="s">
        <v>19309</v>
      </c>
      <c r="J185" s="22" t="s">
        <v>19849</v>
      </c>
      <c r="K185" s="22" t="s">
        <v>19850</v>
      </c>
      <c r="L185" s="22"/>
      <c r="M185" s="22"/>
      <c r="N185" s="25" t="str">
        <f>HYPERLINK("http://slimages.macys.com/is/image/MCY/20530593 ")</f>
        <v xml:space="preserve">http://slimages.macys.com/is/image/MCY/20530593 </v>
      </c>
    </row>
    <row r="186" spans="1:14" ht="24.75" x14ac:dyDescent="0.25">
      <c r="A186" s="21" t="s">
        <v>10552</v>
      </c>
      <c r="B186" s="22" t="s">
        <v>10553</v>
      </c>
      <c r="C186" s="2">
        <v>1</v>
      </c>
      <c r="D186" s="23">
        <v>21.99</v>
      </c>
      <c r="E186" s="3">
        <v>21.99</v>
      </c>
      <c r="F186" s="2" t="s">
        <v>15464</v>
      </c>
      <c r="G186" s="22" t="s">
        <v>19955</v>
      </c>
      <c r="H186" s="24" t="s">
        <v>19352</v>
      </c>
      <c r="I186" s="22" t="s">
        <v>19309</v>
      </c>
      <c r="J186" s="22" t="s">
        <v>19849</v>
      </c>
      <c r="K186" s="22" t="s">
        <v>19850</v>
      </c>
      <c r="L186" s="22"/>
      <c r="M186" s="22"/>
      <c r="N186" s="25" t="str">
        <f>HYPERLINK("http://slimages.macys.com/is/image/MCY/20530593 ")</f>
        <v xml:space="preserve">http://slimages.macys.com/is/image/MCY/20530593 </v>
      </c>
    </row>
    <row r="187" spans="1:14" x14ac:dyDescent="0.25">
      <c r="A187" s="21" t="s">
        <v>15467</v>
      </c>
      <c r="B187" s="22" t="s">
        <v>15468</v>
      </c>
      <c r="C187" s="2">
        <v>1</v>
      </c>
      <c r="D187" s="23">
        <v>16.989999999999998</v>
      </c>
      <c r="E187" s="3">
        <v>16.989999999999998</v>
      </c>
      <c r="F187" s="2" t="s">
        <v>20168</v>
      </c>
      <c r="G187" s="22" t="s">
        <v>19431</v>
      </c>
      <c r="H187" s="24" t="s">
        <v>19352</v>
      </c>
      <c r="I187" s="22" t="s">
        <v>19309</v>
      </c>
      <c r="J187" s="22" t="s">
        <v>19849</v>
      </c>
      <c r="K187" s="22" t="s">
        <v>19850</v>
      </c>
      <c r="L187" s="22"/>
      <c r="M187" s="22"/>
      <c r="N187" s="25" t="str">
        <f>HYPERLINK("http://slimages.macys.com/is/image/MCY/20752002 ")</f>
        <v xml:space="preserve">http://slimages.macys.com/is/image/MCY/20752002 </v>
      </c>
    </row>
    <row r="188" spans="1:14" x14ac:dyDescent="0.25">
      <c r="A188" s="21" t="s">
        <v>20166</v>
      </c>
      <c r="B188" s="22" t="s">
        <v>20167</v>
      </c>
      <c r="C188" s="2">
        <v>1</v>
      </c>
      <c r="D188" s="23">
        <v>16.989999999999998</v>
      </c>
      <c r="E188" s="3">
        <v>16.989999999999998</v>
      </c>
      <c r="F188" s="2" t="s">
        <v>20168</v>
      </c>
      <c r="G188" s="22" t="s">
        <v>19618</v>
      </c>
      <c r="H188" s="24" t="s">
        <v>19352</v>
      </c>
      <c r="I188" s="22" t="s">
        <v>19309</v>
      </c>
      <c r="J188" s="22" t="s">
        <v>19849</v>
      </c>
      <c r="K188" s="22" t="s">
        <v>19850</v>
      </c>
      <c r="L188" s="22"/>
      <c r="M188" s="22"/>
      <c r="N188" s="25" t="str">
        <f>HYPERLINK("http://slimages.macys.com/is/image/MCY/20752002 ")</f>
        <v xml:space="preserve">http://slimages.macys.com/is/image/MCY/20752002 </v>
      </c>
    </row>
    <row r="189" spans="1:14" x14ac:dyDescent="0.25">
      <c r="A189" s="21" t="s">
        <v>13137</v>
      </c>
      <c r="B189" s="22" t="s">
        <v>13138</v>
      </c>
      <c r="C189" s="2">
        <v>1</v>
      </c>
      <c r="D189" s="23">
        <v>17.87</v>
      </c>
      <c r="E189" s="3">
        <v>17.87</v>
      </c>
      <c r="F189" s="2" t="s">
        <v>20176</v>
      </c>
      <c r="G189" s="22"/>
      <c r="H189" s="24" t="s">
        <v>20152</v>
      </c>
      <c r="I189" s="22" t="s">
        <v>19309</v>
      </c>
      <c r="J189" s="22" t="s">
        <v>19708</v>
      </c>
      <c r="K189" s="22" t="s">
        <v>19709</v>
      </c>
      <c r="L189" s="22"/>
      <c r="M189" s="22"/>
      <c r="N189" s="25" t="str">
        <f>HYPERLINK("http://slimages.macys.com/is/image/MCY/22405968 ")</f>
        <v xml:space="preserve">http://slimages.macys.com/is/image/MCY/22405968 </v>
      </c>
    </row>
    <row r="190" spans="1:14" x14ac:dyDescent="0.25">
      <c r="A190" s="21" t="s">
        <v>10554</v>
      </c>
      <c r="B190" s="22" t="s">
        <v>10555</v>
      </c>
      <c r="C190" s="2">
        <v>1</v>
      </c>
      <c r="D190" s="23">
        <v>17.87</v>
      </c>
      <c r="E190" s="3">
        <v>17.87</v>
      </c>
      <c r="F190" s="2" t="s">
        <v>20182</v>
      </c>
      <c r="G190" s="22"/>
      <c r="H190" s="24" t="s">
        <v>19324</v>
      </c>
      <c r="I190" s="22" t="s">
        <v>19309</v>
      </c>
      <c r="J190" s="22" t="s">
        <v>19708</v>
      </c>
      <c r="K190" s="22" t="s">
        <v>19709</v>
      </c>
      <c r="L190" s="22"/>
      <c r="M190" s="22"/>
      <c r="N190" s="25" t="str">
        <f>HYPERLINK("http://slimages.macys.com/is/image/MCY/22405971 ")</f>
        <v xml:space="preserve">http://slimages.macys.com/is/image/MCY/22405971 </v>
      </c>
    </row>
    <row r="191" spans="1:14" x14ac:dyDescent="0.25">
      <c r="A191" s="21" t="s">
        <v>10556</v>
      </c>
      <c r="B191" s="22" t="s">
        <v>10557</v>
      </c>
      <c r="C191" s="2">
        <v>1</v>
      </c>
      <c r="D191" s="23">
        <v>17.75</v>
      </c>
      <c r="E191" s="3">
        <v>17.75</v>
      </c>
      <c r="F191" s="2" t="s">
        <v>12123</v>
      </c>
      <c r="G191" s="22" t="s">
        <v>19351</v>
      </c>
      <c r="H191" s="24" t="s">
        <v>19330</v>
      </c>
      <c r="I191" s="22" t="s">
        <v>19309</v>
      </c>
      <c r="J191" s="22" t="s">
        <v>19708</v>
      </c>
      <c r="K191" s="22" t="s">
        <v>19709</v>
      </c>
      <c r="L191" s="22"/>
      <c r="M191" s="22"/>
      <c r="N191" s="25" t="str">
        <f>HYPERLINK("http://slimages.macys.com/is/image/MCY/21409515 ")</f>
        <v xml:space="preserve">http://slimages.macys.com/is/image/MCY/21409515 </v>
      </c>
    </row>
    <row r="192" spans="1:14" x14ac:dyDescent="0.25">
      <c r="A192" s="21" t="s">
        <v>10558</v>
      </c>
      <c r="B192" s="22" t="s">
        <v>10559</v>
      </c>
      <c r="C192" s="2">
        <v>1</v>
      </c>
      <c r="D192" s="23">
        <v>17.75</v>
      </c>
      <c r="E192" s="3">
        <v>17.75</v>
      </c>
      <c r="F192" s="2" t="s">
        <v>12123</v>
      </c>
      <c r="G192" s="22" t="s">
        <v>19351</v>
      </c>
      <c r="H192" s="24" t="s">
        <v>20152</v>
      </c>
      <c r="I192" s="22" t="s">
        <v>19309</v>
      </c>
      <c r="J192" s="22" t="s">
        <v>19708</v>
      </c>
      <c r="K192" s="22" t="s">
        <v>19709</v>
      </c>
      <c r="L192" s="22"/>
      <c r="M192" s="22"/>
      <c r="N192" s="25" t="str">
        <f>HYPERLINK("http://slimages.macys.com/is/image/MCY/21409515 ")</f>
        <v xml:space="preserve">http://slimages.macys.com/is/image/MCY/21409515 </v>
      </c>
    </row>
    <row r="193" spans="1:14" x14ac:dyDescent="0.25">
      <c r="A193" s="21" t="s">
        <v>10560</v>
      </c>
      <c r="B193" s="22" t="s">
        <v>10561</v>
      </c>
      <c r="C193" s="2">
        <v>1</v>
      </c>
      <c r="D193" s="23">
        <v>17.75</v>
      </c>
      <c r="E193" s="3">
        <v>17.75</v>
      </c>
      <c r="F193" s="2" t="s">
        <v>12123</v>
      </c>
      <c r="G193" s="22" t="s">
        <v>19351</v>
      </c>
      <c r="H193" s="24" t="s">
        <v>19416</v>
      </c>
      <c r="I193" s="22" t="s">
        <v>19309</v>
      </c>
      <c r="J193" s="22" t="s">
        <v>19708</v>
      </c>
      <c r="K193" s="22" t="s">
        <v>19709</v>
      </c>
      <c r="L193" s="22"/>
      <c r="M193" s="22"/>
      <c r="N193" s="25" t="str">
        <f>HYPERLINK("http://slimages.macys.com/is/image/MCY/21409515 ")</f>
        <v xml:space="preserve">http://slimages.macys.com/is/image/MCY/21409515 </v>
      </c>
    </row>
    <row r="194" spans="1:14" ht="24.75" x14ac:dyDescent="0.25">
      <c r="A194" s="21" t="s">
        <v>10562</v>
      </c>
      <c r="B194" s="22" t="s">
        <v>10563</v>
      </c>
      <c r="C194" s="2">
        <v>1</v>
      </c>
      <c r="D194" s="23">
        <v>19.989999999999998</v>
      </c>
      <c r="E194" s="3">
        <v>19.989999999999998</v>
      </c>
      <c r="F194" s="2" t="s">
        <v>10564</v>
      </c>
      <c r="G194" s="22" t="s">
        <v>19351</v>
      </c>
      <c r="H194" s="24" t="s">
        <v>19330</v>
      </c>
      <c r="I194" s="22" t="s">
        <v>19309</v>
      </c>
      <c r="J194" s="22" t="s">
        <v>19573</v>
      </c>
      <c r="K194" s="22" t="s">
        <v>19574</v>
      </c>
      <c r="L194" s="22"/>
      <c r="M194" s="22"/>
      <c r="N194" s="25" t="str">
        <f>HYPERLINK("http://slimages.macys.com/is/image/MCY/21088507 ")</f>
        <v xml:space="preserve">http://slimages.macys.com/is/image/MCY/21088507 </v>
      </c>
    </row>
    <row r="195" spans="1:14" ht="24.75" x14ac:dyDescent="0.25">
      <c r="A195" s="21" t="s">
        <v>10565</v>
      </c>
      <c r="B195" s="22" t="s">
        <v>10566</v>
      </c>
      <c r="C195" s="2">
        <v>1</v>
      </c>
      <c r="D195" s="23">
        <v>19.989999999999998</v>
      </c>
      <c r="E195" s="3">
        <v>19.989999999999998</v>
      </c>
      <c r="F195" s="2" t="s">
        <v>16085</v>
      </c>
      <c r="G195" s="22" t="s">
        <v>19342</v>
      </c>
      <c r="H195" s="24" t="s">
        <v>19416</v>
      </c>
      <c r="I195" s="22" t="s">
        <v>19309</v>
      </c>
      <c r="J195" s="22" t="s">
        <v>19385</v>
      </c>
      <c r="K195" s="22" t="s">
        <v>15725</v>
      </c>
      <c r="L195" s="22"/>
      <c r="M195" s="22"/>
      <c r="N195" s="25" t="str">
        <f>HYPERLINK("http://slimages.macys.com/is/image/MCY/21375621 ")</f>
        <v xml:space="preserve">http://slimages.macys.com/is/image/MCY/21375621 </v>
      </c>
    </row>
    <row r="196" spans="1:14" x14ac:dyDescent="0.25">
      <c r="A196" s="21" t="s">
        <v>10567</v>
      </c>
      <c r="B196" s="22" t="s">
        <v>10568</v>
      </c>
      <c r="C196" s="2">
        <v>1</v>
      </c>
      <c r="D196" s="23">
        <v>13.77</v>
      </c>
      <c r="E196" s="3">
        <v>13.77</v>
      </c>
      <c r="F196" s="2" t="s">
        <v>13150</v>
      </c>
      <c r="G196" s="22"/>
      <c r="H196" s="24" t="s">
        <v>20152</v>
      </c>
      <c r="I196" s="22" t="s">
        <v>19309</v>
      </c>
      <c r="J196" s="22" t="s">
        <v>19708</v>
      </c>
      <c r="K196" s="22" t="s">
        <v>19709</v>
      </c>
      <c r="L196" s="22"/>
      <c r="M196" s="22"/>
      <c r="N196" s="25" t="str">
        <f>HYPERLINK("http://slimages.macys.com/is/image/MCY/19067056 ")</f>
        <v xml:space="preserve">http://slimages.macys.com/is/image/MCY/19067056 </v>
      </c>
    </row>
    <row r="197" spans="1:14" ht="24.75" x14ac:dyDescent="0.25">
      <c r="A197" s="21" t="s">
        <v>10569</v>
      </c>
      <c r="B197" s="22" t="s">
        <v>10570</v>
      </c>
      <c r="C197" s="2">
        <v>1</v>
      </c>
      <c r="D197" s="23">
        <v>12.99</v>
      </c>
      <c r="E197" s="3">
        <v>12.99</v>
      </c>
      <c r="F197" s="2">
        <v>5137</v>
      </c>
      <c r="G197" s="22" t="s">
        <v>19338</v>
      </c>
      <c r="H197" s="24"/>
      <c r="I197" s="22" t="s">
        <v>19309</v>
      </c>
      <c r="J197" s="22" t="s">
        <v>20076</v>
      </c>
      <c r="K197" s="22" t="s">
        <v>20250</v>
      </c>
      <c r="L197" s="22" t="s">
        <v>19319</v>
      </c>
      <c r="M197" s="22" t="s">
        <v>19689</v>
      </c>
      <c r="N197" s="25" t="str">
        <f>HYPERLINK("http://slimages.macys.com/is/image/MCY/13040182 ")</f>
        <v xml:space="preserve">http://slimages.macys.com/is/image/MCY/13040182 </v>
      </c>
    </row>
    <row r="198" spans="1:14" ht="24.75" x14ac:dyDescent="0.25">
      <c r="A198" s="21" t="s">
        <v>10571</v>
      </c>
      <c r="B198" s="22" t="s">
        <v>10572</v>
      </c>
      <c r="C198" s="2">
        <v>1</v>
      </c>
      <c r="D198" s="23">
        <v>15.99</v>
      </c>
      <c r="E198" s="3">
        <v>15.99</v>
      </c>
      <c r="F198" s="2" t="s">
        <v>10573</v>
      </c>
      <c r="G198" s="22" t="s">
        <v>19404</v>
      </c>
      <c r="H198" s="24" t="s">
        <v>19907</v>
      </c>
      <c r="I198" s="22" t="s">
        <v>19309</v>
      </c>
      <c r="J198" s="22" t="s">
        <v>19815</v>
      </c>
      <c r="K198" s="22" t="s">
        <v>19816</v>
      </c>
      <c r="L198" s="22"/>
      <c r="M198" s="22"/>
      <c r="N198" s="25" t="str">
        <f>HYPERLINK("http://slimages.macys.com/is/image/MCY/20815221 ")</f>
        <v xml:space="preserve">http://slimages.macys.com/is/image/MCY/20815221 </v>
      </c>
    </row>
    <row r="199" spans="1:14" x14ac:dyDescent="0.25">
      <c r="A199" s="21" t="s">
        <v>20221</v>
      </c>
      <c r="B199" s="22" t="s">
        <v>20222</v>
      </c>
      <c r="C199" s="2">
        <v>1</v>
      </c>
      <c r="D199" s="23">
        <v>15.99</v>
      </c>
      <c r="E199" s="3">
        <v>15.99</v>
      </c>
      <c r="F199" s="2" t="s">
        <v>20223</v>
      </c>
      <c r="G199" s="22" t="s">
        <v>19477</v>
      </c>
      <c r="H199" s="24" t="s">
        <v>19361</v>
      </c>
      <c r="I199" s="22" t="s">
        <v>19309</v>
      </c>
      <c r="J199" s="22" t="s">
        <v>19849</v>
      </c>
      <c r="K199" s="22" t="s">
        <v>19850</v>
      </c>
      <c r="L199" s="22"/>
      <c r="M199" s="22"/>
      <c r="N199" s="25" t="str">
        <f>HYPERLINK("http://slimages.macys.com/is/image/MCY/1488068 ")</f>
        <v xml:space="preserve">http://slimages.macys.com/is/image/MCY/1488068 </v>
      </c>
    </row>
    <row r="200" spans="1:14" ht="24.75" x14ac:dyDescent="0.25">
      <c r="A200" s="21" t="s">
        <v>11677</v>
      </c>
      <c r="B200" s="22" t="s">
        <v>11678</v>
      </c>
      <c r="C200" s="2">
        <v>1</v>
      </c>
      <c r="D200" s="23">
        <v>14.99</v>
      </c>
      <c r="E200" s="3">
        <v>14.99</v>
      </c>
      <c r="F200" s="2" t="s">
        <v>11679</v>
      </c>
      <c r="G200" s="22" t="s">
        <v>19955</v>
      </c>
      <c r="H200" s="24" t="s">
        <v>19339</v>
      </c>
      <c r="I200" s="22" t="s">
        <v>19309</v>
      </c>
      <c r="J200" s="22" t="s">
        <v>19849</v>
      </c>
      <c r="K200" s="22" t="s">
        <v>19850</v>
      </c>
      <c r="L200" s="22"/>
      <c r="M200" s="22"/>
      <c r="N200" s="25" t="str">
        <f>HYPERLINK("http://slimages.macys.com/is/image/MCY/1087069 ")</f>
        <v xml:space="preserve">http://slimages.macys.com/is/image/MCY/1087069 </v>
      </c>
    </row>
    <row r="201" spans="1:14" x14ac:dyDescent="0.25">
      <c r="A201" s="21" t="s">
        <v>10574</v>
      </c>
      <c r="B201" s="22" t="s">
        <v>10575</v>
      </c>
      <c r="C201" s="2">
        <v>1</v>
      </c>
      <c r="D201" s="23">
        <v>17.989999999999998</v>
      </c>
      <c r="E201" s="3">
        <v>17.989999999999998</v>
      </c>
      <c r="F201" s="2" t="s">
        <v>10576</v>
      </c>
      <c r="G201" s="22" t="s">
        <v>19342</v>
      </c>
      <c r="H201" s="24" t="s">
        <v>19345</v>
      </c>
      <c r="I201" s="22" t="s">
        <v>19309</v>
      </c>
      <c r="J201" s="22" t="s">
        <v>19696</v>
      </c>
      <c r="K201" s="22" t="s">
        <v>19965</v>
      </c>
      <c r="L201" s="22"/>
      <c r="M201" s="22"/>
      <c r="N201" s="25" t="str">
        <f>HYPERLINK("http://slimages.macys.com/is/image/MCY/20583418 ")</f>
        <v xml:space="preserve">http://slimages.macys.com/is/image/MCY/20583418 </v>
      </c>
    </row>
    <row r="202" spans="1:14" ht="36.75" x14ac:dyDescent="0.25">
      <c r="A202" s="21" t="s">
        <v>20224</v>
      </c>
      <c r="B202" s="22" t="s">
        <v>20225</v>
      </c>
      <c r="C202" s="2">
        <v>1</v>
      </c>
      <c r="D202" s="23">
        <v>16.989999999999998</v>
      </c>
      <c r="E202" s="3">
        <v>16.989999999999998</v>
      </c>
      <c r="F202" s="2" t="s">
        <v>20226</v>
      </c>
      <c r="G202" s="22" t="s">
        <v>19315</v>
      </c>
      <c r="H202" s="24" t="s">
        <v>20227</v>
      </c>
      <c r="I202" s="22" t="s">
        <v>19309</v>
      </c>
      <c r="J202" s="22" t="s">
        <v>19573</v>
      </c>
      <c r="K202" s="22" t="s">
        <v>20228</v>
      </c>
      <c r="L202" s="22" t="s">
        <v>19319</v>
      </c>
      <c r="M202" s="22" t="s">
        <v>20229</v>
      </c>
      <c r="N202" s="25" t="str">
        <f>HYPERLINK("http://slimages.macys.com/is/image/MCY/8256826 ")</f>
        <v xml:space="preserve">http://slimages.macys.com/is/image/MCY/8256826 </v>
      </c>
    </row>
    <row r="203" spans="1:14" ht="24.75" x14ac:dyDescent="0.25">
      <c r="A203" s="21" t="s">
        <v>10577</v>
      </c>
      <c r="B203" s="22" t="s">
        <v>10578</v>
      </c>
      <c r="C203" s="2">
        <v>1</v>
      </c>
      <c r="D203" s="23">
        <v>19.989999999999998</v>
      </c>
      <c r="E203" s="3">
        <v>19.989999999999998</v>
      </c>
      <c r="F203" s="2" t="s">
        <v>10579</v>
      </c>
      <c r="G203" s="22" t="s">
        <v>19342</v>
      </c>
      <c r="H203" s="24" t="s">
        <v>19330</v>
      </c>
      <c r="I203" s="22" t="s">
        <v>19309</v>
      </c>
      <c r="J203" s="22" t="s">
        <v>19491</v>
      </c>
      <c r="K203" s="22" t="s">
        <v>15725</v>
      </c>
      <c r="L203" s="22"/>
      <c r="M203" s="22"/>
      <c r="N203" s="25" t="str">
        <f>HYPERLINK("http://slimages.macys.com/is/image/MCY/20853842 ")</f>
        <v xml:space="preserve">http://slimages.macys.com/is/image/MCY/20853842 </v>
      </c>
    </row>
    <row r="204" spans="1:14" x14ac:dyDescent="0.25">
      <c r="A204" s="21" t="s">
        <v>10580</v>
      </c>
      <c r="B204" s="22" t="s">
        <v>10581</v>
      </c>
      <c r="C204" s="2">
        <v>1</v>
      </c>
      <c r="D204" s="23">
        <v>16.84</v>
      </c>
      <c r="E204" s="3">
        <v>16.84</v>
      </c>
      <c r="F204" s="2" t="s">
        <v>10582</v>
      </c>
      <c r="G204" s="22" t="s">
        <v>19338</v>
      </c>
      <c r="H204" s="24" t="s">
        <v>19324</v>
      </c>
      <c r="I204" s="22" t="s">
        <v>19309</v>
      </c>
      <c r="J204" s="22" t="s">
        <v>19708</v>
      </c>
      <c r="K204" s="22" t="s">
        <v>19709</v>
      </c>
      <c r="L204" s="22"/>
      <c r="M204" s="22"/>
      <c r="N204" s="25" t="str">
        <f>HYPERLINK("http://slimages.macys.com/is/image/MCY/21751987 ")</f>
        <v xml:space="preserve">http://slimages.macys.com/is/image/MCY/21751987 </v>
      </c>
    </row>
    <row r="205" spans="1:14" ht="24.75" x14ac:dyDescent="0.25">
      <c r="A205" s="21" t="s">
        <v>10583</v>
      </c>
      <c r="B205" s="22" t="s">
        <v>10584</v>
      </c>
      <c r="C205" s="2">
        <v>1</v>
      </c>
      <c r="D205" s="23">
        <v>16.989999999999998</v>
      </c>
      <c r="E205" s="3">
        <v>16.989999999999998</v>
      </c>
      <c r="F205" s="2" t="s">
        <v>10585</v>
      </c>
      <c r="G205" s="22" t="s">
        <v>19315</v>
      </c>
      <c r="H205" s="24" t="s">
        <v>18393</v>
      </c>
      <c r="I205" s="22" t="s">
        <v>19309</v>
      </c>
      <c r="J205" s="22" t="s">
        <v>19573</v>
      </c>
      <c r="K205" s="22" t="s">
        <v>20228</v>
      </c>
      <c r="L205" s="22" t="s">
        <v>19319</v>
      </c>
      <c r="M205" s="22"/>
      <c r="N205" s="25" t="str">
        <f>HYPERLINK("http://slimages.macys.com/is/image/MCY/10289102 ")</f>
        <v xml:space="preserve">http://slimages.macys.com/is/image/MCY/10289102 </v>
      </c>
    </row>
    <row r="206" spans="1:14" ht="24.75" x14ac:dyDescent="0.25">
      <c r="A206" s="21" t="s">
        <v>10586</v>
      </c>
      <c r="B206" s="22" t="s">
        <v>10587</v>
      </c>
      <c r="C206" s="2">
        <v>1</v>
      </c>
      <c r="D206" s="23">
        <v>24.5</v>
      </c>
      <c r="E206" s="3">
        <v>24.5</v>
      </c>
      <c r="F206" s="2" t="s">
        <v>10588</v>
      </c>
      <c r="G206" s="22" t="s">
        <v>19351</v>
      </c>
      <c r="H206" s="24" t="s">
        <v>18139</v>
      </c>
      <c r="I206" s="22" t="s">
        <v>19309</v>
      </c>
      <c r="J206" s="22" t="s">
        <v>20104</v>
      </c>
      <c r="K206" s="22" t="s">
        <v>20105</v>
      </c>
      <c r="L206" s="22"/>
      <c r="M206" s="22"/>
      <c r="N206" s="25" t="str">
        <f>HYPERLINK("http://slimages.macys.com/is/image/MCY/21419716 ")</f>
        <v xml:space="preserve">http://slimages.macys.com/is/image/MCY/21419716 </v>
      </c>
    </row>
    <row r="207" spans="1:14" ht="24.75" x14ac:dyDescent="0.25">
      <c r="A207" s="21" t="s">
        <v>20242</v>
      </c>
      <c r="B207" s="22" t="s">
        <v>20243</v>
      </c>
      <c r="C207" s="2">
        <v>1</v>
      </c>
      <c r="D207" s="23">
        <v>18.989999999999998</v>
      </c>
      <c r="E207" s="3">
        <v>18.989999999999998</v>
      </c>
      <c r="F207" s="2" t="s">
        <v>20244</v>
      </c>
      <c r="G207" s="22" t="s">
        <v>19323</v>
      </c>
      <c r="H207" s="24" t="s">
        <v>19377</v>
      </c>
      <c r="I207" s="22" t="s">
        <v>19309</v>
      </c>
      <c r="J207" s="22" t="s">
        <v>19908</v>
      </c>
      <c r="K207" s="22" t="s">
        <v>19524</v>
      </c>
      <c r="L207" s="22"/>
      <c r="M207" s="22"/>
      <c r="N207" s="25" t="str">
        <f>HYPERLINK("http://slimages.macys.com/is/image/MCY/21569915 ")</f>
        <v xml:space="preserve">http://slimages.macys.com/is/image/MCY/21569915 </v>
      </c>
    </row>
    <row r="208" spans="1:14" x14ac:dyDescent="0.25">
      <c r="A208" s="21" t="s">
        <v>10589</v>
      </c>
      <c r="B208" s="22" t="s">
        <v>10590</v>
      </c>
      <c r="C208" s="2">
        <v>1</v>
      </c>
      <c r="D208" s="23">
        <v>16.989999999999998</v>
      </c>
      <c r="E208" s="3">
        <v>16.989999999999998</v>
      </c>
      <c r="F208" s="2" t="s">
        <v>18245</v>
      </c>
      <c r="G208" s="22" t="s">
        <v>19431</v>
      </c>
      <c r="H208" s="24" t="s">
        <v>19364</v>
      </c>
      <c r="I208" s="22" t="s">
        <v>19309</v>
      </c>
      <c r="J208" s="22" t="s">
        <v>19849</v>
      </c>
      <c r="K208" s="22" t="s">
        <v>19850</v>
      </c>
      <c r="L208" s="22"/>
      <c r="M208" s="22"/>
      <c r="N208" s="25" t="str">
        <f>HYPERLINK("http://slimages.macys.com/is/image/MCY/21270490 ")</f>
        <v xml:space="preserve">http://slimages.macys.com/is/image/MCY/21270490 </v>
      </c>
    </row>
    <row r="209" spans="1:14" x14ac:dyDescent="0.25">
      <c r="A209" s="21" t="s">
        <v>10591</v>
      </c>
      <c r="B209" s="22" t="s">
        <v>10592</v>
      </c>
      <c r="C209" s="2">
        <v>1</v>
      </c>
      <c r="D209" s="23">
        <v>22.5</v>
      </c>
      <c r="E209" s="3">
        <v>22.5</v>
      </c>
      <c r="F209" s="2" t="s">
        <v>10593</v>
      </c>
      <c r="G209" s="22" t="s">
        <v>19351</v>
      </c>
      <c r="H209" s="24" t="s">
        <v>19334</v>
      </c>
      <c r="I209" s="22" t="s">
        <v>19309</v>
      </c>
      <c r="J209" s="22" t="s">
        <v>19688</v>
      </c>
      <c r="K209" s="22" t="s">
        <v>19614</v>
      </c>
      <c r="L209" s="22"/>
      <c r="M209" s="22"/>
      <c r="N209" s="25" t="str">
        <f>HYPERLINK("http://slimages.macys.com/is/image/MCY/21035833 ")</f>
        <v xml:space="preserve">http://slimages.macys.com/is/image/MCY/21035833 </v>
      </c>
    </row>
    <row r="210" spans="1:14" x14ac:dyDescent="0.25">
      <c r="A210" s="21" t="s">
        <v>10594</v>
      </c>
      <c r="B210" s="22" t="s">
        <v>10595</v>
      </c>
      <c r="C210" s="2">
        <v>1</v>
      </c>
      <c r="D210" s="23">
        <v>24</v>
      </c>
      <c r="E210" s="3">
        <v>24</v>
      </c>
      <c r="F210" s="2" t="s">
        <v>10596</v>
      </c>
      <c r="G210" s="22" t="s">
        <v>19404</v>
      </c>
      <c r="H210" s="24" t="s">
        <v>19538</v>
      </c>
      <c r="I210" s="22" t="s">
        <v>19309</v>
      </c>
      <c r="J210" s="22" t="s">
        <v>19417</v>
      </c>
      <c r="K210" s="22" t="s">
        <v>20110</v>
      </c>
      <c r="L210" s="22"/>
      <c r="M210" s="22"/>
      <c r="N210" s="25" t="str">
        <f>HYPERLINK("http://slimages.macys.com/is/image/MCY/21551777 ")</f>
        <v xml:space="preserve">http://slimages.macys.com/is/image/MCY/21551777 </v>
      </c>
    </row>
    <row r="211" spans="1:14" ht="24.75" x14ac:dyDescent="0.25">
      <c r="A211" s="21" t="s">
        <v>10597</v>
      </c>
      <c r="B211" s="22" t="s">
        <v>10598</v>
      </c>
      <c r="C211" s="2">
        <v>1</v>
      </c>
      <c r="D211" s="23">
        <v>14.99</v>
      </c>
      <c r="E211" s="3">
        <v>14.99</v>
      </c>
      <c r="F211" s="2" t="s">
        <v>10599</v>
      </c>
      <c r="G211" s="22" t="s">
        <v>18644</v>
      </c>
      <c r="H211" s="24"/>
      <c r="I211" s="22" t="s">
        <v>19309</v>
      </c>
      <c r="J211" s="22" t="s">
        <v>19417</v>
      </c>
      <c r="K211" s="22" t="s">
        <v>17976</v>
      </c>
      <c r="L211" s="22"/>
      <c r="M211" s="22"/>
      <c r="N211" s="25" t="str">
        <f>HYPERLINK("http://slimages.macys.com/is/image/MCY/21655532 ")</f>
        <v xml:space="preserve">http://slimages.macys.com/is/image/MCY/21655532 </v>
      </c>
    </row>
    <row r="212" spans="1:14" ht="24.75" x14ac:dyDescent="0.25">
      <c r="A212" s="21" t="s">
        <v>10600</v>
      </c>
      <c r="B212" s="22" t="s">
        <v>10601</v>
      </c>
      <c r="C212" s="2">
        <v>1</v>
      </c>
      <c r="D212" s="23">
        <v>16.989999999999998</v>
      </c>
      <c r="E212" s="3">
        <v>16.989999999999998</v>
      </c>
      <c r="F212" s="2" t="s">
        <v>18263</v>
      </c>
      <c r="G212" s="22" t="s">
        <v>19431</v>
      </c>
      <c r="H212" s="24" t="s">
        <v>19330</v>
      </c>
      <c r="I212" s="22" t="s">
        <v>19309</v>
      </c>
      <c r="J212" s="22" t="s">
        <v>19573</v>
      </c>
      <c r="K212" s="22" t="s">
        <v>19574</v>
      </c>
      <c r="L212" s="22"/>
      <c r="M212" s="22"/>
      <c r="N212" s="25" t="str">
        <f>HYPERLINK("http://slimages.macys.com/is/image/MCY/20143229 ")</f>
        <v xml:space="preserve">http://slimages.macys.com/is/image/MCY/20143229 </v>
      </c>
    </row>
    <row r="213" spans="1:14" x14ac:dyDescent="0.25">
      <c r="A213" s="21" t="s">
        <v>10602</v>
      </c>
      <c r="B213" s="22" t="s">
        <v>10603</v>
      </c>
      <c r="C213" s="2">
        <v>2</v>
      </c>
      <c r="D213" s="23">
        <v>24</v>
      </c>
      <c r="E213" s="3">
        <v>48</v>
      </c>
      <c r="F213" s="2" t="s">
        <v>11056</v>
      </c>
      <c r="G213" s="22" t="s">
        <v>18439</v>
      </c>
      <c r="H213" s="24"/>
      <c r="I213" s="22" t="s">
        <v>19309</v>
      </c>
      <c r="J213" s="22" t="s">
        <v>19417</v>
      </c>
      <c r="K213" s="22" t="s">
        <v>20110</v>
      </c>
      <c r="L213" s="22"/>
      <c r="M213" s="22"/>
      <c r="N213" s="25" t="str">
        <f>HYPERLINK("http://slimages.macys.com/is/image/MCY/21400727 ")</f>
        <v xml:space="preserve">http://slimages.macys.com/is/image/MCY/21400727 </v>
      </c>
    </row>
    <row r="214" spans="1:14" x14ac:dyDescent="0.25">
      <c r="A214" s="21" t="s">
        <v>10604</v>
      </c>
      <c r="B214" s="22" t="s">
        <v>10605</v>
      </c>
      <c r="C214" s="2">
        <v>2</v>
      </c>
      <c r="D214" s="23">
        <v>24</v>
      </c>
      <c r="E214" s="3">
        <v>48</v>
      </c>
      <c r="F214" s="2" t="s">
        <v>11056</v>
      </c>
      <c r="G214" s="22" t="s">
        <v>18439</v>
      </c>
      <c r="H214" s="24" t="s">
        <v>19770</v>
      </c>
      <c r="I214" s="22" t="s">
        <v>19309</v>
      </c>
      <c r="J214" s="22" t="s">
        <v>19417</v>
      </c>
      <c r="K214" s="22" t="s">
        <v>20110</v>
      </c>
      <c r="L214" s="22"/>
      <c r="M214" s="22"/>
      <c r="N214" s="25" t="str">
        <f>HYPERLINK("http://slimages.macys.com/is/image/MCY/21400727 ")</f>
        <v xml:space="preserve">http://slimages.macys.com/is/image/MCY/21400727 </v>
      </c>
    </row>
    <row r="215" spans="1:14" x14ac:dyDescent="0.25">
      <c r="A215" s="21" t="s">
        <v>10606</v>
      </c>
      <c r="B215" s="22" t="s">
        <v>10607</v>
      </c>
      <c r="C215" s="2">
        <v>1</v>
      </c>
      <c r="D215" s="23">
        <v>16.989999999999998</v>
      </c>
      <c r="E215" s="3">
        <v>16.989999999999998</v>
      </c>
      <c r="F215" s="2" t="s">
        <v>13743</v>
      </c>
      <c r="G215" s="22" t="s">
        <v>19431</v>
      </c>
      <c r="H215" s="24" t="s">
        <v>19797</v>
      </c>
      <c r="I215" s="22" t="s">
        <v>19309</v>
      </c>
      <c r="J215" s="22" t="s">
        <v>19849</v>
      </c>
      <c r="K215" s="22" t="s">
        <v>19850</v>
      </c>
      <c r="L215" s="22"/>
      <c r="M215" s="22"/>
      <c r="N215" s="25" t="str">
        <f>HYPERLINK("http://slimages.macys.com/is/image/MCY/20549489 ")</f>
        <v xml:space="preserve">http://slimages.macys.com/is/image/MCY/20549489 </v>
      </c>
    </row>
    <row r="216" spans="1:14" x14ac:dyDescent="0.25">
      <c r="A216" s="21" t="s">
        <v>13741</v>
      </c>
      <c r="B216" s="22" t="s">
        <v>13742</v>
      </c>
      <c r="C216" s="2">
        <v>1</v>
      </c>
      <c r="D216" s="23">
        <v>16.989999999999998</v>
      </c>
      <c r="E216" s="3">
        <v>16.989999999999998</v>
      </c>
      <c r="F216" s="2" t="s">
        <v>13743</v>
      </c>
      <c r="G216" s="22" t="s">
        <v>19431</v>
      </c>
      <c r="H216" s="24" t="s">
        <v>19364</v>
      </c>
      <c r="I216" s="22" t="s">
        <v>19309</v>
      </c>
      <c r="J216" s="22" t="s">
        <v>19849</v>
      </c>
      <c r="K216" s="22" t="s">
        <v>19850</v>
      </c>
      <c r="L216" s="22"/>
      <c r="M216" s="22"/>
      <c r="N216" s="25" t="str">
        <f>HYPERLINK("http://slimages.macys.com/is/image/MCY/20549489 ")</f>
        <v xml:space="preserve">http://slimages.macys.com/is/image/MCY/20549489 </v>
      </c>
    </row>
    <row r="217" spans="1:14" x14ac:dyDescent="0.25">
      <c r="A217" s="21" t="s">
        <v>10608</v>
      </c>
      <c r="B217" s="22" t="s">
        <v>10609</v>
      </c>
      <c r="C217" s="2">
        <v>2</v>
      </c>
      <c r="D217" s="23">
        <v>16.989999999999998</v>
      </c>
      <c r="E217" s="3">
        <v>33.979999999999997</v>
      </c>
      <c r="F217" s="2" t="s">
        <v>13743</v>
      </c>
      <c r="G217" s="22" t="s">
        <v>19431</v>
      </c>
      <c r="H217" s="24" t="s">
        <v>19339</v>
      </c>
      <c r="I217" s="22" t="s">
        <v>19309</v>
      </c>
      <c r="J217" s="22" t="s">
        <v>19849</v>
      </c>
      <c r="K217" s="22" t="s">
        <v>19850</v>
      </c>
      <c r="L217" s="22"/>
      <c r="M217" s="22"/>
      <c r="N217" s="25" t="str">
        <f>HYPERLINK("http://slimages.macys.com/is/image/MCY/20549489 ")</f>
        <v xml:space="preserve">http://slimages.macys.com/is/image/MCY/20549489 </v>
      </c>
    </row>
    <row r="218" spans="1:14" ht="24.75" x14ac:dyDescent="0.25">
      <c r="A218" s="21" t="s">
        <v>10610</v>
      </c>
      <c r="B218" s="22" t="s">
        <v>10611</v>
      </c>
      <c r="C218" s="2">
        <v>1</v>
      </c>
      <c r="D218" s="23">
        <v>12</v>
      </c>
      <c r="E218" s="3">
        <v>12</v>
      </c>
      <c r="F218" s="2" t="s">
        <v>10612</v>
      </c>
      <c r="G218" s="22" t="s">
        <v>19594</v>
      </c>
      <c r="H218" s="24"/>
      <c r="I218" s="22" t="s">
        <v>19309</v>
      </c>
      <c r="J218" s="22" t="s">
        <v>19317</v>
      </c>
      <c r="K218" s="22" t="s">
        <v>16124</v>
      </c>
      <c r="L218" s="22" t="s">
        <v>19319</v>
      </c>
      <c r="M218" s="22" t="s">
        <v>19435</v>
      </c>
      <c r="N218" s="25" t="str">
        <f>HYPERLINK("http://slimages.macys.com/is/image/MCY/12953573 ")</f>
        <v xml:space="preserve">http://slimages.macys.com/is/image/MCY/12953573 </v>
      </c>
    </row>
    <row r="219" spans="1:14" ht="24.75" x14ac:dyDescent="0.25">
      <c r="A219" s="21" t="s">
        <v>20312</v>
      </c>
      <c r="B219" s="22" t="s">
        <v>19916</v>
      </c>
      <c r="C219" s="2">
        <v>1</v>
      </c>
      <c r="D219" s="23">
        <v>16.989999999999998</v>
      </c>
      <c r="E219" s="3">
        <v>16.989999999999998</v>
      </c>
      <c r="F219" s="2" t="s">
        <v>20311</v>
      </c>
      <c r="G219" s="22" t="s">
        <v>19713</v>
      </c>
      <c r="H219" s="24"/>
      <c r="I219" s="22" t="s">
        <v>19309</v>
      </c>
      <c r="J219" s="22" t="s">
        <v>19573</v>
      </c>
      <c r="K219" s="22" t="s">
        <v>19574</v>
      </c>
      <c r="L219" s="22"/>
      <c r="M219" s="22"/>
      <c r="N219" s="25" t="str">
        <f>HYPERLINK("http://slimages.macys.com/is/image/MCY/1597998 ")</f>
        <v xml:space="preserve">http://slimages.macys.com/is/image/MCY/1597998 </v>
      </c>
    </row>
    <row r="220" spans="1:14" ht="24.75" x14ac:dyDescent="0.25">
      <c r="A220" s="21" t="s">
        <v>20313</v>
      </c>
      <c r="B220" s="22" t="s">
        <v>19913</v>
      </c>
      <c r="C220" s="2">
        <v>1</v>
      </c>
      <c r="D220" s="23">
        <v>16.989999999999998</v>
      </c>
      <c r="E220" s="3">
        <v>16.989999999999998</v>
      </c>
      <c r="F220" s="2" t="s">
        <v>20311</v>
      </c>
      <c r="G220" s="22" t="s">
        <v>19713</v>
      </c>
      <c r="H220" s="24" t="s">
        <v>19384</v>
      </c>
      <c r="I220" s="22" t="s">
        <v>19309</v>
      </c>
      <c r="J220" s="22" t="s">
        <v>19573</v>
      </c>
      <c r="K220" s="22" t="s">
        <v>19574</v>
      </c>
      <c r="L220" s="22"/>
      <c r="M220" s="22"/>
      <c r="N220" s="25" t="str">
        <f>HYPERLINK("http://slimages.macys.com/is/image/MCY/1597998 ")</f>
        <v xml:space="preserve">http://slimages.macys.com/is/image/MCY/1597998 </v>
      </c>
    </row>
    <row r="221" spans="1:14" ht="24.75" x14ac:dyDescent="0.25">
      <c r="A221" s="21" t="s">
        <v>11725</v>
      </c>
      <c r="B221" s="22" t="s">
        <v>11726</v>
      </c>
      <c r="C221" s="2">
        <v>1</v>
      </c>
      <c r="D221" s="23">
        <v>14.99</v>
      </c>
      <c r="E221" s="3">
        <v>14.99</v>
      </c>
      <c r="F221" s="2" t="s">
        <v>11727</v>
      </c>
      <c r="G221" s="22" t="s">
        <v>19315</v>
      </c>
      <c r="H221" s="24" t="s">
        <v>19907</v>
      </c>
      <c r="I221" s="22" t="s">
        <v>19309</v>
      </c>
      <c r="J221" s="22" t="s">
        <v>19815</v>
      </c>
      <c r="K221" s="22" t="s">
        <v>19816</v>
      </c>
      <c r="L221" s="22"/>
      <c r="M221" s="22"/>
      <c r="N221" s="25" t="str">
        <f>HYPERLINK("http://slimages.macys.com/is/image/MCY/1107146 ")</f>
        <v xml:space="preserve">http://slimages.macys.com/is/image/MCY/1107146 </v>
      </c>
    </row>
    <row r="222" spans="1:14" ht="24.75" x14ac:dyDescent="0.25">
      <c r="A222" s="21" t="s">
        <v>10613</v>
      </c>
      <c r="B222" s="22" t="s">
        <v>10614</v>
      </c>
      <c r="C222" s="2">
        <v>1</v>
      </c>
      <c r="D222" s="23">
        <v>14.99</v>
      </c>
      <c r="E222" s="3">
        <v>14.99</v>
      </c>
      <c r="F222" s="2" t="s">
        <v>11727</v>
      </c>
      <c r="G222" s="22" t="s">
        <v>19315</v>
      </c>
      <c r="H222" s="24" t="s">
        <v>19361</v>
      </c>
      <c r="I222" s="22" t="s">
        <v>19309</v>
      </c>
      <c r="J222" s="22" t="s">
        <v>19815</v>
      </c>
      <c r="K222" s="22" t="s">
        <v>19816</v>
      </c>
      <c r="L222" s="22"/>
      <c r="M222" s="22"/>
      <c r="N222" s="25" t="str">
        <f>HYPERLINK("http://slimages.macys.com/is/image/MCY/1107146 ")</f>
        <v xml:space="preserve">http://slimages.macys.com/is/image/MCY/1107146 </v>
      </c>
    </row>
    <row r="223" spans="1:14" ht="24.75" x14ac:dyDescent="0.25">
      <c r="A223" s="21" t="s">
        <v>10615</v>
      </c>
      <c r="B223" s="22" t="s">
        <v>10616</v>
      </c>
      <c r="C223" s="2">
        <v>1</v>
      </c>
      <c r="D223" s="23">
        <v>14.99</v>
      </c>
      <c r="E223" s="3">
        <v>14.99</v>
      </c>
      <c r="F223" s="2" t="s">
        <v>11727</v>
      </c>
      <c r="G223" s="22" t="s">
        <v>18429</v>
      </c>
      <c r="H223" s="24" t="s">
        <v>19542</v>
      </c>
      <c r="I223" s="22" t="s">
        <v>19309</v>
      </c>
      <c r="J223" s="22" t="s">
        <v>19815</v>
      </c>
      <c r="K223" s="22" t="s">
        <v>19816</v>
      </c>
      <c r="L223" s="22"/>
      <c r="M223" s="22"/>
      <c r="N223" s="25" t="str">
        <f>HYPERLINK("http://slimages.macys.com/is/image/MCY/21278500 ")</f>
        <v xml:space="preserve">http://slimages.macys.com/is/image/MCY/21278500 </v>
      </c>
    </row>
    <row r="224" spans="1:14" ht="24.75" x14ac:dyDescent="0.25">
      <c r="A224" s="21" t="s">
        <v>10617</v>
      </c>
      <c r="B224" s="22" t="s">
        <v>10618</v>
      </c>
      <c r="C224" s="2">
        <v>1</v>
      </c>
      <c r="D224" s="23">
        <v>11.99</v>
      </c>
      <c r="E224" s="3">
        <v>11.99</v>
      </c>
      <c r="F224" s="2" t="s">
        <v>16160</v>
      </c>
      <c r="G224" s="22" t="s">
        <v>19351</v>
      </c>
      <c r="H224" s="24" t="s">
        <v>19364</v>
      </c>
      <c r="I224" s="22" t="s">
        <v>19309</v>
      </c>
      <c r="J224" s="22" t="s">
        <v>19565</v>
      </c>
      <c r="K224" s="22" t="s">
        <v>18548</v>
      </c>
      <c r="L224" s="22"/>
      <c r="M224" s="22"/>
      <c r="N224" s="25" t="str">
        <f>HYPERLINK("http://slimages.macys.com/is/image/MCY/18750008 ")</f>
        <v xml:space="preserve">http://slimages.macys.com/is/image/MCY/18750008 </v>
      </c>
    </row>
    <row r="225" spans="1:14" x14ac:dyDescent="0.25">
      <c r="A225" s="21" t="s">
        <v>10619</v>
      </c>
      <c r="B225" s="22" t="s">
        <v>10620</v>
      </c>
      <c r="C225" s="2">
        <v>1</v>
      </c>
      <c r="D225" s="23">
        <v>24</v>
      </c>
      <c r="E225" s="3">
        <v>24</v>
      </c>
      <c r="F225" s="2" t="s">
        <v>10621</v>
      </c>
      <c r="G225" s="22" t="s">
        <v>19422</v>
      </c>
      <c r="H225" s="24" t="s">
        <v>19384</v>
      </c>
      <c r="I225" s="22" t="s">
        <v>19309</v>
      </c>
      <c r="J225" s="22" t="s">
        <v>19417</v>
      </c>
      <c r="K225" s="22" t="s">
        <v>20110</v>
      </c>
      <c r="L225" s="22"/>
      <c r="M225" s="22"/>
      <c r="N225" s="25" t="str">
        <f>HYPERLINK("http://slimages.macys.com/is/image/MCY/21400727 ")</f>
        <v xml:space="preserve">http://slimages.macys.com/is/image/MCY/21400727 </v>
      </c>
    </row>
    <row r="226" spans="1:14" ht="24.75" x14ac:dyDescent="0.25">
      <c r="A226" s="21" t="s">
        <v>10622</v>
      </c>
      <c r="B226" s="22" t="s">
        <v>10623</v>
      </c>
      <c r="C226" s="2">
        <v>1</v>
      </c>
      <c r="D226" s="23">
        <v>13.99</v>
      </c>
      <c r="E226" s="3">
        <v>13.99</v>
      </c>
      <c r="F226" s="2" t="s">
        <v>18292</v>
      </c>
      <c r="G226" s="22" t="s">
        <v>19585</v>
      </c>
      <c r="H226" s="24" t="s">
        <v>19384</v>
      </c>
      <c r="I226" s="22" t="s">
        <v>19309</v>
      </c>
      <c r="J226" s="22" t="s">
        <v>19573</v>
      </c>
      <c r="K226" s="22" t="s">
        <v>19574</v>
      </c>
      <c r="L226" s="22"/>
      <c r="M226" s="22"/>
      <c r="N226" s="25" t="str">
        <f>HYPERLINK("http://slimages.macys.com/is/image/MCY/20757449 ")</f>
        <v xml:space="preserve">http://slimages.macys.com/is/image/MCY/20757449 </v>
      </c>
    </row>
    <row r="227" spans="1:14" x14ac:dyDescent="0.25">
      <c r="A227" s="21" t="s">
        <v>13196</v>
      </c>
      <c r="B227" s="22" t="s">
        <v>13197</v>
      </c>
      <c r="C227" s="2">
        <v>1</v>
      </c>
      <c r="D227" s="23">
        <v>15.13</v>
      </c>
      <c r="E227" s="3">
        <v>15.13</v>
      </c>
      <c r="F227" s="2" t="s">
        <v>18360</v>
      </c>
      <c r="G227" s="22" t="s">
        <v>18361</v>
      </c>
      <c r="H227" s="24" t="s">
        <v>20152</v>
      </c>
      <c r="I227" s="22" t="s">
        <v>19309</v>
      </c>
      <c r="J227" s="22" t="s">
        <v>19708</v>
      </c>
      <c r="K227" s="22" t="s">
        <v>19709</v>
      </c>
      <c r="L227" s="22"/>
      <c r="M227" s="22"/>
      <c r="N227" s="25" t="str">
        <f>HYPERLINK("http://slimages.macys.com/is/image/MCY/21758813 ")</f>
        <v xml:space="preserve">http://slimages.macys.com/is/image/MCY/21758813 </v>
      </c>
    </row>
    <row r="228" spans="1:14" x14ac:dyDescent="0.25">
      <c r="A228" s="21" t="s">
        <v>13201</v>
      </c>
      <c r="B228" s="22" t="s">
        <v>13202</v>
      </c>
      <c r="C228" s="2">
        <v>1</v>
      </c>
      <c r="D228" s="23">
        <v>15.13</v>
      </c>
      <c r="E228" s="3">
        <v>15.13</v>
      </c>
      <c r="F228" s="2" t="s">
        <v>13200</v>
      </c>
      <c r="G228" s="22" t="s">
        <v>19594</v>
      </c>
      <c r="H228" s="24" t="s">
        <v>19324</v>
      </c>
      <c r="I228" s="22" t="s">
        <v>19309</v>
      </c>
      <c r="J228" s="22" t="s">
        <v>19708</v>
      </c>
      <c r="K228" s="22" t="s">
        <v>19709</v>
      </c>
      <c r="L228" s="22"/>
      <c r="M228" s="22"/>
      <c r="N228" s="25" t="str">
        <f>HYPERLINK("http://slimages.macys.com/is/image/MCY/21758187 ")</f>
        <v xml:space="preserve">http://slimages.macys.com/is/image/MCY/21758187 </v>
      </c>
    </row>
    <row r="229" spans="1:14" x14ac:dyDescent="0.25">
      <c r="A229" s="21" t="s">
        <v>10624</v>
      </c>
      <c r="B229" s="22" t="s">
        <v>10625</v>
      </c>
      <c r="C229" s="2">
        <v>1</v>
      </c>
      <c r="D229" s="23">
        <v>14.93</v>
      </c>
      <c r="E229" s="3">
        <v>14.93</v>
      </c>
      <c r="F229" s="2" t="s">
        <v>13207</v>
      </c>
      <c r="G229" s="22" t="s">
        <v>19338</v>
      </c>
      <c r="H229" s="24" t="s">
        <v>20159</v>
      </c>
      <c r="I229" s="22" t="s">
        <v>19309</v>
      </c>
      <c r="J229" s="22" t="s">
        <v>19708</v>
      </c>
      <c r="K229" s="22" t="s">
        <v>19709</v>
      </c>
      <c r="L229" s="22"/>
      <c r="M229" s="22"/>
      <c r="N229" s="25" t="str">
        <f>HYPERLINK("http://slimages.macys.com/is/image/MCY/22596065 ")</f>
        <v xml:space="preserve">http://slimages.macys.com/is/image/MCY/22596065 </v>
      </c>
    </row>
    <row r="230" spans="1:14" x14ac:dyDescent="0.25">
      <c r="A230" s="21" t="s">
        <v>13205</v>
      </c>
      <c r="B230" s="22" t="s">
        <v>13206</v>
      </c>
      <c r="C230" s="2">
        <v>1</v>
      </c>
      <c r="D230" s="23">
        <v>14.93</v>
      </c>
      <c r="E230" s="3">
        <v>14.93</v>
      </c>
      <c r="F230" s="2" t="s">
        <v>13207</v>
      </c>
      <c r="G230" s="22" t="s">
        <v>19338</v>
      </c>
      <c r="H230" s="24" t="s">
        <v>19770</v>
      </c>
      <c r="I230" s="22" t="s">
        <v>19309</v>
      </c>
      <c r="J230" s="22" t="s">
        <v>19708</v>
      </c>
      <c r="K230" s="22" t="s">
        <v>19709</v>
      </c>
      <c r="L230" s="22"/>
      <c r="M230" s="22"/>
      <c r="N230" s="25" t="str">
        <f>HYPERLINK("http://slimages.macys.com/is/image/MCY/22596065 ")</f>
        <v xml:space="preserve">http://slimages.macys.com/is/image/MCY/22596065 </v>
      </c>
    </row>
    <row r="231" spans="1:14" x14ac:dyDescent="0.25">
      <c r="A231" s="21" t="s">
        <v>10626</v>
      </c>
      <c r="B231" s="22" t="s">
        <v>10627</v>
      </c>
      <c r="C231" s="2">
        <v>1</v>
      </c>
      <c r="D231" s="23">
        <v>22</v>
      </c>
      <c r="E231" s="3">
        <v>22</v>
      </c>
      <c r="F231" s="2" t="s">
        <v>10628</v>
      </c>
      <c r="G231" s="22" t="s">
        <v>19351</v>
      </c>
      <c r="H231" s="24" t="s">
        <v>20109</v>
      </c>
      <c r="I231" s="22" t="s">
        <v>19309</v>
      </c>
      <c r="J231" s="22" t="s">
        <v>19417</v>
      </c>
      <c r="K231" s="22" t="s">
        <v>20110</v>
      </c>
      <c r="L231" s="22"/>
      <c r="M231" s="22"/>
      <c r="N231" s="25" t="str">
        <f>HYPERLINK("http://slimages.macys.com/is/image/MCY/21735554 ")</f>
        <v xml:space="preserve">http://slimages.macys.com/is/image/MCY/21735554 </v>
      </c>
    </row>
    <row r="232" spans="1:14" ht="24.75" x14ac:dyDescent="0.25">
      <c r="A232" s="21" t="s">
        <v>10629</v>
      </c>
      <c r="B232" s="22" t="s">
        <v>10630</v>
      </c>
      <c r="C232" s="2">
        <v>1</v>
      </c>
      <c r="D232" s="23">
        <v>22</v>
      </c>
      <c r="E232" s="3">
        <v>22</v>
      </c>
      <c r="F232" s="2" t="s">
        <v>16175</v>
      </c>
      <c r="G232" s="22" t="s">
        <v>19404</v>
      </c>
      <c r="H232" s="24"/>
      <c r="I232" s="22" t="s">
        <v>19309</v>
      </c>
      <c r="J232" s="22" t="s">
        <v>19417</v>
      </c>
      <c r="K232" s="22" t="s">
        <v>20110</v>
      </c>
      <c r="L232" s="22"/>
      <c r="M232" s="22"/>
      <c r="N232" s="25" t="str">
        <f>HYPERLINK("http://slimages.macys.com/is/image/MCY/21735554 ")</f>
        <v xml:space="preserve">http://slimages.macys.com/is/image/MCY/21735554 </v>
      </c>
    </row>
    <row r="233" spans="1:14" ht="24.75" x14ac:dyDescent="0.25">
      <c r="A233" s="21" t="s">
        <v>10631</v>
      </c>
      <c r="B233" s="22" t="s">
        <v>10632</v>
      </c>
      <c r="C233" s="2">
        <v>1</v>
      </c>
      <c r="D233" s="23">
        <v>12.99</v>
      </c>
      <c r="E233" s="3">
        <v>12.99</v>
      </c>
      <c r="F233" s="2" t="s">
        <v>10633</v>
      </c>
      <c r="G233" s="22" t="s">
        <v>20145</v>
      </c>
      <c r="H233" s="24" t="s">
        <v>20135</v>
      </c>
      <c r="I233" s="22" t="s">
        <v>19309</v>
      </c>
      <c r="J233" s="22" t="s">
        <v>19454</v>
      </c>
      <c r="K233" s="22" t="s">
        <v>19524</v>
      </c>
      <c r="L233" s="22"/>
      <c r="M233" s="22"/>
      <c r="N233" s="25" t="str">
        <f>HYPERLINK("http://slimages.macys.com/is/image/MCY/1472529 ")</f>
        <v xml:space="preserve">http://slimages.macys.com/is/image/MCY/1472529 </v>
      </c>
    </row>
    <row r="234" spans="1:14" ht="24.75" x14ac:dyDescent="0.25">
      <c r="A234" s="21" t="s">
        <v>10634</v>
      </c>
      <c r="B234" s="22" t="s">
        <v>10635</v>
      </c>
      <c r="C234" s="2">
        <v>1</v>
      </c>
      <c r="D234" s="23">
        <v>13.99</v>
      </c>
      <c r="E234" s="3">
        <v>13.99</v>
      </c>
      <c r="F234" s="2" t="s">
        <v>16480</v>
      </c>
      <c r="G234" s="22" t="s">
        <v>19431</v>
      </c>
      <c r="H234" s="24" t="s">
        <v>19907</v>
      </c>
      <c r="I234" s="22" t="s">
        <v>19309</v>
      </c>
      <c r="J234" s="22" t="s">
        <v>19573</v>
      </c>
      <c r="K234" s="22" t="s">
        <v>19574</v>
      </c>
      <c r="L234" s="22"/>
      <c r="M234" s="22"/>
      <c r="N234" s="25" t="str">
        <f>HYPERLINK("http://slimages.macys.com/is/image/MCY/18509163 ")</f>
        <v xml:space="preserve">http://slimages.macys.com/is/image/MCY/18509163 </v>
      </c>
    </row>
    <row r="235" spans="1:14" ht="24.75" x14ac:dyDescent="0.25">
      <c r="A235" s="21" t="s">
        <v>10636</v>
      </c>
      <c r="B235" s="22" t="s">
        <v>10637</v>
      </c>
      <c r="C235" s="2">
        <v>1</v>
      </c>
      <c r="D235" s="23">
        <v>8.99</v>
      </c>
      <c r="E235" s="3">
        <v>8.99</v>
      </c>
      <c r="F235" s="2" t="s">
        <v>18428</v>
      </c>
      <c r="G235" s="22" t="s">
        <v>18429</v>
      </c>
      <c r="H235" s="24" t="s">
        <v>19395</v>
      </c>
      <c r="I235" s="22" t="s">
        <v>19309</v>
      </c>
      <c r="J235" s="22" t="s">
        <v>19310</v>
      </c>
      <c r="K235" s="22" t="s">
        <v>19468</v>
      </c>
      <c r="L235" s="22"/>
      <c r="M235" s="22"/>
      <c r="N235" s="25" t="str">
        <f>HYPERLINK("http://slimages.macys.com/is/image/MCY/21184204 ")</f>
        <v xml:space="preserve">http://slimages.macys.com/is/image/MCY/21184204 </v>
      </c>
    </row>
    <row r="236" spans="1:14" ht="24.75" x14ac:dyDescent="0.25">
      <c r="A236" s="21" t="s">
        <v>18426</v>
      </c>
      <c r="B236" s="22" t="s">
        <v>18427</v>
      </c>
      <c r="C236" s="2">
        <v>2</v>
      </c>
      <c r="D236" s="23">
        <v>8.99</v>
      </c>
      <c r="E236" s="3">
        <v>17.98</v>
      </c>
      <c r="F236" s="2" t="s">
        <v>18428</v>
      </c>
      <c r="G236" s="22" t="s">
        <v>18429</v>
      </c>
      <c r="H236" s="24" t="s">
        <v>19361</v>
      </c>
      <c r="I236" s="22" t="s">
        <v>19309</v>
      </c>
      <c r="J236" s="22" t="s">
        <v>19310</v>
      </c>
      <c r="K236" s="22" t="s">
        <v>19468</v>
      </c>
      <c r="L236" s="22"/>
      <c r="M236" s="22"/>
      <c r="N236" s="25" t="str">
        <f>HYPERLINK("http://slimages.macys.com/is/image/MCY/21184204 ")</f>
        <v xml:space="preserve">http://slimages.macys.com/is/image/MCY/21184204 </v>
      </c>
    </row>
    <row r="237" spans="1:14" x14ac:dyDescent="0.25">
      <c r="A237" s="21" t="s">
        <v>10638</v>
      </c>
      <c r="B237" s="22" t="s">
        <v>10639</v>
      </c>
      <c r="C237" s="2">
        <v>1</v>
      </c>
      <c r="D237" s="23">
        <v>13.99</v>
      </c>
      <c r="E237" s="3">
        <v>13.99</v>
      </c>
      <c r="F237" s="2" t="s">
        <v>10640</v>
      </c>
      <c r="G237" s="22" t="s">
        <v>19431</v>
      </c>
      <c r="H237" s="24" t="s">
        <v>19364</v>
      </c>
      <c r="I237" s="22" t="s">
        <v>19309</v>
      </c>
      <c r="J237" s="22" t="s">
        <v>19849</v>
      </c>
      <c r="K237" s="22" t="s">
        <v>19850</v>
      </c>
      <c r="L237" s="22"/>
      <c r="M237" s="22"/>
      <c r="N237" s="25" t="str">
        <f>HYPERLINK("http://slimages.macys.com/is/image/MCY/20549363 ")</f>
        <v xml:space="preserve">http://slimages.macys.com/is/image/MCY/20549363 </v>
      </c>
    </row>
    <row r="238" spans="1:14" ht="24.75" x14ac:dyDescent="0.25">
      <c r="A238" s="21" t="s">
        <v>10641</v>
      </c>
      <c r="B238" s="22" t="s">
        <v>10642</v>
      </c>
      <c r="C238" s="2">
        <v>1</v>
      </c>
      <c r="D238" s="23">
        <v>15.99</v>
      </c>
      <c r="E238" s="3">
        <v>15.99</v>
      </c>
      <c r="F238" s="2" t="s">
        <v>10643</v>
      </c>
      <c r="G238" s="22"/>
      <c r="H238" s="24" t="s">
        <v>17505</v>
      </c>
      <c r="I238" s="22" t="s">
        <v>19309</v>
      </c>
      <c r="J238" s="22" t="s">
        <v>16678</v>
      </c>
      <c r="K238" s="22" t="s">
        <v>16679</v>
      </c>
      <c r="L238" s="22"/>
      <c r="M238" s="22"/>
      <c r="N238" s="25" t="str">
        <f>HYPERLINK("http://slimages.macys.com/is/image/MCY/20138243 ")</f>
        <v xml:space="preserve">http://slimages.macys.com/is/image/MCY/20138243 </v>
      </c>
    </row>
    <row r="239" spans="1:14" ht="24.75" x14ac:dyDescent="0.25">
      <c r="A239" s="21" t="s">
        <v>10644</v>
      </c>
      <c r="B239" s="22" t="s">
        <v>10645</v>
      </c>
      <c r="C239" s="2">
        <v>2</v>
      </c>
      <c r="D239" s="23">
        <v>13.99</v>
      </c>
      <c r="E239" s="3">
        <v>27.98</v>
      </c>
      <c r="F239" s="2" t="s">
        <v>16199</v>
      </c>
      <c r="G239" s="22" t="s">
        <v>18439</v>
      </c>
      <c r="H239" s="24" t="s">
        <v>19330</v>
      </c>
      <c r="I239" s="22" t="s">
        <v>19309</v>
      </c>
      <c r="J239" s="22" t="s">
        <v>19573</v>
      </c>
      <c r="K239" s="22" t="s">
        <v>19574</v>
      </c>
      <c r="L239" s="22"/>
      <c r="M239" s="22"/>
      <c r="N239" s="25" t="str">
        <f>HYPERLINK("http://slimages.macys.com/is/image/MCY/20757807 ")</f>
        <v xml:space="preserve">http://slimages.macys.com/is/image/MCY/20757807 </v>
      </c>
    </row>
    <row r="240" spans="1:14" ht="24.75" x14ac:dyDescent="0.25">
      <c r="A240" s="21" t="s">
        <v>16197</v>
      </c>
      <c r="B240" s="22" t="s">
        <v>16198</v>
      </c>
      <c r="C240" s="2">
        <v>2</v>
      </c>
      <c r="D240" s="23">
        <v>13.99</v>
      </c>
      <c r="E240" s="3">
        <v>27.98</v>
      </c>
      <c r="F240" s="2" t="s">
        <v>16199</v>
      </c>
      <c r="G240" s="22" t="s">
        <v>18439</v>
      </c>
      <c r="H240" s="24"/>
      <c r="I240" s="22" t="s">
        <v>19309</v>
      </c>
      <c r="J240" s="22" t="s">
        <v>19573</v>
      </c>
      <c r="K240" s="22" t="s">
        <v>19574</v>
      </c>
      <c r="L240" s="22"/>
      <c r="M240" s="22"/>
      <c r="N240" s="25" t="str">
        <f>HYPERLINK("http://slimages.macys.com/is/image/MCY/20757807 ")</f>
        <v xml:space="preserve">http://slimages.macys.com/is/image/MCY/20757807 </v>
      </c>
    </row>
    <row r="241" spans="1:14" ht="24.75" x14ac:dyDescent="0.25">
      <c r="A241" s="21" t="s">
        <v>16200</v>
      </c>
      <c r="B241" s="22" t="s">
        <v>16201</v>
      </c>
      <c r="C241" s="2">
        <v>3</v>
      </c>
      <c r="D241" s="23">
        <v>13.99</v>
      </c>
      <c r="E241" s="3">
        <v>41.97</v>
      </c>
      <c r="F241" s="2" t="s">
        <v>16199</v>
      </c>
      <c r="G241" s="22" t="s">
        <v>18439</v>
      </c>
      <c r="H241" s="24" t="s">
        <v>19384</v>
      </c>
      <c r="I241" s="22" t="s">
        <v>19309</v>
      </c>
      <c r="J241" s="22" t="s">
        <v>19573</v>
      </c>
      <c r="K241" s="22" t="s">
        <v>19574</v>
      </c>
      <c r="L241" s="22"/>
      <c r="M241" s="22"/>
      <c r="N241" s="25" t="str">
        <f>HYPERLINK("http://slimages.macys.com/is/image/MCY/20757807 ")</f>
        <v xml:space="preserve">http://slimages.macys.com/is/image/MCY/20757807 </v>
      </c>
    </row>
    <row r="242" spans="1:14" ht="24.75" x14ac:dyDescent="0.25">
      <c r="A242" s="21" t="s">
        <v>10646</v>
      </c>
      <c r="B242" s="22" t="s">
        <v>10647</v>
      </c>
      <c r="C242" s="2">
        <v>2</v>
      </c>
      <c r="D242" s="23">
        <v>13.99</v>
      </c>
      <c r="E242" s="3">
        <v>27.98</v>
      </c>
      <c r="F242" s="2" t="s">
        <v>16199</v>
      </c>
      <c r="G242" s="22" t="s">
        <v>18439</v>
      </c>
      <c r="H242" s="24" t="s">
        <v>19324</v>
      </c>
      <c r="I242" s="22" t="s">
        <v>19309</v>
      </c>
      <c r="J242" s="22" t="s">
        <v>19573</v>
      </c>
      <c r="K242" s="22" t="s">
        <v>19574</v>
      </c>
      <c r="L242" s="22"/>
      <c r="M242" s="22"/>
      <c r="N242" s="25" t="str">
        <f>HYPERLINK("http://slimages.macys.com/is/image/MCY/20757807 ")</f>
        <v xml:space="preserve">http://slimages.macys.com/is/image/MCY/20757807 </v>
      </c>
    </row>
    <row r="243" spans="1:14" ht="24.75" x14ac:dyDescent="0.25">
      <c r="A243" s="21" t="s">
        <v>10648</v>
      </c>
      <c r="B243" s="22" t="s">
        <v>10649</v>
      </c>
      <c r="C243" s="2">
        <v>1</v>
      </c>
      <c r="D243" s="23">
        <v>13.99</v>
      </c>
      <c r="E243" s="3">
        <v>13.99</v>
      </c>
      <c r="F243" s="2" t="s">
        <v>16199</v>
      </c>
      <c r="G243" s="22" t="s">
        <v>18439</v>
      </c>
      <c r="H243" s="24" t="s">
        <v>19538</v>
      </c>
      <c r="I243" s="22" t="s">
        <v>19309</v>
      </c>
      <c r="J243" s="22" t="s">
        <v>19573</v>
      </c>
      <c r="K243" s="22" t="s">
        <v>19574</v>
      </c>
      <c r="L243" s="22"/>
      <c r="M243" s="22"/>
      <c r="N243" s="25" t="str">
        <f>HYPERLINK("http://slimages.macys.com/is/image/MCY/20757807 ")</f>
        <v xml:space="preserve">http://slimages.macys.com/is/image/MCY/20757807 </v>
      </c>
    </row>
    <row r="244" spans="1:14" x14ac:dyDescent="0.25">
      <c r="A244" s="21" t="s">
        <v>10650</v>
      </c>
      <c r="B244" s="22" t="s">
        <v>10651</v>
      </c>
      <c r="C244" s="2">
        <v>1</v>
      </c>
      <c r="D244" s="23">
        <v>19.5</v>
      </c>
      <c r="E244" s="3">
        <v>19.5</v>
      </c>
      <c r="F244" s="2" t="s">
        <v>10652</v>
      </c>
      <c r="G244" s="22" t="s">
        <v>19315</v>
      </c>
      <c r="H244" s="24" t="s">
        <v>19361</v>
      </c>
      <c r="I244" s="22" t="s">
        <v>19309</v>
      </c>
      <c r="J244" s="22" t="s">
        <v>19688</v>
      </c>
      <c r="K244" s="22" t="s">
        <v>19614</v>
      </c>
      <c r="L244" s="22"/>
      <c r="M244" s="22"/>
      <c r="N244" s="25" t="str">
        <f>HYPERLINK("http://slimages.macys.com/is/image/MCY/19130159 ")</f>
        <v xml:space="preserve">http://slimages.macys.com/is/image/MCY/19130159 </v>
      </c>
    </row>
    <row r="245" spans="1:14" ht="24.75" x14ac:dyDescent="0.25">
      <c r="A245" s="21" t="s">
        <v>10653</v>
      </c>
      <c r="B245" s="22" t="s">
        <v>10654</v>
      </c>
      <c r="C245" s="2">
        <v>1</v>
      </c>
      <c r="D245" s="23">
        <v>12.99</v>
      </c>
      <c r="E245" s="3">
        <v>12.99</v>
      </c>
      <c r="F245" s="2" t="s">
        <v>10655</v>
      </c>
      <c r="G245" s="22" t="s">
        <v>19635</v>
      </c>
      <c r="H245" s="24" t="s">
        <v>12224</v>
      </c>
      <c r="I245" s="22" t="s">
        <v>19309</v>
      </c>
      <c r="J245" s="22" t="s">
        <v>19417</v>
      </c>
      <c r="K245" s="22" t="s">
        <v>17976</v>
      </c>
      <c r="L245" s="22"/>
      <c r="M245" s="22"/>
      <c r="N245" s="25" t="str">
        <f>HYPERLINK("http://slimages.macys.com/is/image/MCY/21754027 ")</f>
        <v xml:space="preserve">http://slimages.macys.com/is/image/MCY/21754027 </v>
      </c>
    </row>
    <row r="246" spans="1:14" ht="24.75" x14ac:dyDescent="0.25">
      <c r="A246" s="21" t="s">
        <v>13240</v>
      </c>
      <c r="B246" s="22" t="s">
        <v>13241</v>
      </c>
      <c r="C246" s="2">
        <v>1</v>
      </c>
      <c r="D246" s="23">
        <v>12.35</v>
      </c>
      <c r="E246" s="3">
        <v>12.35</v>
      </c>
      <c r="F246" s="2" t="s">
        <v>18454</v>
      </c>
      <c r="G246" s="22"/>
      <c r="H246" s="24" t="s">
        <v>19345</v>
      </c>
      <c r="I246" s="22" t="s">
        <v>19309</v>
      </c>
      <c r="J246" s="22" t="s">
        <v>19602</v>
      </c>
      <c r="K246" s="22" t="s">
        <v>19603</v>
      </c>
      <c r="L246" s="22"/>
      <c r="M246" s="22"/>
      <c r="N246" s="25" t="str">
        <f>HYPERLINK("http://slimages.macys.com/is/image/MCY/22405799 ")</f>
        <v xml:space="preserve">http://slimages.macys.com/is/image/MCY/22405799 </v>
      </c>
    </row>
    <row r="247" spans="1:14" x14ac:dyDescent="0.25">
      <c r="A247" s="21" t="s">
        <v>9845</v>
      </c>
      <c r="B247" s="22" t="s">
        <v>9846</v>
      </c>
      <c r="C247" s="2">
        <v>1</v>
      </c>
      <c r="D247" s="23">
        <v>13.99</v>
      </c>
      <c r="E247" s="3">
        <v>13.99</v>
      </c>
      <c r="F247" s="2" t="s">
        <v>9847</v>
      </c>
      <c r="G247" s="22" t="s">
        <v>19477</v>
      </c>
      <c r="H247" s="24" t="s">
        <v>20089</v>
      </c>
      <c r="I247" s="22" t="s">
        <v>19309</v>
      </c>
      <c r="J247" s="22" t="s">
        <v>19849</v>
      </c>
      <c r="K247" s="22" t="s">
        <v>19850</v>
      </c>
      <c r="L247" s="22"/>
      <c r="M247" s="22"/>
      <c r="N247" s="25" t="str">
        <f>HYPERLINK("http://slimages.macys.com/is/image/MCY/21270228 ")</f>
        <v xml:space="preserve">http://slimages.macys.com/is/image/MCY/21270228 </v>
      </c>
    </row>
    <row r="248" spans="1:14" x14ac:dyDescent="0.25">
      <c r="A248" s="21" t="s">
        <v>10656</v>
      </c>
      <c r="B248" s="22" t="s">
        <v>10657</v>
      </c>
      <c r="C248" s="2">
        <v>1</v>
      </c>
      <c r="D248" s="23">
        <v>13.99</v>
      </c>
      <c r="E248" s="3">
        <v>13.99</v>
      </c>
      <c r="F248" s="2" t="s">
        <v>9847</v>
      </c>
      <c r="G248" s="22" t="s">
        <v>19477</v>
      </c>
      <c r="H248" s="24" t="s">
        <v>19377</v>
      </c>
      <c r="I248" s="22" t="s">
        <v>19309</v>
      </c>
      <c r="J248" s="22" t="s">
        <v>19849</v>
      </c>
      <c r="K248" s="22" t="s">
        <v>19850</v>
      </c>
      <c r="L248" s="22"/>
      <c r="M248" s="22"/>
      <c r="N248" s="25" t="str">
        <f>HYPERLINK("http://slimages.macys.com/is/image/MCY/21270228 ")</f>
        <v xml:space="preserve">http://slimages.macys.com/is/image/MCY/21270228 </v>
      </c>
    </row>
    <row r="249" spans="1:14" x14ac:dyDescent="0.25">
      <c r="A249" s="21" t="s">
        <v>18458</v>
      </c>
      <c r="B249" s="22" t="s">
        <v>18459</v>
      </c>
      <c r="C249" s="2">
        <v>1</v>
      </c>
      <c r="D249" s="23">
        <v>13.99</v>
      </c>
      <c r="E249" s="3">
        <v>13.99</v>
      </c>
      <c r="F249" s="2" t="s">
        <v>18457</v>
      </c>
      <c r="G249" s="22" t="s">
        <v>19670</v>
      </c>
      <c r="H249" s="24" t="s">
        <v>19542</v>
      </c>
      <c r="I249" s="22" t="s">
        <v>19309</v>
      </c>
      <c r="J249" s="22" t="s">
        <v>19849</v>
      </c>
      <c r="K249" s="22" t="s">
        <v>19850</v>
      </c>
      <c r="L249" s="22"/>
      <c r="M249" s="22"/>
      <c r="N249" s="25" t="str">
        <f>HYPERLINK("http://slimages.macys.com/is/image/MCY/21270275 ")</f>
        <v xml:space="preserve">http://slimages.macys.com/is/image/MCY/21270275 </v>
      </c>
    </row>
    <row r="250" spans="1:14" x14ac:dyDescent="0.25">
      <c r="A250" s="21" t="s">
        <v>16205</v>
      </c>
      <c r="B250" s="22" t="s">
        <v>16206</v>
      </c>
      <c r="C250" s="2">
        <v>1</v>
      </c>
      <c r="D250" s="23">
        <v>15.99</v>
      </c>
      <c r="E250" s="3">
        <v>15.99</v>
      </c>
      <c r="F250" s="2" t="s">
        <v>18462</v>
      </c>
      <c r="G250" s="22" t="s">
        <v>19477</v>
      </c>
      <c r="H250" s="24" t="s">
        <v>20135</v>
      </c>
      <c r="I250" s="22" t="s">
        <v>19309</v>
      </c>
      <c r="J250" s="22" t="s">
        <v>19849</v>
      </c>
      <c r="K250" s="22" t="s">
        <v>19850</v>
      </c>
      <c r="L250" s="22"/>
      <c r="M250" s="22"/>
      <c r="N250" s="25" t="str">
        <f>HYPERLINK("http://slimages.macys.com/is/image/MCY/20549437 ")</f>
        <v xml:space="preserve">http://slimages.macys.com/is/image/MCY/20549437 </v>
      </c>
    </row>
    <row r="251" spans="1:14" x14ac:dyDescent="0.25">
      <c r="A251" s="21" t="s">
        <v>10658</v>
      </c>
      <c r="B251" s="22" t="s">
        <v>10659</v>
      </c>
      <c r="C251" s="2">
        <v>1</v>
      </c>
      <c r="D251" s="23">
        <v>15.99</v>
      </c>
      <c r="E251" s="3">
        <v>15.99</v>
      </c>
      <c r="F251" s="2" t="s">
        <v>18462</v>
      </c>
      <c r="G251" s="22" t="s">
        <v>19477</v>
      </c>
      <c r="H251" s="24" t="s">
        <v>19361</v>
      </c>
      <c r="I251" s="22" t="s">
        <v>19309</v>
      </c>
      <c r="J251" s="22" t="s">
        <v>19849</v>
      </c>
      <c r="K251" s="22" t="s">
        <v>19850</v>
      </c>
      <c r="L251" s="22"/>
      <c r="M251" s="22"/>
      <c r="N251" s="25" t="str">
        <f>HYPERLINK("http://slimages.macys.com/is/image/MCY/20549437 ")</f>
        <v xml:space="preserve">http://slimages.macys.com/is/image/MCY/20549437 </v>
      </c>
    </row>
    <row r="252" spans="1:14" x14ac:dyDescent="0.25">
      <c r="A252" s="21" t="s">
        <v>13244</v>
      </c>
      <c r="B252" s="22" t="s">
        <v>13245</v>
      </c>
      <c r="C252" s="2">
        <v>1</v>
      </c>
      <c r="D252" s="23">
        <v>13.99</v>
      </c>
      <c r="E252" s="3">
        <v>13.99</v>
      </c>
      <c r="F252" s="2" t="s">
        <v>16497</v>
      </c>
      <c r="G252" s="22" t="s">
        <v>19674</v>
      </c>
      <c r="H252" s="24" t="s">
        <v>19364</v>
      </c>
      <c r="I252" s="22" t="s">
        <v>19309</v>
      </c>
      <c r="J252" s="22" t="s">
        <v>19849</v>
      </c>
      <c r="K252" s="22" t="s">
        <v>19850</v>
      </c>
      <c r="L252" s="22"/>
      <c r="M252" s="22"/>
      <c r="N252" s="25" t="str">
        <f t="shared" ref="N252:N257" si="1">HYPERLINK("http://slimages.macys.com/is/image/MCY/21270437 ")</f>
        <v xml:space="preserve">http://slimages.macys.com/is/image/MCY/21270437 </v>
      </c>
    </row>
    <row r="253" spans="1:14" x14ac:dyDescent="0.25">
      <c r="A253" s="21" t="s">
        <v>10660</v>
      </c>
      <c r="B253" s="22" t="s">
        <v>10661</v>
      </c>
      <c r="C253" s="2">
        <v>1</v>
      </c>
      <c r="D253" s="23">
        <v>13.99</v>
      </c>
      <c r="E253" s="3">
        <v>13.99</v>
      </c>
      <c r="F253" s="2" t="s">
        <v>16497</v>
      </c>
      <c r="G253" s="22" t="s">
        <v>19674</v>
      </c>
      <c r="H253" s="24" t="s">
        <v>19339</v>
      </c>
      <c r="I253" s="22" t="s">
        <v>19309</v>
      </c>
      <c r="J253" s="22" t="s">
        <v>19849</v>
      </c>
      <c r="K253" s="22" t="s">
        <v>19850</v>
      </c>
      <c r="L253" s="22"/>
      <c r="M253" s="22"/>
      <c r="N253" s="25" t="str">
        <f t="shared" si="1"/>
        <v xml:space="preserve">http://slimages.macys.com/is/image/MCY/21270437 </v>
      </c>
    </row>
    <row r="254" spans="1:14" x14ac:dyDescent="0.25">
      <c r="A254" s="21" t="s">
        <v>12283</v>
      </c>
      <c r="B254" s="22" t="s">
        <v>12284</v>
      </c>
      <c r="C254" s="2">
        <v>1</v>
      </c>
      <c r="D254" s="23">
        <v>13.99</v>
      </c>
      <c r="E254" s="3">
        <v>13.99</v>
      </c>
      <c r="F254" s="2" t="s">
        <v>16497</v>
      </c>
      <c r="G254" s="22" t="s">
        <v>19618</v>
      </c>
      <c r="H254" s="24" t="s">
        <v>19339</v>
      </c>
      <c r="I254" s="22" t="s">
        <v>19309</v>
      </c>
      <c r="J254" s="22" t="s">
        <v>19849</v>
      </c>
      <c r="K254" s="22" t="s">
        <v>19850</v>
      </c>
      <c r="L254" s="22"/>
      <c r="M254" s="22"/>
      <c r="N254" s="25" t="str">
        <f t="shared" si="1"/>
        <v xml:space="preserve">http://slimages.macys.com/is/image/MCY/21270437 </v>
      </c>
    </row>
    <row r="255" spans="1:14" x14ac:dyDescent="0.25">
      <c r="A255" s="21" t="s">
        <v>16498</v>
      </c>
      <c r="B255" s="22" t="s">
        <v>16499</v>
      </c>
      <c r="C255" s="2">
        <v>1</v>
      </c>
      <c r="D255" s="23">
        <v>13.99</v>
      </c>
      <c r="E255" s="3">
        <v>13.99</v>
      </c>
      <c r="F255" s="2" t="s">
        <v>16497</v>
      </c>
      <c r="G255" s="22" t="s">
        <v>19618</v>
      </c>
      <c r="H255" s="24" t="s">
        <v>19352</v>
      </c>
      <c r="I255" s="22" t="s">
        <v>19309</v>
      </c>
      <c r="J255" s="22" t="s">
        <v>19849</v>
      </c>
      <c r="K255" s="22" t="s">
        <v>19850</v>
      </c>
      <c r="L255" s="22"/>
      <c r="M255" s="22"/>
      <c r="N255" s="25" t="str">
        <f t="shared" si="1"/>
        <v xml:space="preserve">http://slimages.macys.com/is/image/MCY/21270437 </v>
      </c>
    </row>
    <row r="256" spans="1:14" x14ac:dyDescent="0.25">
      <c r="A256" s="21" t="s">
        <v>16211</v>
      </c>
      <c r="B256" s="22" t="s">
        <v>16212</v>
      </c>
      <c r="C256" s="2">
        <v>1</v>
      </c>
      <c r="D256" s="23">
        <v>13.99</v>
      </c>
      <c r="E256" s="3">
        <v>13.99</v>
      </c>
      <c r="F256" s="2" t="s">
        <v>16497</v>
      </c>
      <c r="G256" s="22" t="s">
        <v>19618</v>
      </c>
      <c r="H256" s="24" t="s">
        <v>19797</v>
      </c>
      <c r="I256" s="22" t="s">
        <v>19309</v>
      </c>
      <c r="J256" s="22" t="s">
        <v>19849</v>
      </c>
      <c r="K256" s="22" t="s">
        <v>19850</v>
      </c>
      <c r="L256" s="22"/>
      <c r="M256" s="22"/>
      <c r="N256" s="25" t="str">
        <f t="shared" si="1"/>
        <v xml:space="preserve">http://slimages.macys.com/is/image/MCY/21270437 </v>
      </c>
    </row>
    <row r="257" spans="1:14" x14ac:dyDescent="0.25">
      <c r="A257" s="21" t="s">
        <v>10662</v>
      </c>
      <c r="B257" s="22" t="s">
        <v>10663</v>
      </c>
      <c r="C257" s="2">
        <v>1</v>
      </c>
      <c r="D257" s="23">
        <v>13.99</v>
      </c>
      <c r="E257" s="3">
        <v>13.99</v>
      </c>
      <c r="F257" s="2" t="s">
        <v>16497</v>
      </c>
      <c r="G257" s="22" t="s">
        <v>19674</v>
      </c>
      <c r="H257" s="24" t="s">
        <v>19797</v>
      </c>
      <c r="I257" s="22" t="s">
        <v>19309</v>
      </c>
      <c r="J257" s="22" t="s">
        <v>19849</v>
      </c>
      <c r="K257" s="22" t="s">
        <v>19850</v>
      </c>
      <c r="L257" s="22"/>
      <c r="M257" s="22"/>
      <c r="N257" s="25" t="str">
        <f t="shared" si="1"/>
        <v xml:space="preserve">http://slimages.macys.com/is/image/MCY/21270437 </v>
      </c>
    </row>
    <row r="258" spans="1:14" x14ac:dyDescent="0.25">
      <c r="A258" s="21" t="s">
        <v>10664</v>
      </c>
      <c r="B258" s="22" t="s">
        <v>10665</v>
      </c>
      <c r="C258" s="2">
        <v>1</v>
      </c>
      <c r="D258" s="23">
        <v>18.11</v>
      </c>
      <c r="E258" s="3">
        <v>18.11</v>
      </c>
      <c r="F258" s="2" t="s">
        <v>12290</v>
      </c>
      <c r="G258" s="22" t="s">
        <v>19618</v>
      </c>
      <c r="H258" s="24" t="s">
        <v>19797</v>
      </c>
      <c r="I258" s="22" t="s">
        <v>19309</v>
      </c>
      <c r="J258" s="22" t="s">
        <v>19849</v>
      </c>
      <c r="K258" s="22" t="s">
        <v>19850</v>
      </c>
      <c r="L258" s="22"/>
      <c r="M258" s="22"/>
      <c r="N258" s="25" t="str">
        <f>HYPERLINK("http://slimages.macys.com/is/image/MCY/20751929 ")</f>
        <v xml:space="preserve">http://slimages.macys.com/is/image/MCY/20751929 </v>
      </c>
    </row>
    <row r="259" spans="1:14" x14ac:dyDescent="0.25">
      <c r="A259" s="21" t="s">
        <v>10666</v>
      </c>
      <c r="B259" s="22" t="s">
        <v>10667</v>
      </c>
      <c r="C259" s="2">
        <v>1</v>
      </c>
      <c r="D259" s="23">
        <v>11.99</v>
      </c>
      <c r="E259" s="3">
        <v>11.99</v>
      </c>
      <c r="F259" s="2" t="s">
        <v>13840</v>
      </c>
      <c r="G259" s="22" t="s">
        <v>19477</v>
      </c>
      <c r="H259" s="24" t="s">
        <v>19364</v>
      </c>
      <c r="I259" s="22" t="s">
        <v>19309</v>
      </c>
      <c r="J259" s="22" t="s">
        <v>19849</v>
      </c>
      <c r="K259" s="22" t="s">
        <v>19850</v>
      </c>
      <c r="L259" s="22"/>
      <c r="M259" s="22"/>
      <c r="N259" s="25" t="str">
        <f>HYPERLINK("http://slimages.macys.com/is/image/MCY/20549481 ")</f>
        <v xml:space="preserve">http://slimages.macys.com/is/image/MCY/20549481 </v>
      </c>
    </row>
    <row r="260" spans="1:14" x14ac:dyDescent="0.25">
      <c r="A260" s="21" t="s">
        <v>10668</v>
      </c>
      <c r="B260" s="22" t="s">
        <v>10669</v>
      </c>
      <c r="C260" s="2">
        <v>2</v>
      </c>
      <c r="D260" s="23">
        <v>18.11</v>
      </c>
      <c r="E260" s="3">
        <v>36.22</v>
      </c>
      <c r="F260" s="2" t="s">
        <v>13840</v>
      </c>
      <c r="G260" s="22" t="s">
        <v>19477</v>
      </c>
      <c r="H260" s="24" t="s">
        <v>19339</v>
      </c>
      <c r="I260" s="22" t="s">
        <v>19309</v>
      </c>
      <c r="J260" s="22" t="s">
        <v>19849</v>
      </c>
      <c r="K260" s="22" t="s">
        <v>19850</v>
      </c>
      <c r="L260" s="22"/>
      <c r="M260" s="22"/>
      <c r="N260" s="25" t="str">
        <f>HYPERLINK("http://slimages.macys.com/is/image/MCY/20549481 ")</f>
        <v xml:space="preserve">http://slimages.macys.com/is/image/MCY/20549481 </v>
      </c>
    </row>
    <row r="261" spans="1:14" x14ac:dyDescent="0.25">
      <c r="A261" s="21" t="s">
        <v>13838</v>
      </c>
      <c r="B261" s="22" t="s">
        <v>13839</v>
      </c>
      <c r="C261" s="2">
        <v>2</v>
      </c>
      <c r="D261" s="23">
        <v>11.99</v>
      </c>
      <c r="E261" s="3">
        <v>23.98</v>
      </c>
      <c r="F261" s="2" t="s">
        <v>13840</v>
      </c>
      <c r="G261" s="22" t="s">
        <v>19477</v>
      </c>
      <c r="H261" s="24" t="s">
        <v>19797</v>
      </c>
      <c r="I261" s="22" t="s">
        <v>19309</v>
      </c>
      <c r="J261" s="22" t="s">
        <v>19849</v>
      </c>
      <c r="K261" s="22" t="s">
        <v>19850</v>
      </c>
      <c r="L261" s="22"/>
      <c r="M261" s="22"/>
      <c r="N261" s="25" t="str">
        <f>HYPERLINK("http://slimages.macys.com/is/image/MCY/20549481 ")</f>
        <v xml:space="preserve">http://slimages.macys.com/is/image/MCY/20549481 </v>
      </c>
    </row>
    <row r="262" spans="1:14" x14ac:dyDescent="0.25">
      <c r="A262" s="21" t="s">
        <v>10670</v>
      </c>
      <c r="B262" s="22" t="s">
        <v>10671</v>
      </c>
      <c r="C262" s="2">
        <v>1</v>
      </c>
      <c r="D262" s="23">
        <v>11.99</v>
      </c>
      <c r="E262" s="3">
        <v>11.99</v>
      </c>
      <c r="F262" s="2" t="s">
        <v>13840</v>
      </c>
      <c r="G262" s="22" t="s">
        <v>19477</v>
      </c>
      <c r="H262" s="24" t="s">
        <v>19352</v>
      </c>
      <c r="I262" s="22" t="s">
        <v>19309</v>
      </c>
      <c r="J262" s="22" t="s">
        <v>19849</v>
      </c>
      <c r="K262" s="22" t="s">
        <v>19850</v>
      </c>
      <c r="L262" s="22"/>
      <c r="M262" s="22"/>
      <c r="N262" s="25" t="str">
        <f>HYPERLINK("http://slimages.macys.com/is/image/MCY/20549481 ")</f>
        <v xml:space="preserve">http://slimages.macys.com/is/image/MCY/20549481 </v>
      </c>
    </row>
    <row r="263" spans="1:14" x14ac:dyDescent="0.25">
      <c r="A263" s="21" t="s">
        <v>9873</v>
      </c>
      <c r="B263" s="22" t="s">
        <v>9874</v>
      </c>
      <c r="C263" s="2">
        <v>2</v>
      </c>
      <c r="D263" s="23">
        <v>13.99</v>
      </c>
      <c r="E263" s="3">
        <v>27.98</v>
      </c>
      <c r="F263" s="2" t="s">
        <v>16222</v>
      </c>
      <c r="G263" s="22" t="s">
        <v>19670</v>
      </c>
      <c r="H263" s="24" t="s">
        <v>19352</v>
      </c>
      <c r="I263" s="22" t="s">
        <v>19309</v>
      </c>
      <c r="J263" s="22" t="s">
        <v>19849</v>
      </c>
      <c r="K263" s="22" t="s">
        <v>19850</v>
      </c>
      <c r="L263" s="22"/>
      <c r="M263" s="22"/>
      <c r="N263" s="25" t="str">
        <f>HYPERLINK("http://slimages.macys.com/is/image/MCY/21270377 ")</f>
        <v xml:space="preserve">http://slimages.macys.com/is/image/MCY/21270377 </v>
      </c>
    </row>
    <row r="264" spans="1:14" x14ac:dyDescent="0.25">
      <c r="A264" s="21" t="s">
        <v>10672</v>
      </c>
      <c r="B264" s="22" t="s">
        <v>10673</v>
      </c>
      <c r="C264" s="2">
        <v>1</v>
      </c>
      <c r="D264" s="23">
        <v>8.99</v>
      </c>
      <c r="E264" s="3">
        <v>8.99</v>
      </c>
      <c r="F264" s="2" t="s">
        <v>10674</v>
      </c>
      <c r="G264" s="22" t="s">
        <v>19801</v>
      </c>
      <c r="H264" s="24" t="s">
        <v>19364</v>
      </c>
      <c r="I264" s="22" t="s">
        <v>19309</v>
      </c>
      <c r="J264" s="22" t="s">
        <v>19310</v>
      </c>
      <c r="K264" s="22" t="s">
        <v>19873</v>
      </c>
      <c r="L264" s="22"/>
      <c r="M264" s="22"/>
      <c r="N264" s="25" t="str">
        <f>HYPERLINK("http://slimages.macys.com/is/image/MCY/19718921 ")</f>
        <v xml:space="preserve">http://slimages.macys.com/is/image/MCY/19718921 </v>
      </c>
    </row>
    <row r="265" spans="1:14" x14ac:dyDescent="0.25">
      <c r="A265" s="21" t="s">
        <v>10675</v>
      </c>
      <c r="B265" s="22" t="s">
        <v>10676</v>
      </c>
      <c r="C265" s="2">
        <v>2</v>
      </c>
      <c r="D265" s="23">
        <v>16.989999999999998</v>
      </c>
      <c r="E265" s="3">
        <v>33.979999999999997</v>
      </c>
      <c r="F265" s="2" t="s">
        <v>9864</v>
      </c>
      <c r="G265" s="22" t="s">
        <v>19670</v>
      </c>
      <c r="H265" s="24" t="s">
        <v>19542</v>
      </c>
      <c r="I265" s="22" t="s">
        <v>19309</v>
      </c>
      <c r="J265" s="22" t="s">
        <v>19849</v>
      </c>
      <c r="K265" s="22" t="s">
        <v>19850</v>
      </c>
      <c r="L265" s="22"/>
      <c r="M265" s="22"/>
      <c r="N265" s="25" t="str">
        <f>HYPERLINK("http://slimages.macys.com/is/image/MCY/21270746 ")</f>
        <v xml:space="preserve">http://slimages.macys.com/is/image/MCY/21270746 </v>
      </c>
    </row>
    <row r="266" spans="1:14" x14ac:dyDescent="0.25">
      <c r="A266" s="21" t="s">
        <v>10677</v>
      </c>
      <c r="B266" s="22" t="s">
        <v>10678</v>
      </c>
      <c r="C266" s="2">
        <v>2</v>
      </c>
      <c r="D266" s="23">
        <v>16.989999999999998</v>
      </c>
      <c r="E266" s="3">
        <v>33.979999999999997</v>
      </c>
      <c r="F266" s="2" t="s">
        <v>9864</v>
      </c>
      <c r="G266" s="22" t="s">
        <v>19670</v>
      </c>
      <c r="H266" s="24" t="s">
        <v>19361</v>
      </c>
      <c r="I266" s="22" t="s">
        <v>19309</v>
      </c>
      <c r="J266" s="22" t="s">
        <v>19849</v>
      </c>
      <c r="K266" s="22" t="s">
        <v>19850</v>
      </c>
      <c r="L266" s="22"/>
      <c r="M266" s="22"/>
      <c r="N266" s="25" t="str">
        <f>HYPERLINK("http://slimages.macys.com/is/image/MCY/21270746 ")</f>
        <v xml:space="preserve">http://slimages.macys.com/is/image/MCY/21270746 </v>
      </c>
    </row>
    <row r="267" spans="1:14" x14ac:dyDescent="0.25">
      <c r="A267" s="21" t="s">
        <v>10679</v>
      </c>
      <c r="B267" s="22" t="s">
        <v>10680</v>
      </c>
      <c r="C267" s="2">
        <v>1</v>
      </c>
      <c r="D267" s="23">
        <v>16.989999999999998</v>
      </c>
      <c r="E267" s="3">
        <v>16.989999999999998</v>
      </c>
      <c r="F267" s="2" t="s">
        <v>9864</v>
      </c>
      <c r="G267" s="22" t="s">
        <v>19670</v>
      </c>
      <c r="H267" s="24" t="s">
        <v>20135</v>
      </c>
      <c r="I267" s="22" t="s">
        <v>19309</v>
      </c>
      <c r="J267" s="22" t="s">
        <v>19849</v>
      </c>
      <c r="K267" s="22" t="s">
        <v>19850</v>
      </c>
      <c r="L267" s="22"/>
      <c r="M267" s="22"/>
      <c r="N267" s="25" t="str">
        <f>HYPERLINK("http://slimages.macys.com/is/image/MCY/21270746 ")</f>
        <v xml:space="preserve">http://slimages.macys.com/is/image/MCY/21270746 </v>
      </c>
    </row>
    <row r="268" spans="1:14" x14ac:dyDescent="0.25">
      <c r="A268" s="21" t="s">
        <v>10681</v>
      </c>
      <c r="B268" s="22" t="s">
        <v>10682</v>
      </c>
      <c r="C268" s="2">
        <v>1</v>
      </c>
      <c r="D268" s="23">
        <v>13.99</v>
      </c>
      <c r="E268" s="3">
        <v>13.99</v>
      </c>
      <c r="F268" s="2" t="s">
        <v>10683</v>
      </c>
      <c r="G268" s="22" t="s">
        <v>19431</v>
      </c>
      <c r="H268" s="24" t="s">
        <v>19797</v>
      </c>
      <c r="I268" s="22" t="s">
        <v>19309</v>
      </c>
      <c r="J268" s="22" t="s">
        <v>19849</v>
      </c>
      <c r="K268" s="22" t="s">
        <v>19850</v>
      </c>
      <c r="L268" s="22"/>
      <c r="M268" s="22"/>
      <c r="N268" s="25" t="str">
        <f>HYPERLINK("http://slimages.macys.com/is/image/MCY/1249963 ")</f>
        <v xml:space="preserve">http://slimages.macys.com/is/image/MCY/1249963 </v>
      </c>
    </row>
    <row r="269" spans="1:14" x14ac:dyDescent="0.25">
      <c r="A269" s="21" t="s">
        <v>9875</v>
      </c>
      <c r="B269" s="22" t="s">
        <v>9876</v>
      </c>
      <c r="C269" s="2">
        <v>1</v>
      </c>
      <c r="D269" s="23">
        <v>13.99</v>
      </c>
      <c r="E269" s="3">
        <v>13.99</v>
      </c>
      <c r="F269" s="2" t="s">
        <v>16222</v>
      </c>
      <c r="G269" s="22" t="s">
        <v>19670</v>
      </c>
      <c r="H269" s="24" t="s">
        <v>19797</v>
      </c>
      <c r="I269" s="22" t="s">
        <v>19309</v>
      </c>
      <c r="J269" s="22" t="s">
        <v>19849</v>
      </c>
      <c r="K269" s="22" t="s">
        <v>19850</v>
      </c>
      <c r="L269" s="22"/>
      <c r="M269" s="22"/>
      <c r="N269" s="25" t="str">
        <f>HYPERLINK("http://slimages.macys.com/is/image/MCY/21270377 ")</f>
        <v xml:space="preserve">http://slimages.macys.com/is/image/MCY/21270377 </v>
      </c>
    </row>
    <row r="270" spans="1:14" x14ac:dyDescent="0.25">
      <c r="A270" s="21" t="s">
        <v>10684</v>
      </c>
      <c r="B270" s="22" t="s">
        <v>10685</v>
      </c>
      <c r="C270" s="2">
        <v>2</v>
      </c>
      <c r="D270" s="23">
        <v>13.99</v>
      </c>
      <c r="E270" s="3">
        <v>27.98</v>
      </c>
      <c r="F270" s="2" t="s">
        <v>16222</v>
      </c>
      <c r="G270" s="22" t="s">
        <v>19670</v>
      </c>
      <c r="H270" s="24" t="s">
        <v>19339</v>
      </c>
      <c r="I270" s="22" t="s">
        <v>19309</v>
      </c>
      <c r="J270" s="22" t="s">
        <v>19849</v>
      </c>
      <c r="K270" s="22" t="s">
        <v>19850</v>
      </c>
      <c r="L270" s="22"/>
      <c r="M270" s="22"/>
      <c r="N270" s="25" t="str">
        <f>HYPERLINK("http://slimages.macys.com/is/image/MCY/21270377 ")</f>
        <v xml:space="preserve">http://slimages.macys.com/is/image/MCY/21270377 </v>
      </c>
    </row>
    <row r="271" spans="1:14" ht="24.75" x14ac:dyDescent="0.25">
      <c r="A271" s="21" t="s">
        <v>12291</v>
      </c>
      <c r="B271" s="22" t="s">
        <v>12292</v>
      </c>
      <c r="C271" s="2">
        <v>1</v>
      </c>
      <c r="D271" s="23">
        <v>8.99</v>
      </c>
      <c r="E271" s="3">
        <v>8.99</v>
      </c>
      <c r="F271" s="2" t="s">
        <v>12293</v>
      </c>
      <c r="G271" s="22" t="s">
        <v>19351</v>
      </c>
      <c r="H271" s="24" t="s">
        <v>19797</v>
      </c>
      <c r="I271" s="22" t="s">
        <v>19309</v>
      </c>
      <c r="J271" s="22" t="s">
        <v>19447</v>
      </c>
      <c r="K271" s="22" t="s">
        <v>19873</v>
      </c>
      <c r="L271" s="22"/>
      <c r="M271" s="22"/>
      <c r="N271" s="25" t="str">
        <f>HYPERLINK("http://slimages.macys.com/is/image/MCY/19945187 ")</f>
        <v xml:space="preserve">http://slimages.macys.com/is/image/MCY/19945187 </v>
      </c>
    </row>
    <row r="272" spans="1:14" x14ac:dyDescent="0.25">
      <c r="A272" s="21" t="s">
        <v>10686</v>
      </c>
      <c r="B272" s="22" t="s">
        <v>10687</v>
      </c>
      <c r="C272" s="2">
        <v>3</v>
      </c>
      <c r="D272" s="23">
        <v>18.11</v>
      </c>
      <c r="E272" s="3">
        <v>54.33</v>
      </c>
      <c r="F272" s="2" t="s">
        <v>9864</v>
      </c>
      <c r="G272" s="22" t="s">
        <v>19670</v>
      </c>
      <c r="H272" s="24" t="s">
        <v>19377</v>
      </c>
      <c r="I272" s="22" t="s">
        <v>19309</v>
      </c>
      <c r="J272" s="22" t="s">
        <v>19849</v>
      </c>
      <c r="K272" s="22" t="s">
        <v>19850</v>
      </c>
      <c r="L272" s="22"/>
      <c r="M272" s="22"/>
      <c r="N272" s="25" t="str">
        <f>HYPERLINK("http://slimages.macys.com/is/image/MCY/21270746 ")</f>
        <v xml:space="preserve">http://slimages.macys.com/is/image/MCY/21270746 </v>
      </c>
    </row>
    <row r="273" spans="1:14" x14ac:dyDescent="0.25">
      <c r="A273" s="21" t="s">
        <v>9862</v>
      </c>
      <c r="B273" s="22" t="s">
        <v>9863</v>
      </c>
      <c r="C273" s="2">
        <v>3</v>
      </c>
      <c r="D273" s="23">
        <v>16.989999999999998</v>
      </c>
      <c r="E273" s="3">
        <v>50.97</v>
      </c>
      <c r="F273" s="2" t="s">
        <v>9864</v>
      </c>
      <c r="G273" s="22" t="s">
        <v>19670</v>
      </c>
      <c r="H273" s="24" t="s">
        <v>20089</v>
      </c>
      <c r="I273" s="22" t="s">
        <v>19309</v>
      </c>
      <c r="J273" s="22" t="s">
        <v>19849</v>
      </c>
      <c r="K273" s="22" t="s">
        <v>19850</v>
      </c>
      <c r="L273" s="22"/>
      <c r="M273" s="22"/>
      <c r="N273" s="25" t="str">
        <f>HYPERLINK("http://slimages.macys.com/is/image/MCY/21270746 ")</f>
        <v xml:space="preserve">http://slimages.macys.com/is/image/MCY/21270746 </v>
      </c>
    </row>
    <row r="274" spans="1:14" x14ac:dyDescent="0.25">
      <c r="A274" s="21" t="s">
        <v>10688</v>
      </c>
      <c r="B274" s="22" t="s">
        <v>10689</v>
      </c>
      <c r="C274" s="2">
        <v>2</v>
      </c>
      <c r="D274" s="23">
        <v>16.989999999999998</v>
      </c>
      <c r="E274" s="3">
        <v>33.979999999999997</v>
      </c>
      <c r="F274" s="2" t="s">
        <v>9864</v>
      </c>
      <c r="G274" s="22" t="s">
        <v>19670</v>
      </c>
      <c r="H274" s="24" t="s">
        <v>19907</v>
      </c>
      <c r="I274" s="22" t="s">
        <v>19309</v>
      </c>
      <c r="J274" s="22" t="s">
        <v>19849</v>
      </c>
      <c r="K274" s="22" t="s">
        <v>19850</v>
      </c>
      <c r="L274" s="22"/>
      <c r="M274" s="22"/>
      <c r="N274" s="25" t="str">
        <f>HYPERLINK("http://slimages.macys.com/is/image/MCY/21270746 ")</f>
        <v xml:space="preserve">http://slimages.macys.com/is/image/MCY/21270746 </v>
      </c>
    </row>
    <row r="275" spans="1:14" x14ac:dyDescent="0.25">
      <c r="A275" s="21" t="s">
        <v>10690</v>
      </c>
      <c r="B275" s="22" t="s">
        <v>10691</v>
      </c>
      <c r="C275" s="2">
        <v>1</v>
      </c>
      <c r="D275" s="23">
        <v>13.77</v>
      </c>
      <c r="E275" s="3">
        <v>13.77</v>
      </c>
      <c r="F275" s="2" t="s">
        <v>16217</v>
      </c>
      <c r="G275" s="22" t="s">
        <v>19333</v>
      </c>
      <c r="H275" s="24" t="s">
        <v>20159</v>
      </c>
      <c r="I275" s="22" t="s">
        <v>19309</v>
      </c>
      <c r="J275" s="22" t="s">
        <v>19708</v>
      </c>
      <c r="K275" s="22" t="s">
        <v>19709</v>
      </c>
      <c r="L275" s="22"/>
      <c r="M275" s="22"/>
      <c r="N275" s="25" t="str">
        <f>HYPERLINK("http://slimages.macys.com/is/image/MCY/21413620 ")</f>
        <v xml:space="preserve">http://slimages.macys.com/is/image/MCY/21413620 </v>
      </c>
    </row>
    <row r="276" spans="1:14" x14ac:dyDescent="0.25">
      <c r="A276" s="21" t="s">
        <v>16215</v>
      </c>
      <c r="B276" s="22" t="s">
        <v>16216</v>
      </c>
      <c r="C276" s="2">
        <v>1</v>
      </c>
      <c r="D276" s="23">
        <v>13.77</v>
      </c>
      <c r="E276" s="3">
        <v>13.77</v>
      </c>
      <c r="F276" s="2" t="s">
        <v>16217</v>
      </c>
      <c r="G276" s="22" t="s">
        <v>19333</v>
      </c>
      <c r="H276" s="24" t="s">
        <v>19770</v>
      </c>
      <c r="I276" s="22" t="s">
        <v>19309</v>
      </c>
      <c r="J276" s="22" t="s">
        <v>19708</v>
      </c>
      <c r="K276" s="22" t="s">
        <v>19709</v>
      </c>
      <c r="L276" s="22"/>
      <c r="M276" s="22"/>
      <c r="N276" s="25" t="str">
        <f>HYPERLINK("http://slimages.macys.com/is/image/MCY/21413620 ")</f>
        <v xml:space="preserve">http://slimages.macys.com/is/image/MCY/21413620 </v>
      </c>
    </row>
    <row r="277" spans="1:14" x14ac:dyDescent="0.25">
      <c r="A277" s="21" t="s">
        <v>10692</v>
      </c>
      <c r="B277" s="22" t="s">
        <v>10693</v>
      </c>
      <c r="C277" s="2">
        <v>1</v>
      </c>
      <c r="D277" s="23">
        <v>13.77</v>
      </c>
      <c r="E277" s="3">
        <v>13.77</v>
      </c>
      <c r="F277" s="2" t="s">
        <v>10694</v>
      </c>
      <c r="G277" s="22"/>
      <c r="H277" s="24" t="s">
        <v>19416</v>
      </c>
      <c r="I277" s="22" t="s">
        <v>19309</v>
      </c>
      <c r="J277" s="22" t="s">
        <v>19708</v>
      </c>
      <c r="K277" s="22" t="s">
        <v>19709</v>
      </c>
      <c r="L277" s="22"/>
      <c r="M277" s="22"/>
      <c r="N277" s="25" t="str">
        <f>HYPERLINK("http://slimages.macys.com/is/image/MCY/21413961 ")</f>
        <v xml:space="preserve">http://slimages.macys.com/is/image/MCY/21413961 </v>
      </c>
    </row>
    <row r="278" spans="1:14" x14ac:dyDescent="0.25">
      <c r="A278" s="21" t="s">
        <v>10695</v>
      </c>
      <c r="B278" s="22" t="s">
        <v>10696</v>
      </c>
      <c r="C278" s="2">
        <v>1</v>
      </c>
      <c r="D278" s="23">
        <v>13.77</v>
      </c>
      <c r="E278" s="3">
        <v>13.77</v>
      </c>
      <c r="F278" s="2" t="s">
        <v>10694</v>
      </c>
      <c r="G278" s="22"/>
      <c r="H278" s="24" t="s">
        <v>19770</v>
      </c>
      <c r="I278" s="22" t="s">
        <v>19309</v>
      </c>
      <c r="J278" s="22" t="s">
        <v>19708</v>
      </c>
      <c r="K278" s="22" t="s">
        <v>19709</v>
      </c>
      <c r="L278" s="22"/>
      <c r="M278" s="22"/>
      <c r="N278" s="25" t="str">
        <f>HYPERLINK("http://slimages.macys.com/is/image/MCY/21413961 ")</f>
        <v xml:space="preserve">http://slimages.macys.com/is/image/MCY/21413961 </v>
      </c>
    </row>
    <row r="279" spans="1:14" x14ac:dyDescent="0.25">
      <c r="A279" s="21" t="s">
        <v>10697</v>
      </c>
      <c r="B279" s="22" t="s">
        <v>10698</v>
      </c>
      <c r="C279" s="2">
        <v>1</v>
      </c>
      <c r="D279" s="23">
        <v>13.77</v>
      </c>
      <c r="E279" s="3">
        <v>13.77</v>
      </c>
      <c r="F279" s="2" t="s">
        <v>16513</v>
      </c>
      <c r="G279" s="22" t="s">
        <v>19670</v>
      </c>
      <c r="H279" s="24" t="s">
        <v>20152</v>
      </c>
      <c r="I279" s="22" t="s">
        <v>19309</v>
      </c>
      <c r="J279" s="22" t="s">
        <v>19708</v>
      </c>
      <c r="K279" s="22" t="s">
        <v>19709</v>
      </c>
      <c r="L279" s="22"/>
      <c r="M279" s="22"/>
      <c r="N279" s="25" t="str">
        <f>HYPERLINK("http://slimages.macys.com/is/image/MCY/21414216 ")</f>
        <v xml:space="preserve">http://slimages.macys.com/is/image/MCY/21414216 </v>
      </c>
    </row>
    <row r="280" spans="1:14" x14ac:dyDescent="0.25">
      <c r="A280" s="21" t="s">
        <v>16213</v>
      </c>
      <c r="B280" s="22" t="s">
        <v>16214</v>
      </c>
      <c r="C280" s="2">
        <v>1</v>
      </c>
      <c r="D280" s="23">
        <v>13.77</v>
      </c>
      <c r="E280" s="3">
        <v>13.77</v>
      </c>
      <c r="F280" s="2" t="s">
        <v>16513</v>
      </c>
      <c r="G280" s="22" t="s">
        <v>19670</v>
      </c>
      <c r="H280" s="24" t="s">
        <v>19324</v>
      </c>
      <c r="I280" s="22" t="s">
        <v>19309</v>
      </c>
      <c r="J280" s="22" t="s">
        <v>19708</v>
      </c>
      <c r="K280" s="22" t="s">
        <v>19709</v>
      </c>
      <c r="L280" s="22"/>
      <c r="M280" s="22"/>
      <c r="N280" s="25" t="str">
        <f>HYPERLINK("http://slimages.macys.com/is/image/MCY/21414216 ")</f>
        <v xml:space="preserve">http://slimages.macys.com/is/image/MCY/21414216 </v>
      </c>
    </row>
    <row r="281" spans="1:14" x14ac:dyDescent="0.25">
      <c r="A281" s="21" t="s">
        <v>10699</v>
      </c>
      <c r="B281" s="22" t="s">
        <v>10700</v>
      </c>
      <c r="C281" s="2">
        <v>1</v>
      </c>
      <c r="D281" s="23">
        <v>13.68</v>
      </c>
      <c r="E281" s="3">
        <v>13.68</v>
      </c>
      <c r="F281" s="2" t="s">
        <v>10238</v>
      </c>
      <c r="G281" s="22" t="s">
        <v>19594</v>
      </c>
      <c r="H281" s="24" t="s">
        <v>19330</v>
      </c>
      <c r="I281" s="22" t="s">
        <v>19309</v>
      </c>
      <c r="J281" s="22" t="s">
        <v>19708</v>
      </c>
      <c r="K281" s="22" t="s">
        <v>19709</v>
      </c>
      <c r="L281" s="22"/>
      <c r="M281" s="22"/>
      <c r="N281" s="25" t="str">
        <f>HYPERLINK("http://slimages.macys.com/is/image/MCY/22405516 ")</f>
        <v xml:space="preserve">http://slimages.macys.com/is/image/MCY/22405516 </v>
      </c>
    </row>
    <row r="282" spans="1:14" x14ac:dyDescent="0.25">
      <c r="A282" s="21" t="s">
        <v>10701</v>
      </c>
      <c r="B282" s="22" t="s">
        <v>10702</v>
      </c>
      <c r="C282" s="2">
        <v>1</v>
      </c>
      <c r="D282" s="23">
        <v>13.77</v>
      </c>
      <c r="E282" s="3">
        <v>13.77</v>
      </c>
      <c r="F282" s="2" t="s">
        <v>10694</v>
      </c>
      <c r="G282" s="22"/>
      <c r="H282" s="24" t="s">
        <v>20152</v>
      </c>
      <c r="I282" s="22" t="s">
        <v>19309</v>
      </c>
      <c r="J282" s="22" t="s">
        <v>19708</v>
      </c>
      <c r="K282" s="22" t="s">
        <v>19709</v>
      </c>
      <c r="L282" s="22"/>
      <c r="M282" s="22"/>
      <c r="N282" s="25" t="str">
        <f>HYPERLINK("http://slimages.macys.com/is/image/MCY/21413961 ")</f>
        <v xml:space="preserve">http://slimages.macys.com/is/image/MCY/21413961 </v>
      </c>
    </row>
    <row r="283" spans="1:14" ht="24.75" x14ac:dyDescent="0.25">
      <c r="A283" s="21" t="s">
        <v>10703</v>
      </c>
      <c r="B283" s="22" t="s">
        <v>10704</v>
      </c>
      <c r="C283" s="2">
        <v>1</v>
      </c>
      <c r="D283" s="23">
        <v>14</v>
      </c>
      <c r="E283" s="3">
        <v>14</v>
      </c>
      <c r="F283" s="2" t="s">
        <v>10705</v>
      </c>
      <c r="G283" s="22" t="s">
        <v>19315</v>
      </c>
      <c r="H283" s="24" t="s">
        <v>16005</v>
      </c>
      <c r="I283" s="22" t="s">
        <v>19309</v>
      </c>
      <c r="J283" s="22" t="s">
        <v>16678</v>
      </c>
      <c r="K283" s="22" t="s">
        <v>16006</v>
      </c>
      <c r="L283" s="22"/>
      <c r="M283" s="22"/>
      <c r="N283" s="25" t="str">
        <f>HYPERLINK("http://slimages.macys.com/is/image/MCY/19176202 ")</f>
        <v xml:space="preserve">http://slimages.macys.com/is/image/MCY/19176202 </v>
      </c>
    </row>
    <row r="284" spans="1:14" x14ac:dyDescent="0.25">
      <c r="A284" s="21" t="s">
        <v>13857</v>
      </c>
      <c r="B284" s="22" t="s">
        <v>13858</v>
      </c>
      <c r="C284" s="2">
        <v>1</v>
      </c>
      <c r="D284" s="23">
        <v>11.99</v>
      </c>
      <c r="E284" s="3">
        <v>11.99</v>
      </c>
      <c r="F284" s="2" t="s">
        <v>13856</v>
      </c>
      <c r="G284" s="22" t="s">
        <v>19618</v>
      </c>
      <c r="H284" s="24" t="s">
        <v>19339</v>
      </c>
      <c r="I284" s="22" t="s">
        <v>19309</v>
      </c>
      <c r="J284" s="22" t="s">
        <v>19849</v>
      </c>
      <c r="K284" s="22" t="s">
        <v>19850</v>
      </c>
      <c r="L284" s="22"/>
      <c r="M284" s="22"/>
      <c r="N284" s="25" t="str">
        <f>HYPERLINK("http://slimages.macys.com/is/image/MCY/20751956 ")</f>
        <v xml:space="preserve">http://slimages.macys.com/is/image/MCY/20751956 </v>
      </c>
    </row>
    <row r="285" spans="1:14" x14ac:dyDescent="0.25">
      <c r="A285" s="21" t="s">
        <v>13854</v>
      </c>
      <c r="B285" s="22" t="s">
        <v>13855</v>
      </c>
      <c r="C285" s="2">
        <v>2</v>
      </c>
      <c r="D285" s="23">
        <v>11.99</v>
      </c>
      <c r="E285" s="3">
        <v>23.98</v>
      </c>
      <c r="F285" s="2" t="s">
        <v>13856</v>
      </c>
      <c r="G285" s="22" t="s">
        <v>19618</v>
      </c>
      <c r="H285" s="24" t="s">
        <v>19352</v>
      </c>
      <c r="I285" s="22" t="s">
        <v>19309</v>
      </c>
      <c r="J285" s="22" t="s">
        <v>19849</v>
      </c>
      <c r="K285" s="22" t="s">
        <v>19850</v>
      </c>
      <c r="L285" s="22"/>
      <c r="M285" s="22"/>
      <c r="N285" s="25" t="str">
        <f>HYPERLINK("http://slimages.macys.com/is/image/MCY/20751956 ")</f>
        <v xml:space="preserve">http://slimages.macys.com/is/image/MCY/20751956 </v>
      </c>
    </row>
    <row r="286" spans="1:14" x14ac:dyDescent="0.25">
      <c r="A286" s="21" t="s">
        <v>10706</v>
      </c>
      <c r="B286" s="22" t="s">
        <v>10707</v>
      </c>
      <c r="C286" s="2">
        <v>2</v>
      </c>
      <c r="D286" s="23">
        <v>11.99</v>
      </c>
      <c r="E286" s="3">
        <v>23.98</v>
      </c>
      <c r="F286" s="2" t="s">
        <v>18493</v>
      </c>
      <c r="G286" s="22" t="s">
        <v>19477</v>
      </c>
      <c r="H286" s="24" t="s">
        <v>19339</v>
      </c>
      <c r="I286" s="22" t="s">
        <v>19309</v>
      </c>
      <c r="J286" s="22" t="s">
        <v>19849</v>
      </c>
      <c r="K286" s="22" t="s">
        <v>19850</v>
      </c>
      <c r="L286" s="22"/>
      <c r="M286" s="22"/>
      <c r="N286" s="25" t="str">
        <f>HYPERLINK("http://slimages.macys.com/is/image/MCY/1170432 ")</f>
        <v xml:space="preserve">http://slimages.macys.com/is/image/MCY/1170432 </v>
      </c>
    </row>
    <row r="287" spans="1:14" ht="24.75" x14ac:dyDescent="0.25">
      <c r="A287" s="21" t="s">
        <v>18505</v>
      </c>
      <c r="B287" s="22" t="s">
        <v>18506</v>
      </c>
      <c r="C287" s="2">
        <v>1</v>
      </c>
      <c r="D287" s="23">
        <v>14.99</v>
      </c>
      <c r="E287" s="3">
        <v>14.99</v>
      </c>
      <c r="F287" s="2" t="s">
        <v>18501</v>
      </c>
      <c r="G287" s="22" t="s">
        <v>19323</v>
      </c>
      <c r="H287" s="24" t="s">
        <v>18507</v>
      </c>
      <c r="I287" s="22" t="s">
        <v>19309</v>
      </c>
      <c r="J287" s="22" t="s">
        <v>19595</v>
      </c>
      <c r="K287" s="22" t="s">
        <v>18498</v>
      </c>
      <c r="L287" s="22"/>
      <c r="M287" s="22"/>
      <c r="N287" s="25" t="str">
        <f>HYPERLINK("http://slimages.macys.com/is/image/MCY/21365889 ")</f>
        <v xml:space="preserve">http://slimages.macys.com/is/image/MCY/21365889 </v>
      </c>
    </row>
    <row r="288" spans="1:14" ht="24.75" x14ac:dyDescent="0.25">
      <c r="A288" s="21" t="s">
        <v>13251</v>
      </c>
      <c r="B288" s="22" t="s">
        <v>13252</v>
      </c>
      <c r="C288" s="2">
        <v>1</v>
      </c>
      <c r="D288" s="23">
        <v>14.99</v>
      </c>
      <c r="E288" s="3">
        <v>14.99</v>
      </c>
      <c r="F288" s="2" t="s">
        <v>18501</v>
      </c>
      <c r="G288" s="22" t="s">
        <v>19431</v>
      </c>
      <c r="H288" s="24" t="s">
        <v>18497</v>
      </c>
      <c r="I288" s="22" t="s">
        <v>19309</v>
      </c>
      <c r="J288" s="22" t="s">
        <v>19595</v>
      </c>
      <c r="K288" s="22" t="s">
        <v>18498</v>
      </c>
      <c r="L288" s="22"/>
      <c r="M288" s="22"/>
      <c r="N288" s="25" t="str">
        <f>HYPERLINK("http://slimages.macys.com/is/image/MCY/21365889 ")</f>
        <v xml:space="preserve">http://slimages.macys.com/is/image/MCY/21365889 </v>
      </c>
    </row>
    <row r="289" spans="1:14" ht="24.75" x14ac:dyDescent="0.25">
      <c r="A289" s="21" t="s">
        <v>13849</v>
      </c>
      <c r="B289" s="22" t="s">
        <v>13850</v>
      </c>
      <c r="C289" s="2">
        <v>2</v>
      </c>
      <c r="D289" s="23">
        <v>14.99</v>
      </c>
      <c r="E289" s="3">
        <v>29.98</v>
      </c>
      <c r="F289" s="2" t="s">
        <v>18501</v>
      </c>
      <c r="G289" s="22" t="s">
        <v>19323</v>
      </c>
      <c r="H289" s="24" t="s">
        <v>19797</v>
      </c>
      <c r="I289" s="22" t="s">
        <v>19309</v>
      </c>
      <c r="J289" s="22" t="s">
        <v>19595</v>
      </c>
      <c r="K289" s="22" t="s">
        <v>18498</v>
      </c>
      <c r="L289" s="22"/>
      <c r="M289" s="22"/>
      <c r="N289" s="25" t="str">
        <f>HYPERLINK("http://slimages.macys.com/is/image/MCY/21365889 ")</f>
        <v xml:space="preserve">http://slimages.macys.com/is/image/MCY/21365889 </v>
      </c>
    </row>
    <row r="290" spans="1:14" ht="24.75" x14ac:dyDescent="0.25">
      <c r="A290" s="21" t="s">
        <v>9882</v>
      </c>
      <c r="B290" s="22" t="s">
        <v>9883</v>
      </c>
      <c r="C290" s="2">
        <v>1</v>
      </c>
      <c r="D290" s="23">
        <v>14.99</v>
      </c>
      <c r="E290" s="3">
        <v>14.99</v>
      </c>
      <c r="F290" s="2" t="s">
        <v>18501</v>
      </c>
      <c r="G290" s="22" t="s">
        <v>19431</v>
      </c>
      <c r="H290" s="24" t="s">
        <v>19797</v>
      </c>
      <c r="I290" s="22" t="s">
        <v>19309</v>
      </c>
      <c r="J290" s="22" t="s">
        <v>19595</v>
      </c>
      <c r="K290" s="22" t="s">
        <v>18498</v>
      </c>
      <c r="L290" s="22"/>
      <c r="M290" s="22"/>
      <c r="N290" s="25" t="str">
        <f>HYPERLINK("http://slimages.macys.com/is/image/MCY/21365889 ")</f>
        <v xml:space="preserve">http://slimages.macys.com/is/image/MCY/21365889 </v>
      </c>
    </row>
    <row r="291" spans="1:14" ht="24.75" x14ac:dyDescent="0.25">
      <c r="A291" s="21" t="s">
        <v>16236</v>
      </c>
      <c r="B291" s="22" t="s">
        <v>16237</v>
      </c>
      <c r="C291" s="2">
        <v>1</v>
      </c>
      <c r="D291" s="23">
        <v>11.92</v>
      </c>
      <c r="E291" s="3">
        <v>11.92</v>
      </c>
      <c r="F291" s="2" t="s">
        <v>16233</v>
      </c>
      <c r="G291" s="22" t="s">
        <v>19357</v>
      </c>
      <c r="H291" s="24" t="s">
        <v>19345</v>
      </c>
      <c r="I291" s="22" t="s">
        <v>19309</v>
      </c>
      <c r="J291" s="22" t="s">
        <v>19602</v>
      </c>
      <c r="K291" s="22" t="s">
        <v>20041</v>
      </c>
      <c r="L291" s="22"/>
      <c r="M291" s="22"/>
      <c r="N291" s="25" t="str">
        <f>HYPERLINK("http://slimages.macys.com/is/image/MCY/21728874 ")</f>
        <v xml:space="preserve">http://slimages.macys.com/is/image/MCY/21728874 </v>
      </c>
    </row>
    <row r="292" spans="1:14" ht="24.75" x14ac:dyDescent="0.25">
      <c r="A292" s="21" t="s">
        <v>16231</v>
      </c>
      <c r="B292" s="22" t="s">
        <v>16232</v>
      </c>
      <c r="C292" s="2">
        <v>1</v>
      </c>
      <c r="D292" s="23">
        <v>11.92</v>
      </c>
      <c r="E292" s="3">
        <v>11.92</v>
      </c>
      <c r="F292" s="2" t="s">
        <v>16233</v>
      </c>
      <c r="G292" s="22" t="s">
        <v>19357</v>
      </c>
      <c r="H292" s="24"/>
      <c r="I292" s="22" t="s">
        <v>19309</v>
      </c>
      <c r="J292" s="22" t="s">
        <v>19602</v>
      </c>
      <c r="K292" s="22" t="s">
        <v>20041</v>
      </c>
      <c r="L292" s="22"/>
      <c r="M292" s="22"/>
      <c r="N292" s="25" t="str">
        <f>HYPERLINK("http://slimages.macys.com/is/image/MCY/21728874 ")</f>
        <v xml:space="preserve">http://slimages.macys.com/is/image/MCY/21728874 </v>
      </c>
    </row>
    <row r="293" spans="1:14" x14ac:dyDescent="0.25">
      <c r="A293" s="21" t="s">
        <v>10708</v>
      </c>
      <c r="B293" s="22" t="s">
        <v>10709</v>
      </c>
      <c r="C293" s="2">
        <v>2</v>
      </c>
      <c r="D293" s="23">
        <v>12.99</v>
      </c>
      <c r="E293" s="3">
        <v>25.98</v>
      </c>
      <c r="F293" s="2" t="s">
        <v>10710</v>
      </c>
      <c r="G293" s="22" t="s">
        <v>19674</v>
      </c>
      <c r="H293" s="24" t="s">
        <v>20089</v>
      </c>
      <c r="I293" s="22" t="s">
        <v>19309</v>
      </c>
      <c r="J293" s="22" t="s">
        <v>19849</v>
      </c>
      <c r="K293" s="22" t="s">
        <v>19850</v>
      </c>
      <c r="L293" s="22"/>
      <c r="M293" s="22"/>
      <c r="N293" s="25" t="str">
        <f>HYPERLINK("http://slimages.macys.com/is/image/MCY/21178885 ")</f>
        <v xml:space="preserve">http://slimages.macys.com/is/image/MCY/21178885 </v>
      </c>
    </row>
    <row r="294" spans="1:14" x14ac:dyDescent="0.25">
      <c r="A294" s="21" t="s">
        <v>16238</v>
      </c>
      <c r="B294" s="22" t="s">
        <v>16239</v>
      </c>
      <c r="C294" s="2">
        <v>1</v>
      </c>
      <c r="D294" s="23">
        <v>16.989999999999998</v>
      </c>
      <c r="E294" s="3">
        <v>16.989999999999998</v>
      </c>
      <c r="F294" s="2" t="s">
        <v>16240</v>
      </c>
      <c r="G294" s="22" t="s">
        <v>19351</v>
      </c>
      <c r="H294" s="24" t="s">
        <v>19361</v>
      </c>
      <c r="I294" s="22" t="s">
        <v>19309</v>
      </c>
      <c r="J294" s="22" t="s">
        <v>19849</v>
      </c>
      <c r="K294" s="22" t="s">
        <v>19850</v>
      </c>
      <c r="L294" s="22"/>
      <c r="M294" s="22"/>
      <c r="N294" s="25" t="str">
        <f>HYPERLINK("http://slimages.macys.com/is/image/MCY/21270723 ")</f>
        <v xml:space="preserve">http://slimages.macys.com/is/image/MCY/21270723 </v>
      </c>
    </row>
    <row r="295" spans="1:14" x14ac:dyDescent="0.25">
      <c r="A295" s="21" t="s">
        <v>10711</v>
      </c>
      <c r="B295" s="22" t="s">
        <v>10712</v>
      </c>
      <c r="C295" s="2">
        <v>3</v>
      </c>
      <c r="D295" s="23">
        <v>16.989999999999998</v>
      </c>
      <c r="E295" s="3">
        <v>50.97</v>
      </c>
      <c r="F295" s="2" t="s">
        <v>16240</v>
      </c>
      <c r="G295" s="22" t="s">
        <v>19351</v>
      </c>
      <c r="H295" s="24" t="s">
        <v>19377</v>
      </c>
      <c r="I295" s="22" t="s">
        <v>19309</v>
      </c>
      <c r="J295" s="22" t="s">
        <v>19849</v>
      </c>
      <c r="K295" s="22" t="s">
        <v>19850</v>
      </c>
      <c r="L295" s="22"/>
      <c r="M295" s="22"/>
      <c r="N295" s="25" t="str">
        <f>HYPERLINK("http://slimages.macys.com/is/image/MCY/21270723 ")</f>
        <v xml:space="preserve">http://slimages.macys.com/is/image/MCY/21270723 </v>
      </c>
    </row>
    <row r="296" spans="1:14" x14ac:dyDescent="0.25">
      <c r="A296" s="21" t="s">
        <v>10713</v>
      </c>
      <c r="B296" s="22" t="s">
        <v>10714</v>
      </c>
      <c r="C296" s="2">
        <v>1</v>
      </c>
      <c r="D296" s="23">
        <v>16.989999999999998</v>
      </c>
      <c r="E296" s="3">
        <v>16.989999999999998</v>
      </c>
      <c r="F296" s="2" t="s">
        <v>16240</v>
      </c>
      <c r="G296" s="22" t="s">
        <v>19351</v>
      </c>
      <c r="H296" s="24" t="s">
        <v>20135</v>
      </c>
      <c r="I296" s="22" t="s">
        <v>19309</v>
      </c>
      <c r="J296" s="22" t="s">
        <v>19849</v>
      </c>
      <c r="K296" s="22" t="s">
        <v>19850</v>
      </c>
      <c r="L296" s="22"/>
      <c r="M296" s="22"/>
      <c r="N296" s="25" t="str">
        <f>HYPERLINK("http://slimages.macys.com/is/image/MCY/21270723 ")</f>
        <v xml:space="preserve">http://slimages.macys.com/is/image/MCY/21270723 </v>
      </c>
    </row>
    <row r="297" spans="1:14" x14ac:dyDescent="0.25">
      <c r="A297" s="21" t="s">
        <v>10715</v>
      </c>
      <c r="B297" s="22" t="s">
        <v>10716</v>
      </c>
      <c r="C297" s="2">
        <v>1</v>
      </c>
      <c r="D297" s="23">
        <v>16.989999999999998</v>
      </c>
      <c r="E297" s="3">
        <v>16.989999999999998</v>
      </c>
      <c r="F297" s="2" t="s">
        <v>16240</v>
      </c>
      <c r="G297" s="22" t="s">
        <v>19351</v>
      </c>
      <c r="H297" s="24" t="s">
        <v>19907</v>
      </c>
      <c r="I297" s="22" t="s">
        <v>19309</v>
      </c>
      <c r="J297" s="22" t="s">
        <v>19849</v>
      </c>
      <c r="K297" s="22" t="s">
        <v>19850</v>
      </c>
      <c r="L297" s="22"/>
      <c r="M297" s="22"/>
      <c r="N297" s="25" t="str">
        <f>HYPERLINK("http://slimages.macys.com/is/image/MCY/21270723 ")</f>
        <v xml:space="preserve">http://slimages.macys.com/is/image/MCY/21270723 </v>
      </c>
    </row>
    <row r="298" spans="1:14" ht="24.75" x14ac:dyDescent="0.25">
      <c r="A298" s="21" t="s">
        <v>10717</v>
      </c>
      <c r="B298" s="22" t="s">
        <v>10718</v>
      </c>
      <c r="C298" s="2">
        <v>1</v>
      </c>
      <c r="D298" s="23">
        <v>13.99</v>
      </c>
      <c r="E298" s="3">
        <v>13.99</v>
      </c>
      <c r="F298" s="2" t="s">
        <v>10719</v>
      </c>
      <c r="G298" s="22" t="s">
        <v>19814</v>
      </c>
      <c r="H298" s="24" t="s">
        <v>19797</v>
      </c>
      <c r="I298" s="22" t="s">
        <v>19309</v>
      </c>
      <c r="J298" s="22" t="s">
        <v>19353</v>
      </c>
      <c r="K298" s="22" t="s">
        <v>19524</v>
      </c>
      <c r="L298" s="22"/>
      <c r="M298" s="22"/>
      <c r="N298" s="25" t="str">
        <f>HYPERLINK("http://slimages.macys.com/is/image/MCY/20664996 ")</f>
        <v xml:space="preserve">http://slimages.macys.com/is/image/MCY/20664996 </v>
      </c>
    </row>
    <row r="299" spans="1:14" ht="24.75" x14ac:dyDescent="0.25">
      <c r="A299" s="21" t="s">
        <v>16241</v>
      </c>
      <c r="B299" s="22" t="s">
        <v>16242</v>
      </c>
      <c r="C299" s="2">
        <v>1</v>
      </c>
      <c r="D299" s="23">
        <v>13.99</v>
      </c>
      <c r="E299" s="3">
        <v>13.99</v>
      </c>
      <c r="F299" s="2" t="s">
        <v>18536</v>
      </c>
      <c r="G299" s="22" t="s">
        <v>19674</v>
      </c>
      <c r="H299" s="24" t="s">
        <v>19416</v>
      </c>
      <c r="I299" s="22" t="s">
        <v>19309</v>
      </c>
      <c r="J299" s="22" t="s">
        <v>19573</v>
      </c>
      <c r="K299" s="22" t="s">
        <v>19574</v>
      </c>
      <c r="L299" s="22"/>
      <c r="M299" s="22"/>
      <c r="N299" s="25" t="str">
        <f>HYPERLINK("http://slimages.macys.com/is/image/MCY/22037419 ")</f>
        <v xml:space="preserve">http://slimages.macys.com/is/image/MCY/22037419 </v>
      </c>
    </row>
    <row r="300" spans="1:14" ht="24.75" x14ac:dyDescent="0.25">
      <c r="A300" s="21" t="s">
        <v>10720</v>
      </c>
      <c r="B300" s="22" t="s">
        <v>8932</v>
      </c>
      <c r="C300" s="2">
        <v>3</v>
      </c>
      <c r="D300" s="23">
        <v>12.99</v>
      </c>
      <c r="E300" s="3">
        <v>38.97</v>
      </c>
      <c r="F300" s="2" t="s">
        <v>8933</v>
      </c>
      <c r="G300" s="22" t="s">
        <v>8934</v>
      </c>
      <c r="H300" s="24" t="s">
        <v>16005</v>
      </c>
      <c r="I300" s="22" t="s">
        <v>19309</v>
      </c>
      <c r="J300" s="22" t="s">
        <v>16678</v>
      </c>
      <c r="K300" s="22" t="s">
        <v>13268</v>
      </c>
      <c r="L300" s="22"/>
      <c r="M300" s="22"/>
      <c r="N300" s="25" t="str">
        <f>HYPERLINK("http://slimages.macys.com/is/image/MCY/20478162 ")</f>
        <v xml:space="preserve">http://slimages.macys.com/is/image/MCY/20478162 </v>
      </c>
    </row>
    <row r="301" spans="1:14" ht="24.75" x14ac:dyDescent="0.25">
      <c r="A301" s="21" t="s">
        <v>8935</v>
      </c>
      <c r="B301" s="22" t="s">
        <v>8936</v>
      </c>
      <c r="C301" s="2">
        <v>1</v>
      </c>
      <c r="D301" s="23">
        <v>12.99</v>
      </c>
      <c r="E301" s="3">
        <v>12.99</v>
      </c>
      <c r="F301" s="2" t="s">
        <v>8937</v>
      </c>
      <c r="G301" s="22" t="s">
        <v>19333</v>
      </c>
      <c r="H301" s="24" t="s">
        <v>16005</v>
      </c>
      <c r="I301" s="22" t="s">
        <v>19309</v>
      </c>
      <c r="J301" s="22" t="s">
        <v>16678</v>
      </c>
      <c r="K301" s="22" t="s">
        <v>13268</v>
      </c>
      <c r="L301" s="22"/>
      <c r="M301" s="22"/>
      <c r="N301" s="25" t="str">
        <f>HYPERLINK("http://slimages.macys.com/is/image/MCY/20478232 ")</f>
        <v xml:space="preserve">http://slimages.macys.com/is/image/MCY/20478232 </v>
      </c>
    </row>
    <row r="302" spans="1:14" ht="24.75" x14ac:dyDescent="0.25">
      <c r="A302" s="21" t="s">
        <v>8938</v>
      </c>
      <c r="B302" s="22" t="s">
        <v>8939</v>
      </c>
      <c r="C302" s="2">
        <v>1</v>
      </c>
      <c r="D302" s="23">
        <v>11.55</v>
      </c>
      <c r="E302" s="3">
        <v>11.55</v>
      </c>
      <c r="F302" s="2" t="s">
        <v>8940</v>
      </c>
      <c r="G302" s="22" t="s">
        <v>19794</v>
      </c>
      <c r="H302" s="24" t="s">
        <v>19352</v>
      </c>
      <c r="I302" s="22" t="s">
        <v>19309</v>
      </c>
      <c r="J302" s="22" t="s">
        <v>19565</v>
      </c>
      <c r="K302" s="22" t="s">
        <v>18548</v>
      </c>
      <c r="L302" s="22"/>
      <c r="M302" s="22"/>
      <c r="N302" s="25" t="str">
        <f>HYPERLINK("http://slimages.macys.com/is/image/MCY/21314520 ")</f>
        <v xml:space="preserve">http://slimages.macys.com/is/image/MCY/21314520 </v>
      </c>
    </row>
    <row r="303" spans="1:14" ht="24.75" x14ac:dyDescent="0.25">
      <c r="A303" s="21" t="s">
        <v>8941</v>
      </c>
      <c r="B303" s="22" t="s">
        <v>8942</v>
      </c>
      <c r="C303" s="2">
        <v>3</v>
      </c>
      <c r="D303" s="23">
        <v>12.99</v>
      </c>
      <c r="E303" s="3">
        <v>38.97</v>
      </c>
      <c r="F303" s="2" t="s">
        <v>8943</v>
      </c>
      <c r="G303" s="22" t="s">
        <v>15203</v>
      </c>
      <c r="H303" s="24" t="s">
        <v>16005</v>
      </c>
      <c r="I303" s="22" t="s">
        <v>19309</v>
      </c>
      <c r="J303" s="22" t="s">
        <v>16678</v>
      </c>
      <c r="K303" s="22" t="s">
        <v>13268</v>
      </c>
      <c r="L303" s="22"/>
      <c r="M303" s="22"/>
      <c r="N303" s="25" t="str">
        <f>HYPERLINK("http://slimages.macys.com/is/image/MCY/20478270 ")</f>
        <v xml:space="preserve">http://slimages.macys.com/is/image/MCY/20478270 </v>
      </c>
    </row>
    <row r="304" spans="1:14" ht="24.75" x14ac:dyDescent="0.25">
      <c r="A304" s="21" t="s">
        <v>13265</v>
      </c>
      <c r="B304" s="22" t="s">
        <v>13266</v>
      </c>
      <c r="C304" s="2">
        <v>2</v>
      </c>
      <c r="D304" s="23">
        <v>12.99</v>
      </c>
      <c r="E304" s="3">
        <v>25.98</v>
      </c>
      <c r="F304" s="2" t="s">
        <v>13267</v>
      </c>
      <c r="G304" s="22" t="s">
        <v>19594</v>
      </c>
      <c r="H304" s="24" t="s">
        <v>16005</v>
      </c>
      <c r="I304" s="22" t="s">
        <v>19309</v>
      </c>
      <c r="J304" s="22" t="s">
        <v>16678</v>
      </c>
      <c r="K304" s="22" t="s">
        <v>13268</v>
      </c>
      <c r="L304" s="22"/>
      <c r="M304" s="22"/>
      <c r="N304" s="25" t="str">
        <f>HYPERLINK("http://slimages.macys.com/is/image/MCY/20478184 ")</f>
        <v xml:space="preserve">http://slimages.macys.com/is/image/MCY/20478184 </v>
      </c>
    </row>
    <row r="305" spans="1:14" ht="24.75" x14ac:dyDescent="0.25">
      <c r="A305" s="21" t="s">
        <v>8944</v>
      </c>
      <c r="B305" s="22" t="s">
        <v>8945</v>
      </c>
      <c r="C305" s="2">
        <v>3</v>
      </c>
      <c r="D305" s="23">
        <v>12.99</v>
      </c>
      <c r="E305" s="3">
        <v>38.97</v>
      </c>
      <c r="F305" s="2" t="s">
        <v>8946</v>
      </c>
      <c r="G305" s="22" t="s">
        <v>19333</v>
      </c>
      <c r="H305" s="24"/>
      <c r="I305" s="22" t="s">
        <v>19309</v>
      </c>
      <c r="J305" s="22" t="s">
        <v>16678</v>
      </c>
      <c r="K305" s="22" t="s">
        <v>8947</v>
      </c>
      <c r="L305" s="22"/>
      <c r="M305" s="22"/>
      <c r="N305" s="25" t="str">
        <f>HYPERLINK("http://slimages.macys.com/is/image/MCY/19971457 ")</f>
        <v xml:space="preserve">http://slimages.macys.com/is/image/MCY/19971457 </v>
      </c>
    </row>
    <row r="306" spans="1:14" ht="24.75" x14ac:dyDescent="0.25">
      <c r="A306" s="21" t="s">
        <v>18558</v>
      </c>
      <c r="B306" s="22" t="s">
        <v>18559</v>
      </c>
      <c r="C306" s="2">
        <v>1</v>
      </c>
      <c r="D306" s="23">
        <v>13.99</v>
      </c>
      <c r="E306" s="3">
        <v>13.99</v>
      </c>
      <c r="F306" s="2" t="s">
        <v>18551</v>
      </c>
      <c r="G306" s="22" t="s">
        <v>19415</v>
      </c>
      <c r="H306" s="24" t="s">
        <v>19324</v>
      </c>
      <c r="I306" s="22" t="s">
        <v>19309</v>
      </c>
      <c r="J306" s="22" t="s">
        <v>19573</v>
      </c>
      <c r="K306" s="22" t="s">
        <v>19574</v>
      </c>
      <c r="L306" s="22"/>
      <c r="M306" s="22"/>
      <c r="N306" s="25" t="str">
        <f>HYPERLINK("http://slimages.macys.com/is/image/MCY/1619637 ")</f>
        <v xml:space="preserve">http://slimages.macys.com/is/image/MCY/1619637 </v>
      </c>
    </row>
    <row r="307" spans="1:14" ht="24.75" x14ac:dyDescent="0.25">
      <c r="A307" s="21" t="s">
        <v>18552</v>
      </c>
      <c r="B307" s="22" t="s">
        <v>18553</v>
      </c>
      <c r="C307" s="2">
        <v>1</v>
      </c>
      <c r="D307" s="23">
        <v>13.99</v>
      </c>
      <c r="E307" s="3">
        <v>13.99</v>
      </c>
      <c r="F307" s="2" t="s">
        <v>18551</v>
      </c>
      <c r="G307" s="22" t="s">
        <v>19467</v>
      </c>
      <c r="H307" s="24" t="s">
        <v>19330</v>
      </c>
      <c r="I307" s="22" t="s">
        <v>19309</v>
      </c>
      <c r="J307" s="22" t="s">
        <v>19573</v>
      </c>
      <c r="K307" s="22" t="s">
        <v>19574</v>
      </c>
      <c r="L307" s="22"/>
      <c r="M307" s="22"/>
      <c r="N307" s="25" t="str">
        <f>HYPERLINK("http://slimages.macys.com/is/image/MCY/21361645 ")</f>
        <v xml:space="preserve">http://slimages.macys.com/is/image/MCY/21361645 </v>
      </c>
    </row>
    <row r="308" spans="1:14" ht="24.75" x14ac:dyDescent="0.25">
      <c r="A308" s="21" t="s">
        <v>18560</v>
      </c>
      <c r="B308" s="22" t="s">
        <v>18561</v>
      </c>
      <c r="C308" s="2">
        <v>1</v>
      </c>
      <c r="D308" s="23">
        <v>13.99</v>
      </c>
      <c r="E308" s="3">
        <v>13.99</v>
      </c>
      <c r="F308" s="2" t="s">
        <v>18551</v>
      </c>
      <c r="G308" s="22" t="s">
        <v>19467</v>
      </c>
      <c r="H308" s="24" t="s">
        <v>19538</v>
      </c>
      <c r="I308" s="22" t="s">
        <v>19309</v>
      </c>
      <c r="J308" s="22" t="s">
        <v>19573</v>
      </c>
      <c r="K308" s="22" t="s">
        <v>19574</v>
      </c>
      <c r="L308" s="22"/>
      <c r="M308" s="22"/>
      <c r="N308" s="25" t="str">
        <f>HYPERLINK("http://slimages.macys.com/is/image/MCY/21361645 ")</f>
        <v xml:space="preserve">http://slimages.macys.com/is/image/MCY/21361645 </v>
      </c>
    </row>
    <row r="309" spans="1:14" x14ac:dyDescent="0.25">
      <c r="A309" s="21" t="s">
        <v>18562</v>
      </c>
      <c r="B309" s="22" t="s">
        <v>18563</v>
      </c>
      <c r="C309" s="2">
        <v>2</v>
      </c>
      <c r="D309" s="23">
        <v>7.99</v>
      </c>
      <c r="E309" s="3">
        <v>15.98</v>
      </c>
      <c r="F309" s="2" t="s">
        <v>18564</v>
      </c>
      <c r="G309" s="22" t="s">
        <v>18439</v>
      </c>
      <c r="H309" s="24" t="s">
        <v>19345</v>
      </c>
      <c r="I309" s="22" t="s">
        <v>19309</v>
      </c>
      <c r="J309" s="22" t="s">
        <v>19310</v>
      </c>
      <c r="K309" s="22" t="s">
        <v>19468</v>
      </c>
      <c r="L309" s="22"/>
      <c r="M309" s="22"/>
      <c r="N309" s="25" t="str">
        <f>HYPERLINK("http://slimages.macys.com/is/image/MCY/21256939 ")</f>
        <v xml:space="preserve">http://slimages.macys.com/is/image/MCY/21256939 </v>
      </c>
    </row>
    <row r="310" spans="1:14" x14ac:dyDescent="0.25">
      <c r="A310" s="21" t="s">
        <v>8948</v>
      </c>
      <c r="B310" s="22" t="s">
        <v>8949</v>
      </c>
      <c r="C310" s="2">
        <v>1</v>
      </c>
      <c r="D310" s="23">
        <v>7.99</v>
      </c>
      <c r="E310" s="3">
        <v>7.99</v>
      </c>
      <c r="F310" s="2" t="s">
        <v>18564</v>
      </c>
      <c r="G310" s="22" t="s">
        <v>18439</v>
      </c>
      <c r="H310" s="24" t="s">
        <v>19334</v>
      </c>
      <c r="I310" s="22" t="s">
        <v>19309</v>
      </c>
      <c r="J310" s="22" t="s">
        <v>19310</v>
      </c>
      <c r="K310" s="22" t="s">
        <v>19468</v>
      </c>
      <c r="L310" s="22"/>
      <c r="M310" s="22"/>
      <c r="N310" s="25" t="str">
        <f>HYPERLINK("http://slimages.macys.com/is/image/MCY/21256939 ")</f>
        <v xml:space="preserve">http://slimages.macys.com/is/image/MCY/21256939 </v>
      </c>
    </row>
    <row r="311" spans="1:14" x14ac:dyDescent="0.25">
      <c r="A311" s="21" t="s">
        <v>16535</v>
      </c>
      <c r="B311" s="22" t="s">
        <v>16536</v>
      </c>
      <c r="C311" s="2">
        <v>1</v>
      </c>
      <c r="D311" s="23">
        <v>7.99</v>
      </c>
      <c r="E311" s="3">
        <v>7.99</v>
      </c>
      <c r="F311" s="2" t="s">
        <v>18569</v>
      </c>
      <c r="G311" s="22" t="s">
        <v>19404</v>
      </c>
      <c r="H311" s="24" t="s">
        <v>19334</v>
      </c>
      <c r="I311" s="22" t="s">
        <v>19309</v>
      </c>
      <c r="J311" s="22" t="s">
        <v>19310</v>
      </c>
      <c r="K311" s="22" t="s">
        <v>19468</v>
      </c>
      <c r="L311" s="22"/>
      <c r="M311" s="22"/>
      <c r="N311" s="25" t="str">
        <f>HYPERLINK("http://slimages.macys.com/is/image/MCY/21184208 ")</f>
        <v xml:space="preserve">http://slimages.macys.com/is/image/MCY/21184208 </v>
      </c>
    </row>
    <row r="312" spans="1:14" ht="24.75" x14ac:dyDescent="0.25">
      <c r="A312" s="21" t="s">
        <v>11099</v>
      </c>
      <c r="B312" s="22" t="s">
        <v>11100</v>
      </c>
      <c r="C312" s="2">
        <v>1</v>
      </c>
      <c r="D312" s="23">
        <v>16.989999999999998</v>
      </c>
      <c r="E312" s="3">
        <v>16.989999999999998</v>
      </c>
      <c r="F312" s="2" t="s">
        <v>18581</v>
      </c>
      <c r="G312" s="22" t="s">
        <v>19333</v>
      </c>
      <c r="H312" s="24" t="s">
        <v>19542</v>
      </c>
      <c r="I312" s="22" t="s">
        <v>19309</v>
      </c>
      <c r="J312" s="22" t="s">
        <v>19454</v>
      </c>
      <c r="K312" s="22" t="s">
        <v>19524</v>
      </c>
      <c r="L312" s="22"/>
      <c r="M312" s="22"/>
      <c r="N312" s="25" t="str">
        <f>HYPERLINK("http://slimages.macys.com/is/image/MCY/21265927 ")</f>
        <v xml:space="preserve">http://slimages.macys.com/is/image/MCY/21265927 </v>
      </c>
    </row>
    <row r="313" spans="1:14" x14ac:dyDescent="0.25">
      <c r="A313" s="21" t="s">
        <v>8950</v>
      </c>
      <c r="B313" s="22" t="s">
        <v>8951</v>
      </c>
      <c r="C313" s="2">
        <v>1</v>
      </c>
      <c r="D313" s="23">
        <v>16</v>
      </c>
      <c r="E313" s="3">
        <v>16</v>
      </c>
      <c r="F313" s="2" t="s">
        <v>8952</v>
      </c>
      <c r="G313" s="22" t="s">
        <v>19315</v>
      </c>
      <c r="H313" s="24" t="s">
        <v>19542</v>
      </c>
      <c r="I313" s="22" t="s">
        <v>19309</v>
      </c>
      <c r="J313" s="22" t="s">
        <v>19559</v>
      </c>
      <c r="K313" s="22" t="s">
        <v>12872</v>
      </c>
      <c r="L313" s="22" t="s">
        <v>19319</v>
      </c>
      <c r="M313" s="22" t="s">
        <v>19435</v>
      </c>
      <c r="N313" s="25" t="str">
        <f>HYPERLINK("http://slimages.macys.com/is/image/MCY/2863412 ")</f>
        <v xml:space="preserve">http://slimages.macys.com/is/image/MCY/2863412 </v>
      </c>
    </row>
    <row r="314" spans="1:14" ht="24.75" x14ac:dyDescent="0.25">
      <c r="A314" s="21" t="s">
        <v>18585</v>
      </c>
      <c r="B314" s="22" t="s">
        <v>18586</v>
      </c>
      <c r="C314" s="2">
        <v>1</v>
      </c>
      <c r="D314" s="23">
        <v>11.35</v>
      </c>
      <c r="E314" s="3">
        <v>11.35</v>
      </c>
      <c r="F314" s="2" t="s">
        <v>18587</v>
      </c>
      <c r="G314" s="22"/>
      <c r="H314" s="24" t="s">
        <v>19392</v>
      </c>
      <c r="I314" s="22" t="s">
        <v>19309</v>
      </c>
      <c r="J314" s="22" t="s">
        <v>19602</v>
      </c>
      <c r="K314" s="22" t="s">
        <v>20041</v>
      </c>
      <c r="L314" s="22"/>
      <c r="M314" s="22"/>
      <c r="N314" s="25" t="str">
        <f>HYPERLINK("http://slimages.macys.com/is/image/MCY/22406119 ")</f>
        <v xml:space="preserve">http://slimages.macys.com/is/image/MCY/22406119 </v>
      </c>
    </row>
    <row r="315" spans="1:14" ht="24.75" x14ac:dyDescent="0.25">
      <c r="A315" s="21" t="s">
        <v>13269</v>
      </c>
      <c r="B315" s="22" t="s">
        <v>13270</v>
      </c>
      <c r="C315" s="2">
        <v>2</v>
      </c>
      <c r="D315" s="23">
        <v>11.35</v>
      </c>
      <c r="E315" s="3">
        <v>22.7</v>
      </c>
      <c r="F315" s="2" t="s">
        <v>18587</v>
      </c>
      <c r="G315" s="22"/>
      <c r="H315" s="24" t="s">
        <v>19345</v>
      </c>
      <c r="I315" s="22" t="s">
        <v>19309</v>
      </c>
      <c r="J315" s="22" t="s">
        <v>19602</v>
      </c>
      <c r="K315" s="22" t="s">
        <v>20041</v>
      </c>
      <c r="L315" s="22"/>
      <c r="M315" s="22"/>
      <c r="N315" s="25" t="str">
        <f>HYPERLINK("http://slimages.macys.com/is/image/MCY/22406119 ")</f>
        <v xml:space="preserve">http://slimages.macys.com/is/image/MCY/22406119 </v>
      </c>
    </row>
    <row r="316" spans="1:14" ht="24.75" x14ac:dyDescent="0.25">
      <c r="A316" s="21" t="s">
        <v>16546</v>
      </c>
      <c r="B316" s="22" t="s">
        <v>16547</v>
      </c>
      <c r="C316" s="2">
        <v>1</v>
      </c>
      <c r="D316" s="23">
        <v>11.35</v>
      </c>
      <c r="E316" s="3">
        <v>11.35</v>
      </c>
      <c r="F316" s="2" t="s">
        <v>18587</v>
      </c>
      <c r="G316" s="22"/>
      <c r="H316" s="24" t="s">
        <v>19334</v>
      </c>
      <c r="I316" s="22" t="s">
        <v>19309</v>
      </c>
      <c r="J316" s="22" t="s">
        <v>19602</v>
      </c>
      <c r="K316" s="22" t="s">
        <v>20041</v>
      </c>
      <c r="L316" s="22"/>
      <c r="M316" s="22"/>
      <c r="N316" s="25" t="str">
        <f>HYPERLINK("http://slimages.macys.com/is/image/MCY/22406119 ")</f>
        <v xml:space="preserve">http://slimages.macys.com/is/image/MCY/22406119 </v>
      </c>
    </row>
    <row r="317" spans="1:14" ht="24.75" x14ac:dyDescent="0.25">
      <c r="A317" s="21" t="s">
        <v>13271</v>
      </c>
      <c r="B317" s="22" t="s">
        <v>13272</v>
      </c>
      <c r="C317" s="2">
        <v>1</v>
      </c>
      <c r="D317" s="23">
        <v>11.35</v>
      </c>
      <c r="E317" s="3">
        <v>11.35</v>
      </c>
      <c r="F317" s="2" t="s">
        <v>16250</v>
      </c>
      <c r="G317" s="22"/>
      <c r="H317" s="24" t="s">
        <v>19334</v>
      </c>
      <c r="I317" s="22" t="s">
        <v>19309</v>
      </c>
      <c r="J317" s="22" t="s">
        <v>19602</v>
      </c>
      <c r="K317" s="22" t="s">
        <v>20041</v>
      </c>
      <c r="L317" s="22"/>
      <c r="M317" s="22"/>
      <c r="N317" s="25" t="str">
        <f>HYPERLINK("http://slimages.macys.com/is/image/MCY/22406119 ")</f>
        <v xml:space="preserve">http://slimages.macys.com/is/image/MCY/22406119 </v>
      </c>
    </row>
    <row r="318" spans="1:14" ht="24.75" x14ac:dyDescent="0.25">
      <c r="A318" s="21" t="s">
        <v>8953</v>
      </c>
      <c r="B318" s="22" t="s">
        <v>8954</v>
      </c>
      <c r="C318" s="2">
        <v>4</v>
      </c>
      <c r="D318" s="23">
        <v>12.99</v>
      </c>
      <c r="E318" s="3">
        <v>51.96</v>
      </c>
      <c r="F318" s="2" t="s">
        <v>8955</v>
      </c>
      <c r="G318" s="22" t="s">
        <v>19315</v>
      </c>
      <c r="H318" s="24" t="s">
        <v>16005</v>
      </c>
      <c r="I318" s="22" t="s">
        <v>19309</v>
      </c>
      <c r="J318" s="22" t="s">
        <v>16678</v>
      </c>
      <c r="K318" s="22" t="s">
        <v>10407</v>
      </c>
      <c r="L318" s="22"/>
      <c r="M318" s="22"/>
      <c r="N318" s="25" t="str">
        <f>HYPERLINK("http://slimages.macys.com/is/image/MCY/20282929 ")</f>
        <v xml:space="preserve">http://slimages.macys.com/is/image/MCY/20282929 </v>
      </c>
    </row>
    <row r="319" spans="1:14" ht="24.75" x14ac:dyDescent="0.25">
      <c r="A319" s="21" t="s">
        <v>8956</v>
      </c>
      <c r="B319" s="22" t="s">
        <v>8957</v>
      </c>
      <c r="C319" s="2">
        <v>1</v>
      </c>
      <c r="D319" s="23">
        <v>9.99</v>
      </c>
      <c r="E319" s="3">
        <v>9.99</v>
      </c>
      <c r="F319" s="2" t="s">
        <v>8958</v>
      </c>
      <c r="G319" s="22" t="s">
        <v>19351</v>
      </c>
      <c r="H319" s="24" t="s">
        <v>19364</v>
      </c>
      <c r="I319" s="22" t="s">
        <v>19309</v>
      </c>
      <c r="J319" s="22" t="s">
        <v>20076</v>
      </c>
      <c r="K319" s="22" t="s">
        <v>12080</v>
      </c>
      <c r="L319" s="22" t="s">
        <v>19319</v>
      </c>
      <c r="M319" s="22" t="s">
        <v>19209</v>
      </c>
      <c r="N319" s="25" t="str">
        <f>HYPERLINK("http://slimages.macys.com/is/image/MCY/2568982 ")</f>
        <v xml:space="preserve">http://slimages.macys.com/is/image/MCY/2568982 </v>
      </c>
    </row>
    <row r="320" spans="1:14" x14ac:dyDescent="0.25">
      <c r="A320" s="21" t="s">
        <v>8959</v>
      </c>
      <c r="B320" s="22" t="s">
        <v>8960</v>
      </c>
      <c r="C320" s="2">
        <v>1</v>
      </c>
      <c r="D320" s="23">
        <v>11.99</v>
      </c>
      <c r="E320" s="3">
        <v>11.99</v>
      </c>
      <c r="F320" s="2" t="s">
        <v>16562</v>
      </c>
      <c r="G320" s="22" t="s">
        <v>19351</v>
      </c>
      <c r="H320" s="24" t="s">
        <v>19339</v>
      </c>
      <c r="I320" s="22" t="s">
        <v>19309</v>
      </c>
      <c r="J320" s="22" t="s">
        <v>19849</v>
      </c>
      <c r="K320" s="22" t="s">
        <v>19850</v>
      </c>
      <c r="L320" s="22"/>
      <c r="M320" s="22"/>
      <c r="N320" s="25" t="str">
        <f>HYPERLINK("http://slimages.macys.com/is/image/MCY/20530994 ")</f>
        <v xml:space="preserve">http://slimages.macys.com/is/image/MCY/20530994 </v>
      </c>
    </row>
    <row r="321" spans="1:14" x14ac:dyDescent="0.25">
      <c r="A321" s="21" t="s">
        <v>9913</v>
      </c>
      <c r="B321" s="22" t="s">
        <v>9914</v>
      </c>
      <c r="C321" s="2">
        <v>2</v>
      </c>
      <c r="D321" s="23">
        <v>11.99</v>
      </c>
      <c r="E321" s="3">
        <v>23.98</v>
      </c>
      <c r="F321" s="2" t="s">
        <v>16562</v>
      </c>
      <c r="G321" s="22" t="s">
        <v>19351</v>
      </c>
      <c r="H321" s="24" t="s">
        <v>19364</v>
      </c>
      <c r="I321" s="22" t="s">
        <v>19309</v>
      </c>
      <c r="J321" s="22" t="s">
        <v>19849</v>
      </c>
      <c r="K321" s="22" t="s">
        <v>19850</v>
      </c>
      <c r="L321" s="22"/>
      <c r="M321" s="22"/>
      <c r="N321" s="25" t="str">
        <f>HYPERLINK("http://slimages.macys.com/is/image/MCY/20530994 ")</f>
        <v xml:space="preserve">http://slimages.macys.com/is/image/MCY/20530994 </v>
      </c>
    </row>
    <row r="322" spans="1:14" x14ac:dyDescent="0.25">
      <c r="A322" s="21" t="s">
        <v>16560</v>
      </c>
      <c r="B322" s="22" t="s">
        <v>16561</v>
      </c>
      <c r="C322" s="2">
        <v>2</v>
      </c>
      <c r="D322" s="23">
        <v>11.99</v>
      </c>
      <c r="E322" s="3">
        <v>23.98</v>
      </c>
      <c r="F322" s="2" t="s">
        <v>16562</v>
      </c>
      <c r="G322" s="22" t="s">
        <v>19351</v>
      </c>
      <c r="H322" s="24" t="s">
        <v>19797</v>
      </c>
      <c r="I322" s="22" t="s">
        <v>19309</v>
      </c>
      <c r="J322" s="22" t="s">
        <v>19849</v>
      </c>
      <c r="K322" s="22" t="s">
        <v>19850</v>
      </c>
      <c r="L322" s="22"/>
      <c r="M322" s="22"/>
      <c r="N322" s="25" t="str">
        <f>HYPERLINK("http://slimages.macys.com/is/image/MCY/20530994 ")</f>
        <v xml:space="preserve">http://slimages.macys.com/is/image/MCY/20530994 </v>
      </c>
    </row>
    <row r="323" spans="1:14" ht="24.75" x14ac:dyDescent="0.25">
      <c r="A323" s="21" t="s">
        <v>18606</v>
      </c>
      <c r="B323" s="22" t="s">
        <v>18607</v>
      </c>
      <c r="C323" s="2">
        <v>1</v>
      </c>
      <c r="D323" s="23">
        <v>13.99</v>
      </c>
      <c r="E323" s="3">
        <v>13.99</v>
      </c>
      <c r="F323" s="2" t="s">
        <v>18608</v>
      </c>
      <c r="G323" s="22" t="s">
        <v>19674</v>
      </c>
      <c r="H323" s="24" t="s">
        <v>19330</v>
      </c>
      <c r="I323" s="22" t="s">
        <v>19309</v>
      </c>
      <c r="J323" s="22" t="s">
        <v>19573</v>
      </c>
      <c r="K323" s="22" t="s">
        <v>19574</v>
      </c>
      <c r="L323" s="22"/>
      <c r="M323" s="22"/>
      <c r="N323" s="25" t="str">
        <f>HYPERLINK("http://slimages.macys.com/is/image/MCY/18424257 ")</f>
        <v xml:space="preserve">http://slimages.macys.com/is/image/MCY/18424257 </v>
      </c>
    </row>
    <row r="324" spans="1:14" x14ac:dyDescent="0.25">
      <c r="A324" s="21" t="s">
        <v>8961</v>
      </c>
      <c r="B324" s="22" t="s">
        <v>8962</v>
      </c>
      <c r="C324" s="2">
        <v>1</v>
      </c>
      <c r="D324" s="23">
        <v>10.33</v>
      </c>
      <c r="E324" s="3">
        <v>10.33</v>
      </c>
      <c r="F324" s="2" t="s">
        <v>8963</v>
      </c>
      <c r="G324" s="22" t="s">
        <v>19763</v>
      </c>
      <c r="H324" s="24" t="s">
        <v>19432</v>
      </c>
      <c r="I324" s="22" t="s">
        <v>19309</v>
      </c>
      <c r="J324" s="22" t="s">
        <v>19514</v>
      </c>
      <c r="K324" s="22" t="s">
        <v>18514</v>
      </c>
      <c r="L324" s="22"/>
      <c r="M324" s="22"/>
      <c r="N324" s="25" t="str">
        <f>HYPERLINK("http://slimages.macys.com/is/image/MCY/20748454 ")</f>
        <v xml:space="preserve">http://slimages.macys.com/is/image/MCY/20748454 </v>
      </c>
    </row>
    <row r="325" spans="1:14" x14ac:dyDescent="0.25">
      <c r="A325" s="21" t="s">
        <v>16584</v>
      </c>
      <c r="B325" s="22" t="s">
        <v>16585</v>
      </c>
      <c r="C325" s="2">
        <v>3</v>
      </c>
      <c r="D325" s="23">
        <v>16.989999999999998</v>
      </c>
      <c r="E325" s="3">
        <v>50.97</v>
      </c>
      <c r="F325" s="2" t="s">
        <v>18666</v>
      </c>
      <c r="G325" s="22" t="s">
        <v>19431</v>
      </c>
      <c r="H325" s="24" t="s">
        <v>19339</v>
      </c>
      <c r="I325" s="22" t="s">
        <v>19309</v>
      </c>
      <c r="J325" s="22" t="s">
        <v>19849</v>
      </c>
      <c r="K325" s="22" t="s">
        <v>19850</v>
      </c>
      <c r="L325" s="22"/>
      <c r="M325" s="22"/>
      <c r="N325" s="25" t="str">
        <f>HYPERLINK("http://slimages.macys.com/is/image/MCY/1249846 ")</f>
        <v xml:space="preserve">http://slimages.macys.com/is/image/MCY/1249846 </v>
      </c>
    </row>
    <row r="326" spans="1:14" x14ac:dyDescent="0.25">
      <c r="A326" s="21" t="s">
        <v>16574</v>
      </c>
      <c r="B326" s="22" t="s">
        <v>16575</v>
      </c>
      <c r="C326" s="2">
        <v>1</v>
      </c>
      <c r="D326" s="23">
        <v>16.989999999999998</v>
      </c>
      <c r="E326" s="3">
        <v>16.989999999999998</v>
      </c>
      <c r="F326" s="2" t="s">
        <v>18666</v>
      </c>
      <c r="G326" s="22" t="s">
        <v>19351</v>
      </c>
      <c r="H326" s="24" t="s">
        <v>19364</v>
      </c>
      <c r="I326" s="22" t="s">
        <v>19309</v>
      </c>
      <c r="J326" s="22" t="s">
        <v>19849</v>
      </c>
      <c r="K326" s="22" t="s">
        <v>19850</v>
      </c>
      <c r="L326" s="22"/>
      <c r="M326" s="22"/>
      <c r="N326" s="25" t="str">
        <f>HYPERLINK("http://slimages.macys.com/is/image/MCY/20751778 ")</f>
        <v xml:space="preserve">http://slimages.macys.com/is/image/MCY/20751778 </v>
      </c>
    </row>
    <row r="327" spans="1:14" x14ac:dyDescent="0.25">
      <c r="A327" s="21" t="s">
        <v>16586</v>
      </c>
      <c r="B327" s="22" t="s">
        <v>16587</v>
      </c>
      <c r="C327" s="2">
        <v>1</v>
      </c>
      <c r="D327" s="23">
        <v>16.989999999999998</v>
      </c>
      <c r="E327" s="3">
        <v>16.989999999999998</v>
      </c>
      <c r="F327" s="2" t="s">
        <v>18666</v>
      </c>
      <c r="G327" s="22" t="s">
        <v>19431</v>
      </c>
      <c r="H327" s="24" t="s">
        <v>19364</v>
      </c>
      <c r="I327" s="22" t="s">
        <v>19309</v>
      </c>
      <c r="J327" s="22" t="s">
        <v>19849</v>
      </c>
      <c r="K327" s="22" t="s">
        <v>19850</v>
      </c>
      <c r="L327" s="22"/>
      <c r="M327" s="22"/>
      <c r="N327" s="25" t="str">
        <f>HYPERLINK("http://slimages.macys.com/is/image/MCY/1249846 ")</f>
        <v xml:space="preserve">http://slimages.macys.com/is/image/MCY/1249846 </v>
      </c>
    </row>
    <row r="328" spans="1:14" x14ac:dyDescent="0.25">
      <c r="A328" s="21" t="s">
        <v>16260</v>
      </c>
      <c r="B328" s="22" t="s">
        <v>16261</v>
      </c>
      <c r="C328" s="2">
        <v>1</v>
      </c>
      <c r="D328" s="23">
        <v>16.989999999999998</v>
      </c>
      <c r="E328" s="3">
        <v>16.989999999999998</v>
      </c>
      <c r="F328" s="2" t="s">
        <v>18666</v>
      </c>
      <c r="G328" s="22" t="s">
        <v>19351</v>
      </c>
      <c r="H328" s="24" t="s">
        <v>19797</v>
      </c>
      <c r="I328" s="22" t="s">
        <v>19309</v>
      </c>
      <c r="J328" s="22" t="s">
        <v>19849</v>
      </c>
      <c r="K328" s="22" t="s">
        <v>19850</v>
      </c>
      <c r="L328" s="22"/>
      <c r="M328" s="22"/>
      <c r="N328" s="25" t="str">
        <f>HYPERLINK("http://slimages.macys.com/is/image/MCY/20751778 ")</f>
        <v xml:space="preserve">http://slimages.macys.com/is/image/MCY/20751778 </v>
      </c>
    </row>
    <row r="329" spans="1:14" x14ac:dyDescent="0.25">
      <c r="A329" s="21" t="s">
        <v>16582</v>
      </c>
      <c r="B329" s="22" t="s">
        <v>16583</v>
      </c>
      <c r="C329" s="2">
        <v>2</v>
      </c>
      <c r="D329" s="23">
        <v>16.989999999999998</v>
      </c>
      <c r="E329" s="3">
        <v>33.979999999999997</v>
      </c>
      <c r="F329" s="2" t="s">
        <v>18666</v>
      </c>
      <c r="G329" s="22" t="s">
        <v>19431</v>
      </c>
      <c r="H329" s="24" t="s">
        <v>19797</v>
      </c>
      <c r="I329" s="22" t="s">
        <v>19309</v>
      </c>
      <c r="J329" s="22" t="s">
        <v>19849</v>
      </c>
      <c r="K329" s="22" t="s">
        <v>19850</v>
      </c>
      <c r="L329" s="22"/>
      <c r="M329" s="22"/>
      <c r="N329" s="25" t="str">
        <f>HYPERLINK("http://slimages.macys.com/is/image/MCY/1249846 ")</f>
        <v xml:space="preserve">http://slimages.macys.com/is/image/MCY/1249846 </v>
      </c>
    </row>
    <row r="330" spans="1:14" x14ac:dyDescent="0.25">
      <c r="A330" s="21" t="s">
        <v>8964</v>
      </c>
      <c r="B330" s="22" t="s">
        <v>8965</v>
      </c>
      <c r="C330" s="2">
        <v>2</v>
      </c>
      <c r="D330" s="23">
        <v>11.99</v>
      </c>
      <c r="E330" s="3">
        <v>23.98</v>
      </c>
      <c r="F330" s="2" t="s">
        <v>8966</v>
      </c>
      <c r="G330" s="22" t="s">
        <v>19315</v>
      </c>
      <c r="H330" s="24" t="s">
        <v>19339</v>
      </c>
      <c r="I330" s="22" t="s">
        <v>19309</v>
      </c>
      <c r="J330" s="22" t="s">
        <v>19849</v>
      </c>
      <c r="K330" s="22" t="s">
        <v>19850</v>
      </c>
      <c r="L330" s="22"/>
      <c r="M330" s="22"/>
      <c r="N330" s="25" t="str">
        <f>HYPERLINK("http://slimages.macys.com/is/image/MCY/20752748 ")</f>
        <v xml:space="preserve">http://slimages.macys.com/is/image/MCY/20752748 </v>
      </c>
    </row>
    <row r="331" spans="1:14" x14ac:dyDescent="0.25">
      <c r="A331" s="21" t="s">
        <v>8967</v>
      </c>
      <c r="B331" s="22" t="s">
        <v>8968</v>
      </c>
      <c r="C331" s="2">
        <v>1</v>
      </c>
      <c r="D331" s="23">
        <v>11.99</v>
      </c>
      <c r="E331" s="3">
        <v>11.99</v>
      </c>
      <c r="F331" s="2" t="s">
        <v>8966</v>
      </c>
      <c r="G331" s="22" t="s">
        <v>19315</v>
      </c>
      <c r="H331" s="24" t="s">
        <v>19797</v>
      </c>
      <c r="I331" s="22" t="s">
        <v>19309</v>
      </c>
      <c r="J331" s="22" t="s">
        <v>19849</v>
      </c>
      <c r="K331" s="22" t="s">
        <v>19850</v>
      </c>
      <c r="L331" s="22"/>
      <c r="M331" s="22"/>
      <c r="N331" s="25" t="str">
        <f>HYPERLINK("http://slimages.macys.com/is/image/MCY/20752748 ")</f>
        <v xml:space="preserve">http://slimages.macys.com/is/image/MCY/20752748 </v>
      </c>
    </row>
    <row r="332" spans="1:14" x14ac:dyDescent="0.25">
      <c r="A332" s="21" t="s">
        <v>8969</v>
      </c>
      <c r="B332" s="22" t="s">
        <v>8970</v>
      </c>
      <c r="C332" s="2">
        <v>1</v>
      </c>
      <c r="D332" s="23">
        <v>11.99</v>
      </c>
      <c r="E332" s="3">
        <v>11.99</v>
      </c>
      <c r="F332" s="2" t="s">
        <v>8966</v>
      </c>
      <c r="G332" s="22" t="s">
        <v>19315</v>
      </c>
      <c r="H332" s="24" t="s">
        <v>19352</v>
      </c>
      <c r="I332" s="22" t="s">
        <v>19309</v>
      </c>
      <c r="J332" s="22" t="s">
        <v>19849</v>
      </c>
      <c r="K332" s="22" t="s">
        <v>19850</v>
      </c>
      <c r="L332" s="22"/>
      <c r="M332" s="22"/>
      <c r="N332" s="25" t="str">
        <f>HYPERLINK("http://slimages.macys.com/is/image/MCY/20752748 ")</f>
        <v xml:space="preserve">http://slimages.macys.com/is/image/MCY/20752748 </v>
      </c>
    </row>
    <row r="333" spans="1:14" x14ac:dyDescent="0.25">
      <c r="A333" s="21" t="s">
        <v>8971</v>
      </c>
      <c r="B333" s="22" t="s">
        <v>8972</v>
      </c>
      <c r="C333" s="2">
        <v>1</v>
      </c>
      <c r="D333" s="23">
        <v>11.99</v>
      </c>
      <c r="E333" s="3">
        <v>11.99</v>
      </c>
      <c r="F333" s="2" t="s">
        <v>8973</v>
      </c>
      <c r="G333" s="22" t="s">
        <v>19674</v>
      </c>
      <c r="H333" s="24" t="s">
        <v>19339</v>
      </c>
      <c r="I333" s="22" t="s">
        <v>19309</v>
      </c>
      <c r="J333" s="22" t="s">
        <v>19849</v>
      </c>
      <c r="K333" s="22" t="s">
        <v>19850</v>
      </c>
      <c r="L333" s="22"/>
      <c r="M333" s="22"/>
      <c r="N333" s="25" t="str">
        <f>HYPERLINK("http://slimages.macys.com/is/image/MCY/20752748 ")</f>
        <v xml:space="preserve">http://slimages.macys.com/is/image/MCY/20752748 </v>
      </c>
    </row>
    <row r="334" spans="1:14" x14ac:dyDescent="0.25">
      <c r="A334" s="21" t="s">
        <v>8974</v>
      </c>
      <c r="B334" s="22" t="s">
        <v>8975</v>
      </c>
      <c r="C334" s="2">
        <v>1</v>
      </c>
      <c r="D334" s="23">
        <v>11.99</v>
      </c>
      <c r="E334" s="3">
        <v>11.99</v>
      </c>
      <c r="F334" s="2" t="s">
        <v>8973</v>
      </c>
      <c r="G334" s="22" t="s">
        <v>19674</v>
      </c>
      <c r="H334" s="24" t="s">
        <v>19797</v>
      </c>
      <c r="I334" s="22" t="s">
        <v>19309</v>
      </c>
      <c r="J334" s="22" t="s">
        <v>19849</v>
      </c>
      <c r="K334" s="22" t="s">
        <v>19850</v>
      </c>
      <c r="L334" s="22"/>
      <c r="M334" s="22"/>
      <c r="N334" s="25" t="str">
        <f>HYPERLINK("http://slimages.macys.com/is/image/MCY/20752748 ")</f>
        <v xml:space="preserve">http://slimages.macys.com/is/image/MCY/20752748 </v>
      </c>
    </row>
    <row r="335" spans="1:14" ht="24.75" x14ac:dyDescent="0.25">
      <c r="A335" s="21" t="s">
        <v>8976</v>
      </c>
      <c r="B335" s="22" t="s">
        <v>8977</v>
      </c>
      <c r="C335" s="2">
        <v>1</v>
      </c>
      <c r="D335" s="23">
        <v>13.99</v>
      </c>
      <c r="E335" s="3">
        <v>13.99</v>
      </c>
      <c r="F335" s="2" t="s">
        <v>16593</v>
      </c>
      <c r="G335" s="22" t="s">
        <v>18429</v>
      </c>
      <c r="H335" s="24" t="s">
        <v>19308</v>
      </c>
      <c r="I335" s="22" t="s">
        <v>19309</v>
      </c>
      <c r="J335" s="22" t="s">
        <v>19815</v>
      </c>
      <c r="K335" s="22" t="s">
        <v>19816</v>
      </c>
      <c r="L335" s="22"/>
      <c r="M335" s="22"/>
      <c r="N335" s="25" t="str">
        <f>HYPERLINK("http://slimages.macys.com/is/image/MCY/21188139 ")</f>
        <v xml:space="preserve">http://slimages.macys.com/is/image/MCY/21188139 </v>
      </c>
    </row>
    <row r="336" spans="1:14" ht="24.75" x14ac:dyDescent="0.25">
      <c r="A336" s="21" t="s">
        <v>16591</v>
      </c>
      <c r="B336" s="22" t="s">
        <v>16592</v>
      </c>
      <c r="C336" s="2">
        <v>1</v>
      </c>
      <c r="D336" s="23">
        <v>13.99</v>
      </c>
      <c r="E336" s="3">
        <v>13.99</v>
      </c>
      <c r="F336" s="2" t="s">
        <v>16593</v>
      </c>
      <c r="G336" s="22" t="s">
        <v>18429</v>
      </c>
      <c r="H336" s="24" t="s">
        <v>19364</v>
      </c>
      <c r="I336" s="22" t="s">
        <v>19309</v>
      </c>
      <c r="J336" s="22" t="s">
        <v>19815</v>
      </c>
      <c r="K336" s="22" t="s">
        <v>19816</v>
      </c>
      <c r="L336" s="22"/>
      <c r="M336" s="22"/>
      <c r="N336" s="25" t="str">
        <f>HYPERLINK("http://slimages.macys.com/is/image/MCY/21188139 ")</f>
        <v xml:space="preserve">http://slimages.macys.com/is/image/MCY/21188139 </v>
      </c>
    </row>
    <row r="337" spans="1:14" ht="24.75" x14ac:dyDescent="0.25">
      <c r="A337" s="21" t="s">
        <v>8978</v>
      </c>
      <c r="B337" s="22" t="s">
        <v>8979</v>
      </c>
      <c r="C337" s="2">
        <v>1</v>
      </c>
      <c r="D337" s="23">
        <v>13.99</v>
      </c>
      <c r="E337" s="3">
        <v>13.99</v>
      </c>
      <c r="F337" s="2" t="s">
        <v>16593</v>
      </c>
      <c r="G337" s="22" t="s">
        <v>18429</v>
      </c>
      <c r="H337" s="24" t="s">
        <v>19352</v>
      </c>
      <c r="I337" s="22" t="s">
        <v>19309</v>
      </c>
      <c r="J337" s="22" t="s">
        <v>19815</v>
      </c>
      <c r="K337" s="22" t="s">
        <v>19816</v>
      </c>
      <c r="L337" s="22"/>
      <c r="M337" s="22"/>
      <c r="N337" s="25" t="str">
        <f>HYPERLINK("http://slimages.macys.com/is/image/MCY/21188139 ")</f>
        <v xml:space="preserve">http://slimages.macys.com/is/image/MCY/21188139 </v>
      </c>
    </row>
    <row r="338" spans="1:14" ht="24.75" x14ac:dyDescent="0.25">
      <c r="A338" s="21" t="s">
        <v>12344</v>
      </c>
      <c r="B338" s="22" t="s">
        <v>12345</v>
      </c>
      <c r="C338" s="2">
        <v>1</v>
      </c>
      <c r="D338" s="23">
        <v>8.25</v>
      </c>
      <c r="E338" s="3">
        <v>8.25</v>
      </c>
      <c r="F338" s="2" t="s">
        <v>12341</v>
      </c>
      <c r="G338" s="22" t="s">
        <v>19323</v>
      </c>
      <c r="H338" s="24" t="s">
        <v>19345</v>
      </c>
      <c r="I338" s="22" t="s">
        <v>19309</v>
      </c>
      <c r="J338" s="22" t="s">
        <v>19447</v>
      </c>
      <c r="K338" s="22" t="s">
        <v>20146</v>
      </c>
      <c r="L338" s="22"/>
      <c r="M338" s="22"/>
      <c r="N338" s="25" t="str">
        <f>HYPERLINK("http://slimages.macys.com/is/image/MCY/20099678 ")</f>
        <v xml:space="preserve">http://slimages.macys.com/is/image/MCY/20099678 </v>
      </c>
    </row>
    <row r="339" spans="1:14" ht="24.75" x14ac:dyDescent="0.25">
      <c r="A339" s="21" t="s">
        <v>13888</v>
      </c>
      <c r="B339" s="22" t="s">
        <v>13889</v>
      </c>
      <c r="C339" s="2">
        <v>1</v>
      </c>
      <c r="D339" s="23">
        <v>13.99</v>
      </c>
      <c r="E339" s="3">
        <v>13.99</v>
      </c>
      <c r="F339" s="2" t="s">
        <v>16593</v>
      </c>
      <c r="G339" s="22" t="s">
        <v>19315</v>
      </c>
      <c r="H339" s="24" t="s">
        <v>19364</v>
      </c>
      <c r="I339" s="22" t="s">
        <v>19309</v>
      </c>
      <c r="J339" s="22" t="s">
        <v>19815</v>
      </c>
      <c r="K339" s="22" t="s">
        <v>19816</v>
      </c>
      <c r="L339" s="22"/>
      <c r="M339" s="22"/>
      <c r="N339" s="25" t="str">
        <f>HYPERLINK("http://slimages.macys.com/is/image/MCY/21188139 ")</f>
        <v xml:space="preserve">http://slimages.macys.com/is/image/MCY/21188139 </v>
      </c>
    </row>
    <row r="340" spans="1:14" ht="24.75" x14ac:dyDescent="0.25">
      <c r="A340" s="21" t="s">
        <v>13898</v>
      </c>
      <c r="B340" s="22" t="s">
        <v>13899</v>
      </c>
      <c r="C340" s="2">
        <v>2</v>
      </c>
      <c r="D340" s="23">
        <v>10.91</v>
      </c>
      <c r="E340" s="3">
        <v>21.82</v>
      </c>
      <c r="F340" s="2" t="s">
        <v>16605</v>
      </c>
      <c r="G340" s="22" t="s">
        <v>19594</v>
      </c>
      <c r="H340" s="24" t="s">
        <v>19392</v>
      </c>
      <c r="I340" s="22" t="s">
        <v>19309</v>
      </c>
      <c r="J340" s="22" t="s">
        <v>19602</v>
      </c>
      <c r="K340" s="22" t="s">
        <v>20041</v>
      </c>
      <c r="L340" s="22"/>
      <c r="M340" s="22"/>
      <c r="N340" s="25" t="str">
        <f>HYPERLINK("http://slimages.macys.com/is/image/MCY/21723141 ")</f>
        <v xml:space="preserve">http://slimages.macys.com/is/image/MCY/21723141 </v>
      </c>
    </row>
    <row r="341" spans="1:14" ht="24.75" x14ac:dyDescent="0.25">
      <c r="A341" s="21" t="s">
        <v>8980</v>
      </c>
      <c r="B341" s="22" t="s">
        <v>8981</v>
      </c>
      <c r="C341" s="2">
        <v>1</v>
      </c>
      <c r="D341" s="23">
        <v>10.91</v>
      </c>
      <c r="E341" s="3">
        <v>10.91</v>
      </c>
      <c r="F341" s="2" t="s">
        <v>16267</v>
      </c>
      <c r="G341" s="22"/>
      <c r="H341" s="24" t="s">
        <v>19392</v>
      </c>
      <c r="I341" s="22" t="s">
        <v>19309</v>
      </c>
      <c r="J341" s="22" t="s">
        <v>19602</v>
      </c>
      <c r="K341" s="22" t="s">
        <v>19603</v>
      </c>
      <c r="L341" s="22"/>
      <c r="M341" s="22"/>
      <c r="N341" s="25" t="str">
        <f>HYPERLINK("http://slimages.macys.com/is/image/MCY/21421177 ")</f>
        <v xml:space="preserve">http://slimages.macys.com/is/image/MCY/21421177 </v>
      </c>
    </row>
    <row r="342" spans="1:14" ht="24.75" x14ac:dyDescent="0.25">
      <c r="A342" s="21" t="s">
        <v>16597</v>
      </c>
      <c r="B342" s="22" t="s">
        <v>16598</v>
      </c>
      <c r="C342" s="2">
        <v>1</v>
      </c>
      <c r="D342" s="23">
        <v>10.91</v>
      </c>
      <c r="E342" s="3">
        <v>10.91</v>
      </c>
      <c r="F342" s="2" t="s">
        <v>16599</v>
      </c>
      <c r="G342" s="22" t="s">
        <v>19323</v>
      </c>
      <c r="H342" s="24" t="s">
        <v>19334</v>
      </c>
      <c r="I342" s="22" t="s">
        <v>19309</v>
      </c>
      <c r="J342" s="22" t="s">
        <v>19602</v>
      </c>
      <c r="K342" s="22" t="s">
        <v>20041</v>
      </c>
      <c r="L342" s="22"/>
      <c r="M342" s="22"/>
      <c r="N342" s="25" t="str">
        <f>HYPERLINK("http://slimages.macys.com/is/image/MCY/21723141 ")</f>
        <v xml:space="preserve">http://slimages.macys.com/is/image/MCY/21723141 </v>
      </c>
    </row>
    <row r="343" spans="1:14" ht="24.75" x14ac:dyDescent="0.25">
      <c r="A343" s="21" t="s">
        <v>13279</v>
      </c>
      <c r="B343" s="22" t="s">
        <v>13280</v>
      </c>
      <c r="C343" s="2">
        <v>2</v>
      </c>
      <c r="D343" s="23">
        <v>10.91</v>
      </c>
      <c r="E343" s="3">
        <v>21.82</v>
      </c>
      <c r="F343" s="2" t="s">
        <v>16602</v>
      </c>
      <c r="G343" s="22" t="s">
        <v>19357</v>
      </c>
      <c r="H343" s="24" t="s">
        <v>19345</v>
      </c>
      <c r="I343" s="22" t="s">
        <v>19309</v>
      </c>
      <c r="J343" s="22" t="s">
        <v>19602</v>
      </c>
      <c r="K343" s="22" t="s">
        <v>20041</v>
      </c>
      <c r="L343" s="22"/>
      <c r="M343" s="22"/>
      <c r="N343" s="25" t="str">
        <f>HYPERLINK("http://slimages.macys.com/is/image/MCY/21723141 ")</f>
        <v xml:space="preserve">http://slimages.macys.com/is/image/MCY/21723141 </v>
      </c>
    </row>
    <row r="344" spans="1:14" ht="24.75" x14ac:dyDescent="0.25">
      <c r="A344" s="21" t="s">
        <v>13277</v>
      </c>
      <c r="B344" s="22" t="s">
        <v>13278</v>
      </c>
      <c r="C344" s="2">
        <v>1</v>
      </c>
      <c r="D344" s="23">
        <v>10.91</v>
      </c>
      <c r="E344" s="3">
        <v>10.91</v>
      </c>
      <c r="F344" s="2" t="s">
        <v>18650</v>
      </c>
      <c r="G344" s="22"/>
      <c r="H344" s="24"/>
      <c r="I344" s="22" t="s">
        <v>19309</v>
      </c>
      <c r="J344" s="22" t="s">
        <v>19602</v>
      </c>
      <c r="K344" s="22" t="s">
        <v>19603</v>
      </c>
      <c r="L344" s="22"/>
      <c r="M344" s="22"/>
      <c r="N344" s="25" t="str">
        <f>HYPERLINK("http://slimages.macys.com/is/image/MCY/21420990 ")</f>
        <v xml:space="preserve">http://slimages.macys.com/is/image/MCY/21420990 </v>
      </c>
    </row>
    <row r="345" spans="1:14" ht="24.75" x14ac:dyDescent="0.25">
      <c r="A345" s="21" t="s">
        <v>16600</v>
      </c>
      <c r="B345" s="22" t="s">
        <v>16601</v>
      </c>
      <c r="C345" s="2">
        <v>1</v>
      </c>
      <c r="D345" s="23">
        <v>10.91</v>
      </c>
      <c r="E345" s="3">
        <v>10.91</v>
      </c>
      <c r="F345" s="2" t="s">
        <v>16602</v>
      </c>
      <c r="G345" s="22" t="s">
        <v>19357</v>
      </c>
      <c r="H345" s="24" t="s">
        <v>19334</v>
      </c>
      <c r="I345" s="22" t="s">
        <v>19309</v>
      </c>
      <c r="J345" s="22" t="s">
        <v>19602</v>
      </c>
      <c r="K345" s="22" t="s">
        <v>20041</v>
      </c>
      <c r="L345" s="22"/>
      <c r="M345" s="22"/>
      <c r="N345" s="25" t="str">
        <f>HYPERLINK("http://slimages.macys.com/is/image/MCY/21723141 ")</f>
        <v xml:space="preserve">http://slimages.macys.com/is/image/MCY/21723141 </v>
      </c>
    </row>
    <row r="346" spans="1:14" ht="24.75" x14ac:dyDescent="0.25">
      <c r="A346" s="21" t="s">
        <v>16286</v>
      </c>
      <c r="B346" s="22" t="s">
        <v>16287</v>
      </c>
      <c r="C346" s="2">
        <v>1</v>
      </c>
      <c r="D346" s="23">
        <v>10.91</v>
      </c>
      <c r="E346" s="3">
        <v>10.91</v>
      </c>
      <c r="F346" s="2" t="s">
        <v>16605</v>
      </c>
      <c r="G346" s="22" t="s">
        <v>19594</v>
      </c>
      <c r="H346" s="24" t="s">
        <v>19345</v>
      </c>
      <c r="I346" s="22" t="s">
        <v>19309</v>
      </c>
      <c r="J346" s="22" t="s">
        <v>19602</v>
      </c>
      <c r="K346" s="22" t="s">
        <v>20041</v>
      </c>
      <c r="L346" s="22"/>
      <c r="M346" s="22"/>
      <c r="N346" s="25" t="str">
        <f>HYPERLINK("http://slimages.macys.com/is/image/MCY/21723141 ")</f>
        <v xml:space="preserve">http://slimages.macys.com/is/image/MCY/21723141 </v>
      </c>
    </row>
    <row r="347" spans="1:14" ht="24.75" x14ac:dyDescent="0.25">
      <c r="A347" s="21" t="s">
        <v>16288</v>
      </c>
      <c r="B347" s="22" t="s">
        <v>16289</v>
      </c>
      <c r="C347" s="2">
        <v>2</v>
      </c>
      <c r="D347" s="23">
        <v>10.91</v>
      </c>
      <c r="E347" s="3">
        <v>21.82</v>
      </c>
      <c r="F347" s="2" t="s">
        <v>16599</v>
      </c>
      <c r="G347" s="22" t="s">
        <v>19323</v>
      </c>
      <c r="H347" s="24" t="s">
        <v>19392</v>
      </c>
      <c r="I347" s="22" t="s">
        <v>19309</v>
      </c>
      <c r="J347" s="22" t="s">
        <v>19602</v>
      </c>
      <c r="K347" s="22" t="s">
        <v>20041</v>
      </c>
      <c r="L347" s="22"/>
      <c r="M347" s="22"/>
      <c r="N347" s="25" t="str">
        <f>HYPERLINK("http://slimages.macys.com/is/image/MCY/21723141 ")</f>
        <v xml:space="preserve">http://slimages.macys.com/is/image/MCY/21723141 </v>
      </c>
    </row>
    <row r="348" spans="1:14" ht="24.75" x14ac:dyDescent="0.25">
      <c r="A348" s="21" t="s">
        <v>16284</v>
      </c>
      <c r="B348" s="22" t="s">
        <v>16285</v>
      </c>
      <c r="C348" s="2">
        <v>2</v>
      </c>
      <c r="D348" s="23">
        <v>10.91</v>
      </c>
      <c r="E348" s="3">
        <v>21.82</v>
      </c>
      <c r="F348" s="2" t="s">
        <v>18643</v>
      </c>
      <c r="G348" s="22" t="s">
        <v>18644</v>
      </c>
      <c r="H348" s="24" t="s">
        <v>19345</v>
      </c>
      <c r="I348" s="22" t="s">
        <v>19309</v>
      </c>
      <c r="J348" s="22" t="s">
        <v>19602</v>
      </c>
      <c r="K348" s="22" t="s">
        <v>20041</v>
      </c>
      <c r="L348" s="22"/>
      <c r="M348" s="22"/>
      <c r="N348" s="25" t="str">
        <f>HYPERLINK("http://slimages.macys.com/is/image/MCY/21723141 ")</f>
        <v xml:space="preserve">http://slimages.macys.com/is/image/MCY/21723141 </v>
      </c>
    </row>
    <row r="349" spans="1:14" ht="24.75" x14ac:dyDescent="0.25">
      <c r="A349" s="21" t="s">
        <v>16280</v>
      </c>
      <c r="B349" s="22" t="s">
        <v>16281</v>
      </c>
      <c r="C349" s="2">
        <v>1</v>
      </c>
      <c r="D349" s="23">
        <v>10.91</v>
      </c>
      <c r="E349" s="3">
        <v>10.91</v>
      </c>
      <c r="F349" s="2" t="s">
        <v>16602</v>
      </c>
      <c r="G349" s="22" t="s">
        <v>19357</v>
      </c>
      <c r="H349" s="24" t="s">
        <v>19392</v>
      </c>
      <c r="I349" s="22" t="s">
        <v>19309</v>
      </c>
      <c r="J349" s="22" t="s">
        <v>19602</v>
      </c>
      <c r="K349" s="22" t="s">
        <v>20041</v>
      </c>
      <c r="L349" s="22"/>
      <c r="M349" s="22"/>
      <c r="N349" s="25" t="str">
        <f>HYPERLINK("http://slimages.macys.com/is/image/MCY/21723141 ")</f>
        <v xml:space="preserve">http://slimages.macys.com/is/image/MCY/21723141 </v>
      </c>
    </row>
    <row r="350" spans="1:14" x14ac:dyDescent="0.25">
      <c r="A350" s="21" t="s">
        <v>8982</v>
      </c>
      <c r="B350" s="22" t="s">
        <v>10232</v>
      </c>
      <c r="C350" s="2">
        <v>1</v>
      </c>
      <c r="D350" s="23">
        <v>12.33</v>
      </c>
      <c r="E350" s="3">
        <v>12.33</v>
      </c>
      <c r="F350" s="2" t="s">
        <v>8983</v>
      </c>
      <c r="G350" s="22" t="s">
        <v>19351</v>
      </c>
      <c r="H350" s="24" t="s">
        <v>20159</v>
      </c>
      <c r="I350" s="22" t="s">
        <v>19309</v>
      </c>
      <c r="J350" s="22" t="s">
        <v>19708</v>
      </c>
      <c r="K350" s="22" t="s">
        <v>19709</v>
      </c>
      <c r="L350" s="22"/>
      <c r="M350" s="22"/>
      <c r="N350" s="25" t="str">
        <f>HYPERLINK("http://slimages.macys.com/is/image/MCY/22596264 ")</f>
        <v xml:space="preserve">http://slimages.macys.com/is/image/MCY/22596264 </v>
      </c>
    </row>
    <row r="351" spans="1:14" x14ac:dyDescent="0.25">
      <c r="A351" s="21" t="s">
        <v>8984</v>
      </c>
      <c r="B351" s="22" t="s">
        <v>8985</v>
      </c>
      <c r="C351" s="2">
        <v>1</v>
      </c>
      <c r="D351" s="23">
        <v>13.27</v>
      </c>
      <c r="E351" s="3">
        <v>13.27</v>
      </c>
      <c r="F351" s="2" t="s">
        <v>8986</v>
      </c>
      <c r="G351" s="22"/>
      <c r="H351" s="24" t="s">
        <v>19324</v>
      </c>
      <c r="I351" s="22" t="s">
        <v>19309</v>
      </c>
      <c r="J351" s="22" t="s">
        <v>19708</v>
      </c>
      <c r="K351" s="22" t="s">
        <v>19754</v>
      </c>
      <c r="L351" s="22"/>
      <c r="M351" s="22"/>
      <c r="N351" s="25" t="str">
        <f>HYPERLINK("http://slimages.macys.com/is/image/MCY/21414735 ")</f>
        <v xml:space="preserve">http://slimages.macys.com/is/image/MCY/21414735 </v>
      </c>
    </row>
    <row r="352" spans="1:14" ht="24.75" x14ac:dyDescent="0.25">
      <c r="A352" s="21" t="s">
        <v>9939</v>
      </c>
      <c r="B352" s="22" t="s">
        <v>9940</v>
      </c>
      <c r="C352" s="2">
        <v>2</v>
      </c>
      <c r="D352" s="23">
        <v>9.99</v>
      </c>
      <c r="E352" s="3">
        <v>19.98</v>
      </c>
      <c r="F352" s="2" t="s">
        <v>16621</v>
      </c>
      <c r="G352" s="22" t="s">
        <v>19906</v>
      </c>
      <c r="H352" s="24" t="s">
        <v>19542</v>
      </c>
      <c r="I352" s="22" t="s">
        <v>19309</v>
      </c>
      <c r="J352" s="22" t="s">
        <v>19908</v>
      </c>
      <c r="K352" s="22" t="s">
        <v>19524</v>
      </c>
      <c r="L352" s="22"/>
      <c r="M352" s="22"/>
      <c r="N352" s="25" t="str">
        <f>HYPERLINK("http://slimages.macys.com/is/image/MCY/21727213 ")</f>
        <v xml:space="preserve">http://slimages.macys.com/is/image/MCY/21727213 </v>
      </c>
    </row>
    <row r="353" spans="1:14" ht="24.75" x14ac:dyDescent="0.25">
      <c r="A353" s="21" t="s">
        <v>8987</v>
      </c>
      <c r="B353" s="22" t="s">
        <v>8988</v>
      </c>
      <c r="C353" s="2">
        <v>1</v>
      </c>
      <c r="D353" s="23">
        <v>9.99</v>
      </c>
      <c r="E353" s="3">
        <v>9.99</v>
      </c>
      <c r="F353" s="2" t="s">
        <v>16621</v>
      </c>
      <c r="G353" s="22" t="s">
        <v>19906</v>
      </c>
      <c r="H353" s="24" t="s">
        <v>20135</v>
      </c>
      <c r="I353" s="22" t="s">
        <v>19309</v>
      </c>
      <c r="J353" s="22" t="s">
        <v>19908</v>
      </c>
      <c r="K353" s="22" t="s">
        <v>19524</v>
      </c>
      <c r="L353" s="22"/>
      <c r="M353" s="22"/>
      <c r="N353" s="25" t="str">
        <f>HYPERLINK("http://slimages.macys.com/is/image/MCY/21727213 ")</f>
        <v xml:space="preserve">http://slimages.macys.com/is/image/MCY/21727213 </v>
      </c>
    </row>
    <row r="354" spans="1:14" ht="24.75" x14ac:dyDescent="0.25">
      <c r="A354" s="21" t="s">
        <v>8989</v>
      </c>
      <c r="B354" s="22" t="s">
        <v>8990</v>
      </c>
      <c r="C354" s="2">
        <v>1</v>
      </c>
      <c r="D354" s="23">
        <v>10.99</v>
      </c>
      <c r="E354" s="3">
        <v>10.99</v>
      </c>
      <c r="F354" s="2" t="s">
        <v>16313</v>
      </c>
      <c r="G354" s="22" t="s">
        <v>19879</v>
      </c>
      <c r="H354" s="24" t="s">
        <v>19339</v>
      </c>
      <c r="I354" s="22" t="s">
        <v>19309</v>
      </c>
      <c r="J354" s="22" t="s">
        <v>19353</v>
      </c>
      <c r="K354" s="22" t="s">
        <v>19524</v>
      </c>
      <c r="L354" s="22"/>
      <c r="M354" s="22"/>
      <c r="N354" s="25" t="str">
        <f>HYPERLINK("http://slimages.macys.com/is/image/MCY/20846576 ")</f>
        <v xml:space="preserve">http://slimages.macys.com/is/image/MCY/20846576 </v>
      </c>
    </row>
    <row r="355" spans="1:14" ht="24.75" x14ac:dyDescent="0.25">
      <c r="A355" s="21" t="s">
        <v>16619</v>
      </c>
      <c r="B355" s="22" t="s">
        <v>16620</v>
      </c>
      <c r="C355" s="2">
        <v>1</v>
      </c>
      <c r="D355" s="23">
        <v>9.99</v>
      </c>
      <c r="E355" s="3">
        <v>9.99</v>
      </c>
      <c r="F355" s="2" t="s">
        <v>16621</v>
      </c>
      <c r="G355" s="22" t="s">
        <v>19906</v>
      </c>
      <c r="H355" s="24" t="s">
        <v>19907</v>
      </c>
      <c r="I355" s="22" t="s">
        <v>19309</v>
      </c>
      <c r="J355" s="22" t="s">
        <v>19908</v>
      </c>
      <c r="K355" s="22" t="s">
        <v>19524</v>
      </c>
      <c r="L355" s="22"/>
      <c r="M355" s="22"/>
      <c r="N355" s="25" t="str">
        <f>HYPERLINK("http://slimages.macys.com/is/image/MCY/21727213 ")</f>
        <v xml:space="preserve">http://slimages.macys.com/is/image/MCY/21727213 </v>
      </c>
    </row>
    <row r="356" spans="1:14" ht="24.75" x14ac:dyDescent="0.25">
      <c r="A356" s="21" t="s">
        <v>8991</v>
      </c>
      <c r="B356" s="22" t="s">
        <v>8992</v>
      </c>
      <c r="C356" s="2">
        <v>1</v>
      </c>
      <c r="D356" s="23">
        <v>10.99</v>
      </c>
      <c r="E356" s="3">
        <v>10.99</v>
      </c>
      <c r="F356" s="2" t="s">
        <v>16313</v>
      </c>
      <c r="G356" s="22" t="s">
        <v>19879</v>
      </c>
      <c r="H356" s="24" t="s">
        <v>19352</v>
      </c>
      <c r="I356" s="22" t="s">
        <v>19309</v>
      </c>
      <c r="J356" s="22" t="s">
        <v>19353</v>
      </c>
      <c r="K356" s="22" t="s">
        <v>19524</v>
      </c>
      <c r="L356" s="22"/>
      <c r="M356" s="22"/>
      <c r="N356" s="25" t="str">
        <f>HYPERLINK("http://slimages.macys.com/is/image/MCY/20846576 ")</f>
        <v xml:space="preserve">http://slimages.macys.com/is/image/MCY/20846576 </v>
      </c>
    </row>
    <row r="357" spans="1:14" ht="24.75" x14ac:dyDescent="0.25">
      <c r="A357" s="21" t="s">
        <v>9937</v>
      </c>
      <c r="B357" s="22" t="s">
        <v>9938</v>
      </c>
      <c r="C357" s="2">
        <v>1</v>
      </c>
      <c r="D357" s="23">
        <v>9.99</v>
      </c>
      <c r="E357" s="3">
        <v>9.99</v>
      </c>
      <c r="F357" s="2" t="s">
        <v>16621</v>
      </c>
      <c r="G357" s="22" t="s">
        <v>19906</v>
      </c>
      <c r="H357" s="24" t="s">
        <v>19377</v>
      </c>
      <c r="I357" s="22" t="s">
        <v>19309</v>
      </c>
      <c r="J357" s="22" t="s">
        <v>19908</v>
      </c>
      <c r="K357" s="22" t="s">
        <v>19524</v>
      </c>
      <c r="L357" s="22"/>
      <c r="M357" s="22"/>
      <c r="N357" s="25" t="str">
        <f>HYPERLINK("http://slimages.macys.com/is/image/MCY/21727213 ")</f>
        <v xml:space="preserve">http://slimages.macys.com/is/image/MCY/21727213 </v>
      </c>
    </row>
    <row r="358" spans="1:14" ht="24.75" x14ac:dyDescent="0.25">
      <c r="A358" s="21" t="s">
        <v>18661</v>
      </c>
      <c r="B358" s="22" t="s">
        <v>18662</v>
      </c>
      <c r="C358" s="2">
        <v>5</v>
      </c>
      <c r="D358" s="23">
        <v>11.99</v>
      </c>
      <c r="E358" s="3">
        <v>59.95</v>
      </c>
      <c r="F358" s="2" t="s">
        <v>18663</v>
      </c>
      <c r="G358" s="22" t="s">
        <v>19585</v>
      </c>
      <c r="H358" s="24" t="s">
        <v>19352</v>
      </c>
      <c r="I358" s="22" t="s">
        <v>19309</v>
      </c>
      <c r="J358" s="22" t="s">
        <v>19849</v>
      </c>
      <c r="K358" s="22" t="s">
        <v>19850</v>
      </c>
      <c r="L358" s="22"/>
      <c r="M358" s="22"/>
      <c r="N358" s="25" t="str">
        <f>HYPERLINK("http://slimages.macys.com/is/image/MCY/20752422 ")</f>
        <v xml:space="preserve">http://slimages.macys.com/is/image/MCY/20752422 </v>
      </c>
    </row>
    <row r="359" spans="1:14" x14ac:dyDescent="0.25">
      <c r="A359" s="21" t="s">
        <v>8993</v>
      </c>
      <c r="B359" s="22" t="s">
        <v>8994</v>
      </c>
      <c r="C359" s="2">
        <v>1</v>
      </c>
      <c r="D359" s="23">
        <v>11.99</v>
      </c>
      <c r="E359" s="3">
        <v>11.99</v>
      </c>
      <c r="F359" s="2" t="s">
        <v>18663</v>
      </c>
      <c r="G359" s="22" t="s">
        <v>19585</v>
      </c>
      <c r="H359" s="24" t="s">
        <v>19797</v>
      </c>
      <c r="I359" s="22" t="s">
        <v>19309</v>
      </c>
      <c r="J359" s="22" t="s">
        <v>19849</v>
      </c>
      <c r="K359" s="22" t="s">
        <v>19850</v>
      </c>
      <c r="L359" s="22"/>
      <c r="M359" s="22"/>
      <c r="N359" s="25" t="str">
        <f>HYPERLINK("http://slimages.macys.com/is/image/MCY/20752422 ")</f>
        <v xml:space="preserve">http://slimages.macys.com/is/image/MCY/20752422 </v>
      </c>
    </row>
    <row r="360" spans="1:14" x14ac:dyDescent="0.25">
      <c r="A360" s="21" t="s">
        <v>8995</v>
      </c>
      <c r="B360" s="22" t="s">
        <v>8996</v>
      </c>
      <c r="C360" s="2">
        <v>1</v>
      </c>
      <c r="D360" s="23">
        <v>18.11</v>
      </c>
      <c r="E360" s="3">
        <v>18.11</v>
      </c>
      <c r="F360" s="2" t="s">
        <v>18663</v>
      </c>
      <c r="G360" s="22" t="s">
        <v>19585</v>
      </c>
      <c r="H360" s="24" t="s">
        <v>19364</v>
      </c>
      <c r="I360" s="22" t="s">
        <v>19309</v>
      </c>
      <c r="J360" s="22" t="s">
        <v>19849</v>
      </c>
      <c r="K360" s="22" t="s">
        <v>19850</v>
      </c>
      <c r="L360" s="22"/>
      <c r="M360" s="22"/>
      <c r="N360" s="25" t="str">
        <f>HYPERLINK("http://slimages.macys.com/is/image/MCY/20752422 ")</f>
        <v xml:space="preserve">http://slimages.macys.com/is/image/MCY/20752422 </v>
      </c>
    </row>
    <row r="361" spans="1:14" x14ac:dyDescent="0.25">
      <c r="A361" s="21" t="s">
        <v>9945</v>
      </c>
      <c r="B361" s="22" t="s">
        <v>9946</v>
      </c>
      <c r="C361" s="2">
        <v>3</v>
      </c>
      <c r="D361" s="23">
        <v>11.99</v>
      </c>
      <c r="E361" s="3">
        <v>35.97</v>
      </c>
      <c r="F361" s="2" t="s">
        <v>18663</v>
      </c>
      <c r="G361" s="22" t="s">
        <v>19585</v>
      </c>
      <c r="H361" s="24" t="s">
        <v>19339</v>
      </c>
      <c r="I361" s="22" t="s">
        <v>19309</v>
      </c>
      <c r="J361" s="22" t="s">
        <v>19849</v>
      </c>
      <c r="K361" s="22" t="s">
        <v>19850</v>
      </c>
      <c r="L361" s="22"/>
      <c r="M361" s="22"/>
      <c r="N361" s="25" t="str">
        <f>HYPERLINK("http://slimages.macys.com/is/image/MCY/20752422 ")</f>
        <v xml:space="preserve">http://slimages.macys.com/is/image/MCY/20752422 </v>
      </c>
    </row>
    <row r="362" spans="1:14" x14ac:dyDescent="0.25">
      <c r="A362" s="21" t="s">
        <v>18664</v>
      </c>
      <c r="B362" s="22" t="s">
        <v>18665</v>
      </c>
      <c r="C362" s="2">
        <v>4</v>
      </c>
      <c r="D362" s="23">
        <v>16.989999999999998</v>
      </c>
      <c r="E362" s="3">
        <v>67.959999999999994</v>
      </c>
      <c r="F362" s="2" t="s">
        <v>18666</v>
      </c>
      <c r="G362" s="22" t="s">
        <v>19477</v>
      </c>
      <c r="H362" s="24" t="s">
        <v>19352</v>
      </c>
      <c r="I362" s="22" t="s">
        <v>19309</v>
      </c>
      <c r="J362" s="22" t="s">
        <v>19849</v>
      </c>
      <c r="K362" s="22" t="s">
        <v>19850</v>
      </c>
      <c r="L362" s="22"/>
      <c r="M362" s="22"/>
      <c r="N362" s="25" t="str">
        <f>HYPERLINK("http://slimages.macys.com/is/image/MCY/20549559 ")</f>
        <v xml:space="preserve">http://slimages.macys.com/is/image/MCY/20549559 </v>
      </c>
    </row>
    <row r="363" spans="1:14" x14ac:dyDescent="0.25">
      <c r="A363" s="21" t="s">
        <v>16625</v>
      </c>
      <c r="B363" s="22" t="s">
        <v>16626</v>
      </c>
      <c r="C363" s="2">
        <v>3</v>
      </c>
      <c r="D363" s="23">
        <v>16.989999999999998</v>
      </c>
      <c r="E363" s="3">
        <v>50.97</v>
      </c>
      <c r="F363" s="2" t="s">
        <v>18666</v>
      </c>
      <c r="G363" s="22" t="s">
        <v>19477</v>
      </c>
      <c r="H363" s="24" t="s">
        <v>19364</v>
      </c>
      <c r="I363" s="22" t="s">
        <v>19309</v>
      </c>
      <c r="J363" s="22" t="s">
        <v>19849</v>
      </c>
      <c r="K363" s="22" t="s">
        <v>19850</v>
      </c>
      <c r="L363" s="22"/>
      <c r="M363" s="22"/>
      <c r="N363" s="25" t="str">
        <f>HYPERLINK("http://slimages.macys.com/is/image/MCY/20549559 ")</f>
        <v xml:space="preserve">http://slimages.macys.com/is/image/MCY/20549559 </v>
      </c>
    </row>
    <row r="364" spans="1:14" x14ac:dyDescent="0.25">
      <c r="A364" s="21" t="s">
        <v>16633</v>
      </c>
      <c r="B364" s="22" t="s">
        <v>16634</v>
      </c>
      <c r="C364" s="2">
        <v>2</v>
      </c>
      <c r="D364" s="23">
        <v>16.989999999999998</v>
      </c>
      <c r="E364" s="3">
        <v>33.979999999999997</v>
      </c>
      <c r="F364" s="2" t="s">
        <v>18666</v>
      </c>
      <c r="G364" s="22" t="s">
        <v>19477</v>
      </c>
      <c r="H364" s="24" t="s">
        <v>19797</v>
      </c>
      <c r="I364" s="22" t="s">
        <v>19309</v>
      </c>
      <c r="J364" s="22" t="s">
        <v>19849</v>
      </c>
      <c r="K364" s="22" t="s">
        <v>19850</v>
      </c>
      <c r="L364" s="22"/>
      <c r="M364" s="22"/>
      <c r="N364" s="25" t="str">
        <f>HYPERLINK("http://slimages.macys.com/is/image/MCY/20549559 ")</f>
        <v xml:space="preserve">http://slimages.macys.com/is/image/MCY/20549559 </v>
      </c>
    </row>
    <row r="365" spans="1:14" x14ac:dyDescent="0.25">
      <c r="A365" s="21" t="s">
        <v>16627</v>
      </c>
      <c r="B365" s="22" t="s">
        <v>16628</v>
      </c>
      <c r="C365" s="2">
        <v>5</v>
      </c>
      <c r="D365" s="23">
        <v>16.989999999999998</v>
      </c>
      <c r="E365" s="3">
        <v>84.95</v>
      </c>
      <c r="F365" s="2" t="s">
        <v>18666</v>
      </c>
      <c r="G365" s="22" t="s">
        <v>19477</v>
      </c>
      <c r="H365" s="24" t="s">
        <v>19339</v>
      </c>
      <c r="I365" s="22" t="s">
        <v>19309</v>
      </c>
      <c r="J365" s="22" t="s">
        <v>19849</v>
      </c>
      <c r="K365" s="22" t="s">
        <v>19850</v>
      </c>
      <c r="L365" s="22"/>
      <c r="M365" s="22"/>
      <c r="N365" s="25" t="str">
        <f>HYPERLINK("http://slimages.macys.com/is/image/MCY/20549559 ")</f>
        <v xml:space="preserve">http://slimages.macys.com/is/image/MCY/20549559 </v>
      </c>
    </row>
    <row r="366" spans="1:14" x14ac:dyDescent="0.25">
      <c r="A366" s="21" t="s">
        <v>8997</v>
      </c>
      <c r="B366" s="22" t="s">
        <v>8998</v>
      </c>
      <c r="C366" s="2">
        <v>2</v>
      </c>
      <c r="D366" s="23">
        <v>18.11</v>
      </c>
      <c r="E366" s="3">
        <v>36.22</v>
      </c>
      <c r="F366" s="2" t="s">
        <v>8999</v>
      </c>
      <c r="G366" s="22" t="s">
        <v>19351</v>
      </c>
      <c r="H366" s="24" t="s">
        <v>19364</v>
      </c>
      <c r="I366" s="22" t="s">
        <v>19309</v>
      </c>
      <c r="J366" s="22" t="s">
        <v>19310</v>
      </c>
      <c r="K366" s="22" t="s">
        <v>19873</v>
      </c>
      <c r="L366" s="22"/>
      <c r="M366" s="22"/>
      <c r="N366" s="25" t="str">
        <f>HYPERLINK("http://slimages.macys.com/is/image/MCY/19933400 ")</f>
        <v xml:space="preserve">http://slimages.macys.com/is/image/MCY/19933400 </v>
      </c>
    </row>
    <row r="367" spans="1:14" x14ac:dyDescent="0.25">
      <c r="A367" s="21" t="s">
        <v>9000</v>
      </c>
      <c r="B367" s="22" t="s">
        <v>9001</v>
      </c>
      <c r="C367" s="2">
        <v>1</v>
      </c>
      <c r="D367" s="23">
        <v>7.99</v>
      </c>
      <c r="E367" s="3">
        <v>7.99</v>
      </c>
      <c r="F367" s="2" t="s">
        <v>9002</v>
      </c>
      <c r="G367" s="22" t="s">
        <v>19351</v>
      </c>
      <c r="H367" s="24" t="s">
        <v>19339</v>
      </c>
      <c r="I367" s="22" t="s">
        <v>19309</v>
      </c>
      <c r="J367" s="22" t="s">
        <v>19310</v>
      </c>
      <c r="K367" s="22" t="s">
        <v>19873</v>
      </c>
      <c r="L367" s="22"/>
      <c r="M367" s="22"/>
      <c r="N367" s="25" t="str">
        <f>HYPERLINK("http://slimages.macys.com/is/image/MCY/19705825 ")</f>
        <v xml:space="preserve">http://slimages.macys.com/is/image/MCY/19705825 </v>
      </c>
    </row>
    <row r="368" spans="1:14" ht="24.75" x14ac:dyDescent="0.25">
      <c r="A368" s="21" t="s">
        <v>9003</v>
      </c>
      <c r="B368" s="22" t="s">
        <v>9004</v>
      </c>
      <c r="C368" s="2">
        <v>3</v>
      </c>
      <c r="D368" s="23">
        <v>7.99</v>
      </c>
      <c r="E368" s="3">
        <v>23.97</v>
      </c>
      <c r="F368" s="2" t="s">
        <v>9002</v>
      </c>
      <c r="G368" s="22" t="s">
        <v>19351</v>
      </c>
      <c r="H368" s="24" t="s">
        <v>19308</v>
      </c>
      <c r="I368" s="22" t="s">
        <v>19309</v>
      </c>
      <c r="J368" s="22" t="s">
        <v>19310</v>
      </c>
      <c r="K368" s="22" t="s">
        <v>19873</v>
      </c>
      <c r="L368" s="22"/>
      <c r="M368" s="22"/>
      <c r="N368" s="25" t="str">
        <f>HYPERLINK("http://slimages.macys.com/is/image/MCY/19705825 ")</f>
        <v xml:space="preserve">http://slimages.macys.com/is/image/MCY/19705825 </v>
      </c>
    </row>
    <row r="369" spans="1:14" x14ac:dyDescent="0.25">
      <c r="A369" s="21" t="s">
        <v>16328</v>
      </c>
      <c r="B369" s="22" t="s">
        <v>16329</v>
      </c>
      <c r="C369" s="2">
        <v>1</v>
      </c>
      <c r="D369" s="23">
        <v>11.99</v>
      </c>
      <c r="E369" s="3">
        <v>11.99</v>
      </c>
      <c r="F369" s="2" t="s">
        <v>16330</v>
      </c>
      <c r="G369" s="22" t="s">
        <v>19315</v>
      </c>
      <c r="H369" s="24" t="s">
        <v>19361</v>
      </c>
      <c r="I369" s="22" t="s">
        <v>19309</v>
      </c>
      <c r="J369" s="22" t="s">
        <v>19849</v>
      </c>
      <c r="K369" s="22" t="s">
        <v>19850</v>
      </c>
      <c r="L369" s="22"/>
      <c r="M369" s="22"/>
      <c r="N369" s="25" t="str">
        <f>HYPERLINK("http://slimages.macys.com/is/image/MCY/21251264 ")</f>
        <v xml:space="preserve">http://slimages.macys.com/is/image/MCY/21251264 </v>
      </c>
    </row>
    <row r="370" spans="1:14" x14ac:dyDescent="0.25">
      <c r="A370" s="21" t="s">
        <v>12375</v>
      </c>
      <c r="B370" s="22" t="s">
        <v>12376</v>
      </c>
      <c r="C370" s="2">
        <v>1</v>
      </c>
      <c r="D370" s="23">
        <v>12.99</v>
      </c>
      <c r="E370" s="3">
        <v>12.99</v>
      </c>
      <c r="F370" s="2" t="s">
        <v>12374</v>
      </c>
      <c r="G370" s="22" t="s">
        <v>19674</v>
      </c>
      <c r="H370" s="24" t="s">
        <v>19361</v>
      </c>
      <c r="I370" s="22" t="s">
        <v>19309</v>
      </c>
      <c r="J370" s="22" t="s">
        <v>19849</v>
      </c>
      <c r="K370" s="22" t="s">
        <v>19850</v>
      </c>
      <c r="L370" s="22"/>
      <c r="M370" s="22"/>
      <c r="N370" s="25" t="str">
        <f>HYPERLINK("http://slimages.macys.com/is/image/MCY/21270325 ")</f>
        <v xml:space="preserve">http://slimages.macys.com/is/image/MCY/21270325 </v>
      </c>
    </row>
    <row r="371" spans="1:14" ht="24.75" x14ac:dyDescent="0.25">
      <c r="A371" s="21" t="s">
        <v>9005</v>
      </c>
      <c r="B371" s="22" t="s">
        <v>9006</v>
      </c>
      <c r="C371" s="2">
        <v>1</v>
      </c>
      <c r="D371" s="23">
        <v>10.62</v>
      </c>
      <c r="E371" s="3">
        <v>10.62</v>
      </c>
      <c r="F371" s="2" t="s">
        <v>9007</v>
      </c>
      <c r="G371" s="22" t="s">
        <v>19635</v>
      </c>
      <c r="H371" s="24" t="s">
        <v>19334</v>
      </c>
      <c r="I371" s="22" t="s">
        <v>19309</v>
      </c>
      <c r="J371" s="22" t="s">
        <v>19602</v>
      </c>
      <c r="K371" s="22" t="s">
        <v>20041</v>
      </c>
      <c r="L371" s="22"/>
      <c r="M371" s="22"/>
      <c r="N371" s="25" t="str">
        <f>HYPERLINK("http://slimages.macys.com/is/image/MCY/21728862 ")</f>
        <v xml:space="preserve">http://slimages.macys.com/is/image/MCY/21728862 </v>
      </c>
    </row>
    <row r="372" spans="1:14" ht="24.75" x14ac:dyDescent="0.25">
      <c r="A372" s="21" t="s">
        <v>13933</v>
      </c>
      <c r="B372" s="22" t="s">
        <v>13934</v>
      </c>
      <c r="C372" s="2">
        <v>1</v>
      </c>
      <c r="D372" s="23">
        <v>9.99</v>
      </c>
      <c r="E372" s="3">
        <v>9.99</v>
      </c>
      <c r="F372" s="2" t="s">
        <v>18689</v>
      </c>
      <c r="G372" s="22" t="s">
        <v>19351</v>
      </c>
      <c r="H372" s="24" t="s">
        <v>19384</v>
      </c>
      <c r="I372" s="22" t="s">
        <v>19309</v>
      </c>
      <c r="J372" s="22" t="s">
        <v>19573</v>
      </c>
      <c r="K372" s="22" t="s">
        <v>19574</v>
      </c>
      <c r="L372" s="22"/>
      <c r="M372" s="22"/>
      <c r="N372" s="25" t="str">
        <f>HYPERLINK("http://slimages.macys.com/is/image/MCY/1679025 ")</f>
        <v xml:space="preserve">http://slimages.macys.com/is/image/MCY/1679025 </v>
      </c>
    </row>
    <row r="373" spans="1:14" ht="24.75" x14ac:dyDescent="0.25">
      <c r="A373" s="21" t="s">
        <v>18673</v>
      </c>
      <c r="B373" s="22" t="s">
        <v>18674</v>
      </c>
      <c r="C373" s="2">
        <v>1</v>
      </c>
      <c r="D373" s="23">
        <v>9.99</v>
      </c>
      <c r="E373" s="3">
        <v>9.99</v>
      </c>
      <c r="F373" s="2">
        <v>10015240700</v>
      </c>
      <c r="G373" s="22" t="s">
        <v>19315</v>
      </c>
      <c r="H373" s="24"/>
      <c r="I373" s="22" t="s">
        <v>19309</v>
      </c>
      <c r="J373" s="22" t="s">
        <v>19573</v>
      </c>
      <c r="K373" s="22" t="s">
        <v>19574</v>
      </c>
      <c r="L373" s="22"/>
      <c r="M373" s="22"/>
      <c r="N373" s="25" t="str">
        <f>HYPERLINK("http://slimages.macys.com/is/image/MCY/2023449 ")</f>
        <v xml:space="preserve">http://slimages.macys.com/is/image/MCY/2023449 </v>
      </c>
    </row>
    <row r="374" spans="1:14" x14ac:dyDescent="0.25">
      <c r="A374" s="21" t="s">
        <v>9008</v>
      </c>
      <c r="B374" s="22" t="s">
        <v>9009</v>
      </c>
      <c r="C374" s="2">
        <v>1</v>
      </c>
      <c r="D374" s="23">
        <v>11.99</v>
      </c>
      <c r="E374" s="3">
        <v>11.99</v>
      </c>
      <c r="F374" s="2" t="s">
        <v>12384</v>
      </c>
      <c r="G374" s="22" t="s">
        <v>19670</v>
      </c>
      <c r="H374" s="24" t="s">
        <v>19377</v>
      </c>
      <c r="I374" s="22" t="s">
        <v>19309</v>
      </c>
      <c r="J374" s="22" t="s">
        <v>19849</v>
      </c>
      <c r="K374" s="22" t="s">
        <v>19850</v>
      </c>
      <c r="L374" s="22"/>
      <c r="M374" s="22"/>
      <c r="N374" s="25" t="str">
        <f>HYPERLINK("http://slimages.macys.com/is/image/MCY/20549498 ")</f>
        <v xml:space="preserve">http://slimages.macys.com/is/image/MCY/20549498 </v>
      </c>
    </row>
    <row r="375" spans="1:14" ht="24.75" x14ac:dyDescent="0.25">
      <c r="A375" s="21" t="s">
        <v>9010</v>
      </c>
      <c r="B375" s="22" t="s">
        <v>9011</v>
      </c>
      <c r="C375" s="2">
        <v>1</v>
      </c>
      <c r="D375" s="23">
        <v>11.99</v>
      </c>
      <c r="E375" s="3">
        <v>11.99</v>
      </c>
      <c r="F375" s="2" t="s">
        <v>18699</v>
      </c>
      <c r="G375" s="22" t="s">
        <v>18439</v>
      </c>
      <c r="H375" s="24" t="s">
        <v>19339</v>
      </c>
      <c r="I375" s="22" t="s">
        <v>19309</v>
      </c>
      <c r="J375" s="22" t="s">
        <v>19454</v>
      </c>
      <c r="K375" s="22" t="s">
        <v>18654</v>
      </c>
      <c r="L375" s="22"/>
      <c r="M375" s="22"/>
      <c r="N375" s="25" t="str">
        <f>HYPERLINK("http://slimages.macys.com/is/image/MCY/22163513 ")</f>
        <v xml:space="preserve">http://slimages.macys.com/is/image/MCY/22163513 </v>
      </c>
    </row>
    <row r="376" spans="1:14" x14ac:dyDescent="0.25">
      <c r="A376" s="21" t="s">
        <v>16672</v>
      </c>
      <c r="B376" s="22" t="s">
        <v>16673</v>
      </c>
      <c r="C376" s="2">
        <v>1</v>
      </c>
      <c r="D376" s="23">
        <v>13.99</v>
      </c>
      <c r="E376" s="3">
        <v>13.99</v>
      </c>
      <c r="F376" s="2" t="s">
        <v>16674</v>
      </c>
      <c r="G376" s="22" t="s">
        <v>19670</v>
      </c>
      <c r="H376" s="24" t="s">
        <v>19339</v>
      </c>
      <c r="I376" s="22" t="s">
        <v>19309</v>
      </c>
      <c r="J376" s="22" t="s">
        <v>19849</v>
      </c>
      <c r="K376" s="22" t="s">
        <v>19850</v>
      </c>
      <c r="L376" s="22"/>
      <c r="M376" s="22"/>
      <c r="N376" s="25" t="str">
        <f>HYPERLINK("http://slimages.macys.com/is/image/MCY/21270406 ")</f>
        <v xml:space="preserve">http://slimages.macys.com/is/image/MCY/21270406 </v>
      </c>
    </row>
    <row r="377" spans="1:14" x14ac:dyDescent="0.25">
      <c r="A377" s="21" t="s">
        <v>16669</v>
      </c>
      <c r="B377" s="22" t="s">
        <v>16670</v>
      </c>
      <c r="C377" s="2">
        <v>1</v>
      </c>
      <c r="D377" s="23">
        <v>13.99</v>
      </c>
      <c r="E377" s="3">
        <v>13.99</v>
      </c>
      <c r="F377" s="2" t="s">
        <v>16671</v>
      </c>
      <c r="G377" s="22" t="s">
        <v>19431</v>
      </c>
      <c r="H377" s="24" t="s">
        <v>19352</v>
      </c>
      <c r="I377" s="22" t="s">
        <v>19309</v>
      </c>
      <c r="J377" s="22" t="s">
        <v>19849</v>
      </c>
      <c r="K377" s="22" t="s">
        <v>19850</v>
      </c>
      <c r="L377" s="22"/>
      <c r="M377" s="22"/>
      <c r="N377" s="25" t="str">
        <f>HYPERLINK("http://slimages.macys.com/is/image/MCY/21270419 ")</f>
        <v xml:space="preserve">http://slimages.macys.com/is/image/MCY/21270419 </v>
      </c>
    </row>
    <row r="378" spans="1:14" x14ac:dyDescent="0.25">
      <c r="A378" s="21" t="s">
        <v>9012</v>
      </c>
      <c r="B378" s="22" t="s">
        <v>9013</v>
      </c>
      <c r="C378" s="2">
        <v>1</v>
      </c>
      <c r="D378" s="23">
        <v>13.99</v>
      </c>
      <c r="E378" s="3">
        <v>13.99</v>
      </c>
      <c r="F378" s="2" t="s">
        <v>16674</v>
      </c>
      <c r="G378" s="22" t="s">
        <v>19670</v>
      </c>
      <c r="H378" s="24" t="s">
        <v>19797</v>
      </c>
      <c r="I378" s="22" t="s">
        <v>19309</v>
      </c>
      <c r="J378" s="22" t="s">
        <v>19849</v>
      </c>
      <c r="K378" s="22" t="s">
        <v>19850</v>
      </c>
      <c r="L378" s="22"/>
      <c r="M378" s="22"/>
      <c r="N378" s="25" t="str">
        <f>HYPERLINK("http://slimages.macys.com/is/image/MCY/1249963 ")</f>
        <v xml:space="preserve">http://slimages.macys.com/is/image/MCY/1249963 </v>
      </c>
    </row>
    <row r="379" spans="1:14" ht="24.75" x14ac:dyDescent="0.25">
      <c r="A379" s="21" t="s">
        <v>13939</v>
      </c>
      <c r="B379" s="22" t="s">
        <v>13940</v>
      </c>
      <c r="C379" s="2">
        <v>3</v>
      </c>
      <c r="D379" s="23">
        <v>18.11</v>
      </c>
      <c r="E379" s="3">
        <v>54.33</v>
      </c>
      <c r="F379" s="2" t="s">
        <v>13941</v>
      </c>
      <c r="G379" s="22"/>
      <c r="H379" s="24" t="s">
        <v>17505</v>
      </c>
      <c r="I379" s="22" t="s">
        <v>19309</v>
      </c>
      <c r="J379" s="22" t="s">
        <v>16678</v>
      </c>
      <c r="K379" s="22" t="s">
        <v>16679</v>
      </c>
      <c r="L379" s="22"/>
      <c r="M379" s="22"/>
      <c r="N379" s="25" t="str">
        <f>HYPERLINK("http://slimages.macys.com/is/image/MCY/20138306 ")</f>
        <v xml:space="preserve">http://slimages.macys.com/is/image/MCY/20138306 </v>
      </c>
    </row>
    <row r="380" spans="1:14" x14ac:dyDescent="0.25">
      <c r="A380" s="21" t="s">
        <v>13305</v>
      </c>
      <c r="B380" s="22" t="s">
        <v>13306</v>
      </c>
      <c r="C380" s="2">
        <v>3</v>
      </c>
      <c r="D380" s="23">
        <v>13.99</v>
      </c>
      <c r="E380" s="3">
        <v>41.97</v>
      </c>
      <c r="F380" s="2" t="s">
        <v>16671</v>
      </c>
      <c r="G380" s="22" t="s">
        <v>19431</v>
      </c>
      <c r="H380" s="24" t="s">
        <v>19339</v>
      </c>
      <c r="I380" s="22" t="s">
        <v>19309</v>
      </c>
      <c r="J380" s="22" t="s">
        <v>19849</v>
      </c>
      <c r="K380" s="22" t="s">
        <v>19850</v>
      </c>
      <c r="L380" s="22"/>
      <c r="M380" s="22"/>
      <c r="N380" s="25" t="str">
        <f>HYPERLINK("http://slimages.macys.com/is/image/MCY/21270419 ")</f>
        <v xml:space="preserve">http://slimages.macys.com/is/image/MCY/21270419 </v>
      </c>
    </row>
    <row r="381" spans="1:14" x14ac:dyDescent="0.25">
      <c r="A381" s="21" t="s">
        <v>9014</v>
      </c>
      <c r="B381" s="22" t="s">
        <v>9015</v>
      </c>
      <c r="C381" s="2">
        <v>1</v>
      </c>
      <c r="D381" s="23">
        <v>11.99</v>
      </c>
      <c r="E381" s="3">
        <v>11.99</v>
      </c>
      <c r="F381" s="2" t="s">
        <v>16685</v>
      </c>
      <c r="G381" s="22" t="s">
        <v>19431</v>
      </c>
      <c r="H381" s="24" t="s">
        <v>19352</v>
      </c>
      <c r="I381" s="22" t="s">
        <v>19309</v>
      </c>
      <c r="J381" s="22" t="s">
        <v>19849</v>
      </c>
      <c r="K381" s="22" t="s">
        <v>19850</v>
      </c>
      <c r="L381" s="22"/>
      <c r="M381" s="22"/>
      <c r="N381" s="25" t="str">
        <f>HYPERLINK("http://slimages.macys.com/is/image/MCY/20752022 ")</f>
        <v xml:space="preserve">http://slimages.macys.com/is/image/MCY/20752022 </v>
      </c>
    </row>
    <row r="382" spans="1:14" x14ac:dyDescent="0.25">
      <c r="A382" s="21" t="s">
        <v>9016</v>
      </c>
      <c r="B382" s="22" t="s">
        <v>9017</v>
      </c>
      <c r="C382" s="2">
        <v>1</v>
      </c>
      <c r="D382" s="23">
        <v>11.99</v>
      </c>
      <c r="E382" s="3">
        <v>11.99</v>
      </c>
      <c r="F382" s="2" t="s">
        <v>16685</v>
      </c>
      <c r="G382" s="22" t="s">
        <v>19431</v>
      </c>
      <c r="H382" s="24" t="s">
        <v>19797</v>
      </c>
      <c r="I382" s="22" t="s">
        <v>19309</v>
      </c>
      <c r="J382" s="22" t="s">
        <v>19849</v>
      </c>
      <c r="K382" s="22" t="s">
        <v>19850</v>
      </c>
      <c r="L382" s="22"/>
      <c r="M382" s="22"/>
      <c r="N382" s="25" t="str">
        <f>HYPERLINK("http://slimages.macys.com/is/image/MCY/1249966 ")</f>
        <v xml:space="preserve">http://slimages.macys.com/is/image/MCY/1249966 </v>
      </c>
    </row>
    <row r="383" spans="1:14" ht="24.75" x14ac:dyDescent="0.25">
      <c r="A383" s="21" t="s">
        <v>13307</v>
      </c>
      <c r="B383" s="22" t="s">
        <v>13308</v>
      </c>
      <c r="C383" s="2">
        <v>1</v>
      </c>
      <c r="D383" s="23">
        <v>10.99</v>
      </c>
      <c r="E383" s="3">
        <v>10.99</v>
      </c>
      <c r="F383" s="2" t="s">
        <v>13309</v>
      </c>
      <c r="G383" s="22" t="s">
        <v>19513</v>
      </c>
      <c r="H383" s="24" t="s">
        <v>19330</v>
      </c>
      <c r="I383" s="22" t="s">
        <v>19309</v>
      </c>
      <c r="J383" s="22" t="s">
        <v>19573</v>
      </c>
      <c r="K383" s="22" t="s">
        <v>19574</v>
      </c>
      <c r="L383" s="22"/>
      <c r="M383" s="22"/>
      <c r="N383" s="25" t="str">
        <f>HYPERLINK("http://slimages.macys.com/is/image/MCY/21731816 ")</f>
        <v xml:space="preserve">http://slimages.macys.com/is/image/MCY/21731816 </v>
      </c>
    </row>
    <row r="384" spans="1:14" ht="24.75" x14ac:dyDescent="0.25">
      <c r="A384" s="21" t="s">
        <v>18715</v>
      </c>
      <c r="B384" s="22" t="s">
        <v>18716</v>
      </c>
      <c r="C384" s="2">
        <v>1</v>
      </c>
      <c r="D384" s="23">
        <v>7.99</v>
      </c>
      <c r="E384" s="3">
        <v>7.99</v>
      </c>
      <c r="F384" s="2" t="s">
        <v>18717</v>
      </c>
      <c r="G384" s="22" t="s">
        <v>19906</v>
      </c>
      <c r="H384" s="24" t="s">
        <v>19907</v>
      </c>
      <c r="I384" s="22" t="s">
        <v>19309</v>
      </c>
      <c r="J384" s="22" t="s">
        <v>19849</v>
      </c>
      <c r="K384" s="22" t="s">
        <v>19850</v>
      </c>
      <c r="L384" s="22"/>
      <c r="M384" s="22"/>
      <c r="N384" s="25" t="str">
        <f>HYPERLINK("http://slimages.macys.com/is/image/MCY/1928300 ")</f>
        <v xml:space="preserve">http://slimages.macys.com/is/image/MCY/1928300 </v>
      </c>
    </row>
    <row r="385" spans="1:14" ht="24.75" x14ac:dyDescent="0.25">
      <c r="A385" s="21" t="s">
        <v>9018</v>
      </c>
      <c r="B385" s="22" t="s">
        <v>9019</v>
      </c>
      <c r="C385" s="2">
        <v>1</v>
      </c>
      <c r="D385" s="23">
        <v>7.99</v>
      </c>
      <c r="E385" s="3">
        <v>7.99</v>
      </c>
      <c r="F385" s="2" t="s">
        <v>18717</v>
      </c>
      <c r="G385" s="22" t="s">
        <v>19906</v>
      </c>
      <c r="H385" s="24" t="s">
        <v>19542</v>
      </c>
      <c r="I385" s="22" t="s">
        <v>19309</v>
      </c>
      <c r="J385" s="22" t="s">
        <v>19849</v>
      </c>
      <c r="K385" s="22" t="s">
        <v>19850</v>
      </c>
      <c r="L385" s="22"/>
      <c r="M385" s="22"/>
      <c r="N385" s="25" t="str">
        <f>HYPERLINK("http://slimages.macys.com/is/image/MCY/1928300 ")</f>
        <v xml:space="preserve">http://slimages.macys.com/is/image/MCY/1928300 </v>
      </c>
    </row>
    <row r="386" spans="1:14" ht="24.75" x14ac:dyDescent="0.25">
      <c r="A386" s="21" t="s">
        <v>9020</v>
      </c>
      <c r="B386" s="22" t="s">
        <v>9021</v>
      </c>
      <c r="C386" s="2">
        <v>2</v>
      </c>
      <c r="D386" s="23">
        <v>7.99</v>
      </c>
      <c r="E386" s="3">
        <v>15.98</v>
      </c>
      <c r="F386" s="2" t="s">
        <v>18717</v>
      </c>
      <c r="G386" s="22" t="s">
        <v>19906</v>
      </c>
      <c r="H386" s="24" t="s">
        <v>20135</v>
      </c>
      <c r="I386" s="22" t="s">
        <v>19309</v>
      </c>
      <c r="J386" s="22" t="s">
        <v>19849</v>
      </c>
      <c r="K386" s="22" t="s">
        <v>19850</v>
      </c>
      <c r="L386" s="22"/>
      <c r="M386" s="22"/>
      <c r="N386" s="25" t="str">
        <f>HYPERLINK("http://slimages.macys.com/is/image/MCY/1928300 ")</f>
        <v xml:space="preserve">http://slimages.macys.com/is/image/MCY/1928300 </v>
      </c>
    </row>
    <row r="387" spans="1:14" ht="24.75" x14ac:dyDescent="0.25">
      <c r="A387" s="21" t="s">
        <v>16342</v>
      </c>
      <c r="B387" s="22" t="s">
        <v>16343</v>
      </c>
      <c r="C387" s="2">
        <v>1</v>
      </c>
      <c r="D387" s="23">
        <v>7.99</v>
      </c>
      <c r="E387" s="3">
        <v>7.99</v>
      </c>
      <c r="F387" s="2" t="s">
        <v>18717</v>
      </c>
      <c r="G387" s="22" t="s">
        <v>19906</v>
      </c>
      <c r="H387" s="24" t="s">
        <v>20089</v>
      </c>
      <c r="I387" s="22" t="s">
        <v>19309</v>
      </c>
      <c r="J387" s="22" t="s">
        <v>19849</v>
      </c>
      <c r="K387" s="22" t="s">
        <v>19850</v>
      </c>
      <c r="L387" s="22"/>
      <c r="M387" s="22"/>
      <c r="N387" s="25" t="str">
        <f>HYPERLINK("http://slimages.macys.com/is/image/MCY/21396816 ")</f>
        <v xml:space="preserve">http://slimages.macys.com/is/image/MCY/21396816 </v>
      </c>
    </row>
    <row r="388" spans="1:14" ht="24.75" x14ac:dyDescent="0.25">
      <c r="A388" s="21" t="s">
        <v>9022</v>
      </c>
      <c r="B388" s="22" t="s">
        <v>9023</v>
      </c>
      <c r="C388" s="2">
        <v>3</v>
      </c>
      <c r="D388" s="23">
        <v>7.99</v>
      </c>
      <c r="E388" s="3">
        <v>23.97</v>
      </c>
      <c r="F388" s="2" t="s">
        <v>18717</v>
      </c>
      <c r="G388" s="22" t="s">
        <v>19906</v>
      </c>
      <c r="H388" s="24" t="s">
        <v>19377</v>
      </c>
      <c r="I388" s="22" t="s">
        <v>19309</v>
      </c>
      <c r="J388" s="22" t="s">
        <v>19849</v>
      </c>
      <c r="K388" s="22" t="s">
        <v>19850</v>
      </c>
      <c r="L388" s="22"/>
      <c r="M388" s="22"/>
      <c r="N388" s="25" t="str">
        <f>HYPERLINK("http://slimages.macys.com/is/image/MCY/1505021 ")</f>
        <v xml:space="preserve">http://slimages.macys.com/is/image/MCY/1505021 </v>
      </c>
    </row>
    <row r="389" spans="1:14" ht="24.75" x14ac:dyDescent="0.25">
      <c r="A389" s="21" t="s">
        <v>16703</v>
      </c>
      <c r="B389" s="22" t="s">
        <v>16704</v>
      </c>
      <c r="C389" s="2">
        <v>7</v>
      </c>
      <c r="D389" s="23">
        <v>13.99</v>
      </c>
      <c r="E389" s="3">
        <v>97.93</v>
      </c>
      <c r="F389" s="2" t="s">
        <v>18729</v>
      </c>
      <c r="G389" s="22" t="s">
        <v>19415</v>
      </c>
      <c r="H389" s="24" t="s">
        <v>19330</v>
      </c>
      <c r="I389" s="22" t="s">
        <v>19309</v>
      </c>
      <c r="J389" s="22" t="s">
        <v>19573</v>
      </c>
      <c r="K389" s="22" t="s">
        <v>19574</v>
      </c>
      <c r="L389" s="22"/>
      <c r="M389" s="22"/>
      <c r="N389" s="25" t="str">
        <f>HYPERLINK("http://slimages.macys.com/is/image/MCY/1956290 ")</f>
        <v xml:space="preserve">http://slimages.macys.com/is/image/MCY/1956290 </v>
      </c>
    </row>
    <row r="390" spans="1:14" ht="24.75" x14ac:dyDescent="0.25">
      <c r="A390" s="21" t="s">
        <v>9024</v>
      </c>
      <c r="B390" s="22" t="s">
        <v>9025</v>
      </c>
      <c r="C390" s="2">
        <v>1</v>
      </c>
      <c r="D390" s="23">
        <v>9.99</v>
      </c>
      <c r="E390" s="3">
        <v>9.99</v>
      </c>
      <c r="F390" s="2" t="s">
        <v>16716</v>
      </c>
      <c r="G390" s="22" t="s">
        <v>19422</v>
      </c>
      <c r="H390" s="24" t="s">
        <v>20089</v>
      </c>
      <c r="I390" s="22" t="s">
        <v>19309</v>
      </c>
      <c r="J390" s="22" t="s">
        <v>19908</v>
      </c>
      <c r="K390" s="22" t="s">
        <v>19524</v>
      </c>
      <c r="L390" s="22"/>
      <c r="M390" s="22"/>
      <c r="N390" s="25" t="str">
        <f t="shared" ref="N390:N396" si="2">HYPERLINK("http://slimages.macys.com/is/image/MCY/21727207 ")</f>
        <v xml:space="preserve">http://slimages.macys.com/is/image/MCY/21727207 </v>
      </c>
    </row>
    <row r="391" spans="1:14" ht="24.75" x14ac:dyDescent="0.25">
      <c r="A391" s="21" t="s">
        <v>9026</v>
      </c>
      <c r="B391" s="22" t="s">
        <v>9027</v>
      </c>
      <c r="C391" s="2">
        <v>1</v>
      </c>
      <c r="D391" s="23">
        <v>9.99</v>
      </c>
      <c r="E391" s="3">
        <v>9.99</v>
      </c>
      <c r="F391" s="2" t="s">
        <v>16716</v>
      </c>
      <c r="G391" s="22" t="s">
        <v>19431</v>
      </c>
      <c r="H391" s="24" t="s">
        <v>19377</v>
      </c>
      <c r="I391" s="22" t="s">
        <v>19309</v>
      </c>
      <c r="J391" s="22" t="s">
        <v>19908</v>
      </c>
      <c r="K391" s="22" t="s">
        <v>19524</v>
      </c>
      <c r="L391" s="22"/>
      <c r="M391" s="22"/>
      <c r="N391" s="25" t="str">
        <f t="shared" si="2"/>
        <v xml:space="preserve">http://slimages.macys.com/is/image/MCY/21727207 </v>
      </c>
    </row>
    <row r="392" spans="1:14" ht="24.75" x14ac:dyDescent="0.25">
      <c r="A392" s="21" t="s">
        <v>16719</v>
      </c>
      <c r="B392" s="22" t="s">
        <v>16720</v>
      </c>
      <c r="C392" s="2">
        <v>1</v>
      </c>
      <c r="D392" s="23">
        <v>9.99</v>
      </c>
      <c r="E392" s="3">
        <v>9.99</v>
      </c>
      <c r="F392" s="2" t="s">
        <v>16716</v>
      </c>
      <c r="G392" s="22" t="s">
        <v>19431</v>
      </c>
      <c r="H392" s="24" t="s">
        <v>19542</v>
      </c>
      <c r="I392" s="22" t="s">
        <v>19309</v>
      </c>
      <c r="J392" s="22" t="s">
        <v>19908</v>
      </c>
      <c r="K392" s="22" t="s">
        <v>19524</v>
      </c>
      <c r="L392" s="22"/>
      <c r="M392" s="22"/>
      <c r="N392" s="25" t="str">
        <f t="shared" si="2"/>
        <v xml:space="preserve">http://slimages.macys.com/is/image/MCY/21727207 </v>
      </c>
    </row>
    <row r="393" spans="1:14" ht="24.75" x14ac:dyDescent="0.25">
      <c r="A393" s="21" t="s">
        <v>16367</v>
      </c>
      <c r="B393" s="22" t="s">
        <v>16368</v>
      </c>
      <c r="C393" s="2">
        <v>1</v>
      </c>
      <c r="D393" s="23">
        <v>9.99</v>
      </c>
      <c r="E393" s="3">
        <v>9.99</v>
      </c>
      <c r="F393" s="2" t="s">
        <v>16716</v>
      </c>
      <c r="G393" s="22" t="s">
        <v>19357</v>
      </c>
      <c r="H393" s="24" t="s">
        <v>20135</v>
      </c>
      <c r="I393" s="22" t="s">
        <v>19309</v>
      </c>
      <c r="J393" s="22" t="s">
        <v>19908</v>
      </c>
      <c r="K393" s="22" t="s">
        <v>19524</v>
      </c>
      <c r="L393" s="22"/>
      <c r="M393" s="22"/>
      <c r="N393" s="25" t="str">
        <f t="shared" si="2"/>
        <v xml:space="preserve">http://slimages.macys.com/is/image/MCY/21727207 </v>
      </c>
    </row>
    <row r="394" spans="1:14" ht="24.75" x14ac:dyDescent="0.25">
      <c r="A394" s="21" t="s">
        <v>9028</v>
      </c>
      <c r="B394" s="22" t="s">
        <v>9029</v>
      </c>
      <c r="C394" s="2">
        <v>1</v>
      </c>
      <c r="D394" s="23">
        <v>9.99</v>
      </c>
      <c r="E394" s="3">
        <v>9.99</v>
      </c>
      <c r="F394" s="2" t="s">
        <v>16716</v>
      </c>
      <c r="G394" s="22" t="s">
        <v>19357</v>
      </c>
      <c r="H394" s="24" t="s">
        <v>19542</v>
      </c>
      <c r="I394" s="22" t="s">
        <v>19309</v>
      </c>
      <c r="J394" s="22" t="s">
        <v>19908</v>
      </c>
      <c r="K394" s="22" t="s">
        <v>19524</v>
      </c>
      <c r="L394" s="22"/>
      <c r="M394" s="22"/>
      <c r="N394" s="25" t="str">
        <f t="shared" si="2"/>
        <v xml:space="preserve">http://slimages.macys.com/is/image/MCY/21727207 </v>
      </c>
    </row>
    <row r="395" spans="1:14" ht="24.75" x14ac:dyDescent="0.25">
      <c r="A395" s="21" t="s">
        <v>16721</v>
      </c>
      <c r="B395" s="22" t="s">
        <v>16722</v>
      </c>
      <c r="C395" s="2">
        <v>1</v>
      </c>
      <c r="D395" s="23">
        <v>9.99</v>
      </c>
      <c r="E395" s="3">
        <v>9.99</v>
      </c>
      <c r="F395" s="2" t="s">
        <v>16716</v>
      </c>
      <c r="G395" s="22" t="s">
        <v>19357</v>
      </c>
      <c r="H395" s="24" t="s">
        <v>19377</v>
      </c>
      <c r="I395" s="22" t="s">
        <v>19309</v>
      </c>
      <c r="J395" s="22" t="s">
        <v>19908</v>
      </c>
      <c r="K395" s="22" t="s">
        <v>19524</v>
      </c>
      <c r="L395" s="22"/>
      <c r="M395" s="22"/>
      <c r="N395" s="25" t="str">
        <f t="shared" si="2"/>
        <v xml:space="preserve">http://slimages.macys.com/is/image/MCY/21727207 </v>
      </c>
    </row>
    <row r="396" spans="1:14" ht="24.75" x14ac:dyDescent="0.25">
      <c r="A396" s="21" t="s">
        <v>9030</v>
      </c>
      <c r="B396" s="22" t="s">
        <v>9031</v>
      </c>
      <c r="C396" s="2">
        <v>1</v>
      </c>
      <c r="D396" s="23">
        <v>9.99</v>
      </c>
      <c r="E396" s="3">
        <v>9.99</v>
      </c>
      <c r="F396" s="2" t="s">
        <v>16716</v>
      </c>
      <c r="G396" s="22" t="s">
        <v>19431</v>
      </c>
      <c r="H396" s="24" t="s">
        <v>19361</v>
      </c>
      <c r="I396" s="22" t="s">
        <v>19309</v>
      </c>
      <c r="J396" s="22" t="s">
        <v>19908</v>
      </c>
      <c r="K396" s="22" t="s">
        <v>19524</v>
      </c>
      <c r="L396" s="22"/>
      <c r="M396" s="22"/>
      <c r="N396" s="25" t="str">
        <f t="shared" si="2"/>
        <v xml:space="preserve">http://slimages.macys.com/is/image/MCY/21727207 </v>
      </c>
    </row>
    <row r="397" spans="1:14" x14ac:dyDescent="0.25">
      <c r="A397" s="21" t="s">
        <v>12411</v>
      </c>
      <c r="B397" s="22" t="s">
        <v>12412</v>
      </c>
      <c r="C397" s="2">
        <v>1</v>
      </c>
      <c r="D397" s="23">
        <v>8.99</v>
      </c>
      <c r="E397" s="3">
        <v>8.99</v>
      </c>
      <c r="F397" s="2" t="s">
        <v>18841</v>
      </c>
      <c r="G397" s="22" t="s">
        <v>19431</v>
      </c>
      <c r="H397" s="24" t="s">
        <v>19339</v>
      </c>
      <c r="I397" s="22" t="s">
        <v>19309</v>
      </c>
      <c r="J397" s="22" t="s">
        <v>19849</v>
      </c>
      <c r="K397" s="22" t="s">
        <v>19850</v>
      </c>
      <c r="L397" s="22"/>
      <c r="M397" s="22"/>
      <c r="N397" s="25" t="str">
        <f>HYPERLINK("http://slimages.macys.com/is/image/MCY/22503910 ")</f>
        <v xml:space="preserve">http://slimages.macys.com/is/image/MCY/22503910 </v>
      </c>
    </row>
    <row r="398" spans="1:14" x14ac:dyDescent="0.25">
      <c r="A398" s="21" t="s">
        <v>9032</v>
      </c>
      <c r="B398" s="22" t="s">
        <v>9033</v>
      </c>
      <c r="C398" s="2">
        <v>1</v>
      </c>
      <c r="D398" s="23">
        <v>11.38</v>
      </c>
      <c r="E398" s="3">
        <v>11.38</v>
      </c>
      <c r="F398" s="2" t="s">
        <v>18749</v>
      </c>
      <c r="G398" s="22"/>
      <c r="H398" s="24" t="s">
        <v>19367</v>
      </c>
      <c r="I398" s="22" t="s">
        <v>19309</v>
      </c>
      <c r="J398" s="22" t="s">
        <v>19708</v>
      </c>
      <c r="K398" s="22" t="s">
        <v>19709</v>
      </c>
      <c r="L398" s="22"/>
      <c r="M398" s="22"/>
      <c r="N398" s="25" t="str">
        <f>HYPERLINK("http://slimages.macys.com/is/image/MCY/21414119 ")</f>
        <v xml:space="preserve">http://slimages.macys.com/is/image/MCY/21414119 </v>
      </c>
    </row>
    <row r="399" spans="1:14" x14ac:dyDescent="0.25">
      <c r="A399" s="21" t="s">
        <v>13326</v>
      </c>
      <c r="B399" s="22" t="s">
        <v>13327</v>
      </c>
      <c r="C399" s="2">
        <v>1</v>
      </c>
      <c r="D399" s="23">
        <v>11.38</v>
      </c>
      <c r="E399" s="3">
        <v>11.38</v>
      </c>
      <c r="F399" s="2" t="s">
        <v>16739</v>
      </c>
      <c r="G399" s="22" t="s">
        <v>19594</v>
      </c>
      <c r="H399" s="24" t="s">
        <v>19770</v>
      </c>
      <c r="I399" s="22" t="s">
        <v>19309</v>
      </c>
      <c r="J399" s="22" t="s">
        <v>19708</v>
      </c>
      <c r="K399" s="22" t="s">
        <v>19709</v>
      </c>
      <c r="L399" s="22"/>
      <c r="M399" s="22"/>
      <c r="N399" s="25" t="str">
        <f>HYPERLINK("http://slimages.macys.com/is/image/MCY/21414308 ")</f>
        <v xml:space="preserve">http://slimages.macys.com/is/image/MCY/21414308 </v>
      </c>
    </row>
    <row r="400" spans="1:14" x14ac:dyDescent="0.25">
      <c r="A400" s="21" t="s">
        <v>16737</v>
      </c>
      <c r="B400" s="22" t="s">
        <v>16738</v>
      </c>
      <c r="C400" s="2">
        <v>1</v>
      </c>
      <c r="D400" s="23">
        <v>11.38</v>
      </c>
      <c r="E400" s="3">
        <v>11.38</v>
      </c>
      <c r="F400" s="2" t="s">
        <v>16739</v>
      </c>
      <c r="G400" s="22" t="s">
        <v>19594</v>
      </c>
      <c r="H400" s="24" t="s">
        <v>19416</v>
      </c>
      <c r="I400" s="22" t="s">
        <v>19309</v>
      </c>
      <c r="J400" s="22" t="s">
        <v>19708</v>
      </c>
      <c r="K400" s="22" t="s">
        <v>19709</v>
      </c>
      <c r="L400" s="22"/>
      <c r="M400" s="22"/>
      <c r="N400" s="25" t="str">
        <f>HYPERLINK("http://slimages.macys.com/is/image/MCY/21414308 ")</f>
        <v xml:space="preserve">http://slimages.macys.com/is/image/MCY/21414308 </v>
      </c>
    </row>
    <row r="401" spans="1:14" x14ac:dyDescent="0.25">
      <c r="A401" s="21" t="s">
        <v>16375</v>
      </c>
      <c r="B401" s="22" t="s">
        <v>16376</v>
      </c>
      <c r="C401" s="2">
        <v>1</v>
      </c>
      <c r="D401" s="23">
        <v>11.38</v>
      </c>
      <c r="E401" s="3">
        <v>11.38</v>
      </c>
      <c r="F401" s="2" t="s">
        <v>16739</v>
      </c>
      <c r="G401" s="22" t="s">
        <v>19594</v>
      </c>
      <c r="H401" s="24" t="s">
        <v>20152</v>
      </c>
      <c r="I401" s="22" t="s">
        <v>19309</v>
      </c>
      <c r="J401" s="22" t="s">
        <v>19708</v>
      </c>
      <c r="K401" s="22" t="s">
        <v>19709</v>
      </c>
      <c r="L401" s="22"/>
      <c r="M401" s="22"/>
      <c r="N401" s="25" t="str">
        <f>HYPERLINK("http://slimages.macys.com/is/image/MCY/21414308 ")</f>
        <v xml:space="preserve">http://slimages.macys.com/is/image/MCY/21414308 </v>
      </c>
    </row>
    <row r="402" spans="1:14" x14ac:dyDescent="0.25">
      <c r="A402" s="21" t="s">
        <v>9034</v>
      </c>
      <c r="B402" s="22" t="s">
        <v>9035</v>
      </c>
      <c r="C402" s="2">
        <v>2</v>
      </c>
      <c r="D402" s="23">
        <v>11.38</v>
      </c>
      <c r="E402" s="3">
        <v>22.76</v>
      </c>
      <c r="F402" s="2" t="s">
        <v>13963</v>
      </c>
      <c r="G402" s="22"/>
      <c r="H402" s="24" t="s">
        <v>19324</v>
      </c>
      <c r="I402" s="22" t="s">
        <v>19309</v>
      </c>
      <c r="J402" s="22" t="s">
        <v>19708</v>
      </c>
      <c r="K402" s="22" t="s">
        <v>19709</v>
      </c>
      <c r="L402" s="22"/>
      <c r="M402" s="22"/>
      <c r="N402" s="25" t="str">
        <f>HYPERLINK("http://slimages.macys.com/is/image/MCY/21414194 ")</f>
        <v xml:space="preserve">http://slimages.macys.com/is/image/MCY/21414194 </v>
      </c>
    </row>
    <row r="403" spans="1:14" x14ac:dyDescent="0.25">
      <c r="A403" s="21" t="s">
        <v>16742</v>
      </c>
      <c r="B403" s="22" t="s">
        <v>16743</v>
      </c>
      <c r="C403" s="2">
        <v>1</v>
      </c>
      <c r="D403" s="23">
        <v>11.38</v>
      </c>
      <c r="E403" s="3">
        <v>11.38</v>
      </c>
      <c r="F403" s="2" t="s">
        <v>18749</v>
      </c>
      <c r="G403" s="22"/>
      <c r="H403" s="24" t="s">
        <v>20152</v>
      </c>
      <c r="I403" s="22" t="s">
        <v>19309</v>
      </c>
      <c r="J403" s="22" t="s">
        <v>19708</v>
      </c>
      <c r="K403" s="22" t="s">
        <v>19709</v>
      </c>
      <c r="L403" s="22"/>
      <c r="M403" s="22"/>
      <c r="N403" s="25" t="str">
        <f>HYPERLINK("http://slimages.macys.com/is/image/MCY/21414119 ")</f>
        <v xml:space="preserve">http://slimages.macys.com/is/image/MCY/21414119 </v>
      </c>
    </row>
    <row r="404" spans="1:14" x14ac:dyDescent="0.25">
      <c r="A404" s="21" t="s">
        <v>18752</v>
      </c>
      <c r="B404" s="22" t="s">
        <v>18753</v>
      </c>
      <c r="C404" s="2">
        <v>2</v>
      </c>
      <c r="D404" s="23">
        <v>11.99</v>
      </c>
      <c r="E404" s="3">
        <v>23.98</v>
      </c>
      <c r="F404" s="2" t="s">
        <v>18754</v>
      </c>
      <c r="G404" s="22" t="s">
        <v>18439</v>
      </c>
      <c r="H404" s="24" t="s">
        <v>19339</v>
      </c>
      <c r="I404" s="22" t="s">
        <v>19309</v>
      </c>
      <c r="J404" s="22" t="s">
        <v>19849</v>
      </c>
      <c r="K404" s="22" t="s">
        <v>19850</v>
      </c>
      <c r="L404" s="22"/>
      <c r="M404" s="22"/>
      <c r="N404" s="25" t="str">
        <f>HYPERLINK("http://slimages.macys.com/is/image/MCY/21956286 ")</f>
        <v xml:space="preserve">http://slimages.macys.com/is/image/MCY/21956286 </v>
      </c>
    </row>
    <row r="405" spans="1:14" x14ac:dyDescent="0.25">
      <c r="A405" s="21" t="s">
        <v>9036</v>
      </c>
      <c r="B405" s="22" t="s">
        <v>9037</v>
      </c>
      <c r="C405" s="2">
        <v>1</v>
      </c>
      <c r="D405" s="23">
        <v>11.99</v>
      </c>
      <c r="E405" s="3">
        <v>11.99</v>
      </c>
      <c r="F405" s="2" t="s">
        <v>18754</v>
      </c>
      <c r="G405" s="22" t="s">
        <v>18439</v>
      </c>
      <c r="H405" s="24" t="s">
        <v>19797</v>
      </c>
      <c r="I405" s="22" t="s">
        <v>19309</v>
      </c>
      <c r="J405" s="22" t="s">
        <v>19849</v>
      </c>
      <c r="K405" s="22" t="s">
        <v>19850</v>
      </c>
      <c r="L405" s="22"/>
      <c r="M405" s="22"/>
      <c r="N405" s="25" t="str">
        <f>HYPERLINK("http://slimages.macys.com/is/image/MCY/21956286 ")</f>
        <v xml:space="preserve">http://slimages.macys.com/is/image/MCY/21956286 </v>
      </c>
    </row>
    <row r="406" spans="1:14" x14ac:dyDescent="0.25">
      <c r="A406" s="21" t="s">
        <v>9038</v>
      </c>
      <c r="B406" s="22" t="s">
        <v>9039</v>
      </c>
      <c r="C406" s="2">
        <v>2</v>
      </c>
      <c r="D406" s="23">
        <v>11.99</v>
      </c>
      <c r="E406" s="3">
        <v>23.98</v>
      </c>
      <c r="F406" s="2" t="s">
        <v>18754</v>
      </c>
      <c r="G406" s="22" t="s">
        <v>18439</v>
      </c>
      <c r="H406" s="24" t="s">
        <v>19352</v>
      </c>
      <c r="I406" s="22" t="s">
        <v>19309</v>
      </c>
      <c r="J406" s="22" t="s">
        <v>19849</v>
      </c>
      <c r="K406" s="22" t="s">
        <v>19850</v>
      </c>
      <c r="L406" s="22"/>
      <c r="M406" s="22"/>
      <c r="N406" s="25" t="str">
        <f>HYPERLINK("http://slimages.macys.com/is/image/MCY/21956286 ")</f>
        <v xml:space="preserve">http://slimages.macys.com/is/image/MCY/21956286 </v>
      </c>
    </row>
    <row r="407" spans="1:14" x14ac:dyDescent="0.25">
      <c r="A407" s="21" t="s">
        <v>9040</v>
      </c>
      <c r="B407" s="22" t="s">
        <v>9041</v>
      </c>
      <c r="C407" s="2">
        <v>1</v>
      </c>
      <c r="D407" s="23">
        <v>11.99</v>
      </c>
      <c r="E407" s="3">
        <v>11.99</v>
      </c>
      <c r="F407" s="2" t="s">
        <v>9042</v>
      </c>
      <c r="G407" s="22" t="s">
        <v>19674</v>
      </c>
      <c r="H407" s="24" t="s">
        <v>19797</v>
      </c>
      <c r="I407" s="22" t="s">
        <v>19309</v>
      </c>
      <c r="J407" s="22" t="s">
        <v>19849</v>
      </c>
      <c r="K407" s="22" t="s">
        <v>19850</v>
      </c>
      <c r="L407" s="22"/>
      <c r="M407" s="22"/>
      <c r="N407" s="25" t="str">
        <f>HYPERLINK("http://slimages.macys.com/is/image/MCY/20530720 ")</f>
        <v xml:space="preserve">http://slimages.macys.com/is/image/MCY/20530720 </v>
      </c>
    </row>
    <row r="408" spans="1:14" x14ac:dyDescent="0.25">
      <c r="A408" s="21" t="s">
        <v>9043</v>
      </c>
      <c r="B408" s="22" t="s">
        <v>9044</v>
      </c>
      <c r="C408" s="2">
        <v>1</v>
      </c>
      <c r="D408" s="23">
        <v>11.99</v>
      </c>
      <c r="E408" s="3">
        <v>11.99</v>
      </c>
      <c r="F408" s="2" t="s">
        <v>9042</v>
      </c>
      <c r="G408" s="22" t="s">
        <v>19674</v>
      </c>
      <c r="H408" s="24" t="s">
        <v>19339</v>
      </c>
      <c r="I408" s="22" t="s">
        <v>19309</v>
      </c>
      <c r="J408" s="22" t="s">
        <v>19849</v>
      </c>
      <c r="K408" s="22" t="s">
        <v>19850</v>
      </c>
      <c r="L408" s="22"/>
      <c r="M408" s="22"/>
      <c r="N408" s="25" t="str">
        <f>HYPERLINK("http://slimages.macys.com/is/image/MCY/20530720 ")</f>
        <v xml:space="preserve">http://slimages.macys.com/is/image/MCY/20530720 </v>
      </c>
    </row>
    <row r="409" spans="1:14" ht="24.75" x14ac:dyDescent="0.25">
      <c r="A409" s="21" t="s">
        <v>9045</v>
      </c>
      <c r="B409" s="22" t="s">
        <v>9046</v>
      </c>
      <c r="C409" s="2">
        <v>1</v>
      </c>
      <c r="D409" s="23">
        <v>12.99</v>
      </c>
      <c r="E409" s="3">
        <v>12.99</v>
      </c>
      <c r="F409" s="2" t="s">
        <v>9047</v>
      </c>
      <c r="G409" s="22" t="s">
        <v>19333</v>
      </c>
      <c r="H409" s="24" t="s">
        <v>19907</v>
      </c>
      <c r="I409" s="22" t="s">
        <v>19309</v>
      </c>
      <c r="J409" s="22" t="s">
        <v>19454</v>
      </c>
      <c r="K409" s="22" t="s">
        <v>19524</v>
      </c>
      <c r="L409" s="22"/>
      <c r="M409" s="22"/>
      <c r="N409" s="25" t="str">
        <f>HYPERLINK("http://slimages.macys.com/is/image/MCY/19568513 ")</f>
        <v xml:space="preserve">http://slimages.macys.com/is/image/MCY/19568513 </v>
      </c>
    </row>
    <row r="410" spans="1:14" ht="24.75" x14ac:dyDescent="0.25">
      <c r="A410" s="21" t="s">
        <v>9048</v>
      </c>
      <c r="B410" s="22" t="s">
        <v>9049</v>
      </c>
      <c r="C410" s="2">
        <v>1</v>
      </c>
      <c r="D410" s="23">
        <v>11.99</v>
      </c>
      <c r="E410" s="3">
        <v>11.99</v>
      </c>
      <c r="F410" s="2" t="s">
        <v>18757</v>
      </c>
      <c r="G410" s="22" t="s">
        <v>19814</v>
      </c>
      <c r="H410" s="24" t="s">
        <v>20135</v>
      </c>
      <c r="I410" s="22" t="s">
        <v>19309</v>
      </c>
      <c r="J410" s="22" t="s">
        <v>19908</v>
      </c>
      <c r="K410" s="22" t="s">
        <v>19524</v>
      </c>
      <c r="L410" s="22"/>
      <c r="M410" s="22"/>
      <c r="N410" s="25" t="str">
        <f>HYPERLINK("http://slimages.macys.com/is/image/MCY/21243378 ")</f>
        <v xml:space="preserve">http://slimages.macys.com/is/image/MCY/21243378 </v>
      </c>
    </row>
    <row r="411" spans="1:14" ht="24.75" x14ac:dyDescent="0.25">
      <c r="A411" s="21" t="s">
        <v>18761</v>
      </c>
      <c r="B411" s="22" t="s">
        <v>18762</v>
      </c>
      <c r="C411" s="2">
        <v>1</v>
      </c>
      <c r="D411" s="23">
        <v>10.99</v>
      </c>
      <c r="E411" s="3">
        <v>10.99</v>
      </c>
      <c r="F411" s="2" t="s">
        <v>18763</v>
      </c>
      <c r="G411" s="22" t="s">
        <v>18764</v>
      </c>
      <c r="H411" s="24"/>
      <c r="I411" s="22" t="s">
        <v>19309</v>
      </c>
      <c r="J411" s="22" t="s">
        <v>19573</v>
      </c>
      <c r="K411" s="22" t="s">
        <v>19574</v>
      </c>
      <c r="L411" s="22"/>
      <c r="M411" s="22"/>
      <c r="N411" s="25" t="str">
        <f>HYPERLINK("http://slimages.macys.com/is/image/MCY/17720840 ")</f>
        <v xml:space="preserve">http://slimages.macys.com/is/image/MCY/17720840 </v>
      </c>
    </row>
    <row r="412" spans="1:14" ht="24.75" x14ac:dyDescent="0.25">
      <c r="A412" s="21" t="s">
        <v>13332</v>
      </c>
      <c r="B412" s="22" t="s">
        <v>13333</v>
      </c>
      <c r="C412" s="2">
        <v>1</v>
      </c>
      <c r="D412" s="23">
        <v>10.99</v>
      </c>
      <c r="E412" s="3">
        <v>10.99</v>
      </c>
      <c r="F412" s="2" t="s">
        <v>18763</v>
      </c>
      <c r="G412" s="22" t="s">
        <v>18764</v>
      </c>
      <c r="H412" s="24" t="s">
        <v>19538</v>
      </c>
      <c r="I412" s="22" t="s">
        <v>19309</v>
      </c>
      <c r="J412" s="22" t="s">
        <v>19573</v>
      </c>
      <c r="K412" s="22" t="s">
        <v>19574</v>
      </c>
      <c r="L412" s="22"/>
      <c r="M412" s="22"/>
      <c r="N412" s="25" t="str">
        <f>HYPERLINK("http://slimages.macys.com/is/image/MCY/17720840 ")</f>
        <v xml:space="preserve">http://slimages.macys.com/is/image/MCY/17720840 </v>
      </c>
    </row>
    <row r="413" spans="1:14" ht="24.75" x14ac:dyDescent="0.25">
      <c r="A413" s="21" t="s">
        <v>9050</v>
      </c>
      <c r="B413" s="22" t="s">
        <v>9051</v>
      </c>
      <c r="C413" s="2">
        <v>3</v>
      </c>
      <c r="D413" s="23">
        <v>10.99</v>
      </c>
      <c r="E413" s="3">
        <v>32.97</v>
      </c>
      <c r="F413" s="2" t="s">
        <v>9052</v>
      </c>
      <c r="G413" s="22" t="s">
        <v>19674</v>
      </c>
      <c r="H413" s="24" t="s">
        <v>19339</v>
      </c>
      <c r="I413" s="22" t="s">
        <v>19309</v>
      </c>
      <c r="J413" s="22" t="s">
        <v>19353</v>
      </c>
      <c r="K413" s="22" t="s">
        <v>19524</v>
      </c>
      <c r="L413" s="22"/>
      <c r="M413" s="22"/>
      <c r="N413" s="25" t="str">
        <f>HYPERLINK("http://slimages.macys.com/is/image/MCY/21694564 ")</f>
        <v xml:space="preserve">http://slimages.macys.com/is/image/MCY/21694564 </v>
      </c>
    </row>
    <row r="414" spans="1:14" ht="24.75" x14ac:dyDescent="0.25">
      <c r="A414" s="21" t="s">
        <v>16746</v>
      </c>
      <c r="B414" s="22" t="s">
        <v>16747</v>
      </c>
      <c r="C414" s="2">
        <v>1</v>
      </c>
      <c r="D414" s="23">
        <v>10.99</v>
      </c>
      <c r="E414" s="3">
        <v>10.99</v>
      </c>
      <c r="F414" s="2" t="s">
        <v>18770</v>
      </c>
      <c r="G414" s="22" t="s">
        <v>19323</v>
      </c>
      <c r="H414" s="24" t="s">
        <v>19797</v>
      </c>
      <c r="I414" s="22" t="s">
        <v>19309</v>
      </c>
      <c r="J414" s="22" t="s">
        <v>19353</v>
      </c>
      <c r="K414" s="22" t="s">
        <v>19524</v>
      </c>
      <c r="L414" s="22"/>
      <c r="M414" s="22"/>
      <c r="N414" s="25" t="str">
        <f>HYPERLINK("http://slimages.macys.com/is/image/MCY/20846572 ")</f>
        <v xml:space="preserve">http://slimages.macys.com/is/image/MCY/20846572 </v>
      </c>
    </row>
    <row r="415" spans="1:14" ht="24.75" x14ac:dyDescent="0.25">
      <c r="A415" s="21" t="s">
        <v>16750</v>
      </c>
      <c r="B415" s="22" t="s">
        <v>16751</v>
      </c>
      <c r="C415" s="2">
        <v>3</v>
      </c>
      <c r="D415" s="23">
        <v>10.99</v>
      </c>
      <c r="E415" s="3">
        <v>32.97</v>
      </c>
      <c r="F415" s="2" t="s">
        <v>18770</v>
      </c>
      <c r="G415" s="22" t="s">
        <v>19323</v>
      </c>
      <c r="H415" s="24" t="s">
        <v>19364</v>
      </c>
      <c r="I415" s="22" t="s">
        <v>19309</v>
      </c>
      <c r="J415" s="22" t="s">
        <v>19353</v>
      </c>
      <c r="K415" s="22" t="s">
        <v>19524</v>
      </c>
      <c r="L415" s="22"/>
      <c r="M415" s="22"/>
      <c r="N415" s="25" t="str">
        <f>HYPERLINK("http://slimages.macys.com/is/image/MCY/20846572 ")</f>
        <v xml:space="preserve">http://slimages.macys.com/is/image/MCY/20846572 </v>
      </c>
    </row>
    <row r="416" spans="1:14" ht="24.75" x14ac:dyDescent="0.25">
      <c r="A416" s="21" t="s">
        <v>9053</v>
      </c>
      <c r="B416" s="22" t="s">
        <v>9054</v>
      </c>
      <c r="C416" s="2">
        <v>2</v>
      </c>
      <c r="D416" s="23">
        <v>10.99</v>
      </c>
      <c r="E416" s="3">
        <v>21.98</v>
      </c>
      <c r="F416" s="2" t="s">
        <v>9055</v>
      </c>
      <c r="G416" s="22" t="s">
        <v>19674</v>
      </c>
      <c r="H416" s="24" t="s">
        <v>19352</v>
      </c>
      <c r="I416" s="22" t="s">
        <v>19309</v>
      </c>
      <c r="J416" s="22" t="s">
        <v>19353</v>
      </c>
      <c r="K416" s="22" t="s">
        <v>19524</v>
      </c>
      <c r="L416" s="22"/>
      <c r="M416" s="22"/>
      <c r="N416" s="25" t="str">
        <f>HYPERLINK("http://slimages.macys.com/is/image/MCY/21233424 ")</f>
        <v xml:space="preserve">http://slimages.macys.com/is/image/MCY/21233424 </v>
      </c>
    </row>
    <row r="417" spans="1:14" ht="24.75" x14ac:dyDescent="0.25">
      <c r="A417" s="21" t="s">
        <v>9056</v>
      </c>
      <c r="B417" s="22" t="s">
        <v>9057</v>
      </c>
      <c r="C417" s="2">
        <v>1</v>
      </c>
      <c r="D417" s="23">
        <v>10.99</v>
      </c>
      <c r="E417" s="3">
        <v>10.99</v>
      </c>
      <c r="F417" s="2" t="s">
        <v>9055</v>
      </c>
      <c r="G417" s="22" t="s">
        <v>19674</v>
      </c>
      <c r="H417" s="24" t="s">
        <v>19339</v>
      </c>
      <c r="I417" s="22" t="s">
        <v>19309</v>
      </c>
      <c r="J417" s="22" t="s">
        <v>19353</v>
      </c>
      <c r="K417" s="22" t="s">
        <v>19524</v>
      </c>
      <c r="L417" s="22"/>
      <c r="M417" s="22"/>
      <c r="N417" s="25" t="str">
        <f>HYPERLINK("http://slimages.macys.com/is/image/MCY/21233424 ")</f>
        <v xml:space="preserve">http://slimages.macys.com/is/image/MCY/21233424 </v>
      </c>
    </row>
    <row r="418" spans="1:14" ht="24.75" x14ac:dyDescent="0.25">
      <c r="A418" s="21" t="s">
        <v>9058</v>
      </c>
      <c r="B418" s="22" t="s">
        <v>9059</v>
      </c>
      <c r="C418" s="2">
        <v>1</v>
      </c>
      <c r="D418" s="23">
        <v>10.99</v>
      </c>
      <c r="E418" s="3">
        <v>10.99</v>
      </c>
      <c r="F418" s="2" t="s">
        <v>18767</v>
      </c>
      <c r="G418" s="22" t="s">
        <v>19351</v>
      </c>
      <c r="H418" s="24" t="s">
        <v>19339</v>
      </c>
      <c r="I418" s="22" t="s">
        <v>19309</v>
      </c>
      <c r="J418" s="22" t="s">
        <v>19353</v>
      </c>
      <c r="K418" s="22" t="s">
        <v>19524</v>
      </c>
      <c r="L418" s="22"/>
      <c r="M418" s="22"/>
      <c r="N418" s="25" t="str">
        <f>HYPERLINK("http://slimages.macys.com/is/image/MCY/1426558 ")</f>
        <v xml:space="preserve">http://slimages.macys.com/is/image/MCY/1426558 </v>
      </c>
    </row>
    <row r="419" spans="1:14" ht="24.75" x14ac:dyDescent="0.25">
      <c r="A419" s="21" t="s">
        <v>9984</v>
      </c>
      <c r="B419" s="22" t="s">
        <v>9985</v>
      </c>
      <c r="C419" s="2">
        <v>2</v>
      </c>
      <c r="D419" s="23">
        <v>10.99</v>
      </c>
      <c r="E419" s="3">
        <v>21.98</v>
      </c>
      <c r="F419" s="2" t="s">
        <v>9986</v>
      </c>
      <c r="G419" s="22" t="s">
        <v>19323</v>
      </c>
      <c r="H419" s="24" t="s">
        <v>19352</v>
      </c>
      <c r="I419" s="22" t="s">
        <v>19309</v>
      </c>
      <c r="J419" s="22" t="s">
        <v>19353</v>
      </c>
      <c r="K419" s="22" t="s">
        <v>19524</v>
      </c>
      <c r="L419" s="22"/>
      <c r="M419" s="22"/>
      <c r="N419" s="25" t="str">
        <f>HYPERLINK("http://slimages.macys.com/is/image/MCY/20440807 ")</f>
        <v xml:space="preserve">http://slimages.macys.com/is/image/MCY/20440807 </v>
      </c>
    </row>
    <row r="420" spans="1:14" ht="24.75" x14ac:dyDescent="0.25">
      <c r="A420" s="21" t="s">
        <v>18768</v>
      </c>
      <c r="B420" s="22" t="s">
        <v>18769</v>
      </c>
      <c r="C420" s="2">
        <v>3</v>
      </c>
      <c r="D420" s="23">
        <v>10.99</v>
      </c>
      <c r="E420" s="3">
        <v>32.97</v>
      </c>
      <c r="F420" s="2" t="s">
        <v>18770</v>
      </c>
      <c r="G420" s="22" t="s">
        <v>19323</v>
      </c>
      <c r="H420" s="24" t="s">
        <v>19352</v>
      </c>
      <c r="I420" s="22" t="s">
        <v>19309</v>
      </c>
      <c r="J420" s="22" t="s">
        <v>19353</v>
      </c>
      <c r="K420" s="22" t="s">
        <v>19524</v>
      </c>
      <c r="L420" s="22"/>
      <c r="M420" s="22"/>
      <c r="N420" s="25" t="str">
        <f>HYPERLINK("http://slimages.macys.com/is/image/MCY/20846572 ")</f>
        <v xml:space="preserve">http://slimages.macys.com/is/image/MCY/20846572 </v>
      </c>
    </row>
    <row r="421" spans="1:14" ht="24.75" x14ac:dyDescent="0.25">
      <c r="A421" s="21" t="s">
        <v>9060</v>
      </c>
      <c r="B421" s="22" t="s">
        <v>9061</v>
      </c>
      <c r="C421" s="2">
        <v>1</v>
      </c>
      <c r="D421" s="23">
        <v>10.99</v>
      </c>
      <c r="E421" s="3">
        <v>10.99</v>
      </c>
      <c r="F421" s="2" t="s">
        <v>9062</v>
      </c>
      <c r="G421" s="22" t="s">
        <v>19670</v>
      </c>
      <c r="H421" s="24" t="s">
        <v>19797</v>
      </c>
      <c r="I421" s="22" t="s">
        <v>19309</v>
      </c>
      <c r="J421" s="22" t="s">
        <v>19353</v>
      </c>
      <c r="K421" s="22" t="s">
        <v>19524</v>
      </c>
      <c r="L421" s="22"/>
      <c r="M421" s="22"/>
      <c r="N421" s="25" t="str">
        <f>HYPERLINK("http://slimages.macys.com/is/image/MCY/21083362 ")</f>
        <v xml:space="preserve">http://slimages.macys.com/is/image/MCY/21083362 </v>
      </c>
    </row>
    <row r="422" spans="1:14" ht="24.75" x14ac:dyDescent="0.25">
      <c r="A422" s="21" t="s">
        <v>9063</v>
      </c>
      <c r="B422" s="22" t="s">
        <v>9064</v>
      </c>
      <c r="C422" s="2">
        <v>1</v>
      </c>
      <c r="D422" s="23">
        <v>10.99</v>
      </c>
      <c r="E422" s="3">
        <v>10.99</v>
      </c>
      <c r="F422" s="2" t="s">
        <v>9065</v>
      </c>
      <c r="G422" s="22" t="s">
        <v>19351</v>
      </c>
      <c r="H422" s="24" t="s">
        <v>19797</v>
      </c>
      <c r="I422" s="22" t="s">
        <v>19309</v>
      </c>
      <c r="J422" s="22" t="s">
        <v>19353</v>
      </c>
      <c r="K422" s="22" t="s">
        <v>19524</v>
      </c>
      <c r="L422" s="22"/>
      <c r="M422" s="22"/>
      <c r="N422" s="25" t="str">
        <f>HYPERLINK("http://slimages.macys.com/is/image/MCY/21083360 ")</f>
        <v xml:space="preserve">http://slimages.macys.com/is/image/MCY/21083360 </v>
      </c>
    </row>
    <row r="423" spans="1:14" ht="24.75" x14ac:dyDescent="0.25">
      <c r="A423" s="21" t="s">
        <v>9066</v>
      </c>
      <c r="B423" s="22" t="s">
        <v>9067</v>
      </c>
      <c r="C423" s="2">
        <v>3</v>
      </c>
      <c r="D423" s="23">
        <v>10.99</v>
      </c>
      <c r="E423" s="3">
        <v>32.97</v>
      </c>
      <c r="F423" s="2" t="s">
        <v>16754</v>
      </c>
      <c r="G423" s="22" t="s">
        <v>19814</v>
      </c>
      <c r="H423" s="24" t="s">
        <v>19797</v>
      </c>
      <c r="I423" s="22" t="s">
        <v>19309</v>
      </c>
      <c r="J423" s="22" t="s">
        <v>19353</v>
      </c>
      <c r="K423" s="22" t="s">
        <v>19524</v>
      </c>
      <c r="L423" s="22"/>
      <c r="M423" s="22"/>
      <c r="N423" s="25" t="str">
        <f>HYPERLINK("http://slimages.macys.com/is/image/MCY/21083357 ")</f>
        <v xml:space="preserve">http://slimages.macys.com/is/image/MCY/21083357 </v>
      </c>
    </row>
    <row r="424" spans="1:14" ht="24.75" x14ac:dyDescent="0.25">
      <c r="A424" s="21" t="s">
        <v>16752</v>
      </c>
      <c r="B424" s="22" t="s">
        <v>16753</v>
      </c>
      <c r="C424" s="2">
        <v>1</v>
      </c>
      <c r="D424" s="23">
        <v>10.99</v>
      </c>
      <c r="E424" s="3">
        <v>10.99</v>
      </c>
      <c r="F424" s="2" t="s">
        <v>16754</v>
      </c>
      <c r="G424" s="22" t="s">
        <v>19814</v>
      </c>
      <c r="H424" s="24" t="s">
        <v>19364</v>
      </c>
      <c r="I424" s="22" t="s">
        <v>19309</v>
      </c>
      <c r="J424" s="22" t="s">
        <v>19353</v>
      </c>
      <c r="K424" s="22" t="s">
        <v>19524</v>
      </c>
      <c r="L424" s="22"/>
      <c r="M424" s="22"/>
      <c r="N424" s="25" t="str">
        <f>HYPERLINK("http://slimages.macys.com/is/image/MCY/21083357 ")</f>
        <v xml:space="preserve">http://slimages.macys.com/is/image/MCY/21083357 </v>
      </c>
    </row>
    <row r="425" spans="1:14" ht="24.75" x14ac:dyDescent="0.25">
      <c r="A425" s="21" t="s">
        <v>9068</v>
      </c>
      <c r="B425" s="22" t="s">
        <v>9069</v>
      </c>
      <c r="C425" s="2">
        <v>1</v>
      </c>
      <c r="D425" s="23">
        <v>10.99</v>
      </c>
      <c r="E425" s="3">
        <v>10.99</v>
      </c>
      <c r="F425" s="2" t="s">
        <v>18770</v>
      </c>
      <c r="G425" s="22" t="s">
        <v>19323</v>
      </c>
      <c r="H425" s="24" t="s">
        <v>19339</v>
      </c>
      <c r="I425" s="22" t="s">
        <v>19309</v>
      </c>
      <c r="J425" s="22" t="s">
        <v>19353</v>
      </c>
      <c r="K425" s="22" t="s">
        <v>19524</v>
      </c>
      <c r="L425" s="22"/>
      <c r="M425" s="22"/>
      <c r="N425" s="25" t="str">
        <f>HYPERLINK("http://slimages.macys.com/is/image/MCY/20846572 ")</f>
        <v xml:space="preserve">http://slimages.macys.com/is/image/MCY/20846572 </v>
      </c>
    </row>
    <row r="426" spans="1:14" ht="24.75" x14ac:dyDescent="0.25">
      <c r="A426" s="21" t="s">
        <v>18771</v>
      </c>
      <c r="B426" s="22" t="s">
        <v>18772</v>
      </c>
      <c r="C426" s="2">
        <v>1</v>
      </c>
      <c r="D426" s="23">
        <v>9.99</v>
      </c>
      <c r="E426" s="3">
        <v>9.99</v>
      </c>
      <c r="F426" s="2" t="s">
        <v>18773</v>
      </c>
      <c r="G426" s="22" t="s">
        <v>19422</v>
      </c>
      <c r="H426" s="24" t="s">
        <v>19538</v>
      </c>
      <c r="I426" s="22" t="s">
        <v>19309</v>
      </c>
      <c r="J426" s="22" t="s">
        <v>19573</v>
      </c>
      <c r="K426" s="22" t="s">
        <v>19574</v>
      </c>
      <c r="L426" s="22"/>
      <c r="M426" s="22"/>
      <c r="N426" s="25" t="str">
        <f>HYPERLINK("http://slimages.macys.com/is/image/MCY/1322715 ")</f>
        <v xml:space="preserve">http://slimages.macys.com/is/image/MCY/1322715 </v>
      </c>
    </row>
    <row r="427" spans="1:14" ht="24.75" x14ac:dyDescent="0.25">
      <c r="A427" s="21" t="s">
        <v>18774</v>
      </c>
      <c r="B427" s="22" t="s">
        <v>18775</v>
      </c>
      <c r="C427" s="2">
        <v>1</v>
      </c>
      <c r="D427" s="23">
        <v>9.99</v>
      </c>
      <c r="E427" s="3">
        <v>9.99</v>
      </c>
      <c r="F427" s="2" t="s">
        <v>18773</v>
      </c>
      <c r="G427" s="22" t="s">
        <v>19422</v>
      </c>
      <c r="H427" s="24" t="s">
        <v>19770</v>
      </c>
      <c r="I427" s="22" t="s">
        <v>19309</v>
      </c>
      <c r="J427" s="22" t="s">
        <v>19573</v>
      </c>
      <c r="K427" s="22" t="s">
        <v>19574</v>
      </c>
      <c r="L427" s="22"/>
      <c r="M427" s="22"/>
      <c r="N427" s="25" t="str">
        <f>HYPERLINK("http://slimages.macys.com/is/image/MCY/1646328 ")</f>
        <v xml:space="preserve">http://slimages.macys.com/is/image/MCY/1646328 </v>
      </c>
    </row>
    <row r="428" spans="1:14" ht="24.75" x14ac:dyDescent="0.25">
      <c r="A428" s="21" t="s">
        <v>9070</v>
      </c>
      <c r="B428" s="22" t="s">
        <v>9071</v>
      </c>
      <c r="C428" s="2">
        <v>1</v>
      </c>
      <c r="D428" s="23">
        <v>7.25</v>
      </c>
      <c r="E428" s="3">
        <v>7.25</v>
      </c>
      <c r="F428" s="2" t="s">
        <v>9072</v>
      </c>
      <c r="G428" s="22" t="s">
        <v>19315</v>
      </c>
      <c r="H428" s="24" t="s">
        <v>19361</v>
      </c>
      <c r="I428" s="22" t="s">
        <v>19309</v>
      </c>
      <c r="J428" s="22" t="s">
        <v>19447</v>
      </c>
      <c r="K428" s="22" t="s">
        <v>20146</v>
      </c>
      <c r="L428" s="22"/>
      <c r="M428" s="22"/>
      <c r="N428" s="25" t="str">
        <f>HYPERLINK("http://slimages.macys.com/is/image/MCY/19902273 ")</f>
        <v xml:space="preserve">http://slimages.macys.com/is/image/MCY/19902273 </v>
      </c>
    </row>
    <row r="429" spans="1:14" x14ac:dyDescent="0.25">
      <c r="A429" s="21" t="s">
        <v>12438</v>
      </c>
      <c r="B429" s="22" t="s">
        <v>12439</v>
      </c>
      <c r="C429" s="2">
        <v>1</v>
      </c>
      <c r="D429" s="23">
        <v>13.99</v>
      </c>
      <c r="E429" s="3">
        <v>13.99</v>
      </c>
      <c r="F429" s="2" t="s">
        <v>12440</v>
      </c>
      <c r="G429" s="22" t="s">
        <v>19431</v>
      </c>
      <c r="H429" s="24" t="s">
        <v>19377</v>
      </c>
      <c r="I429" s="22" t="s">
        <v>19309</v>
      </c>
      <c r="J429" s="22" t="s">
        <v>19849</v>
      </c>
      <c r="K429" s="22" t="s">
        <v>19850</v>
      </c>
      <c r="L429" s="22"/>
      <c r="M429" s="22"/>
      <c r="N429" s="25" t="str">
        <f>HYPERLINK("http://slimages.macys.com/is/image/MCY/21270308 ")</f>
        <v xml:space="preserve">http://slimages.macys.com/is/image/MCY/21270308 </v>
      </c>
    </row>
    <row r="430" spans="1:14" ht="24.75" x14ac:dyDescent="0.25">
      <c r="A430" s="21" t="s">
        <v>9073</v>
      </c>
      <c r="B430" s="22" t="s">
        <v>9074</v>
      </c>
      <c r="C430" s="2">
        <v>1</v>
      </c>
      <c r="D430" s="23">
        <v>11.99</v>
      </c>
      <c r="E430" s="3">
        <v>11.99</v>
      </c>
      <c r="F430" s="2" t="s">
        <v>16768</v>
      </c>
      <c r="G430" s="22" t="s">
        <v>19351</v>
      </c>
      <c r="H430" s="24" t="s">
        <v>19538</v>
      </c>
      <c r="I430" s="22" t="s">
        <v>19309</v>
      </c>
      <c r="J430" s="22" t="s">
        <v>19573</v>
      </c>
      <c r="K430" s="22" t="s">
        <v>19574</v>
      </c>
      <c r="L430" s="22"/>
      <c r="M430" s="22"/>
      <c r="N430" s="25" t="str">
        <f>HYPERLINK("http://slimages.macys.com/is/image/MCY/1439094 ")</f>
        <v xml:space="preserve">http://slimages.macys.com/is/image/MCY/1439094 </v>
      </c>
    </row>
    <row r="431" spans="1:14" x14ac:dyDescent="0.25">
      <c r="A431" s="21" t="s">
        <v>9075</v>
      </c>
      <c r="B431" s="22" t="s">
        <v>9076</v>
      </c>
      <c r="C431" s="2">
        <v>1</v>
      </c>
      <c r="D431" s="23">
        <v>9.99</v>
      </c>
      <c r="E431" s="3">
        <v>9.99</v>
      </c>
      <c r="F431" s="2" t="s">
        <v>16396</v>
      </c>
      <c r="G431" s="22" t="s">
        <v>19431</v>
      </c>
      <c r="H431" s="24" t="s">
        <v>20089</v>
      </c>
      <c r="I431" s="22" t="s">
        <v>19309</v>
      </c>
      <c r="J431" s="22" t="s">
        <v>19849</v>
      </c>
      <c r="K431" s="22" t="s">
        <v>19850</v>
      </c>
      <c r="L431" s="22"/>
      <c r="M431" s="22"/>
      <c r="N431" s="25" t="str">
        <f>HYPERLINK("http://slimages.macys.com/is/image/MCY/19068331 ")</f>
        <v xml:space="preserve">http://slimages.macys.com/is/image/MCY/19068331 </v>
      </c>
    </row>
    <row r="432" spans="1:14" ht="24.75" x14ac:dyDescent="0.25">
      <c r="A432" s="21" t="s">
        <v>18800</v>
      </c>
      <c r="B432" s="22" t="s">
        <v>18801</v>
      </c>
      <c r="C432" s="2">
        <v>1</v>
      </c>
      <c r="D432" s="23">
        <v>10.99</v>
      </c>
      <c r="E432" s="3">
        <v>10.99</v>
      </c>
      <c r="F432" s="2" t="s">
        <v>18802</v>
      </c>
      <c r="G432" s="22" t="s">
        <v>18439</v>
      </c>
      <c r="H432" s="24" t="s">
        <v>19797</v>
      </c>
      <c r="I432" s="22" t="s">
        <v>19309</v>
      </c>
      <c r="J432" s="22" t="s">
        <v>19353</v>
      </c>
      <c r="K432" s="22" t="s">
        <v>19524</v>
      </c>
      <c r="L432" s="22"/>
      <c r="M432" s="22"/>
      <c r="N432" s="25" t="str">
        <f>HYPERLINK("http://slimages.macys.com/is/image/MCY/21694557 ")</f>
        <v xml:space="preserve">http://slimages.macys.com/is/image/MCY/21694557 </v>
      </c>
    </row>
    <row r="433" spans="1:14" ht="24.75" x14ac:dyDescent="0.25">
      <c r="A433" s="21" t="s">
        <v>9077</v>
      </c>
      <c r="B433" s="22" t="s">
        <v>9078</v>
      </c>
      <c r="C433" s="2">
        <v>1</v>
      </c>
      <c r="D433" s="23">
        <v>10.99</v>
      </c>
      <c r="E433" s="3">
        <v>10.99</v>
      </c>
      <c r="F433" s="2" t="s">
        <v>9079</v>
      </c>
      <c r="G433" s="22" t="s">
        <v>19462</v>
      </c>
      <c r="H433" s="24" t="s">
        <v>19339</v>
      </c>
      <c r="I433" s="22" t="s">
        <v>19309</v>
      </c>
      <c r="J433" s="22" t="s">
        <v>19353</v>
      </c>
      <c r="K433" s="22" t="s">
        <v>19524</v>
      </c>
      <c r="L433" s="22"/>
      <c r="M433" s="22"/>
      <c r="N433" s="25" t="str">
        <f>HYPERLINK("http://slimages.macys.com/is/image/MCY/21233421 ")</f>
        <v xml:space="preserve">http://slimages.macys.com/is/image/MCY/21233421 </v>
      </c>
    </row>
    <row r="434" spans="1:14" x14ac:dyDescent="0.25">
      <c r="A434" s="21" t="s">
        <v>9080</v>
      </c>
      <c r="B434" s="22" t="s">
        <v>9081</v>
      </c>
      <c r="C434" s="2">
        <v>1</v>
      </c>
      <c r="D434" s="23">
        <v>8.99</v>
      </c>
      <c r="E434" s="3">
        <v>8.99</v>
      </c>
      <c r="F434" s="2" t="s">
        <v>16396</v>
      </c>
      <c r="G434" s="22" t="s">
        <v>19618</v>
      </c>
      <c r="H434" s="24" t="s">
        <v>19377</v>
      </c>
      <c r="I434" s="22" t="s">
        <v>19309</v>
      </c>
      <c r="J434" s="22" t="s">
        <v>19849</v>
      </c>
      <c r="K434" s="22" t="s">
        <v>19850</v>
      </c>
      <c r="L434" s="22"/>
      <c r="M434" s="22"/>
      <c r="N434" s="25" t="str">
        <f>HYPERLINK("http://slimages.macys.com/is/image/MCY/19068331 ")</f>
        <v xml:space="preserve">http://slimages.macys.com/is/image/MCY/19068331 </v>
      </c>
    </row>
    <row r="435" spans="1:14" x14ac:dyDescent="0.25">
      <c r="A435" s="21" t="s">
        <v>16397</v>
      </c>
      <c r="B435" s="22" t="s">
        <v>16398</v>
      </c>
      <c r="C435" s="2">
        <v>1</v>
      </c>
      <c r="D435" s="23">
        <v>8.99</v>
      </c>
      <c r="E435" s="3">
        <v>8.99</v>
      </c>
      <c r="F435" s="2" t="s">
        <v>16396</v>
      </c>
      <c r="G435" s="22" t="s">
        <v>19618</v>
      </c>
      <c r="H435" s="24" t="s">
        <v>19542</v>
      </c>
      <c r="I435" s="22" t="s">
        <v>19309</v>
      </c>
      <c r="J435" s="22" t="s">
        <v>19849</v>
      </c>
      <c r="K435" s="22" t="s">
        <v>19850</v>
      </c>
      <c r="L435" s="22"/>
      <c r="M435" s="22"/>
      <c r="N435" s="25" t="str">
        <f>HYPERLINK("http://slimages.macys.com/is/image/MCY/19068331 ")</f>
        <v xml:space="preserve">http://slimages.macys.com/is/image/MCY/19068331 </v>
      </c>
    </row>
    <row r="436" spans="1:14" ht="24.75" x14ac:dyDescent="0.25">
      <c r="A436" s="21" t="s">
        <v>9082</v>
      </c>
      <c r="B436" s="22" t="s">
        <v>9083</v>
      </c>
      <c r="C436" s="2">
        <v>1</v>
      </c>
      <c r="D436" s="23">
        <v>10.99</v>
      </c>
      <c r="E436" s="3">
        <v>10.99</v>
      </c>
      <c r="F436" s="2" t="s">
        <v>18802</v>
      </c>
      <c r="G436" s="22" t="s">
        <v>18439</v>
      </c>
      <c r="H436" s="24" t="s">
        <v>19364</v>
      </c>
      <c r="I436" s="22" t="s">
        <v>19309</v>
      </c>
      <c r="J436" s="22" t="s">
        <v>19353</v>
      </c>
      <c r="K436" s="22" t="s">
        <v>19524</v>
      </c>
      <c r="L436" s="22"/>
      <c r="M436" s="22"/>
      <c r="N436" s="25" t="str">
        <f>HYPERLINK("http://slimages.macys.com/is/image/MCY/21694557 ")</f>
        <v xml:space="preserve">http://slimages.macys.com/is/image/MCY/21694557 </v>
      </c>
    </row>
    <row r="437" spans="1:14" x14ac:dyDescent="0.25">
      <c r="A437" s="21" t="s">
        <v>9084</v>
      </c>
      <c r="B437" s="22" t="s">
        <v>9085</v>
      </c>
      <c r="C437" s="2">
        <v>1</v>
      </c>
      <c r="D437" s="23">
        <v>9.99</v>
      </c>
      <c r="E437" s="3">
        <v>9.99</v>
      </c>
      <c r="F437" s="2" t="s">
        <v>16800</v>
      </c>
      <c r="G437" s="22" t="s">
        <v>19670</v>
      </c>
      <c r="H437" s="24" t="s">
        <v>19542</v>
      </c>
      <c r="I437" s="22" t="s">
        <v>19309</v>
      </c>
      <c r="J437" s="22" t="s">
        <v>19849</v>
      </c>
      <c r="K437" s="22" t="s">
        <v>19850</v>
      </c>
      <c r="L437" s="22"/>
      <c r="M437" s="22"/>
      <c r="N437" s="25" t="str">
        <f>HYPERLINK("http://slimages.macys.com/is/image/MCY/1449793 ")</f>
        <v xml:space="preserve">http://slimages.macys.com/is/image/MCY/1449793 </v>
      </c>
    </row>
    <row r="438" spans="1:14" x14ac:dyDescent="0.25">
      <c r="A438" s="21" t="s">
        <v>16401</v>
      </c>
      <c r="B438" s="22" t="s">
        <v>16402</v>
      </c>
      <c r="C438" s="2">
        <v>2</v>
      </c>
      <c r="D438" s="23">
        <v>9.99</v>
      </c>
      <c r="E438" s="3">
        <v>19.98</v>
      </c>
      <c r="F438" s="2" t="s">
        <v>16800</v>
      </c>
      <c r="G438" s="22" t="s">
        <v>19670</v>
      </c>
      <c r="H438" s="24" t="s">
        <v>19377</v>
      </c>
      <c r="I438" s="22" t="s">
        <v>19309</v>
      </c>
      <c r="J438" s="22" t="s">
        <v>19849</v>
      </c>
      <c r="K438" s="22" t="s">
        <v>19850</v>
      </c>
      <c r="L438" s="22"/>
      <c r="M438" s="22"/>
      <c r="N438" s="25" t="str">
        <f>HYPERLINK("http://slimages.macys.com/is/image/MCY/20949718 ")</f>
        <v xml:space="preserve">http://slimages.macys.com/is/image/MCY/20949718 </v>
      </c>
    </row>
    <row r="439" spans="1:14" x14ac:dyDescent="0.25">
      <c r="A439" s="21" t="s">
        <v>16403</v>
      </c>
      <c r="B439" s="22" t="s">
        <v>16404</v>
      </c>
      <c r="C439" s="2">
        <v>2</v>
      </c>
      <c r="D439" s="23">
        <v>9.99</v>
      </c>
      <c r="E439" s="3">
        <v>19.98</v>
      </c>
      <c r="F439" s="2" t="s">
        <v>16800</v>
      </c>
      <c r="G439" s="22" t="s">
        <v>19670</v>
      </c>
      <c r="H439" s="24" t="s">
        <v>19361</v>
      </c>
      <c r="I439" s="22" t="s">
        <v>19309</v>
      </c>
      <c r="J439" s="22" t="s">
        <v>19849</v>
      </c>
      <c r="K439" s="22" t="s">
        <v>19850</v>
      </c>
      <c r="L439" s="22"/>
      <c r="M439" s="22"/>
      <c r="N439" s="25" t="str">
        <f>HYPERLINK("http://slimages.macys.com/is/image/MCY/1449793 ")</f>
        <v xml:space="preserve">http://slimages.macys.com/is/image/MCY/1449793 </v>
      </c>
    </row>
    <row r="440" spans="1:14" x14ac:dyDescent="0.25">
      <c r="A440" s="21" t="s">
        <v>16405</v>
      </c>
      <c r="B440" s="22" t="s">
        <v>16406</v>
      </c>
      <c r="C440" s="2">
        <v>2</v>
      </c>
      <c r="D440" s="23">
        <v>9.99</v>
      </c>
      <c r="E440" s="3">
        <v>19.98</v>
      </c>
      <c r="F440" s="2" t="s">
        <v>16800</v>
      </c>
      <c r="G440" s="22" t="s">
        <v>19670</v>
      </c>
      <c r="H440" s="24" t="s">
        <v>19907</v>
      </c>
      <c r="I440" s="22" t="s">
        <v>19309</v>
      </c>
      <c r="J440" s="22" t="s">
        <v>19849</v>
      </c>
      <c r="K440" s="22" t="s">
        <v>19850</v>
      </c>
      <c r="L440" s="22"/>
      <c r="M440" s="22"/>
      <c r="N440" s="25" t="str">
        <f>HYPERLINK("http://slimages.macys.com/is/image/MCY/20949718 ")</f>
        <v xml:space="preserve">http://slimages.macys.com/is/image/MCY/20949718 </v>
      </c>
    </row>
    <row r="441" spans="1:14" x14ac:dyDescent="0.25">
      <c r="A441" s="21" t="s">
        <v>16808</v>
      </c>
      <c r="B441" s="22" t="s">
        <v>16809</v>
      </c>
      <c r="C441" s="2">
        <v>2</v>
      </c>
      <c r="D441" s="23">
        <v>11.99</v>
      </c>
      <c r="E441" s="3">
        <v>23.98</v>
      </c>
      <c r="F441" s="2" t="s">
        <v>16803</v>
      </c>
      <c r="G441" s="22" t="s">
        <v>19670</v>
      </c>
      <c r="H441" s="24" t="s">
        <v>19364</v>
      </c>
      <c r="I441" s="22" t="s">
        <v>19309</v>
      </c>
      <c r="J441" s="22" t="s">
        <v>19849</v>
      </c>
      <c r="K441" s="22" t="s">
        <v>19850</v>
      </c>
      <c r="L441" s="22"/>
      <c r="M441" s="22"/>
      <c r="N441" s="25" t="str">
        <f t="shared" ref="N441:N448" si="3">HYPERLINK("http://slimages.macys.com/is/image/MCY/20752030 ")</f>
        <v xml:space="preserve">http://slimages.macys.com/is/image/MCY/20752030 </v>
      </c>
    </row>
    <row r="442" spans="1:14" x14ac:dyDescent="0.25">
      <c r="A442" s="21" t="s">
        <v>16810</v>
      </c>
      <c r="B442" s="22" t="s">
        <v>16811</v>
      </c>
      <c r="C442" s="2">
        <v>3</v>
      </c>
      <c r="D442" s="23">
        <v>11.99</v>
      </c>
      <c r="E442" s="3">
        <v>35.97</v>
      </c>
      <c r="F442" s="2" t="s">
        <v>16803</v>
      </c>
      <c r="G442" s="22" t="s">
        <v>19431</v>
      </c>
      <c r="H442" s="24" t="s">
        <v>19352</v>
      </c>
      <c r="I442" s="22" t="s">
        <v>19309</v>
      </c>
      <c r="J442" s="22" t="s">
        <v>19849</v>
      </c>
      <c r="K442" s="22" t="s">
        <v>19850</v>
      </c>
      <c r="L442" s="22"/>
      <c r="M442" s="22"/>
      <c r="N442" s="25" t="str">
        <f t="shared" si="3"/>
        <v xml:space="preserve">http://slimages.macys.com/is/image/MCY/20752030 </v>
      </c>
    </row>
    <row r="443" spans="1:14" x14ac:dyDescent="0.25">
      <c r="A443" s="21" t="s">
        <v>16804</v>
      </c>
      <c r="B443" s="22" t="s">
        <v>16805</v>
      </c>
      <c r="C443" s="2">
        <v>3</v>
      </c>
      <c r="D443" s="23">
        <v>11.99</v>
      </c>
      <c r="E443" s="3">
        <v>35.97</v>
      </c>
      <c r="F443" s="2" t="s">
        <v>16803</v>
      </c>
      <c r="G443" s="22" t="s">
        <v>19431</v>
      </c>
      <c r="H443" s="24" t="s">
        <v>19339</v>
      </c>
      <c r="I443" s="22" t="s">
        <v>19309</v>
      </c>
      <c r="J443" s="22" t="s">
        <v>19849</v>
      </c>
      <c r="K443" s="22" t="s">
        <v>19850</v>
      </c>
      <c r="L443" s="22"/>
      <c r="M443" s="22"/>
      <c r="N443" s="25" t="str">
        <f t="shared" si="3"/>
        <v xml:space="preserve">http://slimages.macys.com/is/image/MCY/20752030 </v>
      </c>
    </row>
    <row r="444" spans="1:14" x14ac:dyDescent="0.25">
      <c r="A444" s="21" t="s">
        <v>16816</v>
      </c>
      <c r="B444" s="22" t="s">
        <v>16817</v>
      </c>
      <c r="C444" s="2">
        <v>1</v>
      </c>
      <c r="D444" s="23">
        <v>11.99</v>
      </c>
      <c r="E444" s="3">
        <v>11.99</v>
      </c>
      <c r="F444" s="2" t="s">
        <v>16803</v>
      </c>
      <c r="G444" s="22" t="s">
        <v>19670</v>
      </c>
      <c r="H444" s="24" t="s">
        <v>19352</v>
      </c>
      <c r="I444" s="22" t="s">
        <v>19309</v>
      </c>
      <c r="J444" s="22" t="s">
        <v>19849</v>
      </c>
      <c r="K444" s="22" t="s">
        <v>19850</v>
      </c>
      <c r="L444" s="22"/>
      <c r="M444" s="22"/>
      <c r="N444" s="25" t="str">
        <f t="shared" si="3"/>
        <v xml:space="preserve">http://slimages.macys.com/is/image/MCY/20752030 </v>
      </c>
    </row>
    <row r="445" spans="1:14" x14ac:dyDescent="0.25">
      <c r="A445" s="21" t="s">
        <v>16801</v>
      </c>
      <c r="B445" s="22" t="s">
        <v>16802</v>
      </c>
      <c r="C445" s="2">
        <v>1</v>
      </c>
      <c r="D445" s="23">
        <v>11.99</v>
      </c>
      <c r="E445" s="3">
        <v>11.99</v>
      </c>
      <c r="F445" s="2" t="s">
        <v>16803</v>
      </c>
      <c r="G445" s="22" t="s">
        <v>19431</v>
      </c>
      <c r="H445" s="24" t="s">
        <v>19364</v>
      </c>
      <c r="I445" s="22" t="s">
        <v>19309</v>
      </c>
      <c r="J445" s="22" t="s">
        <v>19849</v>
      </c>
      <c r="K445" s="22" t="s">
        <v>19850</v>
      </c>
      <c r="L445" s="22"/>
      <c r="M445" s="22"/>
      <c r="N445" s="25" t="str">
        <f t="shared" si="3"/>
        <v xml:space="preserve">http://slimages.macys.com/is/image/MCY/20752030 </v>
      </c>
    </row>
    <row r="446" spans="1:14" x14ac:dyDescent="0.25">
      <c r="A446" s="21" t="s">
        <v>16812</v>
      </c>
      <c r="B446" s="22" t="s">
        <v>16813</v>
      </c>
      <c r="C446" s="2">
        <v>1</v>
      </c>
      <c r="D446" s="23">
        <v>11.99</v>
      </c>
      <c r="E446" s="3">
        <v>11.99</v>
      </c>
      <c r="F446" s="2" t="s">
        <v>16803</v>
      </c>
      <c r="G446" s="22" t="s">
        <v>19431</v>
      </c>
      <c r="H446" s="24" t="s">
        <v>19797</v>
      </c>
      <c r="I446" s="22" t="s">
        <v>19309</v>
      </c>
      <c r="J446" s="22" t="s">
        <v>19849</v>
      </c>
      <c r="K446" s="22" t="s">
        <v>19850</v>
      </c>
      <c r="L446" s="22"/>
      <c r="M446" s="22"/>
      <c r="N446" s="25" t="str">
        <f t="shared" si="3"/>
        <v xml:space="preserve">http://slimages.macys.com/is/image/MCY/20752030 </v>
      </c>
    </row>
    <row r="447" spans="1:14" x14ac:dyDescent="0.25">
      <c r="A447" s="21" t="s">
        <v>16818</v>
      </c>
      <c r="B447" s="22" t="s">
        <v>16819</v>
      </c>
      <c r="C447" s="2">
        <v>1</v>
      </c>
      <c r="D447" s="23">
        <v>11.99</v>
      </c>
      <c r="E447" s="3">
        <v>11.99</v>
      </c>
      <c r="F447" s="2" t="s">
        <v>16803</v>
      </c>
      <c r="G447" s="22" t="s">
        <v>19670</v>
      </c>
      <c r="H447" s="24" t="s">
        <v>19797</v>
      </c>
      <c r="I447" s="22" t="s">
        <v>19309</v>
      </c>
      <c r="J447" s="22" t="s">
        <v>19849</v>
      </c>
      <c r="K447" s="22" t="s">
        <v>19850</v>
      </c>
      <c r="L447" s="22"/>
      <c r="M447" s="22"/>
      <c r="N447" s="25" t="str">
        <f t="shared" si="3"/>
        <v xml:space="preserve">http://slimages.macys.com/is/image/MCY/20752030 </v>
      </c>
    </row>
    <row r="448" spans="1:14" x14ac:dyDescent="0.25">
      <c r="A448" s="21" t="s">
        <v>9086</v>
      </c>
      <c r="B448" s="22" t="s">
        <v>9087</v>
      </c>
      <c r="C448" s="2">
        <v>1</v>
      </c>
      <c r="D448" s="23">
        <v>11.99</v>
      </c>
      <c r="E448" s="3">
        <v>11.99</v>
      </c>
      <c r="F448" s="2" t="s">
        <v>16803</v>
      </c>
      <c r="G448" s="22" t="s">
        <v>19670</v>
      </c>
      <c r="H448" s="24" t="s">
        <v>19339</v>
      </c>
      <c r="I448" s="22" t="s">
        <v>19309</v>
      </c>
      <c r="J448" s="22" t="s">
        <v>19849</v>
      </c>
      <c r="K448" s="22" t="s">
        <v>19850</v>
      </c>
      <c r="L448" s="22"/>
      <c r="M448" s="22"/>
      <c r="N448" s="25" t="str">
        <f t="shared" si="3"/>
        <v xml:space="preserve">http://slimages.macys.com/is/image/MCY/20752030 </v>
      </c>
    </row>
    <row r="449" spans="1:14" ht="24.75" x14ac:dyDescent="0.25">
      <c r="A449" s="21" t="s">
        <v>9088</v>
      </c>
      <c r="B449" s="22" t="s">
        <v>9089</v>
      </c>
      <c r="C449" s="2">
        <v>1</v>
      </c>
      <c r="D449" s="23">
        <v>9.4</v>
      </c>
      <c r="E449" s="3">
        <v>9.4</v>
      </c>
      <c r="F449" s="2" t="s">
        <v>9090</v>
      </c>
      <c r="G449" s="22" t="s">
        <v>19467</v>
      </c>
      <c r="H449" s="24" t="s">
        <v>19997</v>
      </c>
      <c r="I449" s="22" t="s">
        <v>19309</v>
      </c>
      <c r="J449" s="22" t="s">
        <v>19602</v>
      </c>
      <c r="K449" s="22" t="s">
        <v>20041</v>
      </c>
      <c r="L449" s="22"/>
      <c r="M449" s="22"/>
      <c r="N449" s="25" t="str">
        <f>HYPERLINK("http://slimages.macys.com/is/image/MCY/21669818 ")</f>
        <v xml:space="preserve">http://slimages.macys.com/is/image/MCY/21669818 </v>
      </c>
    </row>
    <row r="450" spans="1:14" x14ac:dyDescent="0.25">
      <c r="A450" s="21" t="s">
        <v>9091</v>
      </c>
      <c r="B450" s="22" t="s">
        <v>9092</v>
      </c>
      <c r="C450" s="2">
        <v>2</v>
      </c>
      <c r="D450" s="23">
        <v>11.99</v>
      </c>
      <c r="E450" s="3">
        <v>23.98</v>
      </c>
      <c r="F450" s="2" t="s">
        <v>18817</v>
      </c>
      <c r="G450" s="22" t="s">
        <v>19467</v>
      </c>
      <c r="H450" s="24" t="s">
        <v>19339</v>
      </c>
      <c r="I450" s="22" t="s">
        <v>19309</v>
      </c>
      <c r="J450" s="22" t="s">
        <v>19849</v>
      </c>
      <c r="K450" s="22" t="s">
        <v>19850</v>
      </c>
      <c r="L450" s="22"/>
      <c r="M450" s="22"/>
      <c r="N450" s="25" t="str">
        <f>HYPERLINK("http://slimages.macys.com/is/image/MCY/21080469 ")</f>
        <v xml:space="preserve">http://slimages.macys.com/is/image/MCY/21080469 </v>
      </c>
    </row>
    <row r="451" spans="1:14" x14ac:dyDescent="0.25">
      <c r="A451" s="21" t="s">
        <v>18815</v>
      </c>
      <c r="B451" s="22" t="s">
        <v>18816</v>
      </c>
      <c r="C451" s="2">
        <v>1</v>
      </c>
      <c r="D451" s="23">
        <v>11.99</v>
      </c>
      <c r="E451" s="3">
        <v>11.99</v>
      </c>
      <c r="F451" s="2" t="s">
        <v>18817</v>
      </c>
      <c r="G451" s="22" t="s">
        <v>19467</v>
      </c>
      <c r="H451" s="24" t="s">
        <v>19797</v>
      </c>
      <c r="I451" s="22" t="s">
        <v>19309</v>
      </c>
      <c r="J451" s="22" t="s">
        <v>19849</v>
      </c>
      <c r="K451" s="22" t="s">
        <v>19850</v>
      </c>
      <c r="L451" s="22"/>
      <c r="M451" s="22"/>
      <c r="N451" s="25" t="str">
        <f>HYPERLINK("http://slimages.macys.com/is/image/MCY/21080469 ")</f>
        <v xml:space="preserve">http://slimages.macys.com/is/image/MCY/21080469 </v>
      </c>
    </row>
    <row r="452" spans="1:14" x14ac:dyDescent="0.25">
      <c r="A452" s="21" t="s">
        <v>10016</v>
      </c>
      <c r="B452" s="22" t="s">
        <v>10017</v>
      </c>
      <c r="C452" s="2">
        <v>2</v>
      </c>
      <c r="D452" s="23">
        <v>11.99</v>
      </c>
      <c r="E452" s="3">
        <v>23.98</v>
      </c>
      <c r="F452" s="2" t="s">
        <v>18817</v>
      </c>
      <c r="G452" s="22" t="s">
        <v>19467</v>
      </c>
      <c r="H452" s="24" t="s">
        <v>19352</v>
      </c>
      <c r="I452" s="22" t="s">
        <v>19309</v>
      </c>
      <c r="J452" s="22" t="s">
        <v>19849</v>
      </c>
      <c r="K452" s="22" t="s">
        <v>19850</v>
      </c>
      <c r="L452" s="22"/>
      <c r="M452" s="22"/>
      <c r="N452" s="25" t="str">
        <f>HYPERLINK("http://slimages.macys.com/is/image/MCY/21080469 ")</f>
        <v xml:space="preserve">http://slimages.macys.com/is/image/MCY/21080469 </v>
      </c>
    </row>
    <row r="453" spans="1:14" ht="24.75" x14ac:dyDescent="0.25">
      <c r="A453" s="21" t="s">
        <v>9093</v>
      </c>
      <c r="B453" s="22" t="s">
        <v>9094</v>
      </c>
      <c r="C453" s="2">
        <v>1</v>
      </c>
      <c r="D453" s="23">
        <v>11.99</v>
      </c>
      <c r="E453" s="3">
        <v>11.99</v>
      </c>
      <c r="F453" s="2" t="s">
        <v>18820</v>
      </c>
      <c r="G453" s="22" t="s">
        <v>18821</v>
      </c>
      <c r="H453" s="24"/>
      <c r="I453" s="22" t="s">
        <v>19309</v>
      </c>
      <c r="J453" s="22" t="s">
        <v>20076</v>
      </c>
      <c r="K453" s="22" t="s">
        <v>18822</v>
      </c>
      <c r="L453" s="22"/>
      <c r="M453" s="22"/>
      <c r="N453" s="25" t="str">
        <f>HYPERLINK("http://slimages.macys.com/is/image/MCY/21333000 ")</f>
        <v xml:space="preserve">http://slimages.macys.com/is/image/MCY/21333000 </v>
      </c>
    </row>
    <row r="454" spans="1:14" x14ac:dyDescent="0.25">
      <c r="A454" s="21" t="s">
        <v>9095</v>
      </c>
      <c r="B454" s="22" t="s">
        <v>9096</v>
      </c>
      <c r="C454" s="2">
        <v>1</v>
      </c>
      <c r="D454" s="23">
        <v>7.99</v>
      </c>
      <c r="E454" s="3">
        <v>7.99</v>
      </c>
      <c r="F454" s="2" t="s">
        <v>16840</v>
      </c>
      <c r="G454" s="22" t="s">
        <v>19431</v>
      </c>
      <c r="H454" s="24" t="s">
        <v>19907</v>
      </c>
      <c r="I454" s="22" t="s">
        <v>19309</v>
      </c>
      <c r="J454" s="22" t="s">
        <v>19849</v>
      </c>
      <c r="K454" s="22" t="s">
        <v>19850</v>
      </c>
      <c r="L454" s="22"/>
      <c r="M454" s="22"/>
      <c r="N454" s="25" t="str">
        <f>HYPERLINK("http://slimages.macys.com/is/image/MCY/19068277 ")</f>
        <v xml:space="preserve">http://slimages.macys.com/is/image/MCY/19068277 </v>
      </c>
    </row>
    <row r="455" spans="1:14" x14ac:dyDescent="0.25">
      <c r="A455" s="21" t="s">
        <v>13365</v>
      </c>
      <c r="B455" s="22" t="s">
        <v>13366</v>
      </c>
      <c r="C455" s="2">
        <v>1</v>
      </c>
      <c r="D455" s="23">
        <v>7.99</v>
      </c>
      <c r="E455" s="3">
        <v>7.99</v>
      </c>
      <c r="F455" s="2" t="s">
        <v>16840</v>
      </c>
      <c r="G455" s="22" t="s">
        <v>19431</v>
      </c>
      <c r="H455" s="24" t="s">
        <v>19542</v>
      </c>
      <c r="I455" s="22" t="s">
        <v>19309</v>
      </c>
      <c r="J455" s="22" t="s">
        <v>19849</v>
      </c>
      <c r="K455" s="22" t="s">
        <v>19850</v>
      </c>
      <c r="L455" s="22"/>
      <c r="M455" s="22"/>
      <c r="N455" s="25" t="str">
        <f>HYPERLINK("http://slimages.macys.com/is/image/MCY/19068277 ")</f>
        <v xml:space="preserve">http://slimages.macys.com/is/image/MCY/19068277 </v>
      </c>
    </row>
    <row r="456" spans="1:14" x14ac:dyDescent="0.25">
      <c r="A456" s="21" t="s">
        <v>9097</v>
      </c>
      <c r="B456" s="22" t="s">
        <v>9098</v>
      </c>
      <c r="C456" s="2">
        <v>2</v>
      </c>
      <c r="D456" s="23">
        <v>6.99</v>
      </c>
      <c r="E456" s="3">
        <v>13.98</v>
      </c>
      <c r="F456" s="2" t="s">
        <v>18841</v>
      </c>
      <c r="G456" s="22" t="s">
        <v>19674</v>
      </c>
      <c r="H456" s="24" t="s">
        <v>19352</v>
      </c>
      <c r="I456" s="22" t="s">
        <v>19309</v>
      </c>
      <c r="J456" s="22" t="s">
        <v>19849</v>
      </c>
      <c r="K456" s="22" t="s">
        <v>19850</v>
      </c>
      <c r="L456" s="22"/>
      <c r="M456" s="22"/>
      <c r="N456" s="25" t="str">
        <f>HYPERLINK("http://slimages.macys.com/is/image/MCY/19965819 ")</f>
        <v xml:space="preserve">http://slimages.macys.com/is/image/MCY/19965819 </v>
      </c>
    </row>
    <row r="457" spans="1:14" x14ac:dyDescent="0.25">
      <c r="A457" s="21" t="s">
        <v>10034</v>
      </c>
      <c r="B457" s="22" t="s">
        <v>10035</v>
      </c>
      <c r="C457" s="2">
        <v>5</v>
      </c>
      <c r="D457" s="23">
        <v>6.99</v>
      </c>
      <c r="E457" s="3">
        <v>34.950000000000003</v>
      </c>
      <c r="F457" s="2" t="s">
        <v>18841</v>
      </c>
      <c r="G457" s="22" t="s">
        <v>19467</v>
      </c>
      <c r="H457" s="24" t="s">
        <v>19339</v>
      </c>
      <c r="I457" s="22" t="s">
        <v>19309</v>
      </c>
      <c r="J457" s="22" t="s">
        <v>19849</v>
      </c>
      <c r="K457" s="22" t="s">
        <v>19850</v>
      </c>
      <c r="L457" s="22"/>
      <c r="M457" s="22"/>
      <c r="N457" s="25" t="str">
        <f>HYPERLINK("http://slimages.macys.com/is/image/MCY/19965819 ")</f>
        <v xml:space="preserve">http://slimages.macys.com/is/image/MCY/19965819 </v>
      </c>
    </row>
    <row r="458" spans="1:14" x14ac:dyDescent="0.25">
      <c r="A458" s="21" t="s">
        <v>9099</v>
      </c>
      <c r="B458" s="22" t="s">
        <v>9100</v>
      </c>
      <c r="C458" s="2">
        <v>1</v>
      </c>
      <c r="D458" s="23">
        <v>6.99</v>
      </c>
      <c r="E458" s="3">
        <v>6.99</v>
      </c>
      <c r="F458" s="2" t="s">
        <v>18841</v>
      </c>
      <c r="G458" s="22" t="s">
        <v>19618</v>
      </c>
      <c r="H458" s="24" t="s">
        <v>19339</v>
      </c>
      <c r="I458" s="22" t="s">
        <v>19309</v>
      </c>
      <c r="J458" s="22" t="s">
        <v>19849</v>
      </c>
      <c r="K458" s="22" t="s">
        <v>19850</v>
      </c>
      <c r="L458" s="22"/>
      <c r="M458" s="22"/>
      <c r="N458" s="25" t="str">
        <f>HYPERLINK("http://slimages.macys.com/is/image/MCY/19965819 ")</f>
        <v xml:space="preserve">http://slimages.macys.com/is/image/MCY/19965819 </v>
      </c>
    </row>
    <row r="459" spans="1:14" x14ac:dyDescent="0.25">
      <c r="A459" s="21" t="s">
        <v>9101</v>
      </c>
      <c r="B459" s="22" t="s">
        <v>9102</v>
      </c>
      <c r="C459" s="2">
        <v>3</v>
      </c>
      <c r="D459" s="23">
        <v>6.99</v>
      </c>
      <c r="E459" s="3">
        <v>20.97</v>
      </c>
      <c r="F459" s="2" t="s">
        <v>18841</v>
      </c>
      <c r="G459" s="22" t="s">
        <v>19618</v>
      </c>
      <c r="H459" s="24" t="s">
        <v>19364</v>
      </c>
      <c r="I459" s="22" t="s">
        <v>19309</v>
      </c>
      <c r="J459" s="22" t="s">
        <v>19849</v>
      </c>
      <c r="K459" s="22" t="s">
        <v>19850</v>
      </c>
      <c r="L459" s="22"/>
      <c r="M459" s="22"/>
      <c r="N459" s="25" t="str">
        <f>HYPERLINK("http://slimages.macys.com/is/image/MCY/19068307 ")</f>
        <v xml:space="preserve">http://slimages.macys.com/is/image/MCY/19068307 </v>
      </c>
    </row>
    <row r="460" spans="1:14" ht="24.75" x14ac:dyDescent="0.25">
      <c r="A460" s="21" t="s">
        <v>9103</v>
      </c>
      <c r="B460" s="22" t="s">
        <v>9104</v>
      </c>
      <c r="C460" s="2">
        <v>1</v>
      </c>
      <c r="D460" s="23">
        <v>18.11</v>
      </c>
      <c r="E460" s="3">
        <v>18.11</v>
      </c>
      <c r="F460" s="2" t="s">
        <v>18841</v>
      </c>
      <c r="G460" s="22" t="s">
        <v>19955</v>
      </c>
      <c r="H460" s="24" t="s">
        <v>19364</v>
      </c>
      <c r="I460" s="22" t="s">
        <v>19309</v>
      </c>
      <c r="J460" s="22" t="s">
        <v>19849</v>
      </c>
      <c r="K460" s="22" t="s">
        <v>19850</v>
      </c>
      <c r="L460" s="22"/>
      <c r="M460" s="22"/>
      <c r="N460" s="25" t="str">
        <f>HYPERLINK("http://slimages.macys.com/is/image/MCY/22503910 ")</f>
        <v xml:space="preserve">http://slimages.macys.com/is/image/MCY/22503910 </v>
      </c>
    </row>
    <row r="461" spans="1:14" x14ac:dyDescent="0.25">
      <c r="A461" s="21" t="s">
        <v>18842</v>
      </c>
      <c r="B461" s="22" t="s">
        <v>18843</v>
      </c>
      <c r="C461" s="2">
        <v>2</v>
      </c>
      <c r="D461" s="23">
        <v>6.99</v>
      </c>
      <c r="E461" s="3">
        <v>13.98</v>
      </c>
      <c r="F461" s="2" t="s">
        <v>18841</v>
      </c>
      <c r="G461" s="22" t="s">
        <v>19674</v>
      </c>
      <c r="H461" s="24" t="s">
        <v>19364</v>
      </c>
      <c r="I461" s="22" t="s">
        <v>19309</v>
      </c>
      <c r="J461" s="22" t="s">
        <v>19849</v>
      </c>
      <c r="K461" s="22" t="s">
        <v>19850</v>
      </c>
      <c r="L461" s="22"/>
      <c r="M461" s="22"/>
      <c r="N461" s="25" t="str">
        <f>HYPERLINK("http://slimages.macys.com/is/image/MCY/19068309 ")</f>
        <v xml:space="preserve">http://slimages.macys.com/is/image/MCY/19068309 </v>
      </c>
    </row>
    <row r="462" spans="1:14" x14ac:dyDescent="0.25">
      <c r="A462" s="21" t="s">
        <v>9105</v>
      </c>
      <c r="B462" s="22" t="s">
        <v>9106</v>
      </c>
      <c r="C462" s="2">
        <v>4</v>
      </c>
      <c r="D462" s="23">
        <v>6.99</v>
      </c>
      <c r="E462" s="3">
        <v>27.96</v>
      </c>
      <c r="F462" s="2" t="s">
        <v>18841</v>
      </c>
      <c r="G462" s="22" t="s">
        <v>19467</v>
      </c>
      <c r="H462" s="24" t="s">
        <v>19364</v>
      </c>
      <c r="I462" s="22" t="s">
        <v>19309</v>
      </c>
      <c r="J462" s="22" t="s">
        <v>19849</v>
      </c>
      <c r="K462" s="22" t="s">
        <v>19850</v>
      </c>
      <c r="L462" s="22"/>
      <c r="M462" s="22"/>
      <c r="N462" s="25" t="str">
        <f>HYPERLINK("http://slimages.macys.com/is/image/MCY/19068309 ")</f>
        <v xml:space="preserve">http://slimages.macys.com/is/image/MCY/19068309 </v>
      </c>
    </row>
    <row r="463" spans="1:14" ht="24.75" x14ac:dyDescent="0.25">
      <c r="A463" s="21" t="s">
        <v>9107</v>
      </c>
      <c r="B463" s="22" t="s">
        <v>9108</v>
      </c>
      <c r="C463" s="2">
        <v>1</v>
      </c>
      <c r="D463" s="23">
        <v>6.99</v>
      </c>
      <c r="E463" s="3">
        <v>6.99</v>
      </c>
      <c r="F463" s="2" t="s">
        <v>18841</v>
      </c>
      <c r="G463" s="22" t="s">
        <v>19618</v>
      </c>
      <c r="H463" s="24" t="s">
        <v>19352</v>
      </c>
      <c r="I463" s="22" t="s">
        <v>19309</v>
      </c>
      <c r="J463" s="22" t="s">
        <v>19849</v>
      </c>
      <c r="K463" s="22" t="s">
        <v>19850</v>
      </c>
      <c r="L463" s="22"/>
      <c r="M463" s="22"/>
      <c r="N463" s="25" t="str">
        <f>HYPERLINK("http://slimages.macys.com/is/image/MCY/19068307 ")</f>
        <v xml:space="preserve">http://slimages.macys.com/is/image/MCY/19068307 </v>
      </c>
    </row>
    <row r="464" spans="1:14" x14ac:dyDescent="0.25">
      <c r="A464" s="21" t="s">
        <v>9109</v>
      </c>
      <c r="B464" s="22" t="s">
        <v>9110</v>
      </c>
      <c r="C464" s="2">
        <v>2</v>
      </c>
      <c r="D464" s="23">
        <v>6.99</v>
      </c>
      <c r="E464" s="3">
        <v>13.98</v>
      </c>
      <c r="F464" s="2" t="s">
        <v>18841</v>
      </c>
      <c r="G464" s="22" t="s">
        <v>19618</v>
      </c>
      <c r="H464" s="24" t="s">
        <v>19797</v>
      </c>
      <c r="I464" s="22" t="s">
        <v>19309</v>
      </c>
      <c r="J464" s="22" t="s">
        <v>19849</v>
      </c>
      <c r="K464" s="22" t="s">
        <v>19850</v>
      </c>
      <c r="L464" s="22"/>
      <c r="M464" s="22"/>
      <c r="N464" s="25" t="str">
        <f>HYPERLINK("http://slimages.macys.com/is/image/MCY/19068309 ")</f>
        <v xml:space="preserve">http://slimages.macys.com/is/image/MCY/19068309 </v>
      </c>
    </row>
    <row r="465" spans="1:14" x14ac:dyDescent="0.25">
      <c r="A465" s="21" t="s">
        <v>9111</v>
      </c>
      <c r="B465" s="22" t="s">
        <v>9112</v>
      </c>
      <c r="C465" s="2">
        <v>1</v>
      </c>
      <c r="D465" s="23">
        <v>6.99</v>
      </c>
      <c r="E465" s="3">
        <v>6.99</v>
      </c>
      <c r="F465" s="2" t="s">
        <v>18841</v>
      </c>
      <c r="G465" s="22" t="s">
        <v>19674</v>
      </c>
      <c r="H465" s="24" t="s">
        <v>19797</v>
      </c>
      <c r="I465" s="22" t="s">
        <v>19309</v>
      </c>
      <c r="J465" s="22" t="s">
        <v>19849</v>
      </c>
      <c r="K465" s="22" t="s">
        <v>19850</v>
      </c>
      <c r="L465" s="22"/>
      <c r="M465" s="22"/>
      <c r="N465" s="25" t="str">
        <f>HYPERLINK("http://slimages.macys.com/is/image/MCY/19068309 ")</f>
        <v xml:space="preserve">http://slimages.macys.com/is/image/MCY/19068309 </v>
      </c>
    </row>
    <row r="466" spans="1:14" x14ac:dyDescent="0.25">
      <c r="A466" s="21" t="s">
        <v>18844</v>
      </c>
      <c r="B466" s="22" t="s">
        <v>18845</v>
      </c>
      <c r="C466" s="2">
        <v>4</v>
      </c>
      <c r="D466" s="23">
        <v>6.99</v>
      </c>
      <c r="E466" s="3">
        <v>27.96</v>
      </c>
      <c r="F466" s="2" t="s">
        <v>18841</v>
      </c>
      <c r="G466" s="22" t="s">
        <v>19467</v>
      </c>
      <c r="H466" s="24" t="s">
        <v>19797</v>
      </c>
      <c r="I466" s="22" t="s">
        <v>19309</v>
      </c>
      <c r="J466" s="22" t="s">
        <v>19849</v>
      </c>
      <c r="K466" s="22" t="s">
        <v>19850</v>
      </c>
      <c r="L466" s="22"/>
      <c r="M466" s="22"/>
      <c r="N466" s="25" t="str">
        <f>HYPERLINK("http://slimages.macys.com/is/image/MCY/19965819 ")</f>
        <v xml:space="preserve">http://slimages.macys.com/is/image/MCY/19965819 </v>
      </c>
    </row>
    <row r="467" spans="1:14" ht="24.75" x14ac:dyDescent="0.25">
      <c r="A467" s="21" t="s">
        <v>9113</v>
      </c>
      <c r="B467" s="22" t="s">
        <v>9114</v>
      </c>
      <c r="C467" s="2">
        <v>2</v>
      </c>
      <c r="D467" s="23">
        <v>6.99</v>
      </c>
      <c r="E467" s="3">
        <v>13.98</v>
      </c>
      <c r="F467" s="2" t="s">
        <v>18841</v>
      </c>
      <c r="G467" s="22" t="s">
        <v>19955</v>
      </c>
      <c r="H467" s="24" t="s">
        <v>19797</v>
      </c>
      <c r="I467" s="22" t="s">
        <v>19309</v>
      </c>
      <c r="J467" s="22" t="s">
        <v>19849</v>
      </c>
      <c r="K467" s="22" t="s">
        <v>19850</v>
      </c>
      <c r="L467" s="22"/>
      <c r="M467" s="22"/>
      <c r="N467" s="25" t="str">
        <f>HYPERLINK("http://slimages.macys.com/is/image/MCY/22503910 ")</f>
        <v xml:space="preserve">http://slimages.macys.com/is/image/MCY/22503910 </v>
      </c>
    </row>
    <row r="468" spans="1:14" x14ac:dyDescent="0.25">
      <c r="A468" s="21" t="s">
        <v>18839</v>
      </c>
      <c r="B468" s="22" t="s">
        <v>18840</v>
      </c>
      <c r="C468" s="2">
        <v>5</v>
      </c>
      <c r="D468" s="23">
        <v>6.99</v>
      </c>
      <c r="E468" s="3">
        <v>34.950000000000003</v>
      </c>
      <c r="F468" s="2" t="s">
        <v>18841</v>
      </c>
      <c r="G468" s="22" t="s">
        <v>19467</v>
      </c>
      <c r="H468" s="24" t="s">
        <v>19352</v>
      </c>
      <c r="I468" s="22" t="s">
        <v>19309</v>
      </c>
      <c r="J468" s="22" t="s">
        <v>19849</v>
      </c>
      <c r="K468" s="22" t="s">
        <v>19850</v>
      </c>
      <c r="L468" s="22"/>
      <c r="M468" s="22"/>
      <c r="N468" s="25" t="str">
        <f>HYPERLINK("http://slimages.macys.com/is/image/MCY/19965819 ")</f>
        <v xml:space="preserve">http://slimages.macys.com/is/image/MCY/19965819 </v>
      </c>
    </row>
    <row r="469" spans="1:14" x14ac:dyDescent="0.25">
      <c r="A469" s="21" t="s">
        <v>9115</v>
      </c>
      <c r="B469" s="22" t="s">
        <v>9116</v>
      </c>
      <c r="C469" s="2">
        <v>2</v>
      </c>
      <c r="D469" s="23">
        <v>11.99</v>
      </c>
      <c r="E469" s="3">
        <v>23.98</v>
      </c>
      <c r="F469" s="2" t="s">
        <v>16849</v>
      </c>
      <c r="G469" s="22" t="s">
        <v>19674</v>
      </c>
      <c r="H469" s="24" t="s">
        <v>19339</v>
      </c>
      <c r="I469" s="22" t="s">
        <v>19309</v>
      </c>
      <c r="J469" s="22" t="s">
        <v>19849</v>
      </c>
      <c r="K469" s="22" t="s">
        <v>19850</v>
      </c>
      <c r="L469" s="22"/>
      <c r="M469" s="22"/>
      <c r="N469" s="25" t="str">
        <f>HYPERLINK("http://slimages.macys.com/is/image/MCY/1523123 ")</f>
        <v xml:space="preserve">http://slimages.macys.com/is/image/MCY/1523123 </v>
      </c>
    </row>
    <row r="470" spans="1:14" x14ac:dyDescent="0.25">
      <c r="A470" s="21" t="s">
        <v>16440</v>
      </c>
      <c r="B470" s="22" t="s">
        <v>16441</v>
      </c>
      <c r="C470" s="2">
        <v>2</v>
      </c>
      <c r="D470" s="23">
        <v>11.99</v>
      </c>
      <c r="E470" s="3">
        <v>23.98</v>
      </c>
      <c r="F470" s="2" t="s">
        <v>16849</v>
      </c>
      <c r="G470" s="22" t="s">
        <v>19674</v>
      </c>
      <c r="H470" s="24" t="s">
        <v>19352</v>
      </c>
      <c r="I470" s="22" t="s">
        <v>19309</v>
      </c>
      <c r="J470" s="22" t="s">
        <v>19849</v>
      </c>
      <c r="K470" s="22" t="s">
        <v>19850</v>
      </c>
      <c r="L470" s="22"/>
      <c r="M470" s="22"/>
      <c r="N470" s="25" t="str">
        <f>HYPERLINK("http://slimages.macys.com/is/image/MCY/1523123 ")</f>
        <v xml:space="preserve">http://slimages.macys.com/is/image/MCY/1523123 </v>
      </c>
    </row>
    <row r="471" spans="1:14" x14ac:dyDescent="0.25">
      <c r="A471" s="21" t="s">
        <v>9117</v>
      </c>
      <c r="B471" s="22" t="s">
        <v>9118</v>
      </c>
      <c r="C471" s="2">
        <v>1</v>
      </c>
      <c r="D471" s="23">
        <v>7.99</v>
      </c>
      <c r="E471" s="3">
        <v>7.99</v>
      </c>
      <c r="F471" s="2" t="s">
        <v>9119</v>
      </c>
      <c r="G471" s="22" t="s">
        <v>19431</v>
      </c>
      <c r="H471" s="24" t="s">
        <v>19361</v>
      </c>
      <c r="I471" s="22" t="s">
        <v>19309</v>
      </c>
      <c r="J471" s="22" t="s">
        <v>19849</v>
      </c>
      <c r="K471" s="22" t="s">
        <v>19850</v>
      </c>
      <c r="L471" s="22"/>
      <c r="M471" s="22"/>
      <c r="N471" s="25" t="str">
        <f>HYPERLINK("http://slimages.macys.com/is/image/MCY/19068319 ")</f>
        <v xml:space="preserve">http://slimages.macys.com/is/image/MCY/19068319 </v>
      </c>
    </row>
    <row r="472" spans="1:14" x14ac:dyDescent="0.25">
      <c r="A472" s="21" t="s">
        <v>16853</v>
      </c>
      <c r="B472" s="22" t="s">
        <v>16854</v>
      </c>
      <c r="C472" s="2">
        <v>1</v>
      </c>
      <c r="D472" s="23">
        <v>9.99</v>
      </c>
      <c r="E472" s="3">
        <v>9.99</v>
      </c>
      <c r="F472" s="2" t="s">
        <v>16855</v>
      </c>
      <c r="G472" s="22" t="s">
        <v>19674</v>
      </c>
      <c r="H472" s="24" t="s">
        <v>20135</v>
      </c>
      <c r="I472" s="22" t="s">
        <v>19309</v>
      </c>
      <c r="J472" s="22" t="s">
        <v>19849</v>
      </c>
      <c r="K472" s="22" t="s">
        <v>19850</v>
      </c>
      <c r="L472" s="22"/>
      <c r="M472" s="22"/>
      <c r="N472" s="25" t="str">
        <f>HYPERLINK("http://slimages.macys.com/is/image/MCY/20549003 ")</f>
        <v xml:space="preserve">http://slimages.macys.com/is/image/MCY/20549003 </v>
      </c>
    </row>
    <row r="473" spans="1:14" x14ac:dyDescent="0.25">
      <c r="A473" s="21" t="s">
        <v>9120</v>
      </c>
      <c r="B473" s="22" t="s">
        <v>9121</v>
      </c>
      <c r="C473" s="2">
        <v>1</v>
      </c>
      <c r="D473" s="23">
        <v>9.99</v>
      </c>
      <c r="E473" s="3">
        <v>9.99</v>
      </c>
      <c r="F473" s="2" t="s">
        <v>16855</v>
      </c>
      <c r="G473" s="22" t="s">
        <v>19431</v>
      </c>
      <c r="H473" s="24" t="s">
        <v>19377</v>
      </c>
      <c r="I473" s="22" t="s">
        <v>19309</v>
      </c>
      <c r="J473" s="22" t="s">
        <v>19849</v>
      </c>
      <c r="K473" s="22" t="s">
        <v>19850</v>
      </c>
      <c r="L473" s="22"/>
      <c r="M473" s="22"/>
      <c r="N473" s="25" t="str">
        <f>HYPERLINK("http://slimages.macys.com/is/image/MCY/20549003 ")</f>
        <v xml:space="preserve">http://slimages.macys.com/is/image/MCY/20549003 </v>
      </c>
    </row>
    <row r="474" spans="1:14" x14ac:dyDescent="0.25">
      <c r="A474" s="21" t="s">
        <v>13377</v>
      </c>
      <c r="B474" s="22" t="s">
        <v>13378</v>
      </c>
      <c r="C474" s="2">
        <v>1</v>
      </c>
      <c r="D474" s="23">
        <v>9.99</v>
      </c>
      <c r="E474" s="3">
        <v>9.99</v>
      </c>
      <c r="F474" s="2" t="s">
        <v>16855</v>
      </c>
      <c r="G474" s="22" t="s">
        <v>19674</v>
      </c>
      <c r="H474" s="24" t="s">
        <v>19377</v>
      </c>
      <c r="I474" s="22" t="s">
        <v>19309</v>
      </c>
      <c r="J474" s="22" t="s">
        <v>19849</v>
      </c>
      <c r="K474" s="22" t="s">
        <v>19850</v>
      </c>
      <c r="L474" s="22"/>
      <c r="M474" s="22"/>
      <c r="N474" s="25" t="str">
        <f>HYPERLINK("http://slimages.macys.com/is/image/MCY/20549003 ")</f>
        <v xml:space="preserve">http://slimages.macys.com/is/image/MCY/20549003 </v>
      </c>
    </row>
    <row r="475" spans="1:14" x14ac:dyDescent="0.25">
      <c r="A475" s="21" t="s">
        <v>13373</v>
      </c>
      <c r="B475" s="22" t="s">
        <v>13374</v>
      </c>
      <c r="C475" s="2">
        <v>1</v>
      </c>
      <c r="D475" s="23">
        <v>9.99</v>
      </c>
      <c r="E475" s="3">
        <v>9.99</v>
      </c>
      <c r="F475" s="2" t="s">
        <v>16855</v>
      </c>
      <c r="G475" s="22" t="s">
        <v>19674</v>
      </c>
      <c r="H475" s="24" t="s">
        <v>19907</v>
      </c>
      <c r="I475" s="22" t="s">
        <v>19309</v>
      </c>
      <c r="J475" s="22" t="s">
        <v>19849</v>
      </c>
      <c r="K475" s="22" t="s">
        <v>19850</v>
      </c>
      <c r="L475" s="22"/>
      <c r="M475" s="22"/>
      <c r="N475" s="25" t="str">
        <f>HYPERLINK("http://slimages.macys.com/is/image/MCY/20549003 ")</f>
        <v xml:space="preserve">http://slimages.macys.com/is/image/MCY/20549003 </v>
      </c>
    </row>
    <row r="476" spans="1:14" x14ac:dyDescent="0.25">
      <c r="A476" s="21" t="s">
        <v>18856</v>
      </c>
      <c r="B476" s="22" t="s">
        <v>18857</v>
      </c>
      <c r="C476" s="2">
        <v>1</v>
      </c>
      <c r="D476" s="23">
        <v>11.99</v>
      </c>
      <c r="E476" s="3">
        <v>11.99</v>
      </c>
      <c r="F476" s="2" t="s">
        <v>18851</v>
      </c>
      <c r="G476" s="22" t="s">
        <v>19674</v>
      </c>
      <c r="H476" s="24" t="s">
        <v>19352</v>
      </c>
      <c r="I476" s="22" t="s">
        <v>19309</v>
      </c>
      <c r="J476" s="22" t="s">
        <v>19849</v>
      </c>
      <c r="K476" s="22" t="s">
        <v>19850</v>
      </c>
      <c r="L476" s="22"/>
      <c r="M476" s="22"/>
      <c r="N476" s="25" t="str">
        <f>HYPERLINK("http://slimages.macys.com/is/image/MCY/21251022 ")</f>
        <v xml:space="preserve">http://slimages.macys.com/is/image/MCY/21251022 </v>
      </c>
    </row>
    <row r="477" spans="1:14" x14ac:dyDescent="0.25">
      <c r="A477" s="21" t="s">
        <v>18849</v>
      </c>
      <c r="B477" s="22" t="s">
        <v>18850</v>
      </c>
      <c r="C477" s="2">
        <v>1</v>
      </c>
      <c r="D477" s="23">
        <v>11.99</v>
      </c>
      <c r="E477" s="3">
        <v>11.99</v>
      </c>
      <c r="F477" s="2" t="s">
        <v>18851</v>
      </c>
      <c r="G477" s="22" t="s">
        <v>19674</v>
      </c>
      <c r="H477" s="24" t="s">
        <v>19339</v>
      </c>
      <c r="I477" s="22" t="s">
        <v>19309</v>
      </c>
      <c r="J477" s="22" t="s">
        <v>19849</v>
      </c>
      <c r="K477" s="22" t="s">
        <v>19850</v>
      </c>
      <c r="L477" s="22"/>
      <c r="M477" s="22"/>
      <c r="N477" s="25" t="str">
        <f>HYPERLINK("http://slimages.macys.com/is/image/MCY/21251022 ")</f>
        <v xml:space="preserve">http://slimages.macys.com/is/image/MCY/21251022 </v>
      </c>
    </row>
    <row r="478" spans="1:14" ht="24.75" x14ac:dyDescent="0.25">
      <c r="A478" s="21" t="s">
        <v>9122</v>
      </c>
      <c r="B478" s="22" t="s">
        <v>9123</v>
      </c>
      <c r="C478" s="2">
        <v>1</v>
      </c>
      <c r="D478" s="23">
        <v>10.99</v>
      </c>
      <c r="E478" s="3">
        <v>10.99</v>
      </c>
      <c r="F478" s="2" t="s">
        <v>18866</v>
      </c>
      <c r="G478" s="22" t="s">
        <v>19351</v>
      </c>
      <c r="H478" s="24"/>
      <c r="I478" s="22" t="s">
        <v>19309</v>
      </c>
      <c r="J478" s="22" t="s">
        <v>19573</v>
      </c>
      <c r="K478" s="22" t="s">
        <v>19574</v>
      </c>
      <c r="L478" s="22"/>
      <c r="M478" s="22"/>
      <c r="N478" s="25" t="str">
        <f>HYPERLINK("http://slimages.macys.com/is/image/MCY/21088530 ")</f>
        <v xml:space="preserve">http://slimages.macys.com/is/image/MCY/21088530 </v>
      </c>
    </row>
    <row r="479" spans="1:14" ht="24.75" x14ac:dyDescent="0.25">
      <c r="A479" s="21" t="s">
        <v>9124</v>
      </c>
      <c r="B479" s="22" t="s">
        <v>9125</v>
      </c>
      <c r="C479" s="2">
        <v>1</v>
      </c>
      <c r="D479" s="23">
        <v>10.99</v>
      </c>
      <c r="E479" s="3">
        <v>10.99</v>
      </c>
      <c r="F479" s="2" t="s">
        <v>9126</v>
      </c>
      <c r="G479" s="22" t="s">
        <v>19618</v>
      </c>
      <c r="H479" s="24" t="s">
        <v>19538</v>
      </c>
      <c r="I479" s="22" t="s">
        <v>19309</v>
      </c>
      <c r="J479" s="22" t="s">
        <v>19573</v>
      </c>
      <c r="K479" s="22" t="s">
        <v>19574</v>
      </c>
      <c r="L479" s="22"/>
      <c r="M479" s="22"/>
      <c r="N479" s="25" t="str">
        <f>HYPERLINK("http://slimages.macys.com/is/image/MCY/20757666 ")</f>
        <v xml:space="preserve">http://slimages.macys.com/is/image/MCY/20757666 </v>
      </c>
    </row>
    <row r="480" spans="1:14" ht="24.75" x14ac:dyDescent="0.25">
      <c r="A480" s="21" t="s">
        <v>9127</v>
      </c>
      <c r="B480" s="22" t="s">
        <v>9128</v>
      </c>
      <c r="C480" s="2">
        <v>1</v>
      </c>
      <c r="D480" s="23">
        <v>10.99</v>
      </c>
      <c r="E480" s="3">
        <v>10.99</v>
      </c>
      <c r="F480" s="2" t="s">
        <v>9129</v>
      </c>
      <c r="G480" s="22" t="s">
        <v>19674</v>
      </c>
      <c r="H480" s="24" t="s">
        <v>19324</v>
      </c>
      <c r="I480" s="22" t="s">
        <v>19309</v>
      </c>
      <c r="J480" s="22" t="s">
        <v>19573</v>
      </c>
      <c r="K480" s="22" t="s">
        <v>19574</v>
      </c>
      <c r="L480" s="22"/>
      <c r="M480" s="22"/>
      <c r="N480" s="25" t="str">
        <f>HYPERLINK("http://slimages.macys.com/is/image/MCY/20757895 ")</f>
        <v xml:space="preserve">http://slimages.macys.com/is/image/MCY/20757895 </v>
      </c>
    </row>
    <row r="481" spans="1:14" ht="24.75" x14ac:dyDescent="0.25">
      <c r="A481" s="21" t="s">
        <v>9130</v>
      </c>
      <c r="B481" s="22" t="s">
        <v>9131</v>
      </c>
      <c r="C481" s="2">
        <v>1</v>
      </c>
      <c r="D481" s="23">
        <v>9.99</v>
      </c>
      <c r="E481" s="3">
        <v>9.99</v>
      </c>
      <c r="F481" s="2" t="s">
        <v>9132</v>
      </c>
      <c r="G481" s="22" t="s">
        <v>19674</v>
      </c>
      <c r="H481" s="24" t="s">
        <v>19364</v>
      </c>
      <c r="I481" s="22" t="s">
        <v>19309</v>
      </c>
      <c r="J481" s="22" t="s">
        <v>19353</v>
      </c>
      <c r="K481" s="22" t="s">
        <v>19524</v>
      </c>
      <c r="L481" s="22"/>
      <c r="M481" s="22"/>
      <c r="N481" s="25" t="str">
        <f>HYPERLINK("http://slimages.macys.com/is/image/MCY/21083407 ")</f>
        <v xml:space="preserve">http://slimages.macys.com/is/image/MCY/21083407 </v>
      </c>
    </row>
    <row r="482" spans="1:14" ht="24.75" x14ac:dyDescent="0.25">
      <c r="A482" s="21" t="s">
        <v>9133</v>
      </c>
      <c r="B482" s="22" t="s">
        <v>9134</v>
      </c>
      <c r="C482" s="2">
        <v>1</v>
      </c>
      <c r="D482" s="23">
        <v>9.99</v>
      </c>
      <c r="E482" s="3">
        <v>9.99</v>
      </c>
      <c r="F482" s="2" t="s">
        <v>9132</v>
      </c>
      <c r="G482" s="22" t="s">
        <v>19674</v>
      </c>
      <c r="H482" s="24" t="s">
        <v>19339</v>
      </c>
      <c r="I482" s="22" t="s">
        <v>19309</v>
      </c>
      <c r="J482" s="22" t="s">
        <v>19353</v>
      </c>
      <c r="K482" s="22" t="s">
        <v>19524</v>
      </c>
      <c r="L482" s="22"/>
      <c r="M482" s="22"/>
      <c r="N482" s="25" t="str">
        <f>HYPERLINK("http://slimages.macys.com/is/image/MCY/21083407 ")</f>
        <v xml:space="preserve">http://slimages.macys.com/is/image/MCY/21083407 </v>
      </c>
    </row>
    <row r="483" spans="1:14" ht="24.75" x14ac:dyDescent="0.25">
      <c r="A483" s="21" t="s">
        <v>10053</v>
      </c>
      <c r="B483" s="22" t="s">
        <v>10054</v>
      </c>
      <c r="C483" s="2">
        <v>1</v>
      </c>
      <c r="D483" s="23">
        <v>8.42</v>
      </c>
      <c r="E483" s="3">
        <v>8.42</v>
      </c>
      <c r="F483" s="2" t="s">
        <v>16460</v>
      </c>
      <c r="G483" s="22"/>
      <c r="H483" s="24" t="s">
        <v>19392</v>
      </c>
      <c r="I483" s="22" t="s">
        <v>19309</v>
      </c>
      <c r="J483" s="22" t="s">
        <v>19602</v>
      </c>
      <c r="K483" s="22" t="s">
        <v>20041</v>
      </c>
      <c r="L483" s="22"/>
      <c r="M483" s="22"/>
      <c r="N483" s="25" t="str">
        <f>HYPERLINK("http://slimages.macys.com/is/image/MCY/21722988 ")</f>
        <v xml:space="preserve">http://slimages.macys.com/is/image/MCY/21722988 </v>
      </c>
    </row>
    <row r="484" spans="1:14" ht="24.75" x14ac:dyDescent="0.25">
      <c r="A484" s="21" t="s">
        <v>9135</v>
      </c>
      <c r="B484" s="22" t="s">
        <v>9136</v>
      </c>
      <c r="C484" s="2">
        <v>1</v>
      </c>
      <c r="D484" s="23">
        <v>8.36</v>
      </c>
      <c r="E484" s="3">
        <v>8.36</v>
      </c>
      <c r="F484" s="2" t="s">
        <v>9137</v>
      </c>
      <c r="G484" s="22"/>
      <c r="H484" s="24" t="s">
        <v>19345</v>
      </c>
      <c r="I484" s="22" t="s">
        <v>19309</v>
      </c>
      <c r="J484" s="22" t="s">
        <v>19602</v>
      </c>
      <c r="K484" s="22" t="s">
        <v>20041</v>
      </c>
      <c r="L484" s="22"/>
      <c r="M484" s="22"/>
      <c r="N484" s="25" t="str">
        <f>HYPERLINK("http://slimages.macys.com/is/image/MCY/22406060 ")</f>
        <v xml:space="preserve">http://slimages.macys.com/is/image/MCY/22406060 </v>
      </c>
    </row>
    <row r="485" spans="1:14" ht="24.75" x14ac:dyDescent="0.25">
      <c r="A485" s="21" t="s">
        <v>14089</v>
      </c>
      <c r="B485" s="22" t="s">
        <v>14090</v>
      </c>
      <c r="C485" s="2">
        <v>1</v>
      </c>
      <c r="D485" s="23">
        <v>8.42</v>
      </c>
      <c r="E485" s="3">
        <v>8.42</v>
      </c>
      <c r="F485" s="2" t="s">
        <v>16463</v>
      </c>
      <c r="G485" s="22"/>
      <c r="H485" s="24" t="s">
        <v>19392</v>
      </c>
      <c r="I485" s="22" t="s">
        <v>19309</v>
      </c>
      <c r="J485" s="22" t="s">
        <v>19602</v>
      </c>
      <c r="K485" s="22" t="s">
        <v>20041</v>
      </c>
      <c r="L485" s="22"/>
      <c r="M485" s="22"/>
      <c r="N485" s="25" t="str">
        <f>HYPERLINK("http://slimages.macys.com/is/image/MCY/21722988 ")</f>
        <v xml:space="preserve">http://slimages.macys.com/is/image/MCY/21722988 </v>
      </c>
    </row>
    <row r="486" spans="1:14" ht="24.75" x14ac:dyDescent="0.25">
      <c r="A486" s="21" t="s">
        <v>14079</v>
      </c>
      <c r="B486" s="22" t="s">
        <v>14080</v>
      </c>
      <c r="C486" s="2">
        <v>1</v>
      </c>
      <c r="D486" s="23">
        <v>8.99</v>
      </c>
      <c r="E486" s="3">
        <v>8.99</v>
      </c>
      <c r="F486" s="2" t="s">
        <v>16881</v>
      </c>
      <c r="G486" s="22" t="s">
        <v>19431</v>
      </c>
      <c r="H486" s="24" t="s">
        <v>19392</v>
      </c>
      <c r="I486" s="22" t="s">
        <v>19309</v>
      </c>
      <c r="J486" s="22" t="s">
        <v>19815</v>
      </c>
      <c r="K486" s="22" t="s">
        <v>19816</v>
      </c>
      <c r="L486" s="22"/>
      <c r="M486" s="22"/>
      <c r="N486" s="25" t="str">
        <f>HYPERLINK("http://slimages.macys.com/is/image/MCY/1505064 ")</f>
        <v xml:space="preserve">http://slimages.macys.com/is/image/MCY/1505064 </v>
      </c>
    </row>
    <row r="487" spans="1:14" x14ac:dyDescent="0.25">
      <c r="A487" s="21" t="s">
        <v>9138</v>
      </c>
      <c r="B487" s="22" t="s">
        <v>9139</v>
      </c>
      <c r="C487" s="2">
        <v>1</v>
      </c>
      <c r="D487" s="23">
        <v>14</v>
      </c>
      <c r="E487" s="3">
        <v>14</v>
      </c>
      <c r="F487" s="2" t="s">
        <v>9140</v>
      </c>
      <c r="G487" s="22" t="s">
        <v>19431</v>
      </c>
      <c r="H487" s="24" t="s">
        <v>19770</v>
      </c>
      <c r="I487" s="22" t="s">
        <v>19309</v>
      </c>
      <c r="J487" s="22" t="s">
        <v>19708</v>
      </c>
      <c r="K487" s="22" t="s">
        <v>19709</v>
      </c>
      <c r="L487" s="22"/>
      <c r="M487" s="22"/>
      <c r="N487" s="25" t="str">
        <f>HYPERLINK("http://slimages.macys.com/is/image/MCY/21726455 ")</f>
        <v xml:space="preserve">http://slimages.macys.com/is/image/MCY/21726455 </v>
      </c>
    </row>
    <row r="488" spans="1:14" ht="24.75" x14ac:dyDescent="0.25">
      <c r="A488" s="21" t="s">
        <v>9141</v>
      </c>
      <c r="B488" s="22" t="s">
        <v>9142</v>
      </c>
      <c r="C488" s="2">
        <v>1</v>
      </c>
      <c r="D488" s="23">
        <v>7.99</v>
      </c>
      <c r="E488" s="3">
        <v>7.99</v>
      </c>
      <c r="F488" s="2" t="s">
        <v>18889</v>
      </c>
      <c r="G488" s="22" t="s">
        <v>19422</v>
      </c>
      <c r="H488" s="24" t="s">
        <v>20089</v>
      </c>
      <c r="I488" s="22" t="s">
        <v>19309</v>
      </c>
      <c r="J488" s="22" t="s">
        <v>19908</v>
      </c>
      <c r="K488" s="22" t="s">
        <v>19524</v>
      </c>
      <c r="L488" s="22"/>
      <c r="M488" s="22"/>
      <c r="N488" s="25" t="str">
        <f>HYPERLINK("http://slimages.macys.com/is/image/MCY/21573922 ")</f>
        <v xml:space="preserve">http://slimages.macys.com/is/image/MCY/21573922 </v>
      </c>
    </row>
    <row r="489" spans="1:14" ht="24.75" x14ac:dyDescent="0.25">
      <c r="A489" s="21" t="s">
        <v>10059</v>
      </c>
      <c r="B489" s="22" t="s">
        <v>10060</v>
      </c>
      <c r="C489" s="2">
        <v>2</v>
      </c>
      <c r="D489" s="23">
        <v>7.99</v>
      </c>
      <c r="E489" s="3">
        <v>15.98</v>
      </c>
      <c r="F489" s="2" t="s">
        <v>18889</v>
      </c>
      <c r="G489" s="22" t="s">
        <v>19333</v>
      </c>
      <c r="H489" s="24" t="s">
        <v>19361</v>
      </c>
      <c r="I489" s="22" t="s">
        <v>19309</v>
      </c>
      <c r="J489" s="22" t="s">
        <v>19908</v>
      </c>
      <c r="K489" s="22" t="s">
        <v>19524</v>
      </c>
      <c r="L489" s="22"/>
      <c r="M489" s="22"/>
      <c r="N489" s="25" t="str">
        <f>HYPERLINK("http://slimages.macys.com/is/image/MCY/1414223 ")</f>
        <v xml:space="preserve">http://slimages.macys.com/is/image/MCY/1414223 </v>
      </c>
    </row>
    <row r="490" spans="1:14" ht="24.75" x14ac:dyDescent="0.25">
      <c r="A490" s="21" t="s">
        <v>16907</v>
      </c>
      <c r="B490" s="22" t="s">
        <v>16908</v>
      </c>
      <c r="C490" s="2">
        <v>1</v>
      </c>
      <c r="D490" s="23">
        <v>7.99</v>
      </c>
      <c r="E490" s="3">
        <v>7.99</v>
      </c>
      <c r="F490" s="2" t="s">
        <v>18889</v>
      </c>
      <c r="G490" s="22" t="s">
        <v>19333</v>
      </c>
      <c r="H490" s="24" t="s">
        <v>19542</v>
      </c>
      <c r="I490" s="22" t="s">
        <v>19309</v>
      </c>
      <c r="J490" s="22" t="s">
        <v>19908</v>
      </c>
      <c r="K490" s="22" t="s">
        <v>19524</v>
      </c>
      <c r="L490" s="22"/>
      <c r="M490" s="22"/>
      <c r="N490" s="25" t="str">
        <f>HYPERLINK("http://slimages.macys.com/is/image/MCY/1414234 ")</f>
        <v xml:space="preserve">http://slimages.macys.com/is/image/MCY/1414234 </v>
      </c>
    </row>
    <row r="491" spans="1:14" ht="24.75" x14ac:dyDescent="0.25">
      <c r="A491" s="21" t="s">
        <v>9143</v>
      </c>
      <c r="B491" s="22" t="s">
        <v>9144</v>
      </c>
      <c r="C491" s="2">
        <v>1</v>
      </c>
      <c r="D491" s="23">
        <v>7.99</v>
      </c>
      <c r="E491" s="3">
        <v>7.99</v>
      </c>
      <c r="F491" s="2" t="s">
        <v>9145</v>
      </c>
      <c r="G491" s="22" t="s">
        <v>19814</v>
      </c>
      <c r="H491" s="24" t="s">
        <v>19361</v>
      </c>
      <c r="I491" s="22" t="s">
        <v>19309</v>
      </c>
      <c r="J491" s="22" t="s">
        <v>19454</v>
      </c>
      <c r="K491" s="22" t="s">
        <v>19524</v>
      </c>
      <c r="L491" s="22"/>
      <c r="M491" s="22"/>
      <c r="N491" s="25" t="str">
        <f>HYPERLINK("http://slimages.macys.com/is/image/MCY/19844210 ")</f>
        <v xml:space="preserve">http://slimages.macys.com/is/image/MCY/19844210 </v>
      </c>
    </row>
    <row r="492" spans="1:14" ht="24.75" x14ac:dyDescent="0.25">
      <c r="A492" s="21" t="s">
        <v>9146</v>
      </c>
      <c r="B492" s="22" t="s">
        <v>9147</v>
      </c>
      <c r="C492" s="2">
        <v>1</v>
      </c>
      <c r="D492" s="23">
        <v>7.99</v>
      </c>
      <c r="E492" s="3">
        <v>7.99</v>
      </c>
      <c r="F492" s="2" t="s">
        <v>16906</v>
      </c>
      <c r="G492" s="22" t="s">
        <v>19906</v>
      </c>
      <c r="H492" s="24" t="s">
        <v>19361</v>
      </c>
      <c r="I492" s="22" t="s">
        <v>19309</v>
      </c>
      <c r="J492" s="22" t="s">
        <v>19908</v>
      </c>
      <c r="K492" s="22" t="s">
        <v>19524</v>
      </c>
      <c r="L492" s="22"/>
      <c r="M492" s="22"/>
      <c r="N492" s="25" t="str">
        <f>HYPERLINK("http://slimages.macys.com/is/image/MCY/21972918 ")</f>
        <v xml:space="preserve">http://slimages.macys.com/is/image/MCY/21972918 </v>
      </c>
    </row>
    <row r="493" spans="1:14" x14ac:dyDescent="0.25">
      <c r="A493" s="21" t="s">
        <v>14648</v>
      </c>
      <c r="B493" s="22" t="s">
        <v>14649</v>
      </c>
      <c r="C493" s="2">
        <v>2</v>
      </c>
      <c r="D493" s="23">
        <v>11.99</v>
      </c>
      <c r="E493" s="3">
        <v>23.98</v>
      </c>
      <c r="F493" s="2" t="s">
        <v>14643</v>
      </c>
      <c r="G493" s="22" t="s">
        <v>19513</v>
      </c>
      <c r="H493" s="24" t="s">
        <v>19339</v>
      </c>
      <c r="I493" s="22" t="s">
        <v>19309</v>
      </c>
      <c r="J493" s="22" t="s">
        <v>19849</v>
      </c>
      <c r="K493" s="22" t="s">
        <v>19850</v>
      </c>
      <c r="L493" s="22"/>
      <c r="M493" s="22"/>
      <c r="N493" s="25" t="str">
        <f>HYPERLINK("http://slimages.macys.com/is/image/MCY/21278245 ")</f>
        <v xml:space="preserve">http://slimages.macys.com/is/image/MCY/21278245 </v>
      </c>
    </row>
    <row r="494" spans="1:14" x14ac:dyDescent="0.25">
      <c r="A494" s="21" t="s">
        <v>9148</v>
      </c>
      <c r="B494" s="22" t="s">
        <v>9149</v>
      </c>
      <c r="C494" s="2">
        <v>2</v>
      </c>
      <c r="D494" s="23">
        <v>9.99</v>
      </c>
      <c r="E494" s="3">
        <v>19.98</v>
      </c>
      <c r="F494" s="2" t="s">
        <v>9150</v>
      </c>
      <c r="G494" s="22" t="s">
        <v>19674</v>
      </c>
      <c r="H494" s="24" t="s">
        <v>19361</v>
      </c>
      <c r="I494" s="22" t="s">
        <v>19309</v>
      </c>
      <c r="J494" s="22" t="s">
        <v>19849</v>
      </c>
      <c r="K494" s="22" t="s">
        <v>19850</v>
      </c>
      <c r="L494" s="22"/>
      <c r="M494" s="22"/>
      <c r="N494" s="25" t="str">
        <f t="shared" ref="N494:N499" si="4">HYPERLINK("http://slimages.macys.com/is/image/MCY/21351632 ")</f>
        <v xml:space="preserve">http://slimages.macys.com/is/image/MCY/21351632 </v>
      </c>
    </row>
    <row r="495" spans="1:14" x14ac:dyDescent="0.25">
      <c r="A495" s="21" t="s">
        <v>9151</v>
      </c>
      <c r="B495" s="22" t="s">
        <v>9152</v>
      </c>
      <c r="C495" s="2">
        <v>1</v>
      </c>
      <c r="D495" s="23">
        <v>9.99</v>
      </c>
      <c r="E495" s="3">
        <v>9.99</v>
      </c>
      <c r="F495" s="2" t="s">
        <v>9150</v>
      </c>
      <c r="G495" s="22" t="s">
        <v>19674</v>
      </c>
      <c r="H495" s="24" t="s">
        <v>19377</v>
      </c>
      <c r="I495" s="22" t="s">
        <v>19309</v>
      </c>
      <c r="J495" s="22" t="s">
        <v>19849</v>
      </c>
      <c r="K495" s="22" t="s">
        <v>19850</v>
      </c>
      <c r="L495" s="22"/>
      <c r="M495" s="22"/>
      <c r="N495" s="25" t="str">
        <f t="shared" si="4"/>
        <v xml:space="preserve">http://slimages.macys.com/is/image/MCY/21351632 </v>
      </c>
    </row>
    <row r="496" spans="1:14" x14ac:dyDescent="0.25">
      <c r="A496" s="21" t="s">
        <v>9153</v>
      </c>
      <c r="B496" s="22" t="s">
        <v>9154</v>
      </c>
      <c r="C496" s="2">
        <v>1</v>
      </c>
      <c r="D496" s="23">
        <v>9.99</v>
      </c>
      <c r="E496" s="3">
        <v>9.99</v>
      </c>
      <c r="F496" s="2" t="s">
        <v>9150</v>
      </c>
      <c r="G496" s="22" t="s">
        <v>19674</v>
      </c>
      <c r="H496" s="24" t="s">
        <v>20135</v>
      </c>
      <c r="I496" s="22" t="s">
        <v>19309</v>
      </c>
      <c r="J496" s="22" t="s">
        <v>19849</v>
      </c>
      <c r="K496" s="22" t="s">
        <v>19850</v>
      </c>
      <c r="L496" s="22"/>
      <c r="M496" s="22"/>
      <c r="N496" s="25" t="str">
        <f t="shared" si="4"/>
        <v xml:space="preserve">http://slimages.macys.com/is/image/MCY/21351632 </v>
      </c>
    </row>
    <row r="497" spans="1:14" x14ac:dyDescent="0.25">
      <c r="A497" s="21" t="s">
        <v>9155</v>
      </c>
      <c r="B497" s="22" t="s">
        <v>9156</v>
      </c>
      <c r="C497" s="2">
        <v>1</v>
      </c>
      <c r="D497" s="23">
        <v>9.99</v>
      </c>
      <c r="E497" s="3">
        <v>9.99</v>
      </c>
      <c r="F497" s="2" t="s">
        <v>9150</v>
      </c>
      <c r="G497" s="22" t="s">
        <v>19674</v>
      </c>
      <c r="H497" s="24" t="s">
        <v>19907</v>
      </c>
      <c r="I497" s="22" t="s">
        <v>19309</v>
      </c>
      <c r="J497" s="22" t="s">
        <v>19849</v>
      </c>
      <c r="K497" s="22" t="s">
        <v>19850</v>
      </c>
      <c r="L497" s="22"/>
      <c r="M497" s="22"/>
      <c r="N497" s="25" t="str">
        <f t="shared" si="4"/>
        <v xml:space="preserve">http://slimages.macys.com/is/image/MCY/21351632 </v>
      </c>
    </row>
    <row r="498" spans="1:14" x14ac:dyDescent="0.25">
      <c r="A498" s="21" t="s">
        <v>9157</v>
      </c>
      <c r="B498" s="22" t="s">
        <v>9158</v>
      </c>
      <c r="C498" s="2">
        <v>2</v>
      </c>
      <c r="D498" s="23">
        <v>9.99</v>
      </c>
      <c r="E498" s="3">
        <v>19.98</v>
      </c>
      <c r="F498" s="2" t="s">
        <v>9150</v>
      </c>
      <c r="G498" s="22" t="s">
        <v>19674</v>
      </c>
      <c r="H498" s="24" t="s">
        <v>19542</v>
      </c>
      <c r="I498" s="22" t="s">
        <v>19309</v>
      </c>
      <c r="J498" s="22" t="s">
        <v>19849</v>
      </c>
      <c r="K498" s="22" t="s">
        <v>19850</v>
      </c>
      <c r="L498" s="22"/>
      <c r="M498" s="22"/>
      <c r="N498" s="25" t="str">
        <f t="shared" si="4"/>
        <v xml:space="preserve">http://slimages.macys.com/is/image/MCY/21351632 </v>
      </c>
    </row>
    <row r="499" spans="1:14" x14ac:dyDescent="0.25">
      <c r="A499" s="21" t="s">
        <v>9159</v>
      </c>
      <c r="B499" s="22" t="s">
        <v>9160</v>
      </c>
      <c r="C499" s="2">
        <v>2</v>
      </c>
      <c r="D499" s="23">
        <v>9.99</v>
      </c>
      <c r="E499" s="3">
        <v>19.98</v>
      </c>
      <c r="F499" s="2" t="s">
        <v>9150</v>
      </c>
      <c r="G499" s="22" t="s">
        <v>19674</v>
      </c>
      <c r="H499" s="24" t="s">
        <v>20089</v>
      </c>
      <c r="I499" s="22" t="s">
        <v>19309</v>
      </c>
      <c r="J499" s="22" t="s">
        <v>19849</v>
      </c>
      <c r="K499" s="22" t="s">
        <v>19850</v>
      </c>
      <c r="L499" s="22"/>
      <c r="M499" s="22"/>
      <c r="N499" s="25" t="str">
        <f t="shared" si="4"/>
        <v xml:space="preserve">http://slimages.macys.com/is/image/MCY/21351632 </v>
      </c>
    </row>
    <row r="500" spans="1:14" ht="24.75" x14ac:dyDescent="0.25">
      <c r="A500" s="21" t="s">
        <v>9161</v>
      </c>
      <c r="B500" s="22" t="s">
        <v>9162</v>
      </c>
      <c r="C500" s="2">
        <v>2</v>
      </c>
      <c r="D500" s="23">
        <v>7.99</v>
      </c>
      <c r="E500" s="3">
        <v>15.98</v>
      </c>
      <c r="F500" s="2" t="s">
        <v>14652</v>
      </c>
      <c r="G500" s="22" t="s">
        <v>19333</v>
      </c>
      <c r="H500" s="24" t="s">
        <v>19361</v>
      </c>
      <c r="I500" s="22" t="s">
        <v>19309</v>
      </c>
      <c r="J500" s="22" t="s">
        <v>19908</v>
      </c>
      <c r="K500" s="22" t="s">
        <v>19524</v>
      </c>
      <c r="L500" s="22"/>
      <c r="M500" s="22"/>
      <c r="N500" s="25" t="str">
        <f>HYPERLINK("http://slimages.macys.com/is/image/MCY/21070282 ")</f>
        <v xml:space="preserve">http://slimages.macys.com/is/image/MCY/21070282 </v>
      </c>
    </row>
    <row r="501" spans="1:14" ht="24.75" x14ac:dyDescent="0.25">
      <c r="A501" s="21" t="s">
        <v>9163</v>
      </c>
      <c r="B501" s="22" t="s">
        <v>9164</v>
      </c>
      <c r="C501" s="2">
        <v>1</v>
      </c>
      <c r="D501" s="23">
        <v>7.99</v>
      </c>
      <c r="E501" s="3">
        <v>7.99</v>
      </c>
      <c r="F501" s="2" t="s">
        <v>14652</v>
      </c>
      <c r="G501" s="22" t="s">
        <v>19422</v>
      </c>
      <c r="H501" s="24" t="s">
        <v>19361</v>
      </c>
      <c r="I501" s="22" t="s">
        <v>19309</v>
      </c>
      <c r="J501" s="22" t="s">
        <v>19908</v>
      </c>
      <c r="K501" s="22" t="s">
        <v>19524</v>
      </c>
      <c r="L501" s="22"/>
      <c r="M501" s="22"/>
      <c r="N501" s="25" t="str">
        <f>HYPERLINK("http://slimages.macys.com/is/image/MCY/21070282 ")</f>
        <v xml:space="preserve">http://slimages.macys.com/is/image/MCY/21070282 </v>
      </c>
    </row>
    <row r="502" spans="1:14" ht="24.75" x14ac:dyDescent="0.25">
      <c r="A502" s="21" t="s">
        <v>9165</v>
      </c>
      <c r="B502" s="22" t="s">
        <v>9166</v>
      </c>
      <c r="C502" s="2">
        <v>1</v>
      </c>
      <c r="D502" s="23">
        <v>7.99</v>
      </c>
      <c r="E502" s="3">
        <v>7.99</v>
      </c>
      <c r="F502" s="2" t="s">
        <v>14658</v>
      </c>
      <c r="G502" s="22" t="s">
        <v>19670</v>
      </c>
      <c r="H502" s="24" t="s">
        <v>19542</v>
      </c>
      <c r="I502" s="22" t="s">
        <v>19309</v>
      </c>
      <c r="J502" s="22" t="s">
        <v>19908</v>
      </c>
      <c r="K502" s="22" t="s">
        <v>19524</v>
      </c>
      <c r="L502" s="22"/>
      <c r="M502" s="22"/>
      <c r="N502" s="25" t="str">
        <f>HYPERLINK("http://slimages.macys.com/is/image/MCY/21070312 ")</f>
        <v xml:space="preserve">http://slimages.macys.com/is/image/MCY/21070312 </v>
      </c>
    </row>
    <row r="503" spans="1:14" ht="24.75" x14ac:dyDescent="0.25">
      <c r="A503" s="21" t="s">
        <v>9167</v>
      </c>
      <c r="B503" s="22" t="s">
        <v>9168</v>
      </c>
      <c r="C503" s="2">
        <v>1</v>
      </c>
      <c r="D503" s="23">
        <v>7.99</v>
      </c>
      <c r="E503" s="3">
        <v>7.99</v>
      </c>
      <c r="F503" s="2" t="s">
        <v>10063</v>
      </c>
      <c r="G503" s="22" t="s">
        <v>19338</v>
      </c>
      <c r="H503" s="24" t="s">
        <v>20089</v>
      </c>
      <c r="I503" s="22" t="s">
        <v>19309</v>
      </c>
      <c r="J503" s="22" t="s">
        <v>19908</v>
      </c>
      <c r="K503" s="22" t="s">
        <v>19524</v>
      </c>
      <c r="L503" s="22"/>
      <c r="M503" s="22"/>
      <c r="N503" s="25" t="str">
        <f>HYPERLINK("http://slimages.macys.com/is/image/MCY/21070313 ")</f>
        <v xml:space="preserve">http://slimages.macys.com/is/image/MCY/21070313 </v>
      </c>
    </row>
    <row r="504" spans="1:14" ht="24.75" x14ac:dyDescent="0.25">
      <c r="A504" s="21" t="s">
        <v>9169</v>
      </c>
      <c r="B504" s="22" t="s">
        <v>9170</v>
      </c>
      <c r="C504" s="2">
        <v>1</v>
      </c>
      <c r="D504" s="23">
        <v>7.99</v>
      </c>
      <c r="E504" s="3">
        <v>7.99</v>
      </c>
      <c r="F504" s="2" t="s">
        <v>9171</v>
      </c>
      <c r="G504" s="22"/>
      <c r="H504" s="24"/>
      <c r="I504" s="22" t="s">
        <v>19309</v>
      </c>
      <c r="J504" s="22" t="s">
        <v>20076</v>
      </c>
      <c r="K504" s="22" t="s">
        <v>9172</v>
      </c>
      <c r="L504" s="22"/>
      <c r="M504" s="22"/>
      <c r="N504" s="25" t="str">
        <f>HYPERLINK("http://slimages.macys.com/is/image/MCY/17732409 ")</f>
        <v xml:space="preserve">http://slimages.macys.com/is/image/MCY/17732409 </v>
      </c>
    </row>
    <row r="505" spans="1:14" x14ac:dyDescent="0.25">
      <c r="A505" s="21" t="s">
        <v>16936</v>
      </c>
      <c r="B505" s="22" t="s">
        <v>16937</v>
      </c>
      <c r="C505" s="2">
        <v>1</v>
      </c>
      <c r="D505" s="23">
        <v>5.99</v>
      </c>
      <c r="E505" s="3">
        <v>5.99</v>
      </c>
      <c r="F505" s="2" t="s">
        <v>18921</v>
      </c>
      <c r="G505" s="22" t="s">
        <v>19315</v>
      </c>
      <c r="H505" s="24" t="s">
        <v>19361</v>
      </c>
      <c r="I505" s="22" t="s">
        <v>19309</v>
      </c>
      <c r="J505" s="22" t="s">
        <v>19849</v>
      </c>
      <c r="K505" s="22" t="s">
        <v>19850</v>
      </c>
      <c r="L505" s="22"/>
      <c r="M505" s="22"/>
      <c r="N505" s="25" t="str">
        <f>HYPERLINK("http://slimages.macys.com/is/image/MCY/19068346 ")</f>
        <v xml:space="preserve">http://slimages.macys.com/is/image/MCY/19068346 </v>
      </c>
    </row>
    <row r="506" spans="1:14" ht="24.75" x14ac:dyDescent="0.25">
      <c r="A506" s="21" t="s">
        <v>9173</v>
      </c>
      <c r="B506" s="22" t="s">
        <v>9174</v>
      </c>
      <c r="C506" s="2">
        <v>1</v>
      </c>
      <c r="D506" s="23">
        <v>7.99</v>
      </c>
      <c r="E506" s="3">
        <v>7.99</v>
      </c>
      <c r="F506" s="2" t="s">
        <v>16958</v>
      </c>
      <c r="G506" s="22" t="s">
        <v>19338</v>
      </c>
      <c r="H506" s="24" t="s">
        <v>19542</v>
      </c>
      <c r="I506" s="22" t="s">
        <v>19309</v>
      </c>
      <c r="J506" s="22" t="s">
        <v>19454</v>
      </c>
      <c r="K506" s="22" t="s">
        <v>19524</v>
      </c>
      <c r="L506" s="22"/>
      <c r="M506" s="22"/>
      <c r="N506" s="25" t="str">
        <f>HYPERLINK("http://slimages.macys.com/is/image/MCY/20669887 ")</f>
        <v xml:space="preserve">http://slimages.macys.com/is/image/MCY/20669887 </v>
      </c>
    </row>
    <row r="507" spans="1:14" ht="24.75" x14ac:dyDescent="0.25">
      <c r="A507" s="21" t="s">
        <v>9175</v>
      </c>
      <c r="B507" s="22" t="s">
        <v>9176</v>
      </c>
      <c r="C507" s="2">
        <v>1</v>
      </c>
      <c r="D507" s="23">
        <v>7.99</v>
      </c>
      <c r="E507" s="3">
        <v>7.99</v>
      </c>
      <c r="F507" s="2" t="s">
        <v>9177</v>
      </c>
      <c r="G507" s="22" t="s">
        <v>18439</v>
      </c>
      <c r="H507" s="24" t="s">
        <v>20135</v>
      </c>
      <c r="I507" s="22" t="s">
        <v>19309</v>
      </c>
      <c r="J507" s="22" t="s">
        <v>19454</v>
      </c>
      <c r="K507" s="22" t="s">
        <v>19524</v>
      </c>
      <c r="L507" s="22"/>
      <c r="M507" s="22"/>
      <c r="N507" s="25" t="str">
        <f>HYPERLINK("http://slimages.macys.com/is/image/MCY/20441687 ")</f>
        <v xml:space="preserve">http://slimages.macys.com/is/image/MCY/20441687 </v>
      </c>
    </row>
    <row r="508" spans="1:14" x14ac:dyDescent="0.25">
      <c r="A508" s="21" t="s">
        <v>14678</v>
      </c>
      <c r="B508" s="22" t="s">
        <v>14679</v>
      </c>
      <c r="C508" s="2">
        <v>1</v>
      </c>
      <c r="D508" s="23">
        <v>7.99</v>
      </c>
      <c r="E508" s="3">
        <v>7.99</v>
      </c>
      <c r="F508" s="2" t="s">
        <v>16840</v>
      </c>
      <c r="G508" s="22" t="s">
        <v>19618</v>
      </c>
      <c r="H508" s="24" t="s">
        <v>19361</v>
      </c>
      <c r="I508" s="22" t="s">
        <v>19309</v>
      </c>
      <c r="J508" s="22" t="s">
        <v>19849</v>
      </c>
      <c r="K508" s="22" t="s">
        <v>19850</v>
      </c>
      <c r="L508" s="22"/>
      <c r="M508" s="22"/>
      <c r="N508" s="25" t="str">
        <f t="shared" ref="N508:N515" si="5">HYPERLINK("http://slimages.macys.com/is/image/MCY/19068277 ")</f>
        <v xml:space="preserve">http://slimages.macys.com/is/image/MCY/19068277 </v>
      </c>
    </row>
    <row r="509" spans="1:14" x14ac:dyDescent="0.25">
      <c r="A509" s="21" t="s">
        <v>16969</v>
      </c>
      <c r="B509" s="22" t="s">
        <v>16970</v>
      </c>
      <c r="C509" s="2">
        <v>1</v>
      </c>
      <c r="D509" s="23">
        <v>7.99</v>
      </c>
      <c r="E509" s="3">
        <v>7.99</v>
      </c>
      <c r="F509" s="2" t="s">
        <v>16840</v>
      </c>
      <c r="G509" s="22" t="s">
        <v>19467</v>
      </c>
      <c r="H509" s="24" t="s">
        <v>20135</v>
      </c>
      <c r="I509" s="22" t="s">
        <v>19309</v>
      </c>
      <c r="J509" s="22" t="s">
        <v>19849</v>
      </c>
      <c r="K509" s="22" t="s">
        <v>19850</v>
      </c>
      <c r="L509" s="22"/>
      <c r="M509" s="22"/>
      <c r="N509" s="25" t="str">
        <f t="shared" si="5"/>
        <v xml:space="preserve">http://slimages.macys.com/is/image/MCY/19068277 </v>
      </c>
    </row>
    <row r="510" spans="1:14" x14ac:dyDescent="0.25">
      <c r="A510" s="21" t="s">
        <v>14676</v>
      </c>
      <c r="B510" s="22" t="s">
        <v>14677</v>
      </c>
      <c r="C510" s="2">
        <v>2</v>
      </c>
      <c r="D510" s="23">
        <v>7.99</v>
      </c>
      <c r="E510" s="3">
        <v>15.98</v>
      </c>
      <c r="F510" s="2" t="s">
        <v>16840</v>
      </c>
      <c r="G510" s="22" t="s">
        <v>19618</v>
      </c>
      <c r="H510" s="24" t="s">
        <v>20089</v>
      </c>
      <c r="I510" s="22" t="s">
        <v>19309</v>
      </c>
      <c r="J510" s="22" t="s">
        <v>19849</v>
      </c>
      <c r="K510" s="22" t="s">
        <v>19850</v>
      </c>
      <c r="L510" s="22"/>
      <c r="M510" s="22"/>
      <c r="N510" s="25" t="str">
        <f t="shared" si="5"/>
        <v xml:space="preserve">http://slimages.macys.com/is/image/MCY/19068277 </v>
      </c>
    </row>
    <row r="511" spans="1:14" x14ac:dyDescent="0.25">
      <c r="A511" s="21" t="s">
        <v>14672</v>
      </c>
      <c r="B511" s="22" t="s">
        <v>14673</v>
      </c>
      <c r="C511" s="2">
        <v>1</v>
      </c>
      <c r="D511" s="23">
        <v>7.99</v>
      </c>
      <c r="E511" s="3">
        <v>7.99</v>
      </c>
      <c r="F511" s="2" t="s">
        <v>16840</v>
      </c>
      <c r="G511" s="22" t="s">
        <v>19618</v>
      </c>
      <c r="H511" s="24" t="s">
        <v>19542</v>
      </c>
      <c r="I511" s="22" t="s">
        <v>19309</v>
      </c>
      <c r="J511" s="22" t="s">
        <v>19849</v>
      </c>
      <c r="K511" s="22" t="s">
        <v>19850</v>
      </c>
      <c r="L511" s="22"/>
      <c r="M511" s="22"/>
      <c r="N511" s="25" t="str">
        <f t="shared" si="5"/>
        <v xml:space="preserve">http://slimages.macys.com/is/image/MCY/19068277 </v>
      </c>
    </row>
    <row r="512" spans="1:14" x14ac:dyDescent="0.25">
      <c r="A512" s="21" t="s">
        <v>16971</v>
      </c>
      <c r="B512" s="22" t="s">
        <v>16972</v>
      </c>
      <c r="C512" s="2">
        <v>1</v>
      </c>
      <c r="D512" s="23">
        <v>7.99</v>
      </c>
      <c r="E512" s="3">
        <v>7.99</v>
      </c>
      <c r="F512" s="2" t="s">
        <v>16840</v>
      </c>
      <c r="G512" s="22" t="s">
        <v>19618</v>
      </c>
      <c r="H512" s="24" t="s">
        <v>19907</v>
      </c>
      <c r="I512" s="22" t="s">
        <v>19309</v>
      </c>
      <c r="J512" s="22" t="s">
        <v>19849</v>
      </c>
      <c r="K512" s="22" t="s">
        <v>19850</v>
      </c>
      <c r="L512" s="22"/>
      <c r="M512" s="22"/>
      <c r="N512" s="25" t="str">
        <f t="shared" si="5"/>
        <v xml:space="preserve">http://slimages.macys.com/is/image/MCY/19068277 </v>
      </c>
    </row>
    <row r="513" spans="1:14" x14ac:dyDescent="0.25">
      <c r="A513" s="21" t="s">
        <v>10072</v>
      </c>
      <c r="B513" s="22" t="s">
        <v>10073</v>
      </c>
      <c r="C513" s="2">
        <v>3</v>
      </c>
      <c r="D513" s="23">
        <v>7.99</v>
      </c>
      <c r="E513" s="3">
        <v>23.97</v>
      </c>
      <c r="F513" s="2" t="s">
        <v>16840</v>
      </c>
      <c r="G513" s="22" t="s">
        <v>19467</v>
      </c>
      <c r="H513" s="24" t="s">
        <v>19377</v>
      </c>
      <c r="I513" s="22" t="s">
        <v>19309</v>
      </c>
      <c r="J513" s="22" t="s">
        <v>19849</v>
      </c>
      <c r="K513" s="22" t="s">
        <v>19850</v>
      </c>
      <c r="L513" s="22"/>
      <c r="M513" s="22"/>
      <c r="N513" s="25" t="str">
        <f t="shared" si="5"/>
        <v xml:space="preserve">http://slimages.macys.com/is/image/MCY/19068277 </v>
      </c>
    </row>
    <row r="514" spans="1:14" x14ac:dyDescent="0.25">
      <c r="A514" s="21" t="s">
        <v>14670</v>
      </c>
      <c r="B514" s="22" t="s">
        <v>14671</v>
      </c>
      <c r="C514" s="2">
        <v>2</v>
      </c>
      <c r="D514" s="23">
        <v>7.99</v>
      </c>
      <c r="E514" s="3">
        <v>15.98</v>
      </c>
      <c r="F514" s="2" t="s">
        <v>16840</v>
      </c>
      <c r="G514" s="22" t="s">
        <v>19618</v>
      </c>
      <c r="H514" s="24" t="s">
        <v>19377</v>
      </c>
      <c r="I514" s="22" t="s">
        <v>19309</v>
      </c>
      <c r="J514" s="22" t="s">
        <v>19849</v>
      </c>
      <c r="K514" s="22" t="s">
        <v>19850</v>
      </c>
      <c r="L514" s="22"/>
      <c r="M514" s="22"/>
      <c r="N514" s="25" t="str">
        <f t="shared" si="5"/>
        <v xml:space="preserve">http://slimages.macys.com/is/image/MCY/19068277 </v>
      </c>
    </row>
    <row r="515" spans="1:14" x14ac:dyDescent="0.25">
      <c r="A515" s="21" t="s">
        <v>16967</v>
      </c>
      <c r="B515" s="22" t="s">
        <v>16968</v>
      </c>
      <c r="C515" s="2">
        <v>1</v>
      </c>
      <c r="D515" s="23">
        <v>7.99</v>
      </c>
      <c r="E515" s="3">
        <v>7.99</v>
      </c>
      <c r="F515" s="2" t="s">
        <v>16840</v>
      </c>
      <c r="G515" s="22" t="s">
        <v>19467</v>
      </c>
      <c r="H515" s="24" t="s">
        <v>19361</v>
      </c>
      <c r="I515" s="22" t="s">
        <v>19309</v>
      </c>
      <c r="J515" s="22" t="s">
        <v>19849</v>
      </c>
      <c r="K515" s="22" t="s">
        <v>19850</v>
      </c>
      <c r="L515" s="22"/>
      <c r="M515" s="22"/>
      <c r="N515" s="25" t="str">
        <f t="shared" si="5"/>
        <v xml:space="preserve">http://slimages.macys.com/is/image/MCY/19068277 </v>
      </c>
    </row>
    <row r="516" spans="1:14" ht="24.75" x14ac:dyDescent="0.25">
      <c r="A516" s="21" t="s">
        <v>14682</v>
      </c>
      <c r="B516" s="22" t="s">
        <v>14683</v>
      </c>
      <c r="C516" s="2">
        <v>1</v>
      </c>
      <c r="D516" s="23">
        <v>7.99</v>
      </c>
      <c r="E516" s="3">
        <v>7.99</v>
      </c>
      <c r="F516" s="2" t="s">
        <v>14684</v>
      </c>
      <c r="G516" s="22" t="s">
        <v>19323</v>
      </c>
      <c r="H516" s="24" t="s">
        <v>19361</v>
      </c>
      <c r="I516" s="22" t="s">
        <v>19309</v>
      </c>
      <c r="J516" s="22" t="s">
        <v>19908</v>
      </c>
      <c r="K516" s="22" t="s">
        <v>19524</v>
      </c>
      <c r="L516" s="22"/>
      <c r="M516" s="22"/>
      <c r="N516" s="25" t="str">
        <f>HYPERLINK("http://slimages.macys.com/is/image/MCY/21070264 ")</f>
        <v xml:space="preserve">http://slimages.macys.com/is/image/MCY/21070264 </v>
      </c>
    </row>
    <row r="517" spans="1:14" ht="24.75" x14ac:dyDescent="0.25">
      <c r="A517" s="21" t="s">
        <v>9178</v>
      </c>
      <c r="B517" s="22" t="s">
        <v>9179</v>
      </c>
      <c r="C517" s="2">
        <v>1</v>
      </c>
      <c r="D517" s="23">
        <v>7.99</v>
      </c>
      <c r="E517" s="3">
        <v>7.99</v>
      </c>
      <c r="F517" s="2" t="s">
        <v>18954</v>
      </c>
      <c r="G517" s="22" t="s">
        <v>19415</v>
      </c>
      <c r="H517" s="24" t="s">
        <v>19377</v>
      </c>
      <c r="I517" s="22" t="s">
        <v>19309</v>
      </c>
      <c r="J517" s="22" t="s">
        <v>19908</v>
      </c>
      <c r="K517" s="22" t="s">
        <v>19524</v>
      </c>
      <c r="L517" s="22"/>
      <c r="M517" s="22"/>
      <c r="N517" s="25" t="str">
        <f>HYPERLINK("http://slimages.macys.com/is/image/MCY/21070261 ")</f>
        <v xml:space="preserve">http://slimages.macys.com/is/image/MCY/21070261 </v>
      </c>
    </row>
    <row r="518" spans="1:14" ht="24.75" x14ac:dyDescent="0.25">
      <c r="A518" s="21" t="s">
        <v>9180</v>
      </c>
      <c r="B518" s="22" t="s">
        <v>9181</v>
      </c>
      <c r="C518" s="2">
        <v>1</v>
      </c>
      <c r="D518" s="23">
        <v>7.99</v>
      </c>
      <c r="E518" s="3">
        <v>7.99</v>
      </c>
      <c r="F518" s="2" t="s">
        <v>18954</v>
      </c>
      <c r="G518" s="22" t="s">
        <v>19415</v>
      </c>
      <c r="H518" s="24" t="s">
        <v>19542</v>
      </c>
      <c r="I518" s="22" t="s">
        <v>19309</v>
      </c>
      <c r="J518" s="22" t="s">
        <v>19908</v>
      </c>
      <c r="K518" s="22" t="s">
        <v>19524</v>
      </c>
      <c r="L518" s="22"/>
      <c r="M518" s="22"/>
      <c r="N518" s="25" t="str">
        <f>HYPERLINK("http://slimages.macys.com/is/image/MCY/21070261 ")</f>
        <v xml:space="preserve">http://slimages.macys.com/is/image/MCY/21070261 </v>
      </c>
    </row>
    <row r="519" spans="1:14" ht="24.75" x14ac:dyDescent="0.25">
      <c r="A519" s="21" t="s">
        <v>9182</v>
      </c>
      <c r="B519" s="22" t="s">
        <v>9183</v>
      </c>
      <c r="C519" s="2">
        <v>1</v>
      </c>
      <c r="D519" s="23">
        <v>7.99</v>
      </c>
      <c r="E519" s="3">
        <v>7.99</v>
      </c>
      <c r="F519" s="2" t="s">
        <v>9184</v>
      </c>
      <c r="G519" s="22" t="s">
        <v>19351</v>
      </c>
      <c r="H519" s="24" t="s">
        <v>19361</v>
      </c>
      <c r="I519" s="22" t="s">
        <v>19309</v>
      </c>
      <c r="J519" s="22" t="s">
        <v>19908</v>
      </c>
      <c r="K519" s="22" t="s">
        <v>19524</v>
      </c>
      <c r="L519" s="22"/>
      <c r="M519" s="22"/>
      <c r="N519" s="25" t="str">
        <f>HYPERLINK("http://slimages.macys.com/is/image/MCY/1080385 ")</f>
        <v xml:space="preserve">http://slimages.macys.com/is/image/MCY/1080385 </v>
      </c>
    </row>
    <row r="520" spans="1:14" ht="24.75" x14ac:dyDescent="0.25">
      <c r="A520" s="21" t="s">
        <v>9185</v>
      </c>
      <c r="B520" s="22" t="s">
        <v>9186</v>
      </c>
      <c r="C520" s="2">
        <v>1</v>
      </c>
      <c r="D520" s="23">
        <v>7.99</v>
      </c>
      <c r="E520" s="3">
        <v>7.99</v>
      </c>
      <c r="F520" s="2" t="s">
        <v>14684</v>
      </c>
      <c r="G520" s="22" t="s">
        <v>19323</v>
      </c>
      <c r="H520" s="24" t="s">
        <v>20135</v>
      </c>
      <c r="I520" s="22" t="s">
        <v>19309</v>
      </c>
      <c r="J520" s="22" t="s">
        <v>19908</v>
      </c>
      <c r="K520" s="22" t="s">
        <v>19524</v>
      </c>
      <c r="L520" s="22"/>
      <c r="M520" s="22"/>
      <c r="N520" s="25" t="str">
        <f>HYPERLINK("http://slimages.macys.com/is/image/MCY/21070264 ")</f>
        <v xml:space="preserve">http://slimages.macys.com/is/image/MCY/21070264 </v>
      </c>
    </row>
    <row r="521" spans="1:14" ht="24.75" x14ac:dyDescent="0.25">
      <c r="A521" s="21" t="s">
        <v>9187</v>
      </c>
      <c r="B521" s="22" t="s">
        <v>9188</v>
      </c>
      <c r="C521" s="2">
        <v>1</v>
      </c>
      <c r="D521" s="23">
        <v>7.99</v>
      </c>
      <c r="E521" s="3">
        <v>7.99</v>
      </c>
      <c r="F521" s="2" t="s">
        <v>9189</v>
      </c>
      <c r="G521" s="22" t="s">
        <v>19814</v>
      </c>
      <c r="H521" s="24" t="s">
        <v>19907</v>
      </c>
      <c r="I521" s="22" t="s">
        <v>19309</v>
      </c>
      <c r="J521" s="22" t="s">
        <v>19908</v>
      </c>
      <c r="K521" s="22" t="s">
        <v>19524</v>
      </c>
      <c r="L521" s="22"/>
      <c r="M521" s="22"/>
      <c r="N521" s="25" t="str">
        <f>HYPERLINK("http://slimages.macys.com/is/image/MCY/21070266 ")</f>
        <v xml:space="preserve">http://slimages.macys.com/is/image/MCY/21070266 </v>
      </c>
    </row>
    <row r="522" spans="1:14" ht="24.75" x14ac:dyDescent="0.25">
      <c r="A522" s="21" t="s">
        <v>9190</v>
      </c>
      <c r="B522" s="22" t="s">
        <v>9191</v>
      </c>
      <c r="C522" s="2">
        <v>1</v>
      </c>
      <c r="D522" s="23">
        <v>7.99</v>
      </c>
      <c r="E522" s="3">
        <v>7.99</v>
      </c>
      <c r="F522" s="2" t="s">
        <v>18954</v>
      </c>
      <c r="G522" s="22" t="s">
        <v>19333</v>
      </c>
      <c r="H522" s="24" t="s">
        <v>20135</v>
      </c>
      <c r="I522" s="22" t="s">
        <v>19309</v>
      </c>
      <c r="J522" s="22" t="s">
        <v>19908</v>
      </c>
      <c r="K522" s="22" t="s">
        <v>19524</v>
      </c>
      <c r="L522" s="22"/>
      <c r="M522" s="22"/>
      <c r="N522" s="25" t="str">
        <f>HYPERLINK("http://slimages.macys.com/is/image/MCY/21070261 ")</f>
        <v xml:space="preserve">http://slimages.macys.com/is/image/MCY/21070261 </v>
      </c>
    </row>
    <row r="523" spans="1:14" ht="24.75" x14ac:dyDescent="0.25">
      <c r="A523" s="21" t="s">
        <v>14199</v>
      </c>
      <c r="B523" s="22" t="s">
        <v>14200</v>
      </c>
      <c r="C523" s="2">
        <v>1</v>
      </c>
      <c r="D523" s="23">
        <v>7.99</v>
      </c>
      <c r="E523" s="3">
        <v>7.99</v>
      </c>
      <c r="F523" s="2" t="s">
        <v>18975</v>
      </c>
      <c r="G523" s="22" t="s">
        <v>19518</v>
      </c>
      <c r="H523" s="24" t="s">
        <v>19432</v>
      </c>
      <c r="I523" s="22" t="s">
        <v>19309</v>
      </c>
      <c r="J523" s="22" t="s">
        <v>19815</v>
      </c>
      <c r="K523" s="22" t="s">
        <v>19816</v>
      </c>
      <c r="L523" s="22"/>
      <c r="M523" s="22"/>
      <c r="N523" s="25" t="str">
        <f>HYPERLINK("http://slimages.macys.com/is/image/MCY/23423563 ")</f>
        <v xml:space="preserve">http://slimages.macys.com/is/image/MCY/23423563 </v>
      </c>
    </row>
    <row r="524" spans="1:14" ht="24.75" x14ac:dyDescent="0.25">
      <c r="A524" s="21" t="s">
        <v>14191</v>
      </c>
      <c r="B524" s="22" t="s">
        <v>14192</v>
      </c>
      <c r="C524" s="2">
        <v>1</v>
      </c>
      <c r="D524" s="23">
        <v>7.99</v>
      </c>
      <c r="E524" s="3">
        <v>7.99</v>
      </c>
      <c r="F524" s="2" t="s">
        <v>18975</v>
      </c>
      <c r="G524" s="22" t="s">
        <v>19404</v>
      </c>
      <c r="H524" s="24" t="s">
        <v>20135</v>
      </c>
      <c r="I524" s="22" t="s">
        <v>19309</v>
      </c>
      <c r="J524" s="22" t="s">
        <v>19815</v>
      </c>
      <c r="K524" s="22" t="s">
        <v>19816</v>
      </c>
      <c r="L524" s="22"/>
      <c r="M524" s="22"/>
      <c r="N524" s="25" t="str">
        <f>HYPERLINK("http://slimages.macys.com/is/image/MCY/23423563 ")</f>
        <v xml:space="preserve">http://slimages.macys.com/is/image/MCY/23423563 </v>
      </c>
    </row>
    <row r="525" spans="1:14" ht="24.75" x14ac:dyDescent="0.25">
      <c r="A525" s="21" t="s">
        <v>14207</v>
      </c>
      <c r="B525" s="22" t="s">
        <v>14208</v>
      </c>
      <c r="C525" s="2">
        <v>1</v>
      </c>
      <c r="D525" s="23">
        <v>7.99</v>
      </c>
      <c r="E525" s="3">
        <v>7.99</v>
      </c>
      <c r="F525" s="2" t="s">
        <v>18975</v>
      </c>
      <c r="G525" s="22" t="s">
        <v>19763</v>
      </c>
      <c r="H525" s="24" t="s">
        <v>19432</v>
      </c>
      <c r="I525" s="22" t="s">
        <v>19309</v>
      </c>
      <c r="J525" s="22" t="s">
        <v>19815</v>
      </c>
      <c r="K525" s="22" t="s">
        <v>19816</v>
      </c>
      <c r="L525" s="22"/>
      <c r="M525" s="22"/>
      <c r="N525" s="25" t="str">
        <f>HYPERLINK("http://slimages.macys.com/is/image/MCY/23423563 ")</f>
        <v xml:space="preserve">http://slimages.macys.com/is/image/MCY/23423563 </v>
      </c>
    </row>
    <row r="526" spans="1:14" ht="24.75" x14ac:dyDescent="0.25">
      <c r="A526" s="21" t="s">
        <v>14746</v>
      </c>
      <c r="B526" s="22" t="s">
        <v>14747</v>
      </c>
      <c r="C526" s="2">
        <v>1</v>
      </c>
      <c r="D526" s="23">
        <v>7.99</v>
      </c>
      <c r="E526" s="3">
        <v>7.99</v>
      </c>
      <c r="F526" s="2" t="s">
        <v>18975</v>
      </c>
      <c r="G526" s="22" t="s">
        <v>19763</v>
      </c>
      <c r="H526" s="24" t="s">
        <v>19361</v>
      </c>
      <c r="I526" s="22" t="s">
        <v>19309</v>
      </c>
      <c r="J526" s="22" t="s">
        <v>19815</v>
      </c>
      <c r="K526" s="22" t="s">
        <v>19816</v>
      </c>
      <c r="L526" s="22"/>
      <c r="M526" s="22"/>
      <c r="N526" s="25" t="str">
        <f>HYPERLINK("http://slimages.macys.com/is/image/MCY/23423563 ")</f>
        <v xml:space="preserve">http://slimages.macys.com/is/image/MCY/23423563 </v>
      </c>
    </row>
    <row r="527" spans="1:14" ht="24.75" x14ac:dyDescent="0.25">
      <c r="A527" s="21" t="s">
        <v>9192</v>
      </c>
      <c r="B527" s="22" t="s">
        <v>9193</v>
      </c>
      <c r="C527" s="2">
        <v>1</v>
      </c>
      <c r="D527" s="23">
        <v>7.99</v>
      </c>
      <c r="E527" s="3">
        <v>7.99</v>
      </c>
      <c r="F527" s="2" t="s">
        <v>18975</v>
      </c>
      <c r="G527" s="22" t="s">
        <v>19763</v>
      </c>
      <c r="H527" s="24" t="s">
        <v>20135</v>
      </c>
      <c r="I527" s="22" t="s">
        <v>19309</v>
      </c>
      <c r="J527" s="22" t="s">
        <v>19815</v>
      </c>
      <c r="K527" s="22" t="s">
        <v>19816</v>
      </c>
      <c r="L527" s="22"/>
      <c r="M527" s="22"/>
      <c r="N527" s="25" t="str">
        <f>HYPERLINK("http://slimages.macys.com/is/image/MCY/23423563 ")</f>
        <v xml:space="preserve">http://slimages.macys.com/is/image/MCY/23423563 </v>
      </c>
    </row>
    <row r="528" spans="1:14" ht="24.75" x14ac:dyDescent="0.25">
      <c r="A528" s="21" t="s">
        <v>9194</v>
      </c>
      <c r="B528" s="22" t="s">
        <v>9195</v>
      </c>
      <c r="C528" s="2">
        <v>1</v>
      </c>
      <c r="D528" s="23">
        <v>7.99</v>
      </c>
      <c r="E528" s="3">
        <v>7.99</v>
      </c>
      <c r="F528" s="2" t="s">
        <v>9196</v>
      </c>
      <c r="G528" s="22" t="s">
        <v>19351</v>
      </c>
      <c r="H528" s="24" t="s">
        <v>20089</v>
      </c>
      <c r="I528" s="22" t="s">
        <v>19309</v>
      </c>
      <c r="J528" s="22" t="s">
        <v>19573</v>
      </c>
      <c r="K528" s="22" t="s">
        <v>19574</v>
      </c>
      <c r="L528" s="22"/>
      <c r="M528" s="22"/>
      <c r="N528" s="25" t="str">
        <f>HYPERLINK("http://slimages.macys.com/is/image/MCY/19977837 ")</f>
        <v xml:space="preserve">http://slimages.macys.com/is/image/MCY/19977837 </v>
      </c>
    </row>
    <row r="529" spans="1:14" ht="24.75" x14ac:dyDescent="0.25">
      <c r="A529" s="21" t="s">
        <v>9197</v>
      </c>
      <c r="B529" s="22" t="s">
        <v>9198</v>
      </c>
      <c r="C529" s="2">
        <v>1</v>
      </c>
      <c r="D529" s="23">
        <v>7.99</v>
      </c>
      <c r="E529" s="3">
        <v>7.99</v>
      </c>
      <c r="F529" s="2" t="s">
        <v>9199</v>
      </c>
      <c r="G529" s="22" t="s">
        <v>19585</v>
      </c>
      <c r="H529" s="24" t="s">
        <v>19907</v>
      </c>
      <c r="I529" s="22" t="s">
        <v>19309</v>
      </c>
      <c r="J529" s="22" t="s">
        <v>19573</v>
      </c>
      <c r="K529" s="22" t="s">
        <v>19574</v>
      </c>
      <c r="L529" s="22"/>
      <c r="M529" s="22"/>
      <c r="N529" s="25" t="str">
        <f>HYPERLINK("http://slimages.macys.com/is/image/MCY/19977765 ")</f>
        <v xml:space="preserve">http://slimages.macys.com/is/image/MCY/19977765 </v>
      </c>
    </row>
    <row r="530" spans="1:14" ht="24.75" x14ac:dyDescent="0.25">
      <c r="A530" s="21" t="s">
        <v>9200</v>
      </c>
      <c r="B530" s="22" t="s">
        <v>9201</v>
      </c>
      <c r="C530" s="2">
        <v>1</v>
      </c>
      <c r="D530" s="23">
        <v>7.99</v>
      </c>
      <c r="E530" s="3">
        <v>7.99</v>
      </c>
      <c r="F530" s="2" t="s">
        <v>9202</v>
      </c>
      <c r="G530" s="22" t="s">
        <v>19357</v>
      </c>
      <c r="H530" s="24" t="s">
        <v>19339</v>
      </c>
      <c r="I530" s="22" t="s">
        <v>19309</v>
      </c>
      <c r="J530" s="22" t="s">
        <v>19353</v>
      </c>
      <c r="K530" s="22" t="s">
        <v>19524</v>
      </c>
      <c r="L530" s="22"/>
      <c r="M530" s="22"/>
      <c r="N530" s="25" t="str">
        <f>HYPERLINK("http://slimages.macys.com/is/image/MCY/19252868 ")</f>
        <v xml:space="preserve">http://slimages.macys.com/is/image/MCY/19252868 </v>
      </c>
    </row>
    <row r="531" spans="1:14" ht="24.75" x14ac:dyDescent="0.25">
      <c r="A531" s="21" t="s">
        <v>18998</v>
      </c>
      <c r="B531" s="22" t="s">
        <v>18999</v>
      </c>
      <c r="C531" s="2">
        <v>1</v>
      </c>
      <c r="D531" s="23">
        <v>5.99</v>
      </c>
      <c r="E531" s="3">
        <v>5.99</v>
      </c>
      <c r="F531" s="2" t="s">
        <v>19000</v>
      </c>
      <c r="G531" s="22" t="s">
        <v>18439</v>
      </c>
      <c r="H531" s="24" t="s">
        <v>19538</v>
      </c>
      <c r="I531" s="22" t="s">
        <v>19309</v>
      </c>
      <c r="J531" s="22" t="s">
        <v>19573</v>
      </c>
      <c r="K531" s="22" t="s">
        <v>19574</v>
      </c>
      <c r="L531" s="22"/>
      <c r="M531" s="22"/>
      <c r="N531" s="25" t="str">
        <f>HYPERLINK("http://slimages.macys.com/is/image/MCY/21515593 ")</f>
        <v xml:space="preserve">http://slimages.macys.com/is/image/MCY/21515593 </v>
      </c>
    </row>
    <row r="532" spans="1:14" ht="24.75" x14ac:dyDescent="0.25">
      <c r="A532" s="21" t="s">
        <v>9203</v>
      </c>
      <c r="B532" s="22" t="s">
        <v>9204</v>
      </c>
      <c r="C532" s="2">
        <v>1</v>
      </c>
      <c r="D532" s="23">
        <v>6.99</v>
      </c>
      <c r="E532" s="3">
        <v>6.99</v>
      </c>
      <c r="F532" s="2">
        <v>10013625700</v>
      </c>
      <c r="G532" s="22" t="s">
        <v>19585</v>
      </c>
      <c r="H532" s="24" t="s">
        <v>19770</v>
      </c>
      <c r="I532" s="22" t="s">
        <v>19309</v>
      </c>
      <c r="J532" s="22" t="s">
        <v>19573</v>
      </c>
      <c r="K532" s="22" t="s">
        <v>19574</v>
      </c>
      <c r="L532" s="22"/>
      <c r="M532" s="22"/>
      <c r="N532" s="25" t="str">
        <f>HYPERLINK("http://slimages.macys.com/is/image/MCY/20142519 ")</f>
        <v xml:space="preserve">http://slimages.macys.com/is/image/MCY/20142519 </v>
      </c>
    </row>
    <row r="533" spans="1:14" ht="24.75" x14ac:dyDescent="0.25">
      <c r="A533" s="21" t="s">
        <v>9205</v>
      </c>
      <c r="B533" s="22" t="s">
        <v>9206</v>
      </c>
      <c r="C533" s="2">
        <v>1</v>
      </c>
      <c r="D533" s="23">
        <v>6.99</v>
      </c>
      <c r="E533" s="3">
        <v>6.99</v>
      </c>
      <c r="F533" s="2" t="s">
        <v>9207</v>
      </c>
      <c r="G533" s="22" t="s">
        <v>19618</v>
      </c>
      <c r="H533" s="24" t="s">
        <v>19364</v>
      </c>
      <c r="I533" s="22" t="s">
        <v>19309</v>
      </c>
      <c r="J533" s="22" t="s">
        <v>19454</v>
      </c>
      <c r="K533" s="22" t="s">
        <v>18654</v>
      </c>
      <c r="L533" s="22"/>
      <c r="M533" s="22"/>
      <c r="N533" s="25" t="str">
        <f>HYPERLINK("http://slimages.macys.com/is/image/MCY/17759330 ")</f>
        <v xml:space="preserve">http://slimages.macys.com/is/image/MCY/17759330 </v>
      </c>
    </row>
    <row r="534" spans="1:14" ht="24.75" x14ac:dyDescent="0.25">
      <c r="A534" s="21" t="s">
        <v>9208</v>
      </c>
      <c r="B534" s="22" t="s">
        <v>9209</v>
      </c>
      <c r="C534" s="2">
        <v>2</v>
      </c>
      <c r="D534" s="23">
        <v>6.99</v>
      </c>
      <c r="E534" s="3">
        <v>13.98</v>
      </c>
      <c r="F534" s="2" t="s">
        <v>9207</v>
      </c>
      <c r="G534" s="22" t="s">
        <v>19315</v>
      </c>
      <c r="H534" s="24" t="s">
        <v>19364</v>
      </c>
      <c r="I534" s="22" t="s">
        <v>19309</v>
      </c>
      <c r="J534" s="22" t="s">
        <v>19454</v>
      </c>
      <c r="K534" s="22" t="s">
        <v>18654</v>
      </c>
      <c r="L534" s="22"/>
      <c r="M534" s="22"/>
      <c r="N534" s="25" t="str">
        <f>HYPERLINK("http://slimages.macys.com/is/image/MCY/19257774 ")</f>
        <v xml:space="preserve">http://slimages.macys.com/is/image/MCY/19257774 </v>
      </c>
    </row>
    <row r="535" spans="1:14" x14ac:dyDescent="0.25">
      <c r="A535" s="21" t="s">
        <v>12571</v>
      </c>
      <c r="B535" s="22" t="s">
        <v>12572</v>
      </c>
      <c r="C535" s="2">
        <v>2</v>
      </c>
      <c r="D535" s="23">
        <v>6.99</v>
      </c>
      <c r="E535" s="3">
        <v>13.98</v>
      </c>
      <c r="F535" s="2" t="s">
        <v>19035</v>
      </c>
      <c r="G535" s="22" t="s">
        <v>19315</v>
      </c>
      <c r="H535" s="24" t="s">
        <v>19352</v>
      </c>
      <c r="I535" s="22" t="s">
        <v>19309</v>
      </c>
      <c r="J535" s="22" t="s">
        <v>19849</v>
      </c>
      <c r="K535" s="22" t="s">
        <v>19850</v>
      </c>
      <c r="L535" s="22"/>
      <c r="M535" s="22"/>
      <c r="N535" s="25" t="str">
        <f>HYPERLINK("http://slimages.macys.com/is/image/MCY/19068309 ")</f>
        <v xml:space="preserve">http://slimages.macys.com/is/image/MCY/19068309 </v>
      </c>
    </row>
    <row r="536" spans="1:14" x14ac:dyDescent="0.25">
      <c r="A536" s="21" t="s">
        <v>9210</v>
      </c>
      <c r="B536" s="22" t="s">
        <v>9211</v>
      </c>
      <c r="C536" s="2">
        <v>1</v>
      </c>
      <c r="D536" s="23">
        <v>6.99</v>
      </c>
      <c r="E536" s="3">
        <v>6.99</v>
      </c>
      <c r="F536" s="2" t="s">
        <v>19035</v>
      </c>
      <c r="G536" s="22" t="s">
        <v>19315</v>
      </c>
      <c r="H536" s="24" t="s">
        <v>19797</v>
      </c>
      <c r="I536" s="22" t="s">
        <v>19309</v>
      </c>
      <c r="J536" s="22" t="s">
        <v>19849</v>
      </c>
      <c r="K536" s="22" t="s">
        <v>19850</v>
      </c>
      <c r="L536" s="22"/>
      <c r="M536" s="22"/>
      <c r="N536" s="25" t="str">
        <f>HYPERLINK("http://slimages.macys.com/is/image/MCY/19068274 ")</f>
        <v xml:space="preserve">http://slimages.macys.com/is/image/MCY/19068274 </v>
      </c>
    </row>
    <row r="537" spans="1:14" x14ac:dyDescent="0.25">
      <c r="A537" s="21" t="s">
        <v>9212</v>
      </c>
      <c r="B537" s="22" t="s">
        <v>9213</v>
      </c>
      <c r="C537" s="2">
        <v>1</v>
      </c>
      <c r="D537" s="23">
        <v>6.99</v>
      </c>
      <c r="E537" s="3">
        <v>6.99</v>
      </c>
      <c r="F537" s="2" t="s">
        <v>19035</v>
      </c>
      <c r="G537" s="22" t="s">
        <v>19351</v>
      </c>
      <c r="H537" s="24" t="s">
        <v>19797</v>
      </c>
      <c r="I537" s="22" t="s">
        <v>19309</v>
      </c>
      <c r="J537" s="22" t="s">
        <v>19849</v>
      </c>
      <c r="K537" s="22" t="s">
        <v>19850</v>
      </c>
      <c r="L537" s="22"/>
      <c r="M537" s="22"/>
      <c r="N537" s="25" t="str">
        <f>HYPERLINK("http://slimages.macys.com/is/image/MCY/19068309 ")</f>
        <v xml:space="preserve">http://slimages.macys.com/is/image/MCY/19068309 </v>
      </c>
    </row>
    <row r="538" spans="1:14" x14ac:dyDescent="0.25">
      <c r="A538" s="21" t="s">
        <v>17069</v>
      </c>
      <c r="B538" s="22" t="s">
        <v>17070</v>
      </c>
      <c r="C538" s="2">
        <v>2</v>
      </c>
      <c r="D538" s="23">
        <v>6.99</v>
      </c>
      <c r="E538" s="3">
        <v>13.98</v>
      </c>
      <c r="F538" s="2" t="s">
        <v>19035</v>
      </c>
      <c r="G538" s="22" t="s">
        <v>19351</v>
      </c>
      <c r="H538" s="24" t="s">
        <v>19364</v>
      </c>
      <c r="I538" s="22" t="s">
        <v>19309</v>
      </c>
      <c r="J538" s="22" t="s">
        <v>19849</v>
      </c>
      <c r="K538" s="22" t="s">
        <v>19850</v>
      </c>
      <c r="L538" s="22"/>
      <c r="M538" s="22"/>
      <c r="N538" s="25" t="str">
        <f>HYPERLINK("http://slimages.macys.com/is/image/MCY/19068309 ")</f>
        <v xml:space="preserve">http://slimages.macys.com/is/image/MCY/19068309 </v>
      </c>
    </row>
    <row r="539" spans="1:14" ht="24.75" x14ac:dyDescent="0.25">
      <c r="A539" s="21" t="s">
        <v>9214</v>
      </c>
      <c r="B539" s="22" t="s">
        <v>9215</v>
      </c>
      <c r="C539" s="2">
        <v>1</v>
      </c>
      <c r="D539" s="23">
        <v>7.99</v>
      </c>
      <c r="E539" s="3">
        <v>7.99</v>
      </c>
      <c r="F539" s="2" t="s">
        <v>9216</v>
      </c>
      <c r="G539" s="22" t="s">
        <v>19618</v>
      </c>
      <c r="H539" s="24" t="s">
        <v>19907</v>
      </c>
      <c r="I539" s="22" t="s">
        <v>19309</v>
      </c>
      <c r="J539" s="22" t="s">
        <v>19573</v>
      </c>
      <c r="K539" s="22" t="s">
        <v>19574</v>
      </c>
      <c r="L539" s="22"/>
      <c r="M539" s="22"/>
      <c r="N539" s="25" t="str">
        <f>HYPERLINK("http://slimages.macys.com/is/image/MCY/21088469 ")</f>
        <v xml:space="preserve">http://slimages.macys.com/is/image/MCY/21088469 </v>
      </c>
    </row>
    <row r="540" spans="1:14" ht="24.75" x14ac:dyDescent="0.25">
      <c r="A540" s="21" t="s">
        <v>17087</v>
      </c>
      <c r="B540" s="22" t="s">
        <v>17088</v>
      </c>
      <c r="C540" s="2">
        <v>1</v>
      </c>
      <c r="D540" s="23">
        <v>7.99</v>
      </c>
      <c r="E540" s="3">
        <v>7.99</v>
      </c>
      <c r="F540" s="2" t="s">
        <v>18975</v>
      </c>
      <c r="G540" s="22" t="s">
        <v>19404</v>
      </c>
      <c r="H540" s="24" t="s">
        <v>19542</v>
      </c>
      <c r="I540" s="22" t="s">
        <v>19309</v>
      </c>
      <c r="J540" s="22" t="s">
        <v>19815</v>
      </c>
      <c r="K540" s="22" t="s">
        <v>19816</v>
      </c>
      <c r="L540" s="22"/>
      <c r="M540" s="22"/>
      <c r="N540" s="25" t="str">
        <f>HYPERLINK("http://slimages.macys.com/is/image/MCY/23423563 ")</f>
        <v xml:space="preserve">http://slimages.macys.com/is/image/MCY/23423563 </v>
      </c>
    </row>
    <row r="541" spans="1:14" ht="24.75" x14ac:dyDescent="0.25">
      <c r="A541" s="21" t="s">
        <v>14193</v>
      </c>
      <c r="B541" s="22" t="s">
        <v>14194</v>
      </c>
      <c r="C541" s="2">
        <v>1</v>
      </c>
      <c r="D541" s="23">
        <v>7.99</v>
      </c>
      <c r="E541" s="3">
        <v>7.99</v>
      </c>
      <c r="F541" s="2" t="s">
        <v>18975</v>
      </c>
      <c r="G541" s="22" t="s">
        <v>19518</v>
      </c>
      <c r="H541" s="24" t="s">
        <v>19542</v>
      </c>
      <c r="I541" s="22" t="s">
        <v>19309</v>
      </c>
      <c r="J541" s="22" t="s">
        <v>19815</v>
      </c>
      <c r="K541" s="22" t="s">
        <v>19816</v>
      </c>
      <c r="L541" s="22"/>
      <c r="M541" s="22"/>
      <c r="N541" s="25" t="str">
        <f>HYPERLINK("http://slimages.macys.com/is/image/MCY/20454015 ")</f>
        <v xml:space="preserve">http://slimages.macys.com/is/image/MCY/20454015 </v>
      </c>
    </row>
    <row r="542" spans="1:14" ht="24.75" x14ac:dyDescent="0.25">
      <c r="A542" s="21" t="s">
        <v>9217</v>
      </c>
      <c r="B542" s="22" t="s">
        <v>9218</v>
      </c>
      <c r="C542" s="2">
        <v>2</v>
      </c>
      <c r="D542" s="23">
        <v>7.99</v>
      </c>
      <c r="E542" s="3">
        <v>15.98</v>
      </c>
      <c r="F542" s="2" t="s">
        <v>9219</v>
      </c>
      <c r="G542" s="22" t="s">
        <v>19794</v>
      </c>
      <c r="H542" s="24" t="s">
        <v>20135</v>
      </c>
      <c r="I542" s="22" t="s">
        <v>19309</v>
      </c>
      <c r="J542" s="22" t="s">
        <v>19573</v>
      </c>
      <c r="K542" s="22" t="s">
        <v>19574</v>
      </c>
      <c r="L542" s="22"/>
      <c r="M542" s="22"/>
      <c r="N542" s="25" t="str">
        <f>HYPERLINK("http://slimages.macys.com/is/image/MCY/21209342 ")</f>
        <v xml:space="preserve">http://slimages.macys.com/is/image/MCY/21209342 </v>
      </c>
    </row>
    <row r="543" spans="1:14" ht="24.75" x14ac:dyDescent="0.25">
      <c r="A543" s="21" t="s">
        <v>9220</v>
      </c>
      <c r="B543" s="22" t="s">
        <v>9221</v>
      </c>
      <c r="C543" s="2">
        <v>3</v>
      </c>
      <c r="D543" s="23">
        <v>7.99</v>
      </c>
      <c r="E543" s="3">
        <v>23.97</v>
      </c>
      <c r="F543" s="2" t="s">
        <v>9219</v>
      </c>
      <c r="G543" s="22" t="s">
        <v>19431</v>
      </c>
      <c r="H543" s="24" t="s">
        <v>20135</v>
      </c>
      <c r="I543" s="22" t="s">
        <v>19309</v>
      </c>
      <c r="J543" s="22" t="s">
        <v>19573</v>
      </c>
      <c r="K543" s="22" t="s">
        <v>19574</v>
      </c>
      <c r="L543" s="22"/>
      <c r="M543" s="22"/>
      <c r="N543" s="25" t="str">
        <f>HYPERLINK("http://slimages.macys.com/is/image/MCY/21209342 ")</f>
        <v xml:space="preserve">http://slimages.macys.com/is/image/MCY/21209342 </v>
      </c>
    </row>
    <row r="544" spans="1:14" ht="24.75" x14ac:dyDescent="0.25">
      <c r="A544" s="21" t="s">
        <v>9222</v>
      </c>
      <c r="B544" s="22" t="s">
        <v>9223</v>
      </c>
      <c r="C544" s="2">
        <v>3</v>
      </c>
      <c r="D544" s="23">
        <v>7.99</v>
      </c>
      <c r="E544" s="3">
        <v>23.97</v>
      </c>
      <c r="F544" s="2" t="s">
        <v>9219</v>
      </c>
      <c r="G544" s="22" t="s">
        <v>19794</v>
      </c>
      <c r="H544" s="24" t="s">
        <v>19907</v>
      </c>
      <c r="I544" s="22" t="s">
        <v>19309</v>
      </c>
      <c r="J544" s="22" t="s">
        <v>19573</v>
      </c>
      <c r="K544" s="22" t="s">
        <v>19574</v>
      </c>
      <c r="L544" s="22"/>
      <c r="M544" s="22"/>
      <c r="N544" s="25" t="str">
        <f>HYPERLINK("http://slimages.macys.com/is/image/MCY/21209342 ")</f>
        <v xml:space="preserve">http://slimages.macys.com/is/image/MCY/21209342 </v>
      </c>
    </row>
    <row r="545" spans="1:14" ht="24.75" x14ac:dyDescent="0.25">
      <c r="A545" s="21" t="s">
        <v>9224</v>
      </c>
      <c r="B545" s="22" t="s">
        <v>9225</v>
      </c>
      <c r="C545" s="2">
        <v>2</v>
      </c>
      <c r="D545" s="23">
        <v>7.99</v>
      </c>
      <c r="E545" s="3">
        <v>15.98</v>
      </c>
      <c r="F545" s="2" t="s">
        <v>9219</v>
      </c>
      <c r="G545" s="22" t="s">
        <v>19794</v>
      </c>
      <c r="H545" s="24" t="s">
        <v>20089</v>
      </c>
      <c r="I545" s="22" t="s">
        <v>19309</v>
      </c>
      <c r="J545" s="22" t="s">
        <v>19573</v>
      </c>
      <c r="K545" s="22" t="s">
        <v>19574</v>
      </c>
      <c r="L545" s="22"/>
      <c r="M545" s="22"/>
      <c r="N545" s="25" t="str">
        <f>HYPERLINK("http://slimages.macys.com/is/image/MCY/21209342 ")</f>
        <v xml:space="preserve">http://slimages.macys.com/is/image/MCY/21209342 </v>
      </c>
    </row>
    <row r="546" spans="1:14" ht="24.75" x14ac:dyDescent="0.25">
      <c r="A546" s="21" t="s">
        <v>9226</v>
      </c>
      <c r="B546" s="22" t="s">
        <v>9227</v>
      </c>
      <c r="C546" s="2">
        <v>2</v>
      </c>
      <c r="D546" s="23">
        <v>7.99</v>
      </c>
      <c r="E546" s="3">
        <v>15.98</v>
      </c>
      <c r="F546" s="2" t="s">
        <v>9228</v>
      </c>
      <c r="G546" s="22" t="s">
        <v>19462</v>
      </c>
      <c r="H546" s="24" t="s">
        <v>19907</v>
      </c>
      <c r="I546" s="22" t="s">
        <v>19309</v>
      </c>
      <c r="J546" s="22" t="s">
        <v>19573</v>
      </c>
      <c r="K546" s="22" t="s">
        <v>19574</v>
      </c>
      <c r="L546" s="22"/>
      <c r="M546" s="22"/>
      <c r="N546" s="25" t="str">
        <f>HYPERLINK("http://slimages.macys.com/is/image/MCY/19977390 ")</f>
        <v xml:space="preserve">http://slimages.macys.com/is/image/MCY/19977390 </v>
      </c>
    </row>
    <row r="547" spans="1:14" ht="24.75" x14ac:dyDescent="0.25">
      <c r="A547" s="21" t="s">
        <v>9229</v>
      </c>
      <c r="B547" s="22" t="s">
        <v>9230</v>
      </c>
      <c r="C547" s="2">
        <v>1</v>
      </c>
      <c r="D547" s="23">
        <v>18.11</v>
      </c>
      <c r="E547" s="3">
        <v>18.11</v>
      </c>
      <c r="F547" s="2">
        <v>4101</v>
      </c>
      <c r="G547" s="22" t="s">
        <v>19422</v>
      </c>
      <c r="H547" s="24" t="s">
        <v>19797</v>
      </c>
      <c r="I547" s="22" t="s">
        <v>19309</v>
      </c>
      <c r="J547" s="22" t="s">
        <v>20076</v>
      </c>
      <c r="K547" s="22" t="s">
        <v>20077</v>
      </c>
      <c r="L547" s="22"/>
      <c r="M547" s="22"/>
      <c r="N547" s="25" t="str">
        <f>HYPERLINK("http://slimages.macys.com/is/image/MCY/19939990 ")</f>
        <v xml:space="preserve">http://slimages.macys.com/is/image/MCY/19939990 </v>
      </c>
    </row>
    <row r="548" spans="1:14" ht="24.75" x14ac:dyDescent="0.25">
      <c r="A548" s="21" t="s">
        <v>9231</v>
      </c>
      <c r="B548" s="22" t="s">
        <v>9232</v>
      </c>
      <c r="C548" s="2">
        <v>1</v>
      </c>
      <c r="D548" s="23">
        <v>6.99</v>
      </c>
      <c r="E548" s="3">
        <v>6.99</v>
      </c>
      <c r="F548" s="2" t="s">
        <v>9233</v>
      </c>
      <c r="G548" s="22" t="s">
        <v>19351</v>
      </c>
      <c r="H548" s="24" t="s">
        <v>19330</v>
      </c>
      <c r="I548" s="22" t="s">
        <v>19309</v>
      </c>
      <c r="J548" s="22" t="s">
        <v>19573</v>
      </c>
      <c r="K548" s="22" t="s">
        <v>19574</v>
      </c>
      <c r="L548" s="22"/>
      <c r="M548" s="22"/>
      <c r="N548" s="25" t="str">
        <f>HYPERLINK("http://slimages.macys.com/is/image/MCY/1090535 ")</f>
        <v xml:space="preserve">http://slimages.macys.com/is/image/MCY/1090535 </v>
      </c>
    </row>
    <row r="549" spans="1:14" ht="24.75" x14ac:dyDescent="0.25">
      <c r="A549" s="21" t="s">
        <v>9234</v>
      </c>
      <c r="B549" s="22" t="s">
        <v>9235</v>
      </c>
      <c r="C549" s="2">
        <v>1</v>
      </c>
      <c r="D549" s="23">
        <v>5.99</v>
      </c>
      <c r="E549" s="3">
        <v>5.99</v>
      </c>
      <c r="F549" s="2" t="s">
        <v>9236</v>
      </c>
      <c r="G549" s="22" t="s">
        <v>19415</v>
      </c>
      <c r="H549" s="24" t="s">
        <v>19538</v>
      </c>
      <c r="I549" s="22" t="s">
        <v>19309</v>
      </c>
      <c r="J549" s="22" t="s">
        <v>19573</v>
      </c>
      <c r="K549" s="22" t="s">
        <v>19574</v>
      </c>
      <c r="L549" s="22"/>
      <c r="M549" s="22"/>
      <c r="N549" s="25" t="str">
        <f>HYPERLINK("http://slimages.macys.com/is/image/MCY/20753433 ")</f>
        <v xml:space="preserve">http://slimages.macys.com/is/image/MCY/20753433 </v>
      </c>
    </row>
    <row r="550" spans="1:14" ht="24.75" x14ac:dyDescent="0.25">
      <c r="A550" s="21" t="s">
        <v>9237</v>
      </c>
      <c r="B550" s="22" t="s">
        <v>9238</v>
      </c>
      <c r="C550" s="2">
        <v>1</v>
      </c>
      <c r="D550" s="23">
        <v>7.99</v>
      </c>
      <c r="E550" s="3">
        <v>7.99</v>
      </c>
      <c r="F550" s="2" t="s">
        <v>9239</v>
      </c>
      <c r="G550" s="22" t="s">
        <v>19618</v>
      </c>
      <c r="H550" s="24" t="s">
        <v>19907</v>
      </c>
      <c r="I550" s="22" t="s">
        <v>19309</v>
      </c>
      <c r="J550" s="22" t="s">
        <v>19573</v>
      </c>
      <c r="K550" s="22" t="s">
        <v>19574</v>
      </c>
      <c r="L550" s="22"/>
      <c r="M550" s="22"/>
      <c r="N550" s="25" t="str">
        <f>HYPERLINK("http://slimages.macys.com/is/image/MCY/19977762 ")</f>
        <v xml:space="preserve">http://slimages.macys.com/is/image/MCY/19977762 </v>
      </c>
    </row>
    <row r="551" spans="1:14" ht="24.75" x14ac:dyDescent="0.25">
      <c r="A551" s="21" t="s">
        <v>9240</v>
      </c>
      <c r="B551" s="22" t="s">
        <v>9241</v>
      </c>
      <c r="C551" s="2">
        <v>1</v>
      </c>
      <c r="D551" s="23">
        <v>6.99</v>
      </c>
      <c r="E551" s="3">
        <v>6.99</v>
      </c>
      <c r="F551" s="2" t="s">
        <v>9242</v>
      </c>
      <c r="G551" s="22" t="s">
        <v>19513</v>
      </c>
      <c r="H551" s="24" t="s">
        <v>19384</v>
      </c>
      <c r="I551" s="22" t="s">
        <v>19309</v>
      </c>
      <c r="J551" s="22" t="s">
        <v>19573</v>
      </c>
      <c r="K551" s="22" t="s">
        <v>19574</v>
      </c>
      <c r="L551" s="22"/>
      <c r="M551" s="22"/>
      <c r="N551" s="25" t="str">
        <f>HYPERLINK("http://slimages.macys.com/is/image/MCY/19510950 ")</f>
        <v xml:space="preserve">http://slimages.macys.com/is/image/MCY/19510950 </v>
      </c>
    </row>
    <row r="552" spans="1:14" ht="24.75" x14ac:dyDescent="0.25">
      <c r="A552" s="21" t="s">
        <v>9243</v>
      </c>
      <c r="B552" s="22" t="s">
        <v>9244</v>
      </c>
      <c r="C552" s="2">
        <v>1</v>
      </c>
      <c r="D552" s="23">
        <v>5.99</v>
      </c>
      <c r="E552" s="3">
        <v>5.99</v>
      </c>
      <c r="F552" s="2" t="s">
        <v>9245</v>
      </c>
      <c r="G552" s="22" t="s">
        <v>19713</v>
      </c>
      <c r="H552" s="24" t="s">
        <v>19384</v>
      </c>
      <c r="I552" s="22" t="s">
        <v>19309</v>
      </c>
      <c r="J552" s="22" t="s">
        <v>19573</v>
      </c>
      <c r="K552" s="22" t="s">
        <v>19574</v>
      </c>
      <c r="L552" s="22"/>
      <c r="M552" s="22"/>
      <c r="N552" s="25" t="str">
        <f>HYPERLINK("http://slimages.macys.com/is/image/MCY/1133238 ")</f>
        <v xml:space="preserve">http://slimages.macys.com/is/image/MCY/1133238 </v>
      </c>
    </row>
    <row r="553" spans="1:14" ht="24.75" x14ac:dyDescent="0.25">
      <c r="A553" s="21" t="s">
        <v>9246</v>
      </c>
      <c r="B553" s="22" t="s">
        <v>9247</v>
      </c>
      <c r="C553" s="2">
        <v>1</v>
      </c>
      <c r="D553" s="23">
        <v>7.99</v>
      </c>
      <c r="E553" s="3">
        <v>7.99</v>
      </c>
      <c r="F553" s="2" t="s">
        <v>11143</v>
      </c>
      <c r="G553" s="22" t="s">
        <v>19670</v>
      </c>
      <c r="H553" s="24" t="s">
        <v>20089</v>
      </c>
      <c r="I553" s="22" t="s">
        <v>19309</v>
      </c>
      <c r="J553" s="22" t="s">
        <v>19573</v>
      </c>
      <c r="K553" s="22" t="s">
        <v>19574</v>
      </c>
      <c r="L553" s="22"/>
      <c r="M553" s="22"/>
      <c r="N553" s="25" t="str">
        <f>HYPERLINK("http://slimages.macys.com/is/image/MCY/21209533 ")</f>
        <v xml:space="preserve">http://slimages.macys.com/is/image/MCY/21209533 </v>
      </c>
    </row>
    <row r="554" spans="1:14" x14ac:dyDescent="0.25">
      <c r="A554" s="21" t="s">
        <v>19094</v>
      </c>
      <c r="B554" s="22" t="s">
        <v>19095</v>
      </c>
      <c r="C554" s="2">
        <v>1</v>
      </c>
      <c r="D554" s="23">
        <v>5.99</v>
      </c>
      <c r="E554" s="3">
        <v>5.99</v>
      </c>
      <c r="F554" s="2" t="s">
        <v>19096</v>
      </c>
      <c r="G554" s="22" t="s">
        <v>19513</v>
      </c>
      <c r="H554" s="24" t="s">
        <v>19542</v>
      </c>
      <c r="I554" s="22" t="s">
        <v>19309</v>
      </c>
      <c r="J554" s="22" t="s">
        <v>19514</v>
      </c>
      <c r="K554" s="22" t="s">
        <v>18514</v>
      </c>
      <c r="L554" s="22" t="s">
        <v>19319</v>
      </c>
      <c r="M554" s="22" t="s">
        <v>19435</v>
      </c>
      <c r="N554" s="25" t="str">
        <f>HYPERLINK("http://slimages.macys.com/is/image/MCY/9337988 ")</f>
        <v xml:space="preserve">http://slimages.macys.com/is/image/MCY/9337988 </v>
      </c>
    </row>
    <row r="555" spans="1:14" ht="24.75" x14ac:dyDescent="0.25">
      <c r="A555" s="21" t="s">
        <v>9248</v>
      </c>
      <c r="B555" s="22" t="s">
        <v>9249</v>
      </c>
      <c r="C555" s="2">
        <v>1</v>
      </c>
      <c r="D555" s="23">
        <v>6.99</v>
      </c>
      <c r="E555" s="3">
        <v>6.99</v>
      </c>
      <c r="F555" s="2" t="s">
        <v>9250</v>
      </c>
      <c r="G555" s="22" t="s">
        <v>19351</v>
      </c>
      <c r="H555" s="24" t="s">
        <v>19324</v>
      </c>
      <c r="I555" s="22" t="s">
        <v>19309</v>
      </c>
      <c r="J555" s="22" t="s">
        <v>19573</v>
      </c>
      <c r="K555" s="22" t="s">
        <v>19574</v>
      </c>
      <c r="L555" s="22"/>
      <c r="M555" s="22"/>
      <c r="N555" s="25" t="str">
        <f>HYPERLINK("http://slimages.macys.com/is/image/MCY/20134543 ")</f>
        <v xml:space="preserve">http://slimages.macys.com/is/image/MCY/20134543 </v>
      </c>
    </row>
    <row r="556" spans="1:14" ht="24.75" x14ac:dyDescent="0.25">
      <c r="A556" s="21" t="s">
        <v>19112</v>
      </c>
      <c r="B556" s="22" t="s">
        <v>19113</v>
      </c>
      <c r="C556" s="2">
        <v>2</v>
      </c>
      <c r="D556" s="23">
        <v>5.99</v>
      </c>
      <c r="E556" s="3">
        <v>11.98</v>
      </c>
      <c r="F556" s="2" t="s">
        <v>19109</v>
      </c>
      <c r="G556" s="22" t="s">
        <v>19670</v>
      </c>
      <c r="H556" s="24" t="s">
        <v>19324</v>
      </c>
      <c r="I556" s="22" t="s">
        <v>19309</v>
      </c>
      <c r="J556" s="22" t="s">
        <v>19573</v>
      </c>
      <c r="K556" s="22" t="s">
        <v>19574</v>
      </c>
      <c r="L556" s="22"/>
      <c r="M556" s="22"/>
      <c r="N556" s="25" t="str">
        <f>HYPERLINK("http://slimages.macys.com/is/image/MCY/21209381 ")</f>
        <v xml:space="preserve">http://slimages.macys.com/is/image/MCY/21209381 </v>
      </c>
    </row>
    <row r="557" spans="1:14" ht="24.75" x14ac:dyDescent="0.25">
      <c r="A557" s="21" t="s">
        <v>10110</v>
      </c>
      <c r="B557" s="22" t="s">
        <v>10111</v>
      </c>
      <c r="C557" s="2">
        <v>1</v>
      </c>
      <c r="D557" s="23">
        <v>5.99</v>
      </c>
      <c r="E557" s="3">
        <v>5.99</v>
      </c>
      <c r="F557" s="2" t="s">
        <v>19129</v>
      </c>
      <c r="G557" s="22" t="s">
        <v>19467</v>
      </c>
      <c r="H557" s="24" t="s">
        <v>19330</v>
      </c>
      <c r="I557" s="22" t="s">
        <v>19309</v>
      </c>
      <c r="J557" s="22" t="s">
        <v>19573</v>
      </c>
      <c r="K557" s="22" t="s">
        <v>19574</v>
      </c>
      <c r="L557" s="22"/>
      <c r="M557" s="22"/>
      <c r="N557" s="25" t="str">
        <f>HYPERLINK("http://slimages.macys.com/is/image/MCY/1905756 ")</f>
        <v xml:space="preserve">http://slimages.macys.com/is/image/MCY/1905756 </v>
      </c>
    </row>
    <row r="558" spans="1:14" ht="24.75" x14ac:dyDescent="0.25">
      <c r="A558" s="21" t="s">
        <v>14795</v>
      </c>
      <c r="B558" s="22" t="s">
        <v>14796</v>
      </c>
      <c r="C558" s="2">
        <v>1</v>
      </c>
      <c r="D558" s="23">
        <v>5.99</v>
      </c>
      <c r="E558" s="3">
        <v>5.99</v>
      </c>
      <c r="F558" s="2" t="s">
        <v>19129</v>
      </c>
      <c r="G558" s="22" t="s">
        <v>19467</v>
      </c>
      <c r="H558" s="24" t="s">
        <v>19416</v>
      </c>
      <c r="I558" s="22" t="s">
        <v>19309</v>
      </c>
      <c r="J558" s="22" t="s">
        <v>19573</v>
      </c>
      <c r="K558" s="22" t="s">
        <v>19574</v>
      </c>
      <c r="L558" s="22"/>
      <c r="M558" s="22"/>
      <c r="N558" s="25" t="str">
        <f>HYPERLINK("http://slimages.macys.com/is/image/MCY/1905756 ")</f>
        <v xml:space="preserve">http://slimages.macys.com/is/image/MCY/1905756 </v>
      </c>
    </row>
    <row r="559" spans="1:14" ht="24.75" x14ac:dyDescent="0.25">
      <c r="A559" s="21" t="s">
        <v>9251</v>
      </c>
      <c r="B559" s="22" t="s">
        <v>9252</v>
      </c>
      <c r="C559" s="2">
        <v>1</v>
      </c>
      <c r="D559" s="23">
        <v>6.99</v>
      </c>
      <c r="E559" s="3">
        <v>6.99</v>
      </c>
      <c r="F559" s="2" t="s">
        <v>9253</v>
      </c>
      <c r="G559" s="22" t="s">
        <v>19415</v>
      </c>
      <c r="H559" s="24" t="s">
        <v>19384</v>
      </c>
      <c r="I559" s="22" t="s">
        <v>19309</v>
      </c>
      <c r="J559" s="22" t="s">
        <v>19573</v>
      </c>
      <c r="K559" s="22" t="s">
        <v>19574</v>
      </c>
      <c r="L559" s="22"/>
      <c r="M559" s="22"/>
      <c r="N559" s="25" t="str">
        <f>HYPERLINK("http://slimages.macys.com/is/image/MCY/19507928 ")</f>
        <v xml:space="preserve">http://slimages.macys.com/is/image/MCY/19507928 </v>
      </c>
    </row>
    <row r="560" spans="1:14" ht="24.75" x14ac:dyDescent="0.25">
      <c r="A560" s="21" t="s">
        <v>9254</v>
      </c>
      <c r="B560" s="22" t="s">
        <v>9255</v>
      </c>
      <c r="C560" s="2">
        <v>1</v>
      </c>
      <c r="D560" s="23">
        <v>7.99</v>
      </c>
      <c r="E560" s="3">
        <v>7.99</v>
      </c>
      <c r="F560" s="2" t="s">
        <v>9256</v>
      </c>
      <c r="G560" s="22" t="s">
        <v>19351</v>
      </c>
      <c r="H560" s="24" t="s">
        <v>20089</v>
      </c>
      <c r="I560" s="22" t="s">
        <v>19309</v>
      </c>
      <c r="J560" s="22" t="s">
        <v>19573</v>
      </c>
      <c r="K560" s="22" t="s">
        <v>19574</v>
      </c>
      <c r="L560" s="22"/>
      <c r="M560" s="22"/>
      <c r="N560" s="25" t="str">
        <f>HYPERLINK("http://slimages.macys.com/is/image/MCY/1017764 ")</f>
        <v xml:space="preserve">http://slimages.macys.com/is/image/MCY/1017764 </v>
      </c>
    </row>
    <row r="561" spans="1:14" ht="24.75" x14ac:dyDescent="0.25">
      <c r="A561" s="21" t="s">
        <v>9257</v>
      </c>
      <c r="B561" s="22" t="s">
        <v>9258</v>
      </c>
      <c r="C561" s="2">
        <v>1</v>
      </c>
      <c r="D561" s="23">
        <v>7.99</v>
      </c>
      <c r="E561" s="3">
        <v>7.99</v>
      </c>
      <c r="F561" s="2" t="s">
        <v>9256</v>
      </c>
      <c r="G561" s="22" t="s">
        <v>19351</v>
      </c>
      <c r="H561" s="24" t="s">
        <v>20135</v>
      </c>
      <c r="I561" s="22" t="s">
        <v>19309</v>
      </c>
      <c r="J561" s="22" t="s">
        <v>19573</v>
      </c>
      <c r="K561" s="22" t="s">
        <v>19574</v>
      </c>
      <c r="L561" s="22"/>
      <c r="M561" s="22"/>
      <c r="N561" s="25" t="str">
        <f>HYPERLINK("http://slimages.macys.com/is/image/MCY/1017764 ")</f>
        <v xml:space="preserve">http://slimages.macys.com/is/image/MCY/1017764 </v>
      </c>
    </row>
    <row r="562" spans="1:14" ht="24.75" x14ac:dyDescent="0.25">
      <c r="A562" s="21" t="s">
        <v>11147</v>
      </c>
      <c r="B562" s="22" t="s">
        <v>11148</v>
      </c>
      <c r="C562" s="2">
        <v>1</v>
      </c>
      <c r="D562" s="23">
        <v>7.99</v>
      </c>
      <c r="E562" s="3">
        <v>7.99</v>
      </c>
      <c r="F562" s="2" t="s">
        <v>11146</v>
      </c>
      <c r="G562" s="22" t="s">
        <v>19351</v>
      </c>
      <c r="H562" s="24" t="s">
        <v>20089</v>
      </c>
      <c r="I562" s="22" t="s">
        <v>19309</v>
      </c>
      <c r="J562" s="22" t="s">
        <v>19573</v>
      </c>
      <c r="K562" s="22" t="s">
        <v>19574</v>
      </c>
      <c r="L562" s="22"/>
      <c r="M562" s="22"/>
      <c r="N562" s="25" t="str">
        <f>HYPERLINK("http://slimages.macys.com/is/image/MCY/21209453 ")</f>
        <v xml:space="preserve">http://slimages.macys.com/is/image/MCY/21209453 </v>
      </c>
    </row>
    <row r="563" spans="1:14" ht="24.75" x14ac:dyDescent="0.25">
      <c r="A563" s="21" t="s">
        <v>9259</v>
      </c>
      <c r="B563" s="22" t="s">
        <v>9260</v>
      </c>
      <c r="C563" s="2">
        <v>1</v>
      </c>
      <c r="D563" s="23">
        <v>6.99</v>
      </c>
      <c r="E563" s="3">
        <v>6.99</v>
      </c>
      <c r="F563" s="2" t="s">
        <v>9261</v>
      </c>
      <c r="G563" s="22" t="s">
        <v>19462</v>
      </c>
      <c r="H563" s="24" t="s">
        <v>19330</v>
      </c>
      <c r="I563" s="22" t="s">
        <v>19309</v>
      </c>
      <c r="J563" s="22" t="s">
        <v>19573</v>
      </c>
      <c r="K563" s="22" t="s">
        <v>19574</v>
      </c>
      <c r="L563" s="22"/>
      <c r="M563" s="22"/>
      <c r="N563" s="25" t="str">
        <f>HYPERLINK("http://slimages.macys.com/is/image/MCY/19977451 ")</f>
        <v xml:space="preserve">http://slimages.macys.com/is/image/MCY/19977451 </v>
      </c>
    </row>
    <row r="564" spans="1:14" ht="24.75" x14ac:dyDescent="0.25">
      <c r="A564" s="21" t="s">
        <v>14812</v>
      </c>
      <c r="B564" s="22" t="s">
        <v>14813</v>
      </c>
      <c r="C564" s="2">
        <v>1</v>
      </c>
      <c r="D564" s="23">
        <v>6.99</v>
      </c>
      <c r="E564" s="3">
        <v>6.99</v>
      </c>
      <c r="F564" s="2" t="s">
        <v>14809</v>
      </c>
      <c r="G564" s="22" t="s">
        <v>19674</v>
      </c>
      <c r="H564" s="24" t="s">
        <v>19330</v>
      </c>
      <c r="I564" s="22" t="s">
        <v>19309</v>
      </c>
      <c r="J564" s="22" t="s">
        <v>19573</v>
      </c>
      <c r="K564" s="22" t="s">
        <v>19574</v>
      </c>
      <c r="L564" s="22"/>
      <c r="M564" s="22"/>
      <c r="N564" s="25" t="str">
        <f>HYPERLINK("http://slimages.macys.com/is/image/MCY/20385753 ")</f>
        <v xml:space="preserve">http://slimages.macys.com/is/image/MCY/20385753 </v>
      </c>
    </row>
    <row r="565" spans="1:14" ht="24.75" x14ac:dyDescent="0.25">
      <c r="A565" s="21" t="s">
        <v>9262</v>
      </c>
      <c r="B565" s="22" t="s">
        <v>9263</v>
      </c>
      <c r="C565" s="2">
        <v>1</v>
      </c>
      <c r="D565" s="23">
        <v>5.99</v>
      </c>
      <c r="E565" s="3">
        <v>5.99</v>
      </c>
      <c r="F565" s="2" t="s">
        <v>9264</v>
      </c>
      <c r="G565" s="22" t="s">
        <v>19618</v>
      </c>
      <c r="H565" s="24" t="s">
        <v>19384</v>
      </c>
      <c r="I565" s="22" t="s">
        <v>19309</v>
      </c>
      <c r="J565" s="22" t="s">
        <v>19573</v>
      </c>
      <c r="K565" s="22" t="s">
        <v>19574</v>
      </c>
      <c r="L565" s="22"/>
      <c r="M565" s="22"/>
      <c r="N565" s="25" t="str">
        <f>HYPERLINK("http://slimages.macys.com/is/image/MCY/20757599 ")</f>
        <v xml:space="preserve">http://slimages.macys.com/is/image/MCY/20757599 </v>
      </c>
    </row>
    <row r="566" spans="1:14" ht="24.75" x14ac:dyDescent="0.25">
      <c r="A566" s="21" t="s">
        <v>14814</v>
      </c>
      <c r="B566" s="22" t="s">
        <v>14815</v>
      </c>
      <c r="C566" s="2">
        <v>1</v>
      </c>
      <c r="D566" s="23">
        <v>6.99</v>
      </c>
      <c r="E566" s="3">
        <v>6.99</v>
      </c>
      <c r="F566" s="2" t="s">
        <v>14809</v>
      </c>
      <c r="G566" s="22" t="s">
        <v>19674</v>
      </c>
      <c r="H566" s="24" t="s">
        <v>19384</v>
      </c>
      <c r="I566" s="22" t="s">
        <v>19309</v>
      </c>
      <c r="J566" s="22" t="s">
        <v>19573</v>
      </c>
      <c r="K566" s="22" t="s">
        <v>19574</v>
      </c>
      <c r="L566" s="22"/>
      <c r="M566" s="22"/>
      <c r="N566" s="25" t="str">
        <f>HYPERLINK("http://slimages.macys.com/is/image/MCY/20385753 ")</f>
        <v xml:space="preserve">http://slimages.macys.com/is/image/MCY/20385753 </v>
      </c>
    </row>
    <row r="567" spans="1:14" ht="24.75" x14ac:dyDescent="0.25">
      <c r="A567" s="21" t="s">
        <v>9265</v>
      </c>
      <c r="B567" s="22" t="s">
        <v>9266</v>
      </c>
      <c r="C567" s="2">
        <v>1</v>
      </c>
      <c r="D567" s="23">
        <v>6.99</v>
      </c>
      <c r="E567" s="3">
        <v>6.99</v>
      </c>
      <c r="F567" s="2" t="s">
        <v>9267</v>
      </c>
      <c r="G567" s="22" t="s">
        <v>18429</v>
      </c>
      <c r="H567" s="24" t="s">
        <v>19324</v>
      </c>
      <c r="I567" s="22" t="s">
        <v>19309</v>
      </c>
      <c r="J567" s="22" t="s">
        <v>19573</v>
      </c>
      <c r="K567" s="22" t="s">
        <v>19574</v>
      </c>
      <c r="L567" s="22"/>
      <c r="M567" s="22"/>
      <c r="N567" s="25" t="str">
        <f>HYPERLINK("http://slimages.macys.com/is/image/MCY/19507809 ")</f>
        <v xml:space="preserve">http://slimages.macys.com/is/image/MCY/19507809 </v>
      </c>
    </row>
    <row r="568" spans="1:14" ht="24.75" x14ac:dyDescent="0.25">
      <c r="A568" s="21" t="s">
        <v>9268</v>
      </c>
      <c r="B568" s="22" t="s">
        <v>9269</v>
      </c>
      <c r="C568" s="2">
        <v>1</v>
      </c>
      <c r="D568" s="23">
        <v>18.11</v>
      </c>
      <c r="E568" s="3">
        <v>18.11</v>
      </c>
      <c r="F568" s="2" t="s">
        <v>9270</v>
      </c>
      <c r="G568" s="22" t="s">
        <v>19618</v>
      </c>
      <c r="H568" s="24" t="s">
        <v>19907</v>
      </c>
      <c r="I568" s="22" t="s">
        <v>19309</v>
      </c>
      <c r="J568" s="22" t="s">
        <v>19573</v>
      </c>
      <c r="K568" s="22" t="s">
        <v>19574</v>
      </c>
      <c r="L568" s="22"/>
      <c r="M568" s="22"/>
      <c r="N568" s="25" t="str">
        <f>HYPERLINK("http://slimages.macys.com/is/image/MCY/21089253 ")</f>
        <v xml:space="preserve">http://slimages.macys.com/is/image/MCY/21089253 </v>
      </c>
    </row>
    <row r="569" spans="1:14" ht="24.75" x14ac:dyDescent="0.25">
      <c r="A569" s="21" t="s">
        <v>9271</v>
      </c>
      <c r="B569" s="22" t="s">
        <v>9272</v>
      </c>
      <c r="C569" s="2">
        <v>1</v>
      </c>
      <c r="D569" s="23">
        <v>5.99</v>
      </c>
      <c r="E569" s="3">
        <v>5.99</v>
      </c>
      <c r="F569" s="2" t="s">
        <v>17168</v>
      </c>
      <c r="G569" s="22" t="s">
        <v>19618</v>
      </c>
      <c r="H569" s="24" t="s">
        <v>19330</v>
      </c>
      <c r="I569" s="22" t="s">
        <v>19309</v>
      </c>
      <c r="J569" s="22" t="s">
        <v>19573</v>
      </c>
      <c r="K569" s="22" t="s">
        <v>19574</v>
      </c>
      <c r="L569" s="22"/>
      <c r="M569" s="22"/>
      <c r="N569" s="25" t="str">
        <f>HYPERLINK("http://slimages.macys.com/is/image/MCY/21088377 ")</f>
        <v xml:space="preserve">http://slimages.macys.com/is/image/MCY/21088377 </v>
      </c>
    </row>
    <row r="570" spans="1:14" ht="24.75" x14ac:dyDescent="0.25">
      <c r="A570" s="21" t="s">
        <v>9273</v>
      </c>
      <c r="B570" s="22" t="s">
        <v>9274</v>
      </c>
      <c r="C570" s="2">
        <v>1</v>
      </c>
      <c r="D570" s="23">
        <v>6.99</v>
      </c>
      <c r="E570" s="3">
        <v>6.99</v>
      </c>
      <c r="F570" s="2" t="s">
        <v>9275</v>
      </c>
      <c r="G570" s="22" t="s">
        <v>19618</v>
      </c>
      <c r="H570" s="24" t="s">
        <v>19330</v>
      </c>
      <c r="I570" s="22" t="s">
        <v>19309</v>
      </c>
      <c r="J570" s="22" t="s">
        <v>19573</v>
      </c>
      <c r="K570" s="22" t="s">
        <v>19574</v>
      </c>
      <c r="L570" s="22"/>
      <c r="M570" s="22"/>
      <c r="N570" s="25" t="str">
        <f>HYPERLINK("http://slimages.macys.com/is/image/MCY/17709100 ")</f>
        <v xml:space="preserve">http://slimages.macys.com/is/image/MCY/17709100 </v>
      </c>
    </row>
    <row r="571" spans="1:14" ht="24.75" x14ac:dyDescent="0.25">
      <c r="A571" s="21" t="s">
        <v>9276</v>
      </c>
      <c r="B571" s="22" t="s">
        <v>9277</v>
      </c>
      <c r="C571" s="2">
        <v>1</v>
      </c>
      <c r="D571" s="23">
        <v>5.99</v>
      </c>
      <c r="E571" s="3">
        <v>5.99</v>
      </c>
      <c r="F571" s="2" t="s">
        <v>9278</v>
      </c>
      <c r="G571" s="22" t="s">
        <v>19674</v>
      </c>
      <c r="H571" s="24" t="s">
        <v>19384</v>
      </c>
      <c r="I571" s="22" t="s">
        <v>19309</v>
      </c>
      <c r="J571" s="22" t="s">
        <v>19573</v>
      </c>
      <c r="K571" s="22" t="s">
        <v>19574</v>
      </c>
      <c r="L571" s="22"/>
      <c r="M571" s="22"/>
      <c r="N571" s="25" t="str">
        <f>HYPERLINK("http://slimages.macys.com/is/image/MCY/20551327 ")</f>
        <v xml:space="preserve">http://slimages.macys.com/is/image/MCY/20551327 </v>
      </c>
    </row>
    <row r="572" spans="1:14" ht="24.75" x14ac:dyDescent="0.25">
      <c r="A572" s="21" t="s">
        <v>9279</v>
      </c>
      <c r="B572" s="22" t="s">
        <v>9280</v>
      </c>
      <c r="C572" s="2">
        <v>2</v>
      </c>
      <c r="D572" s="23">
        <v>5.99</v>
      </c>
      <c r="E572" s="3">
        <v>11.98</v>
      </c>
      <c r="F572" s="2" t="s">
        <v>14845</v>
      </c>
      <c r="G572" s="22" t="s">
        <v>19351</v>
      </c>
      <c r="H572" s="24" t="s">
        <v>19384</v>
      </c>
      <c r="I572" s="22" t="s">
        <v>19309</v>
      </c>
      <c r="J572" s="22" t="s">
        <v>19573</v>
      </c>
      <c r="K572" s="22" t="s">
        <v>19574</v>
      </c>
      <c r="L572" s="22"/>
      <c r="M572" s="22"/>
      <c r="N572" s="25" t="str">
        <f>HYPERLINK("http://slimages.macys.com/is/image/MCY/1124655 ")</f>
        <v xml:space="preserve">http://slimages.macys.com/is/image/MCY/1124655 </v>
      </c>
    </row>
    <row r="573" spans="1:14" ht="24.75" x14ac:dyDescent="0.25">
      <c r="A573" s="21" t="s">
        <v>9281</v>
      </c>
      <c r="B573" s="22" t="s">
        <v>9282</v>
      </c>
      <c r="C573" s="2">
        <v>1</v>
      </c>
      <c r="D573" s="23">
        <v>5.99</v>
      </c>
      <c r="E573" s="3">
        <v>5.99</v>
      </c>
      <c r="F573" s="2" t="s">
        <v>14858</v>
      </c>
      <c r="G573" s="22" t="s">
        <v>19351</v>
      </c>
      <c r="H573" s="24" t="s">
        <v>19416</v>
      </c>
      <c r="I573" s="22" t="s">
        <v>19309</v>
      </c>
      <c r="J573" s="22" t="s">
        <v>19573</v>
      </c>
      <c r="K573" s="22" t="s">
        <v>19574</v>
      </c>
      <c r="L573" s="22"/>
      <c r="M573" s="22"/>
      <c r="N573" s="25" t="str">
        <f>HYPERLINK("http://slimages.macys.com/is/image/MCY/21088493 ")</f>
        <v xml:space="preserve">http://slimages.macys.com/is/image/MCY/21088493 </v>
      </c>
    </row>
    <row r="574" spans="1:14" ht="24.75" x14ac:dyDescent="0.25">
      <c r="A574" s="21" t="s">
        <v>9283</v>
      </c>
      <c r="B574" s="22" t="s">
        <v>9284</v>
      </c>
      <c r="C574" s="2">
        <v>1</v>
      </c>
      <c r="D574" s="23">
        <v>5.99</v>
      </c>
      <c r="E574" s="3">
        <v>5.99</v>
      </c>
      <c r="F574" s="2" t="s">
        <v>14858</v>
      </c>
      <c r="G574" s="22" t="s">
        <v>19351</v>
      </c>
      <c r="H574" s="24" t="s">
        <v>19330</v>
      </c>
      <c r="I574" s="22" t="s">
        <v>19309</v>
      </c>
      <c r="J574" s="22" t="s">
        <v>19573</v>
      </c>
      <c r="K574" s="22" t="s">
        <v>19574</v>
      </c>
      <c r="L574" s="22"/>
      <c r="M574" s="22"/>
      <c r="N574" s="25" t="str">
        <f>HYPERLINK("http://slimages.macys.com/is/image/MCY/21088493 ")</f>
        <v xml:space="preserve">http://slimages.macys.com/is/image/MCY/21088493 </v>
      </c>
    </row>
    <row r="575" spans="1:14" ht="24.75" x14ac:dyDescent="0.25">
      <c r="A575" s="21" t="s">
        <v>12631</v>
      </c>
      <c r="B575" s="22" t="s">
        <v>12632</v>
      </c>
      <c r="C575" s="2">
        <v>1</v>
      </c>
      <c r="D575" s="23">
        <v>5.99</v>
      </c>
      <c r="E575" s="3">
        <v>5.99</v>
      </c>
      <c r="F575" s="2" t="s">
        <v>13486</v>
      </c>
      <c r="G575" s="22" t="s">
        <v>19618</v>
      </c>
      <c r="H575" s="24" t="s">
        <v>19384</v>
      </c>
      <c r="I575" s="22" t="s">
        <v>19309</v>
      </c>
      <c r="J575" s="22" t="s">
        <v>19573</v>
      </c>
      <c r="K575" s="22" t="s">
        <v>19574</v>
      </c>
      <c r="L575" s="22"/>
      <c r="M575" s="22"/>
      <c r="N575" s="25" t="str">
        <f>HYPERLINK("http://slimages.macys.com/is/image/MCY/21088451 ")</f>
        <v xml:space="preserve">http://slimages.macys.com/is/image/MCY/21088451 </v>
      </c>
    </row>
    <row r="576" spans="1:14" ht="24.75" x14ac:dyDescent="0.25">
      <c r="A576" s="21" t="s">
        <v>9285</v>
      </c>
      <c r="B576" s="22" t="s">
        <v>9286</v>
      </c>
      <c r="C576" s="2">
        <v>2</v>
      </c>
      <c r="D576" s="23">
        <v>5.99</v>
      </c>
      <c r="E576" s="3">
        <v>11.98</v>
      </c>
      <c r="F576" s="2" t="s">
        <v>13486</v>
      </c>
      <c r="G576" s="22" t="s">
        <v>19618</v>
      </c>
      <c r="H576" s="24" t="s">
        <v>19330</v>
      </c>
      <c r="I576" s="22" t="s">
        <v>19309</v>
      </c>
      <c r="J576" s="22" t="s">
        <v>19573</v>
      </c>
      <c r="K576" s="22" t="s">
        <v>19574</v>
      </c>
      <c r="L576" s="22"/>
      <c r="M576" s="22"/>
      <c r="N576" s="25" t="str">
        <f>HYPERLINK("http://slimages.macys.com/is/image/MCY/21088451 ")</f>
        <v xml:space="preserve">http://slimages.macys.com/is/image/MCY/21088451 </v>
      </c>
    </row>
    <row r="577" spans="1:14" ht="24.75" x14ac:dyDescent="0.25">
      <c r="A577" s="21" t="s">
        <v>9287</v>
      </c>
      <c r="B577" s="22" t="s">
        <v>9288</v>
      </c>
      <c r="C577" s="2">
        <v>1</v>
      </c>
      <c r="D577" s="23">
        <v>18.11</v>
      </c>
      <c r="E577" s="3">
        <v>18.11</v>
      </c>
      <c r="F577" s="2">
        <v>10014307400</v>
      </c>
      <c r="G577" s="22" t="s">
        <v>19713</v>
      </c>
      <c r="H577" s="24" t="s">
        <v>19538</v>
      </c>
      <c r="I577" s="22" t="s">
        <v>19309</v>
      </c>
      <c r="J577" s="22" t="s">
        <v>19573</v>
      </c>
      <c r="K577" s="22" t="s">
        <v>19574</v>
      </c>
      <c r="L577" s="22"/>
      <c r="M577" s="22"/>
      <c r="N577" s="25" t="str">
        <f>HYPERLINK("http://slimages.macys.com/is/image/MCY/20758051 ")</f>
        <v xml:space="preserve">http://slimages.macys.com/is/image/MCY/20758051 </v>
      </c>
    </row>
    <row r="578" spans="1:14" ht="24.75" x14ac:dyDescent="0.25">
      <c r="A578" s="21" t="s">
        <v>19165</v>
      </c>
      <c r="B578" s="22" t="s">
        <v>19166</v>
      </c>
      <c r="C578" s="2">
        <v>1</v>
      </c>
      <c r="D578" s="23">
        <v>5.99</v>
      </c>
      <c r="E578" s="3">
        <v>5.99</v>
      </c>
      <c r="F578" s="2" t="s">
        <v>19167</v>
      </c>
      <c r="G578" s="22" t="s">
        <v>19618</v>
      </c>
      <c r="H578" s="24" t="s">
        <v>19538</v>
      </c>
      <c r="I578" s="22" t="s">
        <v>19309</v>
      </c>
      <c r="J578" s="22" t="s">
        <v>19573</v>
      </c>
      <c r="K578" s="22" t="s">
        <v>19574</v>
      </c>
      <c r="L578" s="22"/>
      <c r="M578" s="22"/>
      <c r="N578" s="25" t="str">
        <f>HYPERLINK("http://slimages.macys.com/is/image/MCY/20736377 ")</f>
        <v xml:space="preserve">http://slimages.macys.com/is/image/MCY/20736377 </v>
      </c>
    </row>
    <row r="579" spans="1:14" ht="24.75" x14ac:dyDescent="0.25">
      <c r="A579" s="21" t="s">
        <v>9289</v>
      </c>
      <c r="B579" s="22" t="s">
        <v>9290</v>
      </c>
      <c r="C579" s="2">
        <v>1</v>
      </c>
      <c r="D579" s="23">
        <v>6.99</v>
      </c>
      <c r="E579" s="3">
        <v>6.99</v>
      </c>
      <c r="F579" s="2" t="s">
        <v>9291</v>
      </c>
      <c r="G579" s="22" t="s">
        <v>19315</v>
      </c>
      <c r="H579" s="24" t="s">
        <v>19416</v>
      </c>
      <c r="I579" s="22" t="s">
        <v>19309</v>
      </c>
      <c r="J579" s="22" t="s">
        <v>19573</v>
      </c>
      <c r="K579" s="22" t="s">
        <v>19574</v>
      </c>
      <c r="L579" s="22"/>
      <c r="M579" s="22"/>
      <c r="N579" s="25" t="str">
        <f>HYPERLINK("http://slimages.macys.com/is/image/MCY/20385748 ")</f>
        <v xml:space="preserve">http://slimages.macys.com/is/image/MCY/20385748 </v>
      </c>
    </row>
    <row r="580" spans="1:14" ht="24.75" x14ac:dyDescent="0.25">
      <c r="A580" s="21" t="s">
        <v>13491</v>
      </c>
      <c r="B580" s="22" t="s">
        <v>13492</v>
      </c>
      <c r="C580" s="2">
        <v>1</v>
      </c>
      <c r="D580" s="23">
        <v>5.99</v>
      </c>
      <c r="E580" s="3">
        <v>5.99</v>
      </c>
      <c r="F580" s="2" t="s">
        <v>19195</v>
      </c>
      <c r="G580" s="22" t="s">
        <v>19351</v>
      </c>
      <c r="H580" s="24" t="s">
        <v>19384</v>
      </c>
      <c r="I580" s="22" t="s">
        <v>19309</v>
      </c>
      <c r="J580" s="22" t="s">
        <v>19573</v>
      </c>
      <c r="K580" s="22" t="s">
        <v>19574</v>
      </c>
      <c r="L580" s="22"/>
      <c r="M580" s="22"/>
      <c r="N580" s="25" t="str">
        <f>HYPERLINK("http://slimages.macys.com/is/image/MCY/21905250 ")</f>
        <v xml:space="preserve">http://slimages.macys.com/is/image/MCY/21905250 </v>
      </c>
    </row>
    <row r="581" spans="1:14" ht="24.75" x14ac:dyDescent="0.25">
      <c r="A581" s="21" t="s">
        <v>9292</v>
      </c>
      <c r="B581" s="22" t="s">
        <v>9293</v>
      </c>
      <c r="C581" s="2">
        <v>1</v>
      </c>
      <c r="D581" s="23">
        <v>6.99</v>
      </c>
      <c r="E581" s="3">
        <v>6.99</v>
      </c>
      <c r="F581" s="2" t="s">
        <v>9294</v>
      </c>
      <c r="G581" s="22" t="s">
        <v>19618</v>
      </c>
      <c r="H581" s="24" t="s">
        <v>19384</v>
      </c>
      <c r="I581" s="22" t="s">
        <v>19309</v>
      </c>
      <c r="J581" s="22" t="s">
        <v>19573</v>
      </c>
      <c r="K581" s="22" t="s">
        <v>19574</v>
      </c>
      <c r="L581" s="22"/>
      <c r="M581" s="22"/>
      <c r="N581" s="25" t="str">
        <f>HYPERLINK("http://slimages.macys.com/is/image/MCY/19977450 ")</f>
        <v xml:space="preserve">http://slimages.macys.com/is/image/MCY/19977450 </v>
      </c>
    </row>
    <row r="582" spans="1:14" ht="24.75" x14ac:dyDescent="0.25">
      <c r="A582" s="21" t="s">
        <v>9295</v>
      </c>
      <c r="B582" s="22" t="s">
        <v>9296</v>
      </c>
      <c r="C582" s="2">
        <v>1</v>
      </c>
      <c r="D582" s="23">
        <v>6.99</v>
      </c>
      <c r="E582" s="3">
        <v>6.99</v>
      </c>
      <c r="F582" s="2" t="s">
        <v>9294</v>
      </c>
      <c r="G582" s="22" t="s">
        <v>19618</v>
      </c>
      <c r="H582" s="24" t="s">
        <v>19324</v>
      </c>
      <c r="I582" s="22" t="s">
        <v>19309</v>
      </c>
      <c r="J582" s="22" t="s">
        <v>19573</v>
      </c>
      <c r="K582" s="22" t="s">
        <v>19574</v>
      </c>
      <c r="L582" s="22"/>
      <c r="M582" s="22"/>
      <c r="N582" s="25" t="str">
        <f>HYPERLINK("http://slimages.macys.com/is/image/MCY/19977450 ")</f>
        <v xml:space="preserve">http://slimages.macys.com/is/image/MCY/19977450 </v>
      </c>
    </row>
    <row r="583" spans="1:14" ht="24.75" x14ac:dyDescent="0.25">
      <c r="A583" s="21" t="s">
        <v>9297</v>
      </c>
      <c r="B583" s="22" t="s">
        <v>9298</v>
      </c>
      <c r="C583" s="2">
        <v>1</v>
      </c>
      <c r="D583" s="23">
        <v>5.99</v>
      </c>
      <c r="E583" s="3">
        <v>5.99</v>
      </c>
      <c r="F583" s="2" t="s">
        <v>10722</v>
      </c>
      <c r="G583" s="22" t="s">
        <v>19674</v>
      </c>
      <c r="H583" s="24" t="s">
        <v>19324</v>
      </c>
      <c r="I583" s="22" t="s">
        <v>19309</v>
      </c>
      <c r="J583" s="22" t="s">
        <v>19573</v>
      </c>
      <c r="K583" s="22" t="s">
        <v>19574</v>
      </c>
      <c r="L583" s="22"/>
      <c r="M583" s="22"/>
      <c r="N583" s="25" t="str">
        <f>HYPERLINK("http://slimages.macys.com/is/image/MCY/1126196 ")</f>
        <v xml:space="preserve">http://slimages.macys.com/is/image/MCY/1126196 </v>
      </c>
    </row>
    <row r="584" spans="1:14" ht="24.75" x14ac:dyDescent="0.25">
      <c r="A584" s="21" t="s">
        <v>9299</v>
      </c>
      <c r="B584" s="22" t="s">
        <v>9300</v>
      </c>
      <c r="C584" s="2">
        <v>1</v>
      </c>
      <c r="D584" s="23">
        <v>5.99</v>
      </c>
      <c r="E584" s="3">
        <v>5.99</v>
      </c>
      <c r="F584" s="2" t="s">
        <v>10722</v>
      </c>
      <c r="G584" s="22" t="s">
        <v>19674</v>
      </c>
      <c r="H584" s="24" t="s">
        <v>19416</v>
      </c>
      <c r="I584" s="22" t="s">
        <v>19309</v>
      </c>
      <c r="J584" s="22" t="s">
        <v>19573</v>
      </c>
      <c r="K584" s="22" t="s">
        <v>19574</v>
      </c>
      <c r="L584" s="22"/>
      <c r="M584" s="22"/>
      <c r="N584" s="25" t="str">
        <f>HYPERLINK("http://slimages.macys.com/is/image/MCY/1126196 ")</f>
        <v xml:space="preserve">http://slimages.macys.com/is/image/MCY/1126196 </v>
      </c>
    </row>
    <row r="585" spans="1:14" ht="24.75" x14ac:dyDescent="0.25">
      <c r="A585" s="21" t="s">
        <v>9301</v>
      </c>
      <c r="B585" s="22" t="s">
        <v>9302</v>
      </c>
      <c r="C585" s="2">
        <v>2</v>
      </c>
      <c r="D585" s="23">
        <v>6.99</v>
      </c>
      <c r="E585" s="3">
        <v>13.98</v>
      </c>
      <c r="F585" s="2" t="s">
        <v>9303</v>
      </c>
      <c r="G585" s="22" t="s">
        <v>19415</v>
      </c>
      <c r="H585" s="24" t="s">
        <v>19324</v>
      </c>
      <c r="I585" s="22" t="s">
        <v>19309</v>
      </c>
      <c r="J585" s="22" t="s">
        <v>19573</v>
      </c>
      <c r="K585" s="22" t="s">
        <v>19574</v>
      </c>
      <c r="L585" s="22"/>
      <c r="M585" s="22"/>
      <c r="N585" s="25" t="str">
        <f>HYPERLINK("http://slimages.macys.com/is/image/MCY/19977742 ")</f>
        <v xml:space="preserve">http://slimages.macys.com/is/image/MCY/19977742 </v>
      </c>
    </row>
    <row r="586" spans="1:14" ht="24.75" x14ac:dyDescent="0.25">
      <c r="A586" s="21" t="s">
        <v>9304</v>
      </c>
      <c r="B586" s="22" t="s">
        <v>9305</v>
      </c>
      <c r="C586" s="2">
        <v>1</v>
      </c>
      <c r="D586" s="23">
        <v>5.99</v>
      </c>
      <c r="E586" s="3">
        <v>5.99</v>
      </c>
      <c r="F586" s="2" t="s">
        <v>19224</v>
      </c>
      <c r="G586" s="22" t="s">
        <v>18821</v>
      </c>
      <c r="H586" s="24" t="s">
        <v>19330</v>
      </c>
      <c r="I586" s="22" t="s">
        <v>19309</v>
      </c>
      <c r="J586" s="22" t="s">
        <v>19573</v>
      </c>
      <c r="K586" s="22" t="s">
        <v>19574</v>
      </c>
      <c r="L586" s="22"/>
      <c r="M586" s="22"/>
      <c r="N586" s="25" t="str">
        <f>HYPERLINK("http://slimages.macys.com/is/image/MCY/21905230 ")</f>
        <v xml:space="preserve">http://slimages.macys.com/is/image/MCY/21905230 </v>
      </c>
    </row>
    <row r="587" spans="1:14" ht="24.75" x14ac:dyDescent="0.25">
      <c r="A587" s="21" t="s">
        <v>19225</v>
      </c>
      <c r="B587" s="22" t="s">
        <v>19226</v>
      </c>
      <c r="C587" s="2">
        <v>1</v>
      </c>
      <c r="D587" s="23">
        <v>5.99</v>
      </c>
      <c r="E587" s="3">
        <v>5.99</v>
      </c>
      <c r="F587" s="2" t="s">
        <v>19224</v>
      </c>
      <c r="G587" s="22" t="s">
        <v>18821</v>
      </c>
      <c r="H587" s="24" t="s">
        <v>19384</v>
      </c>
      <c r="I587" s="22" t="s">
        <v>19309</v>
      </c>
      <c r="J587" s="22" t="s">
        <v>19573</v>
      </c>
      <c r="K587" s="22" t="s">
        <v>19574</v>
      </c>
      <c r="L587" s="22"/>
      <c r="M587" s="22"/>
      <c r="N587" s="25" t="str">
        <f>HYPERLINK("http://slimages.macys.com/is/image/MCY/21905230 ")</f>
        <v xml:space="preserve">http://slimages.macys.com/is/image/MCY/21905230 </v>
      </c>
    </row>
    <row r="588" spans="1:14" ht="24.75" x14ac:dyDescent="0.25">
      <c r="A588" s="21" t="s">
        <v>9306</v>
      </c>
      <c r="B588" s="22" t="s">
        <v>9307</v>
      </c>
      <c r="C588" s="2">
        <v>1</v>
      </c>
      <c r="D588" s="23">
        <v>6.99</v>
      </c>
      <c r="E588" s="3">
        <v>6.99</v>
      </c>
      <c r="F588" s="2" t="s">
        <v>9308</v>
      </c>
      <c r="G588" s="22" t="s">
        <v>19467</v>
      </c>
      <c r="H588" s="24" t="s">
        <v>19416</v>
      </c>
      <c r="I588" s="22" t="s">
        <v>19309</v>
      </c>
      <c r="J588" s="22" t="s">
        <v>19573</v>
      </c>
      <c r="K588" s="22" t="s">
        <v>19574</v>
      </c>
      <c r="L588" s="22"/>
      <c r="M588" s="22"/>
      <c r="N588" s="25" t="str">
        <f>HYPERLINK("http://slimages.macys.com/is/image/MCY/20436636 ")</f>
        <v xml:space="preserve">http://slimages.macys.com/is/image/MCY/20436636 </v>
      </c>
    </row>
    <row r="589" spans="1:14" ht="24.75" x14ac:dyDescent="0.25">
      <c r="A589" s="21" t="s">
        <v>9309</v>
      </c>
      <c r="B589" s="22" t="s">
        <v>9310</v>
      </c>
      <c r="C589" s="2">
        <v>1</v>
      </c>
      <c r="D589" s="23">
        <v>5.99</v>
      </c>
      <c r="E589" s="3">
        <v>5.99</v>
      </c>
      <c r="F589" s="2" t="s">
        <v>14933</v>
      </c>
      <c r="G589" s="22" t="s">
        <v>19333</v>
      </c>
      <c r="H589" s="24" t="s">
        <v>19542</v>
      </c>
      <c r="I589" s="22" t="s">
        <v>19309</v>
      </c>
      <c r="J589" s="22" t="s">
        <v>19454</v>
      </c>
      <c r="K589" s="22" t="s">
        <v>19524</v>
      </c>
      <c r="L589" s="22"/>
      <c r="M589" s="22"/>
      <c r="N589" s="25" t="str">
        <f>HYPERLINK("http://slimages.macys.com/is/image/MCY/19257912 ")</f>
        <v xml:space="preserve">http://slimages.macys.com/is/image/MCY/19257912 </v>
      </c>
    </row>
    <row r="590" spans="1:14" ht="24.75" x14ac:dyDescent="0.25">
      <c r="A590" s="21" t="s">
        <v>9311</v>
      </c>
      <c r="B590" s="22" t="s">
        <v>9312</v>
      </c>
      <c r="C590" s="2">
        <v>1</v>
      </c>
      <c r="D590" s="23">
        <v>5.99</v>
      </c>
      <c r="E590" s="3">
        <v>5.99</v>
      </c>
      <c r="F590" s="2" t="s">
        <v>14927</v>
      </c>
      <c r="G590" s="22" t="s">
        <v>19618</v>
      </c>
      <c r="H590" s="24" t="s">
        <v>19416</v>
      </c>
      <c r="I590" s="22" t="s">
        <v>19309</v>
      </c>
      <c r="J590" s="22" t="s">
        <v>19573</v>
      </c>
      <c r="K590" s="22" t="s">
        <v>19574</v>
      </c>
      <c r="L590" s="22"/>
      <c r="M590" s="22"/>
      <c r="N590" s="25" t="str">
        <f>HYPERLINK("http://slimages.macys.com/is/image/MCY/21088408 ")</f>
        <v xml:space="preserve">http://slimages.macys.com/is/image/MCY/21088408 </v>
      </c>
    </row>
    <row r="591" spans="1:14" ht="24.75" x14ac:dyDescent="0.25">
      <c r="A591" s="21" t="s">
        <v>9313</v>
      </c>
      <c r="B591" s="22" t="s">
        <v>9314</v>
      </c>
      <c r="C591" s="2">
        <v>1</v>
      </c>
      <c r="D591" s="23">
        <v>5.99</v>
      </c>
      <c r="E591" s="3">
        <v>5.99</v>
      </c>
      <c r="F591" s="2" t="s">
        <v>14927</v>
      </c>
      <c r="G591" s="22" t="s">
        <v>19618</v>
      </c>
      <c r="H591" s="24" t="s">
        <v>19384</v>
      </c>
      <c r="I591" s="22" t="s">
        <v>19309</v>
      </c>
      <c r="J591" s="22" t="s">
        <v>19573</v>
      </c>
      <c r="K591" s="22" t="s">
        <v>19574</v>
      </c>
      <c r="L591" s="22"/>
      <c r="M591" s="22"/>
      <c r="N591" s="25" t="str">
        <f>HYPERLINK("http://slimages.macys.com/is/image/MCY/21088408 ")</f>
        <v xml:space="preserve">http://slimages.macys.com/is/image/MCY/21088408 </v>
      </c>
    </row>
    <row r="592" spans="1:14" ht="24.75" x14ac:dyDescent="0.25">
      <c r="A592" s="21" t="s">
        <v>9315</v>
      </c>
      <c r="B592" s="22" t="s">
        <v>9316</v>
      </c>
      <c r="C592" s="2">
        <v>2</v>
      </c>
      <c r="D592" s="23">
        <v>5.99</v>
      </c>
      <c r="E592" s="3">
        <v>11.98</v>
      </c>
      <c r="F592" s="2" t="s">
        <v>9317</v>
      </c>
      <c r="G592" s="22" t="s">
        <v>19351</v>
      </c>
      <c r="H592" s="24" t="s">
        <v>19324</v>
      </c>
      <c r="I592" s="22" t="s">
        <v>19309</v>
      </c>
      <c r="J592" s="22" t="s">
        <v>19573</v>
      </c>
      <c r="K592" s="22" t="s">
        <v>19574</v>
      </c>
      <c r="L592" s="22"/>
      <c r="M592" s="22"/>
      <c r="N592" s="25" t="str">
        <f>HYPERLINK("http://slimages.macys.com/is/image/MCY/1126196 ")</f>
        <v xml:space="preserve">http://slimages.macys.com/is/image/MCY/1126196 </v>
      </c>
    </row>
    <row r="593" spans="1:14" ht="24.75" x14ac:dyDescent="0.25">
      <c r="A593" s="21" t="s">
        <v>14925</v>
      </c>
      <c r="B593" s="22" t="s">
        <v>14926</v>
      </c>
      <c r="C593" s="2">
        <v>1</v>
      </c>
      <c r="D593" s="23">
        <v>5.99</v>
      </c>
      <c r="E593" s="3">
        <v>5.99</v>
      </c>
      <c r="F593" s="2" t="s">
        <v>14927</v>
      </c>
      <c r="G593" s="22" t="s">
        <v>19618</v>
      </c>
      <c r="H593" s="24" t="s">
        <v>19538</v>
      </c>
      <c r="I593" s="22" t="s">
        <v>19309</v>
      </c>
      <c r="J593" s="22" t="s">
        <v>19573</v>
      </c>
      <c r="K593" s="22" t="s">
        <v>19574</v>
      </c>
      <c r="L593" s="22"/>
      <c r="M593" s="22"/>
      <c r="N593" s="25" t="str">
        <f>HYPERLINK("http://slimages.macys.com/is/image/MCY/21088408 ")</f>
        <v xml:space="preserve">http://slimages.macys.com/is/image/MCY/21088408 </v>
      </c>
    </row>
    <row r="594" spans="1:14" ht="24.75" x14ac:dyDescent="0.25">
      <c r="A594" s="21" t="s">
        <v>9318</v>
      </c>
      <c r="B594" s="22" t="s">
        <v>9319</v>
      </c>
      <c r="C594" s="2">
        <v>1</v>
      </c>
      <c r="D594" s="23">
        <v>5.99</v>
      </c>
      <c r="E594" s="3">
        <v>5.99</v>
      </c>
      <c r="F594" s="2" t="s">
        <v>9317</v>
      </c>
      <c r="G594" s="22" t="s">
        <v>19351</v>
      </c>
      <c r="H594" s="24" t="s">
        <v>19538</v>
      </c>
      <c r="I594" s="22" t="s">
        <v>19309</v>
      </c>
      <c r="J594" s="22" t="s">
        <v>19573</v>
      </c>
      <c r="K594" s="22" t="s">
        <v>19574</v>
      </c>
      <c r="L594" s="22"/>
      <c r="M594" s="22"/>
      <c r="N594" s="25" t="str">
        <f>HYPERLINK("http://slimages.macys.com/is/image/MCY/1126196 ")</f>
        <v xml:space="preserve">http://slimages.macys.com/is/image/MCY/1126196 </v>
      </c>
    </row>
    <row r="595" spans="1:14" ht="24.75" x14ac:dyDescent="0.25">
      <c r="A595" s="21" t="s">
        <v>9320</v>
      </c>
      <c r="B595" s="22" t="s">
        <v>9321</v>
      </c>
      <c r="C595" s="2">
        <v>1</v>
      </c>
      <c r="D595" s="23">
        <v>5.99</v>
      </c>
      <c r="E595" s="3">
        <v>5.99</v>
      </c>
      <c r="F595" s="2" t="s">
        <v>9317</v>
      </c>
      <c r="G595" s="22" t="s">
        <v>19351</v>
      </c>
      <c r="H595" s="24" t="s">
        <v>19330</v>
      </c>
      <c r="I595" s="22" t="s">
        <v>19309</v>
      </c>
      <c r="J595" s="22" t="s">
        <v>19573</v>
      </c>
      <c r="K595" s="22" t="s">
        <v>19574</v>
      </c>
      <c r="L595" s="22"/>
      <c r="M595" s="22"/>
      <c r="N595" s="25" t="str">
        <f>HYPERLINK("http://slimages.macys.com/is/image/MCY/1126196 ")</f>
        <v xml:space="preserve">http://slimages.macys.com/is/image/MCY/1126196 </v>
      </c>
    </row>
    <row r="596" spans="1:14" ht="24.75" x14ac:dyDescent="0.25">
      <c r="A596" s="21" t="s">
        <v>9322</v>
      </c>
      <c r="B596" s="22" t="s">
        <v>9323</v>
      </c>
      <c r="C596" s="2">
        <v>1</v>
      </c>
      <c r="D596" s="23">
        <v>6.99</v>
      </c>
      <c r="E596" s="3">
        <v>6.99</v>
      </c>
      <c r="F596" s="2" t="s">
        <v>14317</v>
      </c>
      <c r="G596" s="22" t="s">
        <v>19351</v>
      </c>
      <c r="H596" s="24" t="s">
        <v>19330</v>
      </c>
      <c r="I596" s="22" t="s">
        <v>19309</v>
      </c>
      <c r="J596" s="22" t="s">
        <v>19573</v>
      </c>
      <c r="K596" s="22" t="s">
        <v>19574</v>
      </c>
      <c r="L596" s="22"/>
      <c r="M596" s="22"/>
      <c r="N596" s="25" t="str">
        <f>HYPERLINK("http://slimages.macys.com/is/image/MCY/19977362 ")</f>
        <v xml:space="preserve">http://slimages.macys.com/is/image/MCY/19977362 </v>
      </c>
    </row>
    <row r="597" spans="1:14" ht="24.75" x14ac:dyDescent="0.25">
      <c r="A597" s="21" t="s">
        <v>9324</v>
      </c>
      <c r="B597" s="22" t="s">
        <v>9325</v>
      </c>
      <c r="C597" s="2">
        <v>1</v>
      </c>
      <c r="D597" s="23">
        <v>18.11</v>
      </c>
      <c r="E597" s="3">
        <v>18.11</v>
      </c>
      <c r="F597" s="2" t="s">
        <v>9326</v>
      </c>
      <c r="G597" s="22" t="s">
        <v>19713</v>
      </c>
      <c r="H597" s="24" t="s">
        <v>19324</v>
      </c>
      <c r="I597" s="22" t="s">
        <v>19309</v>
      </c>
      <c r="J597" s="22" t="s">
        <v>19573</v>
      </c>
      <c r="K597" s="22" t="s">
        <v>19574</v>
      </c>
      <c r="L597" s="22"/>
      <c r="M597" s="22"/>
      <c r="N597" s="25" t="str">
        <f>HYPERLINK("http://slimages.macys.com/is/image/MCY/17709021 ")</f>
        <v xml:space="preserve">http://slimages.macys.com/is/image/MCY/17709021 </v>
      </c>
    </row>
    <row r="598" spans="1:14" ht="24.75" x14ac:dyDescent="0.25">
      <c r="A598" s="21" t="s">
        <v>17246</v>
      </c>
      <c r="B598" s="22" t="s">
        <v>17247</v>
      </c>
      <c r="C598" s="2">
        <v>2</v>
      </c>
      <c r="D598" s="23">
        <v>5.99</v>
      </c>
      <c r="E598" s="3">
        <v>11.98</v>
      </c>
      <c r="F598" s="2" t="s">
        <v>17245</v>
      </c>
      <c r="G598" s="22" t="s">
        <v>19794</v>
      </c>
      <c r="H598" s="24" t="s">
        <v>19330</v>
      </c>
      <c r="I598" s="22" t="s">
        <v>19309</v>
      </c>
      <c r="J598" s="22" t="s">
        <v>19573</v>
      </c>
      <c r="K598" s="22" t="s">
        <v>19574</v>
      </c>
      <c r="L598" s="22"/>
      <c r="M598" s="22"/>
      <c r="N598" s="25" t="str">
        <f>HYPERLINK("http://slimages.macys.com/is/image/MCY/1520523 ")</f>
        <v xml:space="preserve">http://slimages.macys.com/is/image/MCY/1520523 </v>
      </c>
    </row>
    <row r="599" spans="1:14" ht="24.75" x14ac:dyDescent="0.25">
      <c r="A599" s="21" t="s">
        <v>14328</v>
      </c>
      <c r="B599" s="22" t="s">
        <v>14329</v>
      </c>
      <c r="C599" s="2">
        <v>2</v>
      </c>
      <c r="D599" s="23">
        <v>5.99</v>
      </c>
      <c r="E599" s="3">
        <v>11.98</v>
      </c>
      <c r="F599" s="2" t="s">
        <v>17245</v>
      </c>
      <c r="G599" s="22" t="s">
        <v>19431</v>
      </c>
      <c r="H599" s="24" t="s">
        <v>19538</v>
      </c>
      <c r="I599" s="22" t="s">
        <v>19309</v>
      </c>
      <c r="J599" s="22" t="s">
        <v>19573</v>
      </c>
      <c r="K599" s="22" t="s">
        <v>19574</v>
      </c>
      <c r="L599" s="22"/>
      <c r="M599" s="22"/>
      <c r="N599" s="25" t="str">
        <f>HYPERLINK("http://slimages.macys.com/is/image/MCY/1523158 ")</f>
        <v xml:space="preserve">http://slimages.macys.com/is/image/MCY/1523158 </v>
      </c>
    </row>
    <row r="600" spans="1:14" ht="24.75" x14ac:dyDescent="0.25">
      <c r="A600" s="21" t="s">
        <v>14326</v>
      </c>
      <c r="B600" s="22" t="s">
        <v>14327</v>
      </c>
      <c r="C600" s="2">
        <v>3</v>
      </c>
      <c r="D600" s="23">
        <v>5.99</v>
      </c>
      <c r="E600" s="3">
        <v>17.97</v>
      </c>
      <c r="F600" s="2" t="s">
        <v>17245</v>
      </c>
      <c r="G600" s="22" t="s">
        <v>19431</v>
      </c>
      <c r="H600" s="24" t="s">
        <v>19384</v>
      </c>
      <c r="I600" s="22" t="s">
        <v>19309</v>
      </c>
      <c r="J600" s="22" t="s">
        <v>19573</v>
      </c>
      <c r="K600" s="22" t="s">
        <v>19574</v>
      </c>
      <c r="L600" s="22"/>
      <c r="M600" s="22"/>
      <c r="N600" s="25" t="str">
        <f>HYPERLINK("http://slimages.macys.com/is/image/MCY/1523158 ")</f>
        <v xml:space="preserve">http://slimages.macys.com/is/image/MCY/1523158 </v>
      </c>
    </row>
    <row r="601" spans="1:14" ht="24.75" x14ac:dyDescent="0.25">
      <c r="A601" s="21" t="s">
        <v>14324</v>
      </c>
      <c r="B601" s="22" t="s">
        <v>14325</v>
      </c>
      <c r="C601" s="2">
        <v>3</v>
      </c>
      <c r="D601" s="23">
        <v>5.99</v>
      </c>
      <c r="E601" s="3">
        <v>17.97</v>
      </c>
      <c r="F601" s="2" t="s">
        <v>17245</v>
      </c>
      <c r="G601" s="22" t="s">
        <v>19431</v>
      </c>
      <c r="H601" s="24" t="s">
        <v>19416</v>
      </c>
      <c r="I601" s="22" t="s">
        <v>19309</v>
      </c>
      <c r="J601" s="22" t="s">
        <v>19573</v>
      </c>
      <c r="K601" s="22" t="s">
        <v>19574</v>
      </c>
      <c r="L601" s="22"/>
      <c r="M601" s="22"/>
      <c r="N601" s="25" t="str">
        <f>HYPERLINK("http://slimages.macys.com/is/image/MCY/1523158 ")</f>
        <v xml:space="preserve">http://slimages.macys.com/is/image/MCY/1523158 </v>
      </c>
    </row>
    <row r="602" spans="1:14" ht="24.75" x14ac:dyDescent="0.25">
      <c r="A602" s="21" t="s">
        <v>14320</v>
      </c>
      <c r="B602" s="22" t="s">
        <v>14321</v>
      </c>
      <c r="C602" s="2">
        <v>3</v>
      </c>
      <c r="D602" s="23">
        <v>5.99</v>
      </c>
      <c r="E602" s="3">
        <v>17.97</v>
      </c>
      <c r="F602" s="2" t="s">
        <v>17245</v>
      </c>
      <c r="G602" s="22" t="s">
        <v>19431</v>
      </c>
      <c r="H602" s="24" t="s">
        <v>19384</v>
      </c>
      <c r="I602" s="22" t="s">
        <v>19309</v>
      </c>
      <c r="J602" s="22" t="s">
        <v>19573</v>
      </c>
      <c r="K602" s="22" t="s">
        <v>19574</v>
      </c>
      <c r="L602" s="22"/>
      <c r="M602" s="22"/>
      <c r="N602" s="25" t="str">
        <f>HYPERLINK("http://slimages.macys.com/is/image/MCY/1523158 ")</f>
        <v xml:space="preserve">http://slimages.macys.com/is/image/MCY/1523158 </v>
      </c>
    </row>
    <row r="603" spans="1:14" ht="24.75" x14ac:dyDescent="0.25">
      <c r="A603" s="21" t="s">
        <v>14330</v>
      </c>
      <c r="B603" s="22" t="s">
        <v>14331</v>
      </c>
      <c r="C603" s="2">
        <v>2</v>
      </c>
      <c r="D603" s="23">
        <v>5.99</v>
      </c>
      <c r="E603" s="3">
        <v>11.98</v>
      </c>
      <c r="F603" s="2" t="s">
        <v>17245</v>
      </c>
      <c r="G603" s="22" t="s">
        <v>19431</v>
      </c>
      <c r="H603" s="24" t="s">
        <v>19538</v>
      </c>
      <c r="I603" s="22" t="s">
        <v>19309</v>
      </c>
      <c r="J603" s="22" t="s">
        <v>19573</v>
      </c>
      <c r="K603" s="22" t="s">
        <v>19574</v>
      </c>
      <c r="L603" s="22"/>
      <c r="M603" s="22"/>
      <c r="N603" s="25" t="str">
        <f>HYPERLINK("http://slimages.macys.com/is/image/MCY/1523158 ")</f>
        <v xml:space="preserve">http://slimages.macys.com/is/image/MCY/1523158 </v>
      </c>
    </row>
    <row r="604" spans="1:14" ht="24.75" x14ac:dyDescent="0.25">
      <c r="A604" s="21" t="s">
        <v>9327</v>
      </c>
      <c r="B604" s="22" t="s">
        <v>9328</v>
      </c>
      <c r="C604" s="2">
        <v>1</v>
      </c>
      <c r="D604" s="23">
        <v>5.99</v>
      </c>
      <c r="E604" s="3">
        <v>5.99</v>
      </c>
      <c r="F604" s="2" t="s">
        <v>17245</v>
      </c>
      <c r="G604" s="22" t="s">
        <v>19794</v>
      </c>
      <c r="H604" s="24" t="s">
        <v>19384</v>
      </c>
      <c r="I604" s="22" t="s">
        <v>19309</v>
      </c>
      <c r="J604" s="22" t="s">
        <v>19573</v>
      </c>
      <c r="K604" s="22" t="s">
        <v>19574</v>
      </c>
      <c r="L604" s="22"/>
      <c r="M604" s="22"/>
      <c r="N604" s="25" t="str">
        <f>HYPERLINK("http://slimages.macys.com/is/image/MCY/1520523 ")</f>
        <v xml:space="preserve">http://slimages.macys.com/is/image/MCY/1520523 </v>
      </c>
    </row>
    <row r="605" spans="1:14" ht="24.75" x14ac:dyDescent="0.25">
      <c r="A605" s="21" t="s">
        <v>9329</v>
      </c>
      <c r="B605" s="22" t="s">
        <v>9330</v>
      </c>
      <c r="C605" s="2">
        <v>1</v>
      </c>
      <c r="D605" s="23">
        <v>5.99</v>
      </c>
      <c r="E605" s="3">
        <v>5.99</v>
      </c>
      <c r="F605" s="2" t="s">
        <v>17245</v>
      </c>
      <c r="G605" s="22" t="s">
        <v>19794</v>
      </c>
      <c r="H605" s="24" t="s">
        <v>19538</v>
      </c>
      <c r="I605" s="22" t="s">
        <v>19309</v>
      </c>
      <c r="J605" s="22" t="s">
        <v>19573</v>
      </c>
      <c r="K605" s="22" t="s">
        <v>19574</v>
      </c>
      <c r="L605" s="22"/>
      <c r="M605" s="22"/>
      <c r="N605" s="25" t="str">
        <f>HYPERLINK("http://slimages.macys.com/is/image/MCY/1520523 ")</f>
        <v xml:space="preserve">http://slimages.macys.com/is/image/MCY/1520523 </v>
      </c>
    </row>
    <row r="606" spans="1:14" ht="24.75" x14ac:dyDescent="0.25">
      <c r="A606" s="21" t="s">
        <v>14978</v>
      </c>
      <c r="B606" s="22" t="s">
        <v>14979</v>
      </c>
      <c r="C606" s="2">
        <v>1</v>
      </c>
      <c r="D606" s="23">
        <v>5.99</v>
      </c>
      <c r="E606" s="3">
        <v>5.99</v>
      </c>
      <c r="F606" s="2" t="s">
        <v>19273</v>
      </c>
      <c r="G606" s="22" t="s">
        <v>19794</v>
      </c>
      <c r="H606" s="24" t="s">
        <v>19330</v>
      </c>
      <c r="I606" s="22" t="s">
        <v>19309</v>
      </c>
      <c r="J606" s="22" t="s">
        <v>19573</v>
      </c>
      <c r="K606" s="22" t="s">
        <v>19574</v>
      </c>
      <c r="L606" s="22"/>
      <c r="M606" s="22"/>
      <c r="N606" s="25" t="str">
        <f>HYPERLINK("http://slimages.macys.com/is/image/MCY/21209112 ")</f>
        <v xml:space="preserve">http://slimages.macys.com/is/image/MCY/21209112 </v>
      </c>
    </row>
    <row r="607" spans="1:14" ht="24.75" x14ac:dyDescent="0.25">
      <c r="A607" s="21" t="s">
        <v>17258</v>
      </c>
      <c r="B607" s="22" t="s">
        <v>17259</v>
      </c>
      <c r="C607" s="2">
        <v>1</v>
      </c>
      <c r="D607" s="23">
        <v>5.99</v>
      </c>
      <c r="E607" s="3">
        <v>5.99</v>
      </c>
      <c r="F607" s="2" t="s">
        <v>17254</v>
      </c>
      <c r="G607" s="22" t="s">
        <v>19906</v>
      </c>
      <c r="H607" s="24" t="s">
        <v>19538</v>
      </c>
      <c r="I607" s="22" t="s">
        <v>19309</v>
      </c>
      <c r="J607" s="22" t="s">
        <v>19573</v>
      </c>
      <c r="K607" s="22" t="s">
        <v>19574</v>
      </c>
      <c r="L607" s="22"/>
      <c r="M607" s="22"/>
      <c r="N607" s="25" t="str">
        <f>HYPERLINK("http://slimages.macys.com/is/image/MCY/21209467 ")</f>
        <v xml:space="preserve">http://slimages.macys.com/is/image/MCY/21209467 </v>
      </c>
    </row>
    <row r="608" spans="1:14" ht="24.75" x14ac:dyDescent="0.25">
      <c r="A608" s="21" t="s">
        <v>9331</v>
      </c>
      <c r="B608" s="22" t="s">
        <v>9332</v>
      </c>
      <c r="C608" s="2">
        <v>1</v>
      </c>
      <c r="D608" s="23">
        <v>5.99</v>
      </c>
      <c r="E608" s="3">
        <v>5.99</v>
      </c>
      <c r="F608" s="2" t="s">
        <v>10751</v>
      </c>
      <c r="G608" s="22" t="s">
        <v>19618</v>
      </c>
      <c r="H608" s="24" t="s">
        <v>19538</v>
      </c>
      <c r="I608" s="22" t="s">
        <v>19309</v>
      </c>
      <c r="J608" s="22" t="s">
        <v>19573</v>
      </c>
      <c r="K608" s="22" t="s">
        <v>19574</v>
      </c>
      <c r="L608" s="22"/>
      <c r="M608" s="22"/>
      <c r="N608" s="25" t="str">
        <f>HYPERLINK("http://slimages.macys.com/is/image/MCY/19977787 ")</f>
        <v xml:space="preserve">http://slimages.macys.com/is/image/MCY/19977787 </v>
      </c>
    </row>
    <row r="609" spans="1:14" ht="24.75" x14ac:dyDescent="0.25">
      <c r="A609" s="21" t="s">
        <v>9333</v>
      </c>
      <c r="B609" s="22" t="s">
        <v>9334</v>
      </c>
      <c r="C609" s="2">
        <v>1</v>
      </c>
      <c r="D609" s="23">
        <v>6.99</v>
      </c>
      <c r="E609" s="3">
        <v>6.99</v>
      </c>
      <c r="F609" s="2" t="s">
        <v>9335</v>
      </c>
      <c r="G609" s="22" t="s">
        <v>18821</v>
      </c>
      <c r="H609" s="24" t="s">
        <v>19538</v>
      </c>
      <c r="I609" s="22" t="s">
        <v>19309</v>
      </c>
      <c r="J609" s="22" t="s">
        <v>19573</v>
      </c>
      <c r="K609" s="22" t="s">
        <v>19574</v>
      </c>
      <c r="L609" s="22"/>
      <c r="M609" s="22"/>
      <c r="N609" s="25" t="str">
        <f>HYPERLINK("http://slimages.macys.com/is/image/MCY/1041675 ")</f>
        <v xml:space="preserve">http://slimages.macys.com/is/image/MCY/1041675 </v>
      </c>
    </row>
    <row r="610" spans="1:14" ht="24.75" x14ac:dyDescent="0.25">
      <c r="A610" s="21" t="s">
        <v>9336</v>
      </c>
      <c r="B610" s="22" t="s">
        <v>9337</v>
      </c>
      <c r="C610" s="2">
        <v>1</v>
      </c>
      <c r="D610" s="23">
        <v>6.99</v>
      </c>
      <c r="E610" s="3">
        <v>6.99</v>
      </c>
      <c r="F610" s="2" t="s">
        <v>9338</v>
      </c>
      <c r="G610" s="22" t="s">
        <v>19518</v>
      </c>
      <c r="H610" s="24" t="s">
        <v>19324</v>
      </c>
      <c r="I610" s="22" t="s">
        <v>19309</v>
      </c>
      <c r="J610" s="22" t="s">
        <v>19573</v>
      </c>
      <c r="K610" s="22" t="s">
        <v>19574</v>
      </c>
      <c r="L610" s="22"/>
      <c r="M610" s="22"/>
      <c r="N610" s="25" t="str">
        <f>HYPERLINK("http://slimages.macys.com/is/image/MCY/19507413 ")</f>
        <v xml:space="preserve">http://slimages.macys.com/is/image/MCY/19507413 </v>
      </c>
    </row>
    <row r="611" spans="1:14" ht="24.75" x14ac:dyDescent="0.25">
      <c r="A611" s="21" t="s">
        <v>9339</v>
      </c>
      <c r="B611" s="22" t="s">
        <v>9340</v>
      </c>
      <c r="C611" s="2">
        <v>1</v>
      </c>
      <c r="D611" s="23">
        <v>6.99</v>
      </c>
      <c r="E611" s="3">
        <v>6.99</v>
      </c>
      <c r="F611" s="2" t="s">
        <v>9338</v>
      </c>
      <c r="G611" s="22" t="s">
        <v>19518</v>
      </c>
      <c r="H611" s="24" t="s">
        <v>19330</v>
      </c>
      <c r="I611" s="22" t="s">
        <v>19309</v>
      </c>
      <c r="J611" s="22" t="s">
        <v>19573</v>
      </c>
      <c r="K611" s="22" t="s">
        <v>19574</v>
      </c>
      <c r="L611" s="22"/>
      <c r="M611" s="22"/>
      <c r="N611" s="25" t="str">
        <f>HYPERLINK("http://slimages.macys.com/is/image/MCY/19507413 ")</f>
        <v xml:space="preserve">http://slimages.macys.com/is/image/MCY/19507413 </v>
      </c>
    </row>
    <row r="612" spans="1:14" ht="24.75" x14ac:dyDescent="0.25">
      <c r="A612" s="21" t="s">
        <v>17403</v>
      </c>
      <c r="B612" s="22" t="s">
        <v>17404</v>
      </c>
      <c r="C612" s="2">
        <v>1</v>
      </c>
      <c r="D612" s="23">
        <v>5.99</v>
      </c>
      <c r="E612" s="3">
        <v>5.99</v>
      </c>
      <c r="F612" s="2" t="s">
        <v>17405</v>
      </c>
      <c r="G612" s="22" t="s">
        <v>19351</v>
      </c>
      <c r="H612" s="24" t="s">
        <v>19538</v>
      </c>
      <c r="I612" s="22" t="s">
        <v>19309</v>
      </c>
      <c r="J612" s="22" t="s">
        <v>19573</v>
      </c>
      <c r="K612" s="22" t="s">
        <v>19574</v>
      </c>
      <c r="L612" s="22"/>
      <c r="M612" s="22"/>
      <c r="N612" s="25" t="str">
        <f>HYPERLINK("http://slimages.macys.com/is/image/MCY/21970228 ")</f>
        <v xml:space="preserve">http://slimages.macys.com/is/image/MCY/21970228 </v>
      </c>
    </row>
    <row r="613" spans="1:14" ht="24.75" x14ac:dyDescent="0.25">
      <c r="A613" s="21" t="s">
        <v>17406</v>
      </c>
      <c r="B613" s="22" t="s">
        <v>17407</v>
      </c>
      <c r="C613" s="2">
        <v>1</v>
      </c>
      <c r="D613" s="23">
        <v>5.99</v>
      </c>
      <c r="E613" s="3">
        <v>5.99</v>
      </c>
      <c r="F613" s="2" t="s">
        <v>17408</v>
      </c>
      <c r="G613" s="22" t="s">
        <v>19467</v>
      </c>
      <c r="H613" s="24" t="s">
        <v>19538</v>
      </c>
      <c r="I613" s="22" t="s">
        <v>19309</v>
      </c>
      <c r="J613" s="22" t="s">
        <v>19573</v>
      </c>
      <c r="K613" s="22" t="s">
        <v>19574</v>
      </c>
      <c r="L613" s="22"/>
      <c r="M613" s="22"/>
      <c r="N613" s="25" t="str">
        <f>HYPERLINK("http://slimages.macys.com/is/image/MCY/21970244 ")</f>
        <v xml:space="preserve">http://slimages.macys.com/is/image/MCY/21970244 </v>
      </c>
    </row>
    <row r="614" spans="1:14" ht="24.75" x14ac:dyDescent="0.25">
      <c r="A614" s="21" t="s">
        <v>9341</v>
      </c>
      <c r="B614" s="22" t="s">
        <v>9342</v>
      </c>
      <c r="C614" s="2">
        <v>2</v>
      </c>
      <c r="D614" s="23">
        <v>5.99</v>
      </c>
      <c r="E614" s="3">
        <v>11.98</v>
      </c>
      <c r="F614" s="2" t="s">
        <v>17411</v>
      </c>
      <c r="G614" s="22" t="s">
        <v>19351</v>
      </c>
      <c r="H614" s="24" t="s">
        <v>19384</v>
      </c>
      <c r="I614" s="22" t="s">
        <v>19309</v>
      </c>
      <c r="J614" s="22" t="s">
        <v>19573</v>
      </c>
      <c r="K614" s="22" t="s">
        <v>19574</v>
      </c>
      <c r="L614" s="22"/>
      <c r="M614" s="22"/>
      <c r="N614" s="25" t="str">
        <f>HYPERLINK("http://slimages.macys.com/is/image/MCY/1537013 ")</f>
        <v xml:space="preserve">http://slimages.macys.com/is/image/MCY/1537013 </v>
      </c>
    </row>
    <row r="615" spans="1:14" ht="24.75" x14ac:dyDescent="0.25">
      <c r="A615" s="21" t="s">
        <v>10189</v>
      </c>
      <c r="B615" s="22" t="s">
        <v>10190</v>
      </c>
      <c r="C615" s="2">
        <v>1</v>
      </c>
      <c r="D615" s="23">
        <v>5.99</v>
      </c>
      <c r="E615" s="3">
        <v>5.99</v>
      </c>
      <c r="F615" s="2" t="s">
        <v>17411</v>
      </c>
      <c r="G615" s="22" t="s">
        <v>19351</v>
      </c>
      <c r="H615" s="24" t="s">
        <v>19538</v>
      </c>
      <c r="I615" s="22" t="s">
        <v>19309</v>
      </c>
      <c r="J615" s="22" t="s">
        <v>19573</v>
      </c>
      <c r="K615" s="22" t="s">
        <v>19574</v>
      </c>
      <c r="L615" s="22"/>
      <c r="M615" s="22"/>
      <c r="N615" s="25" t="str">
        <f>HYPERLINK("http://slimages.macys.com/is/image/MCY/1537013 ")</f>
        <v xml:space="preserve">http://slimages.macys.com/is/image/MCY/1537013 </v>
      </c>
    </row>
    <row r="616" spans="1:14" ht="24.75" x14ac:dyDescent="0.25">
      <c r="A616" s="21" t="s">
        <v>9343</v>
      </c>
      <c r="B616" s="22" t="s">
        <v>9344</v>
      </c>
      <c r="C616" s="2">
        <v>1</v>
      </c>
      <c r="D616" s="23">
        <v>5.99</v>
      </c>
      <c r="E616" s="3">
        <v>5.99</v>
      </c>
      <c r="F616" s="2" t="s">
        <v>9345</v>
      </c>
      <c r="G616" s="22" t="s">
        <v>19618</v>
      </c>
      <c r="H616" s="24" t="s">
        <v>19384</v>
      </c>
      <c r="I616" s="22" t="s">
        <v>19309</v>
      </c>
      <c r="J616" s="22" t="s">
        <v>19573</v>
      </c>
      <c r="K616" s="22" t="s">
        <v>19574</v>
      </c>
      <c r="L616" s="22"/>
      <c r="M616" s="22"/>
      <c r="N616" s="25" t="str">
        <f>HYPERLINK("http://slimages.macys.com/is/image/MCY/20551263 ")</f>
        <v xml:space="preserve">http://slimages.macys.com/is/image/MCY/20551263 </v>
      </c>
    </row>
    <row r="617" spans="1:14" ht="24.75" x14ac:dyDescent="0.25">
      <c r="A617" s="21" t="s">
        <v>9346</v>
      </c>
      <c r="B617" s="22" t="s">
        <v>9347</v>
      </c>
      <c r="C617" s="2">
        <v>1</v>
      </c>
      <c r="D617" s="23">
        <v>5.99</v>
      </c>
      <c r="E617" s="3">
        <v>5.99</v>
      </c>
      <c r="F617" s="2" t="s">
        <v>14988</v>
      </c>
      <c r="G617" s="22" t="s">
        <v>19467</v>
      </c>
      <c r="H617" s="24" t="s">
        <v>19384</v>
      </c>
      <c r="I617" s="22" t="s">
        <v>19309</v>
      </c>
      <c r="J617" s="22" t="s">
        <v>19573</v>
      </c>
      <c r="K617" s="22" t="s">
        <v>19574</v>
      </c>
      <c r="L617" s="22"/>
      <c r="M617" s="22"/>
      <c r="N617" s="25" t="str">
        <f>HYPERLINK("http://slimages.macys.com/is/image/MCY/20757609 ")</f>
        <v xml:space="preserve">http://slimages.macys.com/is/image/MCY/20757609 </v>
      </c>
    </row>
    <row r="618" spans="1:14" ht="24.75" x14ac:dyDescent="0.25">
      <c r="A618" s="21" t="s">
        <v>9348</v>
      </c>
      <c r="B618" s="22" t="s">
        <v>9349</v>
      </c>
      <c r="C618" s="2">
        <v>1</v>
      </c>
      <c r="D618" s="23">
        <v>5.99</v>
      </c>
      <c r="E618" s="3">
        <v>5.99</v>
      </c>
      <c r="F618" s="2" t="s">
        <v>9345</v>
      </c>
      <c r="G618" s="22" t="s">
        <v>19618</v>
      </c>
      <c r="H618" s="24" t="s">
        <v>19538</v>
      </c>
      <c r="I618" s="22" t="s">
        <v>19309</v>
      </c>
      <c r="J618" s="22" t="s">
        <v>19573</v>
      </c>
      <c r="K618" s="22" t="s">
        <v>19574</v>
      </c>
      <c r="L618" s="22"/>
      <c r="M618" s="22"/>
      <c r="N618" s="25" t="str">
        <f>HYPERLINK("http://slimages.macys.com/is/image/MCY/20551263 ")</f>
        <v xml:space="preserve">http://slimages.macys.com/is/image/MCY/20551263 </v>
      </c>
    </row>
    <row r="619" spans="1:14" ht="24.75" x14ac:dyDescent="0.25">
      <c r="A619" s="21" t="s">
        <v>14348</v>
      </c>
      <c r="B619" s="22" t="s">
        <v>14349</v>
      </c>
      <c r="C619" s="2">
        <v>3</v>
      </c>
      <c r="D619" s="23">
        <v>5.99</v>
      </c>
      <c r="E619" s="3">
        <v>17.97</v>
      </c>
      <c r="F619" s="2" t="s">
        <v>17283</v>
      </c>
      <c r="G619" s="22" t="s">
        <v>19618</v>
      </c>
      <c r="H619" s="24" t="s">
        <v>19538</v>
      </c>
      <c r="I619" s="22" t="s">
        <v>19309</v>
      </c>
      <c r="J619" s="22" t="s">
        <v>19573</v>
      </c>
      <c r="K619" s="22" t="s">
        <v>19574</v>
      </c>
      <c r="L619" s="22"/>
      <c r="M619" s="22"/>
      <c r="N619" s="25" t="str">
        <f>HYPERLINK("http://slimages.macys.com/is/image/MCY/21089253 ")</f>
        <v xml:space="preserve">http://slimages.macys.com/is/image/MCY/21089253 </v>
      </c>
    </row>
    <row r="620" spans="1:14" ht="24.75" x14ac:dyDescent="0.25">
      <c r="A620" s="21" t="s">
        <v>9350</v>
      </c>
      <c r="B620" s="22" t="s">
        <v>9351</v>
      </c>
      <c r="C620" s="2">
        <v>1</v>
      </c>
      <c r="D620" s="23">
        <v>5.99</v>
      </c>
      <c r="E620" s="3">
        <v>5.99</v>
      </c>
      <c r="F620" s="2" t="s">
        <v>17283</v>
      </c>
      <c r="G620" s="22" t="s">
        <v>19618</v>
      </c>
      <c r="H620" s="24" t="s">
        <v>19384</v>
      </c>
      <c r="I620" s="22" t="s">
        <v>19309</v>
      </c>
      <c r="J620" s="22" t="s">
        <v>19573</v>
      </c>
      <c r="K620" s="22" t="s">
        <v>19574</v>
      </c>
      <c r="L620" s="22"/>
      <c r="M620" s="22"/>
      <c r="N620" s="25" t="str">
        <f>HYPERLINK("http://slimages.macys.com/is/image/MCY/21089253 ")</f>
        <v xml:space="preserve">http://slimages.macys.com/is/image/MCY/21089253 </v>
      </c>
    </row>
    <row r="621" spans="1:14" ht="24.75" x14ac:dyDescent="0.25">
      <c r="A621" s="21" t="s">
        <v>17281</v>
      </c>
      <c r="B621" s="22" t="s">
        <v>17282</v>
      </c>
      <c r="C621" s="2">
        <v>1</v>
      </c>
      <c r="D621" s="23">
        <v>5.99</v>
      </c>
      <c r="E621" s="3">
        <v>5.99</v>
      </c>
      <c r="F621" s="2" t="s">
        <v>17283</v>
      </c>
      <c r="G621" s="22" t="s">
        <v>19618</v>
      </c>
      <c r="H621" s="24" t="s">
        <v>19330</v>
      </c>
      <c r="I621" s="22" t="s">
        <v>19309</v>
      </c>
      <c r="J621" s="22" t="s">
        <v>19573</v>
      </c>
      <c r="K621" s="22" t="s">
        <v>19574</v>
      </c>
      <c r="L621" s="22"/>
      <c r="M621" s="22"/>
      <c r="N621" s="25" t="str">
        <f>HYPERLINK("http://slimages.macys.com/is/image/MCY/21089253 ")</f>
        <v xml:space="preserve">http://slimages.macys.com/is/image/MCY/21089253 </v>
      </c>
    </row>
    <row r="622" spans="1:14" ht="24.75" x14ac:dyDescent="0.25">
      <c r="A622" s="21" t="s">
        <v>9352</v>
      </c>
      <c r="B622" s="22" t="s">
        <v>9353</v>
      </c>
      <c r="C622" s="2">
        <v>1</v>
      </c>
      <c r="D622" s="23">
        <v>5.99</v>
      </c>
      <c r="E622" s="3">
        <v>5.99</v>
      </c>
      <c r="F622" s="2" t="s">
        <v>9354</v>
      </c>
      <c r="G622" s="22" t="s">
        <v>19415</v>
      </c>
      <c r="H622" s="24" t="s">
        <v>19384</v>
      </c>
      <c r="I622" s="22" t="s">
        <v>19309</v>
      </c>
      <c r="J622" s="22" t="s">
        <v>19573</v>
      </c>
      <c r="K622" s="22" t="s">
        <v>19574</v>
      </c>
      <c r="L622" s="22"/>
      <c r="M622" s="22"/>
      <c r="N622" s="25" t="str">
        <f>HYPERLINK("http://slimages.macys.com/is/image/MCY/20550756 ")</f>
        <v xml:space="preserve">http://slimages.macys.com/is/image/MCY/20550756 </v>
      </c>
    </row>
    <row r="623" spans="1:14" ht="24.75" x14ac:dyDescent="0.25">
      <c r="A623" s="21" t="s">
        <v>9355</v>
      </c>
      <c r="B623" s="22" t="s">
        <v>9356</v>
      </c>
      <c r="C623" s="2">
        <v>1</v>
      </c>
      <c r="D623" s="23">
        <v>5.99</v>
      </c>
      <c r="E623" s="3">
        <v>5.99</v>
      </c>
      <c r="F623" s="2" t="s">
        <v>9354</v>
      </c>
      <c r="G623" s="22" t="s">
        <v>19415</v>
      </c>
      <c r="H623" s="24" t="s">
        <v>19330</v>
      </c>
      <c r="I623" s="22" t="s">
        <v>19309</v>
      </c>
      <c r="J623" s="22" t="s">
        <v>19573</v>
      </c>
      <c r="K623" s="22" t="s">
        <v>19574</v>
      </c>
      <c r="L623" s="22"/>
      <c r="M623" s="22"/>
      <c r="N623" s="25" t="str">
        <f>HYPERLINK("http://slimages.macys.com/is/image/MCY/20550756 ")</f>
        <v xml:space="preserve">http://slimages.macys.com/is/image/MCY/20550756 </v>
      </c>
    </row>
    <row r="624" spans="1:14" ht="24.75" x14ac:dyDescent="0.25">
      <c r="A624" s="21" t="s">
        <v>9357</v>
      </c>
      <c r="B624" s="22" t="s">
        <v>9358</v>
      </c>
      <c r="C624" s="2">
        <v>2</v>
      </c>
      <c r="D624" s="23">
        <v>5.99</v>
      </c>
      <c r="E624" s="3">
        <v>11.98</v>
      </c>
      <c r="F624" s="2" t="s">
        <v>15020</v>
      </c>
      <c r="G624" s="22" t="s">
        <v>19618</v>
      </c>
      <c r="H624" s="24" t="s">
        <v>19538</v>
      </c>
      <c r="I624" s="22" t="s">
        <v>19309</v>
      </c>
      <c r="J624" s="22" t="s">
        <v>19573</v>
      </c>
      <c r="K624" s="22" t="s">
        <v>19574</v>
      </c>
      <c r="L624" s="22"/>
      <c r="M624" s="22"/>
      <c r="N624" s="25" t="str">
        <f>HYPERLINK("http://slimages.macys.com/is/image/MCY/20757443 ")</f>
        <v xml:space="preserve">http://slimages.macys.com/is/image/MCY/20757443 </v>
      </c>
    </row>
    <row r="625" spans="1:14" ht="24.75" x14ac:dyDescent="0.25">
      <c r="A625" s="21" t="s">
        <v>9359</v>
      </c>
      <c r="B625" s="22" t="s">
        <v>9360</v>
      </c>
      <c r="C625" s="2">
        <v>1</v>
      </c>
      <c r="D625" s="23">
        <v>5.99</v>
      </c>
      <c r="E625" s="3">
        <v>5.99</v>
      </c>
      <c r="F625" s="2" t="s">
        <v>9361</v>
      </c>
      <c r="G625" s="22" t="s">
        <v>19431</v>
      </c>
      <c r="H625" s="24" t="s">
        <v>19538</v>
      </c>
      <c r="I625" s="22" t="s">
        <v>19309</v>
      </c>
      <c r="J625" s="22" t="s">
        <v>19573</v>
      </c>
      <c r="K625" s="22" t="s">
        <v>19574</v>
      </c>
      <c r="L625" s="22"/>
      <c r="M625" s="22"/>
      <c r="N625" s="25" t="str">
        <f>HYPERLINK("http://slimages.macys.com/is/image/MCY/1104416 ")</f>
        <v xml:space="preserve">http://slimages.macys.com/is/image/MCY/1104416 </v>
      </c>
    </row>
    <row r="626" spans="1:14" ht="24.75" x14ac:dyDescent="0.25">
      <c r="A626" s="21" t="s">
        <v>9362</v>
      </c>
      <c r="B626" s="22" t="s">
        <v>9363</v>
      </c>
      <c r="C626" s="2">
        <v>1</v>
      </c>
      <c r="D626" s="23">
        <v>5.99</v>
      </c>
      <c r="E626" s="3">
        <v>5.99</v>
      </c>
      <c r="F626" s="2" t="s">
        <v>15017</v>
      </c>
      <c r="G626" s="22" t="s">
        <v>19585</v>
      </c>
      <c r="H626" s="24" t="s">
        <v>19538</v>
      </c>
      <c r="I626" s="22" t="s">
        <v>19309</v>
      </c>
      <c r="J626" s="22" t="s">
        <v>19573</v>
      </c>
      <c r="K626" s="22" t="s">
        <v>19574</v>
      </c>
      <c r="L626" s="22"/>
      <c r="M626" s="22"/>
      <c r="N626" s="25" t="str">
        <f>HYPERLINK("http://slimages.macys.com/is/image/MCY/20547822 ")</f>
        <v xml:space="preserve">http://slimages.macys.com/is/image/MCY/20547822 </v>
      </c>
    </row>
    <row r="627" spans="1:14" ht="24.75" x14ac:dyDescent="0.25">
      <c r="A627" s="21" t="s">
        <v>17459</v>
      </c>
      <c r="B627" s="22" t="s">
        <v>17460</v>
      </c>
      <c r="C627" s="2">
        <v>1</v>
      </c>
      <c r="D627" s="23">
        <v>5.99</v>
      </c>
      <c r="E627" s="3">
        <v>5.99</v>
      </c>
      <c r="F627" s="2" t="s">
        <v>17455</v>
      </c>
      <c r="G627" s="22" t="s">
        <v>19431</v>
      </c>
      <c r="H627" s="24" t="s">
        <v>19324</v>
      </c>
      <c r="I627" s="22" t="s">
        <v>19309</v>
      </c>
      <c r="J627" s="22" t="s">
        <v>19573</v>
      </c>
      <c r="K627" s="22" t="s">
        <v>19574</v>
      </c>
      <c r="L627" s="22"/>
      <c r="M627" s="22"/>
      <c r="N627" s="25" t="str">
        <f>HYPERLINK("http://slimages.macys.com/is/image/MCY/21089250 ")</f>
        <v xml:space="preserve">http://slimages.macys.com/is/image/MCY/21089250 </v>
      </c>
    </row>
    <row r="628" spans="1:14" ht="24.75" x14ac:dyDescent="0.25">
      <c r="A628" s="21" t="s">
        <v>9364</v>
      </c>
      <c r="B628" s="22" t="s">
        <v>9365</v>
      </c>
      <c r="C628" s="2">
        <v>2</v>
      </c>
      <c r="D628" s="23">
        <v>5.99</v>
      </c>
      <c r="E628" s="3">
        <v>11.98</v>
      </c>
      <c r="F628" s="2" t="s">
        <v>17472</v>
      </c>
      <c r="G628" s="22" t="s">
        <v>19467</v>
      </c>
      <c r="H628" s="24" t="s">
        <v>19384</v>
      </c>
      <c r="I628" s="22" t="s">
        <v>19309</v>
      </c>
      <c r="J628" s="22" t="s">
        <v>19573</v>
      </c>
      <c r="K628" s="22" t="s">
        <v>19574</v>
      </c>
      <c r="L628" s="22"/>
      <c r="M628" s="22"/>
      <c r="N628" s="25" t="str">
        <f>HYPERLINK("http://slimages.macys.com/is/image/MCY/16605973 ")</f>
        <v xml:space="preserve">http://slimages.macys.com/is/image/MCY/16605973 </v>
      </c>
    </row>
    <row r="629" spans="1:14" ht="24.75" x14ac:dyDescent="0.25">
      <c r="A629" s="21" t="s">
        <v>15021</v>
      </c>
      <c r="B629" s="22" t="s">
        <v>15022</v>
      </c>
      <c r="C629" s="2">
        <v>1</v>
      </c>
      <c r="D629" s="23">
        <v>5.99</v>
      </c>
      <c r="E629" s="3">
        <v>5.99</v>
      </c>
      <c r="F629" s="2" t="s">
        <v>17472</v>
      </c>
      <c r="G629" s="22" t="s">
        <v>19467</v>
      </c>
      <c r="H629" s="24" t="s">
        <v>19538</v>
      </c>
      <c r="I629" s="22" t="s">
        <v>19309</v>
      </c>
      <c r="J629" s="22" t="s">
        <v>19573</v>
      </c>
      <c r="K629" s="22" t="s">
        <v>19574</v>
      </c>
      <c r="L629" s="22"/>
      <c r="M629" s="22"/>
      <c r="N629" s="25" t="str">
        <f>HYPERLINK("http://slimages.macys.com/is/image/MCY/16605973 ")</f>
        <v xml:space="preserve">http://slimages.macys.com/is/image/MCY/16605973 </v>
      </c>
    </row>
    <row r="630" spans="1:14" ht="24.75" x14ac:dyDescent="0.25">
      <c r="A630" s="21" t="s">
        <v>17315</v>
      </c>
      <c r="B630" s="22" t="s">
        <v>17316</v>
      </c>
      <c r="C630" s="2">
        <v>1</v>
      </c>
      <c r="D630" s="23">
        <v>5.99</v>
      </c>
      <c r="E630" s="3">
        <v>5.99</v>
      </c>
      <c r="F630" s="2" t="s">
        <v>17472</v>
      </c>
      <c r="G630" s="22" t="s">
        <v>19467</v>
      </c>
      <c r="H630" s="24" t="s">
        <v>19324</v>
      </c>
      <c r="I630" s="22" t="s">
        <v>19309</v>
      </c>
      <c r="J630" s="22" t="s">
        <v>19573</v>
      </c>
      <c r="K630" s="22" t="s">
        <v>19574</v>
      </c>
      <c r="L630" s="22"/>
      <c r="M630" s="22"/>
      <c r="N630" s="25" t="str">
        <f>HYPERLINK("http://slimages.macys.com/is/image/MCY/16605973 ")</f>
        <v xml:space="preserve">http://slimages.macys.com/is/image/MCY/16605973 </v>
      </c>
    </row>
    <row r="631" spans="1:14" ht="24.75" x14ac:dyDescent="0.25">
      <c r="A631" s="21" t="s">
        <v>9366</v>
      </c>
      <c r="B631" s="22" t="s">
        <v>9367</v>
      </c>
      <c r="C631" s="2">
        <v>1</v>
      </c>
      <c r="D631" s="23">
        <v>35.99</v>
      </c>
      <c r="E631" s="3">
        <v>35.99</v>
      </c>
      <c r="F631" s="2" t="s">
        <v>17475</v>
      </c>
      <c r="G631" s="22" t="s">
        <v>19674</v>
      </c>
      <c r="H631" s="24" t="s">
        <v>19538</v>
      </c>
      <c r="I631" s="22" t="s">
        <v>19309</v>
      </c>
      <c r="J631" s="22" t="s">
        <v>19385</v>
      </c>
      <c r="K631" s="22" t="s">
        <v>19487</v>
      </c>
      <c r="L631" s="22"/>
      <c r="M631" s="22"/>
      <c r="N631" s="25"/>
    </row>
    <row r="632" spans="1:14" ht="24.75" x14ac:dyDescent="0.25">
      <c r="A632" s="21" t="s">
        <v>17320</v>
      </c>
      <c r="B632" s="22" t="s">
        <v>17321</v>
      </c>
      <c r="C632" s="2">
        <v>1</v>
      </c>
      <c r="D632" s="23">
        <v>33.99</v>
      </c>
      <c r="E632" s="3">
        <v>33.99</v>
      </c>
      <c r="F632" s="2" t="s">
        <v>17595</v>
      </c>
      <c r="G632" s="22" t="s">
        <v>19498</v>
      </c>
      <c r="H632" s="24" t="s">
        <v>19324</v>
      </c>
      <c r="I632" s="22" t="s">
        <v>19309</v>
      </c>
      <c r="J632" s="22" t="s">
        <v>19385</v>
      </c>
      <c r="K632" s="22" t="s">
        <v>19386</v>
      </c>
      <c r="L632" s="22"/>
      <c r="M632" s="22"/>
      <c r="N632" s="25"/>
    </row>
    <row r="633" spans="1:14" ht="24.75" x14ac:dyDescent="0.25">
      <c r="A633" s="21" t="s">
        <v>14362</v>
      </c>
      <c r="B633" s="22" t="s">
        <v>14363</v>
      </c>
      <c r="C633" s="2">
        <v>1</v>
      </c>
      <c r="D633" s="23">
        <v>33.99</v>
      </c>
      <c r="E633" s="3">
        <v>33.99</v>
      </c>
      <c r="F633" s="2" t="s">
        <v>17592</v>
      </c>
      <c r="G633" s="22" t="s">
        <v>19422</v>
      </c>
      <c r="H633" s="24" t="s">
        <v>19384</v>
      </c>
      <c r="I633" s="22" t="s">
        <v>19309</v>
      </c>
      <c r="J633" s="22" t="s">
        <v>19385</v>
      </c>
      <c r="K633" s="22" t="s">
        <v>19386</v>
      </c>
      <c r="L633" s="22"/>
      <c r="M633" s="22"/>
      <c r="N633" s="25"/>
    </row>
    <row r="634" spans="1:14" ht="24.75" x14ac:dyDescent="0.25">
      <c r="A634" s="21" t="s">
        <v>17479</v>
      </c>
      <c r="B634" s="22" t="s">
        <v>17480</v>
      </c>
      <c r="C634" s="2">
        <v>1</v>
      </c>
      <c r="D634" s="23">
        <v>32.99</v>
      </c>
      <c r="E634" s="3">
        <v>32.99</v>
      </c>
      <c r="F634" s="2" t="s">
        <v>17481</v>
      </c>
      <c r="G634" s="22" t="s">
        <v>19415</v>
      </c>
      <c r="H634" s="24" t="s">
        <v>19538</v>
      </c>
      <c r="I634" s="22" t="s">
        <v>19309</v>
      </c>
      <c r="J634" s="22" t="s">
        <v>19385</v>
      </c>
      <c r="K634" s="22" t="s">
        <v>19487</v>
      </c>
      <c r="L634" s="22"/>
      <c r="M634" s="22"/>
      <c r="N634" s="25"/>
    </row>
    <row r="635" spans="1:14" ht="24.75" x14ac:dyDescent="0.25">
      <c r="A635" s="21" t="s">
        <v>17489</v>
      </c>
      <c r="B635" s="22" t="s">
        <v>17490</v>
      </c>
      <c r="C635" s="2">
        <v>1</v>
      </c>
      <c r="D635" s="23">
        <v>26.99</v>
      </c>
      <c r="E635" s="3">
        <v>26.99</v>
      </c>
      <c r="F635" s="2" t="s">
        <v>17488</v>
      </c>
      <c r="G635" s="22" t="s">
        <v>19357</v>
      </c>
      <c r="H635" s="24" t="s">
        <v>19324</v>
      </c>
      <c r="I635" s="22" t="s">
        <v>19309</v>
      </c>
      <c r="J635" s="22" t="s">
        <v>19385</v>
      </c>
      <c r="K635" s="22" t="s">
        <v>19487</v>
      </c>
      <c r="L635" s="22"/>
      <c r="M635" s="22"/>
      <c r="N635" s="25"/>
    </row>
    <row r="636" spans="1:14" ht="24.75" x14ac:dyDescent="0.25">
      <c r="A636" s="21" t="s">
        <v>17359</v>
      </c>
      <c r="B636" s="22" t="s">
        <v>17360</v>
      </c>
      <c r="C636" s="2">
        <v>1</v>
      </c>
      <c r="D636" s="23">
        <v>26.99</v>
      </c>
      <c r="E636" s="3">
        <v>26.99</v>
      </c>
      <c r="F636" s="2" t="s">
        <v>17488</v>
      </c>
      <c r="G636" s="22" t="s">
        <v>19357</v>
      </c>
      <c r="H636" s="24" t="s">
        <v>19330</v>
      </c>
      <c r="I636" s="22" t="s">
        <v>19309</v>
      </c>
      <c r="J636" s="22" t="s">
        <v>19385</v>
      </c>
      <c r="K636" s="22" t="s">
        <v>19487</v>
      </c>
      <c r="L636" s="22"/>
      <c r="M636" s="22"/>
      <c r="N636" s="25"/>
    </row>
    <row r="637" spans="1:14" ht="24.75" x14ac:dyDescent="0.25">
      <c r="A637" s="21" t="s">
        <v>17501</v>
      </c>
      <c r="B637" s="22" t="s">
        <v>17502</v>
      </c>
      <c r="C637" s="2">
        <v>2</v>
      </c>
      <c r="D637" s="23">
        <v>7.5</v>
      </c>
      <c r="E637" s="3">
        <v>15</v>
      </c>
      <c r="F637" s="2" t="s">
        <v>17503</v>
      </c>
      <c r="G637" s="22" t="s">
        <v>17504</v>
      </c>
      <c r="H637" s="24" t="s">
        <v>17505</v>
      </c>
      <c r="I637" s="22" t="s">
        <v>19309</v>
      </c>
      <c r="J637" s="22" t="s">
        <v>19573</v>
      </c>
      <c r="K637" s="22" t="s">
        <v>19574</v>
      </c>
      <c r="L637" s="22"/>
      <c r="M637" s="22"/>
      <c r="N637" s="25"/>
    </row>
    <row r="638" spans="1:14" ht="24.75" x14ac:dyDescent="0.25">
      <c r="A638" s="21" t="s">
        <v>17506</v>
      </c>
      <c r="B638" s="22" t="s">
        <v>17507</v>
      </c>
      <c r="C638" s="2">
        <v>2</v>
      </c>
      <c r="D638" s="23">
        <v>2.5</v>
      </c>
      <c r="E638" s="3">
        <v>5</v>
      </c>
      <c r="F638" s="2" t="s">
        <v>17507</v>
      </c>
      <c r="G638" s="22" t="s">
        <v>17504</v>
      </c>
      <c r="H638" s="24" t="s">
        <v>17505</v>
      </c>
      <c r="I638" s="22" t="s">
        <v>19309</v>
      </c>
      <c r="J638" s="22" t="s">
        <v>19696</v>
      </c>
      <c r="K638" s="22" t="s">
        <v>17508</v>
      </c>
      <c r="L638" s="22"/>
      <c r="M638" s="22"/>
      <c r="N638" s="25"/>
    </row>
    <row r="639" spans="1:14" x14ac:dyDescent="0.25">
      <c r="A639" s="21" t="s">
        <v>17509</v>
      </c>
      <c r="B639" s="22" t="s">
        <v>17510</v>
      </c>
      <c r="C639" s="2">
        <v>1</v>
      </c>
      <c r="D639" s="23">
        <v>7.5</v>
      </c>
      <c r="E639" s="3">
        <v>7.5</v>
      </c>
      <c r="F639" s="2" t="s">
        <v>17510</v>
      </c>
      <c r="G639" s="22" t="s">
        <v>17504</v>
      </c>
      <c r="H639" s="24" t="s">
        <v>17505</v>
      </c>
      <c r="I639" s="22" t="s">
        <v>19309</v>
      </c>
      <c r="J639" s="22" t="s">
        <v>19708</v>
      </c>
      <c r="K639" s="22" t="s">
        <v>19709</v>
      </c>
      <c r="L639" s="22"/>
      <c r="M639" s="22"/>
      <c r="N639" s="25"/>
    </row>
    <row r="640" spans="1:14" ht="24.75" x14ac:dyDescent="0.25">
      <c r="A640" s="21" t="s">
        <v>9368</v>
      </c>
      <c r="B640" s="22" t="s">
        <v>9369</v>
      </c>
      <c r="C640" s="2">
        <v>1</v>
      </c>
      <c r="D640" s="23">
        <v>24.99</v>
      </c>
      <c r="E640" s="3">
        <v>24.99</v>
      </c>
      <c r="F640" s="2" t="s">
        <v>9370</v>
      </c>
      <c r="G640" s="22" t="s">
        <v>19342</v>
      </c>
      <c r="H640" s="24" t="s">
        <v>19345</v>
      </c>
      <c r="I640" s="22" t="s">
        <v>19309</v>
      </c>
      <c r="J640" s="22" t="s">
        <v>19595</v>
      </c>
      <c r="K640" s="22" t="s">
        <v>17917</v>
      </c>
      <c r="L640" s="22"/>
      <c r="M640" s="22"/>
      <c r="N640" s="25"/>
    </row>
    <row r="641" spans="1:14" x14ac:dyDescent="0.25">
      <c r="A641" s="21" t="s">
        <v>9371</v>
      </c>
      <c r="B641" s="22" t="s">
        <v>9372</v>
      </c>
      <c r="C641" s="2">
        <v>1</v>
      </c>
      <c r="D641" s="23">
        <v>17.100000000000001</v>
      </c>
      <c r="E641" s="3">
        <v>17.100000000000001</v>
      </c>
      <c r="F641" s="2" t="s">
        <v>9373</v>
      </c>
      <c r="G641" s="22" t="s">
        <v>19342</v>
      </c>
      <c r="H641" s="24" t="s">
        <v>19416</v>
      </c>
      <c r="I641" s="22" t="s">
        <v>19309</v>
      </c>
      <c r="J641" s="22" t="s">
        <v>19708</v>
      </c>
      <c r="K641" s="22" t="s">
        <v>19709</v>
      </c>
      <c r="L641" s="22"/>
      <c r="M641" s="22"/>
      <c r="N641" s="25"/>
    </row>
    <row r="642" spans="1:14" ht="24.75" x14ac:dyDescent="0.25">
      <c r="A642" s="21" t="s">
        <v>9374</v>
      </c>
      <c r="B642" s="22" t="s">
        <v>9375</v>
      </c>
      <c r="C642" s="2">
        <v>1</v>
      </c>
      <c r="D642" s="23">
        <v>18.989999999999998</v>
      </c>
      <c r="E642" s="3">
        <v>18.989999999999998</v>
      </c>
      <c r="F642" s="2" t="s">
        <v>9376</v>
      </c>
      <c r="G642" s="22" t="s">
        <v>19323</v>
      </c>
      <c r="H642" s="24" t="s">
        <v>19361</v>
      </c>
      <c r="I642" s="22" t="s">
        <v>19309</v>
      </c>
      <c r="J642" s="22" t="s">
        <v>19595</v>
      </c>
      <c r="K642" s="22" t="s">
        <v>19596</v>
      </c>
      <c r="L642" s="22"/>
      <c r="M642" s="22"/>
      <c r="N642" s="25"/>
    </row>
    <row r="643" spans="1:14" ht="24.75" x14ac:dyDescent="0.25">
      <c r="A643" s="21" t="s">
        <v>9377</v>
      </c>
      <c r="B643" s="22" t="s">
        <v>9378</v>
      </c>
      <c r="C643" s="2">
        <v>1</v>
      </c>
      <c r="D643" s="23">
        <v>11.55</v>
      </c>
      <c r="E643" s="3">
        <v>11.55</v>
      </c>
      <c r="F643" s="2" t="s">
        <v>17372</v>
      </c>
      <c r="G643" s="22" t="s">
        <v>19618</v>
      </c>
      <c r="H643" s="24" t="s">
        <v>19364</v>
      </c>
      <c r="I643" s="22" t="s">
        <v>19309</v>
      </c>
      <c r="J643" s="22" t="s">
        <v>19565</v>
      </c>
      <c r="K643" s="22" t="s">
        <v>18548</v>
      </c>
      <c r="L643" s="22"/>
      <c r="M643" s="22"/>
      <c r="N643" s="25"/>
    </row>
    <row r="644" spans="1:14" x14ac:dyDescent="0.25">
      <c r="A644" s="21" t="s">
        <v>9379</v>
      </c>
      <c r="B644" s="22" t="s">
        <v>9380</v>
      </c>
      <c r="C644" s="2">
        <v>1</v>
      </c>
      <c r="D644" s="23">
        <v>13.68</v>
      </c>
      <c r="E644" s="3">
        <v>13.68</v>
      </c>
      <c r="F644" s="2" t="s">
        <v>10238</v>
      </c>
      <c r="G644" s="22" t="s">
        <v>19594</v>
      </c>
      <c r="H644" s="24" t="s">
        <v>19367</v>
      </c>
      <c r="I644" s="22" t="s">
        <v>19309</v>
      </c>
      <c r="J644" s="22" t="s">
        <v>19708</v>
      </c>
      <c r="K644" s="22" t="s">
        <v>19709</v>
      </c>
      <c r="L644" s="22"/>
      <c r="M644" s="22"/>
      <c r="N644" s="25"/>
    </row>
    <row r="645" spans="1:14" ht="24.75" x14ac:dyDescent="0.25">
      <c r="A645" s="21" t="s">
        <v>10241</v>
      </c>
      <c r="B645" s="22" t="s">
        <v>10242</v>
      </c>
      <c r="C645" s="2">
        <v>1</v>
      </c>
      <c r="D645" s="23">
        <v>7.99</v>
      </c>
      <c r="E645" s="3">
        <v>7.99</v>
      </c>
      <c r="F645" s="2" t="s">
        <v>16696</v>
      </c>
      <c r="G645" s="22" t="s">
        <v>20145</v>
      </c>
      <c r="H645" s="24" t="s">
        <v>19395</v>
      </c>
      <c r="I645" s="22" t="s">
        <v>19309</v>
      </c>
      <c r="J645" s="22" t="s">
        <v>19310</v>
      </c>
      <c r="K645" s="22" t="s">
        <v>19468</v>
      </c>
      <c r="L645" s="22"/>
      <c r="M645" s="22"/>
      <c r="N645" s="25"/>
    </row>
  </sheetData>
  <phoneticPr fontId="0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4"/>
  <sheetViews>
    <sheetView workbookViewId="0">
      <selection activeCell="F21" sqref="F21"/>
    </sheetView>
  </sheetViews>
  <sheetFormatPr defaultRowHeight="15" x14ac:dyDescent="0.25"/>
  <cols>
    <col min="1" max="1" width="14.42578125" customWidth="1"/>
    <col min="2" max="2" width="50.85546875" customWidth="1"/>
    <col min="3" max="4" width="15" customWidth="1"/>
    <col min="5" max="5" width="10.85546875" customWidth="1"/>
    <col min="6" max="6" width="13.140625" customWidth="1"/>
    <col min="7" max="8" width="11.42578125" customWidth="1"/>
    <col min="9" max="9" width="10.85546875" customWidth="1"/>
    <col min="10" max="10" width="12.140625" customWidth="1"/>
    <col min="11" max="11" width="36.5703125" bestFit="1" customWidth="1"/>
    <col min="12" max="13" width="20.5703125" customWidth="1"/>
    <col min="14" max="14" width="64.42578125" customWidth="1"/>
  </cols>
  <sheetData>
    <row r="1" spans="1:14" ht="36" x14ac:dyDescent="0.25">
      <c r="A1" s="1" t="s">
        <v>19291</v>
      </c>
      <c r="B1" s="1" t="s">
        <v>19292</v>
      </c>
      <c r="C1" s="1" t="s">
        <v>19293</v>
      </c>
      <c r="D1" s="1" t="s">
        <v>19284</v>
      </c>
      <c r="E1" s="1" t="s">
        <v>19294</v>
      </c>
      <c r="F1" s="1" t="s">
        <v>19295</v>
      </c>
      <c r="G1" s="1" t="s">
        <v>19296</v>
      </c>
      <c r="H1" s="1" t="s">
        <v>19297</v>
      </c>
      <c r="I1" s="1" t="s">
        <v>19298</v>
      </c>
      <c r="J1" s="1" t="s">
        <v>19299</v>
      </c>
      <c r="K1" s="1" t="s">
        <v>19300</v>
      </c>
      <c r="L1" s="1" t="s">
        <v>19301</v>
      </c>
      <c r="M1" s="1" t="s">
        <v>19302</v>
      </c>
      <c r="N1" s="1" t="s">
        <v>19303</v>
      </c>
    </row>
    <row r="2" spans="1:14" x14ac:dyDescent="0.25">
      <c r="A2" s="21" t="s">
        <v>9381</v>
      </c>
      <c r="B2" s="22" t="s">
        <v>9382</v>
      </c>
      <c r="C2" s="2">
        <v>3</v>
      </c>
      <c r="D2" s="23">
        <v>99.99</v>
      </c>
      <c r="E2" s="3">
        <v>299.97000000000003</v>
      </c>
      <c r="F2" s="2" t="s">
        <v>9383</v>
      </c>
      <c r="G2" s="22" t="s">
        <v>19342</v>
      </c>
      <c r="H2" s="24" t="s">
        <v>17505</v>
      </c>
      <c r="I2" s="22" t="s">
        <v>19309</v>
      </c>
      <c r="J2" s="22" t="s">
        <v>19417</v>
      </c>
      <c r="K2" s="22" t="s">
        <v>9384</v>
      </c>
      <c r="L2" s="22"/>
      <c r="M2" s="22"/>
      <c r="N2" s="25" t="str">
        <f>HYPERLINK("http://slimages.macys.com/is/image/MCY/21495924 ")</f>
        <v xml:space="preserve">http://slimages.macys.com/is/image/MCY/21495924 </v>
      </c>
    </row>
    <row r="3" spans="1:14" ht="24.75" x14ac:dyDescent="0.25">
      <c r="A3" s="21" t="s">
        <v>9385</v>
      </c>
      <c r="B3" s="22" t="s">
        <v>9386</v>
      </c>
      <c r="C3" s="2">
        <v>7</v>
      </c>
      <c r="D3" s="23">
        <v>44.5</v>
      </c>
      <c r="E3" s="3">
        <v>311.5</v>
      </c>
      <c r="F3" s="2" t="s">
        <v>9387</v>
      </c>
      <c r="G3" s="22" t="s">
        <v>19333</v>
      </c>
      <c r="H3" s="24" t="s">
        <v>9388</v>
      </c>
      <c r="I3" s="22" t="s">
        <v>19309</v>
      </c>
      <c r="J3" s="22" t="s">
        <v>19317</v>
      </c>
      <c r="K3" s="22" t="s">
        <v>9389</v>
      </c>
      <c r="L3" s="22"/>
      <c r="M3" s="22"/>
      <c r="N3" s="25" t="str">
        <f>HYPERLINK("http://slimages.macys.com/is/image/MCY/22291217 ")</f>
        <v xml:space="preserve">http://slimages.macys.com/is/image/MCY/22291217 </v>
      </c>
    </row>
    <row r="4" spans="1:14" ht="24.75" x14ac:dyDescent="0.25">
      <c r="A4" s="21" t="s">
        <v>9390</v>
      </c>
      <c r="B4" s="22" t="s">
        <v>9391</v>
      </c>
      <c r="C4" s="2">
        <v>15</v>
      </c>
      <c r="D4" s="23">
        <v>39.5</v>
      </c>
      <c r="E4" s="3">
        <v>592.5</v>
      </c>
      <c r="F4" s="2">
        <v>322842275002</v>
      </c>
      <c r="G4" s="22" t="s">
        <v>19333</v>
      </c>
      <c r="H4" s="24" t="s">
        <v>19361</v>
      </c>
      <c r="I4" s="22" t="s">
        <v>19309</v>
      </c>
      <c r="J4" s="22" t="s">
        <v>19335</v>
      </c>
      <c r="K4" s="22" t="s">
        <v>19326</v>
      </c>
      <c r="L4" s="22"/>
      <c r="M4" s="22"/>
      <c r="N4" s="25" t="str">
        <f>HYPERLINK("http://slimages.macys.com/is/image/MCY/19469073 ")</f>
        <v xml:space="preserve">http://slimages.macys.com/is/image/MCY/19469073 </v>
      </c>
    </row>
    <row r="5" spans="1:14" ht="24.75" x14ac:dyDescent="0.25">
      <c r="A5" s="21" t="s">
        <v>9392</v>
      </c>
      <c r="B5" s="22" t="s">
        <v>9393</v>
      </c>
      <c r="C5" s="2">
        <v>5</v>
      </c>
      <c r="D5" s="23">
        <v>29.99</v>
      </c>
      <c r="E5" s="3">
        <v>149.94999999999999</v>
      </c>
      <c r="F5" s="2">
        <v>1574733</v>
      </c>
      <c r="G5" s="22" t="s">
        <v>19307</v>
      </c>
      <c r="H5" s="24"/>
      <c r="I5" s="22" t="s">
        <v>19309</v>
      </c>
      <c r="J5" s="22" t="s">
        <v>15506</v>
      </c>
      <c r="K5" s="22" t="s">
        <v>13612</v>
      </c>
      <c r="L5" s="22"/>
      <c r="M5" s="22"/>
      <c r="N5" s="25" t="str">
        <f>HYPERLINK("http://slimages.macys.com/is/image/MCY/19900738 ")</f>
        <v xml:space="preserve">http://slimages.macys.com/is/image/MCY/19900738 </v>
      </c>
    </row>
    <row r="6" spans="1:14" ht="24.75" x14ac:dyDescent="0.25">
      <c r="A6" s="21" t="s">
        <v>9394</v>
      </c>
      <c r="B6" s="22" t="s">
        <v>9395</v>
      </c>
      <c r="C6" s="2">
        <v>11</v>
      </c>
      <c r="D6" s="23">
        <v>29.99</v>
      </c>
      <c r="E6" s="3">
        <v>329.89</v>
      </c>
      <c r="F6" s="2" t="s">
        <v>13653</v>
      </c>
      <c r="G6" s="22" t="s">
        <v>19431</v>
      </c>
      <c r="H6" s="24" t="s">
        <v>19416</v>
      </c>
      <c r="I6" s="22" t="s">
        <v>19309</v>
      </c>
      <c r="J6" s="22" t="s">
        <v>19491</v>
      </c>
      <c r="K6" s="22" t="s">
        <v>15106</v>
      </c>
      <c r="L6" s="22"/>
      <c r="M6" s="22"/>
      <c r="N6" s="25" t="str">
        <f>HYPERLINK("http://slimages.macys.com/is/image/MCY/21313209 ")</f>
        <v xml:space="preserve">http://slimages.macys.com/is/image/MCY/21313209 </v>
      </c>
    </row>
    <row r="7" spans="1:14" ht="24.75" x14ac:dyDescent="0.25">
      <c r="A7" s="21" t="s">
        <v>9396</v>
      </c>
      <c r="B7" s="22" t="s">
        <v>9397</v>
      </c>
      <c r="C7" s="2">
        <v>2</v>
      </c>
      <c r="D7" s="23">
        <v>30.99</v>
      </c>
      <c r="E7" s="3">
        <v>61.98</v>
      </c>
      <c r="F7" s="2" t="s">
        <v>9398</v>
      </c>
      <c r="G7" s="22" t="s">
        <v>19431</v>
      </c>
      <c r="H7" s="24" t="s">
        <v>19364</v>
      </c>
      <c r="I7" s="22" t="s">
        <v>19309</v>
      </c>
      <c r="J7" s="22" t="s">
        <v>19447</v>
      </c>
      <c r="K7" s="22" t="s">
        <v>19533</v>
      </c>
      <c r="L7" s="22"/>
      <c r="M7" s="22"/>
      <c r="N7" s="25" t="str">
        <f>HYPERLINK("http://slimages.macys.com/is/image/MCY/20783926 ")</f>
        <v xml:space="preserve">http://slimages.macys.com/is/image/MCY/20783926 </v>
      </c>
    </row>
    <row r="8" spans="1:14" x14ac:dyDescent="0.25">
      <c r="A8" s="21" t="s">
        <v>9399</v>
      </c>
      <c r="B8" s="22" t="s">
        <v>9400</v>
      </c>
      <c r="C8" s="2">
        <v>1</v>
      </c>
      <c r="D8" s="23">
        <v>27</v>
      </c>
      <c r="E8" s="3">
        <v>27</v>
      </c>
      <c r="F8" s="2" t="s">
        <v>9401</v>
      </c>
      <c r="G8" s="22" t="s">
        <v>19307</v>
      </c>
      <c r="H8" s="24" t="s">
        <v>19339</v>
      </c>
      <c r="I8" s="22" t="s">
        <v>19309</v>
      </c>
      <c r="J8" s="22" t="s">
        <v>19310</v>
      </c>
      <c r="K8" s="22" t="s">
        <v>19311</v>
      </c>
      <c r="L8" s="22"/>
      <c r="M8" s="22"/>
      <c r="N8" s="25" t="str">
        <f>HYPERLINK("http://slimages.macys.com/is/image/MCY/18249638 ")</f>
        <v xml:space="preserve">http://slimages.macys.com/is/image/MCY/18249638 </v>
      </c>
    </row>
    <row r="9" spans="1:14" ht="24.75" x14ac:dyDescent="0.25">
      <c r="A9" s="21" t="s">
        <v>9402</v>
      </c>
      <c r="B9" s="22" t="s">
        <v>9403</v>
      </c>
      <c r="C9" s="2">
        <v>8</v>
      </c>
      <c r="D9" s="23">
        <v>36</v>
      </c>
      <c r="E9" s="3">
        <v>288</v>
      </c>
      <c r="F9" s="2" t="s">
        <v>9404</v>
      </c>
      <c r="G9" s="22" t="s">
        <v>19404</v>
      </c>
      <c r="H9" s="24" t="s">
        <v>19324</v>
      </c>
      <c r="I9" s="22" t="s">
        <v>19309</v>
      </c>
      <c r="J9" s="22" t="s">
        <v>19417</v>
      </c>
      <c r="K9" s="22" t="s">
        <v>19854</v>
      </c>
      <c r="L9" s="22"/>
      <c r="M9" s="22"/>
      <c r="N9" s="25" t="str">
        <f>HYPERLINK("http://slimages.macys.com/is/image/MCY/21363431 ")</f>
        <v xml:space="preserve">http://slimages.macys.com/is/image/MCY/21363431 </v>
      </c>
    </row>
    <row r="10" spans="1:14" ht="24.75" x14ac:dyDescent="0.25">
      <c r="A10" s="21" t="s">
        <v>9405</v>
      </c>
      <c r="B10" s="22" t="s">
        <v>9406</v>
      </c>
      <c r="C10" s="2">
        <v>1</v>
      </c>
      <c r="D10" s="23">
        <v>49.5</v>
      </c>
      <c r="E10" s="3">
        <v>49.5</v>
      </c>
      <c r="F10" s="2" t="s">
        <v>9407</v>
      </c>
      <c r="G10" s="22" t="s">
        <v>19618</v>
      </c>
      <c r="H10" s="24" t="s">
        <v>18139</v>
      </c>
      <c r="I10" s="22" t="s">
        <v>19309</v>
      </c>
      <c r="J10" s="22" t="s">
        <v>20104</v>
      </c>
      <c r="K10" s="22" t="s">
        <v>20105</v>
      </c>
      <c r="L10" s="22"/>
      <c r="M10" s="22"/>
      <c r="N10" s="25" t="str">
        <f>HYPERLINK("http://slimages.macys.com/is/image/MCY/20007400 ")</f>
        <v xml:space="preserve">http://slimages.macys.com/is/image/MCY/20007400 </v>
      </c>
    </row>
    <row r="11" spans="1:14" ht="24.75" x14ac:dyDescent="0.25">
      <c r="A11" s="21" t="s">
        <v>9408</v>
      </c>
      <c r="B11" s="22" t="s">
        <v>9409</v>
      </c>
      <c r="C11" s="2">
        <v>1</v>
      </c>
      <c r="D11" s="23">
        <v>28.41</v>
      </c>
      <c r="E11" s="3">
        <v>28.41</v>
      </c>
      <c r="F11" s="2" t="s">
        <v>9410</v>
      </c>
      <c r="G11" s="22" t="s">
        <v>19630</v>
      </c>
      <c r="H11" s="24" t="s">
        <v>19316</v>
      </c>
      <c r="I11" s="22" t="s">
        <v>19309</v>
      </c>
      <c r="J11" s="22" t="s">
        <v>19405</v>
      </c>
      <c r="K11" s="22" t="s">
        <v>19406</v>
      </c>
      <c r="L11" s="22"/>
      <c r="M11" s="22"/>
      <c r="N11" s="25" t="str">
        <f>HYPERLINK("http://slimages.macys.com/is/image/MCY/18589205 ")</f>
        <v xml:space="preserve">http://slimages.macys.com/is/image/MCY/18589205 </v>
      </c>
    </row>
    <row r="12" spans="1:14" ht="24.75" x14ac:dyDescent="0.25">
      <c r="A12" s="21" t="s">
        <v>9411</v>
      </c>
      <c r="B12" s="22" t="s">
        <v>9412</v>
      </c>
      <c r="C12" s="2">
        <v>2</v>
      </c>
      <c r="D12" s="23">
        <v>26.99</v>
      </c>
      <c r="E12" s="3">
        <v>53.98</v>
      </c>
      <c r="F12" s="2" t="s">
        <v>10329</v>
      </c>
      <c r="G12" s="22" t="s">
        <v>19315</v>
      </c>
      <c r="H12" s="24"/>
      <c r="I12" s="22" t="s">
        <v>19309</v>
      </c>
      <c r="J12" s="22" t="s">
        <v>15506</v>
      </c>
      <c r="K12" s="22" t="s">
        <v>15511</v>
      </c>
      <c r="L12" s="22"/>
      <c r="M12" s="22"/>
      <c r="N12" s="25" t="str">
        <f>HYPERLINK("http://slimages.macys.com/is/image/MCY/20077171 ")</f>
        <v xml:space="preserve">http://slimages.macys.com/is/image/MCY/20077171 </v>
      </c>
    </row>
    <row r="13" spans="1:14" ht="24.75" x14ac:dyDescent="0.25">
      <c r="A13" s="21" t="s">
        <v>9413</v>
      </c>
      <c r="B13" s="22" t="s">
        <v>9414</v>
      </c>
      <c r="C13" s="2">
        <v>2</v>
      </c>
      <c r="D13" s="23">
        <v>25</v>
      </c>
      <c r="E13" s="3">
        <v>50</v>
      </c>
      <c r="F13" s="2" t="s">
        <v>9415</v>
      </c>
      <c r="G13" s="22" t="s">
        <v>19351</v>
      </c>
      <c r="H13" s="24" t="s">
        <v>17544</v>
      </c>
      <c r="I13" s="22" t="s">
        <v>19309</v>
      </c>
      <c r="J13" s="22" t="s">
        <v>19447</v>
      </c>
      <c r="K13" s="22" t="s">
        <v>17538</v>
      </c>
      <c r="L13" s="22"/>
      <c r="M13" s="22"/>
      <c r="N13" s="25" t="str">
        <f>HYPERLINK("http://slimages.macys.com/is/image/MCY/21007747 ")</f>
        <v xml:space="preserve">http://slimages.macys.com/is/image/MCY/21007747 </v>
      </c>
    </row>
    <row r="14" spans="1:14" x14ac:dyDescent="0.25">
      <c r="A14" s="21" t="s">
        <v>9416</v>
      </c>
      <c r="B14" s="22" t="s">
        <v>9417</v>
      </c>
      <c r="C14" s="2">
        <v>1</v>
      </c>
      <c r="D14" s="23">
        <v>22.99</v>
      </c>
      <c r="E14" s="3">
        <v>22.99</v>
      </c>
      <c r="F14" s="2" t="s">
        <v>9418</v>
      </c>
      <c r="G14" s="22" t="s">
        <v>19630</v>
      </c>
      <c r="H14" s="24" t="s">
        <v>19352</v>
      </c>
      <c r="I14" s="22" t="s">
        <v>19309</v>
      </c>
      <c r="J14" s="22" t="s">
        <v>19310</v>
      </c>
      <c r="K14" s="22" t="s">
        <v>19631</v>
      </c>
      <c r="L14" s="22"/>
      <c r="M14" s="22"/>
      <c r="N14" s="25" t="str">
        <f>HYPERLINK("http://slimages.macys.com/is/image/MCY/19692347 ")</f>
        <v xml:space="preserve">http://slimages.macys.com/is/image/MCY/19692347 </v>
      </c>
    </row>
    <row r="15" spans="1:14" ht="24.75" x14ac:dyDescent="0.25">
      <c r="A15" s="21" t="s">
        <v>15692</v>
      </c>
      <c r="B15" s="22" t="s">
        <v>15693</v>
      </c>
      <c r="C15" s="2">
        <v>1</v>
      </c>
      <c r="D15" s="23">
        <v>24.99</v>
      </c>
      <c r="E15" s="3">
        <v>24.99</v>
      </c>
      <c r="F15" s="2" t="s">
        <v>19656</v>
      </c>
      <c r="G15" s="22" t="s">
        <v>19333</v>
      </c>
      <c r="H15" s="24" t="s">
        <v>19384</v>
      </c>
      <c r="I15" s="22" t="s">
        <v>19309</v>
      </c>
      <c r="J15" s="22" t="s">
        <v>19385</v>
      </c>
      <c r="K15" s="22" t="s">
        <v>19487</v>
      </c>
      <c r="L15" s="22"/>
      <c r="M15" s="22"/>
      <c r="N15" s="25" t="str">
        <f>HYPERLINK("http://slimages.macys.com/is/image/MCY/21856823 ")</f>
        <v xml:space="preserve">http://slimages.macys.com/is/image/MCY/21856823 </v>
      </c>
    </row>
    <row r="16" spans="1:14" ht="24.75" x14ac:dyDescent="0.25">
      <c r="A16" s="21" t="s">
        <v>19654</v>
      </c>
      <c r="B16" s="22" t="s">
        <v>19655</v>
      </c>
      <c r="C16" s="2">
        <v>6</v>
      </c>
      <c r="D16" s="23">
        <v>24.99</v>
      </c>
      <c r="E16" s="3">
        <v>149.94</v>
      </c>
      <c r="F16" s="2" t="s">
        <v>19656</v>
      </c>
      <c r="G16" s="22" t="s">
        <v>19333</v>
      </c>
      <c r="H16" s="24" t="s">
        <v>19416</v>
      </c>
      <c r="I16" s="22" t="s">
        <v>19309</v>
      </c>
      <c r="J16" s="22" t="s">
        <v>19385</v>
      </c>
      <c r="K16" s="22" t="s">
        <v>19487</v>
      </c>
      <c r="L16" s="22"/>
      <c r="M16" s="22"/>
      <c r="N16" s="25" t="str">
        <f>HYPERLINK("http://slimages.macys.com/is/image/MCY/21856823 ")</f>
        <v xml:space="preserve">http://slimages.macys.com/is/image/MCY/21856823 </v>
      </c>
    </row>
    <row r="17" spans="1:14" ht="24.75" x14ac:dyDescent="0.25">
      <c r="A17" s="21" t="s">
        <v>15694</v>
      </c>
      <c r="B17" s="22" t="s">
        <v>15695</v>
      </c>
      <c r="C17" s="2">
        <v>18</v>
      </c>
      <c r="D17" s="23">
        <v>26.99</v>
      </c>
      <c r="E17" s="3">
        <v>485.82</v>
      </c>
      <c r="F17" s="2" t="s">
        <v>19663</v>
      </c>
      <c r="G17" s="22" t="s">
        <v>19333</v>
      </c>
      <c r="H17" s="24" t="s">
        <v>19330</v>
      </c>
      <c r="I17" s="22" t="s">
        <v>19309</v>
      </c>
      <c r="J17" s="22" t="s">
        <v>19385</v>
      </c>
      <c r="K17" s="22" t="s">
        <v>19487</v>
      </c>
      <c r="L17" s="22"/>
      <c r="M17" s="22"/>
      <c r="N17" s="25" t="str">
        <f>HYPERLINK("http://slimages.macys.com/is/image/MCY/21856819 ")</f>
        <v xml:space="preserve">http://slimages.macys.com/is/image/MCY/21856819 </v>
      </c>
    </row>
    <row r="18" spans="1:14" ht="24.75" x14ac:dyDescent="0.25">
      <c r="A18" s="21" t="s">
        <v>9419</v>
      </c>
      <c r="B18" s="22" t="s">
        <v>9420</v>
      </c>
      <c r="C18" s="2">
        <v>1</v>
      </c>
      <c r="D18" s="23">
        <v>24.99</v>
      </c>
      <c r="E18" s="3">
        <v>24.99</v>
      </c>
      <c r="F18" s="2" t="s">
        <v>9421</v>
      </c>
      <c r="G18" s="22" t="s">
        <v>19462</v>
      </c>
      <c r="H18" s="24" t="s">
        <v>19416</v>
      </c>
      <c r="I18" s="22" t="s">
        <v>19309</v>
      </c>
      <c r="J18" s="22" t="s">
        <v>19385</v>
      </c>
      <c r="K18" s="22" t="s">
        <v>19386</v>
      </c>
      <c r="L18" s="22"/>
      <c r="M18" s="22"/>
      <c r="N18" s="25" t="str">
        <f>HYPERLINK("http://slimages.macys.com/is/image/MCY/21465558 ")</f>
        <v xml:space="preserve">http://slimages.macys.com/is/image/MCY/21465558 </v>
      </c>
    </row>
    <row r="19" spans="1:14" ht="24.75" x14ac:dyDescent="0.25">
      <c r="A19" s="21" t="s">
        <v>9422</v>
      </c>
      <c r="B19" s="22" t="s">
        <v>9423</v>
      </c>
      <c r="C19" s="2">
        <v>3</v>
      </c>
      <c r="D19" s="23">
        <v>24.99</v>
      </c>
      <c r="E19" s="3">
        <v>74.97</v>
      </c>
      <c r="F19" s="2" t="s">
        <v>9421</v>
      </c>
      <c r="G19" s="22" t="s">
        <v>19462</v>
      </c>
      <c r="H19" s="24" t="s">
        <v>19384</v>
      </c>
      <c r="I19" s="22" t="s">
        <v>19309</v>
      </c>
      <c r="J19" s="22" t="s">
        <v>19385</v>
      </c>
      <c r="K19" s="22" t="s">
        <v>19386</v>
      </c>
      <c r="L19" s="22"/>
      <c r="M19" s="22"/>
      <c r="N19" s="25" t="str">
        <f>HYPERLINK("http://slimages.macys.com/is/image/MCY/21465558 ")</f>
        <v xml:space="preserve">http://slimages.macys.com/is/image/MCY/21465558 </v>
      </c>
    </row>
    <row r="20" spans="1:14" x14ac:dyDescent="0.25">
      <c r="A20" s="21" t="s">
        <v>9424</v>
      </c>
      <c r="B20" s="22" t="s">
        <v>9425</v>
      </c>
      <c r="C20" s="2">
        <v>5</v>
      </c>
      <c r="D20" s="23">
        <v>27.99</v>
      </c>
      <c r="E20" s="3">
        <v>139.94999999999999</v>
      </c>
      <c r="F20" s="2" t="s">
        <v>9426</v>
      </c>
      <c r="G20" s="22" t="s">
        <v>19342</v>
      </c>
      <c r="H20" s="24" t="s">
        <v>19334</v>
      </c>
      <c r="I20" s="22" t="s">
        <v>19309</v>
      </c>
      <c r="J20" s="22" t="s">
        <v>19696</v>
      </c>
      <c r="K20" s="22" t="s">
        <v>19965</v>
      </c>
      <c r="L20" s="22"/>
      <c r="M20" s="22"/>
      <c r="N20" s="25" t="str">
        <f>HYPERLINK("http://slimages.macys.com/is/image/MCY/21355996 ")</f>
        <v xml:space="preserve">http://slimages.macys.com/is/image/MCY/21355996 </v>
      </c>
    </row>
    <row r="21" spans="1:14" x14ac:dyDescent="0.25">
      <c r="A21" s="21" t="s">
        <v>9427</v>
      </c>
      <c r="B21" s="22" t="s">
        <v>9428</v>
      </c>
      <c r="C21" s="2">
        <v>8</v>
      </c>
      <c r="D21" s="23">
        <v>27.99</v>
      </c>
      <c r="E21" s="3">
        <v>223.92</v>
      </c>
      <c r="F21" s="2" t="s">
        <v>9429</v>
      </c>
      <c r="G21" s="22" t="s">
        <v>19342</v>
      </c>
      <c r="H21" s="24" t="s">
        <v>19345</v>
      </c>
      <c r="I21" s="22" t="s">
        <v>19309</v>
      </c>
      <c r="J21" s="22" t="s">
        <v>19696</v>
      </c>
      <c r="K21" s="22" t="s">
        <v>19697</v>
      </c>
      <c r="L21" s="22"/>
      <c r="M21" s="22"/>
      <c r="N21" s="25" t="str">
        <f>HYPERLINK("http://slimages.macys.com/is/image/MCY/21355162 ")</f>
        <v xml:space="preserve">http://slimages.macys.com/is/image/MCY/21355162 </v>
      </c>
    </row>
    <row r="22" spans="1:14" ht="24.75" x14ac:dyDescent="0.25">
      <c r="A22" s="21" t="s">
        <v>9430</v>
      </c>
      <c r="B22" s="22" t="s">
        <v>9431</v>
      </c>
      <c r="C22" s="2">
        <v>6</v>
      </c>
      <c r="D22" s="23">
        <v>24.99</v>
      </c>
      <c r="E22" s="3">
        <v>149.94</v>
      </c>
      <c r="F22" s="2" t="s">
        <v>9432</v>
      </c>
      <c r="G22" s="22" t="s">
        <v>19333</v>
      </c>
      <c r="H22" s="24" t="s">
        <v>19384</v>
      </c>
      <c r="I22" s="22" t="s">
        <v>19309</v>
      </c>
      <c r="J22" s="22" t="s">
        <v>19385</v>
      </c>
      <c r="K22" s="22" t="s">
        <v>19386</v>
      </c>
      <c r="L22" s="22"/>
      <c r="M22" s="22"/>
      <c r="N22" s="25" t="str">
        <f>HYPERLINK("http://slimages.macys.com/is/image/MCY/21446553 ")</f>
        <v xml:space="preserve">http://slimages.macys.com/is/image/MCY/21446553 </v>
      </c>
    </row>
    <row r="23" spans="1:14" x14ac:dyDescent="0.25">
      <c r="A23" s="21" t="s">
        <v>9433</v>
      </c>
      <c r="B23" s="22" t="s">
        <v>9434</v>
      </c>
      <c r="C23" s="2">
        <v>8</v>
      </c>
      <c r="D23" s="23">
        <v>26.99</v>
      </c>
      <c r="E23" s="3">
        <v>215.92</v>
      </c>
      <c r="F23" s="2" t="s">
        <v>9435</v>
      </c>
      <c r="G23" s="22" t="s">
        <v>19342</v>
      </c>
      <c r="H23" s="24" t="s">
        <v>19395</v>
      </c>
      <c r="I23" s="22" t="s">
        <v>19309</v>
      </c>
      <c r="J23" s="22" t="s">
        <v>19696</v>
      </c>
      <c r="K23" s="22" t="s">
        <v>19697</v>
      </c>
      <c r="L23" s="22"/>
      <c r="M23" s="22"/>
      <c r="N23" s="25" t="str">
        <f>HYPERLINK("http://slimages.macys.com/is/image/MCY/21622674 ")</f>
        <v xml:space="preserve">http://slimages.macys.com/is/image/MCY/21622674 </v>
      </c>
    </row>
    <row r="24" spans="1:14" ht="24.75" x14ac:dyDescent="0.25">
      <c r="A24" s="21" t="s">
        <v>9436</v>
      </c>
      <c r="B24" s="22" t="s">
        <v>9437</v>
      </c>
      <c r="C24" s="2">
        <v>6</v>
      </c>
      <c r="D24" s="23">
        <v>24.99</v>
      </c>
      <c r="E24" s="3">
        <v>149.94</v>
      </c>
      <c r="F24" s="2" t="s">
        <v>9432</v>
      </c>
      <c r="G24" s="22" t="s">
        <v>19333</v>
      </c>
      <c r="H24" s="24" t="s">
        <v>19416</v>
      </c>
      <c r="I24" s="22" t="s">
        <v>19309</v>
      </c>
      <c r="J24" s="22" t="s">
        <v>19385</v>
      </c>
      <c r="K24" s="22" t="s">
        <v>19386</v>
      </c>
      <c r="L24" s="22"/>
      <c r="M24" s="22"/>
      <c r="N24" s="25" t="str">
        <f>HYPERLINK("http://slimages.macys.com/is/image/MCY/21446553 ")</f>
        <v xml:space="preserve">http://slimages.macys.com/is/image/MCY/21446553 </v>
      </c>
    </row>
    <row r="25" spans="1:14" ht="24.75" x14ac:dyDescent="0.25">
      <c r="A25" s="21" t="s">
        <v>9438</v>
      </c>
      <c r="B25" s="22" t="s">
        <v>9439</v>
      </c>
      <c r="C25" s="2">
        <v>12</v>
      </c>
      <c r="D25" s="23">
        <v>24.99</v>
      </c>
      <c r="E25" s="3">
        <v>299.88</v>
      </c>
      <c r="F25" s="2" t="s">
        <v>9440</v>
      </c>
      <c r="G25" s="22" t="s">
        <v>19342</v>
      </c>
      <c r="H25" s="24" t="s">
        <v>19324</v>
      </c>
      <c r="I25" s="22" t="s">
        <v>19309</v>
      </c>
      <c r="J25" s="22" t="s">
        <v>19491</v>
      </c>
      <c r="K25" s="22" t="s">
        <v>19554</v>
      </c>
      <c r="L25" s="22"/>
      <c r="M25" s="22"/>
      <c r="N25" s="25" t="str">
        <f>HYPERLINK("http://slimages.macys.com/is/image/MCY/21483063 ")</f>
        <v xml:space="preserve">http://slimages.macys.com/is/image/MCY/21483063 </v>
      </c>
    </row>
    <row r="26" spans="1:14" ht="24.75" x14ac:dyDescent="0.25">
      <c r="A26" s="21" t="s">
        <v>9441</v>
      </c>
      <c r="B26" s="22" t="s">
        <v>9442</v>
      </c>
      <c r="C26" s="2">
        <v>19</v>
      </c>
      <c r="D26" s="23">
        <v>26</v>
      </c>
      <c r="E26" s="3">
        <v>494</v>
      </c>
      <c r="F26" s="2" t="s">
        <v>9443</v>
      </c>
      <c r="G26" s="22" t="s">
        <v>19404</v>
      </c>
      <c r="H26" s="24" t="s">
        <v>20159</v>
      </c>
      <c r="I26" s="22" t="s">
        <v>19309</v>
      </c>
      <c r="J26" s="22" t="s">
        <v>19417</v>
      </c>
      <c r="K26" s="22" t="s">
        <v>19854</v>
      </c>
      <c r="L26" s="22"/>
      <c r="M26" s="22"/>
      <c r="N26" s="25" t="str">
        <f>HYPERLINK("http://slimages.macys.com/is/image/MCY/21363391 ")</f>
        <v xml:space="preserve">http://slimages.macys.com/is/image/MCY/21363391 </v>
      </c>
    </row>
    <row r="27" spans="1:14" ht="24.75" x14ac:dyDescent="0.25">
      <c r="A27" s="21" t="s">
        <v>9444</v>
      </c>
      <c r="B27" s="22" t="s">
        <v>9445</v>
      </c>
      <c r="C27" s="2">
        <v>1</v>
      </c>
      <c r="D27" s="23">
        <v>23.99</v>
      </c>
      <c r="E27" s="3">
        <v>23.99</v>
      </c>
      <c r="F27" s="2" t="s">
        <v>9446</v>
      </c>
      <c r="G27" s="22" t="s">
        <v>19342</v>
      </c>
      <c r="H27" s="24" t="s">
        <v>19538</v>
      </c>
      <c r="I27" s="22" t="s">
        <v>19309</v>
      </c>
      <c r="J27" s="22" t="s">
        <v>19491</v>
      </c>
      <c r="K27" s="22" t="s">
        <v>19554</v>
      </c>
      <c r="L27" s="22"/>
      <c r="M27" s="22"/>
      <c r="N27" s="25" t="str">
        <f>HYPERLINK("http://slimages.macys.com/is/image/MCY/20389914 ")</f>
        <v xml:space="preserve">http://slimages.macys.com/is/image/MCY/20389914 </v>
      </c>
    </row>
    <row r="28" spans="1:14" ht="24.75" x14ac:dyDescent="0.25">
      <c r="A28" s="21" t="s">
        <v>9447</v>
      </c>
      <c r="B28" s="22" t="s">
        <v>9448</v>
      </c>
      <c r="C28" s="2">
        <v>1</v>
      </c>
      <c r="D28" s="23">
        <v>23.99</v>
      </c>
      <c r="E28" s="3">
        <v>23.99</v>
      </c>
      <c r="F28" s="2" t="s">
        <v>9449</v>
      </c>
      <c r="G28" s="22" t="s">
        <v>19342</v>
      </c>
      <c r="H28" s="24" t="s">
        <v>19330</v>
      </c>
      <c r="I28" s="22" t="s">
        <v>19309</v>
      </c>
      <c r="J28" s="22" t="s">
        <v>19491</v>
      </c>
      <c r="K28" s="22" t="s">
        <v>19554</v>
      </c>
      <c r="L28" s="22"/>
      <c r="M28" s="22"/>
      <c r="N28" s="25" t="str">
        <f>HYPERLINK("http://slimages.macys.com/is/image/MCY/20389914 ")</f>
        <v xml:space="preserve">http://slimages.macys.com/is/image/MCY/20389914 </v>
      </c>
    </row>
    <row r="29" spans="1:14" ht="24.75" x14ac:dyDescent="0.25">
      <c r="A29" s="21" t="s">
        <v>9450</v>
      </c>
      <c r="B29" s="22" t="s">
        <v>9451</v>
      </c>
      <c r="C29" s="2">
        <v>1</v>
      </c>
      <c r="D29" s="23">
        <v>24.99</v>
      </c>
      <c r="E29" s="3">
        <v>24.99</v>
      </c>
      <c r="F29" s="2" t="s">
        <v>9452</v>
      </c>
      <c r="G29" s="22" t="s">
        <v>19670</v>
      </c>
      <c r="H29" s="24" t="s">
        <v>19324</v>
      </c>
      <c r="I29" s="22" t="s">
        <v>19309</v>
      </c>
      <c r="J29" s="22" t="s">
        <v>19385</v>
      </c>
      <c r="K29" s="22" t="s">
        <v>19386</v>
      </c>
      <c r="L29" s="22"/>
      <c r="M29" s="22"/>
      <c r="N29" s="25" t="str">
        <f>HYPERLINK("http://slimages.macys.com/is/image/MCY/21820644 ")</f>
        <v xml:space="preserve">http://slimages.macys.com/is/image/MCY/21820644 </v>
      </c>
    </row>
    <row r="30" spans="1:14" ht="24.75" x14ac:dyDescent="0.25">
      <c r="A30" s="21" t="s">
        <v>9453</v>
      </c>
      <c r="B30" s="22" t="s">
        <v>9454</v>
      </c>
      <c r="C30" s="2">
        <v>1</v>
      </c>
      <c r="D30" s="23">
        <v>24.99</v>
      </c>
      <c r="E30" s="3">
        <v>24.99</v>
      </c>
      <c r="F30" s="2" t="s">
        <v>9452</v>
      </c>
      <c r="G30" s="22" t="s">
        <v>19670</v>
      </c>
      <c r="H30" s="24" t="s">
        <v>19538</v>
      </c>
      <c r="I30" s="22" t="s">
        <v>19309</v>
      </c>
      <c r="J30" s="22" t="s">
        <v>19385</v>
      </c>
      <c r="K30" s="22" t="s">
        <v>19386</v>
      </c>
      <c r="L30" s="22"/>
      <c r="M30" s="22"/>
      <c r="N30" s="25" t="str">
        <f>HYPERLINK("http://slimages.macys.com/is/image/MCY/21820644 ")</f>
        <v xml:space="preserve">http://slimages.macys.com/is/image/MCY/21820644 </v>
      </c>
    </row>
    <row r="31" spans="1:14" ht="24.75" x14ac:dyDescent="0.25">
      <c r="A31" s="21" t="s">
        <v>15794</v>
      </c>
      <c r="B31" s="22" t="s">
        <v>15795</v>
      </c>
      <c r="C31" s="2">
        <v>1</v>
      </c>
      <c r="D31" s="23">
        <v>24.99</v>
      </c>
      <c r="E31" s="3">
        <v>24.99</v>
      </c>
      <c r="F31" s="2" t="s">
        <v>15796</v>
      </c>
      <c r="G31" s="22" t="s">
        <v>19594</v>
      </c>
      <c r="H31" s="24" t="s">
        <v>19416</v>
      </c>
      <c r="I31" s="22" t="s">
        <v>19309</v>
      </c>
      <c r="J31" s="22" t="s">
        <v>19385</v>
      </c>
      <c r="K31" s="22" t="s">
        <v>19386</v>
      </c>
      <c r="L31" s="22"/>
      <c r="M31" s="22"/>
      <c r="N31" s="25" t="str">
        <f>HYPERLINK("http://slimages.macys.com/is/image/MCY/21820646 ")</f>
        <v xml:space="preserve">http://slimages.macys.com/is/image/MCY/21820646 </v>
      </c>
    </row>
    <row r="32" spans="1:14" ht="24.75" x14ac:dyDescent="0.25">
      <c r="A32" s="21" t="s">
        <v>10912</v>
      </c>
      <c r="B32" s="22" t="s">
        <v>10913</v>
      </c>
      <c r="C32" s="2">
        <v>5</v>
      </c>
      <c r="D32" s="23">
        <v>21.41</v>
      </c>
      <c r="E32" s="3">
        <v>107.05</v>
      </c>
      <c r="F32" s="2" t="s">
        <v>17838</v>
      </c>
      <c r="G32" s="22"/>
      <c r="H32" s="24" t="s">
        <v>19392</v>
      </c>
      <c r="I32" s="22" t="s">
        <v>19309</v>
      </c>
      <c r="J32" s="22" t="s">
        <v>19602</v>
      </c>
      <c r="K32" s="22" t="s">
        <v>19603</v>
      </c>
      <c r="L32" s="22"/>
      <c r="M32" s="22"/>
      <c r="N32" s="25" t="str">
        <f>HYPERLINK("http://slimages.macys.com/is/image/MCY/21723232 ")</f>
        <v xml:space="preserve">http://slimages.macys.com/is/image/MCY/21723232 </v>
      </c>
    </row>
    <row r="33" spans="1:14" ht="24.75" x14ac:dyDescent="0.25">
      <c r="A33" s="21" t="s">
        <v>9455</v>
      </c>
      <c r="B33" s="22" t="s">
        <v>9456</v>
      </c>
      <c r="C33" s="2">
        <v>1</v>
      </c>
      <c r="D33" s="23">
        <v>24.99</v>
      </c>
      <c r="E33" s="3">
        <v>24.99</v>
      </c>
      <c r="F33" s="2" t="s">
        <v>9457</v>
      </c>
      <c r="G33" s="22" t="s">
        <v>19342</v>
      </c>
      <c r="H33" s="24" t="s">
        <v>19384</v>
      </c>
      <c r="I33" s="22" t="s">
        <v>19309</v>
      </c>
      <c r="J33" s="22" t="s">
        <v>19385</v>
      </c>
      <c r="K33" s="22" t="s">
        <v>19729</v>
      </c>
      <c r="L33" s="22"/>
      <c r="M33" s="22"/>
      <c r="N33" s="25" t="str">
        <f>HYPERLINK("http://slimages.macys.com/is/image/MCY/18862601 ")</f>
        <v xml:space="preserve">http://slimages.macys.com/is/image/MCY/18862601 </v>
      </c>
    </row>
    <row r="34" spans="1:14" ht="24.75" x14ac:dyDescent="0.25">
      <c r="A34" s="21" t="s">
        <v>9458</v>
      </c>
      <c r="B34" s="22" t="s">
        <v>9459</v>
      </c>
      <c r="C34" s="2">
        <v>25</v>
      </c>
      <c r="D34" s="23">
        <v>24</v>
      </c>
      <c r="E34" s="3">
        <v>600</v>
      </c>
      <c r="F34" s="2" t="s">
        <v>19857</v>
      </c>
      <c r="G34" s="22" t="s">
        <v>19404</v>
      </c>
      <c r="H34" s="24" t="s">
        <v>19324</v>
      </c>
      <c r="I34" s="22" t="s">
        <v>19309</v>
      </c>
      <c r="J34" s="22" t="s">
        <v>19417</v>
      </c>
      <c r="K34" s="22" t="s">
        <v>19854</v>
      </c>
      <c r="L34" s="22"/>
      <c r="M34" s="22"/>
      <c r="N34" s="25" t="str">
        <f>HYPERLINK("http://slimages.macys.com/is/image/MCY/21362679 ")</f>
        <v xml:space="preserve">http://slimages.macys.com/is/image/MCY/21362679 </v>
      </c>
    </row>
    <row r="35" spans="1:14" ht="24.75" x14ac:dyDescent="0.25">
      <c r="A35" s="21" t="s">
        <v>9460</v>
      </c>
      <c r="B35" s="22" t="s">
        <v>9461</v>
      </c>
      <c r="C35" s="2">
        <v>18</v>
      </c>
      <c r="D35" s="23">
        <v>24</v>
      </c>
      <c r="E35" s="3">
        <v>432</v>
      </c>
      <c r="F35" s="2" t="s">
        <v>10937</v>
      </c>
      <c r="G35" s="22" t="s">
        <v>19404</v>
      </c>
      <c r="H35" s="24" t="s">
        <v>19367</v>
      </c>
      <c r="I35" s="22" t="s">
        <v>19309</v>
      </c>
      <c r="J35" s="22" t="s">
        <v>19417</v>
      </c>
      <c r="K35" s="22" t="s">
        <v>19854</v>
      </c>
      <c r="L35" s="22"/>
      <c r="M35" s="22"/>
      <c r="N35" s="25" t="str">
        <f>HYPERLINK("http://slimages.macys.com/is/image/MCY/21370054 ")</f>
        <v xml:space="preserve">http://slimages.macys.com/is/image/MCY/21370054 </v>
      </c>
    </row>
    <row r="36" spans="1:14" ht="24.75" x14ac:dyDescent="0.25">
      <c r="A36" s="21" t="s">
        <v>9462</v>
      </c>
      <c r="B36" s="22" t="s">
        <v>9463</v>
      </c>
      <c r="C36" s="2">
        <v>3</v>
      </c>
      <c r="D36" s="23">
        <v>24</v>
      </c>
      <c r="E36" s="3">
        <v>72</v>
      </c>
      <c r="F36" s="2" t="s">
        <v>9464</v>
      </c>
      <c r="G36" s="22" t="s">
        <v>19404</v>
      </c>
      <c r="H36" s="24" t="s">
        <v>20159</v>
      </c>
      <c r="I36" s="22" t="s">
        <v>19309</v>
      </c>
      <c r="J36" s="22" t="s">
        <v>19417</v>
      </c>
      <c r="K36" s="22" t="s">
        <v>19854</v>
      </c>
      <c r="L36" s="22"/>
      <c r="M36" s="22"/>
      <c r="N36" s="25" t="str">
        <f>HYPERLINK("http://slimages.macys.com/is/image/MCY/21369881 ")</f>
        <v xml:space="preserve">http://slimages.macys.com/is/image/MCY/21369881 </v>
      </c>
    </row>
    <row r="37" spans="1:14" ht="24.75" x14ac:dyDescent="0.25">
      <c r="A37" s="21" t="s">
        <v>9465</v>
      </c>
      <c r="B37" s="22" t="s">
        <v>9466</v>
      </c>
      <c r="C37" s="2">
        <v>2</v>
      </c>
      <c r="D37" s="23">
        <v>24</v>
      </c>
      <c r="E37" s="3">
        <v>48</v>
      </c>
      <c r="F37" s="2" t="s">
        <v>19857</v>
      </c>
      <c r="G37" s="22" t="s">
        <v>19404</v>
      </c>
      <c r="H37" s="24" t="s">
        <v>20159</v>
      </c>
      <c r="I37" s="22" t="s">
        <v>19309</v>
      </c>
      <c r="J37" s="22" t="s">
        <v>19417</v>
      </c>
      <c r="K37" s="22" t="s">
        <v>19854</v>
      </c>
      <c r="L37" s="22"/>
      <c r="M37" s="22"/>
      <c r="N37" s="25" t="str">
        <f>HYPERLINK("http://slimages.macys.com/is/image/MCY/21362679 ")</f>
        <v xml:space="preserve">http://slimages.macys.com/is/image/MCY/21362679 </v>
      </c>
    </row>
    <row r="38" spans="1:14" ht="24.75" x14ac:dyDescent="0.25">
      <c r="A38" s="21" t="s">
        <v>9467</v>
      </c>
      <c r="B38" s="22" t="s">
        <v>9468</v>
      </c>
      <c r="C38" s="2">
        <v>28</v>
      </c>
      <c r="D38" s="23">
        <v>24</v>
      </c>
      <c r="E38" s="3">
        <v>672</v>
      </c>
      <c r="F38" s="2" t="s">
        <v>10937</v>
      </c>
      <c r="G38" s="22" t="s">
        <v>19404</v>
      </c>
      <c r="H38" s="24" t="s">
        <v>19324</v>
      </c>
      <c r="I38" s="22" t="s">
        <v>19309</v>
      </c>
      <c r="J38" s="22" t="s">
        <v>19417</v>
      </c>
      <c r="K38" s="22" t="s">
        <v>19854</v>
      </c>
      <c r="L38" s="22"/>
      <c r="M38" s="22"/>
      <c r="N38" s="25" t="str">
        <f>HYPERLINK("http://slimages.macys.com/is/image/MCY/21370054 ")</f>
        <v xml:space="preserve">http://slimages.macys.com/is/image/MCY/21370054 </v>
      </c>
    </row>
    <row r="39" spans="1:14" ht="24.75" x14ac:dyDescent="0.25">
      <c r="A39" s="21" t="s">
        <v>9469</v>
      </c>
      <c r="B39" s="22" t="s">
        <v>9470</v>
      </c>
      <c r="C39" s="2">
        <v>4</v>
      </c>
      <c r="D39" s="23">
        <v>24</v>
      </c>
      <c r="E39" s="3">
        <v>96</v>
      </c>
      <c r="F39" s="2" t="s">
        <v>9471</v>
      </c>
      <c r="G39" s="22"/>
      <c r="H39" s="24" t="s">
        <v>19324</v>
      </c>
      <c r="I39" s="22" t="s">
        <v>19309</v>
      </c>
      <c r="J39" s="22" t="s">
        <v>19417</v>
      </c>
      <c r="K39" s="22" t="s">
        <v>19854</v>
      </c>
      <c r="L39" s="22"/>
      <c r="M39" s="22"/>
      <c r="N39" s="25" t="str">
        <f>HYPERLINK("http://slimages.macys.com/is/image/MCY/21369970 ")</f>
        <v xml:space="preserve">http://slimages.macys.com/is/image/MCY/21369970 </v>
      </c>
    </row>
    <row r="40" spans="1:14" ht="24.75" x14ac:dyDescent="0.25">
      <c r="A40" s="21" t="s">
        <v>10947</v>
      </c>
      <c r="B40" s="22" t="s">
        <v>10948</v>
      </c>
      <c r="C40" s="2">
        <v>1</v>
      </c>
      <c r="D40" s="23">
        <v>24</v>
      </c>
      <c r="E40" s="3">
        <v>24</v>
      </c>
      <c r="F40" s="2" t="s">
        <v>10949</v>
      </c>
      <c r="G40" s="22" t="s">
        <v>19351</v>
      </c>
      <c r="H40" s="24" t="s">
        <v>19324</v>
      </c>
      <c r="I40" s="22" t="s">
        <v>19309</v>
      </c>
      <c r="J40" s="22" t="s">
        <v>19417</v>
      </c>
      <c r="K40" s="22" t="s">
        <v>19854</v>
      </c>
      <c r="L40" s="22"/>
      <c r="M40" s="22"/>
      <c r="N40" s="25" t="str">
        <f>HYPERLINK("http://slimages.macys.com/is/image/MCY/21369853 ")</f>
        <v xml:space="preserve">http://slimages.macys.com/is/image/MCY/21369853 </v>
      </c>
    </row>
    <row r="41" spans="1:14" ht="24.75" x14ac:dyDescent="0.25">
      <c r="A41" s="21" t="s">
        <v>9472</v>
      </c>
      <c r="B41" s="22" t="s">
        <v>9473</v>
      </c>
      <c r="C41" s="2">
        <v>14</v>
      </c>
      <c r="D41" s="23">
        <v>24</v>
      </c>
      <c r="E41" s="3">
        <v>336</v>
      </c>
      <c r="F41" s="2" t="s">
        <v>9471</v>
      </c>
      <c r="G41" s="22"/>
      <c r="H41" s="24" t="s">
        <v>20152</v>
      </c>
      <c r="I41" s="22" t="s">
        <v>19309</v>
      </c>
      <c r="J41" s="22" t="s">
        <v>19417</v>
      </c>
      <c r="K41" s="22" t="s">
        <v>19854</v>
      </c>
      <c r="L41" s="22"/>
      <c r="M41" s="22"/>
      <c r="N41" s="25" t="str">
        <f>HYPERLINK("http://slimages.macys.com/is/image/MCY/21369970 ")</f>
        <v xml:space="preserve">http://slimages.macys.com/is/image/MCY/21369970 </v>
      </c>
    </row>
    <row r="42" spans="1:14" ht="24.75" x14ac:dyDescent="0.25">
      <c r="A42" s="21" t="s">
        <v>9474</v>
      </c>
      <c r="B42" s="22" t="s">
        <v>9475</v>
      </c>
      <c r="C42" s="2">
        <v>18</v>
      </c>
      <c r="D42" s="23">
        <v>24</v>
      </c>
      <c r="E42" s="3">
        <v>432</v>
      </c>
      <c r="F42" s="2" t="s">
        <v>9471</v>
      </c>
      <c r="G42" s="22"/>
      <c r="H42" s="24" t="s">
        <v>19770</v>
      </c>
      <c r="I42" s="22" t="s">
        <v>19309</v>
      </c>
      <c r="J42" s="22" t="s">
        <v>19417</v>
      </c>
      <c r="K42" s="22" t="s">
        <v>19854</v>
      </c>
      <c r="L42" s="22"/>
      <c r="M42" s="22"/>
      <c r="N42" s="25" t="str">
        <f>HYPERLINK("http://slimages.macys.com/is/image/MCY/21369970 ")</f>
        <v xml:space="preserve">http://slimages.macys.com/is/image/MCY/21369970 </v>
      </c>
    </row>
    <row r="43" spans="1:14" ht="24.75" x14ac:dyDescent="0.25">
      <c r="A43" s="21" t="s">
        <v>9476</v>
      </c>
      <c r="B43" s="22" t="s">
        <v>9477</v>
      </c>
      <c r="C43" s="2">
        <v>17</v>
      </c>
      <c r="D43" s="23">
        <v>24</v>
      </c>
      <c r="E43" s="3">
        <v>408</v>
      </c>
      <c r="F43" s="2" t="s">
        <v>10943</v>
      </c>
      <c r="G43" s="22"/>
      <c r="H43" s="24" t="s">
        <v>19367</v>
      </c>
      <c r="I43" s="22" t="s">
        <v>19309</v>
      </c>
      <c r="J43" s="22" t="s">
        <v>19417</v>
      </c>
      <c r="K43" s="22" t="s">
        <v>19854</v>
      </c>
      <c r="L43" s="22"/>
      <c r="M43" s="22"/>
      <c r="N43" s="25" t="str">
        <f>HYPERLINK("http://slimages.macys.com/is/image/MCY/21362959 ")</f>
        <v xml:space="preserve">http://slimages.macys.com/is/image/MCY/21362959 </v>
      </c>
    </row>
    <row r="44" spans="1:14" x14ac:dyDescent="0.25">
      <c r="A44" s="21" t="s">
        <v>10953</v>
      </c>
      <c r="B44" s="22" t="s">
        <v>10954</v>
      </c>
      <c r="C44" s="2">
        <v>16</v>
      </c>
      <c r="D44" s="23">
        <v>22.75</v>
      </c>
      <c r="E44" s="3">
        <v>364</v>
      </c>
      <c r="F44" s="2" t="s">
        <v>10955</v>
      </c>
      <c r="G44" s="22" t="s">
        <v>19431</v>
      </c>
      <c r="H44" s="24" t="s">
        <v>20159</v>
      </c>
      <c r="I44" s="22" t="s">
        <v>19309</v>
      </c>
      <c r="J44" s="22" t="s">
        <v>19708</v>
      </c>
      <c r="K44" s="22" t="s">
        <v>19709</v>
      </c>
      <c r="L44" s="22"/>
      <c r="M44" s="22"/>
      <c r="N44" s="25" t="str">
        <f>HYPERLINK("http://slimages.macys.com/is/image/MCY/21726587 ")</f>
        <v xml:space="preserve">http://slimages.macys.com/is/image/MCY/21726587 </v>
      </c>
    </row>
    <row r="45" spans="1:14" ht="24.75" x14ac:dyDescent="0.25">
      <c r="A45" s="21" t="s">
        <v>9478</v>
      </c>
      <c r="B45" s="22" t="s">
        <v>9479</v>
      </c>
      <c r="C45" s="2">
        <v>1</v>
      </c>
      <c r="D45" s="23">
        <v>21.99</v>
      </c>
      <c r="E45" s="3">
        <v>21.99</v>
      </c>
      <c r="F45" s="2" t="s">
        <v>10455</v>
      </c>
      <c r="G45" s="22" t="s">
        <v>19594</v>
      </c>
      <c r="H45" s="24" t="s">
        <v>19339</v>
      </c>
      <c r="I45" s="22" t="s">
        <v>19309</v>
      </c>
      <c r="J45" s="22" t="s">
        <v>19353</v>
      </c>
      <c r="K45" s="22" t="s">
        <v>19524</v>
      </c>
      <c r="L45" s="22"/>
      <c r="M45" s="22"/>
      <c r="N45" s="25" t="str">
        <f>HYPERLINK("http://slimages.macys.com/is/image/MCY/21233437 ")</f>
        <v xml:space="preserve">http://slimages.macys.com/is/image/MCY/21233437 </v>
      </c>
    </row>
    <row r="46" spans="1:14" ht="24.75" x14ac:dyDescent="0.25">
      <c r="A46" s="21" t="s">
        <v>9480</v>
      </c>
      <c r="B46" s="22" t="s">
        <v>9481</v>
      </c>
      <c r="C46" s="2">
        <v>1</v>
      </c>
      <c r="D46" s="23">
        <v>16.670000000000002</v>
      </c>
      <c r="E46" s="3">
        <v>16.670000000000002</v>
      </c>
      <c r="F46" s="2" t="s">
        <v>9482</v>
      </c>
      <c r="G46" s="22" t="s">
        <v>19594</v>
      </c>
      <c r="H46" s="24"/>
      <c r="I46" s="22" t="s">
        <v>19309</v>
      </c>
      <c r="J46" s="22" t="s">
        <v>19565</v>
      </c>
      <c r="K46" s="22" t="s">
        <v>19566</v>
      </c>
      <c r="L46" s="22"/>
      <c r="M46" s="22"/>
      <c r="N46" s="25" t="str">
        <f>HYPERLINK("http://slimages.macys.com/is/image/MCY/20490757 ")</f>
        <v xml:space="preserve">http://slimages.macys.com/is/image/MCY/20490757 </v>
      </c>
    </row>
    <row r="47" spans="1:14" x14ac:dyDescent="0.25">
      <c r="A47" s="21" t="s">
        <v>9483</v>
      </c>
      <c r="B47" s="22" t="s">
        <v>9484</v>
      </c>
      <c r="C47" s="2">
        <v>16</v>
      </c>
      <c r="D47" s="23">
        <v>22.99</v>
      </c>
      <c r="E47" s="3">
        <v>367.84</v>
      </c>
      <c r="F47" s="2" t="s">
        <v>9485</v>
      </c>
      <c r="G47" s="22" t="s">
        <v>19342</v>
      </c>
      <c r="H47" s="24" t="s">
        <v>19395</v>
      </c>
      <c r="I47" s="22" t="s">
        <v>19309</v>
      </c>
      <c r="J47" s="22" t="s">
        <v>19696</v>
      </c>
      <c r="K47" s="22" t="s">
        <v>19965</v>
      </c>
      <c r="L47" s="22"/>
      <c r="M47" s="22"/>
      <c r="N47" s="25" t="str">
        <f>HYPERLINK("http://slimages.macys.com/is/image/MCY/20084478 ")</f>
        <v xml:space="preserve">http://slimages.macys.com/is/image/MCY/20084478 </v>
      </c>
    </row>
    <row r="48" spans="1:14" x14ac:dyDescent="0.25">
      <c r="A48" s="21" t="s">
        <v>9486</v>
      </c>
      <c r="B48" s="22" t="s">
        <v>9487</v>
      </c>
      <c r="C48" s="2">
        <v>64</v>
      </c>
      <c r="D48" s="23">
        <v>22.99</v>
      </c>
      <c r="E48" s="3">
        <v>1471.36</v>
      </c>
      <c r="F48" s="2" t="s">
        <v>9485</v>
      </c>
      <c r="G48" s="22" t="s">
        <v>19342</v>
      </c>
      <c r="H48" s="24" t="s">
        <v>19478</v>
      </c>
      <c r="I48" s="22" t="s">
        <v>19309</v>
      </c>
      <c r="J48" s="22" t="s">
        <v>19696</v>
      </c>
      <c r="K48" s="22" t="s">
        <v>19965</v>
      </c>
      <c r="L48" s="22"/>
      <c r="M48" s="22"/>
      <c r="N48" s="25" t="str">
        <f>HYPERLINK("http://slimages.macys.com/is/image/MCY/20084478 ")</f>
        <v xml:space="preserve">http://slimages.macys.com/is/image/MCY/20084478 </v>
      </c>
    </row>
    <row r="49" spans="1:14" x14ac:dyDescent="0.25">
      <c r="A49" s="21" t="s">
        <v>9488</v>
      </c>
      <c r="B49" s="22" t="s">
        <v>9489</v>
      </c>
      <c r="C49" s="2">
        <v>2</v>
      </c>
      <c r="D49" s="23">
        <v>22.99</v>
      </c>
      <c r="E49" s="3">
        <v>45.98</v>
      </c>
      <c r="F49" s="2" t="s">
        <v>9485</v>
      </c>
      <c r="G49" s="22" t="s">
        <v>19342</v>
      </c>
      <c r="H49" s="24" t="s">
        <v>19542</v>
      </c>
      <c r="I49" s="22" t="s">
        <v>19309</v>
      </c>
      <c r="J49" s="22" t="s">
        <v>19696</v>
      </c>
      <c r="K49" s="22" t="s">
        <v>19965</v>
      </c>
      <c r="L49" s="22"/>
      <c r="M49" s="22"/>
      <c r="N49" s="25" t="str">
        <f>HYPERLINK("http://slimages.macys.com/is/image/MCY/20084478 ")</f>
        <v xml:space="preserve">http://slimages.macys.com/is/image/MCY/20084478 </v>
      </c>
    </row>
    <row r="50" spans="1:14" x14ac:dyDescent="0.25">
      <c r="A50" s="21" t="s">
        <v>9490</v>
      </c>
      <c r="B50" s="22" t="s">
        <v>9491</v>
      </c>
      <c r="C50" s="2">
        <v>1</v>
      </c>
      <c r="D50" s="23">
        <v>20</v>
      </c>
      <c r="E50" s="3">
        <v>20</v>
      </c>
      <c r="F50" s="2" t="s">
        <v>9492</v>
      </c>
      <c r="G50" s="22" t="s">
        <v>19801</v>
      </c>
      <c r="H50" s="24" t="s">
        <v>19364</v>
      </c>
      <c r="I50" s="22" t="s">
        <v>19309</v>
      </c>
      <c r="J50" s="22" t="s">
        <v>19559</v>
      </c>
      <c r="K50" s="22" t="s">
        <v>12721</v>
      </c>
      <c r="L50" s="22"/>
      <c r="M50" s="22"/>
      <c r="N50" s="25" t="str">
        <f>HYPERLINK("http://slimages.macys.com/is/image/MCY/20987778 ")</f>
        <v xml:space="preserve">http://slimages.macys.com/is/image/MCY/20987778 </v>
      </c>
    </row>
    <row r="51" spans="1:14" ht="24.75" x14ac:dyDescent="0.25">
      <c r="A51" s="21" t="s">
        <v>9493</v>
      </c>
      <c r="B51" s="22" t="s">
        <v>9494</v>
      </c>
      <c r="C51" s="2">
        <v>1</v>
      </c>
      <c r="D51" s="23">
        <v>15.99</v>
      </c>
      <c r="E51" s="3">
        <v>15.99</v>
      </c>
      <c r="F51" s="2" t="s">
        <v>9495</v>
      </c>
      <c r="G51" s="22" t="s">
        <v>19618</v>
      </c>
      <c r="H51" s="24" t="s">
        <v>19770</v>
      </c>
      <c r="I51" s="22" t="s">
        <v>19309</v>
      </c>
      <c r="J51" s="22" t="s">
        <v>19573</v>
      </c>
      <c r="K51" s="22" t="s">
        <v>19574</v>
      </c>
      <c r="L51" s="22"/>
      <c r="M51" s="22"/>
      <c r="N51" s="25" t="str">
        <f>HYPERLINK("http://slimages.macys.com/is/image/MCY/19042381 ")</f>
        <v xml:space="preserve">http://slimages.macys.com/is/image/MCY/19042381 </v>
      </c>
    </row>
    <row r="52" spans="1:14" ht="24.75" x14ac:dyDescent="0.25">
      <c r="A52" s="21" t="s">
        <v>9496</v>
      </c>
      <c r="B52" s="22" t="s">
        <v>9497</v>
      </c>
      <c r="C52" s="2">
        <v>1</v>
      </c>
      <c r="D52" s="23">
        <v>22.99</v>
      </c>
      <c r="E52" s="3">
        <v>22.99</v>
      </c>
      <c r="F52" s="2" t="s">
        <v>10970</v>
      </c>
      <c r="G52" s="22" t="s">
        <v>19333</v>
      </c>
      <c r="H52" s="24" t="s">
        <v>19542</v>
      </c>
      <c r="I52" s="22" t="s">
        <v>19309</v>
      </c>
      <c r="J52" s="22" t="s">
        <v>19519</v>
      </c>
      <c r="K52" s="22" t="s">
        <v>10971</v>
      </c>
      <c r="L52" s="22"/>
      <c r="M52" s="22"/>
      <c r="N52" s="25" t="str">
        <f>HYPERLINK("http://slimages.macys.com/is/image/MCY/21313701 ")</f>
        <v xml:space="preserve">http://slimages.macys.com/is/image/MCY/21313701 </v>
      </c>
    </row>
    <row r="53" spans="1:14" x14ac:dyDescent="0.25">
      <c r="A53" s="21" t="s">
        <v>9498</v>
      </c>
      <c r="B53" s="22" t="s">
        <v>9499</v>
      </c>
      <c r="C53" s="2">
        <v>1</v>
      </c>
      <c r="D53" s="23">
        <v>21.99</v>
      </c>
      <c r="E53" s="3">
        <v>21.99</v>
      </c>
      <c r="F53" s="2" t="s">
        <v>10979</v>
      </c>
      <c r="G53" s="22" t="s">
        <v>19342</v>
      </c>
      <c r="H53" s="24" t="s">
        <v>19395</v>
      </c>
      <c r="I53" s="22" t="s">
        <v>19309</v>
      </c>
      <c r="J53" s="22" t="s">
        <v>19696</v>
      </c>
      <c r="K53" s="22" t="s">
        <v>19965</v>
      </c>
      <c r="L53" s="22"/>
      <c r="M53" s="22"/>
      <c r="N53" s="25" t="str">
        <f>HYPERLINK("http://slimages.macys.com/is/image/MCY/20662595 ")</f>
        <v xml:space="preserve">http://slimages.macys.com/is/image/MCY/20662595 </v>
      </c>
    </row>
    <row r="54" spans="1:14" x14ac:dyDescent="0.25">
      <c r="A54" s="21" t="s">
        <v>9500</v>
      </c>
      <c r="B54" s="22" t="s">
        <v>9501</v>
      </c>
      <c r="C54" s="2">
        <v>7</v>
      </c>
      <c r="D54" s="23">
        <v>21.99</v>
      </c>
      <c r="E54" s="3">
        <v>153.93</v>
      </c>
      <c r="F54" s="2" t="s">
        <v>19964</v>
      </c>
      <c r="G54" s="22" t="s">
        <v>19342</v>
      </c>
      <c r="H54" s="24" t="s">
        <v>19395</v>
      </c>
      <c r="I54" s="22" t="s">
        <v>19309</v>
      </c>
      <c r="J54" s="22" t="s">
        <v>19696</v>
      </c>
      <c r="K54" s="22" t="s">
        <v>19965</v>
      </c>
      <c r="L54" s="22"/>
      <c r="M54" s="22"/>
      <c r="N54" s="25" t="str">
        <f>HYPERLINK("http://slimages.macys.com/is/image/MCY/21355968 ")</f>
        <v xml:space="preserve">http://slimages.macys.com/is/image/MCY/21355968 </v>
      </c>
    </row>
    <row r="55" spans="1:14" x14ac:dyDescent="0.25">
      <c r="A55" s="21" t="s">
        <v>9502</v>
      </c>
      <c r="B55" s="22" t="s">
        <v>9503</v>
      </c>
      <c r="C55" s="2">
        <v>10</v>
      </c>
      <c r="D55" s="23">
        <v>21.99</v>
      </c>
      <c r="E55" s="3">
        <v>219.9</v>
      </c>
      <c r="F55" s="2" t="s">
        <v>9504</v>
      </c>
      <c r="G55" s="22" t="s">
        <v>19342</v>
      </c>
      <c r="H55" s="24" t="s">
        <v>19542</v>
      </c>
      <c r="I55" s="22" t="s">
        <v>19309</v>
      </c>
      <c r="J55" s="22" t="s">
        <v>19696</v>
      </c>
      <c r="K55" s="22" t="s">
        <v>19965</v>
      </c>
      <c r="L55" s="22"/>
      <c r="M55" s="22"/>
      <c r="N55" s="25" t="str">
        <f>HYPERLINK("http://slimages.macys.com/is/image/MCY/21643409 ")</f>
        <v xml:space="preserve">http://slimages.macys.com/is/image/MCY/21643409 </v>
      </c>
    </row>
    <row r="56" spans="1:14" ht="24.75" x14ac:dyDescent="0.25">
      <c r="A56" s="21" t="s">
        <v>9505</v>
      </c>
      <c r="B56" s="22" t="s">
        <v>9506</v>
      </c>
      <c r="C56" s="2">
        <v>18</v>
      </c>
      <c r="D56" s="23">
        <v>29.5</v>
      </c>
      <c r="E56" s="3">
        <v>531</v>
      </c>
      <c r="F56" s="2" t="s">
        <v>10986</v>
      </c>
      <c r="G56" s="22" t="s">
        <v>19594</v>
      </c>
      <c r="H56" s="24" t="s">
        <v>11751</v>
      </c>
      <c r="I56" s="22" t="s">
        <v>19309</v>
      </c>
      <c r="J56" s="22" t="s">
        <v>20104</v>
      </c>
      <c r="K56" s="22" t="s">
        <v>20105</v>
      </c>
      <c r="L56" s="22"/>
      <c r="M56" s="22"/>
      <c r="N56" s="25" t="str">
        <f>HYPERLINK("http://slimages.macys.com/is/image/MCY/21254194 ")</f>
        <v xml:space="preserve">http://slimages.macys.com/is/image/MCY/21254194 </v>
      </c>
    </row>
    <row r="57" spans="1:14" ht="24.75" x14ac:dyDescent="0.25">
      <c r="A57" s="21" t="s">
        <v>9507</v>
      </c>
      <c r="B57" s="22" t="s">
        <v>9508</v>
      </c>
      <c r="C57" s="2">
        <v>3</v>
      </c>
      <c r="D57" s="23">
        <v>29.5</v>
      </c>
      <c r="E57" s="3">
        <v>88.5</v>
      </c>
      <c r="F57" s="2" t="s">
        <v>10986</v>
      </c>
      <c r="G57" s="22" t="s">
        <v>19594</v>
      </c>
      <c r="H57" s="24" t="s">
        <v>19316</v>
      </c>
      <c r="I57" s="22" t="s">
        <v>19309</v>
      </c>
      <c r="J57" s="22" t="s">
        <v>20104</v>
      </c>
      <c r="K57" s="22" t="s">
        <v>20105</v>
      </c>
      <c r="L57" s="22"/>
      <c r="M57" s="22"/>
      <c r="N57" s="25" t="str">
        <f>HYPERLINK("http://slimages.macys.com/is/image/MCY/21254194 ")</f>
        <v xml:space="preserve">http://slimages.macys.com/is/image/MCY/21254194 </v>
      </c>
    </row>
    <row r="58" spans="1:14" x14ac:dyDescent="0.25">
      <c r="A58" s="21" t="s">
        <v>9509</v>
      </c>
      <c r="B58" s="22" t="s">
        <v>9510</v>
      </c>
      <c r="C58" s="2">
        <v>17</v>
      </c>
      <c r="D58" s="23">
        <v>18.989999999999998</v>
      </c>
      <c r="E58" s="3">
        <v>322.83</v>
      </c>
      <c r="F58" s="2" t="s">
        <v>9511</v>
      </c>
      <c r="G58" s="22" t="s">
        <v>19333</v>
      </c>
      <c r="H58" s="24"/>
      <c r="I58" s="22" t="s">
        <v>19309</v>
      </c>
      <c r="J58" s="22" t="s">
        <v>19696</v>
      </c>
      <c r="K58" s="22" t="s">
        <v>18094</v>
      </c>
      <c r="L58" s="22"/>
      <c r="M58" s="22"/>
      <c r="N58" s="25" t="str">
        <f>HYPERLINK("http://slimages.macys.com/is/image/MCY/21408593 ")</f>
        <v xml:space="preserve">http://slimages.macys.com/is/image/MCY/21408593 </v>
      </c>
    </row>
    <row r="59" spans="1:14" x14ac:dyDescent="0.25">
      <c r="A59" s="21" t="s">
        <v>9512</v>
      </c>
      <c r="B59" s="22" t="s">
        <v>9513</v>
      </c>
      <c r="C59" s="2">
        <v>1</v>
      </c>
      <c r="D59" s="23">
        <v>36</v>
      </c>
      <c r="E59" s="3">
        <v>36</v>
      </c>
      <c r="F59" s="2" t="s">
        <v>9514</v>
      </c>
      <c r="G59" s="22" t="s">
        <v>18439</v>
      </c>
      <c r="H59" s="24" t="s">
        <v>19330</v>
      </c>
      <c r="I59" s="22" t="s">
        <v>19309</v>
      </c>
      <c r="J59" s="22" t="s">
        <v>19417</v>
      </c>
      <c r="K59" s="22" t="s">
        <v>20110</v>
      </c>
      <c r="L59" s="22"/>
      <c r="M59" s="22"/>
      <c r="N59" s="25" t="str">
        <f>HYPERLINK("http://slimages.macys.com/is/image/MCY/19800763 ")</f>
        <v xml:space="preserve">http://slimages.macys.com/is/image/MCY/19800763 </v>
      </c>
    </row>
    <row r="60" spans="1:14" x14ac:dyDescent="0.25">
      <c r="A60" s="21" t="s">
        <v>9515</v>
      </c>
      <c r="B60" s="22" t="s">
        <v>9516</v>
      </c>
      <c r="C60" s="2">
        <v>1</v>
      </c>
      <c r="D60" s="23">
        <v>19.989999999999998</v>
      </c>
      <c r="E60" s="3">
        <v>19.989999999999998</v>
      </c>
      <c r="F60" s="2" t="s">
        <v>9517</v>
      </c>
      <c r="G60" s="22" t="s">
        <v>19342</v>
      </c>
      <c r="H60" s="24" t="s">
        <v>19542</v>
      </c>
      <c r="I60" s="22" t="s">
        <v>19309</v>
      </c>
      <c r="J60" s="22" t="s">
        <v>19696</v>
      </c>
      <c r="K60" s="22" t="s">
        <v>19697</v>
      </c>
      <c r="L60" s="22"/>
      <c r="M60" s="22"/>
      <c r="N60" s="25" t="str">
        <f>HYPERLINK("http://slimages.macys.com/is/image/MCY/20662581 ")</f>
        <v xml:space="preserve">http://slimages.macys.com/is/image/MCY/20662581 </v>
      </c>
    </row>
    <row r="61" spans="1:14" x14ac:dyDescent="0.25">
      <c r="A61" s="21" t="s">
        <v>9518</v>
      </c>
      <c r="B61" s="22" t="s">
        <v>9519</v>
      </c>
      <c r="C61" s="2">
        <v>11</v>
      </c>
      <c r="D61" s="23">
        <v>19.989999999999998</v>
      </c>
      <c r="E61" s="3">
        <v>219.89</v>
      </c>
      <c r="F61" s="2" t="s">
        <v>15998</v>
      </c>
      <c r="G61" s="22" t="s">
        <v>19342</v>
      </c>
      <c r="H61" s="24"/>
      <c r="I61" s="22" t="s">
        <v>19309</v>
      </c>
      <c r="J61" s="22" t="s">
        <v>19696</v>
      </c>
      <c r="K61" s="22" t="s">
        <v>19965</v>
      </c>
      <c r="L61" s="22"/>
      <c r="M61" s="22"/>
      <c r="N61" s="25" t="str">
        <f>HYPERLINK("http://slimages.macys.com/is/image/MCY/20662562 ")</f>
        <v xml:space="preserve">http://slimages.macys.com/is/image/MCY/20662562 </v>
      </c>
    </row>
    <row r="62" spans="1:14" x14ac:dyDescent="0.25">
      <c r="A62" s="21" t="s">
        <v>9520</v>
      </c>
      <c r="B62" s="22" t="s">
        <v>9521</v>
      </c>
      <c r="C62" s="2">
        <v>10</v>
      </c>
      <c r="D62" s="23">
        <v>19.989999999999998</v>
      </c>
      <c r="E62" s="3">
        <v>199.9</v>
      </c>
      <c r="F62" s="2" t="s">
        <v>11595</v>
      </c>
      <c r="G62" s="22" t="s">
        <v>19342</v>
      </c>
      <c r="H62" s="24" t="s">
        <v>19542</v>
      </c>
      <c r="I62" s="22" t="s">
        <v>19309</v>
      </c>
      <c r="J62" s="22" t="s">
        <v>19696</v>
      </c>
      <c r="K62" s="22" t="s">
        <v>19965</v>
      </c>
      <c r="L62" s="22"/>
      <c r="M62" s="22"/>
      <c r="N62" s="25" t="str">
        <f>HYPERLINK("http://slimages.macys.com/is/image/MCY/20583423 ")</f>
        <v xml:space="preserve">http://slimages.macys.com/is/image/MCY/20583423 </v>
      </c>
    </row>
    <row r="63" spans="1:14" x14ac:dyDescent="0.25">
      <c r="A63" s="21" t="s">
        <v>9522</v>
      </c>
      <c r="B63" s="22" t="s">
        <v>9523</v>
      </c>
      <c r="C63" s="2">
        <v>1</v>
      </c>
      <c r="D63" s="23">
        <v>15.3</v>
      </c>
      <c r="E63" s="3">
        <v>15.3</v>
      </c>
      <c r="F63" s="2" t="s">
        <v>9524</v>
      </c>
      <c r="G63" s="22" t="s">
        <v>19431</v>
      </c>
      <c r="H63" s="24" t="s">
        <v>13107</v>
      </c>
      <c r="I63" s="22" t="s">
        <v>19309</v>
      </c>
      <c r="J63" s="22" t="s">
        <v>19708</v>
      </c>
      <c r="K63" s="22" t="s">
        <v>19709</v>
      </c>
      <c r="L63" s="22"/>
      <c r="M63" s="22"/>
      <c r="N63" s="25" t="str">
        <f>HYPERLINK("http://slimages.macys.com/is/image/MCY/21409415 ")</f>
        <v xml:space="preserve">http://slimages.macys.com/is/image/MCY/21409415 </v>
      </c>
    </row>
    <row r="64" spans="1:14" ht="24.75" x14ac:dyDescent="0.25">
      <c r="A64" s="21" t="s">
        <v>9525</v>
      </c>
      <c r="B64" s="22" t="s">
        <v>9526</v>
      </c>
      <c r="C64" s="2">
        <v>3</v>
      </c>
      <c r="D64" s="23">
        <v>25</v>
      </c>
      <c r="E64" s="3">
        <v>75</v>
      </c>
      <c r="F64" s="2" t="s">
        <v>9527</v>
      </c>
      <c r="G64" s="22" t="s">
        <v>19333</v>
      </c>
      <c r="H64" s="24" t="s">
        <v>19364</v>
      </c>
      <c r="I64" s="22" t="s">
        <v>19309</v>
      </c>
      <c r="J64" s="22" t="s">
        <v>19559</v>
      </c>
      <c r="K64" s="22" t="s">
        <v>13057</v>
      </c>
      <c r="L64" s="22"/>
      <c r="M64" s="22"/>
      <c r="N64" s="25" t="str">
        <f>HYPERLINK("http://slimages.macys.com/is/image/MCY/21443646 ")</f>
        <v xml:space="preserve">http://slimages.macys.com/is/image/MCY/21443646 </v>
      </c>
    </row>
    <row r="65" spans="1:14" ht="24.75" x14ac:dyDescent="0.25">
      <c r="A65" s="21" t="s">
        <v>9528</v>
      </c>
      <c r="B65" s="22" t="s">
        <v>9529</v>
      </c>
      <c r="C65" s="2">
        <v>4</v>
      </c>
      <c r="D65" s="23">
        <v>20</v>
      </c>
      <c r="E65" s="3">
        <v>80</v>
      </c>
      <c r="F65" s="2" t="s">
        <v>9530</v>
      </c>
      <c r="G65" s="22" t="s">
        <v>19422</v>
      </c>
      <c r="H65" s="24" t="s">
        <v>20152</v>
      </c>
      <c r="I65" s="22" t="s">
        <v>19309</v>
      </c>
      <c r="J65" s="22" t="s">
        <v>19417</v>
      </c>
      <c r="K65" s="22" t="s">
        <v>19854</v>
      </c>
      <c r="L65" s="22"/>
      <c r="M65" s="22"/>
      <c r="N65" s="25" t="str">
        <f>HYPERLINK("http://slimages.macys.com/is/image/MCY/21370109 ")</f>
        <v xml:space="preserve">http://slimages.macys.com/is/image/MCY/21370109 </v>
      </c>
    </row>
    <row r="66" spans="1:14" x14ac:dyDescent="0.25">
      <c r="A66" s="21" t="s">
        <v>9531</v>
      </c>
      <c r="B66" s="22" t="s">
        <v>9532</v>
      </c>
      <c r="C66" s="2">
        <v>4</v>
      </c>
      <c r="D66" s="23">
        <v>18.2</v>
      </c>
      <c r="E66" s="3">
        <v>72.8</v>
      </c>
      <c r="F66" s="2" t="s">
        <v>9533</v>
      </c>
      <c r="G66" s="22"/>
      <c r="H66" s="24" t="s">
        <v>20159</v>
      </c>
      <c r="I66" s="22" t="s">
        <v>19309</v>
      </c>
      <c r="J66" s="22" t="s">
        <v>19708</v>
      </c>
      <c r="K66" s="22" t="s">
        <v>19709</v>
      </c>
      <c r="L66" s="22"/>
      <c r="M66" s="22"/>
      <c r="N66" s="25" t="str">
        <f>HYPERLINK("http://slimages.macys.com/is/image/MCY/21423014 ")</f>
        <v xml:space="preserve">http://slimages.macys.com/is/image/MCY/21423014 </v>
      </c>
    </row>
    <row r="67" spans="1:14" ht="24.75" x14ac:dyDescent="0.25">
      <c r="A67" s="21" t="s">
        <v>9534</v>
      </c>
      <c r="B67" s="22" t="s">
        <v>9535</v>
      </c>
      <c r="C67" s="2">
        <v>18</v>
      </c>
      <c r="D67" s="23">
        <v>14.4</v>
      </c>
      <c r="E67" s="3">
        <v>259.2</v>
      </c>
      <c r="F67" s="2" t="s">
        <v>9536</v>
      </c>
      <c r="G67" s="22"/>
      <c r="H67" s="24" t="s">
        <v>19542</v>
      </c>
      <c r="I67" s="22" t="s">
        <v>19309</v>
      </c>
      <c r="J67" s="22" t="s">
        <v>19602</v>
      </c>
      <c r="K67" s="22" t="s">
        <v>19603</v>
      </c>
      <c r="L67" s="22"/>
      <c r="M67" s="22"/>
      <c r="N67" s="25" t="str">
        <f>HYPERLINK("http://slimages.macys.com/is/image/MCY/19917186 ")</f>
        <v xml:space="preserve">http://slimages.macys.com/is/image/MCY/19917186 </v>
      </c>
    </row>
    <row r="68" spans="1:14" ht="24.75" x14ac:dyDescent="0.25">
      <c r="A68" s="21" t="s">
        <v>9537</v>
      </c>
      <c r="B68" s="22" t="s">
        <v>9538</v>
      </c>
      <c r="C68" s="2">
        <v>1</v>
      </c>
      <c r="D68" s="23">
        <v>15.99</v>
      </c>
      <c r="E68" s="3">
        <v>15.99</v>
      </c>
      <c r="F68" s="2" t="s">
        <v>9539</v>
      </c>
      <c r="G68" s="22" t="s">
        <v>19333</v>
      </c>
      <c r="H68" s="24" t="s">
        <v>19345</v>
      </c>
      <c r="I68" s="22" t="s">
        <v>19309</v>
      </c>
      <c r="J68" s="22" t="s">
        <v>19519</v>
      </c>
      <c r="K68" s="22" t="s">
        <v>17725</v>
      </c>
      <c r="L68" s="22"/>
      <c r="M68" s="22"/>
      <c r="N68" s="25" t="str">
        <f>HYPERLINK("http://slimages.macys.com/is/image/MCY/21141716 ")</f>
        <v xml:space="preserve">http://slimages.macys.com/is/image/MCY/21141716 </v>
      </c>
    </row>
    <row r="69" spans="1:14" x14ac:dyDescent="0.25">
      <c r="A69" s="21" t="s">
        <v>11015</v>
      </c>
      <c r="B69" s="22" t="s">
        <v>11016</v>
      </c>
      <c r="C69" s="2">
        <v>16</v>
      </c>
      <c r="D69" s="23">
        <v>17.989999999999998</v>
      </c>
      <c r="E69" s="3">
        <v>287.83999999999997</v>
      </c>
      <c r="F69" s="2" t="s">
        <v>11012</v>
      </c>
      <c r="G69" s="22" t="s">
        <v>19342</v>
      </c>
      <c r="H69" s="24" t="s">
        <v>19392</v>
      </c>
      <c r="I69" s="22" t="s">
        <v>19309</v>
      </c>
      <c r="J69" s="22" t="s">
        <v>19696</v>
      </c>
      <c r="K69" s="22" t="s">
        <v>19697</v>
      </c>
      <c r="L69" s="22"/>
      <c r="M69" s="22"/>
      <c r="N69" s="25" t="str">
        <f>HYPERLINK("http://slimages.macys.com/is/image/MCY/21642765 ")</f>
        <v xml:space="preserve">http://slimages.macys.com/is/image/MCY/21642765 </v>
      </c>
    </row>
    <row r="70" spans="1:14" x14ac:dyDescent="0.25">
      <c r="A70" s="21" t="s">
        <v>11010</v>
      </c>
      <c r="B70" s="22" t="s">
        <v>11011</v>
      </c>
      <c r="C70" s="2">
        <v>9</v>
      </c>
      <c r="D70" s="23">
        <v>17.989999999999998</v>
      </c>
      <c r="E70" s="3">
        <v>161.91</v>
      </c>
      <c r="F70" s="2" t="s">
        <v>11012</v>
      </c>
      <c r="G70" s="22" t="s">
        <v>19342</v>
      </c>
      <c r="H70" s="24" t="s">
        <v>19345</v>
      </c>
      <c r="I70" s="22" t="s">
        <v>19309</v>
      </c>
      <c r="J70" s="22" t="s">
        <v>19696</v>
      </c>
      <c r="K70" s="22" t="s">
        <v>19697</v>
      </c>
      <c r="L70" s="22"/>
      <c r="M70" s="22"/>
      <c r="N70" s="25" t="str">
        <f>HYPERLINK("http://slimages.macys.com/is/image/MCY/21642765 ")</f>
        <v xml:space="preserve">http://slimages.macys.com/is/image/MCY/21642765 </v>
      </c>
    </row>
    <row r="71" spans="1:14" x14ac:dyDescent="0.25">
      <c r="A71" s="21" t="s">
        <v>9540</v>
      </c>
      <c r="B71" s="22" t="s">
        <v>9541</v>
      </c>
      <c r="C71" s="2">
        <v>26</v>
      </c>
      <c r="D71" s="23">
        <v>17.059999999999999</v>
      </c>
      <c r="E71" s="3">
        <v>443.56</v>
      </c>
      <c r="F71" s="2" t="s">
        <v>9542</v>
      </c>
      <c r="G71" s="22"/>
      <c r="H71" s="24" t="s">
        <v>20159</v>
      </c>
      <c r="I71" s="22" t="s">
        <v>19309</v>
      </c>
      <c r="J71" s="22" t="s">
        <v>19708</v>
      </c>
      <c r="K71" s="22" t="s">
        <v>19709</v>
      </c>
      <c r="L71" s="22"/>
      <c r="M71" s="22"/>
      <c r="N71" s="25" t="str">
        <f>HYPERLINK("http://slimages.macys.com/is/image/MCY/21726583 ")</f>
        <v xml:space="preserve">http://slimages.macys.com/is/image/MCY/21726583 </v>
      </c>
    </row>
    <row r="72" spans="1:14" x14ac:dyDescent="0.25">
      <c r="A72" s="21" t="s">
        <v>9543</v>
      </c>
      <c r="B72" s="22" t="s">
        <v>9544</v>
      </c>
      <c r="C72" s="2">
        <v>9</v>
      </c>
      <c r="D72" s="23">
        <v>17.059999999999999</v>
      </c>
      <c r="E72" s="3">
        <v>153.54</v>
      </c>
      <c r="F72" s="2" t="s">
        <v>9545</v>
      </c>
      <c r="G72" s="22"/>
      <c r="H72" s="24" t="s">
        <v>20159</v>
      </c>
      <c r="I72" s="22" t="s">
        <v>19309</v>
      </c>
      <c r="J72" s="22" t="s">
        <v>19708</v>
      </c>
      <c r="K72" s="22" t="s">
        <v>19709</v>
      </c>
      <c r="L72" s="22"/>
      <c r="M72" s="22"/>
      <c r="N72" s="25" t="str">
        <f>HYPERLINK("http://slimages.macys.com/is/image/MCY/21726580 ")</f>
        <v xml:space="preserve">http://slimages.macys.com/is/image/MCY/21726580 </v>
      </c>
    </row>
    <row r="73" spans="1:14" x14ac:dyDescent="0.25">
      <c r="A73" s="21" t="s">
        <v>18225</v>
      </c>
      <c r="B73" s="22" t="s">
        <v>18226</v>
      </c>
      <c r="C73" s="2">
        <v>12</v>
      </c>
      <c r="D73" s="23">
        <v>15.99</v>
      </c>
      <c r="E73" s="3">
        <v>191.88</v>
      </c>
      <c r="F73" s="2" t="s">
        <v>18227</v>
      </c>
      <c r="G73" s="22" t="s">
        <v>19670</v>
      </c>
      <c r="H73" s="24" t="s">
        <v>19797</v>
      </c>
      <c r="I73" s="22" t="s">
        <v>19309</v>
      </c>
      <c r="J73" s="22" t="s">
        <v>19849</v>
      </c>
      <c r="K73" s="22" t="s">
        <v>19850</v>
      </c>
      <c r="L73" s="22"/>
      <c r="M73" s="22"/>
      <c r="N73" s="25" t="str">
        <f>HYPERLINK("http://slimages.macys.com/is/image/MCY/1553370 ")</f>
        <v xml:space="preserve">http://slimages.macys.com/is/image/MCY/1553370 </v>
      </c>
    </row>
    <row r="74" spans="1:14" ht="24.75" x14ac:dyDescent="0.25">
      <c r="A74" s="21" t="s">
        <v>9546</v>
      </c>
      <c r="B74" s="22" t="s">
        <v>9547</v>
      </c>
      <c r="C74" s="2">
        <v>1</v>
      </c>
      <c r="D74" s="23">
        <v>24.5</v>
      </c>
      <c r="E74" s="3">
        <v>24.5</v>
      </c>
      <c r="F74" s="2" t="s">
        <v>9548</v>
      </c>
      <c r="G74" s="22" t="s">
        <v>19618</v>
      </c>
      <c r="H74" s="24" t="s">
        <v>11751</v>
      </c>
      <c r="I74" s="22" t="s">
        <v>19309</v>
      </c>
      <c r="J74" s="22" t="s">
        <v>20104</v>
      </c>
      <c r="K74" s="22" t="s">
        <v>20105</v>
      </c>
      <c r="L74" s="22"/>
      <c r="M74" s="22"/>
      <c r="N74" s="25" t="str">
        <f>HYPERLINK("http://slimages.macys.com/is/image/MCY/21419721 ")</f>
        <v xml:space="preserve">http://slimages.macys.com/is/image/MCY/21419721 </v>
      </c>
    </row>
    <row r="75" spans="1:14" x14ac:dyDescent="0.25">
      <c r="A75" s="21" t="s">
        <v>9549</v>
      </c>
      <c r="B75" s="22" t="s">
        <v>9550</v>
      </c>
      <c r="C75" s="2">
        <v>7</v>
      </c>
      <c r="D75" s="23">
        <v>32</v>
      </c>
      <c r="E75" s="3">
        <v>224</v>
      </c>
      <c r="F75" s="2" t="s">
        <v>11026</v>
      </c>
      <c r="G75" s="22" t="s">
        <v>19351</v>
      </c>
      <c r="H75" s="24" t="s">
        <v>19770</v>
      </c>
      <c r="I75" s="22" t="s">
        <v>19309</v>
      </c>
      <c r="J75" s="22" t="s">
        <v>19417</v>
      </c>
      <c r="K75" s="22" t="s">
        <v>20110</v>
      </c>
      <c r="L75" s="22"/>
      <c r="M75" s="22"/>
      <c r="N75" s="25" t="str">
        <f>HYPERLINK("http://slimages.macys.com/is/image/MCY/21551758 ")</f>
        <v xml:space="preserve">http://slimages.macys.com/is/image/MCY/21551758 </v>
      </c>
    </row>
    <row r="76" spans="1:14" ht="24.75" x14ac:dyDescent="0.25">
      <c r="A76" s="21" t="s">
        <v>9551</v>
      </c>
      <c r="B76" s="22" t="s">
        <v>9552</v>
      </c>
      <c r="C76" s="2">
        <v>14</v>
      </c>
      <c r="D76" s="23">
        <v>22.5</v>
      </c>
      <c r="E76" s="3">
        <v>315</v>
      </c>
      <c r="F76" s="2" t="s">
        <v>9553</v>
      </c>
      <c r="G76" s="22" t="s">
        <v>19618</v>
      </c>
      <c r="H76" s="24" t="s">
        <v>19334</v>
      </c>
      <c r="I76" s="22" t="s">
        <v>19309</v>
      </c>
      <c r="J76" s="22" t="s">
        <v>19688</v>
      </c>
      <c r="K76" s="22" t="s">
        <v>19614</v>
      </c>
      <c r="L76" s="22"/>
      <c r="M76" s="22"/>
      <c r="N76" s="25" t="str">
        <f>HYPERLINK("http://slimages.macys.com/is/image/MCY/21035866 ")</f>
        <v xml:space="preserve">http://slimages.macys.com/is/image/MCY/21035866 </v>
      </c>
    </row>
    <row r="77" spans="1:14" x14ac:dyDescent="0.25">
      <c r="A77" s="21" t="s">
        <v>10594</v>
      </c>
      <c r="B77" s="22" t="s">
        <v>10595</v>
      </c>
      <c r="C77" s="2">
        <v>8</v>
      </c>
      <c r="D77" s="23">
        <v>24</v>
      </c>
      <c r="E77" s="3">
        <v>192</v>
      </c>
      <c r="F77" s="2" t="s">
        <v>10596</v>
      </c>
      <c r="G77" s="22" t="s">
        <v>19404</v>
      </c>
      <c r="H77" s="24" t="s">
        <v>19538</v>
      </c>
      <c r="I77" s="22" t="s">
        <v>19309</v>
      </c>
      <c r="J77" s="22" t="s">
        <v>19417</v>
      </c>
      <c r="K77" s="22" t="s">
        <v>20110</v>
      </c>
      <c r="L77" s="22"/>
      <c r="M77" s="22"/>
      <c r="N77" s="25" t="str">
        <f>HYPERLINK("http://slimages.macys.com/is/image/MCY/21551777 ")</f>
        <v xml:space="preserve">http://slimages.macys.com/is/image/MCY/21551777 </v>
      </c>
    </row>
    <row r="78" spans="1:14" x14ac:dyDescent="0.25">
      <c r="A78" s="21" t="s">
        <v>9554</v>
      </c>
      <c r="B78" s="22" t="s">
        <v>11043</v>
      </c>
      <c r="C78" s="2">
        <v>1</v>
      </c>
      <c r="D78" s="23">
        <v>30</v>
      </c>
      <c r="E78" s="3">
        <v>30</v>
      </c>
      <c r="F78" s="2" t="s">
        <v>11050</v>
      </c>
      <c r="G78" s="22" t="s">
        <v>19333</v>
      </c>
      <c r="H78" s="24"/>
      <c r="I78" s="22" t="s">
        <v>19309</v>
      </c>
      <c r="J78" s="22" t="s">
        <v>19417</v>
      </c>
      <c r="K78" s="22" t="s">
        <v>18317</v>
      </c>
      <c r="L78" s="22"/>
      <c r="M78" s="22"/>
      <c r="N78" s="25" t="str">
        <f>HYPERLINK("http://slimages.macys.com/is/image/MCY/22226507 ")</f>
        <v xml:space="preserve">http://slimages.macys.com/is/image/MCY/22226507 </v>
      </c>
    </row>
    <row r="79" spans="1:14" x14ac:dyDescent="0.25">
      <c r="A79" s="21" t="s">
        <v>9555</v>
      </c>
      <c r="B79" s="22" t="s">
        <v>9556</v>
      </c>
      <c r="C79" s="2">
        <v>15</v>
      </c>
      <c r="D79" s="23">
        <v>16.989999999999998</v>
      </c>
      <c r="E79" s="3">
        <v>254.85</v>
      </c>
      <c r="F79" s="2" t="s">
        <v>11061</v>
      </c>
      <c r="G79" s="22" t="s">
        <v>19674</v>
      </c>
      <c r="H79" s="24" t="s">
        <v>19364</v>
      </c>
      <c r="I79" s="22" t="s">
        <v>19309</v>
      </c>
      <c r="J79" s="22" t="s">
        <v>19849</v>
      </c>
      <c r="K79" s="22" t="s">
        <v>19850</v>
      </c>
      <c r="L79" s="22"/>
      <c r="M79" s="22"/>
      <c r="N79" s="25" t="str">
        <f>HYPERLINK("http://slimages.macys.com/is/image/MCY/21250910 ")</f>
        <v xml:space="preserve">http://slimages.macys.com/is/image/MCY/21250910 </v>
      </c>
    </row>
    <row r="80" spans="1:14" x14ac:dyDescent="0.25">
      <c r="A80" s="21" t="s">
        <v>11710</v>
      </c>
      <c r="B80" s="22" t="s">
        <v>11711</v>
      </c>
      <c r="C80" s="2">
        <v>6</v>
      </c>
      <c r="D80" s="23">
        <v>16.989999999999998</v>
      </c>
      <c r="E80" s="3">
        <v>101.94</v>
      </c>
      <c r="F80" s="2" t="s">
        <v>11061</v>
      </c>
      <c r="G80" s="22" t="s">
        <v>19462</v>
      </c>
      <c r="H80" s="24" t="s">
        <v>19339</v>
      </c>
      <c r="I80" s="22" t="s">
        <v>19309</v>
      </c>
      <c r="J80" s="22" t="s">
        <v>19849</v>
      </c>
      <c r="K80" s="22" t="s">
        <v>19850</v>
      </c>
      <c r="L80" s="22"/>
      <c r="M80" s="22"/>
      <c r="N80" s="25" t="str">
        <f>HYPERLINK("http://slimages.macys.com/is/image/MCY/1553435 ")</f>
        <v xml:space="preserve">http://slimages.macys.com/is/image/MCY/1553435 </v>
      </c>
    </row>
    <row r="81" spans="1:14" x14ac:dyDescent="0.25">
      <c r="A81" s="21" t="s">
        <v>9557</v>
      </c>
      <c r="B81" s="22" t="s">
        <v>9558</v>
      </c>
      <c r="C81" s="2">
        <v>1</v>
      </c>
      <c r="D81" s="23">
        <v>16.04</v>
      </c>
      <c r="E81" s="3">
        <v>16.04</v>
      </c>
      <c r="F81" s="2" t="s">
        <v>13748</v>
      </c>
      <c r="G81" s="22"/>
      <c r="H81" s="24" t="s">
        <v>19416</v>
      </c>
      <c r="I81" s="22" t="s">
        <v>19309</v>
      </c>
      <c r="J81" s="22" t="s">
        <v>19708</v>
      </c>
      <c r="K81" s="22" t="s">
        <v>19709</v>
      </c>
      <c r="L81" s="22"/>
      <c r="M81" s="22"/>
      <c r="N81" s="25" t="str">
        <f>HYPERLINK("http://slimages.macys.com/is/image/MCY/19146097 ")</f>
        <v xml:space="preserve">http://slimages.macys.com/is/image/MCY/19146097 </v>
      </c>
    </row>
    <row r="82" spans="1:14" ht="24.75" x14ac:dyDescent="0.25">
      <c r="A82" s="21" t="s">
        <v>9559</v>
      </c>
      <c r="B82" s="22" t="s">
        <v>9560</v>
      </c>
      <c r="C82" s="2">
        <v>8</v>
      </c>
      <c r="D82" s="23">
        <v>24.5</v>
      </c>
      <c r="E82" s="3">
        <v>196</v>
      </c>
      <c r="F82" s="2" t="s">
        <v>9561</v>
      </c>
      <c r="G82" s="22" t="s">
        <v>19351</v>
      </c>
      <c r="H82" s="24" t="s">
        <v>19334</v>
      </c>
      <c r="I82" s="22" t="s">
        <v>19309</v>
      </c>
      <c r="J82" s="22" t="s">
        <v>19688</v>
      </c>
      <c r="K82" s="22" t="s">
        <v>19614</v>
      </c>
      <c r="L82" s="22"/>
      <c r="M82" s="22"/>
      <c r="N82" s="25" t="str">
        <f>HYPERLINK("http://slimages.macys.com/is/image/MCY/21965035 ")</f>
        <v xml:space="preserve">http://slimages.macys.com/is/image/MCY/21965035 </v>
      </c>
    </row>
    <row r="83" spans="1:14" ht="24.75" x14ac:dyDescent="0.25">
      <c r="A83" s="21" t="s">
        <v>9562</v>
      </c>
      <c r="B83" s="22" t="s">
        <v>9563</v>
      </c>
      <c r="C83" s="2">
        <v>4</v>
      </c>
      <c r="D83" s="23">
        <v>14.99</v>
      </c>
      <c r="E83" s="3">
        <v>59.96</v>
      </c>
      <c r="F83" s="2" t="s">
        <v>18364</v>
      </c>
      <c r="G83" s="22" t="s">
        <v>19431</v>
      </c>
      <c r="H83" s="24" t="s">
        <v>19538</v>
      </c>
      <c r="I83" s="22" t="s">
        <v>19309</v>
      </c>
      <c r="J83" s="22" t="s">
        <v>19573</v>
      </c>
      <c r="K83" s="22" t="s">
        <v>19574</v>
      </c>
      <c r="L83" s="22"/>
      <c r="M83" s="22"/>
      <c r="N83" s="25" t="str">
        <f>HYPERLINK("http://slimages.macys.com/is/image/MCY/2062457 ")</f>
        <v xml:space="preserve">http://slimages.macys.com/is/image/MCY/2062457 </v>
      </c>
    </row>
    <row r="84" spans="1:14" ht="24.75" x14ac:dyDescent="0.25">
      <c r="A84" s="21" t="s">
        <v>10629</v>
      </c>
      <c r="B84" s="22" t="s">
        <v>10630</v>
      </c>
      <c r="C84" s="2">
        <v>12</v>
      </c>
      <c r="D84" s="23">
        <v>22</v>
      </c>
      <c r="E84" s="3">
        <v>264</v>
      </c>
      <c r="F84" s="2" t="s">
        <v>16175</v>
      </c>
      <c r="G84" s="22" t="s">
        <v>19404</v>
      </c>
      <c r="H84" s="24"/>
      <c r="I84" s="22" t="s">
        <v>19309</v>
      </c>
      <c r="J84" s="22" t="s">
        <v>19417</v>
      </c>
      <c r="K84" s="22" t="s">
        <v>20110</v>
      </c>
      <c r="L84" s="22"/>
      <c r="M84" s="22"/>
      <c r="N84" s="25" t="str">
        <f>HYPERLINK("http://slimages.macys.com/is/image/MCY/21735554 ")</f>
        <v xml:space="preserve">http://slimages.macys.com/is/image/MCY/21735554 </v>
      </c>
    </row>
    <row r="85" spans="1:14" x14ac:dyDescent="0.25">
      <c r="A85" s="21" t="s">
        <v>9564</v>
      </c>
      <c r="B85" s="22" t="s">
        <v>9565</v>
      </c>
      <c r="C85" s="2">
        <v>6</v>
      </c>
      <c r="D85" s="23">
        <v>17.989999999999998</v>
      </c>
      <c r="E85" s="3">
        <v>107.94</v>
      </c>
      <c r="F85" s="2" t="s">
        <v>9566</v>
      </c>
      <c r="G85" s="22" t="s">
        <v>19342</v>
      </c>
      <c r="H85" s="24" t="s">
        <v>19334</v>
      </c>
      <c r="I85" s="22" t="s">
        <v>19309</v>
      </c>
      <c r="J85" s="22" t="s">
        <v>19696</v>
      </c>
      <c r="K85" s="22" t="s">
        <v>19697</v>
      </c>
      <c r="L85" s="22"/>
      <c r="M85" s="22"/>
      <c r="N85" s="25" t="str">
        <f>HYPERLINK("http://slimages.macys.com/is/image/MCY/21355167 ")</f>
        <v xml:space="preserve">http://slimages.macys.com/is/image/MCY/21355167 </v>
      </c>
    </row>
    <row r="86" spans="1:14" x14ac:dyDescent="0.25">
      <c r="A86" s="21" t="s">
        <v>13794</v>
      </c>
      <c r="B86" s="22" t="s">
        <v>13795</v>
      </c>
      <c r="C86" s="2">
        <v>21</v>
      </c>
      <c r="D86" s="23">
        <v>22</v>
      </c>
      <c r="E86" s="3">
        <v>462</v>
      </c>
      <c r="F86" s="2" t="s">
        <v>13796</v>
      </c>
      <c r="G86" s="22" t="s">
        <v>18439</v>
      </c>
      <c r="H86" s="24"/>
      <c r="I86" s="22" t="s">
        <v>19309</v>
      </c>
      <c r="J86" s="22" t="s">
        <v>19417</v>
      </c>
      <c r="K86" s="22" t="s">
        <v>20110</v>
      </c>
      <c r="L86" s="22"/>
      <c r="M86" s="22"/>
      <c r="N86" s="25" t="str">
        <f>HYPERLINK("http://slimages.macys.com/is/image/MCY/21551774 ")</f>
        <v xml:space="preserve">http://slimages.macys.com/is/image/MCY/21551774 </v>
      </c>
    </row>
    <row r="87" spans="1:14" ht="24.75" x14ac:dyDescent="0.25">
      <c r="A87" s="21" t="s">
        <v>9567</v>
      </c>
      <c r="B87" s="22" t="s">
        <v>9568</v>
      </c>
      <c r="C87" s="2">
        <v>31</v>
      </c>
      <c r="D87" s="23">
        <v>22</v>
      </c>
      <c r="E87" s="3">
        <v>682</v>
      </c>
      <c r="F87" s="2" t="s">
        <v>9569</v>
      </c>
      <c r="G87" s="22" t="s">
        <v>19333</v>
      </c>
      <c r="H87" s="24" t="s">
        <v>20109</v>
      </c>
      <c r="I87" s="22" t="s">
        <v>19309</v>
      </c>
      <c r="J87" s="22" t="s">
        <v>19417</v>
      </c>
      <c r="K87" s="22" t="s">
        <v>20110</v>
      </c>
      <c r="L87" s="22"/>
      <c r="M87" s="22"/>
      <c r="N87" s="25" t="str">
        <f>HYPERLINK("http://slimages.macys.com/is/image/MCY/21551778 ")</f>
        <v xml:space="preserve">http://slimages.macys.com/is/image/MCY/21551778 </v>
      </c>
    </row>
    <row r="88" spans="1:14" x14ac:dyDescent="0.25">
      <c r="A88" s="21" t="s">
        <v>9570</v>
      </c>
      <c r="B88" s="22" t="s">
        <v>9571</v>
      </c>
      <c r="C88" s="2">
        <v>10</v>
      </c>
      <c r="D88" s="23">
        <v>17.989999999999998</v>
      </c>
      <c r="E88" s="3">
        <v>179.9</v>
      </c>
      <c r="F88" s="2" t="s">
        <v>9566</v>
      </c>
      <c r="G88" s="22" t="s">
        <v>19342</v>
      </c>
      <c r="H88" s="24" t="s">
        <v>19392</v>
      </c>
      <c r="I88" s="22" t="s">
        <v>19309</v>
      </c>
      <c r="J88" s="22" t="s">
        <v>19696</v>
      </c>
      <c r="K88" s="22" t="s">
        <v>19697</v>
      </c>
      <c r="L88" s="22"/>
      <c r="M88" s="22"/>
      <c r="N88" s="25" t="str">
        <f>HYPERLINK("http://slimages.macys.com/is/image/MCY/21355167 ")</f>
        <v xml:space="preserve">http://slimages.macys.com/is/image/MCY/21355167 </v>
      </c>
    </row>
    <row r="89" spans="1:14" x14ac:dyDescent="0.25">
      <c r="A89" s="21" t="s">
        <v>9572</v>
      </c>
      <c r="B89" s="22" t="s">
        <v>9573</v>
      </c>
      <c r="C89" s="2">
        <v>3</v>
      </c>
      <c r="D89" s="23">
        <v>17.989999999999998</v>
      </c>
      <c r="E89" s="3">
        <v>53.97</v>
      </c>
      <c r="F89" s="2" t="s">
        <v>9566</v>
      </c>
      <c r="G89" s="22" t="s">
        <v>19342</v>
      </c>
      <c r="H89" s="24" t="s">
        <v>19345</v>
      </c>
      <c r="I89" s="22" t="s">
        <v>19309</v>
      </c>
      <c r="J89" s="22" t="s">
        <v>19696</v>
      </c>
      <c r="K89" s="22" t="s">
        <v>19697</v>
      </c>
      <c r="L89" s="22"/>
      <c r="M89" s="22"/>
      <c r="N89" s="25" t="str">
        <f>HYPERLINK("http://slimages.macys.com/is/image/MCY/21355167 ")</f>
        <v xml:space="preserve">http://slimages.macys.com/is/image/MCY/21355167 </v>
      </c>
    </row>
    <row r="90" spans="1:14" x14ac:dyDescent="0.25">
      <c r="A90" s="21" t="s">
        <v>9574</v>
      </c>
      <c r="B90" s="22" t="s">
        <v>9575</v>
      </c>
      <c r="C90" s="2">
        <v>53</v>
      </c>
      <c r="D90" s="23">
        <v>22.5</v>
      </c>
      <c r="E90" s="3">
        <v>1192.5</v>
      </c>
      <c r="F90" s="2" t="s">
        <v>9576</v>
      </c>
      <c r="G90" s="22" t="s">
        <v>19415</v>
      </c>
      <c r="H90" s="24" t="s">
        <v>19395</v>
      </c>
      <c r="I90" s="22" t="s">
        <v>19309</v>
      </c>
      <c r="J90" s="22" t="s">
        <v>19688</v>
      </c>
      <c r="K90" s="22" t="s">
        <v>19614</v>
      </c>
      <c r="L90" s="22"/>
      <c r="M90" s="22"/>
      <c r="N90" s="25" t="str">
        <f>HYPERLINK("http://slimages.macys.com/is/image/MCY/21035860 ")</f>
        <v xml:space="preserve">http://slimages.macys.com/is/image/MCY/21035860 </v>
      </c>
    </row>
    <row r="91" spans="1:14" x14ac:dyDescent="0.25">
      <c r="A91" s="21" t="s">
        <v>9577</v>
      </c>
      <c r="B91" s="22" t="s">
        <v>9578</v>
      </c>
      <c r="C91" s="2">
        <v>41</v>
      </c>
      <c r="D91" s="23">
        <v>22.5</v>
      </c>
      <c r="E91" s="3">
        <v>922.5</v>
      </c>
      <c r="F91" s="2" t="s">
        <v>9576</v>
      </c>
      <c r="G91" s="22" t="s">
        <v>19415</v>
      </c>
      <c r="H91" s="24" t="s">
        <v>19361</v>
      </c>
      <c r="I91" s="22" t="s">
        <v>19309</v>
      </c>
      <c r="J91" s="22" t="s">
        <v>19688</v>
      </c>
      <c r="K91" s="22" t="s">
        <v>19614</v>
      </c>
      <c r="L91" s="22"/>
      <c r="M91" s="22"/>
      <c r="N91" s="25" t="str">
        <f>HYPERLINK("http://slimages.macys.com/is/image/MCY/21035860 ")</f>
        <v xml:space="preserve">http://slimages.macys.com/is/image/MCY/21035860 </v>
      </c>
    </row>
    <row r="92" spans="1:14" ht="24.75" x14ac:dyDescent="0.25">
      <c r="A92" s="21" t="s">
        <v>16182</v>
      </c>
      <c r="B92" s="22" t="s">
        <v>16183</v>
      </c>
      <c r="C92" s="2">
        <v>2</v>
      </c>
      <c r="D92" s="23">
        <v>22.5</v>
      </c>
      <c r="E92" s="3">
        <v>45</v>
      </c>
      <c r="F92" s="2" t="s">
        <v>16184</v>
      </c>
      <c r="G92" s="22" t="s">
        <v>19528</v>
      </c>
      <c r="H92" s="24" t="s">
        <v>19334</v>
      </c>
      <c r="I92" s="22" t="s">
        <v>19309</v>
      </c>
      <c r="J92" s="22" t="s">
        <v>19688</v>
      </c>
      <c r="K92" s="22" t="s">
        <v>19614</v>
      </c>
      <c r="L92" s="22"/>
      <c r="M92" s="22"/>
      <c r="N92" s="25" t="str">
        <f>HYPERLINK("http://slimages.macys.com/is/image/MCY/21035884 ")</f>
        <v xml:space="preserve">http://slimages.macys.com/is/image/MCY/21035884 </v>
      </c>
    </row>
    <row r="93" spans="1:14" x14ac:dyDescent="0.25">
      <c r="A93" s="21" t="s">
        <v>9579</v>
      </c>
      <c r="B93" s="22" t="s">
        <v>9580</v>
      </c>
      <c r="C93" s="2">
        <v>13</v>
      </c>
      <c r="D93" s="23">
        <v>22.5</v>
      </c>
      <c r="E93" s="3">
        <v>292.5</v>
      </c>
      <c r="F93" s="2" t="s">
        <v>11081</v>
      </c>
      <c r="G93" s="22" t="s">
        <v>19618</v>
      </c>
      <c r="H93" s="24" t="s">
        <v>19542</v>
      </c>
      <c r="I93" s="22" t="s">
        <v>19309</v>
      </c>
      <c r="J93" s="22" t="s">
        <v>19688</v>
      </c>
      <c r="K93" s="22" t="s">
        <v>19614</v>
      </c>
      <c r="L93" s="22"/>
      <c r="M93" s="22"/>
      <c r="N93" s="25" t="str">
        <f>HYPERLINK("http://slimages.macys.com/is/image/MCY/21035860 ")</f>
        <v xml:space="preserve">http://slimages.macys.com/is/image/MCY/21035860 </v>
      </c>
    </row>
    <row r="94" spans="1:14" ht="24.75" x14ac:dyDescent="0.25">
      <c r="A94" s="21" t="s">
        <v>9581</v>
      </c>
      <c r="B94" s="22" t="s">
        <v>9582</v>
      </c>
      <c r="C94" s="2">
        <v>14</v>
      </c>
      <c r="D94" s="23">
        <v>22.5</v>
      </c>
      <c r="E94" s="3">
        <v>315</v>
      </c>
      <c r="F94" s="2" t="s">
        <v>18338</v>
      </c>
      <c r="G94" s="22" t="s">
        <v>19351</v>
      </c>
      <c r="H94" s="24" t="s">
        <v>19345</v>
      </c>
      <c r="I94" s="22" t="s">
        <v>19309</v>
      </c>
      <c r="J94" s="22" t="s">
        <v>19688</v>
      </c>
      <c r="K94" s="22" t="s">
        <v>19614</v>
      </c>
      <c r="L94" s="22"/>
      <c r="M94" s="22"/>
      <c r="N94" s="25" t="str">
        <f>HYPERLINK("http://slimages.macys.com/is/image/MCY/21035862 ")</f>
        <v xml:space="preserve">http://slimages.macys.com/is/image/MCY/21035862 </v>
      </c>
    </row>
    <row r="95" spans="1:14" x14ac:dyDescent="0.25">
      <c r="A95" s="21" t="s">
        <v>9583</v>
      </c>
      <c r="B95" s="22" t="s">
        <v>9584</v>
      </c>
      <c r="C95" s="2">
        <v>10</v>
      </c>
      <c r="D95" s="23">
        <v>22.5</v>
      </c>
      <c r="E95" s="3">
        <v>225</v>
      </c>
      <c r="F95" s="2" t="s">
        <v>18338</v>
      </c>
      <c r="G95" s="22" t="s">
        <v>19351</v>
      </c>
      <c r="H95" s="24" t="s">
        <v>19395</v>
      </c>
      <c r="I95" s="22" t="s">
        <v>19309</v>
      </c>
      <c r="J95" s="22" t="s">
        <v>19688</v>
      </c>
      <c r="K95" s="22" t="s">
        <v>19614</v>
      </c>
      <c r="L95" s="22"/>
      <c r="M95" s="22"/>
      <c r="N95" s="25" t="str">
        <f>HYPERLINK("http://slimages.macys.com/is/image/MCY/21035864 ")</f>
        <v xml:space="preserve">http://slimages.macys.com/is/image/MCY/21035864 </v>
      </c>
    </row>
    <row r="96" spans="1:14" ht="24.75" x14ac:dyDescent="0.25">
      <c r="A96" s="21" t="s">
        <v>18336</v>
      </c>
      <c r="B96" s="22" t="s">
        <v>18337</v>
      </c>
      <c r="C96" s="2">
        <v>63</v>
      </c>
      <c r="D96" s="23">
        <v>22.5</v>
      </c>
      <c r="E96" s="3">
        <v>1417.5</v>
      </c>
      <c r="F96" s="2" t="s">
        <v>18338</v>
      </c>
      <c r="G96" s="22" t="s">
        <v>19351</v>
      </c>
      <c r="H96" s="24" t="s">
        <v>19334</v>
      </c>
      <c r="I96" s="22" t="s">
        <v>19309</v>
      </c>
      <c r="J96" s="22" t="s">
        <v>19688</v>
      </c>
      <c r="K96" s="22" t="s">
        <v>19614</v>
      </c>
      <c r="L96" s="22"/>
      <c r="M96" s="22"/>
      <c r="N96" s="25" t="str">
        <f>HYPERLINK("http://slimages.macys.com/is/image/MCY/21035862 ")</f>
        <v xml:space="preserve">http://slimages.macys.com/is/image/MCY/21035862 </v>
      </c>
    </row>
    <row r="97" spans="1:14" ht="24.75" x14ac:dyDescent="0.25">
      <c r="A97" s="21" t="s">
        <v>9585</v>
      </c>
      <c r="B97" s="22" t="s">
        <v>9586</v>
      </c>
      <c r="C97" s="2">
        <v>24</v>
      </c>
      <c r="D97" s="23">
        <v>22.5</v>
      </c>
      <c r="E97" s="3">
        <v>540</v>
      </c>
      <c r="F97" s="2" t="s">
        <v>11081</v>
      </c>
      <c r="G97" s="22" t="s">
        <v>19618</v>
      </c>
      <c r="H97" s="24" t="s">
        <v>19345</v>
      </c>
      <c r="I97" s="22" t="s">
        <v>19309</v>
      </c>
      <c r="J97" s="22" t="s">
        <v>19688</v>
      </c>
      <c r="K97" s="22" t="s">
        <v>19614</v>
      </c>
      <c r="L97" s="22"/>
      <c r="M97" s="22"/>
      <c r="N97" s="25" t="str">
        <f>HYPERLINK("http://slimages.macys.com/is/image/MCY/21035858 ")</f>
        <v xml:space="preserve">http://slimages.macys.com/is/image/MCY/21035858 </v>
      </c>
    </row>
    <row r="98" spans="1:14" x14ac:dyDescent="0.25">
      <c r="A98" s="21" t="s">
        <v>9587</v>
      </c>
      <c r="B98" s="22" t="s">
        <v>9588</v>
      </c>
      <c r="C98" s="2">
        <v>6</v>
      </c>
      <c r="D98" s="23">
        <v>22.5</v>
      </c>
      <c r="E98" s="3">
        <v>135</v>
      </c>
      <c r="F98" s="2" t="s">
        <v>13234</v>
      </c>
      <c r="G98" s="22" t="s">
        <v>19351</v>
      </c>
      <c r="H98" s="24" t="s">
        <v>19432</v>
      </c>
      <c r="I98" s="22" t="s">
        <v>19309</v>
      </c>
      <c r="J98" s="22" t="s">
        <v>19688</v>
      </c>
      <c r="K98" s="22" t="s">
        <v>19614</v>
      </c>
      <c r="L98" s="22"/>
      <c r="M98" s="22"/>
      <c r="N98" s="25" t="str">
        <f>HYPERLINK("http://slimages.macys.com/is/image/MCY/21035872 ")</f>
        <v xml:space="preserve">http://slimages.macys.com/is/image/MCY/21035872 </v>
      </c>
    </row>
    <row r="99" spans="1:14" x14ac:dyDescent="0.25">
      <c r="A99" s="21" t="s">
        <v>11082</v>
      </c>
      <c r="B99" s="22" t="s">
        <v>11083</v>
      </c>
      <c r="C99" s="2">
        <v>1</v>
      </c>
      <c r="D99" s="23">
        <v>22.5</v>
      </c>
      <c r="E99" s="3">
        <v>22.5</v>
      </c>
      <c r="F99" s="2" t="s">
        <v>11084</v>
      </c>
      <c r="G99" s="22" t="s">
        <v>19404</v>
      </c>
      <c r="H99" s="24" t="s">
        <v>19395</v>
      </c>
      <c r="I99" s="22" t="s">
        <v>19309</v>
      </c>
      <c r="J99" s="22" t="s">
        <v>19688</v>
      </c>
      <c r="K99" s="22" t="s">
        <v>19614</v>
      </c>
      <c r="L99" s="22"/>
      <c r="M99" s="22"/>
      <c r="N99" s="25" t="str">
        <f>HYPERLINK("http://slimages.macys.com/is/image/MCY/21726761 ")</f>
        <v xml:space="preserve">http://slimages.macys.com/is/image/MCY/21726761 </v>
      </c>
    </row>
    <row r="100" spans="1:14" x14ac:dyDescent="0.25">
      <c r="A100" s="21" t="s">
        <v>9589</v>
      </c>
      <c r="B100" s="22" t="s">
        <v>9590</v>
      </c>
      <c r="C100" s="2">
        <v>1</v>
      </c>
      <c r="D100" s="23">
        <v>14.56</v>
      </c>
      <c r="E100" s="3">
        <v>14.56</v>
      </c>
      <c r="F100" s="2" t="s">
        <v>9591</v>
      </c>
      <c r="G100" s="22" t="s">
        <v>19323</v>
      </c>
      <c r="H100" s="24" t="s">
        <v>20159</v>
      </c>
      <c r="I100" s="22" t="s">
        <v>19309</v>
      </c>
      <c r="J100" s="22" t="s">
        <v>19708</v>
      </c>
      <c r="K100" s="22" t="s">
        <v>19709</v>
      </c>
      <c r="L100" s="22"/>
      <c r="M100" s="22"/>
      <c r="N100" s="25" t="str">
        <f>HYPERLINK("http://slimages.macys.com/is/image/MCY/19836540 ")</f>
        <v xml:space="preserve">http://slimages.macys.com/is/image/MCY/19836540 </v>
      </c>
    </row>
    <row r="101" spans="1:14" ht="24.75" x14ac:dyDescent="0.25">
      <c r="A101" s="21" t="s">
        <v>16197</v>
      </c>
      <c r="B101" s="22" t="s">
        <v>16198</v>
      </c>
      <c r="C101" s="2">
        <v>32</v>
      </c>
      <c r="D101" s="23">
        <v>13.99</v>
      </c>
      <c r="E101" s="3">
        <v>447.68</v>
      </c>
      <c r="F101" s="2" t="s">
        <v>16199</v>
      </c>
      <c r="G101" s="22" t="s">
        <v>18439</v>
      </c>
      <c r="H101" s="24"/>
      <c r="I101" s="22" t="s">
        <v>19309</v>
      </c>
      <c r="J101" s="22" t="s">
        <v>19573</v>
      </c>
      <c r="K101" s="22" t="s">
        <v>19574</v>
      </c>
      <c r="L101" s="22"/>
      <c r="M101" s="22"/>
      <c r="N101" s="25" t="str">
        <f>HYPERLINK("http://slimages.macys.com/is/image/MCY/20757807 ")</f>
        <v xml:space="preserve">http://slimages.macys.com/is/image/MCY/20757807 </v>
      </c>
    </row>
    <row r="102" spans="1:14" ht="24.75" x14ac:dyDescent="0.25">
      <c r="A102" s="21" t="s">
        <v>10648</v>
      </c>
      <c r="B102" s="22" t="s">
        <v>10649</v>
      </c>
      <c r="C102" s="2">
        <v>34</v>
      </c>
      <c r="D102" s="23">
        <v>13.99</v>
      </c>
      <c r="E102" s="3">
        <v>475.66</v>
      </c>
      <c r="F102" s="2" t="s">
        <v>16199</v>
      </c>
      <c r="G102" s="22" t="s">
        <v>18439</v>
      </c>
      <c r="H102" s="24" t="s">
        <v>19538</v>
      </c>
      <c r="I102" s="22" t="s">
        <v>19309</v>
      </c>
      <c r="J102" s="22" t="s">
        <v>19573</v>
      </c>
      <c r="K102" s="22" t="s">
        <v>19574</v>
      </c>
      <c r="L102" s="22"/>
      <c r="M102" s="22"/>
      <c r="N102" s="25" t="str">
        <f>HYPERLINK("http://slimages.macys.com/is/image/MCY/20757807 ")</f>
        <v xml:space="preserve">http://slimages.macys.com/is/image/MCY/20757807 </v>
      </c>
    </row>
    <row r="103" spans="1:14" ht="24.75" x14ac:dyDescent="0.25">
      <c r="A103" s="21" t="s">
        <v>16200</v>
      </c>
      <c r="B103" s="22" t="s">
        <v>16201</v>
      </c>
      <c r="C103" s="2">
        <v>27</v>
      </c>
      <c r="D103" s="23">
        <v>13.99</v>
      </c>
      <c r="E103" s="3">
        <v>377.73</v>
      </c>
      <c r="F103" s="2" t="s">
        <v>16199</v>
      </c>
      <c r="G103" s="22" t="s">
        <v>18439</v>
      </c>
      <c r="H103" s="24" t="s">
        <v>19384</v>
      </c>
      <c r="I103" s="22" t="s">
        <v>19309</v>
      </c>
      <c r="J103" s="22" t="s">
        <v>19573</v>
      </c>
      <c r="K103" s="22" t="s">
        <v>19574</v>
      </c>
      <c r="L103" s="22"/>
      <c r="M103" s="22"/>
      <c r="N103" s="25" t="str">
        <f>HYPERLINK("http://slimages.macys.com/is/image/MCY/20757807 ")</f>
        <v xml:space="preserve">http://slimages.macys.com/is/image/MCY/20757807 </v>
      </c>
    </row>
    <row r="104" spans="1:14" x14ac:dyDescent="0.25">
      <c r="A104" s="21" t="s">
        <v>9592</v>
      </c>
      <c r="B104" s="22" t="s">
        <v>9593</v>
      </c>
      <c r="C104" s="2">
        <v>1</v>
      </c>
      <c r="D104" s="23">
        <v>22</v>
      </c>
      <c r="E104" s="3">
        <v>22</v>
      </c>
      <c r="F104" s="2" t="s">
        <v>9594</v>
      </c>
      <c r="G104" s="22" t="s">
        <v>17567</v>
      </c>
      <c r="H104" s="24" t="s">
        <v>19324</v>
      </c>
      <c r="I104" s="22" t="s">
        <v>19309</v>
      </c>
      <c r="J104" s="22" t="s">
        <v>19708</v>
      </c>
      <c r="K104" s="22" t="s">
        <v>19709</v>
      </c>
      <c r="L104" s="22"/>
      <c r="M104" s="22"/>
      <c r="N104" s="25" t="str">
        <f>HYPERLINK("http://slimages.macys.com/is/image/MCY/21836563 ")</f>
        <v xml:space="preserve">http://slimages.macys.com/is/image/MCY/21836563 </v>
      </c>
    </row>
    <row r="105" spans="1:14" ht="24.75" x14ac:dyDescent="0.25">
      <c r="A105" s="21" t="s">
        <v>9595</v>
      </c>
      <c r="B105" s="22" t="s">
        <v>9596</v>
      </c>
      <c r="C105" s="2">
        <v>1</v>
      </c>
      <c r="D105" s="23">
        <v>8.99</v>
      </c>
      <c r="E105" s="3">
        <v>8.99</v>
      </c>
      <c r="F105" s="2" t="s">
        <v>9597</v>
      </c>
      <c r="G105" s="22" t="s">
        <v>19635</v>
      </c>
      <c r="H105" s="24" t="s">
        <v>19364</v>
      </c>
      <c r="I105" s="22" t="s">
        <v>19309</v>
      </c>
      <c r="J105" s="22" t="s">
        <v>19310</v>
      </c>
      <c r="K105" s="22" t="s">
        <v>19873</v>
      </c>
      <c r="L105" s="22"/>
      <c r="M105" s="22"/>
      <c r="N105" s="25" t="str">
        <f>HYPERLINK("http://slimages.macys.com/is/image/MCY/19513582 ")</f>
        <v xml:space="preserve">http://slimages.macys.com/is/image/MCY/19513582 </v>
      </c>
    </row>
    <row r="106" spans="1:14" ht="24.75" x14ac:dyDescent="0.25">
      <c r="A106" s="21" t="s">
        <v>9598</v>
      </c>
      <c r="B106" s="22" t="s">
        <v>9599</v>
      </c>
      <c r="C106" s="2">
        <v>1</v>
      </c>
      <c r="D106" s="23">
        <v>14.99</v>
      </c>
      <c r="E106" s="3">
        <v>14.99</v>
      </c>
      <c r="F106" s="2" t="s">
        <v>9600</v>
      </c>
      <c r="G106" s="22" t="s">
        <v>18073</v>
      </c>
      <c r="H106" s="24" t="s">
        <v>11751</v>
      </c>
      <c r="I106" s="22" t="s">
        <v>19309</v>
      </c>
      <c r="J106" s="22" t="s">
        <v>19595</v>
      </c>
      <c r="K106" s="22" t="s">
        <v>9601</v>
      </c>
      <c r="L106" s="22"/>
      <c r="M106" s="22"/>
      <c r="N106" s="25" t="str">
        <f>HYPERLINK("http://slimages.macys.com/is/image/MCY/20672620 ")</f>
        <v xml:space="preserve">http://slimages.macys.com/is/image/MCY/20672620 </v>
      </c>
    </row>
    <row r="107" spans="1:14" ht="24.75" x14ac:dyDescent="0.25">
      <c r="A107" s="21" t="s">
        <v>9602</v>
      </c>
      <c r="B107" s="22" t="s">
        <v>9603</v>
      </c>
      <c r="C107" s="2">
        <v>17</v>
      </c>
      <c r="D107" s="23">
        <v>13.99</v>
      </c>
      <c r="E107" s="3">
        <v>237.83</v>
      </c>
      <c r="F107" s="2" t="s">
        <v>9604</v>
      </c>
      <c r="G107" s="22" t="s">
        <v>19618</v>
      </c>
      <c r="H107" s="24" t="s">
        <v>19330</v>
      </c>
      <c r="I107" s="22" t="s">
        <v>19309</v>
      </c>
      <c r="J107" s="22" t="s">
        <v>19573</v>
      </c>
      <c r="K107" s="22" t="s">
        <v>19574</v>
      </c>
      <c r="L107" s="22"/>
      <c r="M107" s="22"/>
      <c r="N107" s="25" t="str">
        <f>HYPERLINK("http://slimages.macys.com/is/image/MCY/1554881 ")</f>
        <v xml:space="preserve">http://slimages.macys.com/is/image/MCY/1554881 </v>
      </c>
    </row>
    <row r="108" spans="1:14" ht="24.75" x14ac:dyDescent="0.25">
      <c r="A108" s="21" t="s">
        <v>16531</v>
      </c>
      <c r="B108" s="22" t="s">
        <v>16532</v>
      </c>
      <c r="C108" s="2">
        <v>27</v>
      </c>
      <c r="D108" s="23">
        <v>13.99</v>
      </c>
      <c r="E108" s="3">
        <v>377.73</v>
      </c>
      <c r="F108" s="2" t="s">
        <v>18551</v>
      </c>
      <c r="G108" s="22" t="s">
        <v>19467</v>
      </c>
      <c r="H108" s="24" t="s">
        <v>19324</v>
      </c>
      <c r="I108" s="22" t="s">
        <v>19309</v>
      </c>
      <c r="J108" s="22" t="s">
        <v>19573</v>
      </c>
      <c r="K108" s="22" t="s">
        <v>19574</v>
      </c>
      <c r="L108" s="22"/>
      <c r="M108" s="22"/>
      <c r="N108" s="25" t="str">
        <f>HYPERLINK("http://slimages.macys.com/is/image/MCY/21361645 ")</f>
        <v xml:space="preserve">http://slimages.macys.com/is/image/MCY/21361645 </v>
      </c>
    </row>
    <row r="109" spans="1:14" ht="24.75" x14ac:dyDescent="0.25">
      <c r="A109" s="21" t="s">
        <v>9605</v>
      </c>
      <c r="B109" s="22" t="s">
        <v>9606</v>
      </c>
      <c r="C109" s="2">
        <v>1</v>
      </c>
      <c r="D109" s="23">
        <v>8.99</v>
      </c>
      <c r="E109" s="3">
        <v>8.99</v>
      </c>
      <c r="F109" s="2" t="s">
        <v>16637</v>
      </c>
      <c r="G109" s="22" t="s">
        <v>19713</v>
      </c>
      <c r="H109" s="24" t="s">
        <v>19352</v>
      </c>
      <c r="I109" s="22" t="s">
        <v>19309</v>
      </c>
      <c r="J109" s="22" t="s">
        <v>19815</v>
      </c>
      <c r="K109" s="22" t="s">
        <v>19816</v>
      </c>
      <c r="L109" s="22"/>
      <c r="M109" s="22"/>
      <c r="N109" s="25" t="str">
        <f>HYPERLINK("http://slimages.macys.com/is/image/MCY/21769912 ")</f>
        <v xml:space="preserve">http://slimages.macys.com/is/image/MCY/21769912 </v>
      </c>
    </row>
    <row r="110" spans="1:14" x14ac:dyDescent="0.25">
      <c r="A110" s="21" t="s">
        <v>9607</v>
      </c>
      <c r="B110" s="22" t="s">
        <v>9608</v>
      </c>
      <c r="C110" s="2">
        <v>8</v>
      </c>
      <c r="D110" s="23">
        <v>13.51</v>
      </c>
      <c r="E110" s="3">
        <v>108.08</v>
      </c>
      <c r="F110" s="2" t="s">
        <v>9609</v>
      </c>
      <c r="G110" s="22"/>
      <c r="H110" s="24" t="s">
        <v>19330</v>
      </c>
      <c r="I110" s="22" t="s">
        <v>19309</v>
      </c>
      <c r="J110" s="22" t="s">
        <v>19708</v>
      </c>
      <c r="K110" s="22" t="s">
        <v>19754</v>
      </c>
      <c r="L110" s="22"/>
      <c r="M110" s="22"/>
      <c r="N110" s="25" t="str">
        <f>HYPERLINK("http://slimages.macys.com/is/image/MCY/19917053 ")</f>
        <v xml:space="preserve">http://slimages.macys.com/is/image/MCY/19917053 </v>
      </c>
    </row>
    <row r="111" spans="1:14" ht="24.75" x14ac:dyDescent="0.25">
      <c r="A111" s="21" t="s">
        <v>16600</v>
      </c>
      <c r="B111" s="22" t="s">
        <v>16601</v>
      </c>
      <c r="C111" s="2">
        <v>18</v>
      </c>
      <c r="D111" s="23">
        <v>10.91</v>
      </c>
      <c r="E111" s="3">
        <v>196.38</v>
      </c>
      <c r="F111" s="2" t="s">
        <v>16602</v>
      </c>
      <c r="G111" s="22" t="s">
        <v>19357</v>
      </c>
      <c r="H111" s="24" t="s">
        <v>19334</v>
      </c>
      <c r="I111" s="22" t="s">
        <v>19309</v>
      </c>
      <c r="J111" s="22" t="s">
        <v>19602</v>
      </c>
      <c r="K111" s="22" t="s">
        <v>20041</v>
      </c>
      <c r="L111" s="22"/>
      <c r="M111" s="22"/>
      <c r="N111" s="25" t="str">
        <f>HYPERLINK("http://slimages.macys.com/is/image/MCY/21723141 ")</f>
        <v xml:space="preserve">http://slimages.macys.com/is/image/MCY/21723141 </v>
      </c>
    </row>
    <row r="112" spans="1:14" ht="24.75" x14ac:dyDescent="0.25">
      <c r="A112" s="21" t="s">
        <v>9610</v>
      </c>
      <c r="B112" s="22" t="s">
        <v>9611</v>
      </c>
      <c r="C112" s="2">
        <v>17</v>
      </c>
      <c r="D112" s="23">
        <v>10.91</v>
      </c>
      <c r="E112" s="3">
        <v>185.47</v>
      </c>
      <c r="F112" s="2" t="s">
        <v>9612</v>
      </c>
      <c r="G112" s="22" t="s">
        <v>19635</v>
      </c>
      <c r="H112" s="24" t="s">
        <v>19334</v>
      </c>
      <c r="I112" s="22" t="s">
        <v>19309</v>
      </c>
      <c r="J112" s="22" t="s">
        <v>19602</v>
      </c>
      <c r="K112" s="22" t="s">
        <v>20041</v>
      </c>
      <c r="L112" s="22"/>
      <c r="M112" s="22"/>
      <c r="N112" s="25" t="str">
        <f>HYPERLINK("http://slimages.macys.com/is/image/MCY/21669854 ")</f>
        <v xml:space="preserve">http://slimages.macys.com/is/image/MCY/21669854 </v>
      </c>
    </row>
    <row r="113" spans="1:14" ht="24.75" x14ac:dyDescent="0.25">
      <c r="A113" s="21" t="s">
        <v>9613</v>
      </c>
      <c r="B113" s="22" t="s">
        <v>9614</v>
      </c>
      <c r="C113" s="2">
        <v>2</v>
      </c>
      <c r="D113" s="23">
        <v>10.91</v>
      </c>
      <c r="E113" s="3">
        <v>21.82</v>
      </c>
      <c r="F113" s="2" t="s">
        <v>16276</v>
      </c>
      <c r="G113" s="22" t="s">
        <v>19357</v>
      </c>
      <c r="H113" s="24" t="s">
        <v>19345</v>
      </c>
      <c r="I113" s="22" t="s">
        <v>19309</v>
      </c>
      <c r="J113" s="22" t="s">
        <v>19602</v>
      </c>
      <c r="K113" s="22" t="s">
        <v>20041</v>
      </c>
      <c r="L113" s="22"/>
      <c r="M113" s="22"/>
      <c r="N113" s="25" t="str">
        <f>HYPERLINK("http://slimages.macys.com/is/image/MCY/21669854 ")</f>
        <v xml:space="preserve">http://slimages.macys.com/is/image/MCY/21669854 </v>
      </c>
    </row>
    <row r="114" spans="1:14" ht="24.75" x14ac:dyDescent="0.25">
      <c r="A114" s="21" t="s">
        <v>9615</v>
      </c>
      <c r="B114" s="22" t="s">
        <v>9616</v>
      </c>
      <c r="C114" s="2">
        <v>42</v>
      </c>
      <c r="D114" s="23">
        <v>10.91</v>
      </c>
      <c r="E114" s="3">
        <v>458.22</v>
      </c>
      <c r="F114" s="2" t="s">
        <v>16279</v>
      </c>
      <c r="G114" s="22" t="s">
        <v>19351</v>
      </c>
      <c r="H114" s="24" t="s">
        <v>19334</v>
      </c>
      <c r="I114" s="22" t="s">
        <v>19309</v>
      </c>
      <c r="J114" s="22" t="s">
        <v>19602</v>
      </c>
      <c r="K114" s="22" t="s">
        <v>20041</v>
      </c>
      <c r="L114" s="22"/>
      <c r="M114" s="22"/>
      <c r="N114" s="25" t="str">
        <f>HYPERLINK("http://slimages.macys.com/is/image/MCY/21669854 ")</f>
        <v xml:space="preserve">http://slimages.macys.com/is/image/MCY/21669854 </v>
      </c>
    </row>
    <row r="115" spans="1:14" x14ac:dyDescent="0.25">
      <c r="A115" s="21" t="s">
        <v>9617</v>
      </c>
      <c r="B115" s="22" t="s">
        <v>9618</v>
      </c>
      <c r="C115" s="2">
        <v>5</v>
      </c>
      <c r="D115" s="23">
        <v>18</v>
      </c>
      <c r="E115" s="3">
        <v>90</v>
      </c>
      <c r="F115" s="2" t="s">
        <v>11217</v>
      </c>
      <c r="G115" s="22" t="s">
        <v>19431</v>
      </c>
      <c r="H115" s="24" t="s">
        <v>19324</v>
      </c>
      <c r="I115" s="22" t="s">
        <v>19309</v>
      </c>
      <c r="J115" s="22" t="s">
        <v>19708</v>
      </c>
      <c r="K115" s="22" t="s">
        <v>19709</v>
      </c>
      <c r="L115" s="22"/>
      <c r="M115" s="22"/>
      <c r="N115" s="25" t="str">
        <f>HYPERLINK("http://slimages.macys.com/is/image/MCY/21726788 ")</f>
        <v xml:space="preserve">http://slimages.macys.com/is/image/MCY/21726788 </v>
      </c>
    </row>
    <row r="116" spans="1:14" x14ac:dyDescent="0.25">
      <c r="A116" s="21" t="s">
        <v>16633</v>
      </c>
      <c r="B116" s="22" t="s">
        <v>16634</v>
      </c>
      <c r="C116" s="2">
        <v>10</v>
      </c>
      <c r="D116" s="23">
        <v>16.989999999999998</v>
      </c>
      <c r="E116" s="3">
        <v>169.9</v>
      </c>
      <c r="F116" s="2" t="s">
        <v>18666</v>
      </c>
      <c r="G116" s="22" t="s">
        <v>19477</v>
      </c>
      <c r="H116" s="24" t="s">
        <v>19797</v>
      </c>
      <c r="I116" s="22" t="s">
        <v>19309</v>
      </c>
      <c r="J116" s="22" t="s">
        <v>19849</v>
      </c>
      <c r="K116" s="22" t="s">
        <v>19850</v>
      </c>
      <c r="L116" s="22"/>
      <c r="M116" s="22"/>
      <c r="N116" s="25" t="str">
        <f>HYPERLINK("http://slimages.macys.com/is/image/MCY/20549559 ")</f>
        <v xml:space="preserve">http://slimages.macys.com/is/image/MCY/20549559 </v>
      </c>
    </row>
    <row r="117" spans="1:14" x14ac:dyDescent="0.25">
      <c r="A117" s="21" t="s">
        <v>9619</v>
      </c>
      <c r="B117" s="22" t="s">
        <v>9620</v>
      </c>
      <c r="C117" s="2">
        <v>54</v>
      </c>
      <c r="D117" s="23">
        <v>24</v>
      </c>
      <c r="E117" s="3">
        <v>1296</v>
      </c>
      <c r="F117" s="2" t="s">
        <v>11107</v>
      </c>
      <c r="G117" s="22" t="s">
        <v>19357</v>
      </c>
      <c r="H117" s="24" t="s">
        <v>19538</v>
      </c>
      <c r="I117" s="22" t="s">
        <v>19309</v>
      </c>
      <c r="J117" s="22" t="s">
        <v>19417</v>
      </c>
      <c r="K117" s="22" t="s">
        <v>18317</v>
      </c>
      <c r="L117" s="22"/>
      <c r="M117" s="22"/>
      <c r="N117" s="25" t="str">
        <f>HYPERLINK("http://slimages.macys.com/is/image/MCY/21614962 ")</f>
        <v xml:space="preserve">http://slimages.macys.com/is/image/MCY/21614962 </v>
      </c>
    </row>
    <row r="118" spans="1:14" ht="24.75" x14ac:dyDescent="0.25">
      <c r="A118" s="21" t="s">
        <v>16314</v>
      </c>
      <c r="B118" s="22" t="s">
        <v>16315</v>
      </c>
      <c r="C118" s="2">
        <v>6</v>
      </c>
      <c r="D118" s="23">
        <v>18</v>
      </c>
      <c r="E118" s="3">
        <v>108</v>
      </c>
      <c r="F118" s="2" t="s">
        <v>16316</v>
      </c>
      <c r="G118" s="22" t="s">
        <v>19431</v>
      </c>
      <c r="H118" s="24"/>
      <c r="I118" s="22" t="s">
        <v>19309</v>
      </c>
      <c r="J118" s="22" t="s">
        <v>19417</v>
      </c>
      <c r="K118" s="22" t="s">
        <v>20110</v>
      </c>
      <c r="L118" s="22"/>
      <c r="M118" s="22"/>
      <c r="N118" s="25" t="str">
        <f>HYPERLINK("http://slimages.macys.com/is/image/MCY/21551781 ")</f>
        <v xml:space="preserve">http://slimages.macys.com/is/image/MCY/21551781 </v>
      </c>
    </row>
    <row r="119" spans="1:14" ht="24.75" x14ac:dyDescent="0.25">
      <c r="A119" s="21" t="s">
        <v>9621</v>
      </c>
      <c r="B119" s="22" t="s">
        <v>9622</v>
      </c>
      <c r="C119" s="2">
        <v>1</v>
      </c>
      <c r="D119" s="23">
        <v>7.99</v>
      </c>
      <c r="E119" s="3">
        <v>7.99</v>
      </c>
      <c r="F119" s="2" t="s">
        <v>9002</v>
      </c>
      <c r="G119" s="22" t="s">
        <v>20145</v>
      </c>
      <c r="H119" s="24" t="s">
        <v>19308</v>
      </c>
      <c r="I119" s="22" t="s">
        <v>19309</v>
      </c>
      <c r="J119" s="22" t="s">
        <v>19310</v>
      </c>
      <c r="K119" s="22" t="s">
        <v>19873</v>
      </c>
      <c r="L119" s="22"/>
      <c r="M119" s="22"/>
      <c r="N119" s="25" t="str">
        <f>HYPERLINK("http://slimages.macys.com/is/image/MCY/19705825 ")</f>
        <v xml:space="preserve">http://slimages.macys.com/is/image/MCY/19705825 </v>
      </c>
    </row>
    <row r="120" spans="1:14" ht="24.75" x14ac:dyDescent="0.25">
      <c r="A120" s="21" t="s">
        <v>9623</v>
      </c>
      <c r="B120" s="22" t="s">
        <v>9624</v>
      </c>
      <c r="C120" s="2">
        <v>1</v>
      </c>
      <c r="D120" s="23">
        <v>13.99</v>
      </c>
      <c r="E120" s="3">
        <v>13.99</v>
      </c>
      <c r="F120" s="2" t="s">
        <v>16688</v>
      </c>
      <c r="G120" s="22" t="s">
        <v>19518</v>
      </c>
      <c r="H120" s="24" t="s">
        <v>19416</v>
      </c>
      <c r="I120" s="22" t="s">
        <v>19309</v>
      </c>
      <c r="J120" s="22" t="s">
        <v>19573</v>
      </c>
      <c r="K120" s="22" t="s">
        <v>19574</v>
      </c>
      <c r="L120" s="22"/>
      <c r="M120" s="22"/>
      <c r="N120" s="25" t="str">
        <f>HYPERLINK("http://slimages.macys.com/is/image/MCY/21361108 ")</f>
        <v xml:space="preserve">http://slimages.macys.com/is/image/MCY/21361108 </v>
      </c>
    </row>
    <row r="121" spans="1:14" ht="24.75" x14ac:dyDescent="0.25">
      <c r="A121" s="21" t="s">
        <v>9625</v>
      </c>
      <c r="B121" s="22" t="s">
        <v>9626</v>
      </c>
      <c r="C121" s="2">
        <v>48</v>
      </c>
      <c r="D121" s="23">
        <v>13.99</v>
      </c>
      <c r="E121" s="3">
        <v>671.52</v>
      </c>
      <c r="F121" s="2" t="s">
        <v>16688</v>
      </c>
      <c r="G121" s="22" t="s">
        <v>19906</v>
      </c>
      <c r="H121" s="24" t="s">
        <v>19384</v>
      </c>
      <c r="I121" s="22" t="s">
        <v>19309</v>
      </c>
      <c r="J121" s="22" t="s">
        <v>19573</v>
      </c>
      <c r="K121" s="22" t="s">
        <v>19574</v>
      </c>
      <c r="L121" s="22"/>
      <c r="M121" s="22"/>
      <c r="N121" s="25" t="str">
        <f>HYPERLINK("http://slimages.macys.com/is/image/MCY/1554879 ")</f>
        <v xml:space="preserve">http://slimages.macys.com/is/image/MCY/1554879 </v>
      </c>
    </row>
    <row r="122" spans="1:14" ht="24.75" x14ac:dyDescent="0.25">
      <c r="A122" s="21" t="s">
        <v>9627</v>
      </c>
      <c r="B122" s="22" t="s">
        <v>9628</v>
      </c>
      <c r="C122" s="2">
        <v>20</v>
      </c>
      <c r="D122" s="23">
        <v>13.99</v>
      </c>
      <c r="E122" s="3">
        <v>279.8</v>
      </c>
      <c r="F122" s="2" t="s">
        <v>16688</v>
      </c>
      <c r="G122" s="22" t="s">
        <v>19518</v>
      </c>
      <c r="H122" s="24" t="s">
        <v>19324</v>
      </c>
      <c r="I122" s="22" t="s">
        <v>19309</v>
      </c>
      <c r="J122" s="22" t="s">
        <v>19573</v>
      </c>
      <c r="K122" s="22" t="s">
        <v>19574</v>
      </c>
      <c r="L122" s="22"/>
      <c r="M122" s="22"/>
      <c r="N122" s="25" t="str">
        <f>HYPERLINK("http://slimages.macys.com/is/image/MCY/1554876 ")</f>
        <v xml:space="preserve">http://slimages.macys.com/is/image/MCY/1554876 </v>
      </c>
    </row>
    <row r="123" spans="1:14" ht="24.75" x14ac:dyDescent="0.25">
      <c r="A123" s="21" t="s">
        <v>9629</v>
      </c>
      <c r="B123" s="22" t="s">
        <v>9630</v>
      </c>
      <c r="C123" s="2">
        <v>8</v>
      </c>
      <c r="D123" s="23">
        <v>10.99</v>
      </c>
      <c r="E123" s="3">
        <v>87.92</v>
      </c>
      <c r="F123" s="2" t="s">
        <v>13319</v>
      </c>
      <c r="G123" s="22" t="s">
        <v>19415</v>
      </c>
      <c r="H123" s="24" t="s">
        <v>19339</v>
      </c>
      <c r="I123" s="22" t="s">
        <v>19309</v>
      </c>
      <c r="J123" s="22" t="s">
        <v>19353</v>
      </c>
      <c r="K123" s="22" t="s">
        <v>19524</v>
      </c>
      <c r="L123" s="22"/>
      <c r="M123" s="22"/>
      <c r="N123" s="25" t="str">
        <f>HYPERLINK("http://slimages.macys.com/is/image/MCY/21083368 ")</f>
        <v xml:space="preserve">http://slimages.macys.com/is/image/MCY/21083368 </v>
      </c>
    </row>
    <row r="124" spans="1:14" ht="24.75" x14ac:dyDescent="0.25">
      <c r="A124" s="21" t="s">
        <v>9631</v>
      </c>
      <c r="B124" s="22" t="s">
        <v>9632</v>
      </c>
      <c r="C124" s="2">
        <v>33</v>
      </c>
      <c r="D124" s="23">
        <v>10.220000000000001</v>
      </c>
      <c r="E124" s="3">
        <v>337.26</v>
      </c>
      <c r="F124" s="2" t="s">
        <v>9633</v>
      </c>
      <c r="G124" s="22" t="s">
        <v>19467</v>
      </c>
      <c r="H124" s="24" t="s">
        <v>19345</v>
      </c>
      <c r="I124" s="22" t="s">
        <v>19309</v>
      </c>
      <c r="J124" s="22" t="s">
        <v>19602</v>
      </c>
      <c r="K124" s="22" t="s">
        <v>20041</v>
      </c>
      <c r="L124" s="22"/>
      <c r="M124" s="22"/>
      <c r="N124" s="25" t="str">
        <f>HYPERLINK("http://slimages.macys.com/is/image/MCY/19847031 ")</f>
        <v xml:space="preserve">http://slimages.macys.com/is/image/MCY/19847031 </v>
      </c>
    </row>
    <row r="125" spans="1:14" x14ac:dyDescent="0.25">
      <c r="A125" s="21" t="s">
        <v>9634</v>
      </c>
      <c r="B125" s="22" t="s">
        <v>9635</v>
      </c>
      <c r="C125" s="2">
        <v>1</v>
      </c>
      <c r="D125" s="23">
        <v>9.99</v>
      </c>
      <c r="E125" s="3">
        <v>9.99</v>
      </c>
      <c r="F125" s="2" t="s">
        <v>16361</v>
      </c>
      <c r="G125" s="22" t="s">
        <v>19477</v>
      </c>
      <c r="H125" s="24" t="s">
        <v>19339</v>
      </c>
      <c r="I125" s="22" t="s">
        <v>19309</v>
      </c>
      <c r="J125" s="22" t="s">
        <v>19849</v>
      </c>
      <c r="K125" s="22" t="s">
        <v>19850</v>
      </c>
      <c r="L125" s="22"/>
      <c r="M125" s="22"/>
      <c r="N125" s="25" t="str">
        <f>HYPERLINK("http://slimages.macys.com/is/image/MCY/21309273 ")</f>
        <v xml:space="preserve">http://slimages.macys.com/is/image/MCY/21309273 </v>
      </c>
    </row>
    <row r="126" spans="1:14" ht="24.75" x14ac:dyDescent="0.25">
      <c r="A126" s="21" t="s">
        <v>9028</v>
      </c>
      <c r="B126" s="22" t="s">
        <v>9029</v>
      </c>
      <c r="C126" s="2">
        <v>3</v>
      </c>
      <c r="D126" s="23">
        <v>9.99</v>
      </c>
      <c r="E126" s="3">
        <v>29.97</v>
      </c>
      <c r="F126" s="2" t="s">
        <v>16716</v>
      </c>
      <c r="G126" s="22" t="s">
        <v>19357</v>
      </c>
      <c r="H126" s="24" t="s">
        <v>19542</v>
      </c>
      <c r="I126" s="22" t="s">
        <v>19309</v>
      </c>
      <c r="J126" s="22" t="s">
        <v>19908</v>
      </c>
      <c r="K126" s="22" t="s">
        <v>19524</v>
      </c>
      <c r="L126" s="22"/>
      <c r="M126" s="22"/>
      <c r="N126" s="25" t="str">
        <f>HYPERLINK("http://slimages.macys.com/is/image/MCY/21727207 ")</f>
        <v xml:space="preserve">http://slimages.macys.com/is/image/MCY/21727207 </v>
      </c>
    </row>
    <row r="127" spans="1:14" ht="24.75" x14ac:dyDescent="0.25">
      <c r="A127" s="21" t="s">
        <v>9636</v>
      </c>
      <c r="B127" s="22" t="s">
        <v>9637</v>
      </c>
      <c r="C127" s="2">
        <v>15</v>
      </c>
      <c r="D127" s="23">
        <v>11.99</v>
      </c>
      <c r="E127" s="3">
        <v>179.85</v>
      </c>
      <c r="F127" s="2">
        <v>4217</v>
      </c>
      <c r="G127" s="22" t="s">
        <v>19351</v>
      </c>
      <c r="H127" s="24" t="s">
        <v>19352</v>
      </c>
      <c r="I127" s="22" t="s">
        <v>19309</v>
      </c>
      <c r="J127" s="22" t="s">
        <v>20076</v>
      </c>
      <c r="K127" s="22" t="s">
        <v>20077</v>
      </c>
      <c r="L127" s="22" t="s">
        <v>19319</v>
      </c>
      <c r="M127" s="22" t="s">
        <v>19209</v>
      </c>
      <c r="N127" s="25" t="str">
        <f>HYPERLINK("http://slimages.macys.com/is/image/MCY/13050192 ")</f>
        <v xml:space="preserve">http://slimages.macys.com/is/image/MCY/13050192 </v>
      </c>
    </row>
    <row r="128" spans="1:14" ht="24.75" x14ac:dyDescent="0.25">
      <c r="A128" s="21" t="s">
        <v>11113</v>
      </c>
      <c r="B128" s="22" t="s">
        <v>11114</v>
      </c>
      <c r="C128" s="2">
        <v>16</v>
      </c>
      <c r="D128" s="23">
        <v>8.31</v>
      </c>
      <c r="E128" s="3">
        <v>132.96</v>
      </c>
      <c r="F128" s="2" t="s">
        <v>11115</v>
      </c>
      <c r="G128" s="22" t="s">
        <v>19431</v>
      </c>
      <c r="H128" s="24" t="s">
        <v>19308</v>
      </c>
      <c r="I128" s="22" t="s">
        <v>19309</v>
      </c>
      <c r="J128" s="22" t="s">
        <v>19565</v>
      </c>
      <c r="K128" s="22" t="s">
        <v>18514</v>
      </c>
      <c r="L128" s="22"/>
      <c r="M128" s="22"/>
      <c r="N128" s="25" t="str">
        <f>HYPERLINK("http://slimages.macys.com/is/image/MCY/21901987 ")</f>
        <v xml:space="preserve">http://slimages.macys.com/is/image/MCY/21901987 </v>
      </c>
    </row>
    <row r="129" spans="1:14" ht="24.75" x14ac:dyDescent="0.25">
      <c r="A129" s="21" t="s">
        <v>9638</v>
      </c>
      <c r="B129" s="22" t="s">
        <v>9639</v>
      </c>
      <c r="C129" s="2">
        <v>14</v>
      </c>
      <c r="D129" s="23">
        <v>8.31</v>
      </c>
      <c r="E129" s="3">
        <v>116.34</v>
      </c>
      <c r="F129" s="2" t="s">
        <v>11115</v>
      </c>
      <c r="G129" s="22" t="s">
        <v>19431</v>
      </c>
      <c r="H129" s="24" t="s">
        <v>19339</v>
      </c>
      <c r="I129" s="22" t="s">
        <v>19309</v>
      </c>
      <c r="J129" s="22" t="s">
        <v>19565</v>
      </c>
      <c r="K129" s="22" t="s">
        <v>18514</v>
      </c>
      <c r="L129" s="22"/>
      <c r="M129" s="22"/>
      <c r="N129" s="25" t="str">
        <f>HYPERLINK("http://slimages.macys.com/is/image/MCY/21901987 ")</f>
        <v xml:space="preserve">http://slimages.macys.com/is/image/MCY/21901987 </v>
      </c>
    </row>
    <row r="130" spans="1:14" x14ac:dyDescent="0.25">
      <c r="A130" s="21" t="s">
        <v>9640</v>
      </c>
      <c r="B130" s="22" t="s">
        <v>9641</v>
      </c>
      <c r="C130" s="2">
        <v>1</v>
      </c>
      <c r="D130" s="23">
        <v>16</v>
      </c>
      <c r="E130" s="3">
        <v>16</v>
      </c>
      <c r="F130" s="2" t="s">
        <v>9642</v>
      </c>
      <c r="G130" s="22" t="s">
        <v>19383</v>
      </c>
      <c r="H130" s="24" t="s">
        <v>19770</v>
      </c>
      <c r="I130" s="22" t="s">
        <v>19309</v>
      </c>
      <c r="J130" s="22" t="s">
        <v>19417</v>
      </c>
      <c r="K130" s="22" t="s">
        <v>20110</v>
      </c>
      <c r="L130" s="22"/>
      <c r="M130" s="22"/>
      <c r="N130" s="25" t="str">
        <f>HYPERLINK("http://slimages.macys.com/is/image/MCY/18844935 ")</f>
        <v xml:space="preserve">http://slimages.macys.com/is/image/MCY/18844935 </v>
      </c>
    </row>
    <row r="131" spans="1:14" ht="24.75" x14ac:dyDescent="0.25">
      <c r="A131" s="21" t="s">
        <v>9643</v>
      </c>
      <c r="B131" s="22" t="s">
        <v>9644</v>
      </c>
      <c r="C131" s="2">
        <v>24</v>
      </c>
      <c r="D131" s="23">
        <v>11.99</v>
      </c>
      <c r="E131" s="3">
        <v>287.76</v>
      </c>
      <c r="F131" s="2">
        <v>4217</v>
      </c>
      <c r="G131" s="22" t="s">
        <v>19422</v>
      </c>
      <c r="H131" s="24" t="s">
        <v>19339</v>
      </c>
      <c r="I131" s="22" t="s">
        <v>19309</v>
      </c>
      <c r="J131" s="22" t="s">
        <v>20076</v>
      </c>
      <c r="K131" s="22" t="s">
        <v>20077</v>
      </c>
      <c r="L131" s="22" t="s">
        <v>19319</v>
      </c>
      <c r="M131" s="22" t="s">
        <v>19209</v>
      </c>
      <c r="N131" s="25" t="str">
        <f>HYPERLINK("http://slimages.macys.com/is/image/MCY/13050192 ")</f>
        <v xml:space="preserve">http://slimages.macys.com/is/image/MCY/13050192 </v>
      </c>
    </row>
    <row r="132" spans="1:14" ht="24.75" x14ac:dyDescent="0.25">
      <c r="A132" s="21" t="s">
        <v>9645</v>
      </c>
      <c r="B132" s="22" t="s">
        <v>9646</v>
      </c>
      <c r="C132" s="2">
        <v>4</v>
      </c>
      <c r="D132" s="23">
        <v>11.99</v>
      </c>
      <c r="E132" s="3">
        <v>47.96</v>
      </c>
      <c r="F132" s="2">
        <v>4217</v>
      </c>
      <c r="G132" s="22" t="s">
        <v>19422</v>
      </c>
      <c r="H132" s="24" t="s">
        <v>19797</v>
      </c>
      <c r="I132" s="22" t="s">
        <v>19309</v>
      </c>
      <c r="J132" s="22" t="s">
        <v>20076</v>
      </c>
      <c r="K132" s="22" t="s">
        <v>20077</v>
      </c>
      <c r="L132" s="22" t="s">
        <v>19319</v>
      </c>
      <c r="M132" s="22" t="s">
        <v>19209</v>
      </c>
      <c r="N132" s="25" t="str">
        <f>HYPERLINK("http://slimages.macys.com/is/image/MCY/13050192 ")</f>
        <v xml:space="preserve">http://slimages.macys.com/is/image/MCY/13050192 </v>
      </c>
    </row>
    <row r="133" spans="1:14" x14ac:dyDescent="0.25">
      <c r="A133" s="21" t="s">
        <v>9647</v>
      </c>
      <c r="B133" s="22" t="s">
        <v>9648</v>
      </c>
      <c r="C133" s="2">
        <v>18</v>
      </c>
      <c r="D133" s="23">
        <v>9.99</v>
      </c>
      <c r="E133" s="3">
        <v>179.82</v>
      </c>
      <c r="F133" s="2" t="s">
        <v>18895</v>
      </c>
      <c r="G133" s="22" t="s">
        <v>19462</v>
      </c>
      <c r="H133" s="24" t="s">
        <v>19542</v>
      </c>
      <c r="I133" s="22" t="s">
        <v>19309</v>
      </c>
      <c r="J133" s="22" t="s">
        <v>19849</v>
      </c>
      <c r="K133" s="22" t="s">
        <v>19850</v>
      </c>
      <c r="L133" s="22"/>
      <c r="M133" s="22"/>
      <c r="N133" s="25" t="str">
        <f>HYPERLINK("http://slimages.macys.com/is/image/MCY/21251249 ")</f>
        <v xml:space="preserve">http://slimages.macys.com/is/image/MCY/21251249 </v>
      </c>
    </row>
    <row r="134" spans="1:14" ht="24.75" x14ac:dyDescent="0.25">
      <c r="A134" s="21" t="s">
        <v>9649</v>
      </c>
      <c r="B134" s="22" t="s">
        <v>9650</v>
      </c>
      <c r="C134" s="2">
        <v>1</v>
      </c>
      <c r="D134" s="23">
        <v>7.99</v>
      </c>
      <c r="E134" s="3">
        <v>7.99</v>
      </c>
      <c r="F134" s="2" t="s">
        <v>13410</v>
      </c>
      <c r="G134" s="22" t="s">
        <v>19351</v>
      </c>
      <c r="H134" s="24" t="s">
        <v>19392</v>
      </c>
      <c r="I134" s="22" t="s">
        <v>19309</v>
      </c>
      <c r="J134" s="22" t="s">
        <v>19454</v>
      </c>
      <c r="K134" s="22" t="s">
        <v>19524</v>
      </c>
      <c r="L134" s="22"/>
      <c r="M134" s="22"/>
      <c r="N134" s="25" t="str">
        <f>HYPERLINK("http://slimages.macys.com/is/image/MCY/20665865 ")</f>
        <v xml:space="preserve">http://slimages.macys.com/is/image/MCY/20665865 </v>
      </c>
    </row>
    <row r="135" spans="1:14" ht="24.75" x14ac:dyDescent="0.25">
      <c r="A135" s="21" t="s">
        <v>9651</v>
      </c>
      <c r="B135" s="22" t="s">
        <v>9652</v>
      </c>
      <c r="C135" s="2">
        <v>6</v>
      </c>
      <c r="D135" s="23">
        <v>6.99</v>
      </c>
      <c r="E135" s="3">
        <v>41.94</v>
      </c>
      <c r="F135" s="2" t="s">
        <v>9653</v>
      </c>
      <c r="G135" s="22" t="s">
        <v>19315</v>
      </c>
      <c r="H135" s="24" t="s">
        <v>19339</v>
      </c>
      <c r="I135" s="22" t="s">
        <v>19309</v>
      </c>
      <c r="J135" s="22" t="s">
        <v>19454</v>
      </c>
      <c r="K135" s="22" t="s">
        <v>18654</v>
      </c>
      <c r="L135" s="22"/>
      <c r="M135" s="22"/>
      <c r="N135" s="25" t="str">
        <f>HYPERLINK("http://slimages.macys.com/is/image/MCY/19254520 ")</f>
        <v xml:space="preserve">http://slimages.macys.com/is/image/MCY/19254520 </v>
      </c>
    </row>
    <row r="136" spans="1:14" ht="24.75" x14ac:dyDescent="0.25">
      <c r="A136" s="21" t="s">
        <v>9654</v>
      </c>
      <c r="B136" s="22" t="s">
        <v>9655</v>
      </c>
      <c r="C136" s="2">
        <v>1</v>
      </c>
      <c r="D136" s="23">
        <v>8.99</v>
      </c>
      <c r="E136" s="3">
        <v>8.99</v>
      </c>
      <c r="F136" s="2" t="s">
        <v>9656</v>
      </c>
      <c r="G136" s="22" t="s">
        <v>19315</v>
      </c>
      <c r="H136" s="24" t="s">
        <v>19538</v>
      </c>
      <c r="I136" s="22" t="s">
        <v>19309</v>
      </c>
      <c r="J136" s="22" t="s">
        <v>19573</v>
      </c>
      <c r="K136" s="22" t="s">
        <v>19574</v>
      </c>
      <c r="L136" s="22"/>
      <c r="M136" s="22"/>
      <c r="N136" s="25" t="str">
        <f>HYPERLINK("http://slimages.macys.com/is/image/MCY/1537013 ")</f>
        <v xml:space="preserve">http://slimages.macys.com/is/image/MCY/1537013 </v>
      </c>
    </row>
    <row r="137" spans="1:14" x14ac:dyDescent="0.25">
      <c r="A137" s="21" t="s">
        <v>9657</v>
      </c>
      <c r="B137" s="22" t="s">
        <v>9658</v>
      </c>
      <c r="C137" s="2">
        <v>16</v>
      </c>
      <c r="D137" s="23">
        <v>12</v>
      </c>
      <c r="E137" s="3">
        <v>192</v>
      </c>
      <c r="F137" s="2" t="s">
        <v>9659</v>
      </c>
      <c r="G137" s="22"/>
      <c r="H137" s="24" t="s">
        <v>20159</v>
      </c>
      <c r="I137" s="22" t="s">
        <v>19309</v>
      </c>
      <c r="J137" s="22" t="s">
        <v>19708</v>
      </c>
      <c r="K137" s="22" t="s">
        <v>19709</v>
      </c>
      <c r="L137" s="22"/>
      <c r="M137" s="22"/>
      <c r="N137" s="25" t="str">
        <f>HYPERLINK("http://slimages.macys.com/is/image/MCY/21726801 ")</f>
        <v xml:space="preserve">http://slimages.macys.com/is/image/MCY/21726801 </v>
      </c>
    </row>
    <row r="138" spans="1:14" ht="24.75" x14ac:dyDescent="0.25">
      <c r="A138" s="21" t="s">
        <v>9660</v>
      </c>
      <c r="B138" s="22" t="s">
        <v>9661</v>
      </c>
      <c r="C138" s="2">
        <v>1</v>
      </c>
      <c r="D138" s="23">
        <v>8.99</v>
      </c>
      <c r="E138" s="3">
        <v>8.99</v>
      </c>
      <c r="F138" s="2" t="s">
        <v>18984</v>
      </c>
      <c r="G138" s="22" t="s">
        <v>18429</v>
      </c>
      <c r="H138" s="24" t="s">
        <v>19339</v>
      </c>
      <c r="I138" s="22" t="s">
        <v>19309</v>
      </c>
      <c r="J138" s="22" t="s">
        <v>19815</v>
      </c>
      <c r="K138" s="22" t="s">
        <v>19816</v>
      </c>
      <c r="L138" s="22"/>
      <c r="M138" s="22"/>
      <c r="N138" s="25" t="str">
        <f>HYPERLINK("http://slimages.macys.com/is/image/MCY/21278530 ")</f>
        <v xml:space="preserve">http://slimages.macys.com/is/image/MCY/21278530 </v>
      </c>
    </row>
    <row r="139" spans="1:14" x14ac:dyDescent="0.25">
      <c r="A139" s="21" t="s">
        <v>14705</v>
      </c>
      <c r="B139" s="22" t="s">
        <v>14706</v>
      </c>
      <c r="C139" s="2">
        <v>40</v>
      </c>
      <c r="D139" s="23">
        <v>8.3000000000000007</v>
      </c>
      <c r="E139" s="3">
        <v>332</v>
      </c>
      <c r="F139" s="2" t="s">
        <v>14707</v>
      </c>
      <c r="G139" s="22" t="s">
        <v>19323</v>
      </c>
      <c r="H139" s="24" t="s">
        <v>19770</v>
      </c>
      <c r="I139" s="22" t="s">
        <v>19309</v>
      </c>
      <c r="J139" s="22" t="s">
        <v>19708</v>
      </c>
      <c r="K139" s="22" t="s">
        <v>19709</v>
      </c>
      <c r="L139" s="22"/>
      <c r="M139" s="22"/>
      <c r="N139" s="25" t="str">
        <f>HYPERLINK("http://slimages.macys.com/is/image/MCY/21726415 ")</f>
        <v xml:space="preserve">http://slimages.macys.com/is/image/MCY/21726415 </v>
      </c>
    </row>
    <row r="140" spans="1:14" x14ac:dyDescent="0.25">
      <c r="A140" s="21" t="s">
        <v>9662</v>
      </c>
      <c r="B140" s="22" t="s">
        <v>9663</v>
      </c>
      <c r="C140" s="2">
        <v>7</v>
      </c>
      <c r="D140" s="23">
        <v>8.3000000000000007</v>
      </c>
      <c r="E140" s="3">
        <v>58.1</v>
      </c>
      <c r="F140" s="2" t="s">
        <v>9664</v>
      </c>
      <c r="G140" s="22" t="s">
        <v>19594</v>
      </c>
      <c r="H140" s="24" t="s">
        <v>19416</v>
      </c>
      <c r="I140" s="22" t="s">
        <v>19309</v>
      </c>
      <c r="J140" s="22" t="s">
        <v>19708</v>
      </c>
      <c r="K140" s="22" t="s">
        <v>19709</v>
      </c>
      <c r="L140" s="22"/>
      <c r="M140" s="22"/>
      <c r="N140" s="25" t="str">
        <f>HYPERLINK("http://slimages.macys.com/is/image/MCY/21726389 ")</f>
        <v xml:space="preserve">http://slimages.macys.com/is/image/MCY/21726389 </v>
      </c>
    </row>
    <row r="141" spans="1:14" x14ac:dyDescent="0.25">
      <c r="A141" s="21" t="s">
        <v>9665</v>
      </c>
      <c r="B141" s="22" t="s">
        <v>9666</v>
      </c>
      <c r="C141" s="2">
        <v>32</v>
      </c>
      <c r="D141" s="23">
        <v>8.3000000000000007</v>
      </c>
      <c r="E141" s="3">
        <v>265.60000000000002</v>
      </c>
      <c r="F141" s="2" t="s">
        <v>9667</v>
      </c>
      <c r="G141" s="22" t="s">
        <v>19431</v>
      </c>
      <c r="H141" s="24" t="s">
        <v>20152</v>
      </c>
      <c r="I141" s="22" t="s">
        <v>19309</v>
      </c>
      <c r="J141" s="22" t="s">
        <v>19708</v>
      </c>
      <c r="K141" s="22" t="s">
        <v>19709</v>
      </c>
      <c r="L141" s="22"/>
      <c r="M141" s="22"/>
      <c r="N141" s="25" t="str">
        <f>HYPERLINK("http://slimages.macys.com/is/image/MCY/21726415 ")</f>
        <v xml:space="preserve">http://slimages.macys.com/is/image/MCY/21726415 </v>
      </c>
    </row>
    <row r="142" spans="1:14" ht="24.75" x14ac:dyDescent="0.25">
      <c r="A142" s="21" t="s">
        <v>9668</v>
      </c>
      <c r="B142" s="22" t="s">
        <v>9669</v>
      </c>
      <c r="C142" s="2">
        <v>1</v>
      </c>
      <c r="D142" s="23">
        <v>7.99</v>
      </c>
      <c r="E142" s="3">
        <v>7.99</v>
      </c>
      <c r="F142" s="2" t="s">
        <v>9670</v>
      </c>
      <c r="G142" s="22" t="s">
        <v>19415</v>
      </c>
      <c r="H142" s="24" t="s">
        <v>19907</v>
      </c>
      <c r="I142" s="22" t="s">
        <v>19309</v>
      </c>
      <c r="J142" s="22" t="s">
        <v>19573</v>
      </c>
      <c r="K142" s="22" t="s">
        <v>19574</v>
      </c>
      <c r="L142" s="22"/>
      <c r="M142" s="22"/>
      <c r="N142" s="25" t="str">
        <f>HYPERLINK("http://slimages.macys.com/is/image/MCY/8695857 ")</f>
        <v xml:space="preserve">http://slimages.macys.com/is/image/MCY/8695857 </v>
      </c>
    </row>
    <row r="143" spans="1:14" ht="24.75" x14ac:dyDescent="0.25">
      <c r="A143" s="21" t="s">
        <v>14155</v>
      </c>
      <c r="B143" s="22" t="s">
        <v>14156</v>
      </c>
      <c r="C143" s="2">
        <v>1</v>
      </c>
      <c r="D143" s="23">
        <v>7.99</v>
      </c>
      <c r="E143" s="3">
        <v>7.99</v>
      </c>
      <c r="F143" s="2" t="s">
        <v>14157</v>
      </c>
      <c r="G143" s="22" t="s">
        <v>19477</v>
      </c>
      <c r="H143" s="24" t="s">
        <v>20089</v>
      </c>
      <c r="I143" s="22" t="s">
        <v>19309</v>
      </c>
      <c r="J143" s="22" t="s">
        <v>19573</v>
      </c>
      <c r="K143" s="22" t="s">
        <v>19574</v>
      </c>
      <c r="L143" s="22"/>
      <c r="M143" s="22"/>
      <c r="N143" s="25" t="str">
        <f>HYPERLINK("http://slimages.macys.com/is/image/MCY/21209257 ")</f>
        <v xml:space="preserve">http://slimages.macys.com/is/image/MCY/21209257 </v>
      </c>
    </row>
    <row r="144" spans="1:14" ht="24.75" x14ac:dyDescent="0.25">
      <c r="A144" s="21" t="s">
        <v>9671</v>
      </c>
      <c r="B144" s="22" t="s">
        <v>9672</v>
      </c>
      <c r="C144" s="2">
        <v>1</v>
      </c>
      <c r="D144" s="23">
        <v>7.99</v>
      </c>
      <c r="E144" s="3">
        <v>7.99</v>
      </c>
      <c r="F144" s="2" t="s">
        <v>9673</v>
      </c>
      <c r="G144" s="22" t="s">
        <v>19674</v>
      </c>
      <c r="H144" s="24" t="s">
        <v>19907</v>
      </c>
      <c r="I144" s="22" t="s">
        <v>19309</v>
      </c>
      <c r="J144" s="22" t="s">
        <v>19573</v>
      </c>
      <c r="K144" s="22" t="s">
        <v>19574</v>
      </c>
      <c r="L144" s="22"/>
      <c r="M144" s="22"/>
      <c r="N144" s="25" t="str">
        <f>HYPERLINK("http://slimages.macys.com/is/image/MCY/20385955 ")</f>
        <v xml:space="preserve">http://slimages.macys.com/is/image/MCY/20385955 </v>
      </c>
    </row>
    <row r="145" spans="1:14" ht="24.75" x14ac:dyDescent="0.25">
      <c r="A145" s="21" t="s">
        <v>9674</v>
      </c>
      <c r="B145" s="22" t="s">
        <v>9675</v>
      </c>
      <c r="C145" s="2">
        <v>12</v>
      </c>
      <c r="D145" s="23">
        <v>7.99</v>
      </c>
      <c r="E145" s="3">
        <v>95.88</v>
      </c>
      <c r="F145" s="2" t="s">
        <v>17068</v>
      </c>
      <c r="G145" s="22" t="s">
        <v>19674</v>
      </c>
      <c r="H145" s="24" t="s">
        <v>20135</v>
      </c>
      <c r="I145" s="22" t="s">
        <v>19309</v>
      </c>
      <c r="J145" s="22" t="s">
        <v>19573</v>
      </c>
      <c r="K145" s="22" t="s">
        <v>19574</v>
      </c>
      <c r="L145" s="22"/>
      <c r="M145" s="22"/>
      <c r="N145" s="25" t="str">
        <f>HYPERLINK("http://slimages.macys.com/is/image/MCY/21371404 ")</f>
        <v xml:space="preserve">http://slimages.macys.com/is/image/MCY/21371404 </v>
      </c>
    </row>
    <row r="146" spans="1:14" ht="24.75" x14ac:dyDescent="0.25">
      <c r="A146" s="21" t="s">
        <v>9676</v>
      </c>
      <c r="B146" s="22" t="s">
        <v>9677</v>
      </c>
      <c r="C146" s="2">
        <v>10</v>
      </c>
      <c r="D146" s="23">
        <v>7.99</v>
      </c>
      <c r="E146" s="3">
        <v>79.900000000000006</v>
      </c>
      <c r="F146" s="2" t="s">
        <v>17068</v>
      </c>
      <c r="G146" s="22" t="s">
        <v>19674</v>
      </c>
      <c r="H146" s="24" t="s">
        <v>20089</v>
      </c>
      <c r="I146" s="22" t="s">
        <v>19309</v>
      </c>
      <c r="J146" s="22" t="s">
        <v>19573</v>
      </c>
      <c r="K146" s="22" t="s">
        <v>19574</v>
      </c>
      <c r="L146" s="22"/>
      <c r="M146" s="22"/>
      <c r="N146" s="25" t="str">
        <f>HYPERLINK("http://slimages.macys.com/is/image/MCY/1554809 ")</f>
        <v xml:space="preserve">http://slimages.macys.com/is/image/MCY/1554809 </v>
      </c>
    </row>
    <row r="147" spans="1:14" ht="24.75" x14ac:dyDescent="0.25">
      <c r="A147" s="21" t="s">
        <v>9678</v>
      </c>
      <c r="B147" s="22" t="s">
        <v>9679</v>
      </c>
      <c r="C147" s="2">
        <v>1</v>
      </c>
      <c r="D147" s="23">
        <v>7.99</v>
      </c>
      <c r="E147" s="3">
        <v>7.99</v>
      </c>
      <c r="F147" s="2" t="s">
        <v>9680</v>
      </c>
      <c r="G147" s="22" t="s">
        <v>19618</v>
      </c>
      <c r="H147" s="24" t="s">
        <v>19907</v>
      </c>
      <c r="I147" s="22" t="s">
        <v>19309</v>
      </c>
      <c r="J147" s="22" t="s">
        <v>19573</v>
      </c>
      <c r="K147" s="22" t="s">
        <v>19574</v>
      </c>
      <c r="L147" s="22"/>
      <c r="M147" s="22"/>
      <c r="N147" s="25" t="str">
        <f>HYPERLINK("http://slimages.macys.com/is/image/MCY/1610413 ")</f>
        <v xml:space="preserve">http://slimages.macys.com/is/image/MCY/1610413 </v>
      </c>
    </row>
    <row r="148" spans="1:14" ht="24.75" x14ac:dyDescent="0.25">
      <c r="A148" s="21" t="s">
        <v>11135</v>
      </c>
      <c r="B148" s="22" t="s">
        <v>11136</v>
      </c>
      <c r="C148" s="2">
        <v>142</v>
      </c>
      <c r="D148" s="23">
        <v>7.99</v>
      </c>
      <c r="E148" s="3">
        <v>1134.58</v>
      </c>
      <c r="F148" s="2" t="s">
        <v>17068</v>
      </c>
      <c r="G148" s="22" t="s">
        <v>19674</v>
      </c>
      <c r="H148" s="24" t="s">
        <v>20089</v>
      </c>
      <c r="I148" s="22" t="s">
        <v>19309</v>
      </c>
      <c r="J148" s="22" t="s">
        <v>19573</v>
      </c>
      <c r="K148" s="22" t="s">
        <v>19574</v>
      </c>
      <c r="L148" s="22"/>
      <c r="M148" s="22"/>
      <c r="N148" s="25" t="str">
        <f>HYPERLINK("http://slimages.macys.com/is/image/MCY/20757995 ")</f>
        <v xml:space="preserve">http://slimages.macys.com/is/image/MCY/20757995 </v>
      </c>
    </row>
    <row r="149" spans="1:14" ht="24.75" x14ac:dyDescent="0.25">
      <c r="A149" s="21" t="s">
        <v>9681</v>
      </c>
      <c r="B149" s="22" t="s">
        <v>9682</v>
      </c>
      <c r="C149" s="2">
        <v>1</v>
      </c>
      <c r="D149" s="23">
        <v>7.99</v>
      </c>
      <c r="E149" s="3">
        <v>7.99</v>
      </c>
      <c r="F149" s="2" t="s">
        <v>9683</v>
      </c>
      <c r="G149" s="22" t="s">
        <v>19585</v>
      </c>
      <c r="H149" s="24" t="s">
        <v>20135</v>
      </c>
      <c r="I149" s="22" t="s">
        <v>19309</v>
      </c>
      <c r="J149" s="22" t="s">
        <v>19573</v>
      </c>
      <c r="K149" s="22" t="s">
        <v>19574</v>
      </c>
      <c r="L149" s="22"/>
      <c r="M149" s="22"/>
      <c r="N149" s="25" t="str">
        <f>HYPERLINK("http://slimages.macys.com/is/image/MCY/18838666 ")</f>
        <v xml:space="preserve">http://slimages.macys.com/is/image/MCY/18838666 </v>
      </c>
    </row>
    <row r="150" spans="1:14" ht="24.75" x14ac:dyDescent="0.25">
      <c r="A150" s="21" t="s">
        <v>9684</v>
      </c>
      <c r="B150" s="22" t="s">
        <v>9685</v>
      </c>
      <c r="C150" s="2">
        <v>5</v>
      </c>
      <c r="D150" s="23">
        <v>7.99</v>
      </c>
      <c r="E150" s="3">
        <v>39.950000000000003</v>
      </c>
      <c r="F150" s="2" t="s">
        <v>9686</v>
      </c>
      <c r="G150" s="22" t="s">
        <v>19351</v>
      </c>
      <c r="H150" s="24" t="s">
        <v>20089</v>
      </c>
      <c r="I150" s="22" t="s">
        <v>19309</v>
      </c>
      <c r="J150" s="22" t="s">
        <v>19573</v>
      </c>
      <c r="K150" s="22" t="s">
        <v>19574</v>
      </c>
      <c r="L150" s="22"/>
      <c r="M150" s="22"/>
      <c r="N150" s="25" t="str">
        <f>HYPERLINK("http://slimages.macys.com/is/image/MCY/21209408 ")</f>
        <v xml:space="preserve">http://slimages.macys.com/is/image/MCY/21209408 </v>
      </c>
    </row>
    <row r="151" spans="1:14" ht="24.75" x14ac:dyDescent="0.25">
      <c r="A151" s="21" t="s">
        <v>9687</v>
      </c>
      <c r="B151" s="22" t="s">
        <v>9688</v>
      </c>
      <c r="C151" s="2">
        <v>4</v>
      </c>
      <c r="D151" s="23">
        <v>7.99</v>
      </c>
      <c r="E151" s="3">
        <v>31.96</v>
      </c>
      <c r="F151" s="2" t="s">
        <v>9689</v>
      </c>
      <c r="G151" s="22" t="s">
        <v>19674</v>
      </c>
      <c r="H151" s="24" t="s">
        <v>20089</v>
      </c>
      <c r="I151" s="22" t="s">
        <v>19309</v>
      </c>
      <c r="J151" s="22" t="s">
        <v>19573</v>
      </c>
      <c r="K151" s="22" t="s">
        <v>19574</v>
      </c>
      <c r="L151" s="22"/>
      <c r="M151" s="22"/>
      <c r="N151" s="25" t="str">
        <f>HYPERLINK("http://slimages.macys.com/is/image/MCY/21361805 ")</f>
        <v xml:space="preserve">http://slimages.macys.com/is/image/MCY/21361805 </v>
      </c>
    </row>
    <row r="152" spans="1:14" ht="24.75" x14ac:dyDescent="0.25">
      <c r="A152" s="21" t="s">
        <v>9690</v>
      </c>
      <c r="B152" s="22" t="s">
        <v>9691</v>
      </c>
      <c r="C152" s="2">
        <v>85</v>
      </c>
      <c r="D152" s="23">
        <v>7.99</v>
      </c>
      <c r="E152" s="3">
        <v>679.15</v>
      </c>
      <c r="F152" s="2" t="s">
        <v>11143</v>
      </c>
      <c r="G152" s="22" t="s">
        <v>19670</v>
      </c>
      <c r="H152" s="24" t="s">
        <v>19907</v>
      </c>
      <c r="I152" s="22" t="s">
        <v>19309</v>
      </c>
      <c r="J152" s="22" t="s">
        <v>19573</v>
      </c>
      <c r="K152" s="22" t="s">
        <v>19574</v>
      </c>
      <c r="L152" s="22"/>
      <c r="M152" s="22"/>
      <c r="N152" s="25" t="str">
        <f>HYPERLINK("http://slimages.macys.com/is/image/MCY/21209533 ")</f>
        <v xml:space="preserve">http://slimages.macys.com/is/image/MCY/21209533 </v>
      </c>
    </row>
    <row r="153" spans="1:14" ht="24.75" x14ac:dyDescent="0.25">
      <c r="A153" s="21" t="s">
        <v>9692</v>
      </c>
      <c r="B153" s="22" t="s">
        <v>9693</v>
      </c>
      <c r="C153" s="2">
        <v>3</v>
      </c>
      <c r="D153" s="23">
        <v>6.99</v>
      </c>
      <c r="E153" s="3">
        <v>20.97</v>
      </c>
      <c r="F153" s="2" t="s">
        <v>19101</v>
      </c>
      <c r="G153" s="22" t="s">
        <v>19415</v>
      </c>
      <c r="H153" s="24" t="s">
        <v>19538</v>
      </c>
      <c r="I153" s="22" t="s">
        <v>19309</v>
      </c>
      <c r="J153" s="22" t="s">
        <v>19573</v>
      </c>
      <c r="K153" s="22" t="s">
        <v>19574</v>
      </c>
      <c r="L153" s="22"/>
      <c r="M153" s="22"/>
      <c r="N153" s="25" t="str">
        <f>HYPERLINK("http://slimages.macys.com/is/image/MCY/1586067 ")</f>
        <v xml:space="preserve">http://slimages.macys.com/is/image/MCY/1586067 </v>
      </c>
    </row>
    <row r="154" spans="1:14" ht="24.75" x14ac:dyDescent="0.25">
      <c r="A154" s="21" t="s">
        <v>19117</v>
      </c>
      <c r="B154" s="22" t="s">
        <v>19118</v>
      </c>
      <c r="C154" s="2">
        <v>29</v>
      </c>
      <c r="D154" s="23">
        <v>5.99</v>
      </c>
      <c r="E154" s="3">
        <v>173.71</v>
      </c>
      <c r="F154" s="2" t="s">
        <v>19109</v>
      </c>
      <c r="G154" s="22" t="s">
        <v>19670</v>
      </c>
      <c r="H154" s="24" t="s">
        <v>19538</v>
      </c>
      <c r="I154" s="22" t="s">
        <v>19309</v>
      </c>
      <c r="J154" s="22" t="s">
        <v>19573</v>
      </c>
      <c r="K154" s="22" t="s">
        <v>19574</v>
      </c>
      <c r="L154" s="22"/>
      <c r="M154" s="22"/>
      <c r="N154" s="25" t="str">
        <f>HYPERLINK("http://slimages.macys.com/is/image/MCY/21209381 ")</f>
        <v xml:space="preserve">http://slimages.macys.com/is/image/MCY/21209381 </v>
      </c>
    </row>
    <row r="155" spans="1:14" ht="24.75" x14ac:dyDescent="0.25">
      <c r="A155" s="21" t="s">
        <v>19121</v>
      </c>
      <c r="B155" s="22" t="s">
        <v>19122</v>
      </c>
      <c r="C155" s="2">
        <v>17</v>
      </c>
      <c r="D155" s="23">
        <v>5.99</v>
      </c>
      <c r="E155" s="3">
        <v>101.83</v>
      </c>
      <c r="F155" s="2" t="s">
        <v>19109</v>
      </c>
      <c r="G155" s="22" t="s">
        <v>19670</v>
      </c>
      <c r="H155" s="24" t="s">
        <v>19330</v>
      </c>
      <c r="I155" s="22" t="s">
        <v>19309</v>
      </c>
      <c r="J155" s="22" t="s">
        <v>19573</v>
      </c>
      <c r="K155" s="22" t="s">
        <v>19574</v>
      </c>
      <c r="L155" s="22"/>
      <c r="M155" s="22"/>
      <c r="N155" s="25" t="str">
        <f>HYPERLINK("http://slimages.macys.com/is/image/MCY/1734374 ")</f>
        <v xml:space="preserve">http://slimages.macys.com/is/image/MCY/1734374 </v>
      </c>
    </row>
    <row r="156" spans="1:14" ht="24.75" x14ac:dyDescent="0.25">
      <c r="A156" s="21" t="s">
        <v>9694</v>
      </c>
      <c r="B156" s="22" t="s">
        <v>9695</v>
      </c>
      <c r="C156" s="2">
        <v>52</v>
      </c>
      <c r="D156" s="23">
        <v>7.99</v>
      </c>
      <c r="E156" s="3">
        <v>415.48</v>
      </c>
      <c r="F156" s="2" t="s">
        <v>9696</v>
      </c>
      <c r="G156" s="22" t="s">
        <v>19351</v>
      </c>
      <c r="H156" s="24" t="s">
        <v>20135</v>
      </c>
      <c r="I156" s="22" t="s">
        <v>19309</v>
      </c>
      <c r="J156" s="22" t="s">
        <v>19573</v>
      </c>
      <c r="K156" s="22" t="s">
        <v>19574</v>
      </c>
      <c r="L156" s="22"/>
      <c r="M156" s="22"/>
      <c r="N156" s="25" t="str">
        <f>HYPERLINK("http://slimages.macys.com/is/image/MCY/1610409 ")</f>
        <v xml:space="preserve">http://slimages.macys.com/is/image/MCY/1610409 </v>
      </c>
    </row>
    <row r="157" spans="1:14" ht="24.75" x14ac:dyDescent="0.25">
      <c r="A157" s="21" t="s">
        <v>9697</v>
      </c>
      <c r="B157" s="22" t="s">
        <v>9698</v>
      </c>
      <c r="C157" s="2">
        <v>1</v>
      </c>
      <c r="D157" s="23">
        <v>5.99</v>
      </c>
      <c r="E157" s="3">
        <v>5.99</v>
      </c>
      <c r="F157" s="2" t="s">
        <v>9699</v>
      </c>
      <c r="G157" s="22" t="s">
        <v>19618</v>
      </c>
      <c r="H157" s="24" t="s">
        <v>19538</v>
      </c>
      <c r="I157" s="22" t="s">
        <v>19309</v>
      </c>
      <c r="J157" s="22" t="s">
        <v>19573</v>
      </c>
      <c r="K157" s="22" t="s">
        <v>19574</v>
      </c>
      <c r="L157" s="22"/>
      <c r="M157" s="22"/>
      <c r="N157" s="25" t="str">
        <f>HYPERLINK("http://slimages.macys.com/is/image/MCY/21970142 ")</f>
        <v xml:space="preserve">http://slimages.macys.com/is/image/MCY/21970142 </v>
      </c>
    </row>
    <row r="158" spans="1:14" ht="24.75" x14ac:dyDescent="0.25">
      <c r="A158" s="21" t="s">
        <v>9700</v>
      </c>
      <c r="B158" s="22" t="s">
        <v>9701</v>
      </c>
      <c r="C158" s="2">
        <v>57</v>
      </c>
      <c r="D158" s="23">
        <v>5.99</v>
      </c>
      <c r="E158" s="3">
        <v>341.43</v>
      </c>
      <c r="F158" s="2" t="s">
        <v>11156</v>
      </c>
      <c r="G158" s="22" t="s">
        <v>19351</v>
      </c>
      <c r="H158" s="24" t="s">
        <v>19538</v>
      </c>
      <c r="I158" s="22" t="s">
        <v>19309</v>
      </c>
      <c r="J158" s="22" t="s">
        <v>19573</v>
      </c>
      <c r="K158" s="22" t="s">
        <v>19574</v>
      </c>
      <c r="L158" s="22"/>
      <c r="M158" s="22"/>
      <c r="N158" s="25" t="str">
        <f>HYPERLINK("http://slimages.macys.com/is/image/MCY/1586539 ")</f>
        <v xml:space="preserve">http://slimages.macys.com/is/image/MCY/1586539 </v>
      </c>
    </row>
    <row r="159" spans="1:14" ht="24.75" x14ac:dyDescent="0.25">
      <c r="A159" s="21" t="s">
        <v>9702</v>
      </c>
      <c r="B159" s="22" t="s">
        <v>9703</v>
      </c>
      <c r="C159" s="2">
        <v>5</v>
      </c>
      <c r="D159" s="23">
        <v>5.99</v>
      </c>
      <c r="E159" s="3">
        <v>29.95</v>
      </c>
      <c r="F159" s="2" t="s">
        <v>11156</v>
      </c>
      <c r="G159" s="22" t="s">
        <v>19351</v>
      </c>
      <c r="H159" s="24" t="s">
        <v>19330</v>
      </c>
      <c r="I159" s="22" t="s">
        <v>19309</v>
      </c>
      <c r="J159" s="22" t="s">
        <v>19573</v>
      </c>
      <c r="K159" s="22" t="s">
        <v>19574</v>
      </c>
      <c r="L159" s="22"/>
      <c r="M159" s="22"/>
      <c r="N159" s="25" t="str">
        <f>HYPERLINK("http://slimages.macys.com/is/image/MCY/1586539 ")</f>
        <v xml:space="preserve">http://slimages.macys.com/is/image/MCY/1586539 </v>
      </c>
    </row>
    <row r="160" spans="1:14" ht="24.75" x14ac:dyDescent="0.25">
      <c r="A160" s="21" t="s">
        <v>11154</v>
      </c>
      <c r="B160" s="22" t="s">
        <v>11155</v>
      </c>
      <c r="C160" s="2">
        <v>19</v>
      </c>
      <c r="D160" s="23">
        <v>5.99</v>
      </c>
      <c r="E160" s="3">
        <v>113.81</v>
      </c>
      <c r="F160" s="2" t="s">
        <v>11156</v>
      </c>
      <c r="G160" s="22" t="s">
        <v>19351</v>
      </c>
      <c r="H160" s="24" t="s">
        <v>19384</v>
      </c>
      <c r="I160" s="22" t="s">
        <v>19309</v>
      </c>
      <c r="J160" s="22" t="s">
        <v>19573</v>
      </c>
      <c r="K160" s="22" t="s">
        <v>19574</v>
      </c>
      <c r="L160" s="22"/>
      <c r="M160" s="22"/>
      <c r="N160" s="25" t="str">
        <f>HYPERLINK("http://slimages.macys.com/is/image/MCY/1586539 ")</f>
        <v xml:space="preserve">http://slimages.macys.com/is/image/MCY/1586539 </v>
      </c>
    </row>
    <row r="161" spans="1:14" ht="24.75" x14ac:dyDescent="0.25">
      <c r="A161" s="21" t="s">
        <v>11157</v>
      </c>
      <c r="B161" s="22" t="s">
        <v>11158</v>
      </c>
      <c r="C161" s="2">
        <v>27</v>
      </c>
      <c r="D161" s="23">
        <v>5.99</v>
      </c>
      <c r="E161" s="3">
        <v>161.72999999999999</v>
      </c>
      <c r="F161" s="2" t="s">
        <v>11156</v>
      </c>
      <c r="G161" s="22" t="s">
        <v>19351</v>
      </c>
      <c r="H161" s="24" t="s">
        <v>19324</v>
      </c>
      <c r="I161" s="22" t="s">
        <v>19309</v>
      </c>
      <c r="J161" s="22" t="s">
        <v>19573</v>
      </c>
      <c r="K161" s="22" t="s">
        <v>19574</v>
      </c>
      <c r="L161" s="22"/>
      <c r="M161" s="22"/>
      <c r="N161" s="25" t="str">
        <f>HYPERLINK("http://slimages.macys.com/is/image/MCY/1586539 ")</f>
        <v xml:space="preserve">http://slimages.macys.com/is/image/MCY/1586539 </v>
      </c>
    </row>
    <row r="162" spans="1:14" ht="24.75" x14ac:dyDescent="0.25">
      <c r="A162" s="21" t="s">
        <v>17186</v>
      </c>
      <c r="B162" s="22" t="s">
        <v>17187</v>
      </c>
      <c r="C162" s="2">
        <v>10</v>
      </c>
      <c r="D162" s="23">
        <v>5.99</v>
      </c>
      <c r="E162" s="3">
        <v>59.9</v>
      </c>
      <c r="F162" s="2" t="s">
        <v>19180</v>
      </c>
      <c r="G162" s="22" t="s">
        <v>19477</v>
      </c>
      <c r="H162" s="24" t="s">
        <v>19330</v>
      </c>
      <c r="I162" s="22" t="s">
        <v>19309</v>
      </c>
      <c r="J162" s="22" t="s">
        <v>19573</v>
      </c>
      <c r="K162" s="22" t="s">
        <v>19574</v>
      </c>
      <c r="L162" s="22"/>
      <c r="M162" s="22"/>
      <c r="N162" s="25" t="str">
        <f>HYPERLINK("http://slimages.macys.com/is/image/MCY/1521972 ")</f>
        <v xml:space="preserve">http://slimages.macys.com/is/image/MCY/1521972 </v>
      </c>
    </row>
    <row r="163" spans="1:14" ht="24.75" x14ac:dyDescent="0.25">
      <c r="A163" s="21" t="s">
        <v>9704</v>
      </c>
      <c r="B163" s="22" t="s">
        <v>9705</v>
      </c>
      <c r="C163" s="2">
        <v>1</v>
      </c>
      <c r="D163" s="23">
        <v>5.99</v>
      </c>
      <c r="E163" s="3">
        <v>5.99</v>
      </c>
      <c r="F163" s="2" t="s">
        <v>9706</v>
      </c>
      <c r="G163" s="22" t="s">
        <v>19518</v>
      </c>
      <c r="H163" s="24" t="s">
        <v>19330</v>
      </c>
      <c r="I163" s="22" t="s">
        <v>19309</v>
      </c>
      <c r="J163" s="22" t="s">
        <v>19573</v>
      </c>
      <c r="K163" s="22" t="s">
        <v>19574</v>
      </c>
      <c r="L163" s="22"/>
      <c r="M163" s="22"/>
      <c r="N163" s="25" t="str">
        <f>HYPERLINK("http://slimages.macys.com/is/image/MCY/20385993 ")</f>
        <v xml:space="preserve">http://slimages.macys.com/is/image/MCY/20385993 </v>
      </c>
    </row>
    <row r="164" spans="1:14" ht="24.75" x14ac:dyDescent="0.25">
      <c r="A164" s="21" t="s">
        <v>9707</v>
      </c>
      <c r="B164" s="22" t="s">
        <v>9708</v>
      </c>
      <c r="C164" s="2">
        <v>14</v>
      </c>
      <c r="D164" s="23">
        <v>7.99</v>
      </c>
      <c r="E164" s="3">
        <v>111.86</v>
      </c>
      <c r="F164" s="2" t="s">
        <v>9709</v>
      </c>
      <c r="G164" s="22" t="s">
        <v>19467</v>
      </c>
      <c r="H164" s="24" t="s">
        <v>19907</v>
      </c>
      <c r="I164" s="22" t="s">
        <v>19309</v>
      </c>
      <c r="J164" s="22" t="s">
        <v>19573</v>
      </c>
      <c r="K164" s="22" t="s">
        <v>19574</v>
      </c>
      <c r="L164" s="22"/>
      <c r="M164" s="22"/>
      <c r="N164" s="25" t="str">
        <f>HYPERLINK("http://slimages.macys.com/is/image/MCY/21970216 ")</f>
        <v xml:space="preserve">http://slimages.macys.com/is/image/MCY/21970216 </v>
      </c>
    </row>
    <row r="165" spans="1:14" ht="24.75" x14ac:dyDescent="0.25">
      <c r="A165" s="21" t="s">
        <v>9710</v>
      </c>
      <c r="B165" s="22" t="s">
        <v>9711</v>
      </c>
      <c r="C165" s="2">
        <v>1</v>
      </c>
      <c r="D165" s="23">
        <v>5.99</v>
      </c>
      <c r="E165" s="3">
        <v>5.99</v>
      </c>
      <c r="F165" s="2" t="s">
        <v>9712</v>
      </c>
      <c r="G165" s="22" t="s">
        <v>19467</v>
      </c>
      <c r="H165" s="24" t="s">
        <v>19384</v>
      </c>
      <c r="I165" s="22" t="s">
        <v>19309</v>
      </c>
      <c r="J165" s="22" t="s">
        <v>19573</v>
      </c>
      <c r="K165" s="22" t="s">
        <v>19574</v>
      </c>
      <c r="L165" s="22"/>
      <c r="M165" s="22"/>
      <c r="N165" s="25" t="str">
        <f>HYPERLINK("http://slimages.macys.com/is/image/MCY/1586078 ")</f>
        <v xml:space="preserve">http://slimages.macys.com/is/image/MCY/1586078 </v>
      </c>
    </row>
    <row r="166" spans="1:14" ht="24.75" x14ac:dyDescent="0.25">
      <c r="A166" s="21" t="s">
        <v>9713</v>
      </c>
      <c r="B166" s="22" t="s">
        <v>9714</v>
      </c>
      <c r="C166" s="2">
        <v>24</v>
      </c>
      <c r="D166" s="23">
        <v>5.99</v>
      </c>
      <c r="E166" s="3">
        <v>143.76</v>
      </c>
      <c r="F166" s="2" t="s">
        <v>17203</v>
      </c>
      <c r="G166" s="22" t="s">
        <v>19585</v>
      </c>
      <c r="H166" s="24" t="s">
        <v>19416</v>
      </c>
      <c r="I166" s="22" t="s">
        <v>19309</v>
      </c>
      <c r="J166" s="22" t="s">
        <v>19573</v>
      </c>
      <c r="K166" s="22" t="s">
        <v>19574</v>
      </c>
      <c r="L166" s="22"/>
      <c r="M166" s="22"/>
      <c r="N166" s="25" t="str">
        <f>HYPERLINK("http://slimages.macys.com/is/image/MCY/20757989 ")</f>
        <v xml:space="preserve">http://slimages.macys.com/is/image/MCY/20757989 </v>
      </c>
    </row>
    <row r="167" spans="1:14" ht="24.75" x14ac:dyDescent="0.25">
      <c r="A167" s="21" t="s">
        <v>9715</v>
      </c>
      <c r="B167" s="22" t="s">
        <v>9716</v>
      </c>
      <c r="C167" s="2">
        <v>18</v>
      </c>
      <c r="D167" s="23">
        <v>5.99</v>
      </c>
      <c r="E167" s="3">
        <v>107.82</v>
      </c>
      <c r="F167" s="2" t="s">
        <v>17203</v>
      </c>
      <c r="G167" s="22" t="s">
        <v>19585</v>
      </c>
      <c r="H167" s="24" t="s">
        <v>19384</v>
      </c>
      <c r="I167" s="22" t="s">
        <v>19309</v>
      </c>
      <c r="J167" s="22" t="s">
        <v>19573</v>
      </c>
      <c r="K167" s="22" t="s">
        <v>19574</v>
      </c>
      <c r="L167" s="22"/>
      <c r="M167" s="22"/>
      <c r="N167" s="25" t="str">
        <f>HYPERLINK("http://slimages.macys.com/is/image/MCY/20757989 ")</f>
        <v xml:space="preserve">http://slimages.macys.com/is/image/MCY/20757989 </v>
      </c>
    </row>
    <row r="168" spans="1:14" ht="24.75" x14ac:dyDescent="0.25">
      <c r="A168" s="21" t="s">
        <v>14309</v>
      </c>
      <c r="B168" s="22" t="s">
        <v>14310</v>
      </c>
      <c r="C168" s="2">
        <v>23</v>
      </c>
      <c r="D168" s="23">
        <v>5.99</v>
      </c>
      <c r="E168" s="3">
        <v>137.77000000000001</v>
      </c>
      <c r="F168" s="2" t="s">
        <v>14302</v>
      </c>
      <c r="G168" s="22" t="s">
        <v>19351</v>
      </c>
      <c r="H168" s="24" t="s">
        <v>19384</v>
      </c>
      <c r="I168" s="22" t="s">
        <v>19309</v>
      </c>
      <c r="J168" s="22" t="s">
        <v>19573</v>
      </c>
      <c r="K168" s="22" t="s">
        <v>19574</v>
      </c>
      <c r="L168" s="22"/>
      <c r="M168" s="22"/>
      <c r="N168" s="25" t="str">
        <f>HYPERLINK("http://slimages.macys.com/is/image/MCY/21371433 ")</f>
        <v xml:space="preserve">http://slimages.macys.com/is/image/MCY/21371433 </v>
      </c>
    </row>
    <row r="169" spans="1:14" ht="24.75" x14ac:dyDescent="0.25">
      <c r="A169" s="21" t="s">
        <v>14300</v>
      </c>
      <c r="B169" s="22" t="s">
        <v>14301</v>
      </c>
      <c r="C169" s="2">
        <v>10</v>
      </c>
      <c r="D169" s="23">
        <v>5.99</v>
      </c>
      <c r="E169" s="3">
        <v>59.9</v>
      </c>
      <c r="F169" s="2" t="s">
        <v>14302</v>
      </c>
      <c r="G169" s="22" t="s">
        <v>19351</v>
      </c>
      <c r="H169" s="24" t="s">
        <v>19538</v>
      </c>
      <c r="I169" s="22" t="s">
        <v>19309</v>
      </c>
      <c r="J169" s="22" t="s">
        <v>19573</v>
      </c>
      <c r="K169" s="22" t="s">
        <v>19574</v>
      </c>
      <c r="L169" s="22"/>
      <c r="M169" s="22"/>
      <c r="N169" s="25" t="str">
        <f>HYPERLINK("http://slimages.macys.com/is/image/MCY/21371433 ")</f>
        <v xml:space="preserve">http://slimages.macys.com/is/image/MCY/21371433 </v>
      </c>
    </row>
    <row r="170" spans="1:14" ht="24.75" x14ac:dyDescent="0.25">
      <c r="A170" s="21" t="s">
        <v>19242</v>
      </c>
      <c r="B170" s="22" t="s">
        <v>19243</v>
      </c>
      <c r="C170" s="2">
        <v>1</v>
      </c>
      <c r="D170" s="23">
        <v>5.99</v>
      </c>
      <c r="E170" s="3">
        <v>5.99</v>
      </c>
      <c r="F170" s="2" t="s">
        <v>19232</v>
      </c>
      <c r="G170" s="22" t="s">
        <v>19467</v>
      </c>
      <c r="H170" s="24" t="s">
        <v>19538</v>
      </c>
      <c r="I170" s="22" t="s">
        <v>19309</v>
      </c>
      <c r="J170" s="22" t="s">
        <v>19573</v>
      </c>
      <c r="K170" s="22" t="s">
        <v>19574</v>
      </c>
      <c r="L170" s="22"/>
      <c r="M170" s="22"/>
      <c r="N170" s="25" t="str">
        <f>HYPERLINK("http://slimages.macys.com/is/image/MCY/21209505 ")</f>
        <v xml:space="preserve">http://slimages.macys.com/is/image/MCY/21209505 </v>
      </c>
    </row>
    <row r="171" spans="1:14" ht="24.75" x14ac:dyDescent="0.25">
      <c r="A171" s="21" t="s">
        <v>9717</v>
      </c>
      <c r="B171" s="22" t="s">
        <v>9718</v>
      </c>
      <c r="C171" s="2">
        <v>48</v>
      </c>
      <c r="D171" s="23">
        <v>5.99</v>
      </c>
      <c r="E171" s="3">
        <v>287.52</v>
      </c>
      <c r="F171" s="2" t="s">
        <v>19251</v>
      </c>
      <c r="G171" s="22" t="s">
        <v>19351</v>
      </c>
      <c r="H171" s="24" t="s">
        <v>19538</v>
      </c>
      <c r="I171" s="22" t="s">
        <v>19309</v>
      </c>
      <c r="J171" s="22" t="s">
        <v>19573</v>
      </c>
      <c r="K171" s="22" t="s">
        <v>19574</v>
      </c>
      <c r="L171" s="22"/>
      <c r="M171" s="22"/>
      <c r="N171" s="25" t="str">
        <f>HYPERLINK("http://slimages.macys.com/is/image/MCY/21088503 ")</f>
        <v xml:space="preserve">http://slimages.macys.com/is/image/MCY/21088503 </v>
      </c>
    </row>
    <row r="172" spans="1:14" ht="24.75" x14ac:dyDescent="0.25">
      <c r="A172" s="21" t="s">
        <v>9719</v>
      </c>
      <c r="B172" s="22" t="s">
        <v>9720</v>
      </c>
      <c r="C172" s="2">
        <v>11</v>
      </c>
      <c r="D172" s="23">
        <v>5.99</v>
      </c>
      <c r="E172" s="3">
        <v>65.89</v>
      </c>
      <c r="F172" s="2" t="s">
        <v>9721</v>
      </c>
      <c r="G172" s="22" t="s">
        <v>19351</v>
      </c>
      <c r="H172" s="24" t="s">
        <v>19324</v>
      </c>
      <c r="I172" s="22" t="s">
        <v>19309</v>
      </c>
      <c r="J172" s="22" t="s">
        <v>19573</v>
      </c>
      <c r="K172" s="22" t="s">
        <v>19574</v>
      </c>
      <c r="L172" s="22"/>
      <c r="M172" s="22"/>
      <c r="N172" s="25" t="str">
        <f>HYPERLINK("http://slimages.macys.com/is/image/MCY/21371491 ")</f>
        <v xml:space="preserve">http://slimages.macys.com/is/image/MCY/21371491 </v>
      </c>
    </row>
    <row r="173" spans="1:14" ht="24.75" x14ac:dyDescent="0.25">
      <c r="A173" s="21" t="s">
        <v>9722</v>
      </c>
      <c r="B173" s="22" t="s">
        <v>9723</v>
      </c>
      <c r="C173" s="2">
        <v>9</v>
      </c>
      <c r="D173" s="23">
        <v>5.99</v>
      </c>
      <c r="E173" s="3">
        <v>53.91</v>
      </c>
      <c r="F173" s="2" t="s">
        <v>9724</v>
      </c>
      <c r="G173" s="22" t="s">
        <v>19415</v>
      </c>
      <c r="H173" s="24" t="s">
        <v>19384</v>
      </c>
      <c r="I173" s="22" t="s">
        <v>19309</v>
      </c>
      <c r="J173" s="22" t="s">
        <v>19573</v>
      </c>
      <c r="K173" s="22" t="s">
        <v>19574</v>
      </c>
      <c r="L173" s="22"/>
      <c r="M173" s="22"/>
      <c r="N173" s="25" t="str">
        <f>HYPERLINK("http://slimages.macys.com/is/image/MCY/21371500 ")</f>
        <v xml:space="preserve">http://slimages.macys.com/is/image/MCY/21371500 </v>
      </c>
    </row>
    <row r="174" spans="1:14" ht="24.75" x14ac:dyDescent="0.25">
      <c r="A174" s="21" t="s">
        <v>10742</v>
      </c>
      <c r="B174" s="22" t="s">
        <v>10743</v>
      </c>
      <c r="C174" s="2">
        <v>6</v>
      </c>
      <c r="D174" s="23">
        <v>7.99</v>
      </c>
      <c r="E174" s="3">
        <v>47.94</v>
      </c>
      <c r="F174" s="2" t="s">
        <v>10744</v>
      </c>
      <c r="G174" s="22" t="s">
        <v>19431</v>
      </c>
      <c r="H174" s="24" t="s">
        <v>20135</v>
      </c>
      <c r="I174" s="22" t="s">
        <v>19309</v>
      </c>
      <c r="J174" s="22" t="s">
        <v>19573</v>
      </c>
      <c r="K174" s="22" t="s">
        <v>19574</v>
      </c>
      <c r="L174" s="22"/>
      <c r="M174" s="22"/>
      <c r="N174" s="25" t="str">
        <f>HYPERLINK("http://slimages.macys.com/is/image/MCY/21209287 ")</f>
        <v xml:space="preserve">http://slimages.macys.com/is/image/MCY/21209287 </v>
      </c>
    </row>
    <row r="175" spans="1:14" ht="24.75" x14ac:dyDescent="0.25">
      <c r="A175" s="21" t="s">
        <v>9725</v>
      </c>
      <c r="B175" s="22" t="s">
        <v>9726</v>
      </c>
      <c r="C175" s="2">
        <v>28</v>
      </c>
      <c r="D175" s="23">
        <v>5.99</v>
      </c>
      <c r="E175" s="3">
        <v>167.72</v>
      </c>
      <c r="F175" s="2" t="s">
        <v>9727</v>
      </c>
      <c r="G175" s="22" t="s">
        <v>19906</v>
      </c>
      <c r="H175" s="24" t="s">
        <v>19324</v>
      </c>
      <c r="I175" s="22" t="s">
        <v>19309</v>
      </c>
      <c r="J175" s="22" t="s">
        <v>19573</v>
      </c>
      <c r="K175" s="22" t="s">
        <v>19574</v>
      </c>
      <c r="L175" s="22"/>
      <c r="M175" s="22"/>
      <c r="N175" s="25" t="str">
        <f>HYPERLINK("http://slimages.macys.com/is/image/MCY/1586084 ")</f>
        <v xml:space="preserve">http://slimages.macys.com/is/image/MCY/1586084 </v>
      </c>
    </row>
    <row r="176" spans="1:14" ht="24.75" x14ac:dyDescent="0.25">
      <c r="A176" s="21" t="s">
        <v>9728</v>
      </c>
      <c r="B176" s="22" t="s">
        <v>9729</v>
      </c>
      <c r="C176" s="2">
        <v>8</v>
      </c>
      <c r="D176" s="23">
        <v>5.99</v>
      </c>
      <c r="E176" s="3">
        <v>47.92</v>
      </c>
      <c r="F176" s="2" t="s">
        <v>9724</v>
      </c>
      <c r="G176" s="22" t="s">
        <v>19415</v>
      </c>
      <c r="H176" s="24" t="s">
        <v>19538</v>
      </c>
      <c r="I176" s="22" t="s">
        <v>19309</v>
      </c>
      <c r="J176" s="22" t="s">
        <v>19573</v>
      </c>
      <c r="K176" s="22" t="s">
        <v>19574</v>
      </c>
      <c r="L176" s="22"/>
      <c r="M176" s="22"/>
      <c r="N176" s="25" t="str">
        <f>HYPERLINK("http://slimages.macys.com/is/image/MCY/21371500 ")</f>
        <v xml:space="preserve">http://slimages.macys.com/is/image/MCY/21371500 </v>
      </c>
    </row>
    <row r="177" spans="1:14" ht="24.75" x14ac:dyDescent="0.25">
      <c r="A177" s="21" t="s">
        <v>9730</v>
      </c>
      <c r="B177" s="22" t="s">
        <v>9731</v>
      </c>
      <c r="C177" s="2">
        <v>17</v>
      </c>
      <c r="D177" s="23">
        <v>7.99</v>
      </c>
      <c r="E177" s="3">
        <v>135.83000000000001</v>
      </c>
      <c r="F177" s="2" t="s">
        <v>10744</v>
      </c>
      <c r="G177" s="22" t="s">
        <v>19431</v>
      </c>
      <c r="H177" s="24" t="s">
        <v>20089</v>
      </c>
      <c r="I177" s="22" t="s">
        <v>19309</v>
      </c>
      <c r="J177" s="22" t="s">
        <v>19573</v>
      </c>
      <c r="K177" s="22" t="s">
        <v>19574</v>
      </c>
      <c r="L177" s="22"/>
      <c r="M177" s="22"/>
      <c r="N177" s="25" t="str">
        <f>HYPERLINK("http://slimages.macys.com/is/image/MCY/21209287 ")</f>
        <v xml:space="preserve">http://slimages.macys.com/is/image/MCY/21209287 </v>
      </c>
    </row>
    <row r="178" spans="1:14" ht="24.75" x14ac:dyDescent="0.25">
      <c r="A178" s="21" t="s">
        <v>9732</v>
      </c>
      <c r="B178" s="22" t="s">
        <v>9733</v>
      </c>
      <c r="C178" s="2">
        <v>63</v>
      </c>
      <c r="D178" s="23">
        <v>5.99</v>
      </c>
      <c r="E178" s="3">
        <v>377.37</v>
      </c>
      <c r="F178" s="2" t="s">
        <v>9721</v>
      </c>
      <c r="G178" s="22" t="s">
        <v>19351</v>
      </c>
      <c r="H178" s="24" t="s">
        <v>19330</v>
      </c>
      <c r="I178" s="22" t="s">
        <v>19309</v>
      </c>
      <c r="J178" s="22" t="s">
        <v>19573</v>
      </c>
      <c r="K178" s="22" t="s">
        <v>19574</v>
      </c>
      <c r="L178" s="22"/>
      <c r="M178" s="22"/>
      <c r="N178" s="25" t="str">
        <f>HYPERLINK("http://slimages.macys.com/is/image/MCY/21371491 ")</f>
        <v xml:space="preserve">http://slimages.macys.com/is/image/MCY/21371491 </v>
      </c>
    </row>
    <row r="179" spans="1:14" ht="24.75" x14ac:dyDescent="0.25">
      <c r="A179" s="21" t="s">
        <v>14328</v>
      </c>
      <c r="B179" s="22" t="s">
        <v>14329</v>
      </c>
      <c r="C179" s="2">
        <v>6</v>
      </c>
      <c r="D179" s="23">
        <v>5.99</v>
      </c>
      <c r="E179" s="3">
        <v>35.94</v>
      </c>
      <c r="F179" s="2" t="s">
        <v>17245</v>
      </c>
      <c r="G179" s="22" t="s">
        <v>19431</v>
      </c>
      <c r="H179" s="24" t="s">
        <v>19538</v>
      </c>
      <c r="I179" s="22" t="s">
        <v>19309</v>
      </c>
      <c r="J179" s="22" t="s">
        <v>19573</v>
      </c>
      <c r="K179" s="22" t="s">
        <v>19574</v>
      </c>
      <c r="L179" s="22"/>
      <c r="M179" s="22"/>
      <c r="N179" s="25" t="str">
        <f>HYPERLINK("http://slimages.macys.com/is/image/MCY/1523158 ")</f>
        <v xml:space="preserve">http://slimages.macys.com/is/image/MCY/1523158 </v>
      </c>
    </row>
    <row r="180" spans="1:14" ht="24.75" x14ac:dyDescent="0.25">
      <c r="A180" s="21" t="s">
        <v>11174</v>
      </c>
      <c r="B180" s="22" t="s">
        <v>11175</v>
      </c>
      <c r="C180" s="2">
        <v>8</v>
      </c>
      <c r="D180" s="23">
        <v>5.99</v>
      </c>
      <c r="E180" s="3">
        <v>47.92</v>
      </c>
      <c r="F180" s="2" t="s">
        <v>17245</v>
      </c>
      <c r="G180" s="22" t="s">
        <v>19906</v>
      </c>
      <c r="H180" s="24" t="s">
        <v>19538</v>
      </c>
      <c r="I180" s="22" t="s">
        <v>19309</v>
      </c>
      <c r="J180" s="22" t="s">
        <v>19573</v>
      </c>
      <c r="K180" s="22" t="s">
        <v>19574</v>
      </c>
      <c r="L180" s="22"/>
      <c r="M180" s="22"/>
      <c r="N180" s="25" t="str">
        <f>HYPERLINK("http://slimages.macys.com/is/image/MCY/1520523 ")</f>
        <v xml:space="preserve">http://slimages.macys.com/is/image/MCY/1520523 </v>
      </c>
    </row>
    <row r="181" spans="1:14" ht="24.75" x14ac:dyDescent="0.25">
      <c r="A181" s="21" t="s">
        <v>9734</v>
      </c>
      <c r="B181" s="22" t="s">
        <v>9735</v>
      </c>
      <c r="C181" s="2">
        <v>17</v>
      </c>
      <c r="D181" s="23">
        <v>5.99</v>
      </c>
      <c r="E181" s="3">
        <v>101.83</v>
      </c>
      <c r="F181" s="2" t="s">
        <v>17245</v>
      </c>
      <c r="G181" s="22" t="s">
        <v>19794</v>
      </c>
      <c r="H181" s="24" t="s">
        <v>19324</v>
      </c>
      <c r="I181" s="22" t="s">
        <v>19309</v>
      </c>
      <c r="J181" s="22" t="s">
        <v>19573</v>
      </c>
      <c r="K181" s="22" t="s">
        <v>19574</v>
      </c>
      <c r="L181" s="22"/>
      <c r="M181" s="22"/>
      <c r="N181" s="25" t="str">
        <f>HYPERLINK("http://slimages.macys.com/is/image/MCY/1523158 ")</f>
        <v xml:space="preserve">http://slimages.macys.com/is/image/MCY/1523158 </v>
      </c>
    </row>
    <row r="182" spans="1:14" ht="24.75" x14ac:dyDescent="0.25">
      <c r="A182" s="21" t="s">
        <v>9736</v>
      </c>
      <c r="B182" s="22" t="s">
        <v>9737</v>
      </c>
      <c r="C182" s="2">
        <v>40</v>
      </c>
      <c r="D182" s="23">
        <v>5.99</v>
      </c>
      <c r="E182" s="3">
        <v>239.6</v>
      </c>
      <c r="F182" s="2" t="s">
        <v>17245</v>
      </c>
      <c r="G182" s="22" t="s">
        <v>19670</v>
      </c>
      <c r="H182" s="24" t="s">
        <v>19330</v>
      </c>
      <c r="I182" s="22" t="s">
        <v>19309</v>
      </c>
      <c r="J182" s="22" t="s">
        <v>19573</v>
      </c>
      <c r="K182" s="22" t="s">
        <v>19574</v>
      </c>
      <c r="L182" s="22"/>
      <c r="M182" s="22"/>
      <c r="N182" s="25" t="str">
        <f>HYPERLINK("http://slimages.macys.com/is/image/MCY/21209342 ")</f>
        <v xml:space="preserve">http://slimages.macys.com/is/image/MCY/21209342 </v>
      </c>
    </row>
    <row r="183" spans="1:14" ht="24.75" x14ac:dyDescent="0.25">
      <c r="A183" s="21" t="s">
        <v>9738</v>
      </c>
      <c r="B183" s="22" t="s">
        <v>9739</v>
      </c>
      <c r="C183" s="2">
        <v>33</v>
      </c>
      <c r="D183" s="23">
        <v>5.99</v>
      </c>
      <c r="E183" s="3">
        <v>197.67</v>
      </c>
      <c r="F183" s="2" t="s">
        <v>17245</v>
      </c>
      <c r="G183" s="22" t="s">
        <v>19670</v>
      </c>
      <c r="H183" s="24" t="s">
        <v>19538</v>
      </c>
      <c r="I183" s="22" t="s">
        <v>19309</v>
      </c>
      <c r="J183" s="22" t="s">
        <v>19573</v>
      </c>
      <c r="K183" s="22" t="s">
        <v>19574</v>
      </c>
      <c r="L183" s="22"/>
      <c r="M183" s="22"/>
      <c r="N183" s="25" t="str">
        <f>HYPERLINK("http://slimages.macys.com/is/image/MCY/21209342 ")</f>
        <v xml:space="preserve">http://slimages.macys.com/is/image/MCY/21209342 </v>
      </c>
    </row>
    <row r="184" spans="1:14" ht="24.75" x14ac:dyDescent="0.25">
      <c r="A184" s="21" t="s">
        <v>9740</v>
      </c>
      <c r="B184" s="22" t="s">
        <v>9741</v>
      </c>
      <c r="C184" s="2">
        <v>10</v>
      </c>
      <c r="D184" s="23">
        <v>5.99</v>
      </c>
      <c r="E184" s="3">
        <v>59.9</v>
      </c>
      <c r="F184" s="2" t="s">
        <v>9742</v>
      </c>
      <c r="G184" s="22" t="s">
        <v>19351</v>
      </c>
      <c r="H184" s="24" t="s">
        <v>19324</v>
      </c>
      <c r="I184" s="22" t="s">
        <v>19309</v>
      </c>
      <c r="J184" s="22" t="s">
        <v>19573</v>
      </c>
      <c r="K184" s="22" t="s">
        <v>19574</v>
      </c>
      <c r="L184" s="22"/>
      <c r="M184" s="22"/>
      <c r="N184" s="25" t="str">
        <f>HYPERLINK("http://slimages.macys.com/is/image/MCY/21361774 ")</f>
        <v xml:space="preserve">http://slimages.macys.com/is/image/MCY/21361774 </v>
      </c>
    </row>
    <row r="185" spans="1:14" ht="24.75" x14ac:dyDescent="0.25">
      <c r="A185" s="21" t="s">
        <v>9743</v>
      </c>
      <c r="B185" s="22" t="s">
        <v>9744</v>
      </c>
      <c r="C185" s="2">
        <v>10</v>
      </c>
      <c r="D185" s="23">
        <v>5.99</v>
      </c>
      <c r="E185" s="3">
        <v>59.9</v>
      </c>
      <c r="F185" s="2" t="s">
        <v>17411</v>
      </c>
      <c r="G185" s="22" t="s">
        <v>19351</v>
      </c>
      <c r="H185" s="24" t="s">
        <v>19330</v>
      </c>
      <c r="I185" s="22" t="s">
        <v>19309</v>
      </c>
      <c r="J185" s="22" t="s">
        <v>19573</v>
      </c>
      <c r="K185" s="22" t="s">
        <v>19574</v>
      </c>
      <c r="L185" s="22"/>
      <c r="M185" s="22"/>
      <c r="N185" s="25" t="str">
        <f>HYPERLINK("http://slimages.macys.com/is/image/MCY/1537013 ")</f>
        <v xml:space="preserve">http://slimages.macys.com/is/image/MCY/1537013 </v>
      </c>
    </row>
    <row r="186" spans="1:14" ht="24.75" x14ac:dyDescent="0.25">
      <c r="A186" s="21" t="s">
        <v>9341</v>
      </c>
      <c r="B186" s="22" t="s">
        <v>9342</v>
      </c>
      <c r="C186" s="2">
        <v>25</v>
      </c>
      <c r="D186" s="23">
        <v>5.99</v>
      </c>
      <c r="E186" s="3">
        <v>149.75</v>
      </c>
      <c r="F186" s="2" t="s">
        <v>17411</v>
      </c>
      <c r="G186" s="22" t="s">
        <v>19351</v>
      </c>
      <c r="H186" s="24" t="s">
        <v>19384</v>
      </c>
      <c r="I186" s="22" t="s">
        <v>19309</v>
      </c>
      <c r="J186" s="22" t="s">
        <v>19573</v>
      </c>
      <c r="K186" s="22" t="s">
        <v>19574</v>
      </c>
      <c r="L186" s="22"/>
      <c r="M186" s="22"/>
      <c r="N186" s="25" t="str">
        <f>HYPERLINK("http://slimages.macys.com/is/image/MCY/1537013 ")</f>
        <v xml:space="preserve">http://slimages.macys.com/is/image/MCY/1537013 </v>
      </c>
    </row>
    <row r="187" spans="1:14" ht="24.75" x14ac:dyDescent="0.25">
      <c r="A187" s="21" t="s">
        <v>9745</v>
      </c>
      <c r="B187" s="22" t="s">
        <v>17404</v>
      </c>
      <c r="C187" s="2">
        <v>10</v>
      </c>
      <c r="D187" s="23">
        <v>5.99</v>
      </c>
      <c r="E187" s="3">
        <v>59.9</v>
      </c>
      <c r="F187" s="2" t="s">
        <v>17309</v>
      </c>
      <c r="G187" s="22" t="s">
        <v>19351</v>
      </c>
      <c r="H187" s="24" t="s">
        <v>19538</v>
      </c>
      <c r="I187" s="22" t="s">
        <v>19309</v>
      </c>
      <c r="J187" s="22" t="s">
        <v>19573</v>
      </c>
      <c r="K187" s="22" t="s">
        <v>19574</v>
      </c>
      <c r="L187" s="22"/>
      <c r="M187" s="22"/>
      <c r="N187" s="25" t="str">
        <f>HYPERLINK("http://slimages.macys.com/is/image/MCY/1554658 ")</f>
        <v xml:space="preserve">http://slimages.macys.com/is/image/MCY/1554658 </v>
      </c>
    </row>
    <row r="188" spans="1:14" ht="24.75" x14ac:dyDescent="0.25">
      <c r="A188" s="21" t="s">
        <v>17315</v>
      </c>
      <c r="B188" s="22" t="s">
        <v>17316</v>
      </c>
      <c r="C188" s="2">
        <v>2</v>
      </c>
      <c r="D188" s="23">
        <v>5.99</v>
      </c>
      <c r="E188" s="3">
        <v>11.98</v>
      </c>
      <c r="F188" s="2" t="s">
        <v>17472</v>
      </c>
      <c r="G188" s="22" t="s">
        <v>19467</v>
      </c>
      <c r="H188" s="24" t="s">
        <v>19324</v>
      </c>
      <c r="I188" s="22" t="s">
        <v>19309</v>
      </c>
      <c r="J188" s="22" t="s">
        <v>19573</v>
      </c>
      <c r="K188" s="22" t="s">
        <v>19574</v>
      </c>
      <c r="L188" s="22"/>
      <c r="M188" s="22"/>
      <c r="N188" s="25" t="str">
        <f>HYPERLINK("http://slimages.macys.com/is/image/MCY/16605973 ")</f>
        <v xml:space="preserve">http://slimages.macys.com/is/image/MCY/16605973 </v>
      </c>
    </row>
    <row r="189" spans="1:14" ht="24.75" x14ac:dyDescent="0.25">
      <c r="A189" s="21" t="s">
        <v>9746</v>
      </c>
      <c r="B189" s="22" t="s">
        <v>9747</v>
      </c>
      <c r="C189" s="2">
        <v>1</v>
      </c>
      <c r="D189" s="23">
        <v>7.99</v>
      </c>
      <c r="E189" s="3">
        <v>7.99</v>
      </c>
      <c r="F189" s="2" t="s">
        <v>9748</v>
      </c>
      <c r="G189" s="22" t="s">
        <v>19351</v>
      </c>
      <c r="H189" s="24" t="s">
        <v>19907</v>
      </c>
      <c r="I189" s="22" t="s">
        <v>19309</v>
      </c>
      <c r="J189" s="22" t="s">
        <v>19573</v>
      </c>
      <c r="K189" s="22" t="s">
        <v>19574</v>
      </c>
      <c r="L189" s="22"/>
      <c r="M189" s="22"/>
      <c r="N189" s="25" t="str">
        <f>HYPERLINK("http://slimages.macys.com/is/image/MCY/18838573 ")</f>
        <v xml:space="preserve">http://slimages.macys.com/is/image/MCY/18838573 </v>
      </c>
    </row>
    <row r="190" spans="1:14" x14ac:dyDescent="0.25">
      <c r="A190" s="21" t="s">
        <v>9749</v>
      </c>
      <c r="B190" s="22" t="s">
        <v>9750</v>
      </c>
      <c r="C190" s="2">
        <v>1</v>
      </c>
      <c r="D190" s="23">
        <v>36.99</v>
      </c>
      <c r="E190" s="3">
        <v>36.99</v>
      </c>
      <c r="F190" s="2" t="s">
        <v>11186</v>
      </c>
      <c r="G190" s="22" t="s">
        <v>19307</v>
      </c>
      <c r="H190" s="24"/>
      <c r="I190" s="22" t="s">
        <v>19309</v>
      </c>
      <c r="J190" s="22" t="s">
        <v>19310</v>
      </c>
      <c r="K190" s="22" t="s">
        <v>19311</v>
      </c>
      <c r="L190" s="22"/>
      <c r="M190" s="22"/>
      <c r="N190" s="25"/>
    </row>
    <row r="191" spans="1:14" ht="24.75" x14ac:dyDescent="0.25">
      <c r="A191" s="21" t="s">
        <v>9751</v>
      </c>
      <c r="B191" s="22" t="s">
        <v>9752</v>
      </c>
      <c r="C191" s="2">
        <v>25</v>
      </c>
      <c r="D191" s="23">
        <v>32.99</v>
      </c>
      <c r="E191" s="3">
        <v>824.75</v>
      </c>
      <c r="F191" s="2" t="s">
        <v>11194</v>
      </c>
      <c r="G191" s="22" t="s">
        <v>19415</v>
      </c>
      <c r="H191" s="24" t="s">
        <v>19324</v>
      </c>
      <c r="I191" s="22" t="s">
        <v>19309</v>
      </c>
      <c r="J191" s="22" t="s">
        <v>19385</v>
      </c>
      <c r="K191" s="22" t="s">
        <v>19487</v>
      </c>
      <c r="L191" s="22"/>
      <c r="M191" s="22"/>
      <c r="N191" s="25"/>
    </row>
    <row r="192" spans="1:14" ht="24.75" x14ac:dyDescent="0.25">
      <c r="A192" s="21" t="s">
        <v>9753</v>
      </c>
      <c r="B192" s="22" t="s">
        <v>9754</v>
      </c>
      <c r="C192" s="2">
        <v>15</v>
      </c>
      <c r="D192" s="23">
        <v>26.99</v>
      </c>
      <c r="E192" s="3">
        <v>404.85</v>
      </c>
      <c r="F192" s="2" t="s">
        <v>13552</v>
      </c>
      <c r="G192" s="22" t="s">
        <v>19422</v>
      </c>
      <c r="H192" s="24" t="s">
        <v>19384</v>
      </c>
      <c r="I192" s="22" t="s">
        <v>19309</v>
      </c>
      <c r="J192" s="22" t="s">
        <v>19385</v>
      </c>
      <c r="K192" s="22" t="s">
        <v>19487</v>
      </c>
      <c r="L192" s="22"/>
      <c r="M192" s="22"/>
      <c r="N192" s="25"/>
    </row>
    <row r="193" spans="1:14" ht="24.75" x14ac:dyDescent="0.25">
      <c r="A193" s="21" t="s">
        <v>17489</v>
      </c>
      <c r="B193" s="22" t="s">
        <v>17490</v>
      </c>
      <c r="C193" s="2">
        <v>22</v>
      </c>
      <c r="D193" s="23">
        <v>26.99</v>
      </c>
      <c r="E193" s="3">
        <v>593.78</v>
      </c>
      <c r="F193" s="2" t="s">
        <v>17488</v>
      </c>
      <c r="G193" s="22" t="s">
        <v>19357</v>
      </c>
      <c r="H193" s="24" t="s">
        <v>19324</v>
      </c>
      <c r="I193" s="22" t="s">
        <v>19309</v>
      </c>
      <c r="J193" s="22" t="s">
        <v>19385</v>
      </c>
      <c r="K193" s="22" t="s">
        <v>19487</v>
      </c>
      <c r="L193" s="22"/>
      <c r="M193" s="22"/>
      <c r="N193" s="25"/>
    </row>
    <row r="194" spans="1:14" ht="24.75" x14ac:dyDescent="0.25">
      <c r="A194" s="21" t="s">
        <v>17493</v>
      </c>
      <c r="B194" s="22" t="s">
        <v>17494</v>
      </c>
      <c r="C194" s="2">
        <v>12</v>
      </c>
      <c r="D194" s="23">
        <v>26.99</v>
      </c>
      <c r="E194" s="3">
        <v>323.88</v>
      </c>
      <c r="F194" s="2" t="s">
        <v>17488</v>
      </c>
      <c r="G194" s="22" t="s">
        <v>19357</v>
      </c>
      <c r="H194" s="24" t="s">
        <v>19538</v>
      </c>
      <c r="I194" s="22" t="s">
        <v>19309</v>
      </c>
      <c r="J194" s="22" t="s">
        <v>19385</v>
      </c>
      <c r="K194" s="22" t="s">
        <v>19487</v>
      </c>
      <c r="L194" s="22"/>
      <c r="M194" s="22"/>
      <c r="N194" s="25"/>
    </row>
    <row r="195" spans="1:14" ht="24.75" x14ac:dyDescent="0.25">
      <c r="A195" s="21" t="s">
        <v>9755</v>
      </c>
      <c r="B195" s="22" t="s">
        <v>9756</v>
      </c>
      <c r="C195" s="2">
        <v>4</v>
      </c>
      <c r="D195" s="23">
        <v>24.99</v>
      </c>
      <c r="E195" s="3">
        <v>99.96</v>
      </c>
      <c r="F195" s="2" t="s">
        <v>9432</v>
      </c>
      <c r="G195" s="22" t="s">
        <v>19333</v>
      </c>
      <c r="H195" s="24" t="s">
        <v>19538</v>
      </c>
      <c r="I195" s="22" t="s">
        <v>19309</v>
      </c>
      <c r="J195" s="22" t="s">
        <v>19385</v>
      </c>
      <c r="K195" s="22" t="s">
        <v>19386</v>
      </c>
      <c r="L195" s="22"/>
      <c r="M195" s="22"/>
      <c r="N195" s="25"/>
    </row>
    <row r="196" spans="1:14" ht="24.75" x14ac:dyDescent="0.25">
      <c r="A196" s="21" t="s">
        <v>9757</v>
      </c>
      <c r="B196" s="22" t="s">
        <v>9758</v>
      </c>
      <c r="C196" s="2">
        <v>1</v>
      </c>
      <c r="D196" s="23">
        <v>24.99</v>
      </c>
      <c r="E196" s="3">
        <v>24.99</v>
      </c>
      <c r="F196" s="2" t="s">
        <v>9432</v>
      </c>
      <c r="G196" s="22" t="s">
        <v>19333</v>
      </c>
      <c r="H196" s="24" t="s">
        <v>19324</v>
      </c>
      <c r="I196" s="22" t="s">
        <v>19309</v>
      </c>
      <c r="J196" s="22" t="s">
        <v>19385</v>
      </c>
      <c r="K196" s="22" t="s">
        <v>19386</v>
      </c>
      <c r="L196" s="22"/>
      <c r="M196" s="22"/>
      <c r="N196" s="25"/>
    </row>
    <row r="197" spans="1:14" ht="24.75" x14ac:dyDescent="0.25">
      <c r="A197" s="21" t="s">
        <v>9759</v>
      </c>
      <c r="B197" s="22" t="s">
        <v>9760</v>
      </c>
      <c r="C197" s="2">
        <v>4</v>
      </c>
      <c r="D197" s="23">
        <v>24.99</v>
      </c>
      <c r="E197" s="3">
        <v>99.96</v>
      </c>
      <c r="F197" s="2" t="s">
        <v>9432</v>
      </c>
      <c r="G197" s="22" t="s">
        <v>19333</v>
      </c>
      <c r="H197" s="24" t="s">
        <v>19330</v>
      </c>
      <c r="I197" s="22" t="s">
        <v>19309</v>
      </c>
      <c r="J197" s="22" t="s">
        <v>19385</v>
      </c>
      <c r="K197" s="22" t="s">
        <v>19386</v>
      </c>
      <c r="L197" s="22"/>
      <c r="M197" s="22"/>
      <c r="N197" s="25"/>
    </row>
    <row r="198" spans="1:14" x14ac:dyDescent="0.25">
      <c r="A198" s="21" t="s">
        <v>9761</v>
      </c>
      <c r="B198" s="22" t="s">
        <v>9762</v>
      </c>
      <c r="C198" s="2">
        <v>7</v>
      </c>
      <c r="D198" s="23">
        <v>20</v>
      </c>
      <c r="E198" s="3">
        <v>140</v>
      </c>
      <c r="F198" s="2" t="s">
        <v>9763</v>
      </c>
      <c r="G198" s="22" t="s">
        <v>19431</v>
      </c>
      <c r="H198" s="24" t="s">
        <v>19364</v>
      </c>
      <c r="I198" s="22" t="s">
        <v>19309</v>
      </c>
      <c r="J198" s="22" t="s">
        <v>19559</v>
      </c>
      <c r="K198" s="22" t="s">
        <v>12721</v>
      </c>
      <c r="L198" s="22"/>
      <c r="M198" s="22"/>
      <c r="N198" s="25"/>
    </row>
    <row r="199" spans="1:14" x14ac:dyDescent="0.25">
      <c r="A199" s="21" t="s">
        <v>9764</v>
      </c>
      <c r="B199" s="22" t="s">
        <v>9765</v>
      </c>
      <c r="C199" s="2">
        <v>15</v>
      </c>
      <c r="D199" s="23">
        <v>20</v>
      </c>
      <c r="E199" s="3">
        <v>300</v>
      </c>
      <c r="F199" s="2" t="s">
        <v>9763</v>
      </c>
      <c r="G199" s="22" t="s">
        <v>19431</v>
      </c>
      <c r="H199" s="24" t="s">
        <v>19352</v>
      </c>
      <c r="I199" s="22" t="s">
        <v>19309</v>
      </c>
      <c r="J199" s="22" t="s">
        <v>19559</v>
      </c>
      <c r="K199" s="22" t="s">
        <v>12721</v>
      </c>
      <c r="L199" s="22"/>
      <c r="M199" s="22"/>
      <c r="N199" s="25"/>
    </row>
    <row r="200" spans="1:14" ht="24.75" x14ac:dyDescent="0.25">
      <c r="A200" s="21" t="s">
        <v>9766</v>
      </c>
      <c r="B200" s="22" t="s">
        <v>9767</v>
      </c>
      <c r="C200" s="2">
        <v>29</v>
      </c>
      <c r="D200" s="23">
        <v>16.989999999999998</v>
      </c>
      <c r="E200" s="3">
        <v>492.71</v>
      </c>
      <c r="F200" s="2" t="s">
        <v>11200</v>
      </c>
      <c r="G200" s="22" t="s">
        <v>19333</v>
      </c>
      <c r="H200" s="24" t="s">
        <v>19334</v>
      </c>
      <c r="I200" s="22" t="s">
        <v>19309</v>
      </c>
      <c r="J200" s="22" t="s">
        <v>19519</v>
      </c>
      <c r="K200" s="22" t="s">
        <v>11201</v>
      </c>
      <c r="L200" s="22"/>
      <c r="M200" s="22"/>
      <c r="N200" s="25"/>
    </row>
    <row r="201" spans="1:14" ht="24.75" x14ac:dyDescent="0.25">
      <c r="A201" s="21" t="s">
        <v>9768</v>
      </c>
      <c r="B201" s="22" t="s">
        <v>9769</v>
      </c>
      <c r="C201" s="2">
        <v>30</v>
      </c>
      <c r="D201" s="23">
        <v>16.989999999999998</v>
      </c>
      <c r="E201" s="3">
        <v>509.7</v>
      </c>
      <c r="F201" s="2" t="s">
        <v>11200</v>
      </c>
      <c r="G201" s="22" t="s">
        <v>19333</v>
      </c>
      <c r="H201" s="24" t="s">
        <v>19345</v>
      </c>
      <c r="I201" s="22" t="s">
        <v>19309</v>
      </c>
      <c r="J201" s="22" t="s">
        <v>19519</v>
      </c>
      <c r="K201" s="22" t="s">
        <v>11201</v>
      </c>
      <c r="L201" s="22"/>
      <c r="M201" s="22"/>
      <c r="N201" s="25"/>
    </row>
    <row r="202" spans="1:14" ht="24.75" x14ac:dyDescent="0.25">
      <c r="A202" s="21" t="s">
        <v>9770</v>
      </c>
      <c r="B202" s="22" t="s">
        <v>9771</v>
      </c>
      <c r="C202" s="2">
        <v>6</v>
      </c>
      <c r="D202" s="23">
        <v>18.989999999999998</v>
      </c>
      <c r="E202" s="3">
        <v>113.94</v>
      </c>
      <c r="F202" s="2" t="s">
        <v>11204</v>
      </c>
      <c r="G202" s="22" t="s">
        <v>19323</v>
      </c>
      <c r="H202" s="24" t="s">
        <v>19377</v>
      </c>
      <c r="I202" s="22" t="s">
        <v>19309</v>
      </c>
      <c r="J202" s="22" t="s">
        <v>19519</v>
      </c>
      <c r="K202" s="22" t="s">
        <v>11201</v>
      </c>
      <c r="L202" s="22"/>
      <c r="M202" s="22"/>
      <c r="N202" s="25"/>
    </row>
    <row r="203" spans="1:14" ht="24.75" x14ac:dyDescent="0.25">
      <c r="A203" s="21" t="s">
        <v>9772</v>
      </c>
      <c r="B203" s="22" t="s">
        <v>9773</v>
      </c>
      <c r="C203" s="2">
        <v>1</v>
      </c>
      <c r="D203" s="23">
        <v>16.989999999999998</v>
      </c>
      <c r="E203" s="3">
        <v>16.989999999999998</v>
      </c>
      <c r="F203" s="2" t="s">
        <v>9774</v>
      </c>
      <c r="G203" s="22" t="s">
        <v>19315</v>
      </c>
      <c r="H203" s="24" t="s">
        <v>19308</v>
      </c>
      <c r="I203" s="22" t="s">
        <v>19309</v>
      </c>
      <c r="J203" s="22" t="s">
        <v>19815</v>
      </c>
      <c r="K203" s="22" t="s">
        <v>9775</v>
      </c>
      <c r="L203" s="22"/>
      <c r="M203" s="22"/>
      <c r="N203" s="25"/>
    </row>
    <row r="204" spans="1:14" ht="24.75" x14ac:dyDescent="0.25">
      <c r="A204" s="21" t="s">
        <v>11211</v>
      </c>
      <c r="B204" s="22" t="s">
        <v>11212</v>
      </c>
      <c r="C204" s="2">
        <v>8</v>
      </c>
      <c r="D204" s="23">
        <v>13.99</v>
      </c>
      <c r="E204" s="3">
        <v>111.92</v>
      </c>
      <c r="F204" s="2" t="s">
        <v>11213</v>
      </c>
      <c r="G204" s="22"/>
      <c r="H204" s="24" t="s">
        <v>19416</v>
      </c>
      <c r="I204" s="22" t="s">
        <v>19309</v>
      </c>
      <c r="J204" s="22" t="s">
        <v>19385</v>
      </c>
      <c r="K204" s="22" t="s">
        <v>11214</v>
      </c>
      <c r="L204" s="22"/>
      <c r="M204" s="22"/>
      <c r="N204" s="25"/>
    </row>
    <row r="205" spans="1:14" x14ac:dyDescent="0.25">
      <c r="A205" s="21" t="s">
        <v>9776</v>
      </c>
      <c r="B205" s="22" t="s">
        <v>9777</v>
      </c>
      <c r="C205" s="2">
        <v>11</v>
      </c>
      <c r="D205" s="23">
        <v>18</v>
      </c>
      <c r="E205" s="3">
        <v>198</v>
      </c>
      <c r="F205" s="2" t="s">
        <v>9778</v>
      </c>
      <c r="G205" s="22" t="s">
        <v>19357</v>
      </c>
      <c r="H205" s="24" t="s">
        <v>19367</v>
      </c>
      <c r="I205" s="22" t="s">
        <v>19309</v>
      </c>
      <c r="J205" s="22" t="s">
        <v>19708</v>
      </c>
      <c r="K205" s="22" t="s">
        <v>19709</v>
      </c>
      <c r="L205" s="22"/>
      <c r="M205" s="22"/>
      <c r="N205" s="25"/>
    </row>
    <row r="206" spans="1:14" ht="24.75" x14ac:dyDescent="0.25">
      <c r="A206" s="21" t="s">
        <v>9779</v>
      </c>
      <c r="B206" s="22" t="s">
        <v>9780</v>
      </c>
      <c r="C206" s="2">
        <v>7</v>
      </c>
      <c r="D206" s="23">
        <v>10.91</v>
      </c>
      <c r="E206" s="3">
        <v>76.37</v>
      </c>
      <c r="F206" s="2" t="s">
        <v>9781</v>
      </c>
      <c r="G206" s="22" t="s">
        <v>19467</v>
      </c>
      <c r="H206" s="24" t="s">
        <v>19334</v>
      </c>
      <c r="I206" s="22" t="s">
        <v>19309</v>
      </c>
      <c r="J206" s="22" t="s">
        <v>19602</v>
      </c>
      <c r="K206" s="22" t="s">
        <v>20041</v>
      </c>
      <c r="L206" s="22"/>
      <c r="M206" s="22"/>
      <c r="N206" s="25"/>
    </row>
    <row r="207" spans="1:14" x14ac:dyDescent="0.25">
      <c r="A207" s="21" t="s">
        <v>9782</v>
      </c>
      <c r="B207" s="22" t="s">
        <v>9783</v>
      </c>
      <c r="C207" s="2">
        <v>9</v>
      </c>
      <c r="D207" s="23">
        <v>18</v>
      </c>
      <c r="E207" s="3">
        <v>162</v>
      </c>
      <c r="F207" s="2" t="s">
        <v>9784</v>
      </c>
      <c r="G207" s="22" t="s">
        <v>19467</v>
      </c>
      <c r="H207" s="24" t="s">
        <v>20159</v>
      </c>
      <c r="I207" s="22" t="s">
        <v>19309</v>
      </c>
      <c r="J207" s="22" t="s">
        <v>19708</v>
      </c>
      <c r="K207" s="22" t="s">
        <v>19709</v>
      </c>
      <c r="L207" s="22"/>
      <c r="M207" s="22"/>
      <c r="N207" s="25"/>
    </row>
    <row r="208" spans="1:14" x14ac:dyDescent="0.25">
      <c r="A208" s="21" t="s">
        <v>9785</v>
      </c>
      <c r="B208" s="22" t="s">
        <v>9786</v>
      </c>
      <c r="C208" s="2">
        <v>12</v>
      </c>
      <c r="D208" s="23">
        <v>18</v>
      </c>
      <c r="E208" s="3">
        <v>216</v>
      </c>
      <c r="F208" s="2" t="s">
        <v>11217</v>
      </c>
      <c r="G208" s="22" t="s">
        <v>19431</v>
      </c>
      <c r="H208" s="24" t="s">
        <v>19416</v>
      </c>
      <c r="I208" s="22" t="s">
        <v>19309</v>
      </c>
      <c r="J208" s="22" t="s">
        <v>19708</v>
      </c>
      <c r="K208" s="22" t="s">
        <v>19709</v>
      </c>
      <c r="L208" s="22"/>
      <c r="M208" s="22"/>
      <c r="N208" s="25"/>
    </row>
    <row r="209" spans="1:14" ht="24.75" x14ac:dyDescent="0.25">
      <c r="A209" s="21" t="s">
        <v>9787</v>
      </c>
      <c r="B209" s="22" t="s">
        <v>9788</v>
      </c>
      <c r="C209" s="2">
        <v>1</v>
      </c>
      <c r="D209" s="23">
        <v>7.41</v>
      </c>
      <c r="E209" s="3">
        <v>7.41</v>
      </c>
      <c r="F209" s="2" t="s">
        <v>9789</v>
      </c>
      <c r="G209" s="22"/>
      <c r="H209" s="24" t="s">
        <v>19392</v>
      </c>
      <c r="I209" s="22" t="s">
        <v>19309</v>
      </c>
      <c r="J209" s="22" t="s">
        <v>19602</v>
      </c>
      <c r="K209" s="22" t="s">
        <v>20041</v>
      </c>
      <c r="L209" s="22"/>
      <c r="M209" s="22"/>
      <c r="N209" s="25"/>
    </row>
    <row r="210" spans="1:14" x14ac:dyDescent="0.25">
      <c r="A210" s="21" t="s">
        <v>9790</v>
      </c>
      <c r="B210" s="22" t="s">
        <v>9791</v>
      </c>
      <c r="C210" s="2">
        <v>21</v>
      </c>
      <c r="D210" s="23">
        <v>8.3000000000000007</v>
      </c>
      <c r="E210" s="3">
        <v>174.3</v>
      </c>
      <c r="F210" s="2" t="s">
        <v>14707</v>
      </c>
      <c r="G210" s="22" t="s">
        <v>19323</v>
      </c>
      <c r="H210" s="24" t="s">
        <v>19324</v>
      </c>
      <c r="I210" s="22" t="s">
        <v>19309</v>
      </c>
      <c r="J210" s="22" t="s">
        <v>19708</v>
      </c>
      <c r="K210" s="22" t="s">
        <v>19709</v>
      </c>
      <c r="L210" s="22"/>
      <c r="M210" s="22"/>
      <c r="N210" s="25"/>
    </row>
    <row r="211" spans="1:14" x14ac:dyDescent="0.25">
      <c r="A211" s="21" t="s">
        <v>9792</v>
      </c>
      <c r="B211" s="22" t="s">
        <v>9793</v>
      </c>
      <c r="C211" s="2">
        <v>44</v>
      </c>
      <c r="D211" s="23">
        <v>8.3000000000000007</v>
      </c>
      <c r="E211" s="3">
        <v>365.2</v>
      </c>
      <c r="F211" s="2" t="s">
        <v>14707</v>
      </c>
      <c r="G211" s="22" t="s">
        <v>19323</v>
      </c>
      <c r="H211" s="24" t="s">
        <v>20159</v>
      </c>
      <c r="I211" s="22" t="s">
        <v>19309</v>
      </c>
      <c r="J211" s="22" t="s">
        <v>19708</v>
      </c>
      <c r="K211" s="22" t="s">
        <v>19709</v>
      </c>
      <c r="L211" s="22"/>
      <c r="M211" s="22"/>
      <c r="N211" s="25"/>
    </row>
    <row r="212" spans="1:14" x14ac:dyDescent="0.25">
      <c r="A212" s="21" t="s">
        <v>9794</v>
      </c>
      <c r="B212" s="22" t="s">
        <v>9795</v>
      </c>
      <c r="C212" s="2">
        <v>3</v>
      </c>
      <c r="D212" s="23">
        <v>8.3000000000000007</v>
      </c>
      <c r="E212" s="3">
        <v>24.9</v>
      </c>
      <c r="F212" s="2" t="s">
        <v>14707</v>
      </c>
      <c r="G212" s="22" t="s">
        <v>19323</v>
      </c>
      <c r="H212" s="24" t="s">
        <v>20152</v>
      </c>
      <c r="I212" s="22" t="s">
        <v>19309</v>
      </c>
      <c r="J212" s="22" t="s">
        <v>19708</v>
      </c>
      <c r="K212" s="22" t="s">
        <v>19709</v>
      </c>
      <c r="L212" s="22"/>
      <c r="M212" s="22"/>
      <c r="N212" s="25"/>
    </row>
    <row r="213" spans="1:14" x14ac:dyDescent="0.25">
      <c r="A213" s="21" t="s">
        <v>9796</v>
      </c>
      <c r="B213" s="22" t="s">
        <v>9797</v>
      </c>
      <c r="C213" s="2">
        <v>50</v>
      </c>
      <c r="D213" s="23">
        <v>8.3000000000000007</v>
      </c>
      <c r="E213" s="3">
        <v>415</v>
      </c>
      <c r="F213" s="2" t="s">
        <v>14707</v>
      </c>
      <c r="G213" s="22" t="s">
        <v>19323</v>
      </c>
      <c r="H213" s="24" t="s">
        <v>19367</v>
      </c>
      <c r="I213" s="22" t="s">
        <v>19309</v>
      </c>
      <c r="J213" s="22" t="s">
        <v>19708</v>
      </c>
      <c r="K213" s="22" t="s">
        <v>19709</v>
      </c>
      <c r="L213" s="22"/>
      <c r="M213" s="22"/>
      <c r="N213" s="25"/>
    </row>
    <row r="214" spans="1:14" x14ac:dyDescent="0.25">
      <c r="A214" s="21" t="s">
        <v>9798</v>
      </c>
      <c r="B214" s="22" t="s">
        <v>9799</v>
      </c>
      <c r="C214" s="2">
        <v>17</v>
      </c>
      <c r="D214" s="23">
        <v>8.3000000000000007</v>
      </c>
      <c r="E214" s="3">
        <v>141.1</v>
      </c>
      <c r="F214" s="2" t="s">
        <v>9664</v>
      </c>
      <c r="G214" s="22" t="s">
        <v>19594</v>
      </c>
      <c r="H214" s="24" t="s">
        <v>19324</v>
      </c>
      <c r="I214" s="22" t="s">
        <v>19309</v>
      </c>
      <c r="J214" s="22" t="s">
        <v>19708</v>
      </c>
      <c r="K214" s="22" t="s">
        <v>19709</v>
      </c>
      <c r="L214" s="22"/>
      <c r="M214" s="22"/>
      <c r="N214" s="25"/>
    </row>
  </sheetData>
  <phoneticPr fontId="0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4"/>
  <sheetViews>
    <sheetView workbookViewId="0">
      <selection activeCell="E19" sqref="E19"/>
    </sheetView>
  </sheetViews>
  <sheetFormatPr defaultRowHeight="15" x14ac:dyDescent="0.25"/>
  <cols>
    <col min="1" max="1" width="14.42578125" customWidth="1"/>
    <col min="2" max="2" width="50.42578125" customWidth="1"/>
    <col min="3" max="4" width="15" customWidth="1"/>
    <col min="5" max="5" width="10.42578125" customWidth="1"/>
    <col min="6" max="6" width="12.5703125" customWidth="1"/>
    <col min="7" max="8" width="11.42578125" customWidth="1"/>
    <col min="9" max="9" width="10.85546875" customWidth="1"/>
    <col min="10" max="10" width="12.140625" customWidth="1"/>
    <col min="11" max="11" width="36.5703125" bestFit="1" customWidth="1"/>
    <col min="12" max="13" width="20.5703125" customWidth="1"/>
    <col min="14" max="14" width="64.42578125" customWidth="1"/>
  </cols>
  <sheetData>
    <row r="1" spans="1:14" ht="36" x14ac:dyDescent="0.25">
      <c r="A1" s="1" t="s">
        <v>19291</v>
      </c>
      <c r="B1" s="1" t="s">
        <v>19292</v>
      </c>
      <c r="C1" s="1" t="s">
        <v>19293</v>
      </c>
      <c r="D1" s="1" t="s">
        <v>19284</v>
      </c>
      <c r="E1" s="1" t="s">
        <v>19294</v>
      </c>
      <c r="F1" s="1" t="s">
        <v>19295</v>
      </c>
      <c r="G1" s="1" t="s">
        <v>19296</v>
      </c>
      <c r="H1" s="1" t="s">
        <v>19297</v>
      </c>
      <c r="I1" s="1" t="s">
        <v>19298</v>
      </c>
      <c r="J1" s="1" t="s">
        <v>19299</v>
      </c>
      <c r="K1" s="1" t="s">
        <v>19300</v>
      </c>
      <c r="L1" s="1" t="s">
        <v>19301</v>
      </c>
      <c r="M1" s="1" t="s">
        <v>19302</v>
      </c>
      <c r="N1" s="1" t="s">
        <v>19303</v>
      </c>
    </row>
    <row r="2" spans="1:14" ht="24.75" x14ac:dyDescent="0.25">
      <c r="A2" s="21" t="s">
        <v>9800</v>
      </c>
      <c r="B2" s="22" t="s">
        <v>9801</v>
      </c>
      <c r="C2" s="2">
        <v>2</v>
      </c>
      <c r="D2" s="23">
        <v>48.28</v>
      </c>
      <c r="E2" s="3">
        <v>96.56</v>
      </c>
      <c r="F2" s="2" t="s">
        <v>9802</v>
      </c>
      <c r="G2" s="22" t="s">
        <v>18429</v>
      </c>
      <c r="H2" s="24" t="s">
        <v>19361</v>
      </c>
      <c r="I2" s="22" t="s">
        <v>19309</v>
      </c>
      <c r="J2" s="22" t="s">
        <v>19317</v>
      </c>
      <c r="K2" s="22" t="s">
        <v>15499</v>
      </c>
      <c r="L2" s="22"/>
      <c r="M2" s="22"/>
      <c r="N2" s="25" t="str">
        <f>HYPERLINK("http://slimages.macys.com/is/image/MCY/20361504 ")</f>
        <v xml:space="preserve">http://slimages.macys.com/is/image/MCY/20361504 </v>
      </c>
    </row>
    <row r="3" spans="1:14" ht="24.75" x14ac:dyDescent="0.25">
      <c r="A3" s="21" t="s">
        <v>9803</v>
      </c>
      <c r="B3" s="22" t="s">
        <v>9804</v>
      </c>
      <c r="C3" s="2">
        <v>14</v>
      </c>
      <c r="D3" s="23">
        <v>39.5</v>
      </c>
      <c r="E3" s="3">
        <v>553</v>
      </c>
      <c r="F3" s="2">
        <v>322842275002</v>
      </c>
      <c r="G3" s="22" t="s">
        <v>19333</v>
      </c>
      <c r="H3" s="24" t="s">
        <v>19542</v>
      </c>
      <c r="I3" s="22" t="s">
        <v>19309</v>
      </c>
      <c r="J3" s="22" t="s">
        <v>19335</v>
      </c>
      <c r="K3" s="22" t="s">
        <v>19326</v>
      </c>
      <c r="L3" s="22"/>
      <c r="M3" s="22"/>
      <c r="N3" s="25" t="str">
        <f>HYPERLINK("http://slimages.macys.com/is/image/MCY/19469073 ")</f>
        <v xml:space="preserve">http://slimages.macys.com/is/image/MCY/19469073 </v>
      </c>
    </row>
    <row r="4" spans="1:14" x14ac:dyDescent="0.25">
      <c r="A4" s="21" t="s">
        <v>9805</v>
      </c>
      <c r="B4" s="22" t="s">
        <v>9806</v>
      </c>
      <c r="C4" s="2">
        <v>12</v>
      </c>
      <c r="D4" s="23">
        <v>29.99</v>
      </c>
      <c r="E4" s="3">
        <v>359.88</v>
      </c>
      <c r="F4" s="2" t="s">
        <v>9807</v>
      </c>
      <c r="G4" s="22" t="s">
        <v>19342</v>
      </c>
      <c r="H4" s="24" t="s">
        <v>19478</v>
      </c>
      <c r="I4" s="22" t="s">
        <v>19309</v>
      </c>
      <c r="J4" s="22" t="s">
        <v>19696</v>
      </c>
      <c r="K4" s="22" t="s">
        <v>19697</v>
      </c>
      <c r="L4" s="22"/>
      <c r="M4" s="22"/>
      <c r="N4" s="25" t="str">
        <f>HYPERLINK("http://slimages.macys.com/is/image/MCY/21355146 ")</f>
        <v xml:space="preserve">http://slimages.macys.com/is/image/MCY/21355146 </v>
      </c>
    </row>
    <row r="5" spans="1:14" x14ac:dyDescent="0.25">
      <c r="A5" s="21" t="s">
        <v>9808</v>
      </c>
      <c r="B5" s="22" t="s">
        <v>9809</v>
      </c>
      <c r="C5" s="2">
        <v>12</v>
      </c>
      <c r="D5" s="23">
        <v>29.99</v>
      </c>
      <c r="E5" s="3">
        <v>359.88</v>
      </c>
      <c r="F5" s="2" t="s">
        <v>9807</v>
      </c>
      <c r="G5" s="22" t="s">
        <v>19342</v>
      </c>
      <c r="H5" s="24" t="s">
        <v>19395</v>
      </c>
      <c r="I5" s="22" t="s">
        <v>19309</v>
      </c>
      <c r="J5" s="22" t="s">
        <v>19696</v>
      </c>
      <c r="K5" s="22" t="s">
        <v>19697</v>
      </c>
      <c r="L5" s="22"/>
      <c r="M5" s="22"/>
      <c r="N5" s="25" t="str">
        <f>HYPERLINK("http://slimages.macys.com/is/image/MCY/21355146 ")</f>
        <v xml:space="preserve">http://slimages.macys.com/is/image/MCY/21355146 </v>
      </c>
    </row>
    <row r="6" spans="1:14" x14ac:dyDescent="0.25">
      <c r="A6" s="21" t="s">
        <v>10878</v>
      </c>
      <c r="B6" s="22" t="s">
        <v>10879</v>
      </c>
      <c r="C6" s="2">
        <v>21</v>
      </c>
      <c r="D6" s="23">
        <v>29.99</v>
      </c>
      <c r="E6" s="3">
        <v>629.79</v>
      </c>
      <c r="F6" s="2" t="s">
        <v>10877</v>
      </c>
      <c r="G6" s="22" t="s">
        <v>19342</v>
      </c>
      <c r="H6" s="24" t="s">
        <v>19478</v>
      </c>
      <c r="I6" s="22" t="s">
        <v>19309</v>
      </c>
      <c r="J6" s="22" t="s">
        <v>19696</v>
      </c>
      <c r="K6" s="22" t="s">
        <v>19697</v>
      </c>
      <c r="L6" s="22"/>
      <c r="M6" s="22"/>
      <c r="N6" s="25" t="str">
        <f>HYPERLINK("http://slimages.macys.com/is/image/MCY/21696384 ")</f>
        <v xml:space="preserve">http://slimages.macys.com/is/image/MCY/21696384 </v>
      </c>
    </row>
    <row r="7" spans="1:14" ht="24.75" x14ac:dyDescent="0.25">
      <c r="A7" s="21" t="s">
        <v>9810</v>
      </c>
      <c r="B7" s="22" t="s">
        <v>9811</v>
      </c>
      <c r="C7" s="2">
        <v>2</v>
      </c>
      <c r="D7" s="23">
        <v>20.7</v>
      </c>
      <c r="E7" s="3">
        <v>41.4</v>
      </c>
      <c r="F7" s="2" t="s">
        <v>9812</v>
      </c>
      <c r="G7" s="22" t="s">
        <v>19404</v>
      </c>
      <c r="H7" s="24"/>
      <c r="I7" s="22" t="s">
        <v>19309</v>
      </c>
      <c r="J7" s="22" t="s">
        <v>19317</v>
      </c>
      <c r="K7" s="22" t="s">
        <v>15106</v>
      </c>
      <c r="L7" s="22"/>
      <c r="M7" s="22"/>
      <c r="N7" s="25" t="str">
        <f>HYPERLINK("http://slimages.macys.com/is/image/MCY/19992163 ")</f>
        <v xml:space="preserve">http://slimages.macys.com/is/image/MCY/19992163 </v>
      </c>
    </row>
    <row r="8" spans="1:14" ht="24.75" x14ac:dyDescent="0.25">
      <c r="A8" s="21" t="s">
        <v>9813</v>
      </c>
      <c r="B8" s="22" t="s">
        <v>9814</v>
      </c>
      <c r="C8" s="2">
        <v>10</v>
      </c>
      <c r="D8" s="23">
        <v>24.99</v>
      </c>
      <c r="E8" s="3">
        <v>249.9</v>
      </c>
      <c r="F8" s="2" t="s">
        <v>9421</v>
      </c>
      <c r="G8" s="22" t="s">
        <v>19462</v>
      </c>
      <c r="H8" s="24" t="s">
        <v>19538</v>
      </c>
      <c r="I8" s="22" t="s">
        <v>19309</v>
      </c>
      <c r="J8" s="22" t="s">
        <v>19385</v>
      </c>
      <c r="K8" s="22" t="s">
        <v>19386</v>
      </c>
      <c r="L8" s="22"/>
      <c r="M8" s="22"/>
      <c r="N8" s="25" t="str">
        <f>HYPERLINK("http://slimages.macys.com/is/image/MCY/21465558 ")</f>
        <v xml:space="preserve">http://slimages.macys.com/is/image/MCY/21465558 </v>
      </c>
    </row>
    <row r="9" spans="1:14" ht="24.75" x14ac:dyDescent="0.25">
      <c r="A9" s="21" t="s">
        <v>9815</v>
      </c>
      <c r="B9" s="22" t="s">
        <v>9816</v>
      </c>
      <c r="C9" s="2">
        <v>30</v>
      </c>
      <c r="D9" s="23">
        <v>24.99</v>
      </c>
      <c r="E9" s="3">
        <v>749.7</v>
      </c>
      <c r="F9" s="2" t="s">
        <v>10882</v>
      </c>
      <c r="G9" s="22" t="s">
        <v>19323</v>
      </c>
      <c r="H9" s="24" t="s">
        <v>19416</v>
      </c>
      <c r="I9" s="22" t="s">
        <v>19309</v>
      </c>
      <c r="J9" s="22" t="s">
        <v>19385</v>
      </c>
      <c r="K9" s="22" t="s">
        <v>19386</v>
      </c>
      <c r="L9" s="22"/>
      <c r="M9" s="22"/>
      <c r="N9" s="25" t="str">
        <f>HYPERLINK("http://slimages.macys.com/is/image/MCY/21820640 ")</f>
        <v xml:space="preserve">http://slimages.macys.com/is/image/MCY/21820640 </v>
      </c>
    </row>
    <row r="10" spans="1:14" ht="24.75" x14ac:dyDescent="0.25">
      <c r="A10" s="21" t="s">
        <v>11451</v>
      </c>
      <c r="B10" s="22" t="s">
        <v>11452</v>
      </c>
      <c r="C10" s="2">
        <v>12</v>
      </c>
      <c r="D10" s="23">
        <v>26.99</v>
      </c>
      <c r="E10" s="3">
        <v>323.88</v>
      </c>
      <c r="F10" s="2" t="s">
        <v>19663</v>
      </c>
      <c r="G10" s="22" t="s">
        <v>19333</v>
      </c>
      <c r="H10" s="24" t="s">
        <v>19324</v>
      </c>
      <c r="I10" s="22" t="s">
        <v>19309</v>
      </c>
      <c r="J10" s="22" t="s">
        <v>19385</v>
      </c>
      <c r="K10" s="22" t="s">
        <v>19487</v>
      </c>
      <c r="L10" s="22"/>
      <c r="M10" s="22"/>
      <c r="N10" s="25" t="str">
        <f>HYPERLINK("http://slimages.macys.com/is/image/MCY/21856819 ")</f>
        <v xml:space="preserve">http://slimages.macys.com/is/image/MCY/21856819 </v>
      </c>
    </row>
    <row r="11" spans="1:14" ht="24.75" x14ac:dyDescent="0.25">
      <c r="A11" s="21" t="s">
        <v>19661</v>
      </c>
      <c r="B11" s="22" t="s">
        <v>19662</v>
      </c>
      <c r="C11" s="2">
        <v>20</v>
      </c>
      <c r="D11" s="23">
        <v>26.99</v>
      </c>
      <c r="E11" s="3">
        <v>539.79999999999995</v>
      </c>
      <c r="F11" s="2" t="s">
        <v>19663</v>
      </c>
      <c r="G11" s="22" t="s">
        <v>19333</v>
      </c>
      <c r="H11" s="24" t="s">
        <v>19416</v>
      </c>
      <c r="I11" s="22" t="s">
        <v>19309</v>
      </c>
      <c r="J11" s="22" t="s">
        <v>19385</v>
      </c>
      <c r="K11" s="22" t="s">
        <v>19487</v>
      </c>
      <c r="L11" s="22"/>
      <c r="M11" s="22"/>
      <c r="N11" s="25" t="str">
        <f>HYPERLINK("http://slimages.macys.com/is/image/MCY/21856819 ")</f>
        <v xml:space="preserve">http://slimages.macys.com/is/image/MCY/21856819 </v>
      </c>
    </row>
    <row r="12" spans="1:14" ht="24.75" x14ac:dyDescent="0.25">
      <c r="A12" s="21" t="s">
        <v>9817</v>
      </c>
      <c r="B12" s="22" t="s">
        <v>9818</v>
      </c>
      <c r="C12" s="2">
        <v>26</v>
      </c>
      <c r="D12" s="23">
        <v>24.99</v>
      </c>
      <c r="E12" s="3">
        <v>649.74</v>
      </c>
      <c r="F12" s="2" t="s">
        <v>9421</v>
      </c>
      <c r="G12" s="22" t="s">
        <v>19462</v>
      </c>
      <c r="H12" s="24" t="s">
        <v>19324</v>
      </c>
      <c r="I12" s="22" t="s">
        <v>19309</v>
      </c>
      <c r="J12" s="22" t="s">
        <v>19385</v>
      </c>
      <c r="K12" s="22" t="s">
        <v>19386</v>
      </c>
      <c r="L12" s="22"/>
      <c r="M12" s="22"/>
      <c r="N12" s="25" t="str">
        <f>HYPERLINK("http://slimages.macys.com/is/image/MCY/21465558 ")</f>
        <v xml:space="preserve">http://slimages.macys.com/is/image/MCY/21465558 </v>
      </c>
    </row>
    <row r="13" spans="1:14" ht="24.75" x14ac:dyDescent="0.25">
      <c r="A13" s="21" t="s">
        <v>10880</v>
      </c>
      <c r="B13" s="22" t="s">
        <v>10881</v>
      </c>
      <c r="C13" s="2">
        <v>15</v>
      </c>
      <c r="D13" s="23">
        <v>24.99</v>
      </c>
      <c r="E13" s="3">
        <v>374.85</v>
      </c>
      <c r="F13" s="2" t="s">
        <v>10882</v>
      </c>
      <c r="G13" s="22" t="s">
        <v>19323</v>
      </c>
      <c r="H13" s="24" t="s">
        <v>19324</v>
      </c>
      <c r="I13" s="22" t="s">
        <v>19309</v>
      </c>
      <c r="J13" s="22" t="s">
        <v>19385</v>
      </c>
      <c r="K13" s="22" t="s">
        <v>19386</v>
      </c>
      <c r="L13" s="22"/>
      <c r="M13" s="22"/>
      <c r="N13" s="25" t="str">
        <f>HYPERLINK("http://slimages.macys.com/is/image/MCY/21820640 ")</f>
        <v xml:space="preserve">http://slimages.macys.com/is/image/MCY/21820640 </v>
      </c>
    </row>
    <row r="14" spans="1:14" x14ac:dyDescent="0.25">
      <c r="A14" s="21" t="s">
        <v>9819</v>
      </c>
      <c r="B14" s="22" t="s">
        <v>9820</v>
      </c>
      <c r="C14" s="2">
        <v>24</v>
      </c>
      <c r="D14" s="23">
        <v>27.99</v>
      </c>
      <c r="E14" s="3">
        <v>671.76</v>
      </c>
      <c r="F14" s="2" t="s">
        <v>9821</v>
      </c>
      <c r="G14" s="22" t="s">
        <v>19342</v>
      </c>
      <c r="H14" s="24" t="s">
        <v>19392</v>
      </c>
      <c r="I14" s="22" t="s">
        <v>19309</v>
      </c>
      <c r="J14" s="22" t="s">
        <v>19696</v>
      </c>
      <c r="K14" s="22" t="s">
        <v>19697</v>
      </c>
      <c r="L14" s="22"/>
      <c r="M14" s="22"/>
      <c r="N14" s="25" t="str">
        <f>HYPERLINK("http://slimages.macys.com/is/image/MCY/21355165 ")</f>
        <v xml:space="preserve">http://slimages.macys.com/is/image/MCY/21355165 </v>
      </c>
    </row>
    <row r="15" spans="1:14" x14ac:dyDescent="0.25">
      <c r="A15" s="21" t="s">
        <v>9427</v>
      </c>
      <c r="B15" s="22" t="s">
        <v>9428</v>
      </c>
      <c r="C15" s="2">
        <v>9</v>
      </c>
      <c r="D15" s="23">
        <v>27.99</v>
      </c>
      <c r="E15" s="3">
        <v>251.91</v>
      </c>
      <c r="F15" s="2" t="s">
        <v>9429</v>
      </c>
      <c r="G15" s="22" t="s">
        <v>19342</v>
      </c>
      <c r="H15" s="24" t="s">
        <v>19345</v>
      </c>
      <c r="I15" s="22" t="s">
        <v>19309</v>
      </c>
      <c r="J15" s="22" t="s">
        <v>19696</v>
      </c>
      <c r="K15" s="22" t="s">
        <v>19697</v>
      </c>
      <c r="L15" s="22"/>
      <c r="M15" s="22"/>
      <c r="N15" s="25" t="str">
        <f>HYPERLINK("http://slimages.macys.com/is/image/MCY/21355162 ")</f>
        <v xml:space="preserve">http://slimages.macys.com/is/image/MCY/21355162 </v>
      </c>
    </row>
    <row r="16" spans="1:14" x14ac:dyDescent="0.25">
      <c r="A16" s="21" t="s">
        <v>10897</v>
      </c>
      <c r="B16" s="22" t="s">
        <v>10898</v>
      </c>
      <c r="C16" s="2">
        <v>12</v>
      </c>
      <c r="D16" s="23">
        <v>27.99</v>
      </c>
      <c r="E16" s="3">
        <v>335.88</v>
      </c>
      <c r="F16" s="2" t="s">
        <v>10899</v>
      </c>
      <c r="G16" s="22" t="s">
        <v>19342</v>
      </c>
      <c r="H16" s="24" t="s">
        <v>19345</v>
      </c>
      <c r="I16" s="22" t="s">
        <v>19309</v>
      </c>
      <c r="J16" s="22" t="s">
        <v>19696</v>
      </c>
      <c r="K16" s="22" t="s">
        <v>19697</v>
      </c>
      <c r="L16" s="22"/>
      <c r="M16" s="22"/>
      <c r="N16" s="25" t="str">
        <f>HYPERLINK("http://slimages.macys.com/is/image/MCY/21355157 ")</f>
        <v xml:space="preserve">http://slimages.macys.com/is/image/MCY/21355157 </v>
      </c>
    </row>
    <row r="17" spans="1:14" x14ac:dyDescent="0.25">
      <c r="A17" s="21" t="s">
        <v>9822</v>
      </c>
      <c r="B17" s="22" t="s">
        <v>9823</v>
      </c>
      <c r="C17" s="2">
        <v>24</v>
      </c>
      <c r="D17" s="23">
        <v>27.99</v>
      </c>
      <c r="E17" s="3">
        <v>671.76</v>
      </c>
      <c r="F17" s="2" t="s">
        <v>9821</v>
      </c>
      <c r="G17" s="22" t="s">
        <v>19342</v>
      </c>
      <c r="H17" s="24" t="s">
        <v>19345</v>
      </c>
      <c r="I17" s="22" t="s">
        <v>19309</v>
      </c>
      <c r="J17" s="22" t="s">
        <v>19696</v>
      </c>
      <c r="K17" s="22" t="s">
        <v>19697</v>
      </c>
      <c r="L17" s="22"/>
      <c r="M17" s="22"/>
      <c r="N17" s="25" t="str">
        <f>HYPERLINK("http://slimages.macys.com/is/image/MCY/21355165 ")</f>
        <v xml:space="preserve">http://slimages.macys.com/is/image/MCY/21355165 </v>
      </c>
    </row>
    <row r="18" spans="1:14" x14ac:dyDescent="0.25">
      <c r="A18" s="21" t="s">
        <v>9824</v>
      </c>
      <c r="B18" s="22" t="s">
        <v>9825</v>
      </c>
      <c r="C18" s="2">
        <v>24</v>
      </c>
      <c r="D18" s="23">
        <v>27.99</v>
      </c>
      <c r="E18" s="3">
        <v>671.76</v>
      </c>
      <c r="F18" s="2" t="s">
        <v>10899</v>
      </c>
      <c r="G18" s="22" t="s">
        <v>19342</v>
      </c>
      <c r="H18" s="24" t="s">
        <v>19334</v>
      </c>
      <c r="I18" s="22" t="s">
        <v>19309</v>
      </c>
      <c r="J18" s="22" t="s">
        <v>19696</v>
      </c>
      <c r="K18" s="22" t="s">
        <v>19697</v>
      </c>
      <c r="L18" s="22"/>
      <c r="M18" s="22"/>
      <c r="N18" s="25" t="str">
        <f>HYPERLINK("http://slimages.macys.com/is/image/MCY/21355157 ")</f>
        <v xml:space="preserve">http://slimages.macys.com/is/image/MCY/21355157 </v>
      </c>
    </row>
    <row r="19" spans="1:14" ht="24.75" x14ac:dyDescent="0.25">
      <c r="A19" s="21" t="s">
        <v>15722</v>
      </c>
      <c r="B19" s="22" t="s">
        <v>15723</v>
      </c>
      <c r="C19" s="2">
        <v>6</v>
      </c>
      <c r="D19" s="23">
        <v>29.99</v>
      </c>
      <c r="E19" s="3">
        <v>179.94</v>
      </c>
      <c r="F19" s="2" t="s">
        <v>15724</v>
      </c>
      <c r="G19" s="22" t="s">
        <v>19342</v>
      </c>
      <c r="H19" s="24" t="s">
        <v>19330</v>
      </c>
      <c r="I19" s="22" t="s">
        <v>19309</v>
      </c>
      <c r="J19" s="22" t="s">
        <v>19491</v>
      </c>
      <c r="K19" s="22" t="s">
        <v>15725</v>
      </c>
      <c r="L19" s="22"/>
      <c r="M19" s="22"/>
      <c r="N19" s="25" t="str">
        <f>HYPERLINK("http://slimages.macys.com/is/image/MCY/21176916 ")</f>
        <v xml:space="preserve">http://slimages.macys.com/is/image/MCY/21176916 </v>
      </c>
    </row>
    <row r="20" spans="1:14" ht="24.75" x14ac:dyDescent="0.25">
      <c r="A20" s="21" t="s">
        <v>8025</v>
      </c>
      <c r="B20" s="22" t="s">
        <v>8026</v>
      </c>
      <c r="C20" s="2">
        <v>12</v>
      </c>
      <c r="D20" s="23">
        <v>27.99</v>
      </c>
      <c r="E20" s="3">
        <v>335.88</v>
      </c>
      <c r="F20" s="2" t="s">
        <v>10896</v>
      </c>
      <c r="G20" s="22" t="s">
        <v>19342</v>
      </c>
      <c r="H20" s="24" t="s">
        <v>19392</v>
      </c>
      <c r="I20" s="22" t="s">
        <v>19309</v>
      </c>
      <c r="J20" s="22" t="s">
        <v>19696</v>
      </c>
      <c r="K20" s="22" t="s">
        <v>19965</v>
      </c>
      <c r="L20" s="22"/>
      <c r="M20" s="22"/>
      <c r="N20" s="25" t="str">
        <f>HYPERLINK("http://slimages.macys.com/is/image/MCY/21356000 ")</f>
        <v xml:space="preserve">http://slimages.macys.com/is/image/MCY/21356000 </v>
      </c>
    </row>
    <row r="21" spans="1:14" x14ac:dyDescent="0.25">
      <c r="A21" s="21" t="s">
        <v>8027</v>
      </c>
      <c r="B21" s="22" t="s">
        <v>8028</v>
      </c>
      <c r="C21" s="2">
        <v>12</v>
      </c>
      <c r="D21" s="23">
        <v>27.99</v>
      </c>
      <c r="E21" s="3">
        <v>335.88</v>
      </c>
      <c r="F21" s="2" t="s">
        <v>9821</v>
      </c>
      <c r="G21" s="22" t="s">
        <v>19342</v>
      </c>
      <c r="H21" s="24" t="s">
        <v>19334</v>
      </c>
      <c r="I21" s="22" t="s">
        <v>19309</v>
      </c>
      <c r="J21" s="22" t="s">
        <v>19696</v>
      </c>
      <c r="K21" s="22" t="s">
        <v>19697</v>
      </c>
      <c r="L21" s="22"/>
      <c r="M21" s="22"/>
      <c r="N21" s="25" t="str">
        <f>HYPERLINK("http://slimages.macys.com/is/image/MCY/21355165 ")</f>
        <v xml:space="preserve">http://slimages.macys.com/is/image/MCY/21355165 </v>
      </c>
    </row>
    <row r="22" spans="1:14" x14ac:dyDescent="0.25">
      <c r="A22" s="21" t="s">
        <v>9433</v>
      </c>
      <c r="B22" s="22" t="s">
        <v>9434</v>
      </c>
      <c r="C22" s="2">
        <v>11</v>
      </c>
      <c r="D22" s="23">
        <v>26.99</v>
      </c>
      <c r="E22" s="3">
        <v>296.89</v>
      </c>
      <c r="F22" s="2" t="s">
        <v>9435</v>
      </c>
      <c r="G22" s="22" t="s">
        <v>19342</v>
      </c>
      <c r="H22" s="24" t="s">
        <v>19395</v>
      </c>
      <c r="I22" s="22" t="s">
        <v>19309</v>
      </c>
      <c r="J22" s="22" t="s">
        <v>19696</v>
      </c>
      <c r="K22" s="22" t="s">
        <v>19697</v>
      </c>
      <c r="L22" s="22"/>
      <c r="M22" s="22"/>
      <c r="N22" s="25" t="str">
        <f>HYPERLINK("http://slimages.macys.com/is/image/MCY/21622674 ")</f>
        <v xml:space="preserve">http://slimages.macys.com/is/image/MCY/21622674 </v>
      </c>
    </row>
    <row r="23" spans="1:14" ht="24.75" x14ac:dyDescent="0.25">
      <c r="A23" s="21" t="s">
        <v>8029</v>
      </c>
      <c r="B23" s="22" t="s">
        <v>8030</v>
      </c>
      <c r="C23" s="2">
        <v>10</v>
      </c>
      <c r="D23" s="23">
        <v>24.99</v>
      </c>
      <c r="E23" s="3">
        <v>249.9</v>
      </c>
      <c r="F23" s="2" t="s">
        <v>10905</v>
      </c>
      <c r="G23" s="22" t="s">
        <v>19342</v>
      </c>
      <c r="H23" s="24" t="s">
        <v>19324</v>
      </c>
      <c r="I23" s="22" t="s">
        <v>19309</v>
      </c>
      <c r="J23" s="22" t="s">
        <v>19491</v>
      </c>
      <c r="K23" s="22" t="s">
        <v>19554</v>
      </c>
      <c r="L23" s="22"/>
      <c r="M23" s="22"/>
      <c r="N23" s="25" t="str">
        <f>HYPERLINK("http://slimages.macys.com/is/image/MCY/21483063 ")</f>
        <v xml:space="preserve">http://slimages.macys.com/is/image/MCY/21483063 </v>
      </c>
    </row>
    <row r="24" spans="1:14" x14ac:dyDescent="0.25">
      <c r="A24" s="21" t="s">
        <v>8031</v>
      </c>
      <c r="B24" s="22" t="s">
        <v>8032</v>
      </c>
      <c r="C24" s="2">
        <v>12</v>
      </c>
      <c r="D24" s="23">
        <v>26.99</v>
      </c>
      <c r="E24" s="3">
        <v>323.88</v>
      </c>
      <c r="F24" s="2" t="s">
        <v>8033</v>
      </c>
      <c r="G24" s="22" t="s">
        <v>19342</v>
      </c>
      <c r="H24" s="24" t="s">
        <v>19997</v>
      </c>
      <c r="I24" s="22" t="s">
        <v>19309</v>
      </c>
      <c r="J24" s="22" t="s">
        <v>19696</v>
      </c>
      <c r="K24" s="22" t="s">
        <v>19697</v>
      </c>
      <c r="L24" s="22"/>
      <c r="M24" s="22"/>
      <c r="N24" s="25" t="str">
        <f>HYPERLINK("http://slimages.macys.com/is/image/MCY/21622753 ")</f>
        <v xml:space="preserve">http://slimages.macys.com/is/image/MCY/21622753 </v>
      </c>
    </row>
    <row r="25" spans="1:14" ht="24.75" x14ac:dyDescent="0.25">
      <c r="A25" s="21" t="s">
        <v>9438</v>
      </c>
      <c r="B25" s="22" t="s">
        <v>9439</v>
      </c>
      <c r="C25" s="2">
        <v>24</v>
      </c>
      <c r="D25" s="23">
        <v>24.99</v>
      </c>
      <c r="E25" s="3">
        <v>599.76</v>
      </c>
      <c r="F25" s="2" t="s">
        <v>9440</v>
      </c>
      <c r="G25" s="22" t="s">
        <v>19342</v>
      </c>
      <c r="H25" s="24" t="s">
        <v>19324</v>
      </c>
      <c r="I25" s="22" t="s">
        <v>19309</v>
      </c>
      <c r="J25" s="22" t="s">
        <v>19491</v>
      </c>
      <c r="K25" s="22" t="s">
        <v>19554</v>
      </c>
      <c r="L25" s="22"/>
      <c r="M25" s="22"/>
      <c r="N25" s="25" t="str">
        <f>HYPERLINK("http://slimages.macys.com/is/image/MCY/21483063 ")</f>
        <v xml:space="preserve">http://slimages.macys.com/is/image/MCY/21483063 </v>
      </c>
    </row>
    <row r="26" spans="1:14" x14ac:dyDescent="0.25">
      <c r="A26" s="21" t="s">
        <v>8034</v>
      </c>
      <c r="B26" s="22" t="s">
        <v>8035</v>
      </c>
      <c r="C26" s="2">
        <v>3</v>
      </c>
      <c r="D26" s="23">
        <v>20.58</v>
      </c>
      <c r="E26" s="3">
        <v>61.74</v>
      </c>
      <c r="F26" s="2" t="s">
        <v>8036</v>
      </c>
      <c r="G26" s="22" t="s">
        <v>19342</v>
      </c>
      <c r="H26" s="24" t="s">
        <v>19395</v>
      </c>
      <c r="I26" s="22" t="s">
        <v>19309</v>
      </c>
      <c r="J26" s="22" t="s">
        <v>19514</v>
      </c>
      <c r="K26" s="22" t="s">
        <v>10909</v>
      </c>
      <c r="L26" s="22"/>
      <c r="M26" s="22"/>
      <c r="N26" s="25" t="str">
        <f>HYPERLINK("http://slimages.macys.com/is/image/MCY/21192202 ")</f>
        <v xml:space="preserve">http://slimages.macys.com/is/image/MCY/21192202 </v>
      </c>
    </row>
    <row r="27" spans="1:14" x14ac:dyDescent="0.25">
      <c r="A27" s="21" t="s">
        <v>8037</v>
      </c>
      <c r="B27" s="22" t="s">
        <v>8038</v>
      </c>
      <c r="C27" s="2">
        <v>19</v>
      </c>
      <c r="D27" s="23">
        <v>20.58</v>
      </c>
      <c r="E27" s="3">
        <v>391.02</v>
      </c>
      <c r="F27" s="2" t="s">
        <v>8036</v>
      </c>
      <c r="G27" s="22" t="s">
        <v>19342</v>
      </c>
      <c r="H27" s="24" t="s">
        <v>19542</v>
      </c>
      <c r="I27" s="22" t="s">
        <v>19309</v>
      </c>
      <c r="J27" s="22" t="s">
        <v>19514</v>
      </c>
      <c r="K27" s="22" t="s">
        <v>10909</v>
      </c>
      <c r="L27" s="22"/>
      <c r="M27" s="22"/>
      <c r="N27" s="25" t="str">
        <f>HYPERLINK("http://slimages.macys.com/is/image/MCY/21192202 ")</f>
        <v xml:space="preserve">http://slimages.macys.com/is/image/MCY/21192202 </v>
      </c>
    </row>
    <row r="28" spans="1:14" x14ac:dyDescent="0.25">
      <c r="A28" s="21" t="s">
        <v>8039</v>
      </c>
      <c r="B28" s="22" t="s">
        <v>8040</v>
      </c>
      <c r="C28" s="2">
        <v>2</v>
      </c>
      <c r="D28" s="23">
        <v>20.58</v>
      </c>
      <c r="E28" s="3">
        <v>41.16</v>
      </c>
      <c r="F28" s="2" t="s">
        <v>10908</v>
      </c>
      <c r="G28" s="22" t="s">
        <v>19342</v>
      </c>
      <c r="H28" s="24" t="s">
        <v>19392</v>
      </c>
      <c r="I28" s="22" t="s">
        <v>19309</v>
      </c>
      <c r="J28" s="22" t="s">
        <v>19514</v>
      </c>
      <c r="K28" s="22" t="s">
        <v>10909</v>
      </c>
      <c r="L28" s="22"/>
      <c r="M28" s="22"/>
      <c r="N28" s="25" t="str">
        <f>HYPERLINK("http://slimages.macys.com/is/image/MCY/21192198 ")</f>
        <v xml:space="preserve">http://slimages.macys.com/is/image/MCY/21192198 </v>
      </c>
    </row>
    <row r="29" spans="1:14" x14ac:dyDescent="0.25">
      <c r="A29" s="21" t="s">
        <v>8041</v>
      </c>
      <c r="B29" s="22" t="s">
        <v>8042</v>
      </c>
      <c r="C29" s="2">
        <v>12</v>
      </c>
      <c r="D29" s="23">
        <v>20.58</v>
      </c>
      <c r="E29" s="3">
        <v>246.96</v>
      </c>
      <c r="F29" s="2" t="s">
        <v>8036</v>
      </c>
      <c r="G29" s="22" t="s">
        <v>19342</v>
      </c>
      <c r="H29" s="24" t="s">
        <v>19361</v>
      </c>
      <c r="I29" s="22" t="s">
        <v>19309</v>
      </c>
      <c r="J29" s="22" t="s">
        <v>19514</v>
      </c>
      <c r="K29" s="22" t="s">
        <v>10909</v>
      </c>
      <c r="L29" s="22"/>
      <c r="M29" s="22"/>
      <c r="N29" s="25" t="str">
        <f>HYPERLINK("http://slimages.macys.com/is/image/MCY/21192202 ")</f>
        <v xml:space="preserve">http://slimages.macys.com/is/image/MCY/21192202 </v>
      </c>
    </row>
    <row r="30" spans="1:14" x14ac:dyDescent="0.25">
      <c r="A30" s="21" t="s">
        <v>10906</v>
      </c>
      <c r="B30" s="22" t="s">
        <v>10907</v>
      </c>
      <c r="C30" s="2">
        <v>15</v>
      </c>
      <c r="D30" s="23">
        <v>20.58</v>
      </c>
      <c r="E30" s="3">
        <v>308.7</v>
      </c>
      <c r="F30" s="2" t="s">
        <v>10908</v>
      </c>
      <c r="G30" s="22" t="s">
        <v>19342</v>
      </c>
      <c r="H30" s="24" t="s">
        <v>19345</v>
      </c>
      <c r="I30" s="22" t="s">
        <v>19309</v>
      </c>
      <c r="J30" s="22" t="s">
        <v>19514</v>
      </c>
      <c r="K30" s="22" t="s">
        <v>10909</v>
      </c>
      <c r="L30" s="22"/>
      <c r="M30" s="22"/>
      <c r="N30" s="25" t="str">
        <f>HYPERLINK("http://slimages.macys.com/is/image/MCY/21192198 ")</f>
        <v xml:space="preserve">http://slimages.macys.com/is/image/MCY/21192198 </v>
      </c>
    </row>
    <row r="31" spans="1:14" ht="24.75" x14ac:dyDescent="0.25">
      <c r="A31" s="21" t="s">
        <v>8043</v>
      </c>
      <c r="B31" s="22" t="s">
        <v>8044</v>
      </c>
      <c r="C31" s="2">
        <v>4</v>
      </c>
      <c r="D31" s="23">
        <v>24.99</v>
      </c>
      <c r="E31" s="3">
        <v>99.96</v>
      </c>
      <c r="F31" s="2" t="s">
        <v>15796</v>
      </c>
      <c r="G31" s="22" t="s">
        <v>19594</v>
      </c>
      <c r="H31" s="24" t="s">
        <v>19538</v>
      </c>
      <c r="I31" s="22" t="s">
        <v>19309</v>
      </c>
      <c r="J31" s="22" t="s">
        <v>19385</v>
      </c>
      <c r="K31" s="22" t="s">
        <v>19386</v>
      </c>
      <c r="L31" s="22"/>
      <c r="M31" s="22"/>
      <c r="N31" s="25" t="str">
        <f>HYPERLINK("http://slimages.macys.com/is/image/MCY/21820646 ")</f>
        <v xml:space="preserve">http://slimages.macys.com/is/image/MCY/21820646 </v>
      </c>
    </row>
    <row r="32" spans="1:14" ht="24.75" x14ac:dyDescent="0.25">
      <c r="A32" s="21" t="s">
        <v>9450</v>
      </c>
      <c r="B32" s="22" t="s">
        <v>9451</v>
      </c>
      <c r="C32" s="2">
        <v>15</v>
      </c>
      <c r="D32" s="23">
        <v>24.99</v>
      </c>
      <c r="E32" s="3">
        <v>374.85</v>
      </c>
      <c r="F32" s="2" t="s">
        <v>9452</v>
      </c>
      <c r="G32" s="22" t="s">
        <v>19670</v>
      </c>
      <c r="H32" s="24" t="s">
        <v>19324</v>
      </c>
      <c r="I32" s="22" t="s">
        <v>19309</v>
      </c>
      <c r="J32" s="22" t="s">
        <v>19385</v>
      </c>
      <c r="K32" s="22" t="s">
        <v>19386</v>
      </c>
      <c r="L32" s="22"/>
      <c r="M32" s="22"/>
      <c r="N32" s="25" t="str">
        <f>HYPERLINK("http://slimages.macys.com/is/image/MCY/21820644 ")</f>
        <v xml:space="preserve">http://slimages.macys.com/is/image/MCY/21820644 </v>
      </c>
    </row>
    <row r="33" spans="1:14" ht="24.75" x14ac:dyDescent="0.25">
      <c r="A33" s="21" t="s">
        <v>10920</v>
      </c>
      <c r="B33" s="22" t="s">
        <v>10921</v>
      </c>
      <c r="C33" s="2">
        <v>9</v>
      </c>
      <c r="D33" s="23">
        <v>17.989999999999998</v>
      </c>
      <c r="E33" s="3">
        <v>161.91</v>
      </c>
      <c r="F33" s="2" t="s">
        <v>10916</v>
      </c>
      <c r="G33" s="22" t="s">
        <v>19342</v>
      </c>
      <c r="H33" s="24" t="s">
        <v>19308</v>
      </c>
      <c r="I33" s="22" t="s">
        <v>19309</v>
      </c>
      <c r="J33" s="22" t="s">
        <v>20076</v>
      </c>
      <c r="K33" s="22" t="s">
        <v>10917</v>
      </c>
      <c r="L33" s="22"/>
      <c r="M33" s="22"/>
      <c r="N33" s="25" t="str">
        <f>HYPERLINK("http://slimages.macys.com/is/image/MCY/23526466 ")</f>
        <v xml:space="preserve">http://slimages.macys.com/is/image/MCY/23526466 </v>
      </c>
    </row>
    <row r="34" spans="1:14" x14ac:dyDescent="0.25">
      <c r="A34" s="21" t="s">
        <v>8045</v>
      </c>
      <c r="B34" s="22" t="s">
        <v>8046</v>
      </c>
      <c r="C34" s="2">
        <v>15</v>
      </c>
      <c r="D34" s="23">
        <v>34</v>
      </c>
      <c r="E34" s="3">
        <v>510</v>
      </c>
      <c r="F34" s="2" t="s">
        <v>10929</v>
      </c>
      <c r="G34" s="22"/>
      <c r="H34" s="24" t="s">
        <v>20159</v>
      </c>
      <c r="I34" s="22" t="s">
        <v>19309</v>
      </c>
      <c r="J34" s="22" t="s">
        <v>19708</v>
      </c>
      <c r="K34" s="22" t="s">
        <v>19709</v>
      </c>
      <c r="L34" s="22"/>
      <c r="M34" s="22"/>
      <c r="N34" s="25" t="str">
        <f>HYPERLINK("http://slimages.macys.com/is/image/MCY/21717958 ")</f>
        <v xml:space="preserve">http://slimages.macys.com/is/image/MCY/21717958 </v>
      </c>
    </row>
    <row r="35" spans="1:14" ht="24.75" x14ac:dyDescent="0.25">
      <c r="A35" s="21" t="s">
        <v>8047</v>
      </c>
      <c r="B35" s="22" t="s">
        <v>8048</v>
      </c>
      <c r="C35" s="2">
        <v>10</v>
      </c>
      <c r="D35" s="23">
        <v>24</v>
      </c>
      <c r="E35" s="3">
        <v>240</v>
      </c>
      <c r="F35" s="2" t="s">
        <v>9464</v>
      </c>
      <c r="G35" s="22" t="s">
        <v>19404</v>
      </c>
      <c r="H35" s="24" t="s">
        <v>19367</v>
      </c>
      <c r="I35" s="22" t="s">
        <v>19309</v>
      </c>
      <c r="J35" s="22" t="s">
        <v>19417</v>
      </c>
      <c r="K35" s="22" t="s">
        <v>19854</v>
      </c>
      <c r="L35" s="22"/>
      <c r="M35" s="22"/>
      <c r="N35" s="25" t="str">
        <f>HYPERLINK("http://slimages.macys.com/is/image/MCY/21369881 ")</f>
        <v xml:space="preserve">http://slimages.macys.com/is/image/MCY/21369881 </v>
      </c>
    </row>
    <row r="36" spans="1:14" ht="24.75" x14ac:dyDescent="0.25">
      <c r="A36" s="21" t="s">
        <v>8049</v>
      </c>
      <c r="B36" s="22" t="s">
        <v>8050</v>
      </c>
      <c r="C36" s="2">
        <v>15</v>
      </c>
      <c r="D36" s="23">
        <v>24</v>
      </c>
      <c r="E36" s="3">
        <v>360</v>
      </c>
      <c r="F36" s="2" t="s">
        <v>8051</v>
      </c>
      <c r="G36" s="22"/>
      <c r="H36" s="24" t="s">
        <v>19330</v>
      </c>
      <c r="I36" s="22" t="s">
        <v>19309</v>
      </c>
      <c r="J36" s="22" t="s">
        <v>19417</v>
      </c>
      <c r="K36" s="22" t="s">
        <v>19854</v>
      </c>
      <c r="L36" s="22"/>
      <c r="M36" s="22"/>
      <c r="N36" s="25" t="str">
        <f>HYPERLINK("http://slimages.macys.com/is/image/MCY/21362805 ")</f>
        <v xml:space="preserve">http://slimages.macys.com/is/image/MCY/21362805 </v>
      </c>
    </row>
    <row r="37" spans="1:14" ht="24.75" x14ac:dyDescent="0.25">
      <c r="A37" s="21" t="s">
        <v>9462</v>
      </c>
      <c r="B37" s="22" t="s">
        <v>9463</v>
      </c>
      <c r="C37" s="2">
        <v>14</v>
      </c>
      <c r="D37" s="23">
        <v>24</v>
      </c>
      <c r="E37" s="3">
        <v>336</v>
      </c>
      <c r="F37" s="2" t="s">
        <v>9464</v>
      </c>
      <c r="G37" s="22" t="s">
        <v>19404</v>
      </c>
      <c r="H37" s="24" t="s">
        <v>20159</v>
      </c>
      <c r="I37" s="22" t="s">
        <v>19309</v>
      </c>
      <c r="J37" s="22" t="s">
        <v>19417</v>
      </c>
      <c r="K37" s="22" t="s">
        <v>19854</v>
      </c>
      <c r="L37" s="22"/>
      <c r="M37" s="22"/>
      <c r="N37" s="25" t="str">
        <f>HYPERLINK("http://slimages.macys.com/is/image/MCY/21369881 ")</f>
        <v xml:space="preserve">http://slimages.macys.com/is/image/MCY/21369881 </v>
      </c>
    </row>
    <row r="38" spans="1:14" ht="24.75" x14ac:dyDescent="0.25">
      <c r="A38" s="21" t="s">
        <v>8052</v>
      </c>
      <c r="B38" s="22" t="s">
        <v>8053</v>
      </c>
      <c r="C38" s="2">
        <v>11</v>
      </c>
      <c r="D38" s="23">
        <v>24</v>
      </c>
      <c r="E38" s="3">
        <v>264</v>
      </c>
      <c r="F38" s="2" t="s">
        <v>9471</v>
      </c>
      <c r="G38" s="22"/>
      <c r="H38" s="24" t="s">
        <v>20159</v>
      </c>
      <c r="I38" s="22" t="s">
        <v>19309</v>
      </c>
      <c r="J38" s="22" t="s">
        <v>19417</v>
      </c>
      <c r="K38" s="22" t="s">
        <v>19854</v>
      </c>
      <c r="L38" s="22"/>
      <c r="M38" s="22"/>
      <c r="N38" s="25" t="str">
        <f>HYPERLINK("http://slimages.macys.com/is/image/MCY/21369970 ")</f>
        <v xml:space="preserve">http://slimages.macys.com/is/image/MCY/21369970 </v>
      </c>
    </row>
    <row r="39" spans="1:14" ht="24.75" x14ac:dyDescent="0.25">
      <c r="A39" s="21" t="s">
        <v>8054</v>
      </c>
      <c r="B39" s="22" t="s">
        <v>8055</v>
      </c>
      <c r="C39" s="2">
        <v>12</v>
      </c>
      <c r="D39" s="23">
        <v>24</v>
      </c>
      <c r="E39" s="3">
        <v>288</v>
      </c>
      <c r="F39" s="2" t="s">
        <v>19857</v>
      </c>
      <c r="G39" s="22" t="s">
        <v>19404</v>
      </c>
      <c r="H39" s="24" t="s">
        <v>19367</v>
      </c>
      <c r="I39" s="22" t="s">
        <v>19309</v>
      </c>
      <c r="J39" s="22" t="s">
        <v>19417</v>
      </c>
      <c r="K39" s="22" t="s">
        <v>19854</v>
      </c>
      <c r="L39" s="22"/>
      <c r="M39" s="22"/>
      <c r="N39" s="25" t="str">
        <f>HYPERLINK("http://slimages.macys.com/is/image/MCY/21362679 ")</f>
        <v xml:space="preserve">http://slimages.macys.com/is/image/MCY/21362679 </v>
      </c>
    </row>
    <row r="40" spans="1:14" ht="24.75" x14ac:dyDescent="0.25">
      <c r="A40" s="21" t="s">
        <v>8056</v>
      </c>
      <c r="B40" s="22" t="s">
        <v>8057</v>
      </c>
      <c r="C40" s="2">
        <v>12</v>
      </c>
      <c r="D40" s="23">
        <v>24</v>
      </c>
      <c r="E40" s="3">
        <v>288</v>
      </c>
      <c r="F40" s="2" t="s">
        <v>9464</v>
      </c>
      <c r="G40" s="22" t="s">
        <v>19404</v>
      </c>
      <c r="H40" s="24" t="s">
        <v>19324</v>
      </c>
      <c r="I40" s="22" t="s">
        <v>19309</v>
      </c>
      <c r="J40" s="22" t="s">
        <v>19417</v>
      </c>
      <c r="K40" s="22" t="s">
        <v>19854</v>
      </c>
      <c r="L40" s="22"/>
      <c r="M40" s="22"/>
      <c r="N40" s="25" t="str">
        <f>HYPERLINK("http://slimages.macys.com/is/image/MCY/21369881 ")</f>
        <v xml:space="preserve">http://slimages.macys.com/is/image/MCY/21369881 </v>
      </c>
    </row>
    <row r="41" spans="1:14" ht="24.75" x14ac:dyDescent="0.25">
      <c r="A41" s="21" t="s">
        <v>9465</v>
      </c>
      <c r="B41" s="22" t="s">
        <v>9466</v>
      </c>
      <c r="C41" s="2">
        <v>13</v>
      </c>
      <c r="D41" s="23">
        <v>24</v>
      </c>
      <c r="E41" s="3">
        <v>312</v>
      </c>
      <c r="F41" s="2" t="s">
        <v>19857</v>
      </c>
      <c r="G41" s="22" t="s">
        <v>19404</v>
      </c>
      <c r="H41" s="24" t="s">
        <v>20159</v>
      </c>
      <c r="I41" s="22" t="s">
        <v>19309</v>
      </c>
      <c r="J41" s="22" t="s">
        <v>19417</v>
      </c>
      <c r="K41" s="22" t="s">
        <v>19854</v>
      </c>
      <c r="L41" s="22"/>
      <c r="M41" s="22"/>
      <c r="N41" s="25" t="str">
        <f>HYPERLINK("http://slimages.macys.com/is/image/MCY/21362679 ")</f>
        <v xml:space="preserve">http://slimages.macys.com/is/image/MCY/21362679 </v>
      </c>
    </row>
    <row r="42" spans="1:14" ht="24.75" x14ac:dyDescent="0.25">
      <c r="A42" s="21" t="s">
        <v>10947</v>
      </c>
      <c r="B42" s="22" t="s">
        <v>10948</v>
      </c>
      <c r="C42" s="2">
        <v>16</v>
      </c>
      <c r="D42" s="23">
        <v>24</v>
      </c>
      <c r="E42" s="3">
        <v>384</v>
      </c>
      <c r="F42" s="2" t="s">
        <v>10949</v>
      </c>
      <c r="G42" s="22" t="s">
        <v>19351</v>
      </c>
      <c r="H42" s="24" t="s">
        <v>19324</v>
      </c>
      <c r="I42" s="22" t="s">
        <v>19309</v>
      </c>
      <c r="J42" s="22" t="s">
        <v>19417</v>
      </c>
      <c r="K42" s="22" t="s">
        <v>19854</v>
      </c>
      <c r="L42" s="22"/>
      <c r="M42" s="22"/>
      <c r="N42" s="25" t="str">
        <f>HYPERLINK("http://slimages.macys.com/is/image/MCY/21369853 ")</f>
        <v xml:space="preserve">http://slimages.macys.com/is/image/MCY/21369853 </v>
      </c>
    </row>
    <row r="43" spans="1:14" ht="24.75" x14ac:dyDescent="0.25">
      <c r="A43" s="21" t="s">
        <v>8058</v>
      </c>
      <c r="B43" s="22" t="s">
        <v>8059</v>
      </c>
      <c r="C43" s="2">
        <v>7</v>
      </c>
      <c r="D43" s="23">
        <v>24</v>
      </c>
      <c r="E43" s="3">
        <v>168</v>
      </c>
      <c r="F43" s="2" t="s">
        <v>8060</v>
      </c>
      <c r="G43" s="22" t="s">
        <v>19351</v>
      </c>
      <c r="H43" s="24" t="s">
        <v>19324</v>
      </c>
      <c r="I43" s="22" t="s">
        <v>19309</v>
      </c>
      <c r="J43" s="22" t="s">
        <v>19417</v>
      </c>
      <c r="K43" s="22" t="s">
        <v>19854</v>
      </c>
      <c r="L43" s="22"/>
      <c r="M43" s="22"/>
      <c r="N43" s="25" t="str">
        <f>HYPERLINK("http://slimages.macys.com/is/image/MCY/21358122 ")</f>
        <v xml:space="preserve">http://slimages.macys.com/is/image/MCY/21358122 </v>
      </c>
    </row>
    <row r="44" spans="1:14" x14ac:dyDescent="0.25">
      <c r="A44" s="21" t="s">
        <v>9483</v>
      </c>
      <c r="B44" s="22" t="s">
        <v>9484</v>
      </c>
      <c r="C44" s="2">
        <v>24</v>
      </c>
      <c r="D44" s="23">
        <v>22.99</v>
      </c>
      <c r="E44" s="3">
        <v>551.76</v>
      </c>
      <c r="F44" s="2" t="s">
        <v>9485</v>
      </c>
      <c r="G44" s="22" t="s">
        <v>19342</v>
      </c>
      <c r="H44" s="24" t="s">
        <v>19395</v>
      </c>
      <c r="I44" s="22" t="s">
        <v>19309</v>
      </c>
      <c r="J44" s="22" t="s">
        <v>19696</v>
      </c>
      <c r="K44" s="22" t="s">
        <v>19965</v>
      </c>
      <c r="L44" s="22"/>
      <c r="M44" s="22"/>
      <c r="N44" s="25" t="str">
        <f>HYPERLINK("http://slimages.macys.com/is/image/MCY/20084478 ")</f>
        <v xml:space="preserve">http://slimages.macys.com/is/image/MCY/20084478 </v>
      </c>
    </row>
    <row r="45" spans="1:14" x14ac:dyDescent="0.25">
      <c r="A45" s="21" t="s">
        <v>8061</v>
      </c>
      <c r="B45" s="22" t="s">
        <v>8062</v>
      </c>
      <c r="C45" s="2">
        <v>12</v>
      </c>
      <c r="D45" s="23">
        <v>21.99</v>
      </c>
      <c r="E45" s="3">
        <v>263.88</v>
      </c>
      <c r="F45" s="2" t="s">
        <v>19964</v>
      </c>
      <c r="G45" s="22" t="s">
        <v>19342</v>
      </c>
      <c r="H45" s="24" t="s">
        <v>19542</v>
      </c>
      <c r="I45" s="22" t="s">
        <v>19309</v>
      </c>
      <c r="J45" s="22" t="s">
        <v>19696</v>
      </c>
      <c r="K45" s="22" t="s">
        <v>19965</v>
      </c>
      <c r="L45" s="22"/>
      <c r="M45" s="22"/>
      <c r="N45" s="25" t="str">
        <f>HYPERLINK("http://slimages.macys.com/is/image/MCY/21355968 ")</f>
        <v xml:space="preserve">http://slimages.macys.com/is/image/MCY/21355968 </v>
      </c>
    </row>
    <row r="46" spans="1:14" x14ac:dyDescent="0.25">
      <c r="A46" s="21" t="s">
        <v>8063</v>
      </c>
      <c r="B46" s="22" t="s">
        <v>8064</v>
      </c>
      <c r="C46" s="2">
        <v>24</v>
      </c>
      <c r="D46" s="23">
        <v>21.99</v>
      </c>
      <c r="E46" s="3">
        <v>527.76</v>
      </c>
      <c r="F46" s="2" t="s">
        <v>19964</v>
      </c>
      <c r="G46" s="22" t="s">
        <v>19342</v>
      </c>
      <c r="H46" s="24" t="s">
        <v>19478</v>
      </c>
      <c r="I46" s="22" t="s">
        <v>19309</v>
      </c>
      <c r="J46" s="22" t="s">
        <v>19696</v>
      </c>
      <c r="K46" s="22" t="s">
        <v>19965</v>
      </c>
      <c r="L46" s="22"/>
      <c r="M46" s="22"/>
      <c r="N46" s="25" t="str">
        <f>HYPERLINK("http://slimages.macys.com/is/image/MCY/21355968 ")</f>
        <v xml:space="preserve">http://slimages.macys.com/is/image/MCY/21355968 </v>
      </c>
    </row>
    <row r="47" spans="1:14" x14ac:dyDescent="0.25">
      <c r="A47" s="21" t="s">
        <v>8065</v>
      </c>
      <c r="B47" s="22" t="s">
        <v>8066</v>
      </c>
      <c r="C47" s="2">
        <v>12</v>
      </c>
      <c r="D47" s="23">
        <v>21.99</v>
      </c>
      <c r="E47" s="3">
        <v>263.88</v>
      </c>
      <c r="F47" s="2" t="s">
        <v>8067</v>
      </c>
      <c r="G47" s="22" t="s">
        <v>19342</v>
      </c>
      <c r="H47" s="24" t="s">
        <v>19542</v>
      </c>
      <c r="I47" s="22" t="s">
        <v>19309</v>
      </c>
      <c r="J47" s="22" t="s">
        <v>19696</v>
      </c>
      <c r="K47" s="22" t="s">
        <v>19965</v>
      </c>
      <c r="L47" s="22"/>
      <c r="M47" s="22"/>
      <c r="N47" s="25" t="str">
        <f>HYPERLINK("http://slimages.macys.com/is/image/MCY/21497275 ")</f>
        <v xml:space="preserve">http://slimages.macys.com/is/image/MCY/21497275 </v>
      </c>
    </row>
    <row r="48" spans="1:14" x14ac:dyDescent="0.25">
      <c r="A48" s="21" t="s">
        <v>8068</v>
      </c>
      <c r="B48" s="22" t="s">
        <v>8069</v>
      </c>
      <c r="C48" s="2">
        <v>25</v>
      </c>
      <c r="D48" s="23">
        <v>21.99</v>
      </c>
      <c r="E48" s="3">
        <v>549.75</v>
      </c>
      <c r="F48" s="2" t="s">
        <v>8070</v>
      </c>
      <c r="G48" s="22" t="s">
        <v>19342</v>
      </c>
      <c r="H48" s="24" t="s">
        <v>19542</v>
      </c>
      <c r="I48" s="22" t="s">
        <v>19309</v>
      </c>
      <c r="J48" s="22" t="s">
        <v>19696</v>
      </c>
      <c r="K48" s="22" t="s">
        <v>19965</v>
      </c>
      <c r="L48" s="22"/>
      <c r="M48" s="22"/>
      <c r="N48" s="25" t="str">
        <f>HYPERLINK("http://slimages.macys.com/is/image/MCY/21540670 ")</f>
        <v xml:space="preserve">http://slimages.macys.com/is/image/MCY/21540670 </v>
      </c>
    </row>
    <row r="49" spans="1:14" ht="24.75" x14ac:dyDescent="0.25">
      <c r="A49" s="21" t="s">
        <v>8071</v>
      </c>
      <c r="B49" s="22" t="s">
        <v>8072</v>
      </c>
      <c r="C49" s="2">
        <v>16</v>
      </c>
      <c r="D49" s="23">
        <v>20.99</v>
      </c>
      <c r="E49" s="3">
        <v>335.84</v>
      </c>
      <c r="F49" s="2" t="s">
        <v>8073</v>
      </c>
      <c r="G49" s="22" t="s">
        <v>19342</v>
      </c>
      <c r="H49" s="24" t="s">
        <v>19324</v>
      </c>
      <c r="I49" s="22" t="s">
        <v>19309</v>
      </c>
      <c r="J49" s="22" t="s">
        <v>19385</v>
      </c>
      <c r="K49" s="22" t="s">
        <v>18064</v>
      </c>
      <c r="L49" s="22"/>
      <c r="M49" s="22"/>
      <c r="N49" s="25" t="str">
        <f>HYPERLINK("http://slimages.macys.com/is/image/MCY/21484170 ")</f>
        <v xml:space="preserve">http://slimages.macys.com/is/image/MCY/21484170 </v>
      </c>
    </row>
    <row r="50" spans="1:14" ht="24.75" x14ac:dyDescent="0.25">
      <c r="A50" s="21" t="s">
        <v>8074</v>
      </c>
      <c r="B50" s="22" t="s">
        <v>8075</v>
      </c>
      <c r="C50" s="2">
        <v>2</v>
      </c>
      <c r="D50" s="23">
        <v>19.989999999999998</v>
      </c>
      <c r="E50" s="3">
        <v>39.979999999999997</v>
      </c>
      <c r="F50" s="2" t="s">
        <v>8076</v>
      </c>
      <c r="G50" s="22" t="s">
        <v>19342</v>
      </c>
      <c r="H50" s="24" t="s">
        <v>19324</v>
      </c>
      <c r="I50" s="22" t="s">
        <v>19309</v>
      </c>
      <c r="J50" s="22" t="s">
        <v>19491</v>
      </c>
      <c r="K50" s="22" t="s">
        <v>18064</v>
      </c>
      <c r="L50" s="22"/>
      <c r="M50" s="22"/>
      <c r="N50" s="25" t="str">
        <f>HYPERLINK("http://slimages.macys.com/is/image/MCY/20524923 ")</f>
        <v xml:space="preserve">http://slimages.macys.com/is/image/MCY/20524923 </v>
      </c>
    </row>
    <row r="51" spans="1:14" x14ac:dyDescent="0.25">
      <c r="A51" s="21" t="s">
        <v>12036</v>
      </c>
      <c r="B51" s="22" t="s">
        <v>12037</v>
      </c>
      <c r="C51" s="2">
        <v>85</v>
      </c>
      <c r="D51" s="23">
        <v>18.989999999999998</v>
      </c>
      <c r="E51" s="3">
        <v>1614.15</v>
      </c>
      <c r="F51" s="2" t="s">
        <v>12038</v>
      </c>
      <c r="G51" s="22" t="s">
        <v>19467</v>
      </c>
      <c r="H51" s="24"/>
      <c r="I51" s="22" t="s">
        <v>19309</v>
      </c>
      <c r="J51" s="22" t="s">
        <v>19696</v>
      </c>
      <c r="K51" s="22" t="s">
        <v>18094</v>
      </c>
      <c r="L51" s="22"/>
      <c r="M51" s="22"/>
      <c r="N51" s="25" t="str">
        <f>HYPERLINK("http://slimages.macys.com/is/image/MCY/21408518 ")</f>
        <v xml:space="preserve">http://slimages.macys.com/is/image/MCY/21408518 </v>
      </c>
    </row>
    <row r="52" spans="1:14" x14ac:dyDescent="0.25">
      <c r="A52" s="21" t="s">
        <v>12066</v>
      </c>
      <c r="B52" s="22" t="s">
        <v>12067</v>
      </c>
      <c r="C52" s="2">
        <v>12</v>
      </c>
      <c r="D52" s="23">
        <v>19.989999999999998</v>
      </c>
      <c r="E52" s="3">
        <v>239.88</v>
      </c>
      <c r="F52" s="2" t="s">
        <v>12068</v>
      </c>
      <c r="G52" s="22" t="s">
        <v>19342</v>
      </c>
      <c r="H52" s="24" t="s">
        <v>19478</v>
      </c>
      <c r="I52" s="22" t="s">
        <v>19309</v>
      </c>
      <c r="J52" s="22" t="s">
        <v>19696</v>
      </c>
      <c r="K52" s="22" t="s">
        <v>19697</v>
      </c>
      <c r="L52" s="22"/>
      <c r="M52" s="22"/>
      <c r="N52" s="25" t="str">
        <f>HYPERLINK("http://slimages.macys.com/is/image/MCY/20662556 ")</f>
        <v xml:space="preserve">http://slimages.macys.com/is/image/MCY/20662556 </v>
      </c>
    </row>
    <row r="53" spans="1:14" x14ac:dyDescent="0.25">
      <c r="A53" s="21" t="s">
        <v>8077</v>
      </c>
      <c r="B53" s="22" t="s">
        <v>8078</v>
      </c>
      <c r="C53" s="2">
        <v>12</v>
      </c>
      <c r="D53" s="23">
        <v>19.989999999999998</v>
      </c>
      <c r="E53" s="3">
        <v>239.88</v>
      </c>
      <c r="F53" s="2" t="s">
        <v>8079</v>
      </c>
      <c r="G53" s="22" t="s">
        <v>19342</v>
      </c>
      <c r="H53" s="24" t="s">
        <v>19542</v>
      </c>
      <c r="I53" s="22" t="s">
        <v>19309</v>
      </c>
      <c r="J53" s="22" t="s">
        <v>19696</v>
      </c>
      <c r="K53" s="22" t="s">
        <v>19965</v>
      </c>
      <c r="L53" s="22"/>
      <c r="M53" s="22"/>
      <c r="N53" s="25" t="str">
        <f>HYPERLINK("http://slimages.macys.com/is/image/MCY/21689633 ")</f>
        <v xml:space="preserve">http://slimages.macys.com/is/image/MCY/21689633 </v>
      </c>
    </row>
    <row r="54" spans="1:14" x14ac:dyDescent="0.25">
      <c r="A54" s="21" t="s">
        <v>8080</v>
      </c>
      <c r="B54" s="22" t="s">
        <v>8081</v>
      </c>
      <c r="C54" s="2">
        <v>12</v>
      </c>
      <c r="D54" s="23">
        <v>19.989999999999998</v>
      </c>
      <c r="E54" s="3">
        <v>239.88</v>
      </c>
      <c r="F54" s="2" t="s">
        <v>8079</v>
      </c>
      <c r="G54" s="22" t="s">
        <v>19342</v>
      </c>
      <c r="H54" s="24" t="s">
        <v>19478</v>
      </c>
      <c r="I54" s="22" t="s">
        <v>19309</v>
      </c>
      <c r="J54" s="22" t="s">
        <v>19696</v>
      </c>
      <c r="K54" s="22" t="s">
        <v>19965</v>
      </c>
      <c r="L54" s="22"/>
      <c r="M54" s="22"/>
      <c r="N54" s="25" t="str">
        <f>HYPERLINK("http://slimages.macys.com/is/image/MCY/21689633 ")</f>
        <v xml:space="preserve">http://slimages.macys.com/is/image/MCY/21689633 </v>
      </c>
    </row>
    <row r="55" spans="1:14" ht="24.75" x14ac:dyDescent="0.25">
      <c r="A55" s="21" t="s">
        <v>8082</v>
      </c>
      <c r="B55" s="22" t="s">
        <v>8083</v>
      </c>
      <c r="C55" s="2">
        <v>15</v>
      </c>
      <c r="D55" s="23">
        <v>20</v>
      </c>
      <c r="E55" s="3">
        <v>300</v>
      </c>
      <c r="F55" s="2" t="s">
        <v>10995</v>
      </c>
      <c r="G55" s="22" t="s">
        <v>19404</v>
      </c>
      <c r="H55" s="24" t="s">
        <v>19324</v>
      </c>
      <c r="I55" s="22" t="s">
        <v>19309</v>
      </c>
      <c r="J55" s="22" t="s">
        <v>19417</v>
      </c>
      <c r="K55" s="22" t="s">
        <v>19854</v>
      </c>
      <c r="L55" s="22"/>
      <c r="M55" s="22"/>
      <c r="N55" s="25" t="str">
        <f>HYPERLINK("http://slimages.macys.com/is/image/MCY/21370155 ")</f>
        <v xml:space="preserve">http://slimages.macys.com/is/image/MCY/21370155 </v>
      </c>
    </row>
    <row r="56" spans="1:14" x14ac:dyDescent="0.25">
      <c r="A56" s="21" t="s">
        <v>11631</v>
      </c>
      <c r="B56" s="22" t="s">
        <v>11632</v>
      </c>
      <c r="C56" s="2">
        <v>20</v>
      </c>
      <c r="D56" s="23">
        <v>24.99</v>
      </c>
      <c r="E56" s="3">
        <v>499.8</v>
      </c>
      <c r="F56" s="2" t="s">
        <v>11633</v>
      </c>
      <c r="G56" s="22" t="s">
        <v>19674</v>
      </c>
      <c r="H56" s="24" t="s">
        <v>19364</v>
      </c>
      <c r="I56" s="22" t="s">
        <v>19309</v>
      </c>
      <c r="J56" s="22" t="s">
        <v>19849</v>
      </c>
      <c r="K56" s="22" t="s">
        <v>19850</v>
      </c>
      <c r="L56" s="22"/>
      <c r="M56" s="22"/>
      <c r="N56" s="25" t="str">
        <f>HYPERLINK("http://slimages.macys.com/is/image/MCY/20549494 ")</f>
        <v xml:space="preserve">http://slimages.macys.com/is/image/MCY/20549494 </v>
      </c>
    </row>
    <row r="57" spans="1:14" ht="24.75" x14ac:dyDescent="0.25">
      <c r="A57" s="21" t="s">
        <v>9537</v>
      </c>
      <c r="B57" s="22" t="s">
        <v>9538</v>
      </c>
      <c r="C57" s="2">
        <v>14</v>
      </c>
      <c r="D57" s="23">
        <v>15.99</v>
      </c>
      <c r="E57" s="3">
        <v>223.86</v>
      </c>
      <c r="F57" s="2" t="s">
        <v>9539</v>
      </c>
      <c r="G57" s="22" t="s">
        <v>19333</v>
      </c>
      <c r="H57" s="24" t="s">
        <v>19345</v>
      </c>
      <c r="I57" s="22" t="s">
        <v>19309</v>
      </c>
      <c r="J57" s="22" t="s">
        <v>19519</v>
      </c>
      <c r="K57" s="22" t="s">
        <v>17725</v>
      </c>
      <c r="L57" s="22"/>
      <c r="M57" s="22"/>
      <c r="N57" s="25" t="str">
        <f>HYPERLINK("http://slimages.macys.com/is/image/MCY/21141716 ")</f>
        <v xml:space="preserve">http://slimages.macys.com/is/image/MCY/21141716 </v>
      </c>
    </row>
    <row r="58" spans="1:14" ht="24.75" x14ac:dyDescent="0.25">
      <c r="A58" s="21" t="s">
        <v>8084</v>
      </c>
      <c r="B58" s="22" t="s">
        <v>8085</v>
      </c>
      <c r="C58" s="2">
        <v>2</v>
      </c>
      <c r="D58" s="23">
        <v>16.989999999999998</v>
      </c>
      <c r="E58" s="3">
        <v>33.979999999999997</v>
      </c>
      <c r="F58" s="2" t="s">
        <v>8086</v>
      </c>
      <c r="G58" s="22" t="s">
        <v>19333</v>
      </c>
      <c r="H58" s="24"/>
      <c r="I58" s="22" t="s">
        <v>19309</v>
      </c>
      <c r="J58" s="22" t="s">
        <v>19519</v>
      </c>
      <c r="K58" s="22" t="s">
        <v>11201</v>
      </c>
      <c r="L58" s="22"/>
      <c r="M58" s="22"/>
      <c r="N58" s="25" t="str">
        <f>HYPERLINK("http://slimages.macys.com/is/image/MCY/21776966 ")</f>
        <v xml:space="preserve">http://slimages.macys.com/is/image/MCY/21776966 </v>
      </c>
    </row>
    <row r="59" spans="1:14" ht="24.75" x14ac:dyDescent="0.25">
      <c r="A59" s="21" t="s">
        <v>8087</v>
      </c>
      <c r="B59" s="22" t="s">
        <v>8088</v>
      </c>
      <c r="C59" s="2">
        <v>6</v>
      </c>
      <c r="D59" s="23">
        <v>15.99</v>
      </c>
      <c r="E59" s="3">
        <v>95.94</v>
      </c>
      <c r="F59" s="2" t="s">
        <v>9539</v>
      </c>
      <c r="G59" s="22" t="s">
        <v>19333</v>
      </c>
      <c r="H59" s="24" t="s">
        <v>19392</v>
      </c>
      <c r="I59" s="22" t="s">
        <v>19309</v>
      </c>
      <c r="J59" s="22" t="s">
        <v>19519</v>
      </c>
      <c r="K59" s="22" t="s">
        <v>17725</v>
      </c>
      <c r="L59" s="22"/>
      <c r="M59" s="22"/>
      <c r="N59" s="25" t="str">
        <f>HYPERLINK("http://slimages.macys.com/is/image/MCY/21141716 ")</f>
        <v xml:space="preserve">http://slimages.macys.com/is/image/MCY/21141716 </v>
      </c>
    </row>
    <row r="60" spans="1:14" x14ac:dyDescent="0.25">
      <c r="A60" s="21" t="s">
        <v>11013</v>
      </c>
      <c r="B60" s="22" t="s">
        <v>11014</v>
      </c>
      <c r="C60" s="2">
        <v>12</v>
      </c>
      <c r="D60" s="23">
        <v>17.989999999999998</v>
      </c>
      <c r="E60" s="3">
        <v>215.88</v>
      </c>
      <c r="F60" s="2" t="s">
        <v>11012</v>
      </c>
      <c r="G60" s="22" t="s">
        <v>19342</v>
      </c>
      <c r="H60" s="24" t="s">
        <v>19334</v>
      </c>
      <c r="I60" s="22" t="s">
        <v>19309</v>
      </c>
      <c r="J60" s="22" t="s">
        <v>19696</v>
      </c>
      <c r="K60" s="22" t="s">
        <v>19697</v>
      </c>
      <c r="L60" s="22"/>
      <c r="M60" s="22"/>
      <c r="N60" s="25" t="str">
        <f>HYPERLINK("http://slimages.macys.com/is/image/MCY/21642765 ")</f>
        <v xml:space="preserve">http://slimages.macys.com/is/image/MCY/21642765 </v>
      </c>
    </row>
    <row r="61" spans="1:14" ht="24.75" x14ac:dyDescent="0.25">
      <c r="A61" s="21" t="s">
        <v>8089</v>
      </c>
      <c r="B61" s="22" t="s">
        <v>8090</v>
      </c>
      <c r="C61" s="2">
        <v>3</v>
      </c>
      <c r="D61" s="23">
        <v>19.989999999999998</v>
      </c>
      <c r="E61" s="3">
        <v>59.97</v>
      </c>
      <c r="F61" s="2" t="s">
        <v>8091</v>
      </c>
      <c r="G61" s="22" t="s">
        <v>19342</v>
      </c>
      <c r="H61" s="24" t="s">
        <v>19330</v>
      </c>
      <c r="I61" s="22" t="s">
        <v>19309</v>
      </c>
      <c r="J61" s="22" t="s">
        <v>19491</v>
      </c>
      <c r="K61" s="22" t="s">
        <v>15725</v>
      </c>
      <c r="L61" s="22"/>
      <c r="M61" s="22"/>
      <c r="N61" s="25" t="str">
        <f>HYPERLINK("http://slimages.macys.com/is/image/MCY/20853847 ")</f>
        <v xml:space="preserve">http://slimages.macys.com/is/image/MCY/20853847 </v>
      </c>
    </row>
    <row r="62" spans="1:14" x14ac:dyDescent="0.25">
      <c r="A62" s="21" t="s">
        <v>8092</v>
      </c>
      <c r="B62" s="22" t="s">
        <v>8093</v>
      </c>
      <c r="C62" s="2">
        <v>61</v>
      </c>
      <c r="D62" s="23">
        <v>32</v>
      </c>
      <c r="E62" s="3">
        <v>1952</v>
      </c>
      <c r="F62" s="2" t="s">
        <v>11026</v>
      </c>
      <c r="G62" s="22" t="s">
        <v>19351</v>
      </c>
      <c r="H62" s="24"/>
      <c r="I62" s="22" t="s">
        <v>19309</v>
      </c>
      <c r="J62" s="22" t="s">
        <v>19417</v>
      </c>
      <c r="K62" s="22" t="s">
        <v>20110</v>
      </c>
      <c r="L62" s="22"/>
      <c r="M62" s="22"/>
      <c r="N62" s="25" t="str">
        <f>HYPERLINK("http://slimages.macys.com/is/image/MCY/21400712 ")</f>
        <v xml:space="preserve">http://slimages.macys.com/is/image/MCY/21400712 </v>
      </c>
    </row>
    <row r="63" spans="1:14" x14ac:dyDescent="0.25">
      <c r="A63" s="21" t="s">
        <v>11024</v>
      </c>
      <c r="B63" s="22" t="s">
        <v>11025</v>
      </c>
      <c r="C63" s="2">
        <v>9</v>
      </c>
      <c r="D63" s="23">
        <v>32</v>
      </c>
      <c r="E63" s="3">
        <v>288</v>
      </c>
      <c r="F63" s="2" t="s">
        <v>11026</v>
      </c>
      <c r="G63" s="22" t="s">
        <v>19351</v>
      </c>
      <c r="H63" s="24" t="s">
        <v>19538</v>
      </c>
      <c r="I63" s="22" t="s">
        <v>19309</v>
      </c>
      <c r="J63" s="22" t="s">
        <v>19417</v>
      </c>
      <c r="K63" s="22" t="s">
        <v>20110</v>
      </c>
      <c r="L63" s="22"/>
      <c r="M63" s="22"/>
      <c r="N63" s="25" t="str">
        <f>HYPERLINK("http://slimages.macys.com/is/image/MCY/21400712 ")</f>
        <v xml:space="preserve">http://slimages.macys.com/is/image/MCY/21400712 </v>
      </c>
    </row>
    <row r="64" spans="1:14" x14ac:dyDescent="0.25">
      <c r="A64" s="21" t="s">
        <v>8094</v>
      </c>
      <c r="B64" s="22" t="s">
        <v>8095</v>
      </c>
      <c r="C64" s="2">
        <v>12</v>
      </c>
      <c r="D64" s="23">
        <v>17.989999999999998</v>
      </c>
      <c r="E64" s="3">
        <v>215.88</v>
      </c>
      <c r="F64" s="2" t="s">
        <v>8096</v>
      </c>
      <c r="G64" s="22" t="s">
        <v>19342</v>
      </c>
      <c r="H64" s="24" t="s">
        <v>19334</v>
      </c>
      <c r="I64" s="22" t="s">
        <v>19309</v>
      </c>
      <c r="J64" s="22" t="s">
        <v>19696</v>
      </c>
      <c r="K64" s="22" t="s">
        <v>19965</v>
      </c>
      <c r="L64" s="22"/>
      <c r="M64" s="22"/>
      <c r="N64" s="25" t="str">
        <f>HYPERLINK("http://slimages.macys.com/is/image/MCY/21820642 ")</f>
        <v xml:space="preserve">http://slimages.macys.com/is/image/MCY/21820642 </v>
      </c>
    </row>
    <row r="65" spans="1:14" ht="24.75" x14ac:dyDescent="0.25">
      <c r="A65" s="21" t="s">
        <v>9551</v>
      </c>
      <c r="B65" s="22" t="s">
        <v>9552</v>
      </c>
      <c r="C65" s="2">
        <v>2</v>
      </c>
      <c r="D65" s="23">
        <v>22.5</v>
      </c>
      <c r="E65" s="3">
        <v>45</v>
      </c>
      <c r="F65" s="2" t="s">
        <v>9553</v>
      </c>
      <c r="G65" s="22" t="s">
        <v>19618</v>
      </c>
      <c r="H65" s="24" t="s">
        <v>19334</v>
      </c>
      <c r="I65" s="22" t="s">
        <v>19309</v>
      </c>
      <c r="J65" s="22" t="s">
        <v>19688</v>
      </c>
      <c r="K65" s="22" t="s">
        <v>19614</v>
      </c>
      <c r="L65" s="22"/>
      <c r="M65" s="22"/>
      <c r="N65" s="25" t="str">
        <f>HYPERLINK("http://slimages.macys.com/is/image/MCY/21035866 ")</f>
        <v xml:space="preserve">http://slimages.macys.com/is/image/MCY/21035866 </v>
      </c>
    </row>
    <row r="66" spans="1:14" ht="24.75" x14ac:dyDescent="0.25">
      <c r="A66" s="21" t="s">
        <v>11027</v>
      </c>
      <c r="B66" s="22" t="s">
        <v>11028</v>
      </c>
      <c r="C66" s="2">
        <v>8</v>
      </c>
      <c r="D66" s="23">
        <v>22.5</v>
      </c>
      <c r="E66" s="3">
        <v>180</v>
      </c>
      <c r="F66" s="2" t="s">
        <v>11029</v>
      </c>
      <c r="G66" s="22" t="s">
        <v>19351</v>
      </c>
      <c r="H66" s="24" t="s">
        <v>19334</v>
      </c>
      <c r="I66" s="22" t="s">
        <v>19309</v>
      </c>
      <c r="J66" s="22" t="s">
        <v>19688</v>
      </c>
      <c r="K66" s="22" t="s">
        <v>19614</v>
      </c>
      <c r="L66" s="22"/>
      <c r="M66" s="22"/>
      <c r="N66" s="25" t="str">
        <f>HYPERLINK("http://slimages.macys.com/is/image/MCY/21035766 ")</f>
        <v xml:space="preserve">http://slimages.macys.com/is/image/MCY/21035766 </v>
      </c>
    </row>
    <row r="67" spans="1:14" x14ac:dyDescent="0.25">
      <c r="A67" s="21" t="s">
        <v>11038</v>
      </c>
      <c r="B67" s="22" t="s">
        <v>11039</v>
      </c>
      <c r="C67" s="2">
        <v>15</v>
      </c>
      <c r="D67" s="23">
        <v>26</v>
      </c>
      <c r="E67" s="3">
        <v>390</v>
      </c>
      <c r="F67" s="2" t="s">
        <v>11037</v>
      </c>
      <c r="G67" s="22" t="s">
        <v>19513</v>
      </c>
      <c r="H67" s="24" t="s">
        <v>19770</v>
      </c>
      <c r="I67" s="22" t="s">
        <v>19309</v>
      </c>
      <c r="J67" s="22" t="s">
        <v>19417</v>
      </c>
      <c r="K67" s="22" t="s">
        <v>20110</v>
      </c>
      <c r="L67" s="22"/>
      <c r="M67" s="22"/>
      <c r="N67" s="25" t="str">
        <f>HYPERLINK("http://slimages.macys.com/is/image/MCY/21551760 ")</f>
        <v xml:space="preserve">http://slimages.macys.com/is/image/MCY/21551760 </v>
      </c>
    </row>
    <row r="68" spans="1:14" ht="24.75" x14ac:dyDescent="0.25">
      <c r="A68" s="21" t="s">
        <v>11045</v>
      </c>
      <c r="B68" s="22" t="s">
        <v>11046</v>
      </c>
      <c r="C68" s="2">
        <v>18</v>
      </c>
      <c r="D68" s="23">
        <v>30</v>
      </c>
      <c r="E68" s="3">
        <v>540</v>
      </c>
      <c r="F68" s="2" t="s">
        <v>11047</v>
      </c>
      <c r="G68" s="22" t="s">
        <v>19594</v>
      </c>
      <c r="H68" s="24" t="s">
        <v>19538</v>
      </c>
      <c r="I68" s="22" t="s">
        <v>19309</v>
      </c>
      <c r="J68" s="22" t="s">
        <v>19417</v>
      </c>
      <c r="K68" s="22" t="s">
        <v>18317</v>
      </c>
      <c r="L68" s="22"/>
      <c r="M68" s="22"/>
      <c r="N68" s="25" t="str">
        <f>HYPERLINK("http://slimages.macys.com/is/image/MCY/21615012 ")</f>
        <v xml:space="preserve">http://slimages.macys.com/is/image/MCY/21615012 </v>
      </c>
    </row>
    <row r="69" spans="1:14" x14ac:dyDescent="0.25">
      <c r="A69" s="21" t="s">
        <v>10604</v>
      </c>
      <c r="B69" s="22" t="s">
        <v>10605</v>
      </c>
      <c r="C69" s="2">
        <v>38</v>
      </c>
      <c r="D69" s="23">
        <v>24</v>
      </c>
      <c r="E69" s="3">
        <v>912</v>
      </c>
      <c r="F69" s="2" t="s">
        <v>11056</v>
      </c>
      <c r="G69" s="22" t="s">
        <v>18439</v>
      </c>
      <c r="H69" s="24" t="s">
        <v>19770</v>
      </c>
      <c r="I69" s="22" t="s">
        <v>19309</v>
      </c>
      <c r="J69" s="22" t="s">
        <v>19417</v>
      </c>
      <c r="K69" s="22" t="s">
        <v>20110</v>
      </c>
      <c r="L69" s="22"/>
      <c r="M69" s="22"/>
      <c r="N69" s="25" t="str">
        <f>HYPERLINK("http://slimages.macys.com/is/image/MCY/21400727 ")</f>
        <v xml:space="preserve">http://slimages.macys.com/is/image/MCY/21400727 </v>
      </c>
    </row>
    <row r="70" spans="1:14" ht="24.75" x14ac:dyDescent="0.25">
      <c r="A70" s="21" t="s">
        <v>8097</v>
      </c>
      <c r="B70" s="22" t="s">
        <v>8098</v>
      </c>
      <c r="C70" s="2">
        <v>24</v>
      </c>
      <c r="D70" s="23">
        <v>30</v>
      </c>
      <c r="E70" s="3">
        <v>720</v>
      </c>
      <c r="F70" s="2" t="s">
        <v>8099</v>
      </c>
      <c r="G70" s="22" t="s">
        <v>19333</v>
      </c>
      <c r="H70" s="24"/>
      <c r="I70" s="22" t="s">
        <v>19309</v>
      </c>
      <c r="J70" s="22" t="s">
        <v>19417</v>
      </c>
      <c r="K70" s="22" t="s">
        <v>18317</v>
      </c>
      <c r="L70" s="22"/>
      <c r="M70" s="22"/>
      <c r="N70" s="25" t="str">
        <f>HYPERLINK("http://slimages.macys.com/is/image/MCY/22226509 ")</f>
        <v xml:space="preserve">http://slimages.macys.com/is/image/MCY/22226509 </v>
      </c>
    </row>
    <row r="71" spans="1:14" x14ac:dyDescent="0.25">
      <c r="A71" s="21" t="s">
        <v>8100</v>
      </c>
      <c r="B71" s="22" t="s">
        <v>8101</v>
      </c>
      <c r="C71" s="2">
        <v>6</v>
      </c>
      <c r="D71" s="23">
        <v>30</v>
      </c>
      <c r="E71" s="3">
        <v>180</v>
      </c>
      <c r="F71" s="2" t="s">
        <v>8102</v>
      </c>
      <c r="G71" s="22"/>
      <c r="H71" s="24"/>
      <c r="I71" s="22" t="s">
        <v>19309</v>
      </c>
      <c r="J71" s="22" t="s">
        <v>19417</v>
      </c>
      <c r="K71" s="22" t="s">
        <v>18317</v>
      </c>
      <c r="L71" s="22"/>
      <c r="M71" s="22"/>
      <c r="N71" s="25" t="str">
        <f>HYPERLINK("http://slimages.macys.com/is/image/MCY/21615008 ")</f>
        <v xml:space="preserve">http://slimages.macys.com/is/image/MCY/21615008 </v>
      </c>
    </row>
    <row r="72" spans="1:14" x14ac:dyDescent="0.25">
      <c r="A72" s="21" t="s">
        <v>9554</v>
      </c>
      <c r="B72" s="22" t="s">
        <v>11043</v>
      </c>
      <c r="C72" s="2">
        <v>29</v>
      </c>
      <c r="D72" s="23">
        <v>30</v>
      </c>
      <c r="E72" s="3">
        <v>870</v>
      </c>
      <c r="F72" s="2" t="s">
        <v>11050</v>
      </c>
      <c r="G72" s="22" t="s">
        <v>19333</v>
      </c>
      <c r="H72" s="24"/>
      <c r="I72" s="22" t="s">
        <v>19309</v>
      </c>
      <c r="J72" s="22" t="s">
        <v>19417</v>
      </c>
      <c r="K72" s="22" t="s">
        <v>18317</v>
      </c>
      <c r="L72" s="22"/>
      <c r="M72" s="22"/>
      <c r="N72" s="25" t="str">
        <f>HYPERLINK("http://slimages.macys.com/is/image/MCY/22226507 ")</f>
        <v xml:space="preserve">http://slimages.macys.com/is/image/MCY/22226507 </v>
      </c>
    </row>
    <row r="73" spans="1:14" x14ac:dyDescent="0.25">
      <c r="A73" s="21" t="s">
        <v>8103</v>
      </c>
      <c r="B73" s="22" t="s">
        <v>8104</v>
      </c>
      <c r="C73" s="2">
        <v>6</v>
      </c>
      <c r="D73" s="23">
        <v>30</v>
      </c>
      <c r="E73" s="3">
        <v>180</v>
      </c>
      <c r="F73" s="2" t="s">
        <v>8105</v>
      </c>
      <c r="G73" s="22" t="s">
        <v>19333</v>
      </c>
      <c r="H73" s="24"/>
      <c r="I73" s="22" t="s">
        <v>19309</v>
      </c>
      <c r="J73" s="22" t="s">
        <v>19417</v>
      </c>
      <c r="K73" s="22" t="s">
        <v>18317</v>
      </c>
      <c r="L73" s="22"/>
      <c r="M73" s="22"/>
      <c r="N73" s="25" t="str">
        <f>HYPERLINK("http://slimages.macys.com/is/image/MCY/22226519 ")</f>
        <v xml:space="preserve">http://slimages.macys.com/is/image/MCY/22226519 </v>
      </c>
    </row>
    <row r="74" spans="1:14" x14ac:dyDescent="0.25">
      <c r="A74" s="21" t="s">
        <v>8106</v>
      </c>
      <c r="B74" s="22" t="s">
        <v>11049</v>
      </c>
      <c r="C74" s="2">
        <v>6</v>
      </c>
      <c r="D74" s="23">
        <v>30</v>
      </c>
      <c r="E74" s="3">
        <v>180</v>
      </c>
      <c r="F74" s="2" t="s">
        <v>11044</v>
      </c>
      <c r="G74" s="22" t="s">
        <v>19333</v>
      </c>
      <c r="H74" s="24" t="s">
        <v>19538</v>
      </c>
      <c r="I74" s="22" t="s">
        <v>19309</v>
      </c>
      <c r="J74" s="22" t="s">
        <v>19417</v>
      </c>
      <c r="K74" s="22" t="s">
        <v>18317</v>
      </c>
      <c r="L74" s="22"/>
      <c r="M74" s="22"/>
      <c r="N74" s="25" t="str">
        <f>HYPERLINK("http://slimages.macys.com/is/image/MCY/22226519 ")</f>
        <v xml:space="preserve">http://slimages.macys.com/is/image/MCY/22226519 </v>
      </c>
    </row>
    <row r="75" spans="1:14" ht="24.75" x14ac:dyDescent="0.25">
      <c r="A75" s="21" t="s">
        <v>8107</v>
      </c>
      <c r="B75" s="22" t="s">
        <v>8108</v>
      </c>
      <c r="C75" s="2">
        <v>7</v>
      </c>
      <c r="D75" s="23">
        <v>30</v>
      </c>
      <c r="E75" s="3">
        <v>210</v>
      </c>
      <c r="F75" s="2" t="s">
        <v>11047</v>
      </c>
      <c r="G75" s="22" t="s">
        <v>19594</v>
      </c>
      <c r="H75" s="24"/>
      <c r="I75" s="22" t="s">
        <v>19309</v>
      </c>
      <c r="J75" s="22" t="s">
        <v>19417</v>
      </c>
      <c r="K75" s="22" t="s">
        <v>18317</v>
      </c>
      <c r="L75" s="22"/>
      <c r="M75" s="22"/>
      <c r="N75" s="25" t="str">
        <f>HYPERLINK("http://slimages.macys.com/is/image/MCY/21615012 ")</f>
        <v xml:space="preserve">http://slimages.macys.com/is/image/MCY/21615012 </v>
      </c>
    </row>
    <row r="76" spans="1:14" x14ac:dyDescent="0.25">
      <c r="A76" s="21" t="s">
        <v>11048</v>
      </c>
      <c r="B76" s="22" t="s">
        <v>11049</v>
      </c>
      <c r="C76" s="2">
        <v>12</v>
      </c>
      <c r="D76" s="23">
        <v>30</v>
      </c>
      <c r="E76" s="3">
        <v>360</v>
      </c>
      <c r="F76" s="2" t="s">
        <v>11050</v>
      </c>
      <c r="G76" s="22" t="s">
        <v>19333</v>
      </c>
      <c r="H76" s="24" t="s">
        <v>19538</v>
      </c>
      <c r="I76" s="22" t="s">
        <v>19309</v>
      </c>
      <c r="J76" s="22" t="s">
        <v>19417</v>
      </c>
      <c r="K76" s="22" t="s">
        <v>18317</v>
      </c>
      <c r="L76" s="22"/>
      <c r="M76" s="22"/>
      <c r="N76" s="25" t="str">
        <f>HYPERLINK("http://slimages.macys.com/is/image/MCY/22226507 ")</f>
        <v xml:space="preserve">http://slimages.macys.com/is/image/MCY/22226507 </v>
      </c>
    </row>
    <row r="77" spans="1:14" ht="24.75" x14ac:dyDescent="0.25">
      <c r="A77" s="21" t="s">
        <v>8109</v>
      </c>
      <c r="B77" s="22" t="s">
        <v>8110</v>
      </c>
      <c r="C77" s="2">
        <v>6</v>
      </c>
      <c r="D77" s="23">
        <v>30</v>
      </c>
      <c r="E77" s="3">
        <v>180</v>
      </c>
      <c r="F77" s="2" t="s">
        <v>11047</v>
      </c>
      <c r="G77" s="22" t="s">
        <v>19594</v>
      </c>
      <c r="H77" s="24" t="s">
        <v>19384</v>
      </c>
      <c r="I77" s="22" t="s">
        <v>19309</v>
      </c>
      <c r="J77" s="22" t="s">
        <v>19417</v>
      </c>
      <c r="K77" s="22" t="s">
        <v>18317</v>
      </c>
      <c r="L77" s="22"/>
      <c r="M77" s="22"/>
      <c r="N77" s="25" t="str">
        <f>HYPERLINK("http://slimages.macys.com/is/image/MCY/21615012 ")</f>
        <v xml:space="preserve">http://slimages.macys.com/is/image/MCY/21615012 </v>
      </c>
    </row>
    <row r="78" spans="1:14" ht="24.75" x14ac:dyDescent="0.25">
      <c r="A78" s="21" t="s">
        <v>8111</v>
      </c>
      <c r="B78" s="22" t="s">
        <v>8112</v>
      </c>
      <c r="C78" s="2">
        <v>18</v>
      </c>
      <c r="D78" s="23">
        <v>24.5</v>
      </c>
      <c r="E78" s="3">
        <v>441</v>
      </c>
      <c r="F78" s="2" t="s">
        <v>8113</v>
      </c>
      <c r="G78" s="22" t="s">
        <v>19618</v>
      </c>
      <c r="H78" s="24"/>
      <c r="I78" s="22" t="s">
        <v>19309</v>
      </c>
      <c r="J78" s="22" t="s">
        <v>19613</v>
      </c>
      <c r="K78" s="22" t="s">
        <v>19614</v>
      </c>
      <c r="L78" s="22"/>
      <c r="M78" s="22"/>
      <c r="N78" s="25" t="str">
        <f>HYPERLINK("http://slimages.macys.com/is/image/MCY/21035738 ")</f>
        <v xml:space="preserve">http://slimages.macys.com/is/image/MCY/21035738 </v>
      </c>
    </row>
    <row r="79" spans="1:14" ht="24.75" x14ac:dyDescent="0.25">
      <c r="A79" s="21" t="s">
        <v>8114</v>
      </c>
      <c r="B79" s="22" t="s">
        <v>19616</v>
      </c>
      <c r="C79" s="2">
        <v>32</v>
      </c>
      <c r="D79" s="23">
        <v>24.5</v>
      </c>
      <c r="E79" s="3">
        <v>784</v>
      </c>
      <c r="F79" s="2" t="s">
        <v>8113</v>
      </c>
      <c r="G79" s="22" t="s">
        <v>19618</v>
      </c>
      <c r="H79" s="24"/>
      <c r="I79" s="22" t="s">
        <v>19309</v>
      </c>
      <c r="J79" s="22" t="s">
        <v>19613</v>
      </c>
      <c r="K79" s="22" t="s">
        <v>19614</v>
      </c>
      <c r="L79" s="22"/>
      <c r="M79" s="22"/>
      <c r="N79" s="25" t="str">
        <f>HYPERLINK("http://slimages.macys.com/is/image/MCY/21035738 ")</f>
        <v xml:space="preserve">http://slimages.macys.com/is/image/MCY/21035738 </v>
      </c>
    </row>
    <row r="80" spans="1:14" ht="24.75" x14ac:dyDescent="0.25">
      <c r="A80" s="21" t="s">
        <v>8115</v>
      </c>
      <c r="B80" s="22" t="s">
        <v>8116</v>
      </c>
      <c r="C80" s="2">
        <v>22</v>
      </c>
      <c r="D80" s="23">
        <v>24.5</v>
      </c>
      <c r="E80" s="3">
        <v>539</v>
      </c>
      <c r="F80" s="2" t="s">
        <v>8113</v>
      </c>
      <c r="G80" s="22" t="s">
        <v>19618</v>
      </c>
      <c r="H80" s="24"/>
      <c r="I80" s="22" t="s">
        <v>19309</v>
      </c>
      <c r="J80" s="22" t="s">
        <v>19613</v>
      </c>
      <c r="K80" s="22" t="s">
        <v>19614</v>
      </c>
      <c r="L80" s="22"/>
      <c r="M80" s="22"/>
      <c r="N80" s="25" t="str">
        <f>HYPERLINK("http://slimages.macys.com/is/image/MCY/21035738 ")</f>
        <v xml:space="preserve">http://slimages.macys.com/is/image/MCY/21035738 </v>
      </c>
    </row>
    <row r="81" spans="1:14" ht="24.75" x14ac:dyDescent="0.25">
      <c r="A81" s="21" t="s">
        <v>8117</v>
      </c>
      <c r="B81" s="22" t="s">
        <v>8118</v>
      </c>
      <c r="C81" s="2">
        <v>9</v>
      </c>
      <c r="D81" s="23">
        <v>24.5</v>
      </c>
      <c r="E81" s="3">
        <v>220.5</v>
      </c>
      <c r="F81" s="2" t="s">
        <v>9561</v>
      </c>
      <c r="G81" s="22" t="s">
        <v>19351</v>
      </c>
      <c r="H81" s="24" t="s">
        <v>19395</v>
      </c>
      <c r="I81" s="22" t="s">
        <v>19309</v>
      </c>
      <c r="J81" s="22" t="s">
        <v>19688</v>
      </c>
      <c r="K81" s="22" t="s">
        <v>19614</v>
      </c>
      <c r="L81" s="22"/>
      <c r="M81" s="22"/>
      <c r="N81" s="25" t="str">
        <f>HYPERLINK("http://slimages.macys.com/is/image/MCY/21965036 ")</f>
        <v xml:space="preserve">http://slimages.macys.com/is/image/MCY/21965036 </v>
      </c>
    </row>
    <row r="82" spans="1:14" ht="24.75" x14ac:dyDescent="0.25">
      <c r="A82" s="21" t="s">
        <v>9559</v>
      </c>
      <c r="B82" s="22" t="s">
        <v>9560</v>
      </c>
      <c r="C82" s="2">
        <v>9</v>
      </c>
      <c r="D82" s="23">
        <v>24.5</v>
      </c>
      <c r="E82" s="3">
        <v>220.5</v>
      </c>
      <c r="F82" s="2" t="s">
        <v>9561</v>
      </c>
      <c r="G82" s="22" t="s">
        <v>19351</v>
      </c>
      <c r="H82" s="24" t="s">
        <v>19334</v>
      </c>
      <c r="I82" s="22" t="s">
        <v>19309</v>
      </c>
      <c r="J82" s="22" t="s">
        <v>19688</v>
      </c>
      <c r="K82" s="22" t="s">
        <v>19614</v>
      </c>
      <c r="L82" s="22"/>
      <c r="M82" s="22"/>
      <c r="N82" s="25" t="str">
        <f>HYPERLINK("http://slimages.macys.com/is/image/MCY/21965035 ")</f>
        <v xml:space="preserve">http://slimages.macys.com/is/image/MCY/21965035 </v>
      </c>
    </row>
    <row r="83" spans="1:14" x14ac:dyDescent="0.25">
      <c r="A83" s="21" t="s">
        <v>18285</v>
      </c>
      <c r="B83" s="22" t="s">
        <v>18286</v>
      </c>
      <c r="C83" s="2">
        <v>21</v>
      </c>
      <c r="D83" s="23">
        <v>12.24</v>
      </c>
      <c r="E83" s="3">
        <v>257.04000000000002</v>
      </c>
      <c r="F83" s="2" t="s">
        <v>18287</v>
      </c>
      <c r="G83" s="22" t="s">
        <v>19323</v>
      </c>
      <c r="H83" s="24" t="s">
        <v>20159</v>
      </c>
      <c r="I83" s="22" t="s">
        <v>19309</v>
      </c>
      <c r="J83" s="22" t="s">
        <v>19708</v>
      </c>
      <c r="K83" s="22" t="s">
        <v>19709</v>
      </c>
      <c r="L83" s="22"/>
      <c r="M83" s="22"/>
      <c r="N83" s="25" t="str">
        <f>HYPERLINK("http://slimages.macys.com/is/image/MCY/21410161 ")</f>
        <v xml:space="preserve">http://slimages.macys.com/is/image/MCY/21410161 </v>
      </c>
    </row>
    <row r="84" spans="1:14" ht="24.75" x14ac:dyDescent="0.25">
      <c r="A84" s="21" t="s">
        <v>11074</v>
      </c>
      <c r="B84" s="22" t="s">
        <v>11075</v>
      </c>
      <c r="C84" s="2">
        <v>27</v>
      </c>
      <c r="D84" s="23">
        <v>14.99</v>
      </c>
      <c r="E84" s="3">
        <v>404.73</v>
      </c>
      <c r="F84" s="2" t="s">
        <v>18364</v>
      </c>
      <c r="G84" s="22" t="s">
        <v>19431</v>
      </c>
      <c r="H84" s="24" t="s">
        <v>19384</v>
      </c>
      <c r="I84" s="22" t="s">
        <v>19309</v>
      </c>
      <c r="J84" s="22" t="s">
        <v>19573</v>
      </c>
      <c r="K84" s="22" t="s">
        <v>19574</v>
      </c>
      <c r="L84" s="22"/>
      <c r="M84" s="22"/>
      <c r="N84" s="25" t="str">
        <f>HYPERLINK("http://slimages.macys.com/is/image/MCY/2062457 ")</f>
        <v xml:space="preserve">http://slimages.macys.com/is/image/MCY/2062457 </v>
      </c>
    </row>
    <row r="85" spans="1:14" ht="24.75" x14ac:dyDescent="0.25">
      <c r="A85" s="21" t="s">
        <v>18362</v>
      </c>
      <c r="B85" s="22" t="s">
        <v>18363</v>
      </c>
      <c r="C85" s="2">
        <v>18</v>
      </c>
      <c r="D85" s="23">
        <v>14.99</v>
      </c>
      <c r="E85" s="3">
        <v>269.82</v>
      </c>
      <c r="F85" s="2" t="s">
        <v>18364</v>
      </c>
      <c r="G85" s="22" t="s">
        <v>19431</v>
      </c>
      <c r="H85" s="24"/>
      <c r="I85" s="22" t="s">
        <v>19309</v>
      </c>
      <c r="J85" s="22" t="s">
        <v>19573</v>
      </c>
      <c r="K85" s="22" t="s">
        <v>19574</v>
      </c>
      <c r="L85" s="22"/>
      <c r="M85" s="22"/>
      <c r="N85" s="25" t="str">
        <f>HYPERLINK("http://slimages.macys.com/is/image/MCY/1642503 ")</f>
        <v xml:space="preserve">http://slimages.macys.com/is/image/MCY/1642503 </v>
      </c>
    </row>
    <row r="86" spans="1:14" x14ac:dyDescent="0.25">
      <c r="A86" s="21" t="s">
        <v>8119</v>
      </c>
      <c r="B86" s="22" t="s">
        <v>8120</v>
      </c>
      <c r="C86" s="2">
        <v>7</v>
      </c>
      <c r="D86" s="23">
        <v>22</v>
      </c>
      <c r="E86" s="3">
        <v>154</v>
      </c>
      <c r="F86" s="2" t="s">
        <v>13796</v>
      </c>
      <c r="G86" s="22" t="s">
        <v>18439</v>
      </c>
      <c r="H86" s="24" t="s">
        <v>19538</v>
      </c>
      <c r="I86" s="22" t="s">
        <v>19309</v>
      </c>
      <c r="J86" s="22" t="s">
        <v>19417</v>
      </c>
      <c r="K86" s="22" t="s">
        <v>20110</v>
      </c>
      <c r="L86" s="22"/>
      <c r="M86" s="22"/>
      <c r="N86" s="25" t="str">
        <f>HYPERLINK("http://slimages.macys.com/is/image/MCY/21551774 ")</f>
        <v xml:space="preserve">http://slimages.macys.com/is/image/MCY/21551774 </v>
      </c>
    </row>
    <row r="87" spans="1:14" x14ac:dyDescent="0.25">
      <c r="A87" s="21" t="s">
        <v>9570</v>
      </c>
      <c r="B87" s="22" t="s">
        <v>9571</v>
      </c>
      <c r="C87" s="2">
        <v>12</v>
      </c>
      <c r="D87" s="23">
        <v>17.989999999999998</v>
      </c>
      <c r="E87" s="3">
        <v>215.88</v>
      </c>
      <c r="F87" s="2" t="s">
        <v>9566</v>
      </c>
      <c r="G87" s="22" t="s">
        <v>19342</v>
      </c>
      <c r="H87" s="24" t="s">
        <v>19392</v>
      </c>
      <c r="I87" s="22" t="s">
        <v>19309</v>
      </c>
      <c r="J87" s="22" t="s">
        <v>19696</v>
      </c>
      <c r="K87" s="22" t="s">
        <v>19697</v>
      </c>
      <c r="L87" s="22"/>
      <c r="M87" s="22"/>
      <c r="N87" s="25" t="str">
        <f>HYPERLINK("http://slimages.macys.com/is/image/MCY/21355167 ")</f>
        <v xml:space="preserve">http://slimages.macys.com/is/image/MCY/21355167 </v>
      </c>
    </row>
    <row r="88" spans="1:14" x14ac:dyDescent="0.25">
      <c r="A88" s="21" t="s">
        <v>9572</v>
      </c>
      <c r="B88" s="22" t="s">
        <v>9573</v>
      </c>
      <c r="C88" s="2">
        <v>12</v>
      </c>
      <c r="D88" s="23">
        <v>17.989999999999998</v>
      </c>
      <c r="E88" s="3">
        <v>215.88</v>
      </c>
      <c r="F88" s="2" t="s">
        <v>9566</v>
      </c>
      <c r="G88" s="22" t="s">
        <v>19342</v>
      </c>
      <c r="H88" s="24" t="s">
        <v>19345</v>
      </c>
      <c r="I88" s="22" t="s">
        <v>19309</v>
      </c>
      <c r="J88" s="22" t="s">
        <v>19696</v>
      </c>
      <c r="K88" s="22" t="s">
        <v>19697</v>
      </c>
      <c r="L88" s="22"/>
      <c r="M88" s="22"/>
      <c r="N88" s="25" t="str">
        <f>HYPERLINK("http://slimages.macys.com/is/image/MCY/21355167 ")</f>
        <v xml:space="preserve">http://slimages.macys.com/is/image/MCY/21355167 </v>
      </c>
    </row>
    <row r="89" spans="1:14" x14ac:dyDescent="0.25">
      <c r="A89" s="21" t="s">
        <v>11076</v>
      </c>
      <c r="B89" s="22" t="s">
        <v>11077</v>
      </c>
      <c r="C89" s="2">
        <v>30</v>
      </c>
      <c r="D89" s="23">
        <v>30</v>
      </c>
      <c r="E89" s="3">
        <v>900</v>
      </c>
      <c r="F89" s="2" t="s">
        <v>11078</v>
      </c>
      <c r="G89" s="22" t="s">
        <v>19333</v>
      </c>
      <c r="H89" s="24" t="s">
        <v>19968</v>
      </c>
      <c r="I89" s="22" t="s">
        <v>19309</v>
      </c>
      <c r="J89" s="22" t="s">
        <v>19417</v>
      </c>
      <c r="K89" s="22" t="s">
        <v>18317</v>
      </c>
      <c r="L89" s="22"/>
      <c r="M89" s="22"/>
      <c r="N89" s="25" t="str">
        <f>HYPERLINK("http://slimages.macys.com/is/image/MCY/21614931 ")</f>
        <v xml:space="preserve">http://slimages.macys.com/is/image/MCY/21614931 </v>
      </c>
    </row>
    <row r="90" spans="1:14" ht="24.75" x14ac:dyDescent="0.25">
      <c r="A90" s="21" t="s">
        <v>8121</v>
      </c>
      <c r="B90" s="22" t="s">
        <v>8122</v>
      </c>
      <c r="C90" s="2">
        <v>18</v>
      </c>
      <c r="D90" s="23">
        <v>30</v>
      </c>
      <c r="E90" s="3">
        <v>540</v>
      </c>
      <c r="F90" s="2" t="s">
        <v>18316</v>
      </c>
      <c r="G90" s="22" t="s">
        <v>19422</v>
      </c>
      <c r="H90" s="24"/>
      <c r="I90" s="22" t="s">
        <v>19309</v>
      </c>
      <c r="J90" s="22" t="s">
        <v>19417</v>
      </c>
      <c r="K90" s="22" t="s">
        <v>18317</v>
      </c>
      <c r="L90" s="22"/>
      <c r="M90" s="22"/>
      <c r="N90" s="25" t="str">
        <f>HYPERLINK("http://slimages.macys.com/is/image/MCY/21614910 ")</f>
        <v xml:space="preserve">http://slimages.macys.com/is/image/MCY/21614910 </v>
      </c>
    </row>
    <row r="91" spans="1:14" ht="24.75" x14ac:dyDescent="0.25">
      <c r="A91" s="21" t="s">
        <v>9567</v>
      </c>
      <c r="B91" s="22" t="s">
        <v>9568</v>
      </c>
      <c r="C91" s="2">
        <v>10</v>
      </c>
      <c r="D91" s="23">
        <v>22</v>
      </c>
      <c r="E91" s="3">
        <v>220</v>
      </c>
      <c r="F91" s="2" t="s">
        <v>9569</v>
      </c>
      <c r="G91" s="22" t="s">
        <v>19333</v>
      </c>
      <c r="H91" s="24" t="s">
        <v>20109</v>
      </c>
      <c r="I91" s="22" t="s">
        <v>19309</v>
      </c>
      <c r="J91" s="22" t="s">
        <v>19417</v>
      </c>
      <c r="K91" s="22" t="s">
        <v>20110</v>
      </c>
      <c r="L91" s="22"/>
      <c r="M91" s="22"/>
      <c r="N91" s="25" t="str">
        <f>HYPERLINK("http://slimages.macys.com/is/image/MCY/21551778 ")</f>
        <v xml:space="preserve">http://slimages.macys.com/is/image/MCY/21551778 </v>
      </c>
    </row>
    <row r="92" spans="1:14" ht="24.75" x14ac:dyDescent="0.25">
      <c r="A92" s="21" t="s">
        <v>10629</v>
      </c>
      <c r="B92" s="22" t="s">
        <v>10630</v>
      </c>
      <c r="C92" s="2">
        <v>13</v>
      </c>
      <c r="D92" s="23">
        <v>22</v>
      </c>
      <c r="E92" s="3">
        <v>286</v>
      </c>
      <c r="F92" s="2" t="s">
        <v>16175</v>
      </c>
      <c r="G92" s="22" t="s">
        <v>19404</v>
      </c>
      <c r="H92" s="24"/>
      <c r="I92" s="22" t="s">
        <v>19309</v>
      </c>
      <c r="J92" s="22" t="s">
        <v>19417</v>
      </c>
      <c r="K92" s="22" t="s">
        <v>20110</v>
      </c>
      <c r="L92" s="22"/>
      <c r="M92" s="22"/>
      <c r="N92" s="25" t="str">
        <f>HYPERLINK("http://slimages.macys.com/is/image/MCY/21735554 ")</f>
        <v xml:space="preserve">http://slimages.macys.com/is/image/MCY/21735554 </v>
      </c>
    </row>
    <row r="93" spans="1:14" x14ac:dyDescent="0.25">
      <c r="A93" s="21" t="s">
        <v>9564</v>
      </c>
      <c r="B93" s="22" t="s">
        <v>9565</v>
      </c>
      <c r="C93" s="2">
        <v>24</v>
      </c>
      <c r="D93" s="23">
        <v>17.989999999999998</v>
      </c>
      <c r="E93" s="3">
        <v>431.76</v>
      </c>
      <c r="F93" s="2" t="s">
        <v>9566</v>
      </c>
      <c r="G93" s="22" t="s">
        <v>19342</v>
      </c>
      <c r="H93" s="24" t="s">
        <v>19334</v>
      </c>
      <c r="I93" s="22" t="s">
        <v>19309</v>
      </c>
      <c r="J93" s="22" t="s">
        <v>19696</v>
      </c>
      <c r="K93" s="22" t="s">
        <v>19697</v>
      </c>
      <c r="L93" s="22"/>
      <c r="M93" s="22"/>
      <c r="N93" s="25" t="str">
        <f>HYPERLINK("http://slimages.macys.com/is/image/MCY/21355167 ")</f>
        <v xml:space="preserve">http://slimages.macys.com/is/image/MCY/21355167 </v>
      </c>
    </row>
    <row r="94" spans="1:14" ht="24.75" x14ac:dyDescent="0.25">
      <c r="A94" s="21" t="s">
        <v>11085</v>
      </c>
      <c r="B94" s="22" t="s">
        <v>11086</v>
      </c>
      <c r="C94" s="2">
        <v>10</v>
      </c>
      <c r="D94" s="23">
        <v>22.5</v>
      </c>
      <c r="E94" s="3">
        <v>225</v>
      </c>
      <c r="F94" s="2" t="s">
        <v>13234</v>
      </c>
      <c r="G94" s="22" t="s">
        <v>19351</v>
      </c>
      <c r="H94" s="24" t="s">
        <v>19334</v>
      </c>
      <c r="I94" s="22" t="s">
        <v>19309</v>
      </c>
      <c r="J94" s="22" t="s">
        <v>19688</v>
      </c>
      <c r="K94" s="22" t="s">
        <v>19614</v>
      </c>
      <c r="L94" s="22"/>
      <c r="M94" s="22"/>
      <c r="N94" s="25" t="str">
        <f>HYPERLINK("http://slimages.macys.com/is/image/MCY/21035870 ")</f>
        <v xml:space="preserve">http://slimages.macys.com/is/image/MCY/21035870 </v>
      </c>
    </row>
    <row r="95" spans="1:14" ht="24.75" x14ac:dyDescent="0.25">
      <c r="A95" s="21" t="s">
        <v>8123</v>
      </c>
      <c r="B95" s="22" t="s">
        <v>8124</v>
      </c>
      <c r="C95" s="2">
        <v>10</v>
      </c>
      <c r="D95" s="23">
        <v>22.5</v>
      </c>
      <c r="E95" s="3">
        <v>225</v>
      </c>
      <c r="F95" s="2" t="s">
        <v>13234</v>
      </c>
      <c r="G95" s="22" t="s">
        <v>19351</v>
      </c>
      <c r="H95" s="24" t="s">
        <v>19345</v>
      </c>
      <c r="I95" s="22" t="s">
        <v>19309</v>
      </c>
      <c r="J95" s="22" t="s">
        <v>19688</v>
      </c>
      <c r="K95" s="22" t="s">
        <v>19614</v>
      </c>
      <c r="L95" s="22"/>
      <c r="M95" s="22"/>
      <c r="N95" s="25" t="str">
        <f>HYPERLINK("http://slimages.macys.com/is/image/MCY/21035870 ")</f>
        <v xml:space="preserve">http://slimages.macys.com/is/image/MCY/21035870 </v>
      </c>
    </row>
    <row r="96" spans="1:14" ht="24.75" x14ac:dyDescent="0.25">
      <c r="A96" s="21" t="s">
        <v>8125</v>
      </c>
      <c r="B96" s="22" t="s">
        <v>8126</v>
      </c>
      <c r="C96" s="2">
        <v>10</v>
      </c>
      <c r="D96" s="23">
        <v>22.5</v>
      </c>
      <c r="E96" s="3">
        <v>225</v>
      </c>
      <c r="F96" s="2" t="s">
        <v>13234</v>
      </c>
      <c r="G96" s="22" t="s">
        <v>19351</v>
      </c>
      <c r="H96" s="24" t="s">
        <v>19361</v>
      </c>
      <c r="I96" s="22" t="s">
        <v>19309</v>
      </c>
      <c r="J96" s="22" t="s">
        <v>19688</v>
      </c>
      <c r="K96" s="22" t="s">
        <v>19614</v>
      </c>
      <c r="L96" s="22"/>
      <c r="M96" s="22"/>
      <c r="N96" s="25" t="str">
        <f>HYPERLINK("http://slimages.macys.com/is/image/MCY/21035872 ")</f>
        <v xml:space="preserve">http://slimages.macys.com/is/image/MCY/21035872 </v>
      </c>
    </row>
    <row r="97" spans="1:14" ht="24.75" x14ac:dyDescent="0.25">
      <c r="A97" s="21" t="s">
        <v>18336</v>
      </c>
      <c r="B97" s="22" t="s">
        <v>18337</v>
      </c>
      <c r="C97" s="2">
        <v>33</v>
      </c>
      <c r="D97" s="23">
        <v>22.5</v>
      </c>
      <c r="E97" s="3">
        <v>742.5</v>
      </c>
      <c r="F97" s="2" t="s">
        <v>18338</v>
      </c>
      <c r="G97" s="22" t="s">
        <v>19351</v>
      </c>
      <c r="H97" s="24" t="s">
        <v>19334</v>
      </c>
      <c r="I97" s="22" t="s">
        <v>19309</v>
      </c>
      <c r="J97" s="22" t="s">
        <v>19688</v>
      </c>
      <c r="K97" s="22" t="s">
        <v>19614</v>
      </c>
      <c r="L97" s="22"/>
      <c r="M97" s="22"/>
      <c r="N97" s="25" t="str">
        <f>HYPERLINK("http://slimages.macys.com/is/image/MCY/21035862 ")</f>
        <v xml:space="preserve">http://slimages.macys.com/is/image/MCY/21035862 </v>
      </c>
    </row>
    <row r="98" spans="1:14" ht="24.75" x14ac:dyDescent="0.25">
      <c r="A98" s="21" t="s">
        <v>8127</v>
      </c>
      <c r="B98" s="22" t="s">
        <v>8128</v>
      </c>
      <c r="C98" s="2">
        <v>18</v>
      </c>
      <c r="D98" s="23">
        <v>22.5</v>
      </c>
      <c r="E98" s="3">
        <v>405</v>
      </c>
      <c r="F98" s="2" t="s">
        <v>18338</v>
      </c>
      <c r="G98" s="22" t="s">
        <v>19351</v>
      </c>
      <c r="H98" s="24" t="s">
        <v>19361</v>
      </c>
      <c r="I98" s="22" t="s">
        <v>19309</v>
      </c>
      <c r="J98" s="22" t="s">
        <v>19688</v>
      </c>
      <c r="K98" s="22" t="s">
        <v>19614</v>
      </c>
      <c r="L98" s="22"/>
      <c r="M98" s="22"/>
      <c r="N98" s="25" t="str">
        <f>HYPERLINK("http://slimages.macys.com/is/image/MCY/21035864 ")</f>
        <v xml:space="preserve">http://slimages.macys.com/is/image/MCY/21035864 </v>
      </c>
    </row>
    <row r="99" spans="1:14" ht="24.75" x14ac:dyDescent="0.25">
      <c r="A99" s="21" t="s">
        <v>8129</v>
      </c>
      <c r="B99" s="22" t="s">
        <v>8130</v>
      </c>
      <c r="C99" s="2">
        <v>24</v>
      </c>
      <c r="D99" s="23">
        <v>22.5</v>
      </c>
      <c r="E99" s="3">
        <v>540</v>
      </c>
      <c r="F99" s="2" t="s">
        <v>18338</v>
      </c>
      <c r="G99" s="22" t="s">
        <v>19351</v>
      </c>
      <c r="H99" s="24" t="s">
        <v>19542</v>
      </c>
      <c r="I99" s="22" t="s">
        <v>19309</v>
      </c>
      <c r="J99" s="22" t="s">
        <v>19688</v>
      </c>
      <c r="K99" s="22" t="s">
        <v>19614</v>
      </c>
      <c r="L99" s="22"/>
      <c r="M99" s="22"/>
      <c r="N99" s="25" t="str">
        <f>HYPERLINK("http://slimages.macys.com/is/image/MCY/21035864 ")</f>
        <v xml:space="preserve">http://slimages.macys.com/is/image/MCY/21035864 </v>
      </c>
    </row>
    <row r="100" spans="1:14" ht="24.75" x14ac:dyDescent="0.25">
      <c r="A100" s="21" t="s">
        <v>9583</v>
      </c>
      <c r="B100" s="22" t="s">
        <v>9584</v>
      </c>
      <c r="C100" s="2">
        <v>19</v>
      </c>
      <c r="D100" s="23">
        <v>22.5</v>
      </c>
      <c r="E100" s="3">
        <v>427.5</v>
      </c>
      <c r="F100" s="2" t="s">
        <v>18338</v>
      </c>
      <c r="G100" s="22" t="s">
        <v>19351</v>
      </c>
      <c r="H100" s="24" t="s">
        <v>19395</v>
      </c>
      <c r="I100" s="22" t="s">
        <v>19309</v>
      </c>
      <c r="J100" s="22" t="s">
        <v>19688</v>
      </c>
      <c r="K100" s="22" t="s">
        <v>19614</v>
      </c>
      <c r="L100" s="22"/>
      <c r="M100" s="22"/>
      <c r="N100" s="25" t="str">
        <f>HYPERLINK("http://slimages.macys.com/is/image/MCY/21035864 ")</f>
        <v xml:space="preserve">http://slimages.macys.com/is/image/MCY/21035864 </v>
      </c>
    </row>
    <row r="101" spans="1:14" ht="24.75" x14ac:dyDescent="0.25">
      <c r="A101" s="21" t="s">
        <v>13232</v>
      </c>
      <c r="B101" s="22" t="s">
        <v>13233</v>
      </c>
      <c r="C101" s="2">
        <v>8</v>
      </c>
      <c r="D101" s="23">
        <v>22.5</v>
      </c>
      <c r="E101" s="3">
        <v>180</v>
      </c>
      <c r="F101" s="2" t="s">
        <v>13234</v>
      </c>
      <c r="G101" s="22" t="s">
        <v>19351</v>
      </c>
      <c r="H101" s="24" t="s">
        <v>19395</v>
      </c>
      <c r="I101" s="22" t="s">
        <v>19309</v>
      </c>
      <c r="J101" s="22" t="s">
        <v>19688</v>
      </c>
      <c r="K101" s="22" t="s">
        <v>19614</v>
      </c>
      <c r="L101" s="22"/>
      <c r="M101" s="22"/>
      <c r="N101" s="25" t="str">
        <f>HYPERLINK("http://slimages.macys.com/is/image/MCY/21035872 ")</f>
        <v xml:space="preserve">http://slimages.macys.com/is/image/MCY/21035872 </v>
      </c>
    </row>
    <row r="102" spans="1:14" ht="24.75" x14ac:dyDescent="0.25">
      <c r="A102" s="21" t="s">
        <v>8131</v>
      </c>
      <c r="B102" s="22" t="s">
        <v>8132</v>
      </c>
      <c r="C102" s="2">
        <v>12</v>
      </c>
      <c r="D102" s="23">
        <v>22.5</v>
      </c>
      <c r="E102" s="3">
        <v>270</v>
      </c>
      <c r="F102" s="2" t="s">
        <v>13234</v>
      </c>
      <c r="G102" s="22" t="s">
        <v>19351</v>
      </c>
      <c r="H102" s="24" t="s">
        <v>19542</v>
      </c>
      <c r="I102" s="22" t="s">
        <v>19309</v>
      </c>
      <c r="J102" s="22" t="s">
        <v>19688</v>
      </c>
      <c r="K102" s="22" t="s">
        <v>19614</v>
      </c>
      <c r="L102" s="22"/>
      <c r="M102" s="22"/>
      <c r="N102" s="25" t="str">
        <f>HYPERLINK("http://slimages.macys.com/is/image/MCY/21035872 ")</f>
        <v xml:space="preserve">http://slimages.macys.com/is/image/MCY/21035872 </v>
      </c>
    </row>
    <row r="103" spans="1:14" ht="24.75" x14ac:dyDescent="0.25">
      <c r="A103" s="21" t="s">
        <v>9581</v>
      </c>
      <c r="B103" s="22" t="s">
        <v>9582</v>
      </c>
      <c r="C103" s="2">
        <v>11</v>
      </c>
      <c r="D103" s="23">
        <v>22.5</v>
      </c>
      <c r="E103" s="3">
        <v>247.5</v>
      </c>
      <c r="F103" s="2" t="s">
        <v>18338</v>
      </c>
      <c r="G103" s="22" t="s">
        <v>19351</v>
      </c>
      <c r="H103" s="24" t="s">
        <v>19345</v>
      </c>
      <c r="I103" s="22" t="s">
        <v>19309</v>
      </c>
      <c r="J103" s="22" t="s">
        <v>19688</v>
      </c>
      <c r="K103" s="22" t="s">
        <v>19614</v>
      </c>
      <c r="L103" s="22"/>
      <c r="M103" s="22"/>
      <c r="N103" s="25" t="str">
        <f>HYPERLINK("http://slimages.macys.com/is/image/MCY/21035862 ")</f>
        <v xml:space="preserve">http://slimages.macys.com/is/image/MCY/21035862 </v>
      </c>
    </row>
    <row r="104" spans="1:14" ht="24.75" x14ac:dyDescent="0.25">
      <c r="A104" s="21" t="s">
        <v>16182</v>
      </c>
      <c r="B104" s="22" t="s">
        <v>16183</v>
      </c>
      <c r="C104" s="2">
        <v>1</v>
      </c>
      <c r="D104" s="23">
        <v>22.5</v>
      </c>
      <c r="E104" s="3">
        <v>22.5</v>
      </c>
      <c r="F104" s="2" t="s">
        <v>16184</v>
      </c>
      <c r="G104" s="22" t="s">
        <v>19528</v>
      </c>
      <c r="H104" s="24" t="s">
        <v>19334</v>
      </c>
      <c r="I104" s="22" t="s">
        <v>19309</v>
      </c>
      <c r="J104" s="22" t="s">
        <v>19688</v>
      </c>
      <c r="K104" s="22" t="s">
        <v>19614</v>
      </c>
      <c r="L104" s="22"/>
      <c r="M104" s="22"/>
      <c r="N104" s="25" t="str">
        <f>HYPERLINK("http://slimages.macys.com/is/image/MCY/21035884 ")</f>
        <v xml:space="preserve">http://slimages.macys.com/is/image/MCY/21035884 </v>
      </c>
    </row>
    <row r="105" spans="1:14" x14ac:dyDescent="0.25">
      <c r="A105" s="21" t="s">
        <v>8133</v>
      </c>
      <c r="B105" s="22" t="s">
        <v>8134</v>
      </c>
      <c r="C105" s="2">
        <v>27</v>
      </c>
      <c r="D105" s="23">
        <v>22</v>
      </c>
      <c r="E105" s="3">
        <v>594</v>
      </c>
      <c r="F105" s="2" t="s">
        <v>16204</v>
      </c>
      <c r="G105" s="22" t="s">
        <v>19333</v>
      </c>
      <c r="H105" s="24"/>
      <c r="I105" s="22" t="s">
        <v>19309</v>
      </c>
      <c r="J105" s="22" t="s">
        <v>19417</v>
      </c>
      <c r="K105" s="22" t="s">
        <v>20110</v>
      </c>
      <c r="L105" s="22"/>
      <c r="M105" s="22"/>
      <c r="N105" s="25" t="str">
        <f>HYPERLINK("http://slimages.macys.com/is/image/MCY/21551778 ")</f>
        <v xml:space="preserve">http://slimages.macys.com/is/image/MCY/21551778 </v>
      </c>
    </row>
    <row r="106" spans="1:14" ht="24.75" x14ac:dyDescent="0.25">
      <c r="A106" s="21" t="s">
        <v>13826</v>
      </c>
      <c r="B106" s="22" t="s">
        <v>13827</v>
      </c>
      <c r="C106" s="2">
        <v>18</v>
      </c>
      <c r="D106" s="23">
        <v>13.99</v>
      </c>
      <c r="E106" s="3">
        <v>251.82</v>
      </c>
      <c r="F106" s="2" t="s">
        <v>13828</v>
      </c>
      <c r="G106" s="22" t="s">
        <v>19618</v>
      </c>
      <c r="H106" s="24" t="s">
        <v>19538</v>
      </c>
      <c r="I106" s="22" t="s">
        <v>19309</v>
      </c>
      <c r="J106" s="22" t="s">
        <v>19573</v>
      </c>
      <c r="K106" s="22" t="s">
        <v>19574</v>
      </c>
      <c r="L106" s="22"/>
      <c r="M106" s="22"/>
      <c r="N106" s="25" t="str">
        <f>HYPERLINK("http://slimages.macys.com/is/image/MCY/21361742 ")</f>
        <v xml:space="preserve">http://slimages.macys.com/is/image/MCY/21361742 </v>
      </c>
    </row>
    <row r="107" spans="1:14" ht="24.75" x14ac:dyDescent="0.25">
      <c r="A107" s="21" t="s">
        <v>8135</v>
      </c>
      <c r="B107" s="22" t="s">
        <v>8136</v>
      </c>
      <c r="C107" s="2">
        <v>18</v>
      </c>
      <c r="D107" s="23">
        <v>13.99</v>
      </c>
      <c r="E107" s="3">
        <v>251.82</v>
      </c>
      <c r="F107" s="2" t="s">
        <v>9604</v>
      </c>
      <c r="G107" s="22" t="s">
        <v>19618</v>
      </c>
      <c r="H107" s="24" t="s">
        <v>19384</v>
      </c>
      <c r="I107" s="22" t="s">
        <v>19309</v>
      </c>
      <c r="J107" s="22" t="s">
        <v>19573</v>
      </c>
      <c r="K107" s="22" t="s">
        <v>19574</v>
      </c>
      <c r="L107" s="22"/>
      <c r="M107" s="22"/>
      <c r="N107" s="25" t="str">
        <f>HYPERLINK("http://slimages.macys.com/is/image/MCY/1554881 ")</f>
        <v xml:space="preserve">http://slimages.macys.com/is/image/MCY/1554881 </v>
      </c>
    </row>
    <row r="108" spans="1:14" ht="24.75" x14ac:dyDescent="0.25">
      <c r="A108" s="21" t="s">
        <v>11092</v>
      </c>
      <c r="B108" s="22" t="s">
        <v>11093</v>
      </c>
      <c r="C108" s="2">
        <v>6</v>
      </c>
      <c r="D108" s="23">
        <v>8.99</v>
      </c>
      <c r="E108" s="3">
        <v>53.94</v>
      </c>
      <c r="F108" s="2" t="s">
        <v>11094</v>
      </c>
      <c r="G108" s="22" t="s">
        <v>20145</v>
      </c>
      <c r="H108" s="24" t="s">
        <v>19361</v>
      </c>
      <c r="I108" s="22" t="s">
        <v>19309</v>
      </c>
      <c r="J108" s="22" t="s">
        <v>19447</v>
      </c>
      <c r="K108" s="22" t="s">
        <v>20146</v>
      </c>
      <c r="L108" s="22"/>
      <c r="M108" s="22"/>
      <c r="N108" s="25" t="str">
        <f>HYPERLINK("http://slimages.macys.com/is/image/MCY/21161727 ")</f>
        <v xml:space="preserve">http://slimages.macys.com/is/image/MCY/21161727 </v>
      </c>
    </row>
    <row r="109" spans="1:14" ht="24.75" x14ac:dyDescent="0.25">
      <c r="A109" s="21" t="s">
        <v>18549</v>
      </c>
      <c r="B109" s="22" t="s">
        <v>18550</v>
      </c>
      <c r="C109" s="2">
        <v>18</v>
      </c>
      <c r="D109" s="23">
        <v>13.99</v>
      </c>
      <c r="E109" s="3">
        <v>251.82</v>
      </c>
      <c r="F109" s="2" t="s">
        <v>18551</v>
      </c>
      <c r="G109" s="22" t="s">
        <v>19467</v>
      </c>
      <c r="H109" s="24" t="s">
        <v>19384</v>
      </c>
      <c r="I109" s="22" t="s">
        <v>19309</v>
      </c>
      <c r="J109" s="22" t="s">
        <v>19573</v>
      </c>
      <c r="K109" s="22" t="s">
        <v>19574</v>
      </c>
      <c r="L109" s="22"/>
      <c r="M109" s="22"/>
      <c r="N109" s="25" t="str">
        <f>HYPERLINK("http://slimages.macys.com/is/image/MCY/21361645 ")</f>
        <v xml:space="preserve">http://slimages.macys.com/is/image/MCY/21361645 </v>
      </c>
    </row>
    <row r="110" spans="1:14" ht="24.75" x14ac:dyDescent="0.25">
      <c r="A110" s="21" t="s">
        <v>18552</v>
      </c>
      <c r="B110" s="22" t="s">
        <v>18553</v>
      </c>
      <c r="C110" s="2">
        <v>18</v>
      </c>
      <c r="D110" s="23">
        <v>13.99</v>
      </c>
      <c r="E110" s="3">
        <v>251.82</v>
      </c>
      <c r="F110" s="2" t="s">
        <v>18551</v>
      </c>
      <c r="G110" s="22" t="s">
        <v>19467</v>
      </c>
      <c r="H110" s="24" t="s">
        <v>19330</v>
      </c>
      <c r="I110" s="22" t="s">
        <v>19309</v>
      </c>
      <c r="J110" s="22" t="s">
        <v>19573</v>
      </c>
      <c r="K110" s="22" t="s">
        <v>19574</v>
      </c>
      <c r="L110" s="22"/>
      <c r="M110" s="22"/>
      <c r="N110" s="25" t="str">
        <f>HYPERLINK("http://slimages.macys.com/is/image/MCY/21361645 ")</f>
        <v xml:space="preserve">http://slimages.macys.com/is/image/MCY/21361645 </v>
      </c>
    </row>
    <row r="111" spans="1:14" ht="24.75" x14ac:dyDescent="0.25">
      <c r="A111" s="21" t="s">
        <v>11099</v>
      </c>
      <c r="B111" s="22" t="s">
        <v>11100</v>
      </c>
      <c r="C111" s="2">
        <v>54</v>
      </c>
      <c r="D111" s="23">
        <v>16.989999999999998</v>
      </c>
      <c r="E111" s="3">
        <v>917.46</v>
      </c>
      <c r="F111" s="2" t="s">
        <v>18581</v>
      </c>
      <c r="G111" s="22" t="s">
        <v>19333</v>
      </c>
      <c r="H111" s="24" t="s">
        <v>19542</v>
      </c>
      <c r="I111" s="22" t="s">
        <v>19309</v>
      </c>
      <c r="J111" s="22" t="s">
        <v>19454</v>
      </c>
      <c r="K111" s="22" t="s">
        <v>19524</v>
      </c>
      <c r="L111" s="22"/>
      <c r="M111" s="22"/>
      <c r="N111" s="25" t="str">
        <f>HYPERLINK("http://slimages.macys.com/is/image/MCY/21265927 ")</f>
        <v xml:space="preserve">http://slimages.macys.com/is/image/MCY/21265927 </v>
      </c>
    </row>
    <row r="112" spans="1:14" ht="24.75" x14ac:dyDescent="0.25">
      <c r="A112" s="21" t="s">
        <v>13879</v>
      </c>
      <c r="B112" s="22" t="s">
        <v>13880</v>
      </c>
      <c r="C112" s="2">
        <v>36</v>
      </c>
      <c r="D112" s="23">
        <v>16.989999999999998</v>
      </c>
      <c r="E112" s="3">
        <v>611.64</v>
      </c>
      <c r="F112" s="2" t="s">
        <v>18581</v>
      </c>
      <c r="G112" s="22" t="s">
        <v>19333</v>
      </c>
      <c r="H112" s="24" t="s">
        <v>19392</v>
      </c>
      <c r="I112" s="22" t="s">
        <v>19309</v>
      </c>
      <c r="J112" s="22" t="s">
        <v>19454</v>
      </c>
      <c r="K112" s="22" t="s">
        <v>19524</v>
      </c>
      <c r="L112" s="22"/>
      <c r="M112" s="22"/>
      <c r="N112" s="25" t="str">
        <f>HYPERLINK("http://slimages.macys.com/is/image/MCY/21265927 ")</f>
        <v xml:space="preserve">http://slimages.macys.com/is/image/MCY/21265927 </v>
      </c>
    </row>
    <row r="113" spans="1:14" ht="24.75" x14ac:dyDescent="0.25">
      <c r="A113" s="21" t="s">
        <v>13877</v>
      </c>
      <c r="B113" s="22" t="s">
        <v>13878</v>
      </c>
      <c r="C113" s="2">
        <v>18</v>
      </c>
      <c r="D113" s="23">
        <v>16.989999999999998</v>
      </c>
      <c r="E113" s="3">
        <v>305.82</v>
      </c>
      <c r="F113" s="2" t="s">
        <v>18581</v>
      </c>
      <c r="G113" s="22" t="s">
        <v>19333</v>
      </c>
      <c r="H113" s="24" t="s">
        <v>19361</v>
      </c>
      <c r="I113" s="22" t="s">
        <v>19309</v>
      </c>
      <c r="J113" s="22" t="s">
        <v>19454</v>
      </c>
      <c r="K113" s="22" t="s">
        <v>19524</v>
      </c>
      <c r="L113" s="22"/>
      <c r="M113" s="22"/>
      <c r="N113" s="25" t="str">
        <f>HYPERLINK("http://slimages.macys.com/is/image/MCY/21265927 ")</f>
        <v xml:space="preserve">http://slimages.macys.com/is/image/MCY/21265927 </v>
      </c>
    </row>
    <row r="114" spans="1:14" x14ac:dyDescent="0.25">
      <c r="A114" s="21" t="s">
        <v>8137</v>
      </c>
      <c r="B114" s="22" t="s">
        <v>8138</v>
      </c>
      <c r="C114" s="2">
        <v>10</v>
      </c>
      <c r="D114" s="23">
        <v>7.99</v>
      </c>
      <c r="E114" s="3">
        <v>79.900000000000006</v>
      </c>
      <c r="F114" s="2" t="s">
        <v>8139</v>
      </c>
      <c r="G114" s="22" t="s">
        <v>19333</v>
      </c>
      <c r="H114" s="24" t="s">
        <v>19364</v>
      </c>
      <c r="I114" s="22" t="s">
        <v>19309</v>
      </c>
      <c r="J114" s="22" t="s">
        <v>19310</v>
      </c>
      <c r="K114" s="22" t="s">
        <v>19873</v>
      </c>
      <c r="L114" s="22"/>
      <c r="M114" s="22"/>
      <c r="N114" s="25" t="str">
        <f>HYPERLINK("http://slimages.macys.com/is/image/MCY/18648039 ")</f>
        <v xml:space="preserve">http://slimages.macys.com/is/image/MCY/18648039 </v>
      </c>
    </row>
    <row r="115" spans="1:14" x14ac:dyDescent="0.25">
      <c r="A115" s="21" t="s">
        <v>11105</v>
      </c>
      <c r="B115" s="22" t="s">
        <v>11106</v>
      </c>
      <c r="C115" s="2">
        <v>18</v>
      </c>
      <c r="D115" s="23">
        <v>24</v>
      </c>
      <c r="E115" s="3">
        <v>432</v>
      </c>
      <c r="F115" s="2" t="s">
        <v>11107</v>
      </c>
      <c r="G115" s="22" t="s">
        <v>19357</v>
      </c>
      <c r="H115" s="24"/>
      <c r="I115" s="22" t="s">
        <v>19309</v>
      </c>
      <c r="J115" s="22" t="s">
        <v>19417</v>
      </c>
      <c r="K115" s="22" t="s">
        <v>18317</v>
      </c>
      <c r="L115" s="22"/>
      <c r="M115" s="22"/>
      <c r="N115" s="25" t="str">
        <f>HYPERLINK("http://slimages.macys.com/is/image/MCY/21614962 ")</f>
        <v xml:space="preserve">http://slimages.macys.com/is/image/MCY/21614962 </v>
      </c>
    </row>
    <row r="116" spans="1:14" ht="24.75" x14ac:dyDescent="0.25">
      <c r="A116" s="21" t="s">
        <v>9629</v>
      </c>
      <c r="B116" s="22" t="s">
        <v>9630</v>
      </c>
      <c r="C116" s="2">
        <v>9</v>
      </c>
      <c r="D116" s="23">
        <v>10.99</v>
      </c>
      <c r="E116" s="3">
        <v>98.91</v>
      </c>
      <c r="F116" s="2" t="s">
        <v>13319</v>
      </c>
      <c r="G116" s="22" t="s">
        <v>19415</v>
      </c>
      <c r="H116" s="24" t="s">
        <v>19339</v>
      </c>
      <c r="I116" s="22" t="s">
        <v>19309</v>
      </c>
      <c r="J116" s="22" t="s">
        <v>19353</v>
      </c>
      <c r="K116" s="22" t="s">
        <v>19524</v>
      </c>
      <c r="L116" s="22"/>
      <c r="M116" s="22"/>
      <c r="N116" s="25" t="str">
        <f>HYPERLINK("http://slimages.macys.com/is/image/MCY/21083368 ")</f>
        <v xml:space="preserve">http://slimages.macys.com/is/image/MCY/21083368 </v>
      </c>
    </row>
    <row r="117" spans="1:14" ht="24.75" x14ac:dyDescent="0.25">
      <c r="A117" s="21" t="s">
        <v>13944</v>
      </c>
      <c r="B117" s="22" t="s">
        <v>13945</v>
      </c>
      <c r="C117" s="2">
        <v>18</v>
      </c>
      <c r="D117" s="23">
        <v>10.99</v>
      </c>
      <c r="E117" s="3">
        <v>197.82</v>
      </c>
      <c r="F117" s="2" t="s">
        <v>13946</v>
      </c>
      <c r="G117" s="22" t="s">
        <v>19674</v>
      </c>
      <c r="H117" s="24" t="s">
        <v>19797</v>
      </c>
      <c r="I117" s="22" t="s">
        <v>19309</v>
      </c>
      <c r="J117" s="22" t="s">
        <v>19353</v>
      </c>
      <c r="K117" s="22" t="s">
        <v>19524</v>
      </c>
      <c r="L117" s="22"/>
      <c r="M117" s="22"/>
      <c r="N117" s="25" t="str">
        <f>HYPERLINK("http://slimages.macys.com/is/image/MCY/21083376 ")</f>
        <v xml:space="preserve">http://slimages.macys.com/is/image/MCY/21083376 </v>
      </c>
    </row>
    <row r="118" spans="1:14" ht="24.75" x14ac:dyDescent="0.25">
      <c r="A118" s="21" t="s">
        <v>8140</v>
      </c>
      <c r="B118" s="22" t="s">
        <v>8141</v>
      </c>
      <c r="C118" s="2">
        <v>14</v>
      </c>
      <c r="D118" s="23">
        <v>8.31</v>
      </c>
      <c r="E118" s="3">
        <v>116.34</v>
      </c>
      <c r="F118" s="2" t="s">
        <v>11115</v>
      </c>
      <c r="G118" s="22" t="s">
        <v>19431</v>
      </c>
      <c r="H118" s="24" t="s">
        <v>19364</v>
      </c>
      <c r="I118" s="22" t="s">
        <v>19309</v>
      </c>
      <c r="J118" s="22" t="s">
        <v>19565</v>
      </c>
      <c r="K118" s="22" t="s">
        <v>18514</v>
      </c>
      <c r="L118" s="22"/>
      <c r="M118" s="22"/>
      <c r="N118" s="25" t="str">
        <f>HYPERLINK("http://slimages.macys.com/is/image/MCY/21901987 ")</f>
        <v xml:space="preserve">http://slimages.macys.com/is/image/MCY/21901987 </v>
      </c>
    </row>
    <row r="119" spans="1:14" ht="24.75" x14ac:dyDescent="0.25">
      <c r="A119" s="21" t="s">
        <v>9638</v>
      </c>
      <c r="B119" s="22" t="s">
        <v>9639</v>
      </c>
      <c r="C119" s="2">
        <v>11</v>
      </c>
      <c r="D119" s="23">
        <v>8.31</v>
      </c>
      <c r="E119" s="3">
        <v>91.41</v>
      </c>
      <c r="F119" s="2" t="s">
        <v>11115</v>
      </c>
      <c r="G119" s="22" t="s">
        <v>19431</v>
      </c>
      <c r="H119" s="24" t="s">
        <v>19339</v>
      </c>
      <c r="I119" s="22" t="s">
        <v>19309</v>
      </c>
      <c r="J119" s="22" t="s">
        <v>19565</v>
      </c>
      <c r="K119" s="22" t="s">
        <v>18514</v>
      </c>
      <c r="L119" s="22"/>
      <c r="M119" s="22"/>
      <c r="N119" s="25" t="str">
        <f>HYPERLINK("http://slimages.macys.com/is/image/MCY/21901987 ")</f>
        <v xml:space="preserve">http://slimages.macys.com/is/image/MCY/21901987 </v>
      </c>
    </row>
    <row r="120" spans="1:14" ht="24.75" x14ac:dyDescent="0.25">
      <c r="A120" s="21" t="s">
        <v>8142</v>
      </c>
      <c r="B120" s="22" t="s">
        <v>8143</v>
      </c>
      <c r="C120" s="2">
        <v>18</v>
      </c>
      <c r="D120" s="23">
        <v>7.99</v>
      </c>
      <c r="E120" s="3">
        <v>143.82</v>
      </c>
      <c r="F120" s="2" t="s">
        <v>8144</v>
      </c>
      <c r="G120" s="22" t="s">
        <v>19333</v>
      </c>
      <c r="H120" s="24" t="s">
        <v>19542</v>
      </c>
      <c r="I120" s="22" t="s">
        <v>19309</v>
      </c>
      <c r="J120" s="22" t="s">
        <v>19908</v>
      </c>
      <c r="K120" s="22" t="s">
        <v>19524</v>
      </c>
      <c r="L120" s="22"/>
      <c r="M120" s="22"/>
      <c r="N120" s="25" t="str">
        <f>HYPERLINK("http://slimages.macys.com/is/image/MCY/19263696 ")</f>
        <v xml:space="preserve">http://slimages.macys.com/is/image/MCY/19263696 </v>
      </c>
    </row>
    <row r="121" spans="1:14" ht="24.75" x14ac:dyDescent="0.25">
      <c r="A121" s="21" t="s">
        <v>8145</v>
      </c>
      <c r="B121" s="22" t="s">
        <v>8146</v>
      </c>
      <c r="C121" s="2">
        <v>6</v>
      </c>
      <c r="D121" s="23">
        <v>7.99</v>
      </c>
      <c r="E121" s="3">
        <v>47.94</v>
      </c>
      <c r="F121" s="2" t="s">
        <v>14691</v>
      </c>
      <c r="G121" s="22" t="s">
        <v>19323</v>
      </c>
      <c r="H121" s="24" t="s">
        <v>19339</v>
      </c>
      <c r="I121" s="22" t="s">
        <v>19309</v>
      </c>
      <c r="J121" s="22" t="s">
        <v>19353</v>
      </c>
      <c r="K121" s="22" t="s">
        <v>19524</v>
      </c>
      <c r="L121" s="22"/>
      <c r="M121" s="22"/>
      <c r="N121" s="25" t="str">
        <f>HYPERLINK("http://slimages.macys.com/is/image/MCY/19266430 ")</f>
        <v xml:space="preserve">http://slimages.macys.com/is/image/MCY/19266430 </v>
      </c>
    </row>
    <row r="122" spans="1:14" ht="24.75" x14ac:dyDescent="0.25">
      <c r="A122" s="21" t="s">
        <v>11127</v>
      </c>
      <c r="B122" s="22" t="s">
        <v>11128</v>
      </c>
      <c r="C122" s="2">
        <v>18</v>
      </c>
      <c r="D122" s="23">
        <v>7.99</v>
      </c>
      <c r="E122" s="3">
        <v>143.82</v>
      </c>
      <c r="F122" s="2" t="s">
        <v>11129</v>
      </c>
      <c r="G122" s="22" t="s">
        <v>19351</v>
      </c>
      <c r="H122" s="24" t="s">
        <v>20135</v>
      </c>
      <c r="I122" s="22" t="s">
        <v>19309</v>
      </c>
      <c r="J122" s="22" t="s">
        <v>19573</v>
      </c>
      <c r="K122" s="22" t="s">
        <v>19574</v>
      </c>
      <c r="L122" s="22"/>
      <c r="M122" s="22"/>
      <c r="N122" s="25" t="str">
        <f>HYPERLINK("http://slimages.macys.com/is/image/MCY/1610409 ")</f>
        <v xml:space="preserve">http://slimages.macys.com/is/image/MCY/1610409 </v>
      </c>
    </row>
    <row r="123" spans="1:14" ht="24.75" x14ac:dyDescent="0.25">
      <c r="A123" s="21" t="s">
        <v>8147</v>
      </c>
      <c r="B123" s="22" t="s">
        <v>8148</v>
      </c>
      <c r="C123" s="2">
        <v>18</v>
      </c>
      <c r="D123" s="23">
        <v>7.99</v>
      </c>
      <c r="E123" s="3">
        <v>143.82</v>
      </c>
      <c r="F123" s="2" t="s">
        <v>17068</v>
      </c>
      <c r="G123" s="22" t="s">
        <v>19906</v>
      </c>
      <c r="H123" s="24" t="s">
        <v>20089</v>
      </c>
      <c r="I123" s="22" t="s">
        <v>19309</v>
      </c>
      <c r="J123" s="22" t="s">
        <v>19573</v>
      </c>
      <c r="K123" s="22" t="s">
        <v>19574</v>
      </c>
      <c r="L123" s="22"/>
      <c r="M123" s="22"/>
      <c r="N123" s="25" t="str">
        <f>HYPERLINK("http://slimages.macys.com/is/image/MCY/1554809 ")</f>
        <v xml:space="preserve">http://slimages.macys.com/is/image/MCY/1554809 </v>
      </c>
    </row>
    <row r="124" spans="1:14" ht="24.75" x14ac:dyDescent="0.25">
      <c r="A124" s="21" t="s">
        <v>8149</v>
      </c>
      <c r="B124" s="22" t="s">
        <v>8150</v>
      </c>
      <c r="C124" s="2">
        <v>18</v>
      </c>
      <c r="D124" s="23">
        <v>7.99</v>
      </c>
      <c r="E124" s="3">
        <v>143.82</v>
      </c>
      <c r="F124" s="2" t="s">
        <v>17068</v>
      </c>
      <c r="G124" s="22" t="s">
        <v>19674</v>
      </c>
      <c r="H124" s="24" t="s">
        <v>19907</v>
      </c>
      <c r="I124" s="22" t="s">
        <v>19309</v>
      </c>
      <c r="J124" s="22" t="s">
        <v>19573</v>
      </c>
      <c r="K124" s="22" t="s">
        <v>19574</v>
      </c>
      <c r="L124" s="22"/>
      <c r="M124" s="22"/>
      <c r="N124" s="25" t="str">
        <f>HYPERLINK("http://slimages.macys.com/is/image/MCY/1554809 ")</f>
        <v xml:space="preserve">http://slimages.macys.com/is/image/MCY/1554809 </v>
      </c>
    </row>
    <row r="125" spans="1:14" ht="24.75" x14ac:dyDescent="0.25">
      <c r="A125" s="21" t="s">
        <v>9676</v>
      </c>
      <c r="B125" s="22" t="s">
        <v>9677</v>
      </c>
      <c r="C125" s="2">
        <v>36</v>
      </c>
      <c r="D125" s="23">
        <v>7.99</v>
      </c>
      <c r="E125" s="3">
        <v>287.64</v>
      </c>
      <c r="F125" s="2" t="s">
        <v>17068</v>
      </c>
      <c r="G125" s="22" t="s">
        <v>19674</v>
      </c>
      <c r="H125" s="24" t="s">
        <v>20089</v>
      </c>
      <c r="I125" s="22" t="s">
        <v>19309</v>
      </c>
      <c r="J125" s="22" t="s">
        <v>19573</v>
      </c>
      <c r="K125" s="22" t="s">
        <v>19574</v>
      </c>
      <c r="L125" s="22"/>
      <c r="M125" s="22"/>
      <c r="N125" s="25" t="str">
        <f>HYPERLINK("http://slimages.macys.com/is/image/MCY/1554809 ")</f>
        <v xml:space="preserve">http://slimages.macys.com/is/image/MCY/1554809 </v>
      </c>
    </row>
    <row r="126" spans="1:14" ht="24.75" x14ac:dyDescent="0.25">
      <c r="A126" s="21" t="s">
        <v>8151</v>
      </c>
      <c r="B126" s="22" t="s">
        <v>8152</v>
      </c>
      <c r="C126" s="2">
        <v>16</v>
      </c>
      <c r="D126" s="23">
        <v>7.99</v>
      </c>
      <c r="E126" s="3">
        <v>127.84</v>
      </c>
      <c r="F126" s="2" t="s">
        <v>8153</v>
      </c>
      <c r="G126" s="22" t="s">
        <v>19674</v>
      </c>
      <c r="H126" s="24" t="s">
        <v>20089</v>
      </c>
      <c r="I126" s="22" t="s">
        <v>19309</v>
      </c>
      <c r="J126" s="22" t="s">
        <v>19573</v>
      </c>
      <c r="K126" s="22" t="s">
        <v>19574</v>
      </c>
      <c r="L126" s="22"/>
      <c r="M126" s="22"/>
      <c r="N126" s="25" t="str">
        <f>HYPERLINK("http://slimages.macys.com/is/image/MCY/20753453 ")</f>
        <v xml:space="preserve">http://slimages.macys.com/is/image/MCY/20753453 </v>
      </c>
    </row>
    <row r="127" spans="1:14" ht="24.75" x14ac:dyDescent="0.25">
      <c r="A127" s="21" t="s">
        <v>19079</v>
      </c>
      <c r="B127" s="22" t="s">
        <v>19080</v>
      </c>
      <c r="C127" s="2">
        <v>18</v>
      </c>
      <c r="D127" s="23">
        <v>7.99</v>
      </c>
      <c r="E127" s="3">
        <v>143.82</v>
      </c>
      <c r="F127" s="2" t="s">
        <v>19081</v>
      </c>
      <c r="G127" s="22" t="s">
        <v>19351</v>
      </c>
      <c r="H127" s="24" t="s">
        <v>20089</v>
      </c>
      <c r="I127" s="22" t="s">
        <v>19309</v>
      </c>
      <c r="J127" s="22" t="s">
        <v>19573</v>
      </c>
      <c r="K127" s="22" t="s">
        <v>19574</v>
      </c>
      <c r="L127" s="22"/>
      <c r="M127" s="22"/>
      <c r="N127" s="25" t="str">
        <f>HYPERLINK("http://slimages.macys.com/is/image/MCY/20736374 ")</f>
        <v xml:space="preserve">http://slimages.macys.com/is/image/MCY/20736374 </v>
      </c>
    </row>
    <row r="128" spans="1:14" ht="24.75" x14ac:dyDescent="0.25">
      <c r="A128" s="21" t="s">
        <v>11144</v>
      </c>
      <c r="B128" s="22" t="s">
        <v>11145</v>
      </c>
      <c r="C128" s="2">
        <v>17</v>
      </c>
      <c r="D128" s="23">
        <v>7.99</v>
      </c>
      <c r="E128" s="3">
        <v>135.83000000000001</v>
      </c>
      <c r="F128" s="2" t="s">
        <v>11146</v>
      </c>
      <c r="G128" s="22" t="s">
        <v>19351</v>
      </c>
      <c r="H128" s="24" t="s">
        <v>20135</v>
      </c>
      <c r="I128" s="22" t="s">
        <v>19309</v>
      </c>
      <c r="J128" s="22" t="s">
        <v>19573</v>
      </c>
      <c r="K128" s="22" t="s">
        <v>19574</v>
      </c>
      <c r="L128" s="22"/>
      <c r="M128" s="22"/>
      <c r="N128" s="25" t="str">
        <f>HYPERLINK("http://slimages.macys.com/is/image/MCY/21209453 ")</f>
        <v xml:space="preserve">http://slimages.macys.com/is/image/MCY/21209453 </v>
      </c>
    </row>
    <row r="129" spans="1:14" ht="24.75" x14ac:dyDescent="0.25">
      <c r="A129" s="21" t="s">
        <v>8154</v>
      </c>
      <c r="B129" s="22" t="s">
        <v>8155</v>
      </c>
      <c r="C129" s="2">
        <v>18</v>
      </c>
      <c r="D129" s="23">
        <v>5.99</v>
      </c>
      <c r="E129" s="3">
        <v>107.82</v>
      </c>
      <c r="F129" s="2" t="s">
        <v>8156</v>
      </c>
      <c r="G129" s="22" t="s">
        <v>19618</v>
      </c>
      <c r="H129" s="24" t="s">
        <v>19538</v>
      </c>
      <c r="I129" s="22" t="s">
        <v>19309</v>
      </c>
      <c r="J129" s="22" t="s">
        <v>19573</v>
      </c>
      <c r="K129" s="22" t="s">
        <v>19574</v>
      </c>
      <c r="L129" s="22"/>
      <c r="M129" s="22"/>
      <c r="N129" s="25" t="str">
        <f>HYPERLINK("http://slimages.macys.com/is/image/MCY/21361700 ")</f>
        <v xml:space="preserve">http://slimages.macys.com/is/image/MCY/21361700 </v>
      </c>
    </row>
    <row r="130" spans="1:14" ht="24.75" x14ac:dyDescent="0.25">
      <c r="A130" s="21" t="s">
        <v>8157</v>
      </c>
      <c r="B130" s="22" t="s">
        <v>8158</v>
      </c>
      <c r="C130" s="2">
        <v>18</v>
      </c>
      <c r="D130" s="23">
        <v>6.99</v>
      </c>
      <c r="E130" s="3">
        <v>125.82</v>
      </c>
      <c r="F130" s="2" t="s">
        <v>9261</v>
      </c>
      <c r="G130" s="22" t="s">
        <v>19585</v>
      </c>
      <c r="H130" s="24" t="s">
        <v>19416</v>
      </c>
      <c r="I130" s="22" t="s">
        <v>19309</v>
      </c>
      <c r="J130" s="22" t="s">
        <v>19573</v>
      </c>
      <c r="K130" s="22" t="s">
        <v>19574</v>
      </c>
      <c r="L130" s="22"/>
      <c r="M130" s="22"/>
      <c r="N130" s="25" t="str">
        <f>HYPERLINK("http://slimages.macys.com/is/image/MCY/19977451 ")</f>
        <v xml:space="preserve">http://slimages.macys.com/is/image/MCY/19977451 </v>
      </c>
    </row>
    <row r="131" spans="1:14" ht="24.75" x14ac:dyDescent="0.25">
      <c r="A131" s="21" t="s">
        <v>8159</v>
      </c>
      <c r="B131" s="22" t="s">
        <v>8160</v>
      </c>
      <c r="C131" s="2">
        <v>18</v>
      </c>
      <c r="D131" s="23">
        <v>5.99</v>
      </c>
      <c r="E131" s="3">
        <v>107.82</v>
      </c>
      <c r="F131" s="2" t="s">
        <v>11156</v>
      </c>
      <c r="G131" s="22" t="s">
        <v>19351</v>
      </c>
      <c r="H131" s="24" t="s">
        <v>19416</v>
      </c>
      <c r="I131" s="22" t="s">
        <v>19309</v>
      </c>
      <c r="J131" s="22" t="s">
        <v>19573</v>
      </c>
      <c r="K131" s="22" t="s">
        <v>19574</v>
      </c>
      <c r="L131" s="22"/>
      <c r="M131" s="22"/>
      <c r="N131" s="25" t="str">
        <f>HYPERLINK("http://slimages.macys.com/is/image/MCY/21361186 ")</f>
        <v xml:space="preserve">http://slimages.macys.com/is/image/MCY/21361186 </v>
      </c>
    </row>
    <row r="132" spans="1:14" ht="24.75" x14ac:dyDescent="0.25">
      <c r="A132" s="21" t="s">
        <v>8161</v>
      </c>
      <c r="B132" s="22" t="s">
        <v>8162</v>
      </c>
      <c r="C132" s="2">
        <v>9</v>
      </c>
      <c r="D132" s="23">
        <v>5.99</v>
      </c>
      <c r="E132" s="3">
        <v>53.91</v>
      </c>
      <c r="F132" s="2" t="s">
        <v>17203</v>
      </c>
      <c r="G132" s="22" t="s">
        <v>19467</v>
      </c>
      <c r="H132" s="24" t="s">
        <v>19330</v>
      </c>
      <c r="I132" s="22" t="s">
        <v>19309</v>
      </c>
      <c r="J132" s="22" t="s">
        <v>19573</v>
      </c>
      <c r="K132" s="22" t="s">
        <v>19574</v>
      </c>
      <c r="L132" s="22"/>
      <c r="M132" s="22"/>
      <c r="N132" s="25" t="str">
        <f>HYPERLINK("http://slimages.macys.com/is/image/MCY/20757989 ")</f>
        <v xml:space="preserve">http://slimages.macys.com/is/image/MCY/20757989 </v>
      </c>
    </row>
    <row r="133" spans="1:14" ht="24.75" x14ac:dyDescent="0.25">
      <c r="A133" s="21" t="s">
        <v>8163</v>
      </c>
      <c r="B133" s="22" t="s">
        <v>8164</v>
      </c>
      <c r="C133" s="2">
        <v>18</v>
      </c>
      <c r="D133" s="23">
        <v>5.99</v>
      </c>
      <c r="E133" s="3">
        <v>107.82</v>
      </c>
      <c r="F133" s="2" t="s">
        <v>17203</v>
      </c>
      <c r="G133" s="22" t="s">
        <v>19585</v>
      </c>
      <c r="H133" s="24" t="s">
        <v>19330</v>
      </c>
      <c r="I133" s="22" t="s">
        <v>19309</v>
      </c>
      <c r="J133" s="22" t="s">
        <v>19573</v>
      </c>
      <c r="K133" s="22" t="s">
        <v>19574</v>
      </c>
      <c r="L133" s="22"/>
      <c r="M133" s="22"/>
      <c r="N133" s="25" t="str">
        <f>HYPERLINK("http://slimages.macys.com/is/image/MCY/20757989 ")</f>
        <v xml:space="preserve">http://slimages.macys.com/is/image/MCY/20757989 </v>
      </c>
    </row>
    <row r="134" spans="1:14" ht="24.75" x14ac:dyDescent="0.25">
      <c r="A134" s="21" t="s">
        <v>8165</v>
      </c>
      <c r="B134" s="22" t="s">
        <v>8166</v>
      </c>
      <c r="C134" s="2">
        <v>18</v>
      </c>
      <c r="D134" s="23">
        <v>5.99</v>
      </c>
      <c r="E134" s="3">
        <v>107.82</v>
      </c>
      <c r="F134" s="2" t="s">
        <v>17203</v>
      </c>
      <c r="G134" s="22" t="s">
        <v>19467</v>
      </c>
      <c r="H134" s="24" t="s">
        <v>19384</v>
      </c>
      <c r="I134" s="22" t="s">
        <v>19309</v>
      </c>
      <c r="J134" s="22" t="s">
        <v>19573</v>
      </c>
      <c r="K134" s="22" t="s">
        <v>19574</v>
      </c>
      <c r="L134" s="22"/>
      <c r="M134" s="22"/>
      <c r="N134" s="25" t="str">
        <f>HYPERLINK("http://slimages.macys.com/is/image/MCY/20757989 ")</f>
        <v xml:space="preserve">http://slimages.macys.com/is/image/MCY/20757989 </v>
      </c>
    </row>
    <row r="135" spans="1:14" ht="24.75" x14ac:dyDescent="0.25">
      <c r="A135" s="21" t="s">
        <v>9715</v>
      </c>
      <c r="B135" s="22" t="s">
        <v>9716</v>
      </c>
      <c r="C135" s="2">
        <v>18</v>
      </c>
      <c r="D135" s="23">
        <v>5.99</v>
      </c>
      <c r="E135" s="3">
        <v>107.82</v>
      </c>
      <c r="F135" s="2" t="s">
        <v>17203</v>
      </c>
      <c r="G135" s="22" t="s">
        <v>19585</v>
      </c>
      <c r="H135" s="24" t="s">
        <v>19384</v>
      </c>
      <c r="I135" s="22" t="s">
        <v>19309</v>
      </c>
      <c r="J135" s="22" t="s">
        <v>19573</v>
      </c>
      <c r="K135" s="22" t="s">
        <v>19574</v>
      </c>
      <c r="L135" s="22"/>
      <c r="M135" s="22"/>
      <c r="N135" s="25" t="str">
        <f>HYPERLINK("http://slimages.macys.com/is/image/MCY/20757989 ")</f>
        <v xml:space="preserve">http://slimages.macys.com/is/image/MCY/20757989 </v>
      </c>
    </row>
    <row r="136" spans="1:14" ht="24.75" x14ac:dyDescent="0.25">
      <c r="A136" s="21" t="s">
        <v>11167</v>
      </c>
      <c r="B136" s="22" t="s">
        <v>11168</v>
      </c>
      <c r="C136" s="2">
        <v>36</v>
      </c>
      <c r="D136" s="23">
        <v>5.99</v>
      </c>
      <c r="E136" s="3">
        <v>215.64</v>
      </c>
      <c r="F136" s="2" t="s">
        <v>14302</v>
      </c>
      <c r="G136" s="22" t="s">
        <v>19351</v>
      </c>
      <c r="H136" s="24" t="s">
        <v>19416</v>
      </c>
      <c r="I136" s="22" t="s">
        <v>19309</v>
      </c>
      <c r="J136" s="22" t="s">
        <v>19573</v>
      </c>
      <c r="K136" s="22" t="s">
        <v>19574</v>
      </c>
      <c r="L136" s="22"/>
      <c r="M136" s="22"/>
      <c r="N136" s="25" t="str">
        <f>HYPERLINK("http://slimages.macys.com/is/image/MCY/21371433 ")</f>
        <v xml:space="preserve">http://slimages.macys.com/is/image/MCY/21371433 </v>
      </c>
    </row>
    <row r="137" spans="1:14" ht="24.75" x14ac:dyDescent="0.25">
      <c r="A137" s="21" t="s">
        <v>14307</v>
      </c>
      <c r="B137" s="22" t="s">
        <v>14308</v>
      </c>
      <c r="C137" s="2">
        <v>17</v>
      </c>
      <c r="D137" s="23">
        <v>5.99</v>
      </c>
      <c r="E137" s="3">
        <v>101.83</v>
      </c>
      <c r="F137" s="2" t="s">
        <v>14911</v>
      </c>
      <c r="G137" s="22" t="s">
        <v>19415</v>
      </c>
      <c r="H137" s="24" t="s">
        <v>19384</v>
      </c>
      <c r="I137" s="22" t="s">
        <v>19309</v>
      </c>
      <c r="J137" s="22" t="s">
        <v>19573</v>
      </c>
      <c r="K137" s="22" t="s">
        <v>19574</v>
      </c>
      <c r="L137" s="22"/>
      <c r="M137" s="22"/>
      <c r="N137" s="25" t="str">
        <f>HYPERLINK("http://slimages.macys.com/is/image/MCY/21371388 ")</f>
        <v xml:space="preserve">http://slimages.macys.com/is/image/MCY/21371388 </v>
      </c>
    </row>
    <row r="138" spans="1:14" ht="24.75" x14ac:dyDescent="0.25">
      <c r="A138" s="21" t="s">
        <v>8167</v>
      </c>
      <c r="B138" s="22" t="s">
        <v>8168</v>
      </c>
      <c r="C138" s="2">
        <v>18</v>
      </c>
      <c r="D138" s="23">
        <v>5.99</v>
      </c>
      <c r="E138" s="3">
        <v>107.82</v>
      </c>
      <c r="F138" s="2" t="s">
        <v>8169</v>
      </c>
      <c r="G138" s="22" t="s">
        <v>19351</v>
      </c>
      <c r="H138" s="24" t="s">
        <v>19384</v>
      </c>
      <c r="I138" s="22" t="s">
        <v>19309</v>
      </c>
      <c r="J138" s="22" t="s">
        <v>19573</v>
      </c>
      <c r="K138" s="22" t="s">
        <v>19574</v>
      </c>
      <c r="L138" s="22"/>
      <c r="M138" s="22"/>
      <c r="N138" s="25" t="str">
        <f>HYPERLINK("http://slimages.macys.com/is/image/MCY/21371425 ")</f>
        <v xml:space="preserve">http://slimages.macys.com/is/image/MCY/21371425 </v>
      </c>
    </row>
    <row r="139" spans="1:14" ht="24.75" x14ac:dyDescent="0.25">
      <c r="A139" s="21" t="s">
        <v>8170</v>
      </c>
      <c r="B139" s="22" t="s">
        <v>8171</v>
      </c>
      <c r="C139" s="2">
        <v>18</v>
      </c>
      <c r="D139" s="23">
        <v>5.99</v>
      </c>
      <c r="E139" s="3">
        <v>107.82</v>
      </c>
      <c r="F139" s="2" t="s">
        <v>8169</v>
      </c>
      <c r="G139" s="22" t="s">
        <v>19351</v>
      </c>
      <c r="H139" s="24" t="s">
        <v>19538</v>
      </c>
      <c r="I139" s="22" t="s">
        <v>19309</v>
      </c>
      <c r="J139" s="22" t="s">
        <v>19573</v>
      </c>
      <c r="K139" s="22" t="s">
        <v>19574</v>
      </c>
      <c r="L139" s="22"/>
      <c r="M139" s="22"/>
      <c r="N139" s="25" t="str">
        <f>HYPERLINK("http://slimages.macys.com/is/image/MCY/21371425 ")</f>
        <v xml:space="preserve">http://slimages.macys.com/is/image/MCY/21371425 </v>
      </c>
    </row>
    <row r="140" spans="1:14" ht="24.75" x14ac:dyDescent="0.25">
      <c r="A140" s="21" t="s">
        <v>8172</v>
      </c>
      <c r="B140" s="22" t="s">
        <v>8173</v>
      </c>
      <c r="C140" s="2">
        <v>18</v>
      </c>
      <c r="D140" s="23">
        <v>5.99</v>
      </c>
      <c r="E140" s="3">
        <v>107.82</v>
      </c>
      <c r="F140" s="2" t="s">
        <v>9721</v>
      </c>
      <c r="G140" s="22" t="s">
        <v>19351</v>
      </c>
      <c r="H140" s="24" t="s">
        <v>19384</v>
      </c>
      <c r="I140" s="22" t="s">
        <v>19309</v>
      </c>
      <c r="J140" s="22" t="s">
        <v>19573</v>
      </c>
      <c r="K140" s="22" t="s">
        <v>19574</v>
      </c>
      <c r="L140" s="22"/>
      <c r="M140" s="22"/>
      <c r="N140" s="25" t="str">
        <f>HYPERLINK("http://slimages.macys.com/is/image/MCY/21371491 ")</f>
        <v xml:space="preserve">http://slimages.macys.com/is/image/MCY/21371491 </v>
      </c>
    </row>
    <row r="141" spans="1:14" ht="24.75" x14ac:dyDescent="0.25">
      <c r="A141" s="21" t="s">
        <v>8174</v>
      </c>
      <c r="B141" s="22" t="s">
        <v>8175</v>
      </c>
      <c r="C141" s="2">
        <v>18</v>
      </c>
      <c r="D141" s="23">
        <v>5.99</v>
      </c>
      <c r="E141" s="3">
        <v>107.82</v>
      </c>
      <c r="F141" s="2" t="s">
        <v>9721</v>
      </c>
      <c r="G141" s="22" t="s">
        <v>19351</v>
      </c>
      <c r="H141" s="24" t="s">
        <v>19416</v>
      </c>
      <c r="I141" s="22" t="s">
        <v>19309</v>
      </c>
      <c r="J141" s="22" t="s">
        <v>19573</v>
      </c>
      <c r="K141" s="22" t="s">
        <v>19574</v>
      </c>
      <c r="L141" s="22"/>
      <c r="M141" s="22"/>
      <c r="N141" s="25" t="str">
        <f>HYPERLINK("http://slimages.macys.com/is/image/MCY/21371491 ")</f>
        <v xml:space="preserve">http://slimages.macys.com/is/image/MCY/21371491 </v>
      </c>
    </row>
    <row r="142" spans="1:14" ht="24.75" x14ac:dyDescent="0.25">
      <c r="A142" s="21" t="s">
        <v>8176</v>
      </c>
      <c r="B142" s="22" t="s">
        <v>8177</v>
      </c>
      <c r="C142" s="2">
        <v>18</v>
      </c>
      <c r="D142" s="23">
        <v>5.99</v>
      </c>
      <c r="E142" s="3">
        <v>107.82</v>
      </c>
      <c r="F142" s="2" t="s">
        <v>17262</v>
      </c>
      <c r="G142" s="22" t="s">
        <v>19674</v>
      </c>
      <c r="H142" s="24" t="s">
        <v>19416</v>
      </c>
      <c r="I142" s="22" t="s">
        <v>19309</v>
      </c>
      <c r="J142" s="22" t="s">
        <v>19573</v>
      </c>
      <c r="K142" s="22" t="s">
        <v>19574</v>
      </c>
      <c r="L142" s="22"/>
      <c r="M142" s="22"/>
      <c r="N142" s="25" t="str">
        <f>HYPERLINK("http://slimages.macys.com/is/image/MCY/21361805 ")</f>
        <v xml:space="preserve">http://slimages.macys.com/is/image/MCY/21361805 </v>
      </c>
    </row>
    <row r="143" spans="1:14" ht="24.75" x14ac:dyDescent="0.25">
      <c r="A143" s="21" t="s">
        <v>8178</v>
      </c>
      <c r="B143" s="22" t="s">
        <v>8179</v>
      </c>
      <c r="C143" s="2">
        <v>1</v>
      </c>
      <c r="D143" s="23">
        <v>26.99</v>
      </c>
      <c r="E143" s="3">
        <v>26.99</v>
      </c>
      <c r="F143" s="2" t="s">
        <v>13552</v>
      </c>
      <c r="G143" s="22" t="s">
        <v>19422</v>
      </c>
      <c r="H143" s="24" t="s">
        <v>19538</v>
      </c>
      <c r="I143" s="22" t="s">
        <v>19309</v>
      </c>
      <c r="J143" s="22" t="s">
        <v>19385</v>
      </c>
      <c r="K143" s="22" t="s">
        <v>19487</v>
      </c>
      <c r="L143" s="22"/>
      <c r="M143" s="22"/>
      <c r="N143" s="25"/>
    </row>
    <row r="144" spans="1:14" ht="24.75" x14ac:dyDescent="0.25">
      <c r="A144" s="21" t="s">
        <v>17493</v>
      </c>
      <c r="B144" s="22" t="s">
        <v>17494</v>
      </c>
      <c r="C144" s="2">
        <v>14</v>
      </c>
      <c r="D144" s="23">
        <v>26.99</v>
      </c>
      <c r="E144" s="3">
        <v>377.86</v>
      </c>
      <c r="F144" s="2" t="s">
        <v>17488</v>
      </c>
      <c r="G144" s="22" t="s">
        <v>19357</v>
      </c>
      <c r="H144" s="24" t="s">
        <v>19538</v>
      </c>
      <c r="I144" s="22" t="s">
        <v>19309</v>
      </c>
      <c r="J144" s="22" t="s">
        <v>19385</v>
      </c>
      <c r="K144" s="22" t="s">
        <v>19487</v>
      </c>
      <c r="L144" s="22"/>
      <c r="M144" s="22"/>
      <c r="N144" s="25"/>
    </row>
    <row r="145" spans="1:14" ht="24.75" x14ac:dyDescent="0.25">
      <c r="A145" s="21" t="s">
        <v>17359</v>
      </c>
      <c r="B145" s="22" t="s">
        <v>17360</v>
      </c>
      <c r="C145" s="2">
        <v>24</v>
      </c>
      <c r="D145" s="23">
        <v>26.99</v>
      </c>
      <c r="E145" s="3">
        <v>647.76</v>
      </c>
      <c r="F145" s="2" t="s">
        <v>17488</v>
      </c>
      <c r="G145" s="22" t="s">
        <v>19357</v>
      </c>
      <c r="H145" s="24" t="s">
        <v>19330</v>
      </c>
      <c r="I145" s="22" t="s">
        <v>19309</v>
      </c>
      <c r="J145" s="22" t="s">
        <v>19385</v>
      </c>
      <c r="K145" s="22" t="s">
        <v>19487</v>
      </c>
      <c r="L145" s="22"/>
      <c r="M145" s="22"/>
      <c r="N145" s="25"/>
    </row>
    <row r="146" spans="1:14" ht="24.75" x14ac:dyDescent="0.25">
      <c r="A146" s="21" t="s">
        <v>17489</v>
      </c>
      <c r="B146" s="22" t="s">
        <v>17490</v>
      </c>
      <c r="C146" s="2">
        <v>20</v>
      </c>
      <c r="D146" s="23">
        <v>26.99</v>
      </c>
      <c r="E146" s="3">
        <v>539.79999999999995</v>
      </c>
      <c r="F146" s="2" t="s">
        <v>17488</v>
      </c>
      <c r="G146" s="22" t="s">
        <v>19357</v>
      </c>
      <c r="H146" s="24" t="s">
        <v>19324</v>
      </c>
      <c r="I146" s="22" t="s">
        <v>19309</v>
      </c>
      <c r="J146" s="22" t="s">
        <v>19385</v>
      </c>
      <c r="K146" s="22" t="s">
        <v>19487</v>
      </c>
      <c r="L146" s="22"/>
      <c r="M146" s="22"/>
      <c r="N146" s="25"/>
    </row>
    <row r="147" spans="1:14" x14ac:dyDescent="0.25">
      <c r="A147" s="21" t="s">
        <v>8180</v>
      </c>
      <c r="B147" s="22" t="s">
        <v>8181</v>
      </c>
      <c r="C147" s="2">
        <v>8</v>
      </c>
      <c r="D147" s="23">
        <v>32</v>
      </c>
      <c r="E147" s="3">
        <v>256</v>
      </c>
      <c r="F147" s="2" t="s">
        <v>8182</v>
      </c>
      <c r="G147" s="22" t="s">
        <v>19315</v>
      </c>
      <c r="H147" s="24" t="s">
        <v>19324</v>
      </c>
      <c r="I147" s="22" t="s">
        <v>19309</v>
      </c>
      <c r="J147" s="22" t="s">
        <v>19417</v>
      </c>
      <c r="K147" s="22" t="s">
        <v>20110</v>
      </c>
      <c r="L147" s="22"/>
      <c r="M147" s="22"/>
      <c r="N147" s="25"/>
    </row>
    <row r="148" spans="1:14" ht="24.75" x14ac:dyDescent="0.25">
      <c r="A148" s="21" t="s">
        <v>11208</v>
      </c>
      <c r="B148" s="22" t="s">
        <v>11209</v>
      </c>
      <c r="C148" s="2">
        <v>24</v>
      </c>
      <c r="D148" s="23">
        <v>13.88</v>
      </c>
      <c r="E148" s="3">
        <v>333.12</v>
      </c>
      <c r="F148" s="2" t="s">
        <v>11210</v>
      </c>
      <c r="G148" s="22" t="s">
        <v>19415</v>
      </c>
      <c r="H148" s="24" t="s">
        <v>19308</v>
      </c>
      <c r="I148" s="22" t="s">
        <v>19309</v>
      </c>
      <c r="J148" s="22" t="s">
        <v>19565</v>
      </c>
      <c r="K148" s="22" t="s">
        <v>18548</v>
      </c>
      <c r="L148" s="22"/>
      <c r="M148" s="22"/>
      <c r="N148" s="25"/>
    </row>
    <row r="149" spans="1:14" ht="24.75" x14ac:dyDescent="0.25">
      <c r="A149" s="21" t="s">
        <v>8183</v>
      </c>
      <c r="B149" s="22" t="s">
        <v>8184</v>
      </c>
      <c r="C149" s="2">
        <v>24</v>
      </c>
      <c r="D149" s="23">
        <v>13.88</v>
      </c>
      <c r="E149" s="3">
        <v>333.12</v>
      </c>
      <c r="F149" s="2" t="s">
        <v>11210</v>
      </c>
      <c r="G149" s="22" t="s">
        <v>19415</v>
      </c>
      <c r="H149" s="24" t="s">
        <v>19364</v>
      </c>
      <c r="I149" s="22" t="s">
        <v>19309</v>
      </c>
      <c r="J149" s="22" t="s">
        <v>19565</v>
      </c>
      <c r="K149" s="22" t="s">
        <v>18548</v>
      </c>
      <c r="L149" s="22"/>
      <c r="M149" s="22"/>
      <c r="N149" s="25"/>
    </row>
    <row r="150" spans="1:14" ht="24.75" x14ac:dyDescent="0.25">
      <c r="A150" s="21" t="s">
        <v>8185</v>
      </c>
      <c r="B150" s="22" t="s">
        <v>8186</v>
      </c>
      <c r="C150" s="2">
        <v>21</v>
      </c>
      <c r="D150" s="23">
        <v>11.55</v>
      </c>
      <c r="E150" s="3">
        <v>242.55</v>
      </c>
      <c r="F150" s="2" t="s">
        <v>17372</v>
      </c>
      <c r="G150" s="22" t="s">
        <v>19618</v>
      </c>
      <c r="H150" s="24" t="s">
        <v>19339</v>
      </c>
      <c r="I150" s="22" t="s">
        <v>19309</v>
      </c>
      <c r="J150" s="22" t="s">
        <v>19565</v>
      </c>
      <c r="K150" s="22" t="s">
        <v>18548</v>
      </c>
      <c r="L150" s="22"/>
      <c r="M150" s="22"/>
      <c r="N150" s="25"/>
    </row>
    <row r="151" spans="1:14" ht="24.75" x14ac:dyDescent="0.25">
      <c r="A151" s="21" t="s">
        <v>8187</v>
      </c>
      <c r="B151" s="22" t="s">
        <v>8188</v>
      </c>
      <c r="C151" s="2">
        <v>25</v>
      </c>
      <c r="D151" s="23">
        <v>13.99</v>
      </c>
      <c r="E151" s="3">
        <v>349.75</v>
      </c>
      <c r="F151" s="2" t="s">
        <v>11213</v>
      </c>
      <c r="G151" s="22"/>
      <c r="H151" s="24" t="s">
        <v>19324</v>
      </c>
      <c r="I151" s="22" t="s">
        <v>19309</v>
      </c>
      <c r="J151" s="22" t="s">
        <v>19385</v>
      </c>
      <c r="K151" s="22" t="s">
        <v>11214</v>
      </c>
      <c r="L151" s="22"/>
      <c r="M151" s="22"/>
      <c r="N151" s="25"/>
    </row>
    <row r="152" spans="1:14" ht="24.75" x14ac:dyDescent="0.25">
      <c r="A152" s="21" t="s">
        <v>8189</v>
      </c>
      <c r="B152" s="22" t="s">
        <v>8190</v>
      </c>
      <c r="C152" s="2">
        <v>23</v>
      </c>
      <c r="D152" s="23">
        <v>13.99</v>
      </c>
      <c r="E152" s="3">
        <v>321.77</v>
      </c>
      <c r="F152" s="2" t="s">
        <v>11213</v>
      </c>
      <c r="G152" s="22"/>
      <c r="H152" s="24" t="s">
        <v>19330</v>
      </c>
      <c r="I152" s="22" t="s">
        <v>19309</v>
      </c>
      <c r="J152" s="22" t="s">
        <v>19385</v>
      </c>
      <c r="K152" s="22" t="s">
        <v>11214</v>
      </c>
      <c r="L152" s="22"/>
      <c r="M152" s="22"/>
      <c r="N152" s="25"/>
    </row>
    <row r="153" spans="1:14" ht="24.75" x14ac:dyDescent="0.25">
      <c r="A153" s="21" t="s">
        <v>11211</v>
      </c>
      <c r="B153" s="22" t="s">
        <v>11212</v>
      </c>
      <c r="C153" s="2">
        <v>48</v>
      </c>
      <c r="D153" s="23">
        <v>13.99</v>
      </c>
      <c r="E153" s="3">
        <v>671.52</v>
      </c>
      <c r="F153" s="2" t="s">
        <v>11213</v>
      </c>
      <c r="G153" s="22"/>
      <c r="H153" s="24" t="s">
        <v>19416</v>
      </c>
      <c r="I153" s="22" t="s">
        <v>19309</v>
      </c>
      <c r="J153" s="22" t="s">
        <v>19385</v>
      </c>
      <c r="K153" s="22" t="s">
        <v>11214</v>
      </c>
      <c r="L153" s="22"/>
      <c r="M153" s="22"/>
      <c r="N153" s="25"/>
    </row>
    <row r="154" spans="1:14" ht="24.75" x14ac:dyDescent="0.25">
      <c r="A154" s="21" t="s">
        <v>8191</v>
      </c>
      <c r="B154" s="22" t="s">
        <v>8192</v>
      </c>
      <c r="C154" s="2">
        <v>5</v>
      </c>
      <c r="D154" s="23">
        <v>5.89</v>
      </c>
      <c r="E154" s="3">
        <v>29.45</v>
      </c>
      <c r="F154" s="2" t="s">
        <v>8193</v>
      </c>
      <c r="G154" s="22" t="s">
        <v>19333</v>
      </c>
      <c r="H154" s="24" t="s">
        <v>19352</v>
      </c>
      <c r="I154" s="22" t="s">
        <v>19309</v>
      </c>
      <c r="J154" s="22" t="s">
        <v>19565</v>
      </c>
      <c r="K154" s="22" t="s">
        <v>18514</v>
      </c>
      <c r="L154" s="22"/>
      <c r="M154" s="22"/>
      <c r="N154" s="25"/>
    </row>
  </sheetData>
  <phoneticPr fontId="0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7"/>
  <sheetViews>
    <sheetView workbookViewId="0">
      <selection activeCell="F14" sqref="F14"/>
    </sheetView>
  </sheetViews>
  <sheetFormatPr defaultRowHeight="15" x14ac:dyDescent="0.25"/>
  <cols>
    <col min="1" max="1" width="14.42578125" customWidth="1"/>
    <col min="2" max="2" width="50.42578125" customWidth="1"/>
    <col min="3" max="4" width="15" customWidth="1"/>
    <col min="5" max="5" width="10.42578125" customWidth="1"/>
    <col min="6" max="6" width="12.5703125" customWidth="1"/>
    <col min="7" max="8" width="11.42578125" customWidth="1"/>
    <col min="9" max="9" width="10.85546875" customWidth="1"/>
    <col min="10" max="10" width="12.140625" customWidth="1"/>
    <col min="11" max="11" width="36.5703125" bestFit="1" customWidth="1"/>
    <col min="12" max="13" width="20.5703125" customWidth="1"/>
    <col min="14" max="14" width="64.42578125" customWidth="1"/>
  </cols>
  <sheetData>
    <row r="1" spans="1:14" ht="36" x14ac:dyDescent="0.25">
      <c r="A1" s="1" t="s">
        <v>19291</v>
      </c>
      <c r="B1" s="1" t="s">
        <v>19292</v>
      </c>
      <c r="C1" s="1" t="s">
        <v>19293</v>
      </c>
      <c r="D1" s="1" t="s">
        <v>19284</v>
      </c>
      <c r="E1" s="1" t="s">
        <v>19294</v>
      </c>
      <c r="F1" s="1" t="s">
        <v>19295</v>
      </c>
      <c r="G1" s="1" t="s">
        <v>19296</v>
      </c>
      <c r="H1" s="1" t="s">
        <v>19297</v>
      </c>
      <c r="I1" s="1" t="s">
        <v>19298</v>
      </c>
      <c r="J1" s="1" t="s">
        <v>19299</v>
      </c>
      <c r="K1" s="1" t="s">
        <v>19300</v>
      </c>
      <c r="L1" s="1" t="s">
        <v>19301</v>
      </c>
      <c r="M1" s="1" t="s">
        <v>19302</v>
      </c>
      <c r="N1" s="1" t="s">
        <v>19303</v>
      </c>
    </row>
    <row r="2" spans="1:14" x14ac:dyDescent="0.25">
      <c r="A2" s="21" t="s">
        <v>8194</v>
      </c>
      <c r="B2" s="22" t="s">
        <v>8195</v>
      </c>
      <c r="C2" s="2">
        <v>1</v>
      </c>
      <c r="D2" s="23">
        <v>63.75</v>
      </c>
      <c r="E2" s="3">
        <v>63.75</v>
      </c>
      <c r="F2" s="2" t="s">
        <v>8196</v>
      </c>
      <c r="G2" s="22" t="s">
        <v>19618</v>
      </c>
      <c r="H2" s="24" t="s">
        <v>19334</v>
      </c>
      <c r="I2" s="22" t="s">
        <v>19309</v>
      </c>
      <c r="J2" s="22" t="s">
        <v>19310</v>
      </c>
      <c r="K2" s="22" t="s">
        <v>19433</v>
      </c>
      <c r="L2" s="22"/>
      <c r="M2" s="22"/>
      <c r="N2" s="25" t="str">
        <f>HYPERLINK("http://slimages.macys.com/is/image/MCY/20020021 ")</f>
        <v xml:space="preserve">http://slimages.macys.com/is/image/MCY/20020021 </v>
      </c>
    </row>
    <row r="3" spans="1:14" x14ac:dyDescent="0.25">
      <c r="A3" s="21" t="s">
        <v>8197</v>
      </c>
      <c r="B3" s="22" t="s">
        <v>8198</v>
      </c>
      <c r="C3" s="2">
        <v>26</v>
      </c>
      <c r="D3" s="23">
        <v>49.99</v>
      </c>
      <c r="E3" s="3">
        <v>1299.74</v>
      </c>
      <c r="F3" s="2">
        <v>115554</v>
      </c>
      <c r="G3" s="22" t="s">
        <v>19315</v>
      </c>
      <c r="H3" s="24" t="s">
        <v>17505</v>
      </c>
      <c r="I3" s="22" t="s">
        <v>19309</v>
      </c>
      <c r="J3" s="22" t="s">
        <v>19417</v>
      </c>
      <c r="K3" s="22" t="s">
        <v>8199</v>
      </c>
      <c r="L3" s="22"/>
      <c r="M3" s="22"/>
      <c r="N3" s="25" t="str">
        <f>HYPERLINK("http://slimages.macys.com/is/image/MCY/16873339 ")</f>
        <v xml:space="preserve">http://slimages.macys.com/is/image/MCY/16873339 </v>
      </c>
    </row>
    <row r="4" spans="1:14" ht="24.75" x14ac:dyDescent="0.25">
      <c r="A4" s="21" t="s">
        <v>9803</v>
      </c>
      <c r="B4" s="22" t="s">
        <v>9804</v>
      </c>
      <c r="C4" s="2">
        <v>8</v>
      </c>
      <c r="D4" s="23">
        <v>39.5</v>
      </c>
      <c r="E4" s="3">
        <v>316</v>
      </c>
      <c r="F4" s="2">
        <v>322842275002</v>
      </c>
      <c r="G4" s="22" t="s">
        <v>19333</v>
      </c>
      <c r="H4" s="24" t="s">
        <v>19542</v>
      </c>
      <c r="I4" s="22" t="s">
        <v>19309</v>
      </c>
      <c r="J4" s="22" t="s">
        <v>19335</v>
      </c>
      <c r="K4" s="22" t="s">
        <v>19326</v>
      </c>
      <c r="L4" s="22"/>
      <c r="M4" s="22"/>
      <c r="N4" s="25" t="str">
        <f>HYPERLINK("http://slimages.macys.com/is/image/MCY/19469073 ")</f>
        <v xml:space="preserve">http://slimages.macys.com/is/image/MCY/19469073 </v>
      </c>
    </row>
    <row r="5" spans="1:14" ht="24.75" x14ac:dyDescent="0.25">
      <c r="A5" s="21" t="s">
        <v>8200</v>
      </c>
      <c r="B5" s="22" t="s">
        <v>8201</v>
      </c>
      <c r="C5" s="2">
        <v>3</v>
      </c>
      <c r="D5" s="23">
        <v>30.99</v>
      </c>
      <c r="E5" s="3">
        <v>92.97</v>
      </c>
      <c r="F5" s="2" t="s">
        <v>9398</v>
      </c>
      <c r="G5" s="22" t="s">
        <v>19333</v>
      </c>
      <c r="H5" s="24" t="s">
        <v>19797</v>
      </c>
      <c r="I5" s="22" t="s">
        <v>19309</v>
      </c>
      <c r="J5" s="22" t="s">
        <v>19447</v>
      </c>
      <c r="K5" s="22" t="s">
        <v>19533</v>
      </c>
      <c r="L5" s="22"/>
      <c r="M5" s="22"/>
      <c r="N5" s="25" t="str">
        <f>HYPERLINK("http://slimages.macys.com/is/image/MCY/20783926 ")</f>
        <v xml:space="preserve">http://slimages.macys.com/is/image/MCY/20783926 </v>
      </c>
    </row>
    <row r="6" spans="1:14" ht="36.75" x14ac:dyDescent="0.25">
      <c r="A6" s="21" t="s">
        <v>8202</v>
      </c>
      <c r="B6" s="22" t="s">
        <v>8203</v>
      </c>
      <c r="C6" s="2">
        <v>1</v>
      </c>
      <c r="D6" s="23">
        <v>24.99</v>
      </c>
      <c r="E6" s="3">
        <v>24.99</v>
      </c>
      <c r="F6" s="2" t="s">
        <v>8204</v>
      </c>
      <c r="G6" s="22" t="s">
        <v>19383</v>
      </c>
      <c r="H6" s="24" t="s">
        <v>19416</v>
      </c>
      <c r="I6" s="22" t="s">
        <v>19309</v>
      </c>
      <c r="J6" s="22" t="s">
        <v>19385</v>
      </c>
      <c r="K6" s="22" t="s">
        <v>19458</v>
      </c>
      <c r="L6" s="22" t="s">
        <v>19319</v>
      </c>
      <c r="M6" s="22" t="s">
        <v>8205</v>
      </c>
      <c r="N6" s="25" t="str">
        <f>HYPERLINK("http://slimages.macys.com/is/image/MCY/10022456 ")</f>
        <v xml:space="preserve">http://slimages.macys.com/is/image/MCY/10022456 </v>
      </c>
    </row>
    <row r="7" spans="1:14" ht="24.75" x14ac:dyDescent="0.25">
      <c r="A7" s="21" t="s">
        <v>8206</v>
      </c>
      <c r="B7" s="22" t="s">
        <v>8207</v>
      </c>
      <c r="C7" s="2">
        <v>1</v>
      </c>
      <c r="D7" s="23">
        <v>29.99</v>
      </c>
      <c r="E7" s="3">
        <v>29.99</v>
      </c>
      <c r="F7" s="2" t="s">
        <v>8208</v>
      </c>
      <c r="G7" s="22" t="s">
        <v>19351</v>
      </c>
      <c r="H7" s="24" t="s">
        <v>19384</v>
      </c>
      <c r="I7" s="22" t="s">
        <v>19309</v>
      </c>
      <c r="J7" s="22" t="s">
        <v>19385</v>
      </c>
      <c r="K7" s="22" t="s">
        <v>19386</v>
      </c>
      <c r="L7" s="22"/>
      <c r="M7" s="22"/>
      <c r="N7" s="25" t="str">
        <f>HYPERLINK("http://slimages.macys.com/is/image/MCY/20756395 ")</f>
        <v xml:space="preserve">http://slimages.macys.com/is/image/MCY/20756395 </v>
      </c>
    </row>
    <row r="8" spans="1:14" x14ac:dyDescent="0.25">
      <c r="A8" s="21" t="s">
        <v>8209</v>
      </c>
      <c r="B8" s="22" t="s">
        <v>8210</v>
      </c>
      <c r="C8" s="2">
        <v>1</v>
      </c>
      <c r="D8" s="23">
        <v>30.99</v>
      </c>
      <c r="E8" s="3">
        <v>30.99</v>
      </c>
      <c r="F8" s="2" t="s">
        <v>8211</v>
      </c>
      <c r="G8" s="22" t="s">
        <v>19431</v>
      </c>
      <c r="H8" s="24"/>
      <c r="I8" s="22" t="s">
        <v>19309</v>
      </c>
      <c r="J8" s="22" t="s">
        <v>19696</v>
      </c>
      <c r="K8" s="22" t="s">
        <v>8212</v>
      </c>
      <c r="L8" s="22"/>
      <c r="M8" s="22"/>
      <c r="N8" s="25" t="str">
        <f>HYPERLINK("http://slimages.macys.com/is/image/MCY/19292060 ")</f>
        <v xml:space="preserve">http://slimages.macys.com/is/image/MCY/19292060 </v>
      </c>
    </row>
    <row r="9" spans="1:14" x14ac:dyDescent="0.25">
      <c r="A9" s="21" t="s">
        <v>8213</v>
      </c>
      <c r="B9" s="22" t="s">
        <v>8214</v>
      </c>
      <c r="C9" s="2">
        <v>9</v>
      </c>
      <c r="D9" s="23">
        <v>30.99</v>
      </c>
      <c r="E9" s="3">
        <v>278.91000000000003</v>
      </c>
      <c r="F9" s="2" t="s">
        <v>8211</v>
      </c>
      <c r="G9" s="22" t="s">
        <v>19431</v>
      </c>
      <c r="H9" s="24"/>
      <c r="I9" s="22" t="s">
        <v>19309</v>
      </c>
      <c r="J9" s="22" t="s">
        <v>19696</v>
      </c>
      <c r="K9" s="22" t="s">
        <v>8212</v>
      </c>
      <c r="L9" s="22"/>
      <c r="M9" s="22"/>
      <c r="N9" s="25" t="str">
        <f>HYPERLINK("http://slimages.macys.com/is/image/MCY/19292060 ")</f>
        <v xml:space="preserve">http://slimages.macys.com/is/image/MCY/19292060 </v>
      </c>
    </row>
    <row r="10" spans="1:14" x14ac:dyDescent="0.25">
      <c r="A10" s="21" t="s">
        <v>8215</v>
      </c>
      <c r="B10" s="22" t="s">
        <v>8216</v>
      </c>
      <c r="C10" s="2">
        <v>3</v>
      </c>
      <c r="D10" s="23">
        <v>30.99</v>
      </c>
      <c r="E10" s="3">
        <v>92.97</v>
      </c>
      <c r="F10" s="2" t="s">
        <v>8211</v>
      </c>
      <c r="G10" s="22" t="s">
        <v>19431</v>
      </c>
      <c r="H10" s="24"/>
      <c r="I10" s="22" t="s">
        <v>19309</v>
      </c>
      <c r="J10" s="22" t="s">
        <v>19696</v>
      </c>
      <c r="K10" s="22" t="s">
        <v>8212</v>
      </c>
      <c r="L10" s="22"/>
      <c r="M10" s="22"/>
      <c r="N10" s="25" t="str">
        <f>HYPERLINK("http://slimages.macys.com/is/image/MCY/19292060 ")</f>
        <v xml:space="preserve">http://slimages.macys.com/is/image/MCY/19292060 </v>
      </c>
    </row>
    <row r="11" spans="1:14" ht="24.75" x14ac:dyDescent="0.25">
      <c r="A11" s="21" t="s">
        <v>10369</v>
      </c>
      <c r="B11" s="22" t="s">
        <v>10370</v>
      </c>
      <c r="C11" s="2">
        <v>27</v>
      </c>
      <c r="D11" s="23">
        <v>24.99</v>
      </c>
      <c r="E11" s="3">
        <v>674.73</v>
      </c>
      <c r="F11" s="2" t="s">
        <v>10882</v>
      </c>
      <c r="G11" s="22" t="s">
        <v>19323</v>
      </c>
      <c r="H11" s="24" t="s">
        <v>19538</v>
      </c>
      <c r="I11" s="22" t="s">
        <v>19309</v>
      </c>
      <c r="J11" s="22" t="s">
        <v>19385</v>
      </c>
      <c r="K11" s="22" t="s">
        <v>19386</v>
      </c>
      <c r="L11" s="22"/>
      <c r="M11" s="22"/>
      <c r="N11" s="25" t="str">
        <f>HYPERLINK("http://slimages.macys.com/is/image/MCY/21820640 ")</f>
        <v xml:space="preserve">http://slimages.macys.com/is/image/MCY/21820640 </v>
      </c>
    </row>
    <row r="12" spans="1:14" ht="24.75" x14ac:dyDescent="0.25">
      <c r="A12" s="21" t="s">
        <v>10880</v>
      </c>
      <c r="B12" s="22" t="s">
        <v>10881</v>
      </c>
      <c r="C12" s="2">
        <v>12</v>
      </c>
      <c r="D12" s="23">
        <v>24.99</v>
      </c>
      <c r="E12" s="3">
        <v>299.88</v>
      </c>
      <c r="F12" s="2" t="s">
        <v>10882</v>
      </c>
      <c r="G12" s="22" t="s">
        <v>19323</v>
      </c>
      <c r="H12" s="24" t="s">
        <v>19324</v>
      </c>
      <c r="I12" s="22" t="s">
        <v>19309</v>
      </c>
      <c r="J12" s="22" t="s">
        <v>19385</v>
      </c>
      <c r="K12" s="22" t="s">
        <v>19386</v>
      </c>
      <c r="L12" s="22"/>
      <c r="M12" s="22"/>
      <c r="N12" s="25" t="str">
        <f>HYPERLINK("http://slimages.macys.com/is/image/MCY/21820640 ")</f>
        <v xml:space="preserve">http://slimages.macys.com/is/image/MCY/21820640 </v>
      </c>
    </row>
    <row r="13" spans="1:14" ht="24.75" x14ac:dyDescent="0.25">
      <c r="A13" s="21" t="s">
        <v>11451</v>
      </c>
      <c r="B13" s="22" t="s">
        <v>11452</v>
      </c>
      <c r="C13" s="2">
        <v>11</v>
      </c>
      <c r="D13" s="23">
        <v>26.99</v>
      </c>
      <c r="E13" s="3">
        <v>296.89</v>
      </c>
      <c r="F13" s="2" t="s">
        <v>19663</v>
      </c>
      <c r="G13" s="22" t="s">
        <v>19333</v>
      </c>
      <c r="H13" s="24" t="s">
        <v>19324</v>
      </c>
      <c r="I13" s="22" t="s">
        <v>19309</v>
      </c>
      <c r="J13" s="22" t="s">
        <v>19385</v>
      </c>
      <c r="K13" s="22" t="s">
        <v>19487</v>
      </c>
      <c r="L13" s="22"/>
      <c r="M13" s="22"/>
      <c r="N13" s="25" t="str">
        <f>HYPERLINK("http://slimages.macys.com/is/image/MCY/21856819 ")</f>
        <v xml:space="preserve">http://slimages.macys.com/is/image/MCY/21856819 </v>
      </c>
    </row>
    <row r="14" spans="1:14" ht="24.75" x14ac:dyDescent="0.25">
      <c r="A14" s="21" t="s">
        <v>8217</v>
      </c>
      <c r="B14" s="22" t="s">
        <v>8218</v>
      </c>
      <c r="C14" s="2">
        <v>17</v>
      </c>
      <c r="D14" s="23">
        <v>24.99</v>
      </c>
      <c r="E14" s="3">
        <v>424.83</v>
      </c>
      <c r="F14" s="2" t="s">
        <v>10882</v>
      </c>
      <c r="G14" s="22" t="s">
        <v>19323</v>
      </c>
      <c r="H14" s="24" t="s">
        <v>19384</v>
      </c>
      <c r="I14" s="22" t="s">
        <v>19309</v>
      </c>
      <c r="J14" s="22" t="s">
        <v>19385</v>
      </c>
      <c r="K14" s="22" t="s">
        <v>19386</v>
      </c>
      <c r="L14" s="22"/>
      <c r="M14" s="22"/>
      <c r="N14" s="25" t="str">
        <f>HYPERLINK("http://slimages.macys.com/is/image/MCY/21820640 ")</f>
        <v xml:space="preserve">http://slimages.macys.com/is/image/MCY/21820640 </v>
      </c>
    </row>
    <row r="15" spans="1:14" ht="24.75" x14ac:dyDescent="0.25">
      <c r="A15" s="21" t="s">
        <v>9422</v>
      </c>
      <c r="B15" s="22" t="s">
        <v>9423</v>
      </c>
      <c r="C15" s="2">
        <v>11</v>
      </c>
      <c r="D15" s="23">
        <v>24.99</v>
      </c>
      <c r="E15" s="3">
        <v>274.89</v>
      </c>
      <c r="F15" s="2" t="s">
        <v>9421</v>
      </c>
      <c r="G15" s="22" t="s">
        <v>19462</v>
      </c>
      <c r="H15" s="24" t="s">
        <v>19384</v>
      </c>
      <c r="I15" s="22" t="s">
        <v>19309</v>
      </c>
      <c r="J15" s="22" t="s">
        <v>19385</v>
      </c>
      <c r="K15" s="22" t="s">
        <v>19386</v>
      </c>
      <c r="L15" s="22"/>
      <c r="M15" s="22"/>
      <c r="N15" s="25" t="str">
        <f>HYPERLINK("http://slimages.macys.com/is/image/MCY/21465558 ")</f>
        <v xml:space="preserve">http://slimages.macys.com/is/image/MCY/21465558 </v>
      </c>
    </row>
    <row r="16" spans="1:14" ht="24.75" x14ac:dyDescent="0.25">
      <c r="A16" s="21" t="s">
        <v>9813</v>
      </c>
      <c r="B16" s="22" t="s">
        <v>9814</v>
      </c>
      <c r="C16" s="2">
        <v>5</v>
      </c>
      <c r="D16" s="23">
        <v>24.99</v>
      </c>
      <c r="E16" s="3">
        <v>124.95</v>
      </c>
      <c r="F16" s="2" t="s">
        <v>9421</v>
      </c>
      <c r="G16" s="22" t="s">
        <v>19462</v>
      </c>
      <c r="H16" s="24" t="s">
        <v>19538</v>
      </c>
      <c r="I16" s="22" t="s">
        <v>19309</v>
      </c>
      <c r="J16" s="22" t="s">
        <v>19385</v>
      </c>
      <c r="K16" s="22" t="s">
        <v>19386</v>
      </c>
      <c r="L16" s="22"/>
      <c r="M16" s="22"/>
      <c r="N16" s="25" t="str">
        <f>HYPERLINK("http://slimages.macys.com/is/image/MCY/21465558 ")</f>
        <v xml:space="preserve">http://slimages.macys.com/is/image/MCY/21465558 </v>
      </c>
    </row>
    <row r="17" spans="1:14" ht="24.75" x14ac:dyDescent="0.25">
      <c r="A17" s="21" t="s">
        <v>10889</v>
      </c>
      <c r="B17" s="22" t="s">
        <v>10890</v>
      </c>
      <c r="C17" s="2">
        <v>2</v>
      </c>
      <c r="D17" s="23">
        <v>24.99</v>
      </c>
      <c r="E17" s="3">
        <v>49.98</v>
      </c>
      <c r="F17" s="2" t="s">
        <v>10882</v>
      </c>
      <c r="G17" s="22" t="s">
        <v>19323</v>
      </c>
      <c r="H17" s="24" t="s">
        <v>19330</v>
      </c>
      <c r="I17" s="22" t="s">
        <v>19309</v>
      </c>
      <c r="J17" s="22" t="s">
        <v>19385</v>
      </c>
      <c r="K17" s="22" t="s">
        <v>19386</v>
      </c>
      <c r="L17" s="22"/>
      <c r="M17" s="22"/>
      <c r="N17" s="25" t="str">
        <f>HYPERLINK("http://slimages.macys.com/is/image/MCY/21820640 ")</f>
        <v xml:space="preserve">http://slimages.macys.com/is/image/MCY/21820640 </v>
      </c>
    </row>
    <row r="18" spans="1:14" ht="24.75" x14ac:dyDescent="0.25">
      <c r="A18" s="21" t="s">
        <v>15694</v>
      </c>
      <c r="B18" s="22" t="s">
        <v>15695</v>
      </c>
      <c r="C18" s="2">
        <v>15</v>
      </c>
      <c r="D18" s="23">
        <v>26.99</v>
      </c>
      <c r="E18" s="3">
        <v>404.85</v>
      </c>
      <c r="F18" s="2" t="s">
        <v>19663</v>
      </c>
      <c r="G18" s="22" t="s">
        <v>19333</v>
      </c>
      <c r="H18" s="24" t="s">
        <v>19330</v>
      </c>
      <c r="I18" s="22" t="s">
        <v>19309</v>
      </c>
      <c r="J18" s="22" t="s">
        <v>19385</v>
      </c>
      <c r="K18" s="22" t="s">
        <v>19487</v>
      </c>
      <c r="L18" s="22"/>
      <c r="M18" s="22"/>
      <c r="N18" s="25" t="str">
        <f>HYPERLINK("http://slimages.macys.com/is/image/MCY/21856819 ")</f>
        <v xml:space="preserve">http://slimages.macys.com/is/image/MCY/21856819 </v>
      </c>
    </row>
    <row r="19" spans="1:14" ht="24.75" x14ac:dyDescent="0.25">
      <c r="A19" s="21" t="s">
        <v>8219</v>
      </c>
      <c r="B19" s="22" t="s">
        <v>8220</v>
      </c>
      <c r="C19" s="2">
        <v>1</v>
      </c>
      <c r="D19" s="23">
        <v>34.99</v>
      </c>
      <c r="E19" s="3">
        <v>34.99</v>
      </c>
      <c r="F19" s="2" t="s">
        <v>8221</v>
      </c>
      <c r="G19" s="22" t="s">
        <v>19670</v>
      </c>
      <c r="H19" s="24" t="s">
        <v>19542</v>
      </c>
      <c r="I19" s="22" t="s">
        <v>19309</v>
      </c>
      <c r="J19" s="22" t="s">
        <v>19454</v>
      </c>
      <c r="K19" s="22" t="s">
        <v>19524</v>
      </c>
      <c r="L19" s="22"/>
      <c r="M19" s="22"/>
      <c r="N19" s="25" t="str">
        <f>HYPERLINK("http://slimages.macys.com/is/image/MCY/1473054 ")</f>
        <v xml:space="preserve">http://slimages.macys.com/is/image/MCY/1473054 </v>
      </c>
    </row>
    <row r="20" spans="1:14" ht="24.75" x14ac:dyDescent="0.25">
      <c r="A20" s="21" t="s">
        <v>10894</v>
      </c>
      <c r="B20" s="22" t="s">
        <v>10895</v>
      </c>
      <c r="C20" s="2">
        <v>24</v>
      </c>
      <c r="D20" s="23">
        <v>27.99</v>
      </c>
      <c r="E20" s="3">
        <v>671.76</v>
      </c>
      <c r="F20" s="2" t="s">
        <v>10896</v>
      </c>
      <c r="G20" s="22" t="s">
        <v>19342</v>
      </c>
      <c r="H20" s="24" t="s">
        <v>19334</v>
      </c>
      <c r="I20" s="22" t="s">
        <v>19309</v>
      </c>
      <c r="J20" s="22" t="s">
        <v>19696</v>
      </c>
      <c r="K20" s="22" t="s">
        <v>19965</v>
      </c>
      <c r="L20" s="22"/>
      <c r="M20" s="22"/>
      <c r="N20" s="25" t="str">
        <f>HYPERLINK("http://slimages.macys.com/is/image/MCY/21356000 ")</f>
        <v xml:space="preserve">http://slimages.macys.com/is/image/MCY/21356000 </v>
      </c>
    </row>
    <row r="21" spans="1:14" x14ac:dyDescent="0.25">
      <c r="A21" s="21" t="s">
        <v>9824</v>
      </c>
      <c r="B21" s="22" t="s">
        <v>9825</v>
      </c>
      <c r="C21" s="2">
        <v>12</v>
      </c>
      <c r="D21" s="23">
        <v>27.99</v>
      </c>
      <c r="E21" s="3">
        <v>335.88</v>
      </c>
      <c r="F21" s="2" t="s">
        <v>10899</v>
      </c>
      <c r="G21" s="22" t="s">
        <v>19342</v>
      </c>
      <c r="H21" s="24" t="s">
        <v>19334</v>
      </c>
      <c r="I21" s="22" t="s">
        <v>19309</v>
      </c>
      <c r="J21" s="22" t="s">
        <v>19696</v>
      </c>
      <c r="K21" s="22" t="s">
        <v>19697</v>
      </c>
      <c r="L21" s="22"/>
      <c r="M21" s="22"/>
      <c r="N21" s="25" t="str">
        <f>HYPERLINK("http://slimages.macys.com/is/image/MCY/21355157 ")</f>
        <v xml:space="preserve">http://slimages.macys.com/is/image/MCY/21355157 </v>
      </c>
    </row>
    <row r="22" spans="1:14" x14ac:dyDescent="0.25">
      <c r="A22" s="21" t="s">
        <v>8222</v>
      </c>
      <c r="B22" s="22" t="s">
        <v>8223</v>
      </c>
      <c r="C22" s="2">
        <v>12</v>
      </c>
      <c r="D22" s="23">
        <v>27.99</v>
      </c>
      <c r="E22" s="3">
        <v>335.88</v>
      </c>
      <c r="F22" s="2" t="s">
        <v>9429</v>
      </c>
      <c r="G22" s="22" t="s">
        <v>19342</v>
      </c>
      <c r="H22" s="24" t="s">
        <v>19392</v>
      </c>
      <c r="I22" s="22" t="s">
        <v>19309</v>
      </c>
      <c r="J22" s="22" t="s">
        <v>19696</v>
      </c>
      <c r="K22" s="22" t="s">
        <v>19697</v>
      </c>
      <c r="L22" s="22"/>
      <c r="M22" s="22"/>
      <c r="N22" s="25" t="str">
        <f>HYPERLINK("http://slimages.macys.com/is/image/MCY/21355162 ")</f>
        <v xml:space="preserve">http://slimages.macys.com/is/image/MCY/21355162 </v>
      </c>
    </row>
    <row r="23" spans="1:14" x14ac:dyDescent="0.25">
      <c r="A23" s="21" t="s">
        <v>8224</v>
      </c>
      <c r="B23" s="22" t="s">
        <v>8225</v>
      </c>
      <c r="C23" s="2">
        <v>24</v>
      </c>
      <c r="D23" s="23">
        <v>27.99</v>
      </c>
      <c r="E23" s="3">
        <v>671.76</v>
      </c>
      <c r="F23" s="2" t="s">
        <v>9429</v>
      </c>
      <c r="G23" s="22" t="s">
        <v>19342</v>
      </c>
      <c r="H23" s="24" t="s">
        <v>19334</v>
      </c>
      <c r="I23" s="22" t="s">
        <v>19309</v>
      </c>
      <c r="J23" s="22" t="s">
        <v>19696</v>
      </c>
      <c r="K23" s="22" t="s">
        <v>19697</v>
      </c>
      <c r="L23" s="22"/>
      <c r="M23" s="22"/>
      <c r="N23" s="25" t="str">
        <f>HYPERLINK("http://slimages.macys.com/is/image/MCY/21355162 ")</f>
        <v xml:space="preserve">http://slimages.macys.com/is/image/MCY/21355162 </v>
      </c>
    </row>
    <row r="24" spans="1:14" ht="24.75" x14ac:dyDescent="0.25">
      <c r="A24" s="21" t="s">
        <v>8226</v>
      </c>
      <c r="B24" s="22" t="s">
        <v>8227</v>
      </c>
      <c r="C24" s="2">
        <v>24</v>
      </c>
      <c r="D24" s="23">
        <v>27.99</v>
      </c>
      <c r="E24" s="3">
        <v>671.76</v>
      </c>
      <c r="F24" s="2" t="s">
        <v>10896</v>
      </c>
      <c r="G24" s="22" t="s">
        <v>19342</v>
      </c>
      <c r="H24" s="24" t="s">
        <v>19345</v>
      </c>
      <c r="I24" s="22" t="s">
        <v>19309</v>
      </c>
      <c r="J24" s="22" t="s">
        <v>19696</v>
      </c>
      <c r="K24" s="22" t="s">
        <v>19965</v>
      </c>
      <c r="L24" s="22"/>
      <c r="M24" s="22"/>
      <c r="N24" s="25" t="str">
        <f>HYPERLINK("http://slimages.macys.com/is/image/MCY/21356000 ")</f>
        <v xml:space="preserve">http://slimages.macys.com/is/image/MCY/21356000 </v>
      </c>
    </row>
    <row r="25" spans="1:14" ht="24.75" x14ac:dyDescent="0.25">
      <c r="A25" s="21" t="s">
        <v>15722</v>
      </c>
      <c r="B25" s="22" t="s">
        <v>15723</v>
      </c>
      <c r="C25" s="2">
        <v>3</v>
      </c>
      <c r="D25" s="23">
        <v>29.99</v>
      </c>
      <c r="E25" s="3">
        <v>89.97</v>
      </c>
      <c r="F25" s="2" t="s">
        <v>15724</v>
      </c>
      <c r="G25" s="22" t="s">
        <v>19342</v>
      </c>
      <c r="H25" s="24" t="s">
        <v>19330</v>
      </c>
      <c r="I25" s="22" t="s">
        <v>19309</v>
      </c>
      <c r="J25" s="22" t="s">
        <v>19491</v>
      </c>
      <c r="K25" s="22" t="s">
        <v>15725</v>
      </c>
      <c r="L25" s="22"/>
      <c r="M25" s="22"/>
      <c r="N25" s="25" t="str">
        <f>HYPERLINK("http://slimages.macys.com/is/image/MCY/21176916 ")</f>
        <v xml:space="preserve">http://slimages.macys.com/is/image/MCY/21176916 </v>
      </c>
    </row>
    <row r="26" spans="1:14" ht="24.75" x14ac:dyDescent="0.25">
      <c r="A26" s="21" t="s">
        <v>8025</v>
      </c>
      <c r="B26" s="22" t="s">
        <v>8026</v>
      </c>
      <c r="C26" s="2">
        <v>12</v>
      </c>
      <c r="D26" s="23">
        <v>27.99</v>
      </c>
      <c r="E26" s="3">
        <v>335.88</v>
      </c>
      <c r="F26" s="2" t="s">
        <v>10896</v>
      </c>
      <c r="G26" s="22" t="s">
        <v>19342</v>
      </c>
      <c r="H26" s="24" t="s">
        <v>19392</v>
      </c>
      <c r="I26" s="22" t="s">
        <v>19309</v>
      </c>
      <c r="J26" s="22" t="s">
        <v>19696</v>
      </c>
      <c r="K26" s="22" t="s">
        <v>19965</v>
      </c>
      <c r="L26" s="22"/>
      <c r="M26" s="22"/>
      <c r="N26" s="25" t="str">
        <f>HYPERLINK("http://slimages.macys.com/is/image/MCY/21356000 ")</f>
        <v xml:space="preserve">http://slimages.macys.com/is/image/MCY/21356000 </v>
      </c>
    </row>
    <row r="27" spans="1:14" x14ac:dyDescent="0.25">
      <c r="A27" s="21" t="s">
        <v>8228</v>
      </c>
      <c r="B27" s="22" t="s">
        <v>8229</v>
      </c>
      <c r="C27" s="2">
        <v>1</v>
      </c>
      <c r="D27" s="23">
        <v>26.99</v>
      </c>
      <c r="E27" s="3">
        <v>26.99</v>
      </c>
      <c r="F27" s="2" t="s">
        <v>9435</v>
      </c>
      <c r="G27" s="22" t="s">
        <v>19342</v>
      </c>
      <c r="H27" s="24" t="s">
        <v>19542</v>
      </c>
      <c r="I27" s="22" t="s">
        <v>19309</v>
      </c>
      <c r="J27" s="22" t="s">
        <v>19696</v>
      </c>
      <c r="K27" s="22" t="s">
        <v>19697</v>
      </c>
      <c r="L27" s="22"/>
      <c r="M27" s="22"/>
      <c r="N27" s="25" t="str">
        <f>HYPERLINK("http://slimages.macys.com/is/image/MCY/21622674 ")</f>
        <v xml:space="preserve">http://slimages.macys.com/is/image/MCY/21622674 </v>
      </c>
    </row>
    <row r="28" spans="1:14" x14ac:dyDescent="0.25">
      <c r="A28" s="21" t="s">
        <v>8037</v>
      </c>
      <c r="B28" s="22" t="s">
        <v>8038</v>
      </c>
      <c r="C28" s="2">
        <v>6</v>
      </c>
      <c r="D28" s="23">
        <v>20.58</v>
      </c>
      <c r="E28" s="3">
        <v>123.48</v>
      </c>
      <c r="F28" s="2" t="s">
        <v>8036</v>
      </c>
      <c r="G28" s="22" t="s">
        <v>19342</v>
      </c>
      <c r="H28" s="24" t="s">
        <v>19542</v>
      </c>
      <c r="I28" s="22" t="s">
        <v>19309</v>
      </c>
      <c r="J28" s="22" t="s">
        <v>19514</v>
      </c>
      <c r="K28" s="22" t="s">
        <v>10909</v>
      </c>
      <c r="L28" s="22"/>
      <c r="M28" s="22"/>
      <c r="N28" s="25" t="str">
        <f>HYPERLINK("http://slimages.macys.com/is/image/MCY/21192202 ")</f>
        <v xml:space="preserve">http://slimages.macys.com/is/image/MCY/21192202 </v>
      </c>
    </row>
    <row r="29" spans="1:14" x14ac:dyDescent="0.25">
      <c r="A29" s="21" t="s">
        <v>8041</v>
      </c>
      <c r="B29" s="22" t="s">
        <v>8042</v>
      </c>
      <c r="C29" s="2">
        <v>10</v>
      </c>
      <c r="D29" s="23">
        <v>20.58</v>
      </c>
      <c r="E29" s="3">
        <v>205.8</v>
      </c>
      <c r="F29" s="2" t="s">
        <v>8036</v>
      </c>
      <c r="G29" s="22" t="s">
        <v>19342</v>
      </c>
      <c r="H29" s="24" t="s">
        <v>19361</v>
      </c>
      <c r="I29" s="22" t="s">
        <v>19309</v>
      </c>
      <c r="J29" s="22" t="s">
        <v>19514</v>
      </c>
      <c r="K29" s="22" t="s">
        <v>10909</v>
      </c>
      <c r="L29" s="22"/>
      <c r="M29" s="22"/>
      <c r="N29" s="25" t="str">
        <f>HYPERLINK("http://slimages.macys.com/is/image/MCY/21192202 ")</f>
        <v xml:space="preserve">http://slimages.macys.com/is/image/MCY/21192202 </v>
      </c>
    </row>
    <row r="30" spans="1:14" x14ac:dyDescent="0.25">
      <c r="A30" s="21" t="s">
        <v>8230</v>
      </c>
      <c r="B30" s="22" t="s">
        <v>8231</v>
      </c>
      <c r="C30" s="2">
        <v>15</v>
      </c>
      <c r="D30" s="23">
        <v>20.58</v>
      </c>
      <c r="E30" s="3">
        <v>308.7</v>
      </c>
      <c r="F30" s="2" t="s">
        <v>8232</v>
      </c>
      <c r="G30" s="22" t="s">
        <v>19342</v>
      </c>
      <c r="H30" s="24" t="s">
        <v>19345</v>
      </c>
      <c r="I30" s="22" t="s">
        <v>19309</v>
      </c>
      <c r="J30" s="22" t="s">
        <v>19514</v>
      </c>
      <c r="K30" s="22" t="s">
        <v>10909</v>
      </c>
      <c r="L30" s="22"/>
      <c r="M30" s="22"/>
      <c r="N30" s="25" t="str">
        <f>HYPERLINK("http://slimages.macys.com/is/image/MCY/21192199 ")</f>
        <v xml:space="preserve">http://slimages.macys.com/is/image/MCY/21192199 </v>
      </c>
    </row>
    <row r="31" spans="1:14" x14ac:dyDescent="0.25">
      <c r="A31" s="21" t="s">
        <v>8034</v>
      </c>
      <c r="B31" s="22" t="s">
        <v>8035</v>
      </c>
      <c r="C31" s="2">
        <v>19</v>
      </c>
      <c r="D31" s="23">
        <v>20.58</v>
      </c>
      <c r="E31" s="3">
        <v>391.02</v>
      </c>
      <c r="F31" s="2" t="s">
        <v>8036</v>
      </c>
      <c r="G31" s="22" t="s">
        <v>19342</v>
      </c>
      <c r="H31" s="24" t="s">
        <v>19395</v>
      </c>
      <c r="I31" s="22" t="s">
        <v>19309</v>
      </c>
      <c r="J31" s="22" t="s">
        <v>19514</v>
      </c>
      <c r="K31" s="22" t="s">
        <v>10909</v>
      </c>
      <c r="L31" s="22"/>
      <c r="M31" s="22"/>
      <c r="N31" s="25" t="str">
        <f>HYPERLINK("http://slimages.macys.com/is/image/MCY/21192202 ")</f>
        <v xml:space="preserve">http://slimages.macys.com/is/image/MCY/21192202 </v>
      </c>
    </row>
    <row r="32" spans="1:14" x14ac:dyDescent="0.25">
      <c r="A32" s="21" t="s">
        <v>10906</v>
      </c>
      <c r="B32" s="22" t="s">
        <v>10907</v>
      </c>
      <c r="C32" s="2">
        <v>18</v>
      </c>
      <c r="D32" s="23">
        <v>20.58</v>
      </c>
      <c r="E32" s="3">
        <v>370.44</v>
      </c>
      <c r="F32" s="2" t="s">
        <v>10908</v>
      </c>
      <c r="G32" s="22" t="s">
        <v>19342</v>
      </c>
      <c r="H32" s="24" t="s">
        <v>19345</v>
      </c>
      <c r="I32" s="22" t="s">
        <v>19309</v>
      </c>
      <c r="J32" s="22" t="s">
        <v>19514</v>
      </c>
      <c r="K32" s="22" t="s">
        <v>10909</v>
      </c>
      <c r="L32" s="22"/>
      <c r="M32" s="22"/>
      <c r="N32" s="25" t="str">
        <f>HYPERLINK("http://slimages.macys.com/is/image/MCY/21192198 ")</f>
        <v xml:space="preserve">http://slimages.macys.com/is/image/MCY/21192198 </v>
      </c>
    </row>
    <row r="33" spans="1:14" ht="24.75" x14ac:dyDescent="0.25">
      <c r="A33" s="21" t="s">
        <v>8233</v>
      </c>
      <c r="B33" s="22" t="s">
        <v>8234</v>
      </c>
      <c r="C33" s="2">
        <v>6</v>
      </c>
      <c r="D33" s="23">
        <v>23.99</v>
      </c>
      <c r="E33" s="3">
        <v>143.94</v>
      </c>
      <c r="F33" s="2" t="s">
        <v>8235</v>
      </c>
      <c r="G33" s="22" t="s">
        <v>19342</v>
      </c>
      <c r="H33" s="24" t="s">
        <v>12028</v>
      </c>
      <c r="I33" s="22" t="s">
        <v>19309</v>
      </c>
      <c r="J33" s="22" t="s">
        <v>19696</v>
      </c>
      <c r="K33" s="22" t="s">
        <v>11557</v>
      </c>
      <c r="L33" s="22"/>
      <c r="M33" s="22"/>
      <c r="N33" s="25" t="str">
        <f>HYPERLINK("http://slimages.macys.com/is/image/MCY/20750194 ")</f>
        <v xml:space="preserve">http://slimages.macys.com/is/image/MCY/20750194 </v>
      </c>
    </row>
    <row r="34" spans="1:14" ht="24.75" x14ac:dyDescent="0.25">
      <c r="A34" s="21" t="s">
        <v>8236</v>
      </c>
      <c r="B34" s="22" t="s">
        <v>8237</v>
      </c>
      <c r="C34" s="2">
        <v>17</v>
      </c>
      <c r="D34" s="23">
        <v>24</v>
      </c>
      <c r="E34" s="3">
        <v>408</v>
      </c>
      <c r="F34" s="2" t="s">
        <v>9471</v>
      </c>
      <c r="G34" s="22"/>
      <c r="H34" s="24" t="s">
        <v>19367</v>
      </c>
      <c r="I34" s="22" t="s">
        <v>19309</v>
      </c>
      <c r="J34" s="22" t="s">
        <v>19417</v>
      </c>
      <c r="K34" s="22" t="s">
        <v>19854</v>
      </c>
      <c r="L34" s="22"/>
      <c r="M34" s="22"/>
      <c r="N34" s="25" t="str">
        <f>HYPERLINK("http://slimages.macys.com/is/image/MCY/21369970 ")</f>
        <v xml:space="preserve">http://slimages.macys.com/is/image/MCY/21369970 </v>
      </c>
    </row>
    <row r="35" spans="1:14" ht="24.75" x14ac:dyDescent="0.25">
      <c r="A35" s="21" t="s">
        <v>8238</v>
      </c>
      <c r="B35" s="22" t="s">
        <v>8239</v>
      </c>
      <c r="C35" s="2">
        <v>3</v>
      </c>
      <c r="D35" s="23">
        <v>24</v>
      </c>
      <c r="E35" s="3">
        <v>72</v>
      </c>
      <c r="F35" s="2" t="s">
        <v>10949</v>
      </c>
      <c r="G35" s="22" t="s">
        <v>19351</v>
      </c>
      <c r="H35" s="24" t="s">
        <v>19367</v>
      </c>
      <c r="I35" s="22" t="s">
        <v>19309</v>
      </c>
      <c r="J35" s="22" t="s">
        <v>19417</v>
      </c>
      <c r="K35" s="22" t="s">
        <v>19854</v>
      </c>
      <c r="L35" s="22"/>
      <c r="M35" s="22"/>
      <c r="N35" s="25" t="str">
        <f>HYPERLINK("http://slimages.macys.com/is/image/MCY/21369853 ")</f>
        <v xml:space="preserve">http://slimages.macys.com/is/image/MCY/21369853 </v>
      </c>
    </row>
    <row r="36" spans="1:14" ht="24.75" x14ac:dyDescent="0.25">
      <c r="A36" s="21" t="s">
        <v>8240</v>
      </c>
      <c r="B36" s="22" t="s">
        <v>8241</v>
      </c>
      <c r="C36" s="2">
        <v>6</v>
      </c>
      <c r="D36" s="23">
        <v>24</v>
      </c>
      <c r="E36" s="3">
        <v>144</v>
      </c>
      <c r="F36" s="2" t="s">
        <v>8051</v>
      </c>
      <c r="G36" s="22"/>
      <c r="H36" s="24" t="s">
        <v>19367</v>
      </c>
      <c r="I36" s="22" t="s">
        <v>19309</v>
      </c>
      <c r="J36" s="22" t="s">
        <v>19417</v>
      </c>
      <c r="K36" s="22" t="s">
        <v>19854</v>
      </c>
      <c r="L36" s="22"/>
      <c r="M36" s="22"/>
      <c r="N36" s="25" t="str">
        <f>HYPERLINK("http://slimages.macys.com/is/image/MCY/21362805 ")</f>
        <v xml:space="preserve">http://slimages.macys.com/is/image/MCY/21362805 </v>
      </c>
    </row>
    <row r="37" spans="1:14" ht="24.75" x14ac:dyDescent="0.25">
      <c r="A37" s="21" t="s">
        <v>8242</v>
      </c>
      <c r="B37" s="22" t="s">
        <v>8243</v>
      </c>
      <c r="C37" s="2">
        <v>10</v>
      </c>
      <c r="D37" s="23">
        <v>24</v>
      </c>
      <c r="E37" s="3">
        <v>240</v>
      </c>
      <c r="F37" s="2" t="s">
        <v>10949</v>
      </c>
      <c r="G37" s="22" t="s">
        <v>19351</v>
      </c>
      <c r="H37" s="24" t="s">
        <v>19770</v>
      </c>
      <c r="I37" s="22" t="s">
        <v>19309</v>
      </c>
      <c r="J37" s="22" t="s">
        <v>19417</v>
      </c>
      <c r="K37" s="22" t="s">
        <v>19854</v>
      </c>
      <c r="L37" s="22"/>
      <c r="M37" s="22"/>
      <c r="N37" s="25" t="str">
        <f>HYPERLINK("http://slimages.macys.com/is/image/MCY/21369853 ")</f>
        <v xml:space="preserve">http://slimages.macys.com/is/image/MCY/21369853 </v>
      </c>
    </row>
    <row r="38" spans="1:14" ht="24.75" x14ac:dyDescent="0.25">
      <c r="A38" s="21" t="s">
        <v>8244</v>
      </c>
      <c r="B38" s="22" t="s">
        <v>8245</v>
      </c>
      <c r="C38" s="2">
        <v>10</v>
      </c>
      <c r="D38" s="23">
        <v>24</v>
      </c>
      <c r="E38" s="3">
        <v>240</v>
      </c>
      <c r="F38" s="2" t="s">
        <v>10937</v>
      </c>
      <c r="G38" s="22" t="s">
        <v>19404</v>
      </c>
      <c r="H38" s="24" t="s">
        <v>19330</v>
      </c>
      <c r="I38" s="22" t="s">
        <v>19309</v>
      </c>
      <c r="J38" s="22" t="s">
        <v>19417</v>
      </c>
      <c r="K38" s="22" t="s">
        <v>19854</v>
      </c>
      <c r="L38" s="22"/>
      <c r="M38" s="22"/>
      <c r="N38" s="25" t="str">
        <f>HYPERLINK("http://slimages.macys.com/is/image/MCY/21370054 ")</f>
        <v xml:space="preserve">http://slimages.macys.com/is/image/MCY/21370054 </v>
      </c>
    </row>
    <row r="39" spans="1:14" x14ac:dyDescent="0.25">
      <c r="A39" s="21" t="s">
        <v>8246</v>
      </c>
      <c r="B39" s="22" t="s">
        <v>8247</v>
      </c>
      <c r="C39" s="2">
        <v>1</v>
      </c>
      <c r="D39" s="23">
        <v>21.99</v>
      </c>
      <c r="E39" s="3">
        <v>21.99</v>
      </c>
      <c r="F39" s="2" t="s">
        <v>10979</v>
      </c>
      <c r="G39" s="22" t="s">
        <v>19342</v>
      </c>
      <c r="H39" s="24" t="s">
        <v>19478</v>
      </c>
      <c r="I39" s="22" t="s">
        <v>19309</v>
      </c>
      <c r="J39" s="22" t="s">
        <v>19696</v>
      </c>
      <c r="K39" s="22" t="s">
        <v>19965</v>
      </c>
      <c r="L39" s="22"/>
      <c r="M39" s="22"/>
      <c r="N39" s="25" t="str">
        <f>HYPERLINK("http://slimages.macys.com/is/image/MCY/20662595 ")</f>
        <v xml:space="preserve">http://slimages.macys.com/is/image/MCY/20662595 </v>
      </c>
    </row>
    <row r="40" spans="1:14" x14ac:dyDescent="0.25">
      <c r="A40" s="21" t="s">
        <v>8248</v>
      </c>
      <c r="B40" s="22" t="s">
        <v>8249</v>
      </c>
      <c r="C40" s="2">
        <v>12</v>
      </c>
      <c r="D40" s="23">
        <v>21.99</v>
      </c>
      <c r="E40" s="3">
        <v>263.88</v>
      </c>
      <c r="F40" s="2" t="s">
        <v>8250</v>
      </c>
      <c r="G40" s="22" t="s">
        <v>19342</v>
      </c>
      <c r="H40" s="24" t="s">
        <v>19542</v>
      </c>
      <c r="I40" s="22" t="s">
        <v>19309</v>
      </c>
      <c r="J40" s="22" t="s">
        <v>19696</v>
      </c>
      <c r="K40" s="22" t="s">
        <v>19697</v>
      </c>
      <c r="L40" s="22"/>
      <c r="M40" s="22"/>
      <c r="N40" s="25" t="str">
        <f>HYPERLINK("http://slimages.macys.com/is/image/MCY/21836768 ")</f>
        <v xml:space="preserve">http://slimages.macys.com/is/image/MCY/21836768 </v>
      </c>
    </row>
    <row r="41" spans="1:14" x14ac:dyDescent="0.25">
      <c r="A41" s="21" t="s">
        <v>18016</v>
      </c>
      <c r="B41" s="22" t="s">
        <v>18017</v>
      </c>
      <c r="C41" s="2">
        <v>11</v>
      </c>
      <c r="D41" s="23">
        <v>21.99</v>
      </c>
      <c r="E41" s="3">
        <v>241.89</v>
      </c>
      <c r="F41" s="2" t="s">
        <v>18018</v>
      </c>
      <c r="G41" s="22" t="s">
        <v>19342</v>
      </c>
      <c r="H41" s="24" t="s">
        <v>19478</v>
      </c>
      <c r="I41" s="22" t="s">
        <v>19309</v>
      </c>
      <c r="J41" s="22" t="s">
        <v>19696</v>
      </c>
      <c r="K41" s="22" t="s">
        <v>19965</v>
      </c>
      <c r="L41" s="22"/>
      <c r="M41" s="22"/>
      <c r="N41" s="25" t="str">
        <f>HYPERLINK("http://slimages.macys.com/is/image/MCY/21530622 ")</f>
        <v xml:space="preserve">http://slimages.macys.com/is/image/MCY/21530622 </v>
      </c>
    </row>
    <row r="42" spans="1:14" x14ac:dyDescent="0.25">
      <c r="A42" s="21" t="s">
        <v>11982</v>
      </c>
      <c r="B42" s="22" t="s">
        <v>11983</v>
      </c>
      <c r="C42" s="2">
        <v>5</v>
      </c>
      <c r="D42" s="23">
        <v>21.99</v>
      </c>
      <c r="E42" s="3">
        <v>109.95</v>
      </c>
      <c r="F42" s="2" t="s">
        <v>18018</v>
      </c>
      <c r="G42" s="22" t="s">
        <v>19342</v>
      </c>
      <c r="H42" s="24" t="s">
        <v>19395</v>
      </c>
      <c r="I42" s="22" t="s">
        <v>19309</v>
      </c>
      <c r="J42" s="22" t="s">
        <v>19696</v>
      </c>
      <c r="K42" s="22" t="s">
        <v>19965</v>
      </c>
      <c r="L42" s="22"/>
      <c r="M42" s="22"/>
      <c r="N42" s="25" t="str">
        <f>HYPERLINK("http://slimages.macys.com/is/image/MCY/21530623 ")</f>
        <v xml:space="preserve">http://slimages.macys.com/is/image/MCY/21530623 </v>
      </c>
    </row>
    <row r="43" spans="1:14" x14ac:dyDescent="0.25">
      <c r="A43" s="21" t="s">
        <v>8251</v>
      </c>
      <c r="B43" s="22" t="s">
        <v>8252</v>
      </c>
      <c r="C43" s="2">
        <v>16</v>
      </c>
      <c r="D43" s="23">
        <v>21.99</v>
      </c>
      <c r="E43" s="3">
        <v>351.84</v>
      </c>
      <c r="F43" s="2" t="s">
        <v>8250</v>
      </c>
      <c r="G43" s="22" t="s">
        <v>19342</v>
      </c>
      <c r="H43" s="24" t="s">
        <v>19395</v>
      </c>
      <c r="I43" s="22" t="s">
        <v>19309</v>
      </c>
      <c r="J43" s="22" t="s">
        <v>19696</v>
      </c>
      <c r="K43" s="22" t="s">
        <v>19697</v>
      </c>
      <c r="L43" s="22"/>
      <c r="M43" s="22"/>
      <c r="N43" s="25" t="str">
        <f>HYPERLINK("http://slimages.macys.com/is/image/MCY/21836768 ")</f>
        <v xml:space="preserve">http://slimages.macys.com/is/image/MCY/21836768 </v>
      </c>
    </row>
    <row r="44" spans="1:14" x14ac:dyDescent="0.25">
      <c r="A44" s="21" t="s">
        <v>9500</v>
      </c>
      <c r="B44" s="22" t="s">
        <v>9501</v>
      </c>
      <c r="C44" s="2">
        <v>12</v>
      </c>
      <c r="D44" s="23">
        <v>21.99</v>
      </c>
      <c r="E44" s="3">
        <v>263.88</v>
      </c>
      <c r="F44" s="2" t="s">
        <v>19964</v>
      </c>
      <c r="G44" s="22" t="s">
        <v>19342</v>
      </c>
      <c r="H44" s="24" t="s">
        <v>19395</v>
      </c>
      <c r="I44" s="22" t="s">
        <v>19309</v>
      </c>
      <c r="J44" s="22" t="s">
        <v>19696</v>
      </c>
      <c r="K44" s="22" t="s">
        <v>19965</v>
      </c>
      <c r="L44" s="22"/>
      <c r="M44" s="22"/>
      <c r="N44" s="25" t="str">
        <f>HYPERLINK("http://slimages.macys.com/is/image/MCY/21355968 ")</f>
        <v xml:space="preserve">http://slimages.macys.com/is/image/MCY/21355968 </v>
      </c>
    </row>
    <row r="45" spans="1:14" x14ac:dyDescent="0.25">
      <c r="A45" s="21" t="s">
        <v>8061</v>
      </c>
      <c r="B45" s="22" t="s">
        <v>8062</v>
      </c>
      <c r="C45" s="2">
        <v>4</v>
      </c>
      <c r="D45" s="23">
        <v>21.99</v>
      </c>
      <c r="E45" s="3">
        <v>87.96</v>
      </c>
      <c r="F45" s="2" t="s">
        <v>19964</v>
      </c>
      <c r="G45" s="22" t="s">
        <v>19342</v>
      </c>
      <c r="H45" s="24" t="s">
        <v>19542</v>
      </c>
      <c r="I45" s="22" t="s">
        <v>19309</v>
      </c>
      <c r="J45" s="22" t="s">
        <v>19696</v>
      </c>
      <c r="K45" s="22" t="s">
        <v>19965</v>
      </c>
      <c r="L45" s="22"/>
      <c r="M45" s="22"/>
      <c r="N45" s="25" t="str">
        <f>HYPERLINK("http://slimages.macys.com/is/image/MCY/21355968 ")</f>
        <v xml:space="preserve">http://slimages.macys.com/is/image/MCY/21355968 </v>
      </c>
    </row>
    <row r="46" spans="1:14" ht="24.75" x14ac:dyDescent="0.25">
      <c r="A46" s="21" t="s">
        <v>8071</v>
      </c>
      <c r="B46" s="22" t="s">
        <v>8072</v>
      </c>
      <c r="C46" s="2">
        <v>9</v>
      </c>
      <c r="D46" s="23">
        <v>20.99</v>
      </c>
      <c r="E46" s="3">
        <v>188.91</v>
      </c>
      <c r="F46" s="2" t="s">
        <v>8073</v>
      </c>
      <c r="G46" s="22" t="s">
        <v>19342</v>
      </c>
      <c r="H46" s="24" t="s">
        <v>19324</v>
      </c>
      <c r="I46" s="22" t="s">
        <v>19309</v>
      </c>
      <c r="J46" s="22" t="s">
        <v>19385</v>
      </c>
      <c r="K46" s="22" t="s">
        <v>18064</v>
      </c>
      <c r="L46" s="22"/>
      <c r="M46" s="22"/>
      <c r="N46" s="25" t="str">
        <f>HYPERLINK("http://slimages.macys.com/is/image/MCY/21484170 ")</f>
        <v xml:space="preserve">http://slimages.macys.com/is/image/MCY/21484170 </v>
      </c>
    </row>
    <row r="47" spans="1:14" ht="24.75" x14ac:dyDescent="0.25">
      <c r="A47" s="21" t="s">
        <v>10984</v>
      </c>
      <c r="B47" s="22" t="s">
        <v>10985</v>
      </c>
      <c r="C47" s="2">
        <v>10</v>
      </c>
      <c r="D47" s="23">
        <v>29.5</v>
      </c>
      <c r="E47" s="3">
        <v>295</v>
      </c>
      <c r="F47" s="2" t="s">
        <v>10986</v>
      </c>
      <c r="G47" s="22" t="s">
        <v>19594</v>
      </c>
      <c r="H47" s="24" t="s">
        <v>18139</v>
      </c>
      <c r="I47" s="22" t="s">
        <v>19309</v>
      </c>
      <c r="J47" s="22" t="s">
        <v>20104</v>
      </c>
      <c r="K47" s="22" t="s">
        <v>20105</v>
      </c>
      <c r="L47" s="22"/>
      <c r="M47" s="22"/>
      <c r="N47" s="25" t="str">
        <f>HYPERLINK("http://slimages.macys.com/is/image/MCY/21254194 ")</f>
        <v xml:space="preserve">http://slimages.macys.com/is/image/MCY/21254194 </v>
      </c>
    </row>
    <row r="48" spans="1:14" ht="24.75" x14ac:dyDescent="0.25">
      <c r="A48" s="21" t="s">
        <v>9505</v>
      </c>
      <c r="B48" s="22" t="s">
        <v>9506</v>
      </c>
      <c r="C48" s="2">
        <v>8</v>
      </c>
      <c r="D48" s="23">
        <v>29.5</v>
      </c>
      <c r="E48" s="3">
        <v>236</v>
      </c>
      <c r="F48" s="2" t="s">
        <v>10986</v>
      </c>
      <c r="G48" s="22" t="s">
        <v>19594</v>
      </c>
      <c r="H48" s="24" t="s">
        <v>11751</v>
      </c>
      <c r="I48" s="22" t="s">
        <v>19309</v>
      </c>
      <c r="J48" s="22" t="s">
        <v>20104</v>
      </c>
      <c r="K48" s="22" t="s">
        <v>20105</v>
      </c>
      <c r="L48" s="22"/>
      <c r="M48" s="22"/>
      <c r="N48" s="25" t="str">
        <f>HYPERLINK("http://slimages.macys.com/is/image/MCY/21254194 ")</f>
        <v xml:space="preserve">http://slimages.macys.com/is/image/MCY/21254194 </v>
      </c>
    </row>
    <row r="49" spans="1:14" x14ac:dyDescent="0.25">
      <c r="A49" s="21" t="s">
        <v>9509</v>
      </c>
      <c r="B49" s="22" t="s">
        <v>9510</v>
      </c>
      <c r="C49" s="2">
        <v>7</v>
      </c>
      <c r="D49" s="23">
        <v>18.989999999999998</v>
      </c>
      <c r="E49" s="3">
        <v>132.93</v>
      </c>
      <c r="F49" s="2" t="s">
        <v>9511</v>
      </c>
      <c r="G49" s="22" t="s">
        <v>19333</v>
      </c>
      <c r="H49" s="24"/>
      <c r="I49" s="22" t="s">
        <v>19309</v>
      </c>
      <c r="J49" s="22" t="s">
        <v>19696</v>
      </c>
      <c r="K49" s="22" t="s">
        <v>18094</v>
      </c>
      <c r="L49" s="22"/>
      <c r="M49" s="22"/>
      <c r="N49" s="25" t="str">
        <f>HYPERLINK("http://slimages.macys.com/is/image/MCY/21408593 ")</f>
        <v xml:space="preserve">http://slimages.macys.com/is/image/MCY/21408593 </v>
      </c>
    </row>
    <row r="50" spans="1:14" x14ac:dyDescent="0.25">
      <c r="A50" s="21" t="s">
        <v>12036</v>
      </c>
      <c r="B50" s="22" t="s">
        <v>12037</v>
      </c>
      <c r="C50" s="2">
        <v>10</v>
      </c>
      <c r="D50" s="23">
        <v>18.989999999999998</v>
      </c>
      <c r="E50" s="3">
        <v>189.9</v>
      </c>
      <c r="F50" s="2" t="s">
        <v>12038</v>
      </c>
      <c r="G50" s="22" t="s">
        <v>19467</v>
      </c>
      <c r="H50" s="24"/>
      <c r="I50" s="22" t="s">
        <v>19309</v>
      </c>
      <c r="J50" s="22" t="s">
        <v>19696</v>
      </c>
      <c r="K50" s="22" t="s">
        <v>18094</v>
      </c>
      <c r="L50" s="22"/>
      <c r="M50" s="22"/>
      <c r="N50" s="25" t="str">
        <f>HYPERLINK("http://slimages.macys.com/is/image/MCY/21408518 ")</f>
        <v xml:space="preserve">http://slimages.macys.com/is/image/MCY/21408518 </v>
      </c>
    </row>
    <row r="51" spans="1:14" x14ac:dyDescent="0.25">
      <c r="A51" s="21" t="s">
        <v>8080</v>
      </c>
      <c r="B51" s="22" t="s">
        <v>8081</v>
      </c>
      <c r="C51" s="2">
        <v>30</v>
      </c>
      <c r="D51" s="23">
        <v>19.989999999999998</v>
      </c>
      <c r="E51" s="3">
        <v>599.70000000000005</v>
      </c>
      <c r="F51" s="2" t="s">
        <v>8079</v>
      </c>
      <c r="G51" s="22" t="s">
        <v>19342</v>
      </c>
      <c r="H51" s="24" t="s">
        <v>19478</v>
      </c>
      <c r="I51" s="22" t="s">
        <v>19309</v>
      </c>
      <c r="J51" s="22" t="s">
        <v>19696</v>
      </c>
      <c r="K51" s="22" t="s">
        <v>19965</v>
      </c>
      <c r="L51" s="22"/>
      <c r="M51" s="22"/>
      <c r="N51" s="25" t="str">
        <f>HYPERLINK("http://slimages.macys.com/is/image/MCY/21689633 ")</f>
        <v xml:space="preserve">http://slimages.macys.com/is/image/MCY/21689633 </v>
      </c>
    </row>
    <row r="52" spans="1:14" ht="24.75" x14ac:dyDescent="0.25">
      <c r="A52" s="21" t="s">
        <v>8253</v>
      </c>
      <c r="B52" s="22" t="s">
        <v>8254</v>
      </c>
      <c r="C52" s="2">
        <v>8</v>
      </c>
      <c r="D52" s="23">
        <v>20</v>
      </c>
      <c r="E52" s="3">
        <v>160</v>
      </c>
      <c r="F52" s="2" t="s">
        <v>8255</v>
      </c>
      <c r="G52" s="22"/>
      <c r="H52" s="24" t="s">
        <v>20159</v>
      </c>
      <c r="I52" s="22" t="s">
        <v>19309</v>
      </c>
      <c r="J52" s="22" t="s">
        <v>19417</v>
      </c>
      <c r="K52" s="22" t="s">
        <v>19854</v>
      </c>
      <c r="L52" s="22"/>
      <c r="M52" s="22"/>
      <c r="N52" s="25" t="str">
        <f>HYPERLINK("http://slimages.macys.com/is/image/MCY/21363102 ")</f>
        <v xml:space="preserve">http://slimages.macys.com/is/image/MCY/21363102 </v>
      </c>
    </row>
    <row r="53" spans="1:14" ht="24.75" x14ac:dyDescent="0.25">
      <c r="A53" s="21" t="s">
        <v>8256</v>
      </c>
      <c r="B53" s="22" t="s">
        <v>8257</v>
      </c>
      <c r="C53" s="2">
        <v>2</v>
      </c>
      <c r="D53" s="23">
        <v>25</v>
      </c>
      <c r="E53" s="3">
        <v>50</v>
      </c>
      <c r="F53" s="2" t="s">
        <v>9527</v>
      </c>
      <c r="G53" s="22" t="s">
        <v>19333</v>
      </c>
      <c r="H53" s="24" t="s">
        <v>19797</v>
      </c>
      <c r="I53" s="22" t="s">
        <v>19309</v>
      </c>
      <c r="J53" s="22" t="s">
        <v>19559</v>
      </c>
      <c r="K53" s="22" t="s">
        <v>13057</v>
      </c>
      <c r="L53" s="22"/>
      <c r="M53" s="22"/>
      <c r="N53" s="25" t="str">
        <f>HYPERLINK("http://slimages.macys.com/is/image/MCY/21443646 ")</f>
        <v xml:space="preserve">http://slimages.macys.com/is/image/MCY/21443646 </v>
      </c>
    </row>
    <row r="54" spans="1:14" ht="24.75" x14ac:dyDescent="0.25">
      <c r="A54" s="21" t="s">
        <v>12089</v>
      </c>
      <c r="B54" s="22" t="s">
        <v>12090</v>
      </c>
      <c r="C54" s="2">
        <v>2</v>
      </c>
      <c r="D54" s="23">
        <v>12.99</v>
      </c>
      <c r="E54" s="3">
        <v>25.98</v>
      </c>
      <c r="F54" s="2" t="s">
        <v>20141</v>
      </c>
      <c r="G54" s="22" t="s">
        <v>19585</v>
      </c>
      <c r="H54" s="24" t="s">
        <v>19364</v>
      </c>
      <c r="I54" s="22" t="s">
        <v>19309</v>
      </c>
      <c r="J54" s="22" t="s">
        <v>19447</v>
      </c>
      <c r="K54" s="22" t="s">
        <v>19873</v>
      </c>
      <c r="L54" s="22"/>
      <c r="M54" s="22"/>
      <c r="N54" s="25" t="str">
        <f>HYPERLINK("http://slimages.macys.com/is/image/MCY/21122038 ")</f>
        <v xml:space="preserve">http://slimages.macys.com/is/image/MCY/21122038 </v>
      </c>
    </row>
    <row r="55" spans="1:14" ht="24.75" x14ac:dyDescent="0.25">
      <c r="A55" s="21" t="s">
        <v>8258</v>
      </c>
      <c r="B55" s="22" t="s">
        <v>8259</v>
      </c>
      <c r="C55" s="2">
        <v>14</v>
      </c>
      <c r="D55" s="23">
        <v>15.99</v>
      </c>
      <c r="E55" s="3">
        <v>223.86</v>
      </c>
      <c r="F55" s="2" t="s">
        <v>9539</v>
      </c>
      <c r="G55" s="22" t="s">
        <v>19333</v>
      </c>
      <c r="H55" s="24" t="s">
        <v>19334</v>
      </c>
      <c r="I55" s="22" t="s">
        <v>19309</v>
      </c>
      <c r="J55" s="22" t="s">
        <v>19519</v>
      </c>
      <c r="K55" s="22" t="s">
        <v>17725</v>
      </c>
      <c r="L55" s="22"/>
      <c r="M55" s="22"/>
      <c r="N55" s="25" t="str">
        <f>HYPERLINK("http://slimages.macys.com/is/image/MCY/21141716 ")</f>
        <v xml:space="preserve">http://slimages.macys.com/is/image/MCY/21141716 </v>
      </c>
    </row>
    <row r="56" spans="1:14" ht="24.75" x14ac:dyDescent="0.25">
      <c r="A56" s="21" t="s">
        <v>8260</v>
      </c>
      <c r="B56" s="22" t="s">
        <v>8261</v>
      </c>
      <c r="C56" s="2">
        <v>8</v>
      </c>
      <c r="D56" s="23">
        <v>20.99</v>
      </c>
      <c r="E56" s="3">
        <v>167.92</v>
      </c>
      <c r="F56" s="2" t="s">
        <v>8262</v>
      </c>
      <c r="G56" s="22" t="s">
        <v>19422</v>
      </c>
      <c r="H56" s="24" t="s">
        <v>19542</v>
      </c>
      <c r="I56" s="22" t="s">
        <v>19309</v>
      </c>
      <c r="J56" s="22" t="s">
        <v>19595</v>
      </c>
      <c r="K56" s="22" t="s">
        <v>8263</v>
      </c>
      <c r="L56" s="22"/>
      <c r="M56" s="22"/>
      <c r="N56" s="25" t="str">
        <f>HYPERLINK("http://slimages.macys.com/is/image/MCY/19996133 ")</f>
        <v xml:space="preserve">http://slimages.macys.com/is/image/MCY/19996133 </v>
      </c>
    </row>
    <row r="57" spans="1:14" x14ac:dyDescent="0.25">
      <c r="A57" s="21" t="s">
        <v>11013</v>
      </c>
      <c r="B57" s="22" t="s">
        <v>11014</v>
      </c>
      <c r="C57" s="2">
        <v>12</v>
      </c>
      <c r="D57" s="23">
        <v>17.989999999999998</v>
      </c>
      <c r="E57" s="3">
        <v>215.88</v>
      </c>
      <c r="F57" s="2" t="s">
        <v>11012</v>
      </c>
      <c r="G57" s="22" t="s">
        <v>19342</v>
      </c>
      <c r="H57" s="24" t="s">
        <v>19334</v>
      </c>
      <c r="I57" s="22" t="s">
        <v>19309</v>
      </c>
      <c r="J57" s="22" t="s">
        <v>19696</v>
      </c>
      <c r="K57" s="22" t="s">
        <v>19697</v>
      </c>
      <c r="L57" s="22"/>
      <c r="M57" s="22"/>
      <c r="N57" s="25" t="str">
        <f>HYPERLINK("http://slimages.macys.com/is/image/MCY/21642765 ")</f>
        <v xml:space="preserve">http://slimages.macys.com/is/image/MCY/21642765 </v>
      </c>
    </row>
    <row r="58" spans="1:14" x14ac:dyDescent="0.25">
      <c r="A58" s="21" t="s">
        <v>8264</v>
      </c>
      <c r="B58" s="22" t="s">
        <v>8265</v>
      </c>
      <c r="C58" s="2">
        <v>1</v>
      </c>
      <c r="D58" s="23">
        <v>32</v>
      </c>
      <c r="E58" s="3">
        <v>32</v>
      </c>
      <c r="F58" s="2" t="s">
        <v>8266</v>
      </c>
      <c r="G58" s="22" t="s">
        <v>19338</v>
      </c>
      <c r="H58" s="24" t="s">
        <v>19538</v>
      </c>
      <c r="I58" s="22" t="s">
        <v>19309</v>
      </c>
      <c r="J58" s="22" t="s">
        <v>19417</v>
      </c>
      <c r="K58" s="22" t="s">
        <v>20110</v>
      </c>
      <c r="L58" s="22"/>
      <c r="M58" s="22"/>
      <c r="N58" s="25" t="str">
        <f>HYPERLINK("http://slimages.macys.com/is/image/MCY/19651972 ")</f>
        <v xml:space="preserve">http://slimages.macys.com/is/image/MCY/19651972 </v>
      </c>
    </row>
    <row r="59" spans="1:14" ht="24.75" x14ac:dyDescent="0.25">
      <c r="A59" s="21" t="s">
        <v>8267</v>
      </c>
      <c r="B59" s="22" t="s">
        <v>8268</v>
      </c>
      <c r="C59" s="2">
        <v>12</v>
      </c>
      <c r="D59" s="23">
        <v>17.989999999999998</v>
      </c>
      <c r="E59" s="3">
        <v>215.88</v>
      </c>
      <c r="F59" s="2" t="s">
        <v>8269</v>
      </c>
      <c r="G59" s="22" t="s">
        <v>19342</v>
      </c>
      <c r="H59" s="24" t="s">
        <v>19334</v>
      </c>
      <c r="I59" s="22" t="s">
        <v>19309</v>
      </c>
      <c r="J59" s="22" t="s">
        <v>19696</v>
      </c>
      <c r="K59" s="22" t="s">
        <v>19965</v>
      </c>
      <c r="L59" s="22"/>
      <c r="M59" s="22"/>
      <c r="N59" s="25" t="str">
        <f>HYPERLINK("http://slimages.macys.com/is/image/MCY/20145302 ")</f>
        <v xml:space="preserve">http://slimages.macys.com/is/image/MCY/20145302 </v>
      </c>
    </row>
    <row r="60" spans="1:14" x14ac:dyDescent="0.25">
      <c r="A60" s="21" t="s">
        <v>8270</v>
      </c>
      <c r="B60" s="22" t="s">
        <v>8271</v>
      </c>
      <c r="C60" s="2">
        <v>5</v>
      </c>
      <c r="D60" s="23">
        <v>15.99</v>
      </c>
      <c r="E60" s="3">
        <v>79.95</v>
      </c>
      <c r="F60" s="2" t="s">
        <v>18227</v>
      </c>
      <c r="G60" s="22" t="s">
        <v>19315</v>
      </c>
      <c r="H60" s="24" t="s">
        <v>19364</v>
      </c>
      <c r="I60" s="22" t="s">
        <v>19309</v>
      </c>
      <c r="J60" s="22" t="s">
        <v>19849</v>
      </c>
      <c r="K60" s="22" t="s">
        <v>19850</v>
      </c>
      <c r="L60" s="22"/>
      <c r="M60" s="22"/>
      <c r="N60" s="25" t="str">
        <f>HYPERLINK("http://slimages.macys.com/is/image/MCY/1521344 ")</f>
        <v xml:space="preserve">http://slimages.macys.com/is/image/MCY/1521344 </v>
      </c>
    </row>
    <row r="61" spans="1:14" x14ac:dyDescent="0.25">
      <c r="A61" s="21" t="s">
        <v>8106</v>
      </c>
      <c r="B61" s="22" t="s">
        <v>11049</v>
      </c>
      <c r="C61" s="2">
        <v>12</v>
      </c>
      <c r="D61" s="23">
        <v>30</v>
      </c>
      <c r="E61" s="3">
        <v>360</v>
      </c>
      <c r="F61" s="2" t="s">
        <v>11044</v>
      </c>
      <c r="G61" s="22" t="s">
        <v>19333</v>
      </c>
      <c r="H61" s="24" t="s">
        <v>19538</v>
      </c>
      <c r="I61" s="22" t="s">
        <v>19309</v>
      </c>
      <c r="J61" s="22" t="s">
        <v>19417</v>
      </c>
      <c r="K61" s="22" t="s">
        <v>18317</v>
      </c>
      <c r="L61" s="22"/>
      <c r="M61" s="22"/>
      <c r="N61" s="25" t="str">
        <f>HYPERLINK("http://slimages.macys.com/is/image/MCY/22226519 ")</f>
        <v xml:space="preserve">http://slimages.macys.com/is/image/MCY/22226519 </v>
      </c>
    </row>
    <row r="62" spans="1:14" x14ac:dyDescent="0.25">
      <c r="A62" s="21" t="s">
        <v>8103</v>
      </c>
      <c r="B62" s="22" t="s">
        <v>8104</v>
      </c>
      <c r="C62" s="2">
        <v>12</v>
      </c>
      <c r="D62" s="23">
        <v>30</v>
      </c>
      <c r="E62" s="3">
        <v>360</v>
      </c>
      <c r="F62" s="2" t="s">
        <v>8105</v>
      </c>
      <c r="G62" s="22" t="s">
        <v>19333</v>
      </c>
      <c r="H62" s="24"/>
      <c r="I62" s="22" t="s">
        <v>19309</v>
      </c>
      <c r="J62" s="22" t="s">
        <v>19417</v>
      </c>
      <c r="K62" s="22" t="s">
        <v>18317</v>
      </c>
      <c r="L62" s="22"/>
      <c r="M62" s="22"/>
      <c r="N62" s="25" t="str">
        <f>HYPERLINK("http://slimages.macys.com/is/image/MCY/22226519 ")</f>
        <v xml:space="preserve">http://slimages.macys.com/is/image/MCY/22226519 </v>
      </c>
    </row>
    <row r="63" spans="1:14" x14ac:dyDescent="0.25">
      <c r="A63" s="21" t="s">
        <v>12175</v>
      </c>
      <c r="B63" s="22" t="s">
        <v>12176</v>
      </c>
      <c r="C63" s="2">
        <v>1</v>
      </c>
      <c r="D63" s="23">
        <v>30</v>
      </c>
      <c r="E63" s="3">
        <v>30</v>
      </c>
      <c r="F63" s="2" t="s">
        <v>12177</v>
      </c>
      <c r="G63" s="22" t="s">
        <v>19357</v>
      </c>
      <c r="H63" s="24"/>
      <c r="I63" s="22" t="s">
        <v>19309</v>
      </c>
      <c r="J63" s="22" t="s">
        <v>19417</v>
      </c>
      <c r="K63" s="22" t="s">
        <v>18317</v>
      </c>
      <c r="L63" s="22"/>
      <c r="M63" s="22"/>
      <c r="N63" s="25" t="str">
        <f>HYPERLINK("http://slimages.macys.com/is/image/MCY/21615012 ")</f>
        <v xml:space="preserve">http://slimages.macys.com/is/image/MCY/21615012 </v>
      </c>
    </row>
    <row r="64" spans="1:14" ht="24.75" x14ac:dyDescent="0.25">
      <c r="A64" s="21" t="s">
        <v>8097</v>
      </c>
      <c r="B64" s="22" t="s">
        <v>8098</v>
      </c>
      <c r="C64" s="2">
        <v>18</v>
      </c>
      <c r="D64" s="23">
        <v>30</v>
      </c>
      <c r="E64" s="3">
        <v>540</v>
      </c>
      <c r="F64" s="2" t="s">
        <v>8099</v>
      </c>
      <c r="G64" s="22" t="s">
        <v>19333</v>
      </c>
      <c r="H64" s="24"/>
      <c r="I64" s="22" t="s">
        <v>19309</v>
      </c>
      <c r="J64" s="22" t="s">
        <v>19417</v>
      </c>
      <c r="K64" s="22" t="s">
        <v>18317</v>
      </c>
      <c r="L64" s="22"/>
      <c r="M64" s="22"/>
      <c r="N64" s="25" t="str">
        <f>HYPERLINK("http://slimages.macys.com/is/image/MCY/22226509 ")</f>
        <v xml:space="preserve">http://slimages.macys.com/is/image/MCY/22226509 </v>
      </c>
    </row>
    <row r="65" spans="1:14" x14ac:dyDescent="0.25">
      <c r="A65" s="21" t="s">
        <v>9554</v>
      </c>
      <c r="B65" s="22" t="s">
        <v>11043</v>
      </c>
      <c r="C65" s="2">
        <v>6</v>
      </c>
      <c r="D65" s="23">
        <v>30</v>
      </c>
      <c r="E65" s="3">
        <v>180</v>
      </c>
      <c r="F65" s="2" t="s">
        <v>11050</v>
      </c>
      <c r="G65" s="22" t="s">
        <v>19333</v>
      </c>
      <c r="H65" s="24"/>
      <c r="I65" s="22" t="s">
        <v>19309</v>
      </c>
      <c r="J65" s="22" t="s">
        <v>19417</v>
      </c>
      <c r="K65" s="22" t="s">
        <v>18317</v>
      </c>
      <c r="L65" s="22"/>
      <c r="M65" s="22"/>
      <c r="N65" s="25" t="str">
        <f>HYPERLINK("http://slimages.macys.com/is/image/MCY/22226507 ")</f>
        <v xml:space="preserve">http://slimages.macys.com/is/image/MCY/22226507 </v>
      </c>
    </row>
    <row r="66" spans="1:14" x14ac:dyDescent="0.25">
      <c r="A66" s="21" t="s">
        <v>8272</v>
      </c>
      <c r="B66" s="22" t="s">
        <v>8273</v>
      </c>
      <c r="C66" s="2">
        <v>6</v>
      </c>
      <c r="D66" s="23">
        <v>30</v>
      </c>
      <c r="E66" s="3">
        <v>180</v>
      </c>
      <c r="F66" s="2" t="s">
        <v>8274</v>
      </c>
      <c r="G66" s="22" t="s">
        <v>19333</v>
      </c>
      <c r="H66" s="24" t="s">
        <v>19324</v>
      </c>
      <c r="I66" s="22" t="s">
        <v>19309</v>
      </c>
      <c r="J66" s="22" t="s">
        <v>19417</v>
      </c>
      <c r="K66" s="22" t="s">
        <v>18317</v>
      </c>
      <c r="L66" s="22"/>
      <c r="M66" s="22"/>
      <c r="N66" s="25" t="str">
        <f>HYPERLINK("http://slimages.macys.com/is/image/MCY/22226507 ")</f>
        <v xml:space="preserve">http://slimages.macys.com/is/image/MCY/22226507 </v>
      </c>
    </row>
    <row r="67" spans="1:14" x14ac:dyDescent="0.25">
      <c r="A67" s="21" t="s">
        <v>11042</v>
      </c>
      <c r="B67" s="22" t="s">
        <v>11043</v>
      </c>
      <c r="C67" s="2">
        <v>12</v>
      </c>
      <c r="D67" s="23">
        <v>30</v>
      </c>
      <c r="E67" s="3">
        <v>360</v>
      </c>
      <c r="F67" s="2" t="s">
        <v>11044</v>
      </c>
      <c r="G67" s="22" t="s">
        <v>19333</v>
      </c>
      <c r="H67" s="24"/>
      <c r="I67" s="22" t="s">
        <v>19309</v>
      </c>
      <c r="J67" s="22" t="s">
        <v>19417</v>
      </c>
      <c r="K67" s="22" t="s">
        <v>18317</v>
      </c>
      <c r="L67" s="22"/>
      <c r="M67" s="22"/>
      <c r="N67" s="25" t="str">
        <f>HYPERLINK("http://slimages.macys.com/is/image/MCY/22226519 ")</f>
        <v xml:space="preserve">http://slimages.macys.com/is/image/MCY/22226519 </v>
      </c>
    </row>
    <row r="68" spans="1:14" x14ac:dyDescent="0.25">
      <c r="A68" s="21" t="s">
        <v>8100</v>
      </c>
      <c r="B68" s="22" t="s">
        <v>8101</v>
      </c>
      <c r="C68" s="2">
        <v>17</v>
      </c>
      <c r="D68" s="23">
        <v>30</v>
      </c>
      <c r="E68" s="3">
        <v>510</v>
      </c>
      <c r="F68" s="2" t="s">
        <v>8102</v>
      </c>
      <c r="G68" s="22"/>
      <c r="H68" s="24"/>
      <c r="I68" s="22" t="s">
        <v>19309</v>
      </c>
      <c r="J68" s="22" t="s">
        <v>19417</v>
      </c>
      <c r="K68" s="22" t="s">
        <v>18317</v>
      </c>
      <c r="L68" s="22"/>
      <c r="M68" s="22"/>
      <c r="N68" s="25" t="str">
        <f>HYPERLINK("http://slimages.macys.com/is/image/MCY/21615008 ")</f>
        <v xml:space="preserve">http://slimages.macys.com/is/image/MCY/21615008 </v>
      </c>
    </row>
    <row r="69" spans="1:14" x14ac:dyDescent="0.25">
      <c r="A69" s="21" t="s">
        <v>8275</v>
      </c>
      <c r="B69" s="22" t="s">
        <v>8276</v>
      </c>
      <c r="C69" s="2">
        <v>1</v>
      </c>
      <c r="D69" s="23">
        <v>16.989999999999998</v>
      </c>
      <c r="E69" s="3">
        <v>16.989999999999998</v>
      </c>
      <c r="F69" s="2" t="s">
        <v>16133</v>
      </c>
      <c r="G69" s="22" t="s">
        <v>19357</v>
      </c>
      <c r="H69" s="24" t="s">
        <v>19797</v>
      </c>
      <c r="I69" s="22" t="s">
        <v>19309</v>
      </c>
      <c r="J69" s="22" t="s">
        <v>19849</v>
      </c>
      <c r="K69" s="22" t="s">
        <v>19850</v>
      </c>
      <c r="L69" s="22"/>
      <c r="M69" s="22"/>
      <c r="N69" s="25" t="str">
        <f>HYPERLINK("http://slimages.macys.com/is/image/MCY/18685353 ")</f>
        <v xml:space="preserve">http://slimages.macys.com/is/image/MCY/18685353 </v>
      </c>
    </row>
    <row r="70" spans="1:14" ht="24.75" x14ac:dyDescent="0.25">
      <c r="A70" s="21" t="s">
        <v>8277</v>
      </c>
      <c r="B70" s="22" t="s">
        <v>8278</v>
      </c>
      <c r="C70" s="2">
        <v>12</v>
      </c>
      <c r="D70" s="23">
        <v>13.99</v>
      </c>
      <c r="E70" s="3">
        <v>167.88</v>
      </c>
      <c r="F70" s="2" t="s">
        <v>8279</v>
      </c>
      <c r="G70" s="22" t="s">
        <v>19618</v>
      </c>
      <c r="H70" s="24" t="s">
        <v>19339</v>
      </c>
      <c r="I70" s="22" t="s">
        <v>19309</v>
      </c>
      <c r="J70" s="22" t="s">
        <v>19565</v>
      </c>
      <c r="K70" s="22" t="s">
        <v>18548</v>
      </c>
      <c r="L70" s="22"/>
      <c r="M70" s="22"/>
      <c r="N70" s="25" t="str">
        <f>HYPERLINK("http://slimages.macys.com/is/image/MCY/20490693 ")</f>
        <v xml:space="preserve">http://slimages.macys.com/is/image/MCY/20490693 </v>
      </c>
    </row>
    <row r="71" spans="1:14" ht="24.75" x14ac:dyDescent="0.25">
      <c r="A71" s="21" t="s">
        <v>8111</v>
      </c>
      <c r="B71" s="22" t="s">
        <v>8112</v>
      </c>
      <c r="C71" s="2">
        <v>1</v>
      </c>
      <c r="D71" s="23">
        <v>24.5</v>
      </c>
      <c r="E71" s="3">
        <v>24.5</v>
      </c>
      <c r="F71" s="2" t="s">
        <v>8113</v>
      </c>
      <c r="G71" s="22" t="s">
        <v>19618</v>
      </c>
      <c r="H71" s="24"/>
      <c r="I71" s="22" t="s">
        <v>19309</v>
      </c>
      <c r="J71" s="22" t="s">
        <v>19613</v>
      </c>
      <c r="K71" s="22" t="s">
        <v>19614</v>
      </c>
      <c r="L71" s="22"/>
      <c r="M71" s="22"/>
      <c r="N71" s="25" t="str">
        <f>HYPERLINK("http://slimages.macys.com/is/image/MCY/21035738 ")</f>
        <v xml:space="preserve">http://slimages.macys.com/is/image/MCY/21035738 </v>
      </c>
    </row>
    <row r="72" spans="1:14" ht="24.75" x14ac:dyDescent="0.25">
      <c r="A72" s="21" t="s">
        <v>8114</v>
      </c>
      <c r="B72" s="22" t="s">
        <v>19616</v>
      </c>
      <c r="C72" s="2">
        <v>2</v>
      </c>
      <c r="D72" s="23">
        <v>24.5</v>
      </c>
      <c r="E72" s="3">
        <v>49</v>
      </c>
      <c r="F72" s="2" t="s">
        <v>8113</v>
      </c>
      <c r="G72" s="22" t="s">
        <v>19618</v>
      </c>
      <c r="H72" s="24"/>
      <c r="I72" s="22" t="s">
        <v>19309</v>
      </c>
      <c r="J72" s="22" t="s">
        <v>19613</v>
      </c>
      <c r="K72" s="22" t="s">
        <v>19614</v>
      </c>
      <c r="L72" s="22"/>
      <c r="M72" s="22"/>
      <c r="N72" s="25" t="str">
        <f>HYPERLINK("http://slimages.macys.com/is/image/MCY/21035738 ")</f>
        <v xml:space="preserve">http://slimages.macys.com/is/image/MCY/21035738 </v>
      </c>
    </row>
    <row r="73" spans="1:14" ht="24.75" x14ac:dyDescent="0.25">
      <c r="A73" s="21" t="s">
        <v>8280</v>
      </c>
      <c r="B73" s="22" t="s">
        <v>8281</v>
      </c>
      <c r="C73" s="2">
        <v>2</v>
      </c>
      <c r="D73" s="23">
        <v>24.5</v>
      </c>
      <c r="E73" s="3">
        <v>49</v>
      </c>
      <c r="F73" s="2" t="s">
        <v>8113</v>
      </c>
      <c r="G73" s="22" t="s">
        <v>19618</v>
      </c>
      <c r="H73" s="24"/>
      <c r="I73" s="22" t="s">
        <v>19309</v>
      </c>
      <c r="J73" s="22" t="s">
        <v>19613</v>
      </c>
      <c r="K73" s="22" t="s">
        <v>19614</v>
      </c>
      <c r="L73" s="22"/>
      <c r="M73" s="22"/>
      <c r="N73" s="25" t="str">
        <f>HYPERLINK("http://slimages.macys.com/is/image/MCY/21035738 ")</f>
        <v xml:space="preserve">http://slimages.macys.com/is/image/MCY/21035738 </v>
      </c>
    </row>
    <row r="74" spans="1:14" ht="24.75" x14ac:dyDescent="0.25">
      <c r="A74" s="21" t="s">
        <v>8115</v>
      </c>
      <c r="B74" s="22" t="s">
        <v>8116</v>
      </c>
      <c r="C74" s="2">
        <v>12</v>
      </c>
      <c r="D74" s="23">
        <v>24.5</v>
      </c>
      <c r="E74" s="3">
        <v>294</v>
      </c>
      <c r="F74" s="2" t="s">
        <v>8113</v>
      </c>
      <c r="G74" s="22" t="s">
        <v>19618</v>
      </c>
      <c r="H74" s="24"/>
      <c r="I74" s="22" t="s">
        <v>19309</v>
      </c>
      <c r="J74" s="22" t="s">
        <v>19613</v>
      </c>
      <c r="K74" s="22" t="s">
        <v>19614</v>
      </c>
      <c r="L74" s="22"/>
      <c r="M74" s="22"/>
      <c r="N74" s="25" t="str">
        <f>HYPERLINK("http://slimages.macys.com/is/image/MCY/21035738 ")</f>
        <v xml:space="preserve">http://slimages.macys.com/is/image/MCY/21035738 </v>
      </c>
    </row>
    <row r="75" spans="1:14" ht="24.75" x14ac:dyDescent="0.25">
      <c r="A75" s="21" t="s">
        <v>11067</v>
      </c>
      <c r="B75" s="22" t="s">
        <v>11068</v>
      </c>
      <c r="C75" s="2">
        <v>1</v>
      </c>
      <c r="D75" s="23">
        <v>24.5</v>
      </c>
      <c r="E75" s="3">
        <v>24.5</v>
      </c>
      <c r="F75" s="2" t="s">
        <v>11069</v>
      </c>
      <c r="G75" s="22" t="s">
        <v>18764</v>
      </c>
      <c r="H75" s="24" t="s">
        <v>19334</v>
      </c>
      <c r="I75" s="22" t="s">
        <v>19309</v>
      </c>
      <c r="J75" s="22" t="s">
        <v>19688</v>
      </c>
      <c r="K75" s="22" t="s">
        <v>19614</v>
      </c>
      <c r="L75" s="22"/>
      <c r="M75" s="22"/>
      <c r="N75" s="25" t="str">
        <f>HYPERLINK("http://slimages.macys.com/is/image/MCY/21589145 ")</f>
        <v xml:space="preserve">http://slimages.macys.com/is/image/MCY/21589145 </v>
      </c>
    </row>
    <row r="76" spans="1:14" ht="24.75" x14ac:dyDescent="0.25">
      <c r="A76" s="21" t="s">
        <v>18362</v>
      </c>
      <c r="B76" s="22" t="s">
        <v>18363</v>
      </c>
      <c r="C76" s="2">
        <v>18</v>
      </c>
      <c r="D76" s="23">
        <v>14.99</v>
      </c>
      <c r="E76" s="3">
        <v>269.82</v>
      </c>
      <c r="F76" s="2" t="s">
        <v>18364</v>
      </c>
      <c r="G76" s="22" t="s">
        <v>19431</v>
      </c>
      <c r="H76" s="24"/>
      <c r="I76" s="22" t="s">
        <v>19309</v>
      </c>
      <c r="J76" s="22" t="s">
        <v>19573</v>
      </c>
      <c r="K76" s="22" t="s">
        <v>19574</v>
      </c>
      <c r="L76" s="22"/>
      <c r="M76" s="22"/>
      <c r="N76" s="25" t="str">
        <f>HYPERLINK("http://slimages.macys.com/is/image/MCY/1642503 ")</f>
        <v xml:space="preserve">http://slimages.macys.com/is/image/MCY/1642503 </v>
      </c>
    </row>
    <row r="77" spans="1:14" ht="24.75" x14ac:dyDescent="0.25">
      <c r="A77" s="21" t="s">
        <v>8282</v>
      </c>
      <c r="B77" s="22" t="s">
        <v>8283</v>
      </c>
      <c r="C77" s="2">
        <v>20</v>
      </c>
      <c r="D77" s="23">
        <v>22</v>
      </c>
      <c r="E77" s="3">
        <v>440</v>
      </c>
      <c r="F77" s="2" t="s">
        <v>9569</v>
      </c>
      <c r="G77" s="22" t="s">
        <v>19333</v>
      </c>
      <c r="H77" s="24"/>
      <c r="I77" s="22" t="s">
        <v>19309</v>
      </c>
      <c r="J77" s="22" t="s">
        <v>19417</v>
      </c>
      <c r="K77" s="22" t="s">
        <v>20110</v>
      </c>
      <c r="L77" s="22"/>
      <c r="M77" s="22"/>
      <c r="N77" s="25" t="str">
        <f>HYPERLINK("http://slimages.macys.com/is/image/MCY/21551778 ")</f>
        <v xml:space="preserve">http://slimages.macys.com/is/image/MCY/21551778 </v>
      </c>
    </row>
    <row r="78" spans="1:14" ht="24.75" x14ac:dyDescent="0.25">
      <c r="A78" s="21" t="s">
        <v>8284</v>
      </c>
      <c r="B78" s="22" t="s">
        <v>8285</v>
      </c>
      <c r="C78" s="2">
        <v>11</v>
      </c>
      <c r="D78" s="23">
        <v>22</v>
      </c>
      <c r="E78" s="3">
        <v>242</v>
      </c>
      <c r="F78" s="2" t="s">
        <v>8286</v>
      </c>
      <c r="G78" s="22" t="s">
        <v>18821</v>
      </c>
      <c r="H78" s="24" t="s">
        <v>20109</v>
      </c>
      <c r="I78" s="22" t="s">
        <v>19309</v>
      </c>
      <c r="J78" s="22" t="s">
        <v>19417</v>
      </c>
      <c r="K78" s="22" t="s">
        <v>20110</v>
      </c>
      <c r="L78" s="22"/>
      <c r="M78" s="22"/>
      <c r="N78" s="25" t="str">
        <f>HYPERLINK("http://slimages.macys.com/is/image/MCY/21551767 ")</f>
        <v xml:space="preserve">http://slimages.macys.com/is/image/MCY/21551767 </v>
      </c>
    </row>
    <row r="79" spans="1:14" ht="24.75" x14ac:dyDescent="0.25">
      <c r="A79" s="21" t="s">
        <v>8287</v>
      </c>
      <c r="B79" s="22" t="s">
        <v>8288</v>
      </c>
      <c r="C79" s="2">
        <v>21</v>
      </c>
      <c r="D79" s="23">
        <v>22</v>
      </c>
      <c r="E79" s="3">
        <v>462</v>
      </c>
      <c r="F79" s="2" t="s">
        <v>8289</v>
      </c>
      <c r="G79" s="22" t="s">
        <v>18439</v>
      </c>
      <c r="H79" s="24" t="s">
        <v>20109</v>
      </c>
      <c r="I79" s="22" t="s">
        <v>19309</v>
      </c>
      <c r="J79" s="22" t="s">
        <v>19417</v>
      </c>
      <c r="K79" s="22" t="s">
        <v>20110</v>
      </c>
      <c r="L79" s="22"/>
      <c r="M79" s="22"/>
      <c r="N79" s="25" t="str">
        <f>HYPERLINK("http://slimages.macys.com/is/image/MCY/21551774 ")</f>
        <v xml:space="preserve">http://slimages.macys.com/is/image/MCY/21551774 </v>
      </c>
    </row>
    <row r="80" spans="1:14" x14ac:dyDescent="0.25">
      <c r="A80" s="21" t="s">
        <v>11076</v>
      </c>
      <c r="B80" s="22" t="s">
        <v>11077</v>
      </c>
      <c r="C80" s="2">
        <v>26</v>
      </c>
      <c r="D80" s="23">
        <v>30</v>
      </c>
      <c r="E80" s="3">
        <v>780</v>
      </c>
      <c r="F80" s="2" t="s">
        <v>11078</v>
      </c>
      <c r="G80" s="22" t="s">
        <v>19333</v>
      </c>
      <c r="H80" s="24" t="s">
        <v>19968</v>
      </c>
      <c r="I80" s="22" t="s">
        <v>19309</v>
      </c>
      <c r="J80" s="22" t="s">
        <v>19417</v>
      </c>
      <c r="K80" s="22" t="s">
        <v>18317</v>
      </c>
      <c r="L80" s="22"/>
      <c r="M80" s="22"/>
      <c r="N80" s="25" t="str">
        <f>HYPERLINK("http://slimages.macys.com/is/image/MCY/21614931 ")</f>
        <v xml:space="preserve">http://slimages.macys.com/is/image/MCY/21614931 </v>
      </c>
    </row>
    <row r="81" spans="1:14" ht="24.75" x14ac:dyDescent="0.25">
      <c r="A81" s="21" t="s">
        <v>8290</v>
      </c>
      <c r="B81" s="22" t="s">
        <v>8291</v>
      </c>
      <c r="C81" s="2">
        <v>18</v>
      </c>
      <c r="D81" s="23">
        <v>11.99</v>
      </c>
      <c r="E81" s="3">
        <v>215.82</v>
      </c>
      <c r="F81" s="2" t="s">
        <v>8292</v>
      </c>
      <c r="G81" s="22" t="s">
        <v>19431</v>
      </c>
      <c r="H81" s="24"/>
      <c r="I81" s="22" t="s">
        <v>19309</v>
      </c>
      <c r="J81" s="22" t="s">
        <v>19573</v>
      </c>
      <c r="K81" s="22" t="s">
        <v>19574</v>
      </c>
      <c r="L81" s="22"/>
      <c r="M81" s="22"/>
      <c r="N81" s="25" t="str">
        <f>HYPERLINK("http://slimages.macys.com/is/image/MCY/21361796 ")</f>
        <v xml:space="preserve">http://slimages.macys.com/is/image/MCY/21361796 </v>
      </c>
    </row>
    <row r="82" spans="1:14" ht="24.75" x14ac:dyDescent="0.25">
      <c r="A82" s="21" t="s">
        <v>8127</v>
      </c>
      <c r="B82" s="22" t="s">
        <v>8128</v>
      </c>
      <c r="C82" s="2">
        <v>21</v>
      </c>
      <c r="D82" s="23">
        <v>22.5</v>
      </c>
      <c r="E82" s="3">
        <v>472.5</v>
      </c>
      <c r="F82" s="2" t="s">
        <v>18338</v>
      </c>
      <c r="G82" s="22" t="s">
        <v>19351</v>
      </c>
      <c r="H82" s="24" t="s">
        <v>19361</v>
      </c>
      <c r="I82" s="22" t="s">
        <v>19309</v>
      </c>
      <c r="J82" s="22" t="s">
        <v>19688</v>
      </c>
      <c r="K82" s="22" t="s">
        <v>19614</v>
      </c>
      <c r="L82" s="22"/>
      <c r="M82" s="22"/>
      <c r="N82" s="25" t="str">
        <f>HYPERLINK("http://slimages.macys.com/is/image/MCY/21035864 ")</f>
        <v xml:space="preserve">http://slimages.macys.com/is/image/MCY/21035864 </v>
      </c>
    </row>
    <row r="83" spans="1:14" ht="24.75" x14ac:dyDescent="0.25">
      <c r="A83" s="21" t="s">
        <v>9581</v>
      </c>
      <c r="B83" s="22" t="s">
        <v>9582</v>
      </c>
      <c r="C83" s="2">
        <v>22</v>
      </c>
      <c r="D83" s="23">
        <v>22.5</v>
      </c>
      <c r="E83" s="3">
        <v>495</v>
      </c>
      <c r="F83" s="2" t="s">
        <v>18338</v>
      </c>
      <c r="G83" s="22" t="s">
        <v>19351</v>
      </c>
      <c r="H83" s="24" t="s">
        <v>19345</v>
      </c>
      <c r="I83" s="22" t="s">
        <v>19309</v>
      </c>
      <c r="J83" s="22" t="s">
        <v>19688</v>
      </c>
      <c r="K83" s="22" t="s">
        <v>19614</v>
      </c>
      <c r="L83" s="22"/>
      <c r="M83" s="22"/>
      <c r="N83" s="25" t="str">
        <f>HYPERLINK("http://slimages.macys.com/is/image/MCY/21035862 ")</f>
        <v xml:space="preserve">http://slimages.macys.com/is/image/MCY/21035862 </v>
      </c>
    </row>
    <row r="84" spans="1:14" ht="24.75" x14ac:dyDescent="0.25">
      <c r="A84" s="21" t="s">
        <v>8293</v>
      </c>
      <c r="B84" s="22" t="s">
        <v>8294</v>
      </c>
      <c r="C84" s="2">
        <v>5</v>
      </c>
      <c r="D84" s="23">
        <v>22.5</v>
      </c>
      <c r="E84" s="3">
        <v>112.5</v>
      </c>
      <c r="F84" s="2" t="s">
        <v>9576</v>
      </c>
      <c r="G84" s="22" t="s">
        <v>19415</v>
      </c>
      <c r="H84" s="24" t="s">
        <v>19542</v>
      </c>
      <c r="I84" s="22" t="s">
        <v>19309</v>
      </c>
      <c r="J84" s="22" t="s">
        <v>19688</v>
      </c>
      <c r="K84" s="22" t="s">
        <v>19614</v>
      </c>
      <c r="L84" s="22"/>
      <c r="M84" s="22"/>
      <c r="N84" s="25" t="str">
        <f>HYPERLINK("http://slimages.macys.com/is/image/MCY/21035860 ")</f>
        <v xml:space="preserve">http://slimages.macys.com/is/image/MCY/21035860 </v>
      </c>
    </row>
    <row r="85" spans="1:14" ht="24.75" x14ac:dyDescent="0.25">
      <c r="A85" s="21" t="s">
        <v>11085</v>
      </c>
      <c r="B85" s="22" t="s">
        <v>11086</v>
      </c>
      <c r="C85" s="2">
        <v>1</v>
      </c>
      <c r="D85" s="23">
        <v>22.5</v>
      </c>
      <c r="E85" s="3">
        <v>22.5</v>
      </c>
      <c r="F85" s="2" t="s">
        <v>13234</v>
      </c>
      <c r="G85" s="22" t="s">
        <v>19351</v>
      </c>
      <c r="H85" s="24" t="s">
        <v>19334</v>
      </c>
      <c r="I85" s="22" t="s">
        <v>19309</v>
      </c>
      <c r="J85" s="22" t="s">
        <v>19688</v>
      </c>
      <c r="K85" s="22" t="s">
        <v>19614</v>
      </c>
      <c r="L85" s="22"/>
      <c r="M85" s="22"/>
      <c r="N85" s="25" t="str">
        <f>HYPERLINK("http://slimages.macys.com/is/image/MCY/21035870 ")</f>
        <v xml:space="preserve">http://slimages.macys.com/is/image/MCY/21035870 </v>
      </c>
    </row>
    <row r="86" spans="1:14" ht="24.75" x14ac:dyDescent="0.25">
      <c r="A86" s="21" t="s">
        <v>8125</v>
      </c>
      <c r="B86" s="22" t="s">
        <v>8126</v>
      </c>
      <c r="C86" s="2">
        <v>4</v>
      </c>
      <c r="D86" s="23">
        <v>22.5</v>
      </c>
      <c r="E86" s="3">
        <v>90</v>
      </c>
      <c r="F86" s="2" t="s">
        <v>13234</v>
      </c>
      <c r="G86" s="22" t="s">
        <v>19351</v>
      </c>
      <c r="H86" s="24" t="s">
        <v>19361</v>
      </c>
      <c r="I86" s="22" t="s">
        <v>19309</v>
      </c>
      <c r="J86" s="22" t="s">
        <v>19688</v>
      </c>
      <c r="K86" s="22" t="s">
        <v>19614</v>
      </c>
      <c r="L86" s="22"/>
      <c r="M86" s="22"/>
      <c r="N86" s="25" t="str">
        <f>HYPERLINK("http://slimages.macys.com/is/image/MCY/21035872 ")</f>
        <v xml:space="preserve">http://slimages.macys.com/is/image/MCY/21035872 </v>
      </c>
    </row>
    <row r="87" spans="1:14" ht="24.75" x14ac:dyDescent="0.25">
      <c r="A87" s="21" t="s">
        <v>8295</v>
      </c>
      <c r="B87" s="22" t="s">
        <v>8296</v>
      </c>
      <c r="C87" s="2">
        <v>2</v>
      </c>
      <c r="D87" s="23">
        <v>22.5</v>
      </c>
      <c r="E87" s="3">
        <v>45</v>
      </c>
      <c r="F87" s="2" t="s">
        <v>16184</v>
      </c>
      <c r="G87" s="22" t="s">
        <v>19528</v>
      </c>
      <c r="H87" s="24" t="s">
        <v>19395</v>
      </c>
      <c r="I87" s="22" t="s">
        <v>19309</v>
      </c>
      <c r="J87" s="22" t="s">
        <v>19688</v>
      </c>
      <c r="K87" s="22" t="s">
        <v>19614</v>
      </c>
      <c r="L87" s="22"/>
      <c r="M87" s="22"/>
      <c r="N87" s="25" t="str">
        <f>HYPERLINK("http://slimages.macys.com/is/image/MCY/21035886 ")</f>
        <v xml:space="preserve">http://slimages.macys.com/is/image/MCY/21035886 </v>
      </c>
    </row>
    <row r="88" spans="1:14" ht="24.75" x14ac:dyDescent="0.25">
      <c r="A88" s="21" t="s">
        <v>8297</v>
      </c>
      <c r="B88" s="22" t="s">
        <v>8298</v>
      </c>
      <c r="C88" s="2">
        <v>20</v>
      </c>
      <c r="D88" s="23">
        <v>22.5</v>
      </c>
      <c r="E88" s="3">
        <v>450</v>
      </c>
      <c r="F88" s="2" t="s">
        <v>9576</v>
      </c>
      <c r="G88" s="22" t="s">
        <v>19415</v>
      </c>
      <c r="H88" s="24" t="s">
        <v>19334</v>
      </c>
      <c r="I88" s="22" t="s">
        <v>19309</v>
      </c>
      <c r="J88" s="22" t="s">
        <v>19688</v>
      </c>
      <c r="K88" s="22" t="s">
        <v>19614</v>
      </c>
      <c r="L88" s="22"/>
      <c r="M88" s="22"/>
      <c r="N88" s="25" t="str">
        <f>HYPERLINK("http://slimages.macys.com/is/image/MCY/21035858 ")</f>
        <v xml:space="preserve">http://slimages.macys.com/is/image/MCY/21035858 </v>
      </c>
    </row>
    <row r="89" spans="1:14" ht="24.75" x14ac:dyDescent="0.25">
      <c r="A89" s="21" t="s">
        <v>8129</v>
      </c>
      <c r="B89" s="22" t="s">
        <v>8130</v>
      </c>
      <c r="C89" s="2">
        <v>20</v>
      </c>
      <c r="D89" s="23">
        <v>22.5</v>
      </c>
      <c r="E89" s="3">
        <v>450</v>
      </c>
      <c r="F89" s="2" t="s">
        <v>18338</v>
      </c>
      <c r="G89" s="22" t="s">
        <v>19351</v>
      </c>
      <c r="H89" s="24" t="s">
        <v>19542</v>
      </c>
      <c r="I89" s="22" t="s">
        <v>19309</v>
      </c>
      <c r="J89" s="22" t="s">
        <v>19688</v>
      </c>
      <c r="K89" s="22" t="s">
        <v>19614</v>
      </c>
      <c r="L89" s="22"/>
      <c r="M89" s="22"/>
      <c r="N89" s="25" t="str">
        <f>HYPERLINK("http://slimages.macys.com/is/image/MCY/21035864 ")</f>
        <v xml:space="preserve">http://slimages.macys.com/is/image/MCY/21035864 </v>
      </c>
    </row>
    <row r="90" spans="1:14" ht="24.75" x14ac:dyDescent="0.25">
      <c r="A90" s="21" t="s">
        <v>18336</v>
      </c>
      <c r="B90" s="22" t="s">
        <v>18337</v>
      </c>
      <c r="C90" s="2">
        <v>19</v>
      </c>
      <c r="D90" s="23">
        <v>22.5</v>
      </c>
      <c r="E90" s="3">
        <v>427.5</v>
      </c>
      <c r="F90" s="2" t="s">
        <v>18338</v>
      </c>
      <c r="G90" s="22" t="s">
        <v>19351</v>
      </c>
      <c r="H90" s="24" t="s">
        <v>19334</v>
      </c>
      <c r="I90" s="22" t="s">
        <v>19309</v>
      </c>
      <c r="J90" s="22" t="s">
        <v>19688</v>
      </c>
      <c r="K90" s="22" t="s">
        <v>19614</v>
      </c>
      <c r="L90" s="22"/>
      <c r="M90" s="22"/>
      <c r="N90" s="25" t="str">
        <f>HYPERLINK("http://slimages.macys.com/is/image/MCY/21035862 ")</f>
        <v xml:space="preserve">http://slimages.macys.com/is/image/MCY/21035862 </v>
      </c>
    </row>
    <row r="91" spans="1:14" ht="24.75" x14ac:dyDescent="0.25">
      <c r="A91" s="21" t="s">
        <v>16182</v>
      </c>
      <c r="B91" s="22" t="s">
        <v>16183</v>
      </c>
      <c r="C91" s="2">
        <v>3</v>
      </c>
      <c r="D91" s="23">
        <v>22.5</v>
      </c>
      <c r="E91" s="3">
        <v>67.5</v>
      </c>
      <c r="F91" s="2" t="s">
        <v>16184</v>
      </c>
      <c r="G91" s="22" t="s">
        <v>19528</v>
      </c>
      <c r="H91" s="24" t="s">
        <v>19334</v>
      </c>
      <c r="I91" s="22" t="s">
        <v>19309</v>
      </c>
      <c r="J91" s="22" t="s">
        <v>19688</v>
      </c>
      <c r="K91" s="22" t="s">
        <v>19614</v>
      </c>
      <c r="L91" s="22"/>
      <c r="M91" s="22"/>
      <c r="N91" s="25" t="str">
        <f>HYPERLINK("http://slimages.macys.com/is/image/MCY/21035884 ")</f>
        <v xml:space="preserve">http://slimages.macys.com/is/image/MCY/21035884 </v>
      </c>
    </row>
    <row r="92" spans="1:14" ht="24.75" x14ac:dyDescent="0.25">
      <c r="A92" s="21" t="s">
        <v>9583</v>
      </c>
      <c r="B92" s="22" t="s">
        <v>9584</v>
      </c>
      <c r="C92" s="2">
        <v>17</v>
      </c>
      <c r="D92" s="23">
        <v>22.5</v>
      </c>
      <c r="E92" s="3">
        <v>382.5</v>
      </c>
      <c r="F92" s="2" t="s">
        <v>18338</v>
      </c>
      <c r="G92" s="22" t="s">
        <v>19351</v>
      </c>
      <c r="H92" s="24" t="s">
        <v>19395</v>
      </c>
      <c r="I92" s="22" t="s">
        <v>19309</v>
      </c>
      <c r="J92" s="22" t="s">
        <v>19688</v>
      </c>
      <c r="K92" s="22" t="s">
        <v>19614</v>
      </c>
      <c r="L92" s="22"/>
      <c r="M92" s="22"/>
      <c r="N92" s="25" t="str">
        <f>HYPERLINK("http://slimages.macys.com/is/image/MCY/21035864 ")</f>
        <v xml:space="preserve">http://slimages.macys.com/is/image/MCY/21035864 </v>
      </c>
    </row>
    <row r="93" spans="1:14" ht="24.75" x14ac:dyDescent="0.25">
      <c r="A93" s="21" t="s">
        <v>8299</v>
      </c>
      <c r="B93" s="22" t="s">
        <v>8300</v>
      </c>
      <c r="C93" s="2">
        <v>19</v>
      </c>
      <c r="D93" s="23">
        <v>22.5</v>
      </c>
      <c r="E93" s="3">
        <v>427.5</v>
      </c>
      <c r="F93" s="2" t="s">
        <v>9576</v>
      </c>
      <c r="G93" s="22" t="s">
        <v>19415</v>
      </c>
      <c r="H93" s="24" t="s">
        <v>19345</v>
      </c>
      <c r="I93" s="22" t="s">
        <v>19309</v>
      </c>
      <c r="J93" s="22" t="s">
        <v>19688</v>
      </c>
      <c r="K93" s="22" t="s">
        <v>19614</v>
      </c>
      <c r="L93" s="22"/>
      <c r="M93" s="22"/>
      <c r="N93" s="25" t="str">
        <f>HYPERLINK("http://slimages.macys.com/is/image/MCY/21035858 ")</f>
        <v xml:space="preserve">http://slimages.macys.com/is/image/MCY/21035858 </v>
      </c>
    </row>
    <row r="94" spans="1:14" x14ac:dyDescent="0.25">
      <c r="A94" s="21" t="s">
        <v>16629</v>
      </c>
      <c r="B94" s="22" t="s">
        <v>16630</v>
      </c>
      <c r="C94" s="2">
        <v>18</v>
      </c>
      <c r="D94" s="23">
        <v>10.99</v>
      </c>
      <c r="E94" s="3">
        <v>197.82</v>
      </c>
      <c r="F94" s="2" t="s">
        <v>16624</v>
      </c>
      <c r="G94" s="22" t="s">
        <v>19674</v>
      </c>
      <c r="H94" s="24" t="s">
        <v>19352</v>
      </c>
      <c r="I94" s="22" t="s">
        <v>19309</v>
      </c>
      <c r="J94" s="22" t="s">
        <v>19849</v>
      </c>
      <c r="K94" s="22" t="s">
        <v>19850</v>
      </c>
      <c r="L94" s="22"/>
      <c r="M94" s="22"/>
      <c r="N94" s="25" t="str">
        <f>HYPERLINK("http://slimages.macys.com/is/image/MCY/1650136 ")</f>
        <v xml:space="preserve">http://slimages.macys.com/is/image/MCY/1650136 </v>
      </c>
    </row>
    <row r="95" spans="1:14" ht="24.75" x14ac:dyDescent="0.25">
      <c r="A95" s="21" t="s">
        <v>8301</v>
      </c>
      <c r="B95" s="22" t="s">
        <v>8302</v>
      </c>
      <c r="C95" s="2">
        <v>16</v>
      </c>
      <c r="D95" s="23">
        <v>11.11</v>
      </c>
      <c r="E95" s="3">
        <v>177.76</v>
      </c>
      <c r="F95" s="2" t="s">
        <v>8303</v>
      </c>
      <c r="G95" s="22" t="s">
        <v>19351</v>
      </c>
      <c r="H95" s="24" t="s">
        <v>19352</v>
      </c>
      <c r="I95" s="22" t="s">
        <v>19309</v>
      </c>
      <c r="J95" s="22" t="s">
        <v>19565</v>
      </c>
      <c r="K95" s="22" t="s">
        <v>18514</v>
      </c>
      <c r="L95" s="22"/>
      <c r="M95" s="22"/>
      <c r="N95" s="25" t="str">
        <f>HYPERLINK("http://slimages.macys.com/is/image/MCY/20672931 ")</f>
        <v xml:space="preserve">http://slimages.macys.com/is/image/MCY/20672931 </v>
      </c>
    </row>
    <row r="96" spans="1:14" ht="24.75" x14ac:dyDescent="0.25">
      <c r="A96" s="21" t="s">
        <v>8304</v>
      </c>
      <c r="B96" s="22" t="s">
        <v>8305</v>
      </c>
      <c r="C96" s="2">
        <v>1</v>
      </c>
      <c r="D96" s="23">
        <v>14.99</v>
      </c>
      <c r="E96" s="3">
        <v>14.99</v>
      </c>
      <c r="F96" s="2" t="s">
        <v>9891</v>
      </c>
      <c r="G96" s="22" t="s">
        <v>19323</v>
      </c>
      <c r="H96" s="24" t="s">
        <v>19797</v>
      </c>
      <c r="I96" s="22" t="s">
        <v>19309</v>
      </c>
      <c r="J96" s="22" t="s">
        <v>19353</v>
      </c>
      <c r="K96" s="22" t="s">
        <v>19524</v>
      </c>
      <c r="L96" s="22"/>
      <c r="M96" s="22"/>
      <c r="N96" s="25" t="str">
        <f>HYPERLINK("http://slimages.macys.com/is/image/MCY/19932860 ")</f>
        <v xml:space="preserve">http://slimages.macys.com/is/image/MCY/19932860 </v>
      </c>
    </row>
    <row r="97" spans="1:14" ht="24.75" x14ac:dyDescent="0.25">
      <c r="A97" s="21" t="s">
        <v>8306</v>
      </c>
      <c r="B97" s="22" t="s">
        <v>8307</v>
      </c>
      <c r="C97" s="2">
        <v>2</v>
      </c>
      <c r="D97" s="23">
        <v>13.99</v>
      </c>
      <c r="E97" s="3">
        <v>27.98</v>
      </c>
      <c r="F97" s="2" t="s">
        <v>9604</v>
      </c>
      <c r="G97" s="22" t="s">
        <v>19618</v>
      </c>
      <c r="H97" s="24" t="s">
        <v>19538</v>
      </c>
      <c r="I97" s="22" t="s">
        <v>19309</v>
      </c>
      <c r="J97" s="22" t="s">
        <v>19573</v>
      </c>
      <c r="K97" s="22" t="s">
        <v>19574</v>
      </c>
      <c r="L97" s="22"/>
      <c r="M97" s="22"/>
      <c r="N97" s="25" t="str">
        <f>HYPERLINK("http://slimages.macys.com/is/image/MCY/1554881 ")</f>
        <v xml:space="preserve">http://slimages.macys.com/is/image/MCY/1554881 </v>
      </c>
    </row>
    <row r="98" spans="1:14" ht="24.75" x14ac:dyDescent="0.25">
      <c r="A98" s="21" t="s">
        <v>8308</v>
      </c>
      <c r="B98" s="22" t="s">
        <v>8309</v>
      </c>
      <c r="C98" s="2">
        <v>9</v>
      </c>
      <c r="D98" s="23">
        <v>13.99</v>
      </c>
      <c r="E98" s="3">
        <v>125.91</v>
      </c>
      <c r="F98" s="2" t="s">
        <v>18551</v>
      </c>
      <c r="G98" s="22" t="s">
        <v>19415</v>
      </c>
      <c r="H98" s="24" t="s">
        <v>19538</v>
      </c>
      <c r="I98" s="22" t="s">
        <v>19309</v>
      </c>
      <c r="J98" s="22" t="s">
        <v>19573</v>
      </c>
      <c r="K98" s="22" t="s">
        <v>19574</v>
      </c>
      <c r="L98" s="22"/>
      <c r="M98" s="22"/>
      <c r="N98" s="25" t="str">
        <f>HYPERLINK("http://slimages.macys.com/is/image/MCY/1619637 ")</f>
        <v xml:space="preserve">http://slimages.macys.com/is/image/MCY/1619637 </v>
      </c>
    </row>
    <row r="99" spans="1:14" ht="24.75" x14ac:dyDescent="0.25">
      <c r="A99" s="21" t="s">
        <v>18549</v>
      </c>
      <c r="B99" s="22" t="s">
        <v>18550</v>
      </c>
      <c r="C99" s="2">
        <v>1</v>
      </c>
      <c r="D99" s="23">
        <v>13.99</v>
      </c>
      <c r="E99" s="3">
        <v>13.99</v>
      </c>
      <c r="F99" s="2" t="s">
        <v>18551</v>
      </c>
      <c r="G99" s="22" t="s">
        <v>19467</v>
      </c>
      <c r="H99" s="24" t="s">
        <v>19384</v>
      </c>
      <c r="I99" s="22" t="s">
        <v>19309</v>
      </c>
      <c r="J99" s="22" t="s">
        <v>19573</v>
      </c>
      <c r="K99" s="22" t="s">
        <v>19574</v>
      </c>
      <c r="L99" s="22"/>
      <c r="M99" s="22"/>
      <c r="N99" s="25" t="str">
        <f>HYPERLINK("http://slimages.macys.com/is/image/MCY/21361645 ")</f>
        <v xml:space="preserve">http://slimages.macys.com/is/image/MCY/21361645 </v>
      </c>
    </row>
    <row r="100" spans="1:14" ht="24.75" x14ac:dyDescent="0.25">
      <c r="A100" s="21" t="s">
        <v>13875</v>
      </c>
      <c r="B100" s="22" t="s">
        <v>13876</v>
      </c>
      <c r="C100" s="2">
        <v>15</v>
      </c>
      <c r="D100" s="23">
        <v>16.989999999999998</v>
      </c>
      <c r="E100" s="3">
        <v>254.85</v>
      </c>
      <c r="F100" s="2" t="s">
        <v>18581</v>
      </c>
      <c r="G100" s="22" t="s">
        <v>19333</v>
      </c>
      <c r="H100" s="24" t="s">
        <v>19907</v>
      </c>
      <c r="I100" s="22" t="s">
        <v>19309</v>
      </c>
      <c r="J100" s="22" t="s">
        <v>19454</v>
      </c>
      <c r="K100" s="22" t="s">
        <v>19524</v>
      </c>
      <c r="L100" s="22"/>
      <c r="M100" s="22"/>
      <c r="N100" s="25" t="str">
        <f>HYPERLINK("http://slimages.macys.com/is/image/MCY/21265927 ")</f>
        <v xml:space="preserve">http://slimages.macys.com/is/image/MCY/21265927 </v>
      </c>
    </row>
    <row r="101" spans="1:14" ht="24.75" x14ac:dyDescent="0.25">
      <c r="A101" s="21" t="s">
        <v>8310</v>
      </c>
      <c r="B101" s="22" t="s">
        <v>8311</v>
      </c>
      <c r="C101" s="2">
        <v>3</v>
      </c>
      <c r="D101" s="23">
        <v>8.25</v>
      </c>
      <c r="E101" s="3">
        <v>24.75</v>
      </c>
      <c r="F101" s="2" t="s">
        <v>8312</v>
      </c>
      <c r="G101" s="22" t="s">
        <v>19351</v>
      </c>
      <c r="H101" s="24" t="s">
        <v>19395</v>
      </c>
      <c r="I101" s="22" t="s">
        <v>19309</v>
      </c>
      <c r="J101" s="22" t="s">
        <v>19447</v>
      </c>
      <c r="K101" s="22" t="s">
        <v>20146</v>
      </c>
      <c r="L101" s="22"/>
      <c r="M101" s="22"/>
      <c r="N101" s="25" t="str">
        <f>HYPERLINK("http://slimages.macys.com/is/image/MCY/20437124 ")</f>
        <v xml:space="preserve">http://slimages.macys.com/is/image/MCY/20437124 </v>
      </c>
    </row>
    <row r="102" spans="1:14" ht="24.75" x14ac:dyDescent="0.25">
      <c r="A102" s="21" t="s">
        <v>8313</v>
      </c>
      <c r="B102" s="22" t="s">
        <v>8314</v>
      </c>
      <c r="C102" s="2">
        <v>7</v>
      </c>
      <c r="D102" s="23">
        <v>8.25</v>
      </c>
      <c r="E102" s="3">
        <v>57.75</v>
      </c>
      <c r="F102" s="2" t="s">
        <v>8312</v>
      </c>
      <c r="G102" s="22" t="s">
        <v>19351</v>
      </c>
      <c r="H102" s="24" t="s">
        <v>19542</v>
      </c>
      <c r="I102" s="22" t="s">
        <v>19309</v>
      </c>
      <c r="J102" s="22" t="s">
        <v>19447</v>
      </c>
      <c r="K102" s="22" t="s">
        <v>20146</v>
      </c>
      <c r="L102" s="22"/>
      <c r="M102" s="22"/>
      <c r="N102" s="25" t="str">
        <f>HYPERLINK("http://slimages.macys.com/is/image/MCY/20437124 ")</f>
        <v xml:space="preserve">http://slimages.macys.com/is/image/MCY/20437124 </v>
      </c>
    </row>
    <row r="103" spans="1:14" x14ac:dyDescent="0.25">
      <c r="A103" s="21" t="s">
        <v>8315</v>
      </c>
      <c r="B103" s="22" t="s">
        <v>8316</v>
      </c>
      <c r="C103" s="2">
        <v>12</v>
      </c>
      <c r="D103" s="23">
        <v>7.99</v>
      </c>
      <c r="E103" s="3">
        <v>95.88</v>
      </c>
      <c r="F103" s="2" t="s">
        <v>8317</v>
      </c>
      <c r="G103" s="22" t="s">
        <v>19467</v>
      </c>
      <c r="H103" s="24" t="s">
        <v>19364</v>
      </c>
      <c r="I103" s="22" t="s">
        <v>19309</v>
      </c>
      <c r="J103" s="22" t="s">
        <v>19310</v>
      </c>
      <c r="K103" s="22" t="s">
        <v>19873</v>
      </c>
      <c r="L103" s="22"/>
      <c r="M103" s="22"/>
      <c r="N103" s="25" t="str">
        <f>HYPERLINK("http://slimages.macys.com/is/image/MCY/20004909 ")</f>
        <v xml:space="preserve">http://slimages.macys.com/is/image/MCY/20004909 </v>
      </c>
    </row>
    <row r="104" spans="1:14" ht="24.75" x14ac:dyDescent="0.25">
      <c r="A104" s="21" t="s">
        <v>16277</v>
      </c>
      <c r="B104" s="22" t="s">
        <v>16278</v>
      </c>
      <c r="C104" s="2">
        <v>11</v>
      </c>
      <c r="D104" s="23">
        <v>10.91</v>
      </c>
      <c r="E104" s="3">
        <v>120.01</v>
      </c>
      <c r="F104" s="2" t="s">
        <v>16279</v>
      </c>
      <c r="G104" s="22" t="s">
        <v>19351</v>
      </c>
      <c r="H104" s="24" t="s">
        <v>19345</v>
      </c>
      <c r="I104" s="22" t="s">
        <v>19309</v>
      </c>
      <c r="J104" s="22" t="s">
        <v>19602</v>
      </c>
      <c r="K104" s="22" t="s">
        <v>20041</v>
      </c>
      <c r="L104" s="22"/>
      <c r="M104" s="22"/>
      <c r="N104" s="25" t="str">
        <f>HYPERLINK("http://slimages.macys.com/is/image/MCY/21669854 ")</f>
        <v xml:space="preserve">http://slimages.macys.com/is/image/MCY/21669854 </v>
      </c>
    </row>
    <row r="105" spans="1:14" x14ac:dyDescent="0.25">
      <c r="A105" s="21" t="s">
        <v>11105</v>
      </c>
      <c r="B105" s="22" t="s">
        <v>11106</v>
      </c>
      <c r="C105" s="2">
        <v>6</v>
      </c>
      <c r="D105" s="23">
        <v>24</v>
      </c>
      <c r="E105" s="3">
        <v>144</v>
      </c>
      <c r="F105" s="2" t="s">
        <v>11107</v>
      </c>
      <c r="G105" s="22" t="s">
        <v>19357</v>
      </c>
      <c r="H105" s="24"/>
      <c r="I105" s="22" t="s">
        <v>19309</v>
      </c>
      <c r="J105" s="22" t="s">
        <v>19417</v>
      </c>
      <c r="K105" s="22" t="s">
        <v>18317</v>
      </c>
      <c r="L105" s="22"/>
      <c r="M105" s="22"/>
      <c r="N105" s="25" t="str">
        <f>HYPERLINK("http://slimages.macys.com/is/image/MCY/21614962 ")</f>
        <v xml:space="preserve">http://slimages.macys.com/is/image/MCY/21614962 </v>
      </c>
    </row>
    <row r="106" spans="1:14" x14ac:dyDescent="0.25">
      <c r="A106" s="21" t="s">
        <v>9619</v>
      </c>
      <c r="B106" s="22" t="s">
        <v>9620</v>
      </c>
      <c r="C106" s="2">
        <v>6</v>
      </c>
      <c r="D106" s="23">
        <v>24</v>
      </c>
      <c r="E106" s="3">
        <v>144</v>
      </c>
      <c r="F106" s="2" t="s">
        <v>11107</v>
      </c>
      <c r="G106" s="22" t="s">
        <v>19357</v>
      </c>
      <c r="H106" s="24" t="s">
        <v>19538</v>
      </c>
      <c r="I106" s="22" t="s">
        <v>19309</v>
      </c>
      <c r="J106" s="22" t="s">
        <v>19417</v>
      </c>
      <c r="K106" s="22" t="s">
        <v>18317</v>
      </c>
      <c r="L106" s="22"/>
      <c r="M106" s="22"/>
      <c r="N106" s="25" t="str">
        <f>HYPERLINK("http://slimages.macys.com/is/image/MCY/21614962 ")</f>
        <v xml:space="preserve">http://slimages.macys.com/is/image/MCY/21614962 </v>
      </c>
    </row>
    <row r="107" spans="1:14" ht="24.75" x14ac:dyDescent="0.25">
      <c r="A107" s="21" t="s">
        <v>8318</v>
      </c>
      <c r="B107" s="22" t="s">
        <v>8319</v>
      </c>
      <c r="C107" s="2">
        <v>10</v>
      </c>
      <c r="D107" s="23">
        <v>22</v>
      </c>
      <c r="E107" s="3">
        <v>220</v>
      </c>
      <c r="F107" s="2" t="s">
        <v>8320</v>
      </c>
      <c r="G107" s="22" t="s">
        <v>19404</v>
      </c>
      <c r="H107" s="24" t="s">
        <v>19770</v>
      </c>
      <c r="I107" s="22" t="s">
        <v>19309</v>
      </c>
      <c r="J107" s="22" t="s">
        <v>19417</v>
      </c>
      <c r="K107" s="22" t="s">
        <v>20110</v>
      </c>
      <c r="L107" s="22"/>
      <c r="M107" s="22"/>
      <c r="N107" s="25" t="str">
        <f>HYPERLINK("http://slimages.macys.com/is/image/MCY/21400762 ")</f>
        <v xml:space="preserve">http://slimages.macys.com/is/image/MCY/21400762 </v>
      </c>
    </row>
    <row r="108" spans="1:14" ht="24.75" x14ac:dyDescent="0.25">
      <c r="A108" s="21" t="s">
        <v>8321</v>
      </c>
      <c r="B108" s="22" t="s">
        <v>8322</v>
      </c>
      <c r="C108" s="2">
        <v>8</v>
      </c>
      <c r="D108" s="23">
        <v>10.99</v>
      </c>
      <c r="E108" s="3">
        <v>87.92</v>
      </c>
      <c r="F108" s="2" t="s">
        <v>13319</v>
      </c>
      <c r="G108" s="22" t="s">
        <v>19415</v>
      </c>
      <c r="H108" s="24" t="s">
        <v>19364</v>
      </c>
      <c r="I108" s="22" t="s">
        <v>19309</v>
      </c>
      <c r="J108" s="22" t="s">
        <v>19353</v>
      </c>
      <c r="K108" s="22" t="s">
        <v>19524</v>
      </c>
      <c r="L108" s="22"/>
      <c r="M108" s="22"/>
      <c r="N108" s="25" t="str">
        <f>HYPERLINK("http://slimages.macys.com/is/image/MCY/21083368 ")</f>
        <v xml:space="preserve">http://slimages.macys.com/is/image/MCY/21083368 </v>
      </c>
    </row>
    <row r="109" spans="1:14" x14ac:dyDescent="0.25">
      <c r="A109" s="21" t="s">
        <v>8323</v>
      </c>
      <c r="B109" s="22" t="s">
        <v>8324</v>
      </c>
      <c r="C109" s="2">
        <v>2</v>
      </c>
      <c r="D109" s="23">
        <v>24</v>
      </c>
      <c r="E109" s="3">
        <v>48</v>
      </c>
      <c r="F109" s="2" t="s">
        <v>8325</v>
      </c>
      <c r="G109" s="22" t="s">
        <v>19333</v>
      </c>
      <c r="H109" s="24" t="s">
        <v>19538</v>
      </c>
      <c r="I109" s="22" t="s">
        <v>19309</v>
      </c>
      <c r="J109" s="22" t="s">
        <v>19417</v>
      </c>
      <c r="K109" s="22" t="s">
        <v>18317</v>
      </c>
      <c r="L109" s="22"/>
      <c r="M109" s="22"/>
      <c r="N109" s="25" t="str">
        <f>HYPERLINK("http://slimages.macys.com/is/image/MCY/21614875 ")</f>
        <v xml:space="preserve">http://slimages.macys.com/is/image/MCY/21614875 </v>
      </c>
    </row>
    <row r="110" spans="1:14" ht="24.75" x14ac:dyDescent="0.25">
      <c r="A110" s="21" t="s">
        <v>8326</v>
      </c>
      <c r="B110" s="22" t="s">
        <v>8327</v>
      </c>
      <c r="C110" s="2">
        <v>1</v>
      </c>
      <c r="D110" s="23">
        <v>14.99</v>
      </c>
      <c r="E110" s="3">
        <v>14.99</v>
      </c>
      <c r="F110" s="2" t="s">
        <v>18746</v>
      </c>
      <c r="G110" s="22" t="s">
        <v>19315</v>
      </c>
      <c r="H110" s="24" t="s">
        <v>19364</v>
      </c>
      <c r="I110" s="22" t="s">
        <v>19309</v>
      </c>
      <c r="J110" s="22" t="s">
        <v>19815</v>
      </c>
      <c r="K110" s="22" t="s">
        <v>19816</v>
      </c>
      <c r="L110" s="22"/>
      <c r="M110" s="22"/>
      <c r="N110" s="25" t="str">
        <f>HYPERLINK("http://slimages.macys.com/is/image/MCY/20815259 ")</f>
        <v xml:space="preserve">http://slimages.macys.com/is/image/MCY/20815259 </v>
      </c>
    </row>
    <row r="111" spans="1:14" x14ac:dyDescent="0.25">
      <c r="A111" s="21" t="s">
        <v>8328</v>
      </c>
      <c r="B111" s="22" t="s">
        <v>8329</v>
      </c>
      <c r="C111" s="2">
        <v>3</v>
      </c>
      <c r="D111" s="23">
        <v>8.64</v>
      </c>
      <c r="E111" s="3">
        <v>25.92</v>
      </c>
      <c r="F111" s="2" t="s">
        <v>8330</v>
      </c>
      <c r="G111" s="22" t="s">
        <v>19357</v>
      </c>
      <c r="H111" s="24" t="s">
        <v>20152</v>
      </c>
      <c r="I111" s="22" t="s">
        <v>19309</v>
      </c>
      <c r="J111" s="22" t="s">
        <v>19708</v>
      </c>
      <c r="K111" s="22" t="s">
        <v>19709</v>
      </c>
      <c r="L111" s="22"/>
      <c r="M111" s="22"/>
      <c r="N111" s="25" t="str">
        <f>HYPERLINK("http://slimages.macys.com/is/image/MCY/19146234 ")</f>
        <v xml:space="preserve">http://slimages.macys.com/is/image/MCY/19146234 </v>
      </c>
    </row>
    <row r="112" spans="1:14" ht="24.75" x14ac:dyDescent="0.25">
      <c r="A112" s="21" t="s">
        <v>8331</v>
      </c>
      <c r="B112" s="22" t="s">
        <v>8332</v>
      </c>
      <c r="C112" s="2">
        <v>13</v>
      </c>
      <c r="D112" s="23">
        <v>8.31</v>
      </c>
      <c r="E112" s="3">
        <v>108.03</v>
      </c>
      <c r="F112" s="2" t="s">
        <v>11115</v>
      </c>
      <c r="G112" s="22" t="s">
        <v>19431</v>
      </c>
      <c r="H112" s="24" t="s">
        <v>19352</v>
      </c>
      <c r="I112" s="22" t="s">
        <v>19309</v>
      </c>
      <c r="J112" s="22" t="s">
        <v>19565</v>
      </c>
      <c r="K112" s="22" t="s">
        <v>18514</v>
      </c>
      <c r="L112" s="22"/>
      <c r="M112" s="22"/>
      <c r="N112" s="25" t="str">
        <f>HYPERLINK("http://slimages.macys.com/is/image/MCY/21901987 ")</f>
        <v xml:space="preserve">http://slimages.macys.com/is/image/MCY/21901987 </v>
      </c>
    </row>
    <row r="113" spans="1:14" x14ac:dyDescent="0.25">
      <c r="A113" s="21" t="s">
        <v>8333</v>
      </c>
      <c r="B113" s="22" t="s">
        <v>8334</v>
      </c>
      <c r="C113" s="2">
        <v>11</v>
      </c>
      <c r="D113" s="23">
        <v>16</v>
      </c>
      <c r="E113" s="3">
        <v>176</v>
      </c>
      <c r="F113" s="2" t="s">
        <v>11118</v>
      </c>
      <c r="G113" s="22" t="s">
        <v>19794</v>
      </c>
      <c r="H113" s="24" t="s">
        <v>19330</v>
      </c>
      <c r="I113" s="22" t="s">
        <v>19309</v>
      </c>
      <c r="J113" s="22" t="s">
        <v>19708</v>
      </c>
      <c r="K113" s="22" t="s">
        <v>19709</v>
      </c>
      <c r="L113" s="22"/>
      <c r="M113" s="22"/>
      <c r="N113" s="25" t="str">
        <f>HYPERLINK("http://slimages.macys.com/is/image/MCY/21726750 ")</f>
        <v xml:space="preserve">http://slimages.macys.com/is/image/MCY/21726750 </v>
      </c>
    </row>
    <row r="114" spans="1:14" x14ac:dyDescent="0.25">
      <c r="A114" s="21" t="s">
        <v>8335</v>
      </c>
      <c r="B114" s="22" t="s">
        <v>8336</v>
      </c>
      <c r="C114" s="2">
        <v>3</v>
      </c>
      <c r="D114" s="23">
        <v>16</v>
      </c>
      <c r="E114" s="3">
        <v>48</v>
      </c>
      <c r="F114" s="2" t="s">
        <v>11118</v>
      </c>
      <c r="G114" s="22" t="s">
        <v>19794</v>
      </c>
      <c r="H114" s="24" t="s">
        <v>19416</v>
      </c>
      <c r="I114" s="22" t="s">
        <v>19309</v>
      </c>
      <c r="J114" s="22" t="s">
        <v>19708</v>
      </c>
      <c r="K114" s="22" t="s">
        <v>19709</v>
      </c>
      <c r="L114" s="22"/>
      <c r="M114" s="22"/>
      <c r="N114" s="25" t="str">
        <f>HYPERLINK("http://slimages.macys.com/is/image/MCY/21726750 ")</f>
        <v xml:space="preserve">http://slimages.macys.com/is/image/MCY/21726750 </v>
      </c>
    </row>
    <row r="115" spans="1:14" ht="24.75" x14ac:dyDescent="0.25">
      <c r="A115" s="21" t="s">
        <v>9107</v>
      </c>
      <c r="B115" s="22" t="s">
        <v>9108</v>
      </c>
      <c r="C115" s="2">
        <v>1</v>
      </c>
      <c r="D115" s="23">
        <v>6.99</v>
      </c>
      <c r="E115" s="3">
        <v>6.99</v>
      </c>
      <c r="F115" s="2" t="s">
        <v>18841</v>
      </c>
      <c r="G115" s="22" t="s">
        <v>19618</v>
      </c>
      <c r="H115" s="24" t="s">
        <v>19352</v>
      </c>
      <c r="I115" s="22" t="s">
        <v>19309</v>
      </c>
      <c r="J115" s="22" t="s">
        <v>19849</v>
      </c>
      <c r="K115" s="22" t="s">
        <v>19850</v>
      </c>
      <c r="L115" s="22"/>
      <c r="M115" s="22"/>
      <c r="N115" s="25" t="str">
        <f>HYPERLINK("http://slimages.macys.com/is/image/MCY/19068307 ")</f>
        <v xml:space="preserve">http://slimages.macys.com/is/image/MCY/19068307 </v>
      </c>
    </row>
    <row r="116" spans="1:14" ht="24.75" x14ac:dyDescent="0.25">
      <c r="A116" s="21" t="s">
        <v>8337</v>
      </c>
      <c r="B116" s="22" t="s">
        <v>8338</v>
      </c>
      <c r="C116" s="2">
        <v>7</v>
      </c>
      <c r="D116" s="23">
        <v>7.99</v>
      </c>
      <c r="E116" s="3">
        <v>55.93</v>
      </c>
      <c r="F116" s="2" t="s">
        <v>9184</v>
      </c>
      <c r="G116" s="22" t="s">
        <v>19351</v>
      </c>
      <c r="H116" s="24" t="s">
        <v>20135</v>
      </c>
      <c r="I116" s="22" t="s">
        <v>19309</v>
      </c>
      <c r="J116" s="22" t="s">
        <v>19908</v>
      </c>
      <c r="K116" s="22" t="s">
        <v>19524</v>
      </c>
      <c r="L116" s="22"/>
      <c r="M116" s="22"/>
      <c r="N116" s="25" t="str">
        <f>HYPERLINK("http://slimages.macys.com/is/image/MCY/1080385 ")</f>
        <v xml:space="preserve">http://slimages.macys.com/is/image/MCY/1080385 </v>
      </c>
    </row>
    <row r="117" spans="1:14" ht="24.75" x14ac:dyDescent="0.25">
      <c r="A117" s="21" t="s">
        <v>8339</v>
      </c>
      <c r="B117" s="22" t="s">
        <v>8340</v>
      </c>
      <c r="C117" s="2">
        <v>3</v>
      </c>
      <c r="D117" s="23">
        <v>7.99</v>
      </c>
      <c r="E117" s="3">
        <v>23.97</v>
      </c>
      <c r="F117" s="2" t="s">
        <v>19012</v>
      </c>
      <c r="G117" s="22" t="s">
        <v>19906</v>
      </c>
      <c r="H117" s="24" t="s">
        <v>19416</v>
      </c>
      <c r="I117" s="22" t="s">
        <v>19309</v>
      </c>
      <c r="J117" s="22" t="s">
        <v>19573</v>
      </c>
      <c r="K117" s="22" t="s">
        <v>19574</v>
      </c>
      <c r="L117" s="22"/>
      <c r="M117" s="22"/>
      <c r="N117" s="25" t="str">
        <f>HYPERLINK("http://slimages.macys.com/is/image/MCY/21361565 ")</f>
        <v xml:space="preserve">http://slimages.macys.com/is/image/MCY/21361565 </v>
      </c>
    </row>
    <row r="118" spans="1:14" ht="24.75" x14ac:dyDescent="0.25">
      <c r="A118" s="21" t="s">
        <v>8341</v>
      </c>
      <c r="B118" s="22" t="s">
        <v>8342</v>
      </c>
      <c r="C118" s="2">
        <v>56</v>
      </c>
      <c r="D118" s="23">
        <v>7.99</v>
      </c>
      <c r="E118" s="3">
        <v>447.44</v>
      </c>
      <c r="F118" s="2" t="s">
        <v>11129</v>
      </c>
      <c r="G118" s="22" t="s">
        <v>19351</v>
      </c>
      <c r="H118" s="24" t="s">
        <v>19907</v>
      </c>
      <c r="I118" s="22" t="s">
        <v>19309</v>
      </c>
      <c r="J118" s="22" t="s">
        <v>19573</v>
      </c>
      <c r="K118" s="22" t="s">
        <v>19574</v>
      </c>
      <c r="L118" s="22"/>
      <c r="M118" s="22"/>
      <c r="N118" s="25" t="str">
        <f>HYPERLINK("http://slimages.macys.com/is/image/MCY/1610409 ")</f>
        <v xml:space="preserve">http://slimages.macys.com/is/image/MCY/1610409 </v>
      </c>
    </row>
    <row r="119" spans="1:14" ht="24.75" x14ac:dyDescent="0.25">
      <c r="A119" s="21" t="s">
        <v>8343</v>
      </c>
      <c r="B119" s="22" t="s">
        <v>8344</v>
      </c>
      <c r="C119" s="2">
        <v>6</v>
      </c>
      <c r="D119" s="23">
        <v>7.99</v>
      </c>
      <c r="E119" s="3">
        <v>47.94</v>
      </c>
      <c r="F119" s="2" t="s">
        <v>11132</v>
      </c>
      <c r="G119" s="22" t="s">
        <v>19618</v>
      </c>
      <c r="H119" s="24" t="s">
        <v>20089</v>
      </c>
      <c r="I119" s="22" t="s">
        <v>19309</v>
      </c>
      <c r="J119" s="22" t="s">
        <v>19573</v>
      </c>
      <c r="K119" s="22" t="s">
        <v>19574</v>
      </c>
      <c r="L119" s="22"/>
      <c r="M119" s="22"/>
      <c r="N119" s="25" t="str">
        <f>HYPERLINK("http://slimages.macys.com/is/image/MCY/1573861 ")</f>
        <v xml:space="preserve">http://slimages.macys.com/is/image/MCY/1573861 </v>
      </c>
    </row>
    <row r="120" spans="1:14" ht="24.75" x14ac:dyDescent="0.25">
      <c r="A120" s="21" t="s">
        <v>8345</v>
      </c>
      <c r="B120" s="22" t="s">
        <v>8346</v>
      </c>
      <c r="C120" s="2">
        <v>8</v>
      </c>
      <c r="D120" s="23">
        <v>6.99</v>
      </c>
      <c r="E120" s="3">
        <v>55.92</v>
      </c>
      <c r="F120" s="2" t="s">
        <v>17155</v>
      </c>
      <c r="G120" s="22" t="s">
        <v>19674</v>
      </c>
      <c r="H120" s="24" t="s">
        <v>19384</v>
      </c>
      <c r="I120" s="22" t="s">
        <v>19309</v>
      </c>
      <c r="J120" s="22" t="s">
        <v>19573</v>
      </c>
      <c r="K120" s="22" t="s">
        <v>19574</v>
      </c>
      <c r="L120" s="22"/>
      <c r="M120" s="22"/>
      <c r="N120" s="25" t="str">
        <f>HYPERLINK("http://slimages.macys.com/is/image/MCY/14799396 ")</f>
        <v xml:space="preserve">http://slimages.macys.com/is/image/MCY/14799396 </v>
      </c>
    </row>
    <row r="121" spans="1:14" ht="24.75" x14ac:dyDescent="0.25">
      <c r="A121" s="21" t="s">
        <v>8347</v>
      </c>
      <c r="B121" s="22" t="s">
        <v>8348</v>
      </c>
      <c r="C121" s="2">
        <v>6</v>
      </c>
      <c r="D121" s="23">
        <v>6.99</v>
      </c>
      <c r="E121" s="3">
        <v>41.94</v>
      </c>
      <c r="F121" s="2" t="s">
        <v>9207</v>
      </c>
      <c r="G121" s="22" t="s">
        <v>19315</v>
      </c>
      <c r="H121" s="24" t="s">
        <v>19339</v>
      </c>
      <c r="I121" s="22" t="s">
        <v>19309</v>
      </c>
      <c r="J121" s="22" t="s">
        <v>19454</v>
      </c>
      <c r="K121" s="22" t="s">
        <v>18654</v>
      </c>
      <c r="L121" s="22"/>
      <c r="M121" s="22"/>
      <c r="N121" s="25" t="str">
        <f>HYPERLINK("http://slimages.macys.com/is/image/MCY/19257819 ")</f>
        <v xml:space="preserve">http://slimages.macys.com/is/image/MCY/19257819 </v>
      </c>
    </row>
    <row r="122" spans="1:14" ht="24.75" x14ac:dyDescent="0.25">
      <c r="A122" s="21" t="s">
        <v>8349</v>
      </c>
      <c r="B122" s="22" t="s">
        <v>8350</v>
      </c>
      <c r="C122" s="2">
        <v>13</v>
      </c>
      <c r="D122" s="23">
        <v>7.99</v>
      </c>
      <c r="E122" s="3">
        <v>103.87</v>
      </c>
      <c r="F122" s="2" t="s">
        <v>17068</v>
      </c>
      <c r="G122" s="22" t="s">
        <v>19906</v>
      </c>
      <c r="H122" s="24" t="s">
        <v>20135</v>
      </c>
      <c r="I122" s="22" t="s">
        <v>19309</v>
      </c>
      <c r="J122" s="22" t="s">
        <v>19573</v>
      </c>
      <c r="K122" s="22" t="s">
        <v>19574</v>
      </c>
      <c r="L122" s="22"/>
      <c r="M122" s="22"/>
      <c r="N122" s="25" t="str">
        <f>HYPERLINK("http://slimages.macys.com/is/image/MCY/1554809 ")</f>
        <v xml:space="preserve">http://slimages.macys.com/is/image/MCY/1554809 </v>
      </c>
    </row>
    <row r="123" spans="1:14" ht="24.75" x14ac:dyDescent="0.25">
      <c r="A123" s="21" t="s">
        <v>8351</v>
      </c>
      <c r="B123" s="22" t="s">
        <v>8352</v>
      </c>
      <c r="C123" s="2">
        <v>18</v>
      </c>
      <c r="D123" s="23">
        <v>7.99</v>
      </c>
      <c r="E123" s="3">
        <v>143.82</v>
      </c>
      <c r="F123" s="2" t="s">
        <v>17068</v>
      </c>
      <c r="G123" s="22" t="s">
        <v>19415</v>
      </c>
      <c r="H123" s="24" t="s">
        <v>20135</v>
      </c>
      <c r="I123" s="22" t="s">
        <v>19309</v>
      </c>
      <c r="J123" s="22" t="s">
        <v>19573</v>
      </c>
      <c r="K123" s="22" t="s">
        <v>19574</v>
      </c>
      <c r="L123" s="22"/>
      <c r="M123" s="22"/>
      <c r="N123" s="25" t="str">
        <f>HYPERLINK("http://slimages.macys.com/is/image/MCY/21371404 ")</f>
        <v xml:space="preserve">http://slimages.macys.com/is/image/MCY/21371404 </v>
      </c>
    </row>
    <row r="124" spans="1:14" ht="24.75" x14ac:dyDescent="0.25">
      <c r="A124" s="21" t="s">
        <v>8353</v>
      </c>
      <c r="B124" s="22" t="s">
        <v>8354</v>
      </c>
      <c r="C124" s="2">
        <v>36</v>
      </c>
      <c r="D124" s="23">
        <v>7.99</v>
      </c>
      <c r="E124" s="3">
        <v>287.64</v>
      </c>
      <c r="F124" s="2" t="s">
        <v>17068</v>
      </c>
      <c r="G124" s="22" t="s">
        <v>19906</v>
      </c>
      <c r="H124" s="24" t="s">
        <v>19907</v>
      </c>
      <c r="I124" s="22" t="s">
        <v>19309</v>
      </c>
      <c r="J124" s="22" t="s">
        <v>19573</v>
      </c>
      <c r="K124" s="22" t="s">
        <v>19574</v>
      </c>
      <c r="L124" s="22"/>
      <c r="M124" s="22"/>
      <c r="N124" s="25" t="str">
        <f>HYPERLINK("http://slimages.macys.com/is/image/MCY/1554809 ")</f>
        <v xml:space="preserve">http://slimages.macys.com/is/image/MCY/1554809 </v>
      </c>
    </row>
    <row r="125" spans="1:14" ht="24.75" x14ac:dyDescent="0.25">
      <c r="A125" s="21" t="s">
        <v>8355</v>
      </c>
      <c r="B125" s="22" t="s">
        <v>8356</v>
      </c>
      <c r="C125" s="2">
        <v>36</v>
      </c>
      <c r="D125" s="23">
        <v>7.99</v>
      </c>
      <c r="E125" s="3">
        <v>287.64</v>
      </c>
      <c r="F125" s="2" t="s">
        <v>17068</v>
      </c>
      <c r="G125" s="22" t="s">
        <v>19415</v>
      </c>
      <c r="H125" s="24" t="s">
        <v>19907</v>
      </c>
      <c r="I125" s="22" t="s">
        <v>19309</v>
      </c>
      <c r="J125" s="22" t="s">
        <v>19573</v>
      </c>
      <c r="K125" s="22" t="s">
        <v>19574</v>
      </c>
      <c r="L125" s="22"/>
      <c r="M125" s="22"/>
      <c r="N125" s="25" t="str">
        <f>HYPERLINK("http://slimages.macys.com/is/image/MCY/21371404 ")</f>
        <v xml:space="preserve">http://slimages.macys.com/is/image/MCY/21371404 </v>
      </c>
    </row>
    <row r="126" spans="1:14" ht="24.75" x14ac:dyDescent="0.25">
      <c r="A126" s="21" t="s">
        <v>9674</v>
      </c>
      <c r="B126" s="22" t="s">
        <v>9675</v>
      </c>
      <c r="C126" s="2">
        <v>33</v>
      </c>
      <c r="D126" s="23">
        <v>7.99</v>
      </c>
      <c r="E126" s="3">
        <v>263.67</v>
      </c>
      <c r="F126" s="2" t="s">
        <v>17068</v>
      </c>
      <c r="G126" s="22" t="s">
        <v>19674</v>
      </c>
      <c r="H126" s="24" t="s">
        <v>20135</v>
      </c>
      <c r="I126" s="22" t="s">
        <v>19309</v>
      </c>
      <c r="J126" s="22" t="s">
        <v>19573</v>
      </c>
      <c r="K126" s="22" t="s">
        <v>19574</v>
      </c>
      <c r="L126" s="22"/>
      <c r="M126" s="22"/>
      <c r="N126" s="25" t="str">
        <f>HYPERLINK("http://slimages.macys.com/is/image/MCY/21371404 ")</f>
        <v xml:space="preserve">http://slimages.macys.com/is/image/MCY/21371404 </v>
      </c>
    </row>
    <row r="127" spans="1:14" ht="24.75" x14ac:dyDescent="0.25">
      <c r="A127" s="21" t="s">
        <v>8149</v>
      </c>
      <c r="B127" s="22" t="s">
        <v>8150</v>
      </c>
      <c r="C127" s="2">
        <v>18</v>
      </c>
      <c r="D127" s="23">
        <v>7.99</v>
      </c>
      <c r="E127" s="3">
        <v>143.82</v>
      </c>
      <c r="F127" s="2" t="s">
        <v>17068</v>
      </c>
      <c r="G127" s="22" t="s">
        <v>19674</v>
      </c>
      <c r="H127" s="24" t="s">
        <v>19907</v>
      </c>
      <c r="I127" s="22" t="s">
        <v>19309</v>
      </c>
      <c r="J127" s="22" t="s">
        <v>19573</v>
      </c>
      <c r="K127" s="22" t="s">
        <v>19574</v>
      </c>
      <c r="L127" s="22"/>
      <c r="M127" s="22"/>
      <c r="N127" s="25" t="str">
        <f>HYPERLINK("http://slimages.macys.com/is/image/MCY/1554809 ")</f>
        <v xml:space="preserve">http://slimages.macys.com/is/image/MCY/1554809 </v>
      </c>
    </row>
    <row r="128" spans="1:14" ht="24.75" x14ac:dyDescent="0.25">
      <c r="A128" s="21" t="s">
        <v>8357</v>
      </c>
      <c r="B128" s="22" t="s">
        <v>8358</v>
      </c>
      <c r="C128" s="2">
        <v>7</v>
      </c>
      <c r="D128" s="23">
        <v>7.99</v>
      </c>
      <c r="E128" s="3">
        <v>55.93</v>
      </c>
      <c r="F128" s="2" t="s">
        <v>8359</v>
      </c>
      <c r="G128" s="22" t="s">
        <v>19351</v>
      </c>
      <c r="H128" s="24" t="s">
        <v>20089</v>
      </c>
      <c r="I128" s="22" t="s">
        <v>19309</v>
      </c>
      <c r="J128" s="22" t="s">
        <v>19573</v>
      </c>
      <c r="K128" s="22" t="s">
        <v>19574</v>
      </c>
      <c r="L128" s="22"/>
      <c r="M128" s="22"/>
      <c r="N128" s="25" t="str">
        <f>HYPERLINK("http://slimages.macys.com/is/image/MCY/21088503 ")</f>
        <v xml:space="preserve">http://slimages.macys.com/is/image/MCY/21088503 </v>
      </c>
    </row>
    <row r="129" spans="1:14" ht="24.75" x14ac:dyDescent="0.25">
      <c r="A129" s="21" t="s">
        <v>8360</v>
      </c>
      <c r="B129" s="22" t="s">
        <v>8361</v>
      </c>
      <c r="C129" s="2">
        <v>5</v>
      </c>
      <c r="D129" s="23">
        <v>7.99</v>
      </c>
      <c r="E129" s="3">
        <v>39.950000000000003</v>
      </c>
      <c r="F129" s="2" t="s">
        <v>8359</v>
      </c>
      <c r="G129" s="22" t="s">
        <v>19351</v>
      </c>
      <c r="H129" s="24" t="s">
        <v>19907</v>
      </c>
      <c r="I129" s="22" t="s">
        <v>19309</v>
      </c>
      <c r="J129" s="22" t="s">
        <v>19573</v>
      </c>
      <c r="K129" s="22" t="s">
        <v>19574</v>
      </c>
      <c r="L129" s="22"/>
      <c r="M129" s="22"/>
      <c r="N129" s="25" t="str">
        <f>HYPERLINK("http://slimages.macys.com/is/image/MCY/21088503 ")</f>
        <v xml:space="preserve">http://slimages.macys.com/is/image/MCY/21088503 </v>
      </c>
    </row>
    <row r="130" spans="1:14" ht="24.75" x14ac:dyDescent="0.25">
      <c r="A130" s="21" t="s">
        <v>8362</v>
      </c>
      <c r="B130" s="22" t="s">
        <v>8363</v>
      </c>
      <c r="C130" s="2">
        <v>40</v>
      </c>
      <c r="D130" s="23">
        <v>7.99</v>
      </c>
      <c r="E130" s="3">
        <v>319.60000000000002</v>
      </c>
      <c r="F130" s="2" t="s">
        <v>8359</v>
      </c>
      <c r="G130" s="22" t="s">
        <v>19351</v>
      </c>
      <c r="H130" s="24" t="s">
        <v>20135</v>
      </c>
      <c r="I130" s="22" t="s">
        <v>19309</v>
      </c>
      <c r="J130" s="22" t="s">
        <v>19573</v>
      </c>
      <c r="K130" s="22" t="s">
        <v>19574</v>
      </c>
      <c r="L130" s="22"/>
      <c r="M130" s="22"/>
      <c r="N130" s="25" t="str">
        <f>HYPERLINK("http://slimages.macys.com/is/image/MCY/21088503 ")</f>
        <v xml:space="preserve">http://slimages.macys.com/is/image/MCY/21088503 </v>
      </c>
    </row>
    <row r="131" spans="1:14" ht="24.75" x14ac:dyDescent="0.25">
      <c r="A131" s="21" t="s">
        <v>11139</v>
      </c>
      <c r="B131" s="22" t="s">
        <v>11140</v>
      </c>
      <c r="C131" s="2">
        <v>2</v>
      </c>
      <c r="D131" s="23">
        <v>7.99</v>
      </c>
      <c r="E131" s="3">
        <v>15.98</v>
      </c>
      <c r="F131" s="2" t="s">
        <v>17068</v>
      </c>
      <c r="G131" s="22" t="s">
        <v>19674</v>
      </c>
      <c r="H131" s="24" t="s">
        <v>19907</v>
      </c>
      <c r="I131" s="22" t="s">
        <v>19309</v>
      </c>
      <c r="J131" s="22" t="s">
        <v>19573</v>
      </c>
      <c r="K131" s="22" t="s">
        <v>19574</v>
      </c>
      <c r="L131" s="22"/>
      <c r="M131" s="22"/>
      <c r="N131" s="25" t="str">
        <f>HYPERLINK("http://slimages.macys.com/is/image/MCY/20757995 ")</f>
        <v xml:space="preserve">http://slimages.macys.com/is/image/MCY/20757995 </v>
      </c>
    </row>
    <row r="132" spans="1:14" ht="24.75" x14ac:dyDescent="0.25">
      <c r="A132" s="21" t="s">
        <v>8364</v>
      </c>
      <c r="B132" s="22" t="s">
        <v>13442</v>
      </c>
      <c r="C132" s="2">
        <v>43</v>
      </c>
      <c r="D132" s="23">
        <v>7.99</v>
      </c>
      <c r="E132" s="3">
        <v>343.57</v>
      </c>
      <c r="F132" s="2" t="s">
        <v>8365</v>
      </c>
      <c r="G132" s="22" t="s">
        <v>19618</v>
      </c>
      <c r="H132" s="24" t="s">
        <v>19907</v>
      </c>
      <c r="I132" s="22" t="s">
        <v>19309</v>
      </c>
      <c r="J132" s="22" t="s">
        <v>19573</v>
      </c>
      <c r="K132" s="22" t="s">
        <v>19574</v>
      </c>
      <c r="L132" s="22"/>
      <c r="M132" s="22"/>
      <c r="N132" s="25" t="str">
        <f>HYPERLINK("http://slimages.macys.com/is/image/MCY/1610409 ")</f>
        <v xml:space="preserve">http://slimages.macys.com/is/image/MCY/1610409 </v>
      </c>
    </row>
    <row r="133" spans="1:14" ht="24.75" x14ac:dyDescent="0.25">
      <c r="A133" s="21" t="s">
        <v>9246</v>
      </c>
      <c r="B133" s="22" t="s">
        <v>9247</v>
      </c>
      <c r="C133" s="2">
        <v>18</v>
      </c>
      <c r="D133" s="23">
        <v>7.99</v>
      </c>
      <c r="E133" s="3">
        <v>143.82</v>
      </c>
      <c r="F133" s="2" t="s">
        <v>11143</v>
      </c>
      <c r="G133" s="22" t="s">
        <v>19670</v>
      </c>
      <c r="H133" s="24" t="s">
        <v>20089</v>
      </c>
      <c r="I133" s="22" t="s">
        <v>19309</v>
      </c>
      <c r="J133" s="22" t="s">
        <v>19573</v>
      </c>
      <c r="K133" s="22" t="s">
        <v>19574</v>
      </c>
      <c r="L133" s="22"/>
      <c r="M133" s="22"/>
      <c r="N133" s="25" t="str">
        <f>HYPERLINK("http://slimages.macys.com/is/image/MCY/21209533 ")</f>
        <v xml:space="preserve">http://slimages.macys.com/is/image/MCY/21209533 </v>
      </c>
    </row>
    <row r="134" spans="1:14" ht="24.75" x14ac:dyDescent="0.25">
      <c r="A134" s="21" t="s">
        <v>8366</v>
      </c>
      <c r="B134" s="22" t="s">
        <v>8367</v>
      </c>
      <c r="C134" s="2">
        <v>18</v>
      </c>
      <c r="D134" s="23">
        <v>7.99</v>
      </c>
      <c r="E134" s="3">
        <v>143.82</v>
      </c>
      <c r="F134" s="2" t="s">
        <v>9689</v>
      </c>
      <c r="G134" s="22" t="s">
        <v>19674</v>
      </c>
      <c r="H134" s="24" t="s">
        <v>19907</v>
      </c>
      <c r="I134" s="22" t="s">
        <v>19309</v>
      </c>
      <c r="J134" s="22" t="s">
        <v>19573</v>
      </c>
      <c r="K134" s="22" t="s">
        <v>19574</v>
      </c>
      <c r="L134" s="22"/>
      <c r="M134" s="22"/>
      <c r="N134" s="25" t="str">
        <f>HYPERLINK("http://slimages.macys.com/is/image/MCY/21361805 ")</f>
        <v xml:space="preserve">http://slimages.macys.com/is/image/MCY/21361805 </v>
      </c>
    </row>
    <row r="135" spans="1:14" ht="24.75" x14ac:dyDescent="0.25">
      <c r="A135" s="21" t="s">
        <v>9692</v>
      </c>
      <c r="B135" s="22" t="s">
        <v>9693</v>
      </c>
      <c r="C135" s="2">
        <v>18</v>
      </c>
      <c r="D135" s="23">
        <v>6.99</v>
      </c>
      <c r="E135" s="3">
        <v>125.82</v>
      </c>
      <c r="F135" s="2" t="s">
        <v>19101</v>
      </c>
      <c r="G135" s="22" t="s">
        <v>19415</v>
      </c>
      <c r="H135" s="24" t="s">
        <v>19538</v>
      </c>
      <c r="I135" s="22" t="s">
        <v>19309</v>
      </c>
      <c r="J135" s="22" t="s">
        <v>19573</v>
      </c>
      <c r="K135" s="22" t="s">
        <v>19574</v>
      </c>
      <c r="L135" s="22"/>
      <c r="M135" s="22"/>
      <c r="N135" s="25" t="str">
        <f>HYPERLINK("http://slimages.macys.com/is/image/MCY/1586067 ")</f>
        <v xml:space="preserve">http://slimages.macys.com/is/image/MCY/1586067 </v>
      </c>
    </row>
    <row r="136" spans="1:14" ht="24.75" x14ac:dyDescent="0.25">
      <c r="A136" s="21" t="s">
        <v>8368</v>
      </c>
      <c r="B136" s="22" t="s">
        <v>8369</v>
      </c>
      <c r="C136" s="2">
        <v>18</v>
      </c>
      <c r="D136" s="23">
        <v>7.99</v>
      </c>
      <c r="E136" s="3">
        <v>143.82</v>
      </c>
      <c r="F136" s="2" t="s">
        <v>8370</v>
      </c>
      <c r="G136" s="22" t="s">
        <v>19415</v>
      </c>
      <c r="H136" s="24" t="s">
        <v>20135</v>
      </c>
      <c r="I136" s="22" t="s">
        <v>19309</v>
      </c>
      <c r="J136" s="22" t="s">
        <v>19573</v>
      </c>
      <c r="K136" s="22" t="s">
        <v>19574</v>
      </c>
      <c r="L136" s="22"/>
      <c r="M136" s="22"/>
      <c r="N136" s="25" t="str">
        <f>HYPERLINK("http://slimages.macys.com/is/image/MCY/1610409 ")</f>
        <v xml:space="preserve">http://slimages.macys.com/is/image/MCY/1610409 </v>
      </c>
    </row>
    <row r="137" spans="1:14" ht="24.75" x14ac:dyDescent="0.25">
      <c r="A137" s="21" t="s">
        <v>8371</v>
      </c>
      <c r="B137" s="22" t="s">
        <v>8372</v>
      </c>
      <c r="C137" s="2">
        <v>18</v>
      </c>
      <c r="D137" s="23">
        <v>7.99</v>
      </c>
      <c r="E137" s="3">
        <v>143.82</v>
      </c>
      <c r="F137" s="2" t="s">
        <v>9696</v>
      </c>
      <c r="G137" s="22" t="s">
        <v>19351</v>
      </c>
      <c r="H137" s="24" t="s">
        <v>20089</v>
      </c>
      <c r="I137" s="22" t="s">
        <v>19309</v>
      </c>
      <c r="J137" s="22" t="s">
        <v>19573</v>
      </c>
      <c r="K137" s="22" t="s">
        <v>19574</v>
      </c>
      <c r="L137" s="22"/>
      <c r="M137" s="22"/>
      <c r="N137" s="25" t="str">
        <f>HYPERLINK("http://slimages.macys.com/is/image/MCY/1610409 ")</f>
        <v xml:space="preserve">http://slimages.macys.com/is/image/MCY/1610409 </v>
      </c>
    </row>
    <row r="138" spans="1:14" ht="24.75" x14ac:dyDescent="0.25">
      <c r="A138" s="21" t="s">
        <v>9694</v>
      </c>
      <c r="B138" s="22" t="s">
        <v>9695</v>
      </c>
      <c r="C138" s="2">
        <v>32</v>
      </c>
      <c r="D138" s="23">
        <v>7.99</v>
      </c>
      <c r="E138" s="3">
        <v>255.68</v>
      </c>
      <c r="F138" s="2" t="s">
        <v>9696</v>
      </c>
      <c r="G138" s="22" t="s">
        <v>19351</v>
      </c>
      <c r="H138" s="24" t="s">
        <v>20135</v>
      </c>
      <c r="I138" s="22" t="s">
        <v>19309</v>
      </c>
      <c r="J138" s="22" t="s">
        <v>19573</v>
      </c>
      <c r="K138" s="22" t="s">
        <v>19574</v>
      </c>
      <c r="L138" s="22"/>
      <c r="M138" s="22"/>
      <c r="N138" s="25" t="str">
        <f>HYPERLINK("http://slimages.macys.com/is/image/MCY/1610409 ")</f>
        <v xml:space="preserve">http://slimages.macys.com/is/image/MCY/1610409 </v>
      </c>
    </row>
    <row r="139" spans="1:14" ht="24.75" x14ac:dyDescent="0.25">
      <c r="A139" s="21" t="s">
        <v>19157</v>
      </c>
      <c r="B139" s="22" t="s">
        <v>19158</v>
      </c>
      <c r="C139" s="2">
        <v>1</v>
      </c>
      <c r="D139" s="23">
        <v>7.99</v>
      </c>
      <c r="E139" s="3">
        <v>7.99</v>
      </c>
      <c r="F139" s="2" t="s">
        <v>19156</v>
      </c>
      <c r="G139" s="22" t="s">
        <v>19906</v>
      </c>
      <c r="H139" s="24" t="s">
        <v>20135</v>
      </c>
      <c r="I139" s="22" t="s">
        <v>19309</v>
      </c>
      <c r="J139" s="22" t="s">
        <v>19573</v>
      </c>
      <c r="K139" s="22" t="s">
        <v>19574</v>
      </c>
      <c r="L139" s="22"/>
      <c r="M139" s="22"/>
      <c r="N139" s="25" t="str">
        <f>HYPERLINK("http://slimages.macys.com/is/image/MCY/21209295 ")</f>
        <v xml:space="preserve">http://slimages.macys.com/is/image/MCY/21209295 </v>
      </c>
    </row>
    <row r="140" spans="1:14" ht="24.75" x14ac:dyDescent="0.25">
      <c r="A140" s="21" t="s">
        <v>8159</v>
      </c>
      <c r="B140" s="22" t="s">
        <v>8160</v>
      </c>
      <c r="C140" s="2">
        <v>20</v>
      </c>
      <c r="D140" s="23">
        <v>5.99</v>
      </c>
      <c r="E140" s="3">
        <v>119.8</v>
      </c>
      <c r="F140" s="2" t="s">
        <v>11156</v>
      </c>
      <c r="G140" s="22" t="s">
        <v>19351</v>
      </c>
      <c r="H140" s="24" t="s">
        <v>19416</v>
      </c>
      <c r="I140" s="22" t="s">
        <v>19309</v>
      </c>
      <c r="J140" s="22" t="s">
        <v>19573</v>
      </c>
      <c r="K140" s="22" t="s">
        <v>19574</v>
      </c>
      <c r="L140" s="22"/>
      <c r="M140" s="22"/>
      <c r="N140" s="25" t="str">
        <f>HYPERLINK("http://slimages.macys.com/is/image/MCY/21361186 ")</f>
        <v xml:space="preserve">http://slimages.macys.com/is/image/MCY/21361186 </v>
      </c>
    </row>
    <row r="141" spans="1:14" ht="24.75" x14ac:dyDescent="0.25">
      <c r="A141" s="21" t="s">
        <v>14867</v>
      </c>
      <c r="B141" s="22" t="s">
        <v>14868</v>
      </c>
      <c r="C141" s="2">
        <v>22</v>
      </c>
      <c r="D141" s="23">
        <v>5.99</v>
      </c>
      <c r="E141" s="3">
        <v>131.78</v>
      </c>
      <c r="F141" s="2" t="s">
        <v>19170</v>
      </c>
      <c r="G141" s="22" t="s">
        <v>19906</v>
      </c>
      <c r="H141" s="24" t="s">
        <v>19324</v>
      </c>
      <c r="I141" s="22" t="s">
        <v>19309</v>
      </c>
      <c r="J141" s="22" t="s">
        <v>19573</v>
      </c>
      <c r="K141" s="22" t="s">
        <v>19574</v>
      </c>
      <c r="L141" s="22"/>
      <c r="M141" s="22"/>
      <c r="N141" s="25" t="str">
        <f>HYPERLINK("http://slimages.macys.com/is/image/MCY/21361119 ")</f>
        <v xml:space="preserve">http://slimages.macys.com/is/image/MCY/21361119 </v>
      </c>
    </row>
    <row r="142" spans="1:14" ht="24.75" x14ac:dyDescent="0.25">
      <c r="A142" s="21" t="s">
        <v>19178</v>
      </c>
      <c r="B142" s="22" t="s">
        <v>19179</v>
      </c>
      <c r="C142" s="2">
        <v>7</v>
      </c>
      <c r="D142" s="23">
        <v>5.99</v>
      </c>
      <c r="E142" s="3">
        <v>41.93</v>
      </c>
      <c r="F142" s="2" t="s">
        <v>19180</v>
      </c>
      <c r="G142" s="22" t="s">
        <v>19477</v>
      </c>
      <c r="H142" s="24" t="s">
        <v>19384</v>
      </c>
      <c r="I142" s="22" t="s">
        <v>19309</v>
      </c>
      <c r="J142" s="22" t="s">
        <v>19573</v>
      </c>
      <c r="K142" s="22" t="s">
        <v>19574</v>
      </c>
      <c r="L142" s="22"/>
      <c r="M142" s="22"/>
      <c r="N142" s="25" t="str">
        <f>HYPERLINK("http://slimages.macys.com/is/image/MCY/1521974 ")</f>
        <v xml:space="preserve">http://slimages.macys.com/is/image/MCY/1521974 </v>
      </c>
    </row>
    <row r="143" spans="1:14" ht="24.75" x14ac:dyDescent="0.25">
      <c r="A143" s="21" t="s">
        <v>19185</v>
      </c>
      <c r="B143" s="22" t="s">
        <v>19186</v>
      </c>
      <c r="C143" s="2">
        <v>6</v>
      </c>
      <c r="D143" s="23">
        <v>5.99</v>
      </c>
      <c r="E143" s="3">
        <v>35.94</v>
      </c>
      <c r="F143" s="2" t="s">
        <v>19180</v>
      </c>
      <c r="G143" s="22" t="s">
        <v>19477</v>
      </c>
      <c r="H143" s="24" t="s">
        <v>19538</v>
      </c>
      <c r="I143" s="22" t="s">
        <v>19309</v>
      </c>
      <c r="J143" s="22" t="s">
        <v>19573</v>
      </c>
      <c r="K143" s="22" t="s">
        <v>19574</v>
      </c>
      <c r="L143" s="22"/>
      <c r="M143" s="22"/>
      <c r="N143" s="25" t="str">
        <f>HYPERLINK("http://slimages.macys.com/is/image/MCY/1521974 ")</f>
        <v xml:space="preserve">http://slimages.macys.com/is/image/MCY/1521974 </v>
      </c>
    </row>
    <row r="144" spans="1:14" ht="24.75" x14ac:dyDescent="0.25">
      <c r="A144" s="21" t="s">
        <v>8373</v>
      </c>
      <c r="B144" s="22" t="s">
        <v>8374</v>
      </c>
      <c r="C144" s="2">
        <v>3</v>
      </c>
      <c r="D144" s="23">
        <v>5.99</v>
      </c>
      <c r="E144" s="3">
        <v>17.97</v>
      </c>
      <c r="F144" s="2" t="s">
        <v>8375</v>
      </c>
      <c r="G144" s="22" t="s">
        <v>19674</v>
      </c>
      <c r="H144" s="24" t="s">
        <v>19416</v>
      </c>
      <c r="I144" s="22" t="s">
        <v>19309</v>
      </c>
      <c r="J144" s="22" t="s">
        <v>19573</v>
      </c>
      <c r="K144" s="22" t="s">
        <v>19574</v>
      </c>
      <c r="L144" s="22"/>
      <c r="M144" s="22"/>
      <c r="N144" s="25" t="str">
        <f>HYPERLINK("http://slimages.macys.com/is/image/MCY/20385946 ")</f>
        <v xml:space="preserve">http://slimages.macys.com/is/image/MCY/20385946 </v>
      </c>
    </row>
    <row r="145" spans="1:14" ht="24.75" x14ac:dyDescent="0.25">
      <c r="A145" s="21" t="s">
        <v>8376</v>
      </c>
      <c r="B145" s="22" t="s">
        <v>8377</v>
      </c>
      <c r="C145" s="2">
        <v>1</v>
      </c>
      <c r="D145" s="23">
        <v>5.99</v>
      </c>
      <c r="E145" s="3">
        <v>5.99</v>
      </c>
      <c r="F145" s="2" t="s">
        <v>8375</v>
      </c>
      <c r="G145" s="22" t="s">
        <v>19674</v>
      </c>
      <c r="H145" s="24" t="s">
        <v>19384</v>
      </c>
      <c r="I145" s="22" t="s">
        <v>19309</v>
      </c>
      <c r="J145" s="22" t="s">
        <v>19573</v>
      </c>
      <c r="K145" s="22" t="s">
        <v>19574</v>
      </c>
      <c r="L145" s="22"/>
      <c r="M145" s="22"/>
      <c r="N145" s="25" t="str">
        <f>HYPERLINK("http://slimages.macys.com/is/image/MCY/20385946 ")</f>
        <v xml:space="preserve">http://slimages.macys.com/is/image/MCY/20385946 </v>
      </c>
    </row>
    <row r="146" spans="1:14" ht="24.75" x14ac:dyDescent="0.25">
      <c r="A146" s="21" t="s">
        <v>8378</v>
      </c>
      <c r="B146" s="22" t="s">
        <v>8379</v>
      </c>
      <c r="C146" s="2">
        <v>6</v>
      </c>
      <c r="D146" s="23">
        <v>5.99</v>
      </c>
      <c r="E146" s="3">
        <v>35.94</v>
      </c>
      <c r="F146" s="2" t="s">
        <v>14295</v>
      </c>
      <c r="G146" s="22" t="s">
        <v>19315</v>
      </c>
      <c r="H146" s="24" t="s">
        <v>19377</v>
      </c>
      <c r="I146" s="22" t="s">
        <v>19309</v>
      </c>
      <c r="J146" s="22" t="s">
        <v>19908</v>
      </c>
      <c r="K146" s="22" t="s">
        <v>19524</v>
      </c>
      <c r="L146" s="22"/>
      <c r="M146" s="22"/>
      <c r="N146" s="25" t="str">
        <f>HYPERLINK("http://slimages.macys.com/is/image/MCY/19272000 ")</f>
        <v xml:space="preserve">http://slimages.macys.com/is/image/MCY/19272000 </v>
      </c>
    </row>
    <row r="147" spans="1:14" ht="24.75" x14ac:dyDescent="0.25">
      <c r="A147" s="21" t="s">
        <v>19212</v>
      </c>
      <c r="B147" s="22" t="s">
        <v>19213</v>
      </c>
      <c r="C147" s="2">
        <v>3</v>
      </c>
      <c r="D147" s="23">
        <v>5.99</v>
      </c>
      <c r="E147" s="3">
        <v>17.97</v>
      </c>
      <c r="F147" s="2" t="s">
        <v>19214</v>
      </c>
      <c r="G147" s="22" t="s">
        <v>19674</v>
      </c>
      <c r="H147" s="24" t="s">
        <v>19538</v>
      </c>
      <c r="I147" s="22" t="s">
        <v>19309</v>
      </c>
      <c r="J147" s="22" t="s">
        <v>19573</v>
      </c>
      <c r="K147" s="22" t="s">
        <v>19574</v>
      </c>
      <c r="L147" s="22"/>
      <c r="M147" s="22"/>
      <c r="N147" s="25" t="str">
        <f>HYPERLINK("http://slimages.macys.com/is/image/MCY/1570641 ")</f>
        <v xml:space="preserve">http://slimages.macys.com/is/image/MCY/1570641 </v>
      </c>
    </row>
    <row r="148" spans="1:14" ht="24.75" x14ac:dyDescent="0.25">
      <c r="A148" s="21" t="s">
        <v>8163</v>
      </c>
      <c r="B148" s="22" t="s">
        <v>8164</v>
      </c>
      <c r="C148" s="2">
        <v>18</v>
      </c>
      <c r="D148" s="23">
        <v>5.99</v>
      </c>
      <c r="E148" s="3">
        <v>107.82</v>
      </c>
      <c r="F148" s="2" t="s">
        <v>17203</v>
      </c>
      <c r="G148" s="22" t="s">
        <v>19585</v>
      </c>
      <c r="H148" s="24" t="s">
        <v>19330</v>
      </c>
      <c r="I148" s="22" t="s">
        <v>19309</v>
      </c>
      <c r="J148" s="22" t="s">
        <v>19573</v>
      </c>
      <c r="K148" s="22" t="s">
        <v>19574</v>
      </c>
      <c r="L148" s="22"/>
      <c r="M148" s="22"/>
      <c r="N148" s="25" t="str">
        <f>HYPERLINK("http://slimages.macys.com/is/image/MCY/20757989 ")</f>
        <v xml:space="preserve">http://slimages.macys.com/is/image/MCY/20757989 </v>
      </c>
    </row>
    <row r="149" spans="1:14" ht="24.75" x14ac:dyDescent="0.25">
      <c r="A149" s="21" t="s">
        <v>8165</v>
      </c>
      <c r="B149" s="22" t="s">
        <v>8166</v>
      </c>
      <c r="C149" s="2">
        <v>18</v>
      </c>
      <c r="D149" s="23">
        <v>5.99</v>
      </c>
      <c r="E149" s="3">
        <v>107.82</v>
      </c>
      <c r="F149" s="2" t="s">
        <v>17203</v>
      </c>
      <c r="G149" s="22" t="s">
        <v>19467</v>
      </c>
      <c r="H149" s="24" t="s">
        <v>19384</v>
      </c>
      <c r="I149" s="22" t="s">
        <v>19309</v>
      </c>
      <c r="J149" s="22" t="s">
        <v>19573</v>
      </c>
      <c r="K149" s="22" t="s">
        <v>19574</v>
      </c>
      <c r="L149" s="22"/>
      <c r="M149" s="22"/>
      <c r="N149" s="25" t="str">
        <f>HYPERLINK("http://slimages.macys.com/is/image/MCY/20757989 ")</f>
        <v xml:space="preserve">http://slimages.macys.com/is/image/MCY/20757989 </v>
      </c>
    </row>
    <row r="150" spans="1:14" ht="24.75" x14ac:dyDescent="0.25">
      <c r="A150" s="21" t="s">
        <v>8380</v>
      </c>
      <c r="B150" s="22" t="s">
        <v>8381</v>
      </c>
      <c r="C150" s="2">
        <v>18</v>
      </c>
      <c r="D150" s="23">
        <v>5.99</v>
      </c>
      <c r="E150" s="3">
        <v>107.82</v>
      </c>
      <c r="F150" s="2" t="s">
        <v>17203</v>
      </c>
      <c r="G150" s="22" t="s">
        <v>19585</v>
      </c>
      <c r="H150" s="24" t="s">
        <v>19324</v>
      </c>
      <c r="I150" s="22" t="s">
        <v>19309</v>
      </c>
      <c r="J150" s="22" t="s">
        <v>19573</v>
      </c>
      <c r="K150" s="22" t="s">
        <v>19574</v>
      </c>
      <c r="L150" s="22"/>
      <c r="M150" s="22"/>
      <c r="N150" s="25" t="str">
        <f>HYPERLINK("http://slimages.macys.com/is/image/MCY/20757989 ")</f>
        <v xml:space="preserve">http://slimages.macys.com/is/image/MCY/20757989 </v>
      </c>
    </row>
    <row r="151" spans="1:14" ht="24.75" x14ac:dyDescent="0.25">
      <c r="A151" s="21" t="s">
        <v>9306</v>
      </c>
      <c r="B151" s="22" t="s">
        <v>9307</v>
      </c>
      <c r="C151" s="2">
        <v>18</v>
      </c>
      <c r="D151" s="23">
        <v>6.99</v>
      </c>
      <c r="E151" s="3">
        <v>125.82</v>
      </c>
      <c r="F151" s="2" t="s">
        <v>9308</v>
      </c>
      <c r="G151" s="22" t="s">
        <v>19467</v>
      </c>
      <c r="H151" s="24" t="s">
        <v>19416</v>
      </c>
      <c r="I151" s="22" t="s">
        <v>19309</v>
      </c>
      <c r="J151" s="22" t="s">
        <v>19573</v>
      </c>
      <c r="K151" s="22" t="s">
        <v>19574</v>
      </c>
      <c r="L151" s="22"/>
      <c r="M151" s="22"/>
      <c r="N151" s="25" t="str">
        <f>HYPERLINK("http://slimages.macys.com/is/image/MCY/20436636 ")</f>
        <v xml:space="preserve">http://slimages.macys.com/is/image/MCY/20436636 </v>
      </c>
    </row>
    <row r="152" spans="1:14" ht="24.75" x14ac:dyDescent="0.25">
      <c r="A152" s="21" t="s">
        <v>8170</v>
      </c>
      <c r="B152" s="22" t="s">
        <v>8171</v>
      </c>
      <c r="C152" s="2">
        <v>9</v>
      </c>
      <c r="D152" s="23">
        <v>5.99</v>
      </c>
      <c r="E152" s="3">
        <v>53.91</v>
      </c>
      <c r="F152" s="2" t="s">
        <v>8169</v>
      </c>
      <c r="G152" s="22" t="s">
        <v>19351</v>
      </c>
      <c r="H152" s="24" t="s">
        <v>19538</v>
      </c>
      <c r="I152" s="22" t="s">
        <v>19309</v>
      </c>
      <c r="J152" s="22" t="s">
        <v>19573</v>
      </c>
      <c r="K152" s="22" t="s">
        <v>19574</v>
      </c>
      <c r="L152" s="22"/>
      <c r="M152" s="22"/>
      <c r="N152" s="25" t="str">
        <f>HYPERLINK("http://slimages.macys.com/is/image/MCY/21371425 ")</f>
        <v xml:space="preserve">http://slimages.macys.com/is/image/MCY/21371425 </v>
      </c>
    </row>
    <row r="153" spans="1:14" ht="24.75" x14ac:dyDescent="0.25">
      <c r="A153" s="21" t="s">
        <v>8382</v>
      </c>
      <c r="B153" s="22" t="s">
        <v>8383</v>
      </c>
      <c r="C153" s="2">
        <v>12</v>
      </c>
      <c r="D153" s="23">
        <v>5.99</v>
      </c>
      <c r="E153" s="3">
        <v>71.88</v>
      </c>
      <c r="F153" s="2" t="s">
        <v>8384</v>
      </c>
      <c r="G153" s="22" t="s">
        <v>19618</v>
      </c>
      <c r="H153" s="24" t="s">
        <v>19330</v>
      </c>
      <c r="I153" s="22" t="s">
        <v>19309</v>
      </c>
      <c r="J153" s="22" t="s">
        <v>19573</v>
      </c>
      <c r="K153" s="22" t="s">
        <v>19574</v>
      </c>
      <c r="L153" s="22"/>
      <c r="M153" s="22"/>
      <c r="N153" s="25" t="str">
        <f>HYPERLINK("http://slimages.macys.com/is/image/MCY/21371487 ")</f>
        <v xml:space="preserve">http://slimages.macys.com/is/image/MCY/21371487 </v>
      </c>
    </row>
    <row r="154" spans="1:14" ht="24.75" x14ac:dyDescent="0.25">
      <c r="A154" s="21" t="s">
        <v>10173</v>
      </c>
      <c r="B154" s="22" t="s">
        <v>10174</v>
      </c>
      <c r="C154" s="2">
        <v>2</v>
      </c>
      <c r="D154" s="23">
        <v>5.99</v>
      </c>
      <c r="E154" s="3">
        <v>11.98</v>
      </c>
      <c r="F154" s="2" t="s">
        <v>19251</v>
      </c>
      <c r="G154" s="22" t="s">
        <v>19351</v>
      </c>
      <c r="H154" s="24" t="s">
        <v>19324</v>
      </c>
      <c r="I154" s="22" t="s">
        <v>19309</v>
      </c>
      <c r="J154" s="22" t="s">
        <v>19573</v>
      </c>
      <c r="K154" s="22" t="s">
        <v>19574</v>
      </c>
      <c r="L154" s="22"/>
      <c r="M154" s="22"/>
      <c r="N154" s="25" t="str">
        <f>HYPERLINK("http://slimages.macys.com/is/image/MCY/21088503 ")</f>
        <v xml:space="preserve">http://slimages.macys.com/is/image/MCY/21088503 </v>
      </c>
    </row>
    <row r="155" spans="1:14" ht="24.75" x14ac:dyDescent="0.25">
      <c r="A155" s="21" t="s">
        <v>8174</v>
      </c>
      <c r="B155" s="22" t="s">
        <v>8175</v>
      </c>
      <c r="C155" s="2">
        <v>18</v>
      </c>
      <c r="D155" s="23">
        <v>5.99</v>
      </c>
      <c r="E155" s="3">
        <v>107.82</v>
      </c>
      <c r="F155" s="2" t="s">
        <v>9721</v>
      </c>
      <c r="G155" s="22" t="s">
        <v>19351</v>
      </c>
      <c r="H155" s="24" t="s">
        <v>19416</v>
      </c>
      <c r="I155" s="22" t="s">
        <v>19309</v>
      </c>
      <c r="J155" s="22" t="s">
        <v>19573</v>
      </c>
      <c r="K155" s="22" t="s">
        <v>19574</v>
      </c>
      <c r="L155" s="22"/>
      <c r="M155" s="22"/>
      <c r="N155" s="25" t="str">
        <f>HYPERLINK("http://slimages.macys.com/is/image/MCY/21371491 ")</f>
        <v xml:space="preserve">http://slimages.macys.com/is/image/MCY/21371491 </v>
      </c>
    </row>
    <row r="156" spans="1:14" ht="24.75" x14ac:dyDescent="0.25">
      <c r="A156" s="21" t="s">
        <v>11169</v>
      </c>
      <c r="B156" s="22" t="s">
        <v>11170</v>
      </c>
      <c r="C156" s="2">
        <v>18</v>
      </c>
      <c r="D156" s="23">
        <v>5.99</v>
      </c>
      <c r="E156" s="3">
        <v>107.82</v>
      </c>
      <c r="F156" s="2" t="s">
        <v>11171</v>
      </c>
      <c r="G156" s="22" t="s">
        <v>19351</v>
      </c>
      <c r="H156" s="24" t="s">
        <v>19324</v>
      </c>
      <c r="I156" s="22" t="s">
        <v>19309</v>
      </c>
      <c r="J156" s="22" t="s">
        <v>19573</v>
      </c>
      <c r="K156" s="22" t="s">
        <v>19574</v>
      </c>
      <c r="L156" s="22"/>
      <c r="M156" s="22"/>
      <c r="N156" s="25" t="str">
        <f>HYPERLINK("http://slimages.macys.com/is/image/MCY/21371479 ")</f>
        <v xml:space="preserve">http://slimages.macys.com/is/image/MCY/21371479 </v>
      </c>
    </row>
    <row r="157" spans="1:14" ht="24.75" x14ac:dyDescent="0.25">
      <c r="A157" s="21" t="s">
        <v>8385</v>
      </c>
      <c r="B157" s="22" t="s">
        <v>8386</v>
      </c>
      <c r="C157" s="2">
        <v>7</v>
      </c>
      <c r="D157" s="23">
        <v>5.99</v>
      </c>
      <c r="E157" s="3">
        <v>41.93</v>
      </c>
      <c r="F157" s="2" t="s">
        <v>11171</v>
      </c>
      <c r="G157" s="22" t="s">
        <v>19351</v>
      </c>
      <c r="H157" s="24" t="s">
        <v>19538</v>
      </c>
      <c r="I157" s="22" t="s">
        <v>19309</v>
      </c>
      <c r="J157" s="22" t="s">
        <v>19573</v>
      </c>
      <c r="K157" s="22" t="s">
        <v>19574</v>
      </c>
      <c r="L157" s="22"/>
      <c r="M157" s="22"/>
      <c r="N157" s="25" t="str">
        <f>HYPERLINK("http://slimages.macys.com/is/image/MCY/21371479 ")</f>
        <v xml:space="preserve">http://slimages.macys.com/is/image/MCY/21371479 </v>
      </c>
    </row>
    <row r="158" spans="1:14" ht="24.75" x14ac:dyDescent="0.25">
      <c r="A158" s="21" t="s">
        <v>8387</v>
      </c>
      <c r="B158" s="22" t="s">
        <v>8388</v>
      </c>
      <c r="C158" s="2">
        <v>11</v>
      </c>
      <c r="D158" s="23">
        <v>6.99</v>
      </c>
      <c r="E158" s="3">
        <v>76.89</v>
      </c>
      <c r="F158" s="2" t="s">
        <v>9335</v>
      </c>
      <c r="G158" s="22" t="s">
        <v>18821</v>
      </c>
      <c r="H158" s="24" t="s">
        <v>19384</v>
      </c>
      <c r="I158" s="22" t="s">
        <v>19309</v>
      </c>
      <c r="J158" s="22" t="s">
        <v>19573</v>
      </c>
      <c r="K158" s="22" t="s">
        <v>19574</v>
      </c>
      <c r="L158" s="22"/>
      <c r="M158" s="22"/>
      <c r="N158" s="25" t="str">
        <f>HYPERLINK("http://slimages.macys.com/is/image/MCY/1041675 ")</f>
        <v xml:space="preserve">http://slimages.macys.com/is/image/MCY/1041675 </v>
      </c>
    </row>
    <row r="159" spans="1:14" ht="24.75" x14ac:dyDescent="0.25">
      <c r="A159" s="21" t="s">
        <v>8389</v>
      </c>
      <c r="B159" s="22" t="s">
        <v>8390</v>
      </c>
      <c r="C159" s="2">
        <v>33</v>
      </c>
      <c r="D159" s="23">
        <v>6.99</v>
      </c>
      <c r="E159" s="3">
        <v>230.67</v>
      </c>
      <c r="F159" s="2" t="s">
        <v>9335</v>
      </c>
      <c r="G159" s="22" t="s">
        <v>18821</v>
      </c>
      <c r="H159" s="24"/>
      <c r="I159" s="22" t="s">
        <v>19309</v>
      </c>
      <c r="J159" s="22" t="s">
        <v>19573</v>
      </c>
      <c r="K159" s="22" t="s">
        <v>19574</v>
      </c>
      <c r="L159" s="22"/>
      <c r="M159" s="22"/>
      <c r="N159" s="25" t="str">
        <f>HYPERLINK("http://slimages.macys.com/is/image/MCY/1041675 ")</f>
        <v xml:space="preserve">http://slimages.macys.com/is/image/MCY/1041675 </v>
      </c>
    </row>
    <row r="160" spans="1:14" ht="24.75" x14ac:dyDescent="0.25">
      <c r="A160" s="21" t="s">
        <v>8391</v>
      </c>
      <c r="B160" s="22" t="s">
        <v>8392</v>
      </c>
      <c r="C160" s="2">
        <v>30</v>
      </c>
      <c r="D160" s="23">
        <v>6.99</v>
      </c>
      <c r="E160" s="3">
        <v>209.7</v>
      </c>
      <c r="F160" s="2" t="s">
        <v>9335</v>
      </c>
      <c r="G160" s="22" t="s">
        <v>18821</v>
      </c>
      <c r="H160" s="24" t="s">
        <v>19324</v>
      </c>
      <c r="I160" s="22" t="s">
        <v>19309</v>
      </c>
      <c r="J160" s="22" t="s">
        <v>19573</v>
      </c>
      <c r="K160" s="22" t="s">
        <v>19574</v>
      </c>
      <c r="L160" s="22"/>
      <c r="M160" s="22"/>
      <c r="N160" s="25" t="str">
        <f>HYPERLINK("http://slimages.macys.com/is/image/MCY/20142540 ")</f>
        <v xml:space="preserve">http://slimages.macys.com/is/image/MCY/20142540 </v>
      </c>
    </row>
    <row r="161" spans="1:14" ht="24.75" x14ac:dyDescent="0.25">
      <c r="A161" s="21" t="s">
        <v>8393</v>
      </c>
      <c r="B161" s="22" t="s">
        <v>8394</v>
      </c>
      <c r="C161" s="2">
        <v>1</v>
      </c>
      <c r="D161" s="23">
        <v>5.99</v>
      </c>
      <c r="E161" s="3">
        <v>5.99</v>
      </c>
      <c r="F161" s="2" t="s">
        <v>8395</v>
      </c>
      <c r="G161" s="22" t="s">
        <v>19351</v>
      </c>
      <c r="H161" s="24" t="s">
        <v>19324</v>
      </c>
      <c r="I161" s="22" t="s">
        <v>19309</v>
      </c>
      <c r="J161" s="22" t="s">
        <v>19573</v>
      </c>
      <c r="K161" s="22" t="s">
        <v>19574</v>
      </c>
      <c r="L161" s="22"/>
      <c r="M161" s="22"/>
      <c r="N161" s="25" t="str">
        <f>HYPERLINK("http://slimages.macys.com/is/image/MCY/21088508 ")</f>
        <v xml:space="preserve">http://slimages.macys.com/is/image/MCY/21088508 </v>
      </c>
    </row>
    <row r="162" spans="1:14" ht="24.75" x14ac:dyDescent="0.25">
      <c r="A162" s="21" t="s">
        <v>10189</v>
      </c>
      <c r="B162" s="22" t="s">
        <v>10190</v>
      </c>
      <c r="C162" s="2">
        <v>10</v>
      </c>
      <c r="D162" s="23">
        <v>5.99</v>
      </c>
      <c r="E162" s="3">
        <v>59.9</v>
      </c>
      <c r="F162" s="2" t="s">
        <v>17411</v>
      </c>
      <c r="G162" s="22" t="s">
        <v>19351</v>
      </c>
      <c r="H162" s="24" t="s">
        <v>19538</v>
      </c>
      <c r="I162" s="22" t="s">
        <v>19309</v>
      </c>
      <c r="J162" s="22" t="s">
        <v>19573</v>
      </c>
      <c r="K162" s="22" t="s">
        <v>19574</v>
      </c>
      <c r="L162" s="22"/>
      <c r="M162" s="22"/>
      <c r="N162" s="25" t="str">
        <f>HYPERLINK("http://slimages.macys.com/is/image/MCY/1537013 ")</f>
        <v xml:space="preserve">http://slimages.macys.com/is/image/MCY/1537013 </v>
      </c>
    </row>
    <row r="163" spans="1:14" ht="24.75" x14ac:dyDescent="0.25">
      <c r="A163" s="21" t="s">
        <v>15021</v>
      </c>
      <c r="B163" s="22" t="s">
        <v>15022</v>
      </c>
      <c r="C163" s="2">
        <v>36</v>
      </c>
      <c r="D163" s="23">
        <v>5.99</v>
      </c>
      <c r="E163" s="3">
        <v>215.64</v>
      </c>
      <c r="F163" s="2" t="s">
        <v>17472</v>
      </c>
      <c r="G163" s="22" t="s">
        <v>19467</v>
      </c>
      <c r="H163" s="24" t="s">
        <v>19538</v>
      </c>
      <c r="I163" s="22" t="s">
        <v>19309</v>
      </c>
      <c r="J163" s="22" t="s">
        <v>19573</v>
      </c>
      <c r="K163" s="22" t="s">
        <v>19574</v>
      </c>
      <c r="L163" s="22"/>
      <c r="M163" s="22"/>
      <c r="N163" s="25" t="str">
        <f>HYPERLINK("http://slimages.macys.com/is/image/MCY/16605973 ")</f>
        <v xml:space="preserve">http://slimages.macys.com/is/image/MCY/16605973 </v>
      </c>
    </row>
    <row r="164" spans="1:14" ht="24.75" x14ac:dyDescent="0.25">
      <c r="A164" s="21" t="s">
        <v>17315</v>
      </c>
      <c r="B164" s="22" t="s">
        <v>17316</v>
      </c>
      <c r="C164" s="2">
        <v>18</v>
      </c>
      <c r="D164" s="23">
        <v>5.99</v>
      </c>
      <c r="E164" s="3">
        <v>107.82</v>
      </c>
      <c r="F164" s="2" t="s">
        <v>17472</v>
      </c>
      <c r="G164" s="22" t="s">
        <v>19467</v>
      </c>
      <c r="H164" s="24" t="s">
        <v>19324</v>
      </c>
      <c r="I164" s="22" t="s">
        <v>19309</v>
      </c>
      <c r="J164" s="22" t="s">
        <v>19573</v>
      </c>
      <c r="K164" s="22" t="s">
        <v>19574</v>
      </c>
      <c r="L164" s="22"/>
      <c r="M164" s="22"/>
      <c r="N164" s="25" t="str">
        <f>HYPERLINK("http://slimages.macys.com/is/image/MCY/16605973 ")</f>
        <v xml:space="preserve">http://slimages.macys.com/is/image/MCY/16605973 </v>
      </c>
    </row>
    <row r="165" spans="1:14" ht="24.75" x14ac:dyDescent="0.25">
      <c r="A165" s="21" t="s">
        <v>9364</v>
      </c>
      <c r="B165" s="22" t="s">
        <v>9365</v>
      </c>
      <c r="C165" s="2">
        <v>19</v>
      </c>
      <c r="D165" s="23">
        <v>5.99</v>
      </c>
      <c r="E165" s="3">
        <v>113.81</v>
      </c>
      <c r="F165" s="2" t="s">
        <v>17472</v>
      </c>
      <c r="G165" s="22" t="s">
        <v>19467</v>
      </c>
      <c r="H165" s="24" t="s">
        <v>19384</v>
      </c>
      <c r="I165" s="22" t="s">
        <v>19309</v>
      </c>
      <c r="J165" s="22" t="s">
        <v>19573</v>
      </c>
      <c r="K165" s="22" t="s">
        <v>19574</v>
      </c>
      <c r="L165" s="22"/>
      <c r="M165" s="22"/>
      <c r="N165" s="25" t="str">
        <f>HYPERLINK("http://slimages.macys.com/is/image/MCY/16605973 ")</f>
        <v xml:space="preserve">http://slimages.macys.com/is/image/MCY/16605973 </v>
      </c>
    </row>
    <row r="166" spans="1:14" ht="24.75" x14ac:dyDescent="0.25">
      <c r="A166" s="21" t="s">
        <v>8396</v>
      </c>
      <c r="B166" s="22" t="s">
        <v>8397</v>
      </c>
      <c r="C166" s="2">
        <v>10</v>
      </c>
      <c r="D166" s="23">
        <v>26.99</v>
      </c>
      <c r="E166" s="3">
        <v>269.89999999999998</v>
      </c>
      <c r="F166" s="2" t="s">
        <v>13552</v>
      </c>
      <c r="G166" s="22" t="s">
        <v>19422</v>
      </c>
      <c r="H166" s="24" t="s">
        <v>19330</v>
      </c>
      <c r="I166" s="22" t="s">
        <v>19309</v>
      </c>
      <c r="J166" s="22" t="s">
        <v>19385</v>
      </c>
      <c r="K166" s="22" t="s">
        <v>19487</v>
      </c>
      <c r="L166" s="22"/>
      <c r="M166" s="22"/>
      <c r="N166" s="25"/>
    </row>
    <row r="167" spans="1:14" ht="24.75" x14ac:dyDescent="0.25">
      <c r="A167" s="21" t="s">
        <v>17486</v>
      </c>
      <c r="B167" s="22" t="s">
        <v>17487</v>
      </c>
      <c r="C167" s="2">
        <v>27</v>
      </c>
      <c r="D167" s="23">
        <v>26.99</v>
      </c>
      <c r="E167" s="3">
        <v>728.73</v>
      </c>
      <c r="F167" s="2" t="s">
        <v>17488</v>
      </c>
      <c r="G167" s="22" t="s">
        <v>19357</v>
      </c>
      <c r="H167" s="24" t="s">
        <v>19416</v>
      </c>
      <c r="I167" s="22" t="s">
        <v>19309</v>
      </c>
      <c r="J167" s="22" t="s">
        <v>19385</v>
      </c>
      <c r="K167" s="22" t="s">
        <v>19487</v>
      </c>
      <c r="L167" s="22"/>
      <c r="M167" s="22"/>
      <c r="N167" s="25"/>
    </row>
    <row r="168" spans="1:14" ht="24.75" x14ac:dyDescent="0.25">
      <c r="A168" s="21" t="s">
        <v>17359</v>
      </c>
      <c r="B168" s="22" t="s">
        <v>17360</v>
      </c>
      <c r="C168" s="2">
        <v>18</v>
      </c>
      <c r="D168" s="23">
        <v>26.99</v>
      </c>
      <c r="E168" s="3">
        <v>485.82</v>
      </c>
      <c r="F168" s="2" t="s">
        <v>17488</v>
      </c>
      <c r="G168" s="22" t="s">
        <v>19357</v>
      </c>
      <c r="H168" s="24" t="s">
        <v>19330</v>
      </c>
      <c r="I168" s="22" t="s">
        <v>19309</v>
      </c>
      <c r="J168" s="22" t="s">
        <v>19385</v>
      </c>
      <c r="K168" s="22" t="s">
        <v>19487</v>
      </c>
      <c r="L168" s="22"/>
      <c r="M168" s="22"/>
      <c r="N168" s="25"/>
    </row>
    <row r="169" spans="1:14" ht="24.75" x14ac:dyDescent="0.25">
      <c r="A169" s="21" t="s">
        <v>8398</v>
      </c>
      <c r="B169" s="22" t="s">
        <v>8399</v>
      </c>
      <c r="C169" s="2">
        <v>7</v>
      </c>
      <c r="D169" s="23">
        <v>13.88</v>
      </c>
      <c r="E169" s="3">
        <v>97.16</v>
      </c>
      <c r="F169" s="2" t="s">
        <v>11210</v>
      </c>
      <c r="G169" s="22" t="s">
        <v>19415</v>
      </c>
      <c r="H169" s="24" t="s">
        <v>19352</v>
      </c>
      <c r="I169" s="22" t="s">
        <v>19309</v>
      </c>
      <c r="J169" s="22" t="s">
        <v>19565</v>
      </c>
      <c r="K169" s="22" t="s">
        <v>18548</v>
      </c>
      <c r="L169" s="22"/>
      <c r="M169" s="22"/>
      <c r="N169" s="25"/>
    </row>
    <row r="170" spans="1:14" ht="24.75" x14ac:dyDescent="0.25">
      <c r="A170" s="21" t="s">
        <v>8183</v>
      </c>
      <c r="B170" s="22" t="s">
        <v>8184</v>
      </c>
      <c r="C170" s="2">
        <v>18</v>
      </c>
      <c r="D170" s="23">
        <v>13.88</v>
      </c>
      <c r="E170" s="3">
        <v>249.84</v>
      </c>
      <c r="F170" s="2" t="s">
        <v>11210</v>
      </c>
      <c r="G170" s="22" t="s">
        <v>19415</v>
      </c>
      <c r="H170" s="24" t="s">
        <v>19364</v>
      </c>
      <c r="I170" s="22" t="s">
        <v>19309</v>
      </c>
      <c r="J170" s="22" t="s">
        <v>19565</v>
      </c>
      <c r="K170" s="22" t="s">
        <v>18548</v>
      </c>
      <c r="L170" s="22"/>
      <c r="M170" s="22"/>
      <c r="N170" s="25"/>
    </row>
    <row r="171" spans="1:14" ht="24.75" x14ac:dyDescent="0.25">
      <c r="A171" s="21" t="s">
        <v>8185</v>
      </c>
      <c r="B171" s="22" t="s">
        <v>8186</v>
      </c>
      <c r="C171" s="2">
        <v>24</v>
      </c>
      <c r="D171" s="23">
        <v>11.55</v>
      </c>
      <c r="E171" s="3">
        <v>277.2</v>
      </c>
      <c r="F171" s="2" t="s">
        <v>17372</v>
      </c>
      <c r="G171" s="22" t="s">
        <v>19618</v>
      </c>
      <c r="H171" s="24" t="s">
        <v>19339</v>
      </c>
      <c r="I171" s="22" t="s">
        <v>19309</v>
      </c>
      <c r="J171" s="22" t="s">
        <v>19565</v>
      </c>
      <c r="K171" s="22" t="s">
        <v>18548</v>
      </c>
      <c r="L171" s="22"/>
      <c r="M171" s="22"/>
      <c r="N171" s="25"/>
    </row>
    <row r="172" spans="1:14" ht="24.75" x14ac:dyDescent="0.25">
      <c r="A172" s="21" t="s">
        <v>8400</v>
      </c>
      <c r="B172" s="22" t="s">
        <v>8401</v>
      </c>
      <c r="C172" s="2">
        <v>24</v>
      </c>
      <c r="D172" s="23">
        <v>11.55</v>
      </c>
      <c r="E172" s="3">
        <v>277.2</v>
      </c>
      <c r="F172" s="2" t="s">
        <v>17372</v>
      </c>
      <c r="G172" s="22" t="s">
        <v>19618</v>
      </c>
      <c r="H172" s="24" t="s">
        <v>19352</v>
      </c>
      <c r="I172" s="22" t="s">
        <v>19309</v>
      </c>
      <c r="J172" s="22" t="s">
        <v>19565</v>
      </c>
      <c r="K172" s="22" t="s">
        <v>18548</v>
      </c>
      <c r="L172" s="22"/>
      <c r="M172" s="22"/>
      <c r="N172" s="25"/>
    </row>
    <row r="173" spans="1:14" ht="24.75" x14ac:dyDescent="0.25">
      <c r="A173" s="21" t="s">
        <v>17370</v>
      </c>
      <c r="B173" s="22" t="s">
        <v>17371</v>
      </c>
      <c r="C173" s="2">
        <v>17</v>
      </c>
      <c r="D173" s="23">
        <v>11.55</v>
      </c>
      <c r="E173" s="3">
        <v>196.35</v>
      </c>
      <c r="F173" s="2" t="s">
        <v>17372</v>
      </c>
      <c r="G173" s="22" t="s">
        <v>19618</v>
      </c>
      <c r="H173" s="24" t="s">
        <v>19308</v>
      </c>
      <c r="I173" s="22" t="s">
        <v>19309</v>
      </c>
      <c r="J173" s="22" t="s">
        <v>19565</v>
      </c>
      <c r="K173" s="22" t="s">
        <v>18548</v>
      </c>
      <c r="L173" s="22"/>
      <c r="M173" s="22"/>
      <c r="N173" s="25"/>
    </row>
    <row r="174" spans="1:14" ht="24.75" x14ac:dyDescent="0.25">
      <c r="A174" s="21" t="s">
        <v>9377</v>
      </c>
      <c r="B174" s="22" t="s">
        <v>9378</v>
      </c>
      <c r="C174" s="2">
        <v>24</v>
      </c>
      <c r="D174" s="23">
        <v>11.55</v>
      </c>
      <c r="E174" s="3">
        <v>277.2</v>
      </c>
      <c r="F174" s="2" t="s">
        <v>17372</v>
      </c>
      <c r="G174" s="22" t="s">
        <v>19618</v>
      </c>
      <c r="H174" s="24" t="s">
        <v>19364</v>
      </c>
      <c r="I174" s="22" t="s">
        <v>19309</v>
      </c>
      <c r="J174" s="22" t="s">
        <v>19565</v>
      </c>
      <c r="K174" s="22" t="s">
        <v>18548</v>
      </c>
      <c r="L174" s="22"/>
      <c r="M174" s="22"/>
      <c r="N174" s="25"/>
    </row>
    <row r="175" spans="1:14" ht="24.75" x14ac:dyDescent="0.25">
      <c r="A175" s="21" t="s">
        <v>8402</v>
      </c>
      <c r="B175" s="22" t="s">
        <v>8403</v>
      </c>
      <c r="C175" s="2">
        <v>1</v>
      </c>
      <c r="D175" s="23">
        <v>12.01</v>
      </c>
      <c r="E175" s="3">
        <v>12.01</v>
      </c>
      <c r="F175" s="2" t="s">
        <v>8404</v>
      </c>
      <c r="G175" s="22" t="s">
        <v>19357</v>
      </c>
      <c r="H175" s="24" t="s">
        <v>19501</v>
      </c>
      <c r="I175" s="22" t="s">
        <v>19309</v>
      </c>
      <c r="J175" s="22" t="s">
        <v>19602</v>
      </c>
      <c r="K175" s="22" t="s">
        <v>20041</v>
      </c>
      <c r="L175" s="22"/>
      <c r="M175" s="22"/>
      <c r="N175" s="25"/>
    </row>
    <row r="176" spans="1:14" x14ac:dyDescent="0.25">
      <c r="A176" s="21" t="s">
        <v>8405</v>
      </c>
      <c r="B176" s="22" t="s">
        <v>8406</v>
      </c>
      <c r="C176" s="2">
        <v>3</v>
      </c>
      <c r="D176" s="23">
        <v>18</v>
      </c>
      <c r="E176" s="3">
        <v>54</v>
      </c>
      <c r="F176" s="2" t="s">
        <v>8407</v>
      </c>
      <c r="G176" s="22" t="s">
        <v>19635</v>
      </c>
      <c r="H176" s="24" t="s">
        <v>19324</v>
      </c>
      <c r="I176" s="22" t="s">
        <v>19309</v>
      </c>
      <c r="J176" s="22" t="s">
        <v>19708</v>
      </c>
      <c r="K176" s="22" t="s">
        <v>19709</v>
      </c>
      <c r="L176" s="22"/>
      <c r="M176" s="22"/>
      <c r="N176" s="25"/>
    </row>
    <row r="177" spans="1:14" ht="24.75" x14ac:dyDescent="0.25">
      <c r="A177" s="21" t="s">
        <v>8408</v>
      </c>
      <c r="B177" s="22" t="s">
        <v>8409</v>
      </c>
      <c r="C177" s="2">
        <v>1</v>
      </c>
      <c r="D177" s="23">
        <v>12.99</v>
      </c>
      <c r="E177" s="3">
        <v>12.99</v>
      </c>
      <c r="F177" s="2" t="s">
        <v>8410</v>
      </c>
      <c r="G177" s="22" t="s">
        <v>19879</v>
      </c>
      <c r="H177" s="24" t="s">
        <v>19797</v>
      </c>
      <c r="I177" s="22" t="s">
        <v>19309</v>
      </c>
      <c r="J177" s="22" t="s">
        <v>19353</v>
      </c>
      <c r="K177" s="22" t="s">
        <v>19524</v>
      </c>
      <c r="L177" s="22"/>
      <c r="M177" s="22"/>
      <c r="N177" s="25"/>
    </row>
  </sheetData>
  <phoneticPr fontId="0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5"/>
  <sheetViews>
    <sheetView workbookViewId="0">
      <selection activeCell="F26" sqref="F26"/>
    </sheetView>
  </sheetViews>
  <sheetFormatPr defaultRowHeight="15" x14ac:dyDescent="0.25"/>
  <cols>
    <col min="1" max="1" width="14.42578125" customWidth="1"/>
    <col min="2" max="2" width="48" customWidth="1"/>
    <col min="3" max="4" width="15" customWidth="1"/>
    <col min="5" max="5" width="10.85546875" customWidth="1"/>
    <col min="6" max="6" width="12.5703125" customWidth="1"/>
    <col min="7" max="8" width="11.42578125" customWidth="1"/>
    <col min="9" max="9" width="10.85546875" customWidth="1"/>
    <col min="10" max="10" width="12.140625" customWidth="1"/>
    <col min="11" max="11" width="36.5703125" bestFit="1" customWidth="1"/>
    <col min="12" max="13" width="20.5703125" customWidth="1"/>
    <col min="14" max="14" width="64.42578125" customWidth="1"/>
  </cols>
  <sheetData>
    <row r="1" spans="1:14" ht="36" x14ac:dyDescent="0.25">
      <c r="A1" s="1" t="s">
        <v>19291</v>
      </c>
      <c r="B1" s="1" t="s">
        <v>19292</v>
      </c>
      <c r="C1" s="1" t="s">
        <v>19293</v>
      </c>
      <c r="D1" s="1" t="s">
        <v>19284</v>
      </c>
      <c r="E1" s="1" t="s">
        <v>19294</v>
      </c>
      <c r="F1" s="1" t="s">
        <v>19295</v>
      </c>
      <c r="G1" s="1" t="s">
        <v>19296</v>
      </c>
      <c r="H1" s="1" t="s">
        <v>19297</v>
      </c>
      <c r="I1" s="1" t="s">
        <v>19298</v>
      </c>
      <c r="J1" s="1" t="s">
        <v>19299</v>
      </c>
      <c r="K1" s="1" t="s">
        <v>19300</v>
      </c>
      <c r="L1" s="1" t="s">
        <v>19301</v>
      </c>
      <c r="M1" s="1" t="s">
        <v>19302</v>
      </c>
      <c r="N1" s="1" t="s">
        <v>19303</v>
      </c>
    </row>
    <row r="2" spans="1:14" x14ac:dyDescent="0.25">
      <c r="A2" s="21" t="s">
        <v>9381</v>
      </c>
      <c r="B2" s="22" t="s">
        <v>9382</v>
      </c>
      <c r="C2" s="2">
        <v>16</v>
      </c>
      <c r="D2" s="23">
        <v>99.99</v>
      </c>
      <c r="E2" s="3">
        <v>1599.84</v>
      </c>
      <c r="F2" s="2" t="s">
        <v>9383</v>
      </c>
      <c r="G2" s="22" t="s">
        <v>19342</v>
      </c>
      <c r="H2" s="24" t="s">
        <v>17505</v>
      </c>
      <c r="I2" s="22" t="s">
        <v>19309</v>
      </c>
      <c r="J2" s="22" t="s">
        <v>19417</v>
      </c>
      <c r="K2" s="22" t="s">
        <v>9384</v>
      </c>
      <c r="L2" s="22"/>
      <c r="M2" s="22"/>
      <c r="N2" s="25" t="str">
        <f>HYPERLINK("http://slimages.macys.com/is/image/MCY/21495924 ")</f>
        <v xml:space="preserve">http://slimages.macys.com/is/image/MCY/21495924 </v>
      </c>
    </row>
    <row r="3" spans="1:14" ht="24.75" x14ac:dyDescent="0.25">
      <c r="A3" s="21" t="s">
        <v>15628</v>
      </c>
      <c r="B3" s="22" t="s">
        <v>15629</v>
      </c>
      <c r="C3" s="2">
        <v>1</v>
      </c>
      <c r="D3" s="23">
        <v>24.99</v>
      </c>
      <c r="E3" s="3">
        <v>24.99</v>
      </c>
      <c r="F3" s="2" t="s">
        <v>17681</v>
      </c>
      <c r="G3" s="22" t="s">
        <v>19618</v>
      </c>
      <c r="H3" s="24" t="s">
        <v>19797</v>
      </c>
      <c r="I3" s="22" t="s">
        <v>19309</v>
      </c>
      <c r="J3" s="22" t="s">
        <v>19447</v>
      </c>
      <c r="K3" s="22" t="s">
        <v>19533</v>
      </c>
      <c r="L3" s="22"/>
      <c r="M3" s="22"/>
      <c r="N3" s="25" t="str">
        <f>HYPERLINK("http://slimages.macys.com/is/image/MCY/21150450 ")</f>
        <v xml:space="preserve">http://slimages.macys.com/is/image/MCY/21150450 </v>
      </c>
    </row>
    <row r="4" spans="1:14" ht="24.75" x14ac:dyDescent="0.25">
      <c r="A4" s="21" t="s">
        <v>8411</v>
      </c>
      <c r="B4" s="22" t="s">
        <v>8412</v>
      </c>
      <c r="C4" s="2">
        <v>20</v>
      </c>
      <c r="D4" s="23">
        <v>24.99</v>
      </c>
      <c r="E4" s="3">
        <v>499.8</v>
      </c>
      <c r="F4" s="2" t="s">
        <v>17681</v>
      </c>
      <c r="G4" s="22" t="s">
        <v>19618</v>
      </c>
      <c r="H4" s="24" t="s">
        <v>19364</v>
      </c>
      <c r="I4" s="22" t="s">
        <v>19309</v>
      </c>
      <c r="J4" s="22" t="s">
        <v>19447</v>
      </c>
      <c r="K4" s="22" t="s">
        <v>19533</v>
      </c>
      <c r="L4" s="22"/>
      <c r="M4" s="22"/>
      <c r="N4" s="25" t="str">
        <f>HYPERLINK("http://slimages.macys.com/is/image/MCY/21150450 ")</f>
        <v xml:space="preserve">http://slimages.macys.com/is/image/MCY/21150450 </v>
      </c>
    </row>
    <row r="5" spans="1:14" ht="24.75" x14ac:dyDescent="0.25">
      <c r="A5" s="21" t="s">
        <v>8413</v>
      </c>
      <c r="B5" s="22" t="s">
        <v>8414</v>
      </c>
      <c r="C5" s="2">
        <v>27</v>
      </c>
      <c r="D5" s="23">
        <v>24.99</v>
      </c>
      <c r="E5" s="3">
        <v>674.73</v>
      </c>
      <c r="F5" s="2" t="s">
        <v>9421</v>
      </c>
      <c r="G5" s="22" t="s">
        <v>19462</v>
      </c>
      <c r="H5" s="24" t="s">
        <v>19330</v>
      </c>
      <c r="I5" s="22" t="s">
        <v>19309</v>
      </c>
      <c r="J5" s="22" t="s">
        <v>19385</v>
      </c>
      <c r="K5" s="22" t="s">
        <v>19386</v>
      </c>
      <c r="L5" s="22"/>
      <c r="M5" s="22"/>
      <c r="N5" s="25" t="str">
        <f>HYPERLINK("http://slimages.macys.com/is/image/MCY/21465558 ")</f>
        <v xml:space="preserve">http://slimages.macys.com/is/image/MCY/21465558 </v>
      </c>
    </row>
    <row r="6" spans="1:14" ht="24.75" x14ac:dyDescent="0.25">
      <c r="A6" s="21" t="s">
        <v>9813</v>
      </c>
      <c r="B6" s="22" t="s">
        <v>9814</v>
      </c>
      <c r="C6" s="2">
        <v>21</v>
      </c>
      <c r="D6" s="23">
        <v>24.99</v>
      </c>
      <c r="E6" s="3">
        <v>524.79</v>
      </c>
      <c r="F6" s="2" t="s">
        <v>9421</v>
      </c>
      <c r="G6" s="22" t="s">
        <v>19462</v>
      </c>
      <c r="H6" s="24" t="s">
        <v>19538</v>
      </c>
      <c r="I6" s="22" t="s">
        <v>19309</v>
      </c>
      <c r="J6" s="22" t="s">
        <v>19385</v>
      </c>
      <c r="K6" s="22" t="s">
        <v>19386</v>
      </c>
      <c r="L6" s="22"/>
      <c r="M6" s="22"/>
      <c r="N6" s="25" t="str">
        <f>HYPERLINK("http://slimages.macys.com/is/image/MCY/21465558 ")</f>
        <v xml:space="preserve">http://slimages.macys.com/is/image/MCY/21465558 </v>
      </c>
    </row>
    <row r="7" spans="1:14" ht="24.75" x14ac:dyDescent="0.25">
      <c r="A7" s="21" t="s">
        <v>10889</v>
      </c>
      <c r="B7" s="22" t="s">
        <v>10890</v>
      </c>
      <c r="C7" s="2">
        <v>27</v>
      </c>
      <c r="D7" s="23">
        <v>24.99</v>
      </c>
      <c r="E7" s="3">
        <v>674.73</v>
      </c>
      <c r="F7" s="2" t="s">
        <v>10882</v>
      </c>
      <c r="G7" s="22" t="s">
        <v>19323</v>
      </c>
      <c r="H7" s="24" t="s">
        <v>19330</v>
      </c>
      <c r="I7" s="22" t="s">
        <v>19309</v>
      </c>
      <c r="J7" s="22" t="s">
        <v>19385</v>
      </c>
      <c r="K7" s="22" t="s">
        <v>19386</v>
      </c>
      <c r="L7" s="22"/>
      <c r="M7" s="22"/>
      <c r="N7" s="25" t="str">
        <f>HYPERLINK("http://slimages.macys.com/is/image/MCY/21820640 ")</f>
        <v xml:space="preserve">http://slimages.macys.com/is/image/MCY/21820640 </v>
      </c>
    </row>
    <row r="8" spans="1:14" ht="24.75" x14ac:dyDescent="0.25">
      <c r="A8" s="21" t="s">
        <v>9419</v>
      </c>
      <c r="B8" s="22" t="s">
        <v>9420</v>
      </c>
      <c r="C8" s="2">
        <v>10</v>
      </c>
      <c r="D8" s="23">
        <v>24.99</v>
      </c>
      <c r="E8" s="3">
        <v>249.9</v>
      </c>
      <c r="F8" s="2" t="s">
        <v>9421</v>
      </c>
      <c r="G8" s="22" t="s">
        <v>19462</v>
      </c>
      <c r="H8" s="24" t="s">
        <v>19416</v>
      </c>
      <c r="I8" s="22" t="s">
        <v>19309</v>
      </c>
      <c r="J8" s="22" t="s">
        <v>19385</v>
      </c>
      <c r="K8" s="22" t="s">
        <v>19386</v>
      </c>
      <c r="L8" s="22"/>
      <c r="M8" s="22"/>
      <c r="N8" s="25" t="str">
        <f>HYPERLINK("http://slimages.macys.com/is/image/MCY/21465558 ")</f>
        <v xml:space="preserve">http://slimages.macys.com/is/image/MCY/21465558 </v>
      </c>
    </row>
    <row r="9" spans="1:14" ht="24.75" x14ac:dyDescent="0.25">
      <c r="A9" s="21" t="s">
        <v>10880</v>
      </c>
      <c r="B9" s="22" t="s">
        <v>10881</v>
      </c>
      <c r="C9" s="2">
        <v>29</v>
      </c>
      <c r="D9" s="23">
        <v>24.99</v>
      </c>
      <c r="E9" s="3">
        <v>724.71</v>
      </c>
      <c r="F9" s="2" t="s">
        <v>10882</v>
      </c>
      <c r="G9" s="22" t="s">
        <v>19323</v>
      </c>
      <c r="H9" s="24" t="s">
        <v>19324</v>
      </c>
      <c r="I9" s="22" t="s">
        <v>19309</v>
      </c>
      <c r="J9" s="22" t="s">
        <v>19385</v>
      </c>
      <c r="K9" s="22" t="s">
        <v>19386</v>
      </c>
      <c r="L9" s="22"/>
      <c r="M9" s="22"/>
      <c r="N9" s="25" t="str">
        <f>HYPERLINK("http://slimages.macys.com/is/image/MCY/21820640 ")</f>
        <v xml:space="preserve">http://slimages.macys.com/is/image/MCY/21820640 </v>
      </c>
    </row>
    <row r="10" spans="1:14" x14ac:dyDescent="0.25">
      <c r="A10" s="21" t="s">
        <v>9427</v>
      </c>
      <c r="B10" s="22" t="s">
        <v>9428</v>
      </c>
      <c r="C10" s="2">
        <v>12</v>
      </c>
      <c r="D10" s="23">
        <v>27.99</v>
      </c>
      <c r="E10" s="3">
        <v>335.88</v>
      </c>
      <c r="F10" s="2" t="s">
        <v>9429</v>
      </c>
      <c r="G10" s="22" t="s">
        <v>19342</v>
      </c>
      <c r="H10" s="24" t="s">
        <v>19345</v>
      </c>
      <c r="I10" s="22" t="s">
        <v>19309</v>
      </c>
      <c r="J10" s="22" t="s">
        <v>19696</v>
      </c>
      <c r="K10" s="22" t="s">
        <v>19697</v>
      </c>
      <c r="L10" s="22"/>
      <c r="M10" s="22"/>
      <c r="N10" s="25" t="str">
        <f>HYPERLINK("http://slimages.macys.com/is/image/MCY/21355162 ")</f>
        <v xml:space="preserve">http://slimages.macys.com/is/image/MCY/21355162 </v>
      </c>
    </row>
    <row r="11" spans="1:14" x14ac:dyDescent="0.25">
      <c r="A11" s="21" t="s">
        <v>9824</v>
      </c>
      <c r="B11" s="22" t="s">
        <v>9825</v>
      </c>
      <c r="C11" s="2">
        <v>12</v>
      </c>
      <c r="D11" s="23">
        <v>27.99</v>
      </c>
      <c r="E11" s="3">
        <v>335.88</v>
      </c>
      <c r="F11" s="2" t="s">
        <v>10899</v>
      </c>
      <c r="G11" s="22" t="s">
        <v>19342</v>
      </c>
      <c r="H11" s="24" t="s">
        <v>19334</v>
      </c>
      <c r="I11" s="22" t="s">
        <v>19309</v>
      </c>
      <c r="J11" s="22" t="s">
        <v>19696</v>
      </c>
      <c r="K11" s="22" t="s">
        <v>19697</v>
      </c>
      <c r="L11" s="22"/>
      <c r="M11" s="22"/>
      <c r="N11" s="25" t="str">
        <f>HYPERLINK("http://slimages.macys.com/is/image/MCY/21355157 ")</f>
        <v xml:space="preserve">http://slimages.macys.com/is/image/MCY/21355157 </v>
      </c>
    </row>
    <row r="12" spans="1:14" x14ac:dyDescent="0.25">
      <c r="A12" s="21" t="s">
        <v>9819</v>
      </c>
      <c r="B12" s="22" t="s">
        <v>9820</v>
      </c>
      <c r="C12" s="2">
        <v>12</v>
      </c>
      <c r="D12" s="23">
        <v>27.99</v>
      </c>
      <c r="E12" s="3">
        <v>335.88</v>
      </c>
      <c r="F12" s="2" t="s">
        <v>9821</v>
      </c>
      <c r="G12" s="22" t="s">
        <v>19342</v>
      </c>
      <c r="H12" s="24" t="s">
        <v>19392</v>
      </c>
      <c r="I12" s="22" t="s">
        <v>19309</v>
      </c>
      <c r="J12" s="22" t="s">
        <v>19696</v>
      </c>
      <c r="K12" s="22" t="s">
        <v>19697</v>
      </c>
      <c r="L12" s="22"/>
      <c r="M12" s="22"/>
      <c r="N12" s="25" t="str">
        <f>HYPERLINK("http://slimages.macys.com/is/image/MCY/21355165 ")</f>
        <v xml:space="preserve">http://slimages.macys.com/is/image/MCY/21355165 </v>
      </c>
    </row>
    <row r="13" spans="1:14" x14ac:dyDescent="0.25">
      <c r="A13" s="21" t="s">
        <v>8224</v>
      </c>
      <c r="B13" s="22" t="s">
        <v>8225</v>
      </c>
      <c r="C13" s="2">
        <v>24</v>
      </c>
      <c r="D13" s="23">
        <v>27.99</v>
      </c>
      <c r="E13" s="3">
        <v>671.76</v>
      </c>
      <c r="F13" s="2" t="s">
        <v>9429</v>
      </c>
      <c r="G13" s="22" t="s">
        <v>19342</v>
      </c>
      <c r="H13" s="24" t="s">
        <v>19334</v>
      </c>
      <c r="I13" s="22" t="s">
        <v>19309</v>
      </c>
      <c r="J13" s="22" t="s">
        <v>19696</v>
      </c>
      <c r="K13" s="22" t="s">
        <v>19697</v>
      </c>
      <c r="L13" s="22"/>
      <c r="M13" s="22"/>
      <c r="N13" s="25" t="str">
        <f>HYPERLINK("http://slimages.macys.com/is/image/MCY/21355162 ")</f>
        <v xml:space="preserve">http://slimages.macys.com/is/image/MCY/21355162 </v>
      </c>
    </row>
    <row r="14" spans="1:14" ht="24.75" x14ac:dyDescent="0.25">
      <c r="A14" s="21" t="s">
        <v>10894</v>
      </c>
      <c r="B14" s="22" t="s">
        <v>10895</v>
      </c>
      <c r="C14" s="2">
        <v>24</v>
      </c>
      <c r="D14" s="23">
        <v>27.99</v>
      </c>
      <c r="E14" s="3">
        <v>671.76</v>
      </c>
      <c r="F14" s="2" t="s">
        <v>10896</v>
      </c>
      <c r="G14" s="22" t="s">
        <v>19342</v>
      </c>
      <c r="H14" s="24" t="s">
        <v>19334</v>
      </c>
      <c r="I14" s="22" t="s">
        <v>19309</v>
      </c>
      <c r="J14" s="22" t="s">
        <v>19696</v>
      </c>
      <c r="K14" s="22" t="s">
        <v>19965</v>
      </c>
      <c r="L14" s="22"/>
      <c r="M14" s="22"/>
      <c r="N14" s="25" t="str">
        <f>HYPERLINK("http://slimages.macys.com/is/image/MCY/21356000 ")</f>
        <v xml:space="preserve">http://slimages.macys.com/is/image/MCY/21356000 </v>
      </c>
    </row>
    <row r="15" spans="1:14" ht="24.75" x14ac:dyDescent="0.25">
      <c r="A15" s="21" t="s">
        <v>15722</v>
      </c>
      <c r="B15" s="22" t="s">
        <v>15723</v>
      </c>
      <c r="C15" s="2">
        <v>3</v>
      </c>
      <c r="D15" s="23">
        <v>29.99</v>
      </c>
      <c r="E15" s="3">
        <v>89.97</v>
      </c>
      <c r="F15" s="2" t="s">
        <v>15724</v>
      </c>
      <c r="G15" s="22" t="s">
        <v>19342</v>
      </c>
      <c r="H15" s="24" t="s">
        <v>19330</v>
      </c>
      <c r="I15" s="22" t="s">
        <v>19309</v>
      </c>
      <c r="J15" s="22" t="s">
        <v>19491</v>
      </c>
      <c r="K15" s="22" t="s">
        <v>15725</v>
      </c>
      <c r="L15" s="22"/>
      <c r="M15" s="22"/>
      <c r="N15" s="25" t="str">
        <f>HYPERLINK("http://slimages.macys.com/is/image/MCY/21176916 ")</f>
        <v xml:space="preserve">http://slimages.macys.com/is/image/MCY/21176916 </v>
      </c>
    </row>
    <row r="16" spans="1:14" x14ac:dyDescent="0.25">
      <c r="A16" s="21" t="s">
        <v>8027</v>
      </c>
      <c r="B16" s="22" t="s">
        <v>8028</v>
      </c>
      <c r="C16" s="2">
        <v>12</v>
      </c>
      <c r="D16" s="23">
        <v>27.99</v>
      </c>
      <c r="E16" s="3">
        <v>335.88</v>
      </c>
      <c r="F16" s="2" t="s">
        <v>9821</v>
      </c>
      <c r="G16" s="22" t="s">
        <v>19342</v>
      </c>
      <c r="H16" s="24" t="s">
        <v>19334</v>
      </c>
      <c r="I16" s="22" t="s">
        <v>19309</v>
      </c>
      <c r="J16" s="22" t="s">
        <v>19696</v>
      </c>
      <c r="K16" s="22" t="s">
        <v>19697</v>
      </c>
      <c r="L16" s="22"/>
      <c r="M16" s="22"/>
      <c r="N16" s="25" t="str">
        <f>HYPERLINK("http://slimages.macys.com/is/image/MCY/21355165 ")</f>
        <v xml:space="preserve">http://slimages.macys.com/is/image/MCY/21355165 </v>
      </c>
    </row>
    <row r="17" spans="1:14" ht="24.75" x14ac:dyDescent="0.25">
      <c r="A17" s="21" t="s">
        <v>8025</v>
      </c>
      <c r="B17" s="22" t="s">
        <v>8026</v>
      </c>
      <c r="C17" s="2">
        <v>12</v>
      </c>
      <c r="D17" s="23">
        <v>27.99</v>
      </c>
      <c r="E17" s="3">
        <v>335.88</v>
      </c>
      <c r="F17" s="2" t="s">
        <v>10896</v>
      </c>
      <c r="G17" s="22" t="s">
        <v>19342</v>
      </c>
      <c r="H17" s="24" t="s">
        <v>19392</v>
      </c>
      <c r="I17" s="22" t="s">
        <v>19309</v>
      </c>
      <c r="J17" s="22" t="s">
        <v>19696</v>
      </c>
      <c r="K17" s="22" t="s">
        <v>19965</v>
      </c>
      <c r="L17" s="22"/>
      <c r="M17" s="22"/>
      <c r="N17" s="25" t="str">
        <f>HYPERLINK("http://slimages.macys.com/is/image/MCY/21356000 ")</f>
        <v xml:space="preserve">http://slimages.macys.com/is/image/MCY/21356000 </v>
      </c>
    </row>
    <row r="18" spans="1:14" x14ac:dyDescent="0.25">
      <c r="A18" s="21" t="s">
        <v>8415</v>
      </c>
      <c r="B18" s="22" t="s">
        <v>8416</v>
      </c>
      <c r="C18" s="2">
        <v>12</v>
      </c>
      <c r="D18" s="23">
        <v>27.99</v>
      </c>
      <c r="E18" s="3">
        <v>335.88</v>
      </c>
      <c r="F18" s="2" t="s">
        <v>8417</v>
      </c>
      <c r="G18" s="22" t="s">
        <v>19342</v>
      </c>
      <c r="H18" s="24" t="s">
        <v>19334</v>
      </c>
      <c r="I18" s="22" t="s">
        <v>19309</v>
      </c>
      <c r="J18" s="22" t="s">
        <v>19696</v>
      </c>
      <c r="K18" s="22" t="s">
        <v>19697</v>
      </c>
      <c r="L18" s="22"/>
      <c r="M18" s="22"/>
      <c r="N18" s="25" t="str">
        <f>HYPERLINK("http://slimages.macys.com/is/image/MCY/21355148 ")</f>
        <v xml:space="preserve">http://slimages.macys.com/is/image/MCY/21355148 </v>
      </c>
    </row>
    <row r="19" spans="1:14" x14ac:dyDescent="0.25">
      <c r="A19" s="21" t="s">
        <v>9822</v>
      </c>
      <c r="B19" s="22" t="s">
        <v>9823</v>
      </c>
      <c r="C19" s="2">
        <v>13</v>
      </c>
      <c r="D19" s="23">
        <v>27.99</v>
      </c>
      <c r="E19" s="3">
        <v>363.87</v>
      </c>
      <c r="F19" s="2" t="s">
        <v>9821</v>
      </c>
      <c r="G19" s="22" t="s">
        <v>19342</v>
      </c>
      <c r="H19" s="24" t="s">
        <v>19345</v>
      </c>
      <c r="I19" s="22" t="s">
        <v>19309</v>
      </c>
      <c r="J19" s="22" t="s">
        <v>19696</v>
      </c>
      <c r="K19" s="22" t="s">
        <v>19697</v>
      </c>
      <c r="L19" s="22"/>
      <c r="M19" s="22"/>
      <c r="N19" s="25" t="str">
        <f>HYPERLINK("http://slimages.macys.com/is/image/MCY/21355165 ")</f>
        <v xml:space="preserve">http://slimages.macys.com/is/image/MCY/21355165 </v>
      </c>
    </row>
    <row r="20" spans="1:14" ht="24.75" x14ac:dyDescent="0.25">
      <c r="A20" s="21" t="s">
        <v>8418</v>
      </c>
      <c r="B20" s="22" t="s">
        <v>8419</v>
      </c>
      <c r="C20" s="2">
        <v>12</v>
      </c>
      <c r="D20" s="23">
        <v>27.99</v>
      </c>
      <c r="E20" s="3">
        <v>335.88</v>
      </c>
      <c r="F20" s="2" t="s">
        <v>8420</v>
      </c>
      <c r="G20" s="22" t="s">
        <v>19342</v>
      </c>
      <c r="H20" s="24" t="s">
        <v>19334</v>
      </c>
      <c r="I20" s="22" t="s">
        <v>19309</v>
      </c>
      <c r="J20" s="22" t="s">
        <v>19696</v>
      </c>
      <c r="K20" s="22" t="s">
        <v>19697</v>
      </c>
      <c r="L20" s="22"/>
      <c r="M20" s="22"/>
      <c r="N20" s="25" t="str">
        <f>HYPERLINK("http://slimages.macys.com/is/image/MCY/21364970 ")</f>
        <v xml:space="preserve">http://slimages.macys.com/is/image/MCY/21364970 </v>
      </c>
    </row>
    <row r="21" spans="1:14" x14ac:dyDescent="0.25">
      <c r="A21" s="21" t="s">
        <v>9424</v>
      </c>
      <c r="B21" s="22" t="s">
        <v>9425</v>
      </c>
      <c r="C21" s="2">
        <v>24</v>
      </c>
      <c r="D21" s="23">
        <v>27.99</v>
      </c>
      <c r="E21" s="3">
        <v>671.76</v>
      </c>
      <c r="F21" s="2" t="s">
        <v>9426</v>
      </c>
      <c r="G21" s="22" t="s">
        <v>19342</v>
      </c>
      <c r="H21" s="24" t="s">
        <v>19334</v>
      </c>
      <c r="I21" s="22" t="s">
        <v>19309</v>
      </c>
      <c r="J21" s="22" t="s">
        <v>19696</v>
      </c>
      <c r="K21" s="22" t="s">
        <v>19965</v>
      </c>
      <c r="L21" s="22"/>
      <c r="M21" s="22"/>
      <c r="N21" s="25" t="str">
        <f>HYPERLINK("http://slimages.macys.com/is/image/MCY/21355996 ")</f>
        <v xml:space="preserve">http://slimages.macys.com/is/image/MCY/21355996 </v>
      </c>
    </row>
    <row r="22" spans="1:14" ht="24.75" x14ac:dyDescent="0.25">
      <c r="A22" s="21" t="s">
        <v>9436</v>
      </c>
      <c r="B22" s="22" t="s">
        <v>9437</v>
      </c>
      <c r="C22" s="2">
        <v>11</v>
      </c>
      <c r="D22" s="23">
        <v>24.99</v>
      </c>
      <c r="E22" s="3">
        <v>274.89</v>
      </c>
      <c r="F22" s="2" t="s">
        <v>9432</v>
      </c>
      <c r="G22" s="22" t="s">
        <v>19333</v>
      </c>
      <c r="H22" s="24" t="s">
        <v>19416</v>
      </c>
      <c r="I22" s="22" t="s">
        <v>19309</v>
      </c>
      <c r="J22" s="22" t="s">
        <v>19385</v>
      </c>
      <c r="K22" s="22" t="s">
        <v>19386</v>
      </c>
      <c r="L22" s="22"/>
      <c r="M22" s="22"/>
      <c r="N22" s="25" t="str">
        <f>HYPERLINK("http://slimages.macys.com/is/image/MCY/21446553 ")</f>
        <v xml:space="preserve">http://slimages.macys.com/is/image/MCY/21446553 </v>
      </c>
    </row>
    <row r="23" spans="1:14" ht="24.75" x14ac:dyDescent="0.25">
      <c r="A23" s="21" t="s">
        <v>9438</v>
      </c>
      <c r="B23" s="22" t="s">
        <v>9439</v>
      </c>
      <c r="C23" s="2">
        <v>6</v>
      </c>
      <c r="D23" s="23">
        <v>24.99</v>
      </c>
      <c r="E23" s="3">
        <v>149.94</v>
      </c>
      <c r="F23" s="2" t="s">
        <v>9440</v>
      </c>
      <c r="G23" s="22" t="s">
        <v>19342</v>
      </c>
      <c r="H23" s="24" t="s">
        <v>19324</v>
      </c>
      <c r="I23" s="22" t="s">
        <v>19309</v>
      </c>
      <c r="J23" s="22" t="s">
        <v>19491</v>
      </c>
      <c r="K23" s="22" t="s">
        <v>19554</v>
      </c>
      <c r="L23" s="22"/>
      <c r="M23" s="22"/>
      <c r="N23" s="25" t="str">
        <f>HYPERLINK("http://slimages.macys.com/is/image/MCY/21483063 ")</f>
        <v xml:space="preserve">http://slimages.macys.com/is/image/MCY/21483063 </v>
      </c>
    </row>
    <row r="24" spans="1:14" x14ac:dyDescent="0.25">
      <c r="A24" s="21" t="s">
        <v>8041</v>
      </c>
      <c r="B24" s="22" t="s">
        <v>8042</v>
      </c>
      <c r="C24" s="2">
        <v>65</v>
      </c>
      <c r="D24" s="23">
        <v>20.58</v>
      </c>
      <c r="E24" s="3">
        <v>1337.7</v>
      </c>
      <c r="F24" s="2" t="s">
        <v>8036</v>
      </c>
      <c r="G24" s="22" t="s">
        <v>19342</v>
      </c>
      <c r="H24" s="24" t="s">
        <v>19361</v>
      </c>
      <c r="I24" s="22" t="s">
        <v>19309</v>
      </c>
      <c r="J24" s="22" t="s">
        <v>19514</v>
      </c>
      <c r="K24" s="22" t="s">
        <v>10909</v>
      </c>
      <c r="L24" s="22"/>
      <c r="M24" s="22"/>
      <c r="N24" s="25" t="str">
        <f>HYPERLINK("http://slimages.macys.com/is/image/MCY/21192202 ")</f>
        <v xml:space="preserve">http://slimages.macys.com/is/image/MCY/21192202 </v>
      </c>
    </row>
    <row r="25" spans="1:14" x14ac:dyDescent="0.25">
      <c r="A25" s="21" t="s">
        <v>8034</v>
      </c>
      <c r="B25" s="22" t="s">
        <v>8035</v>
      </c>
      <c r="C25" s="2">
        <v>22</v>
      </c>
      <c r="D25" s="23">
        <v>20.58</v>
      </c>
      <c r="E25" s="3">
        <v>452.76</v>
      </c>
      <c r="F25" s="2" t="s">
        <v>8036</v>
      </c>
      <c r="G25" s="22" t="s">
        <v>19342</v>
      </c>
      <c r="H25" s="24" t="s">
        <v>19395</v>
      </c>
      <c r="I25" s="22" t="s">
        <v>19309</v>
      </c>
      <c r="J25" s="22" t="s">
        <v>19514</v>
      </c>
      <c r="K25" s="22" t="s">
        <v>10909</v>
      </c>
      <c r="L25" s="22"/>
      <c r="M25" s="22"/>
      <c r="N25" s="25" t="str">
        <f>HYPERLINK("http://slimages.macys.com/is/image/MCY/21192202 ")</f>
        <v xml:space="preserve">http://slimages.macys.com/is/image/MCY/21192202 </v>
      </c>
    </row>
    <row r="26" spans="1:14" x14ac:dyDescent="0.25">
      <c r="A26" s="21" t="s">
        <v>8037</v>
      </c>
      <c r="B26" s="22" t="s">
        <v>8038</v>
      </c>
      <c r="C26" s="2">
        <v>24</v>
      </c>
      <c r="D26" s="23">
        <v>20.58</v>
      </c>
      <c r="E26" s="3">
        <v>493.92</v>
      </c>
      <c r="F26" s="2" t="s">
        <v>8036</v>
      </c>
      <c r="G26" s="22" t="s">
        <v>19342</v>
      </c>
      <c r="H26" s="24" t="s">
        <v>19542</v>
      </c>
      <c r="I26" s="22" t="s">
        <v>19309</v>
      </c>
      <c r="J26" s="22" t="s">
        <v>19514</v>
      </c>
      <c r="K26" s="22" t="s">
        <v>10909</v>
      </c>
      <c r="L26" s="22"/>
      <c r="M26" s="22"/>
      <c r="N26" s="25" t="str">
        <f>HYPERLINK("http://slimages.macys.com/is/image/MCY/21192202 ")</f>
        <v xml:space="preserve">http://slimages.macys.com/is/image/MCY/21192202 </v>
      </c>
    </row>
    <row r="27" spans="1:14" ht="24.75" x14ac:dyDescent="0.25">
      <c r="A27" s="21" t="s">
        <v>10922</v>
      </c>
      <c r="B27" s="22" t="s">
        <v>10923</v>
      </c>
      <c r="C27" s="2">
        <v>10</v>
      </c>
      <c r="D27" s="23">
        <v>17.989999999999998</v>
      </c>
      <c r="E27" s="3">
        <v>179.9</v>
      </c>
      <c r="F27" s="2" t="s">
        <v>10916</v>
      </c>
      <c r="G27" s="22" t="s">
        <v>19342</v>
      </c>
      <c r="H27" s="24" t="s">
        <v>19364</v>
      </c>
      <c r="I27" s="22" t="s">
        <v>19309</v>
      </c>
      <c r="J27" s="22" t="s">
        <v>20076</v>
      </c>
      <c r="K27" s="22" t="s">
        <v>10917</v>
      </c>
      <c r="L27" s="22"/>
      <c r="M27" s="22"/>
      <c r="N27" s="25" t="str">
        <f>HYPERLINK("http://slimages.macys.com/is/image/MCY/23526466 ")</f>
        <v xml:space="preserve">http://slimages.macys.com/is/image/MCY/23526466 </v>
      </c>
    </row>
    <row r="28" spans="1:14" ht="24.75" x14ac:dyDescent="0.25">
      <c r="A28" s="21" t="s">
        <v>10920</v>
      </c>
      <c r="B28" s="22" t="s">
        <v>10921</v>
      </c>
      <c r="C28" s="2">
        <v>7</v>
      </c>
      <c r="D28" s="23">
        <v>17.989999999999998</v>
      </c>
      <c r="E28" s="3">
        <v>125.93</v>
      </c>
      <c r="F28" s="2" t="s">
        <v>10916</v>
      </c>
      <c r="G28" s="22" t="s">
        <v>19342</v>
      </c>
      <c r="H28" s="24" t="s">
        <v>19308</v>
      </c>
      <c r="I28" s="22" t="s">
        <v>19309</v>
      </c>
      <c r="J28" s="22" t="s">
        <v>20076</v>
      </c>
      <c r="K28" s="22" t="s">
        <v>10917</v>
      </c>
      <c r="L28" s="22"/>
      <c r="M28" s="22"/>
      <c r="N28" s="25" t="str">
        <f>HYPERLINK("http://slimages.macys.com/is/image/MCY/23526466 ")</f>
        <v xml:space="preserve">http://slimages.macys.com/is/image/MCY/23526466 </v>
      </c>
    </row>
    <row r="29" spans="1:14" ht="24.75" x14ac:dyDescent="0.25">
      <c r="A29" s="21" t="s">
        <v>8421</v>
      </c>
      <c r="B29" s="22" t="s">
        <v>8422</v>
      </c>
      <c r="C29" s="2">
        <v>22</v>
      </c>
      <c r="D29" s="23">
        <v>24</v>
      </c>
      <c r="E29" s="3">
        <v>528</v>
      </c>
      <c r="F29" s="2" t="s">
        <v>10949</v>
      </c>
      <c r="G29" s="22" t="s">
        <v>19351</v>
      </c>
      <c r="H29" s="24" t="s">
        <v>20159</v>
      </c>
      <c r="I29" s="22" t="s">
        <v>19309</v>
      </c>
      <c r="J29" s="22" t="s">
        <v>19417</v>
      </c>
      <c r="K29" s="22" t="s">
        <v>19854</v>
      </c>
      <c r="L29" s="22"/>
      <c r="M29" s="22"/>
      <c r="N29" s="25" t="str">
        <f>HYPERLINK("http://slimages.macys.com/is/image/MCY/21369853 ")</f>
        <v xml:space="preserve">http://slimages.macys.com/is/image/MCY/21369853 </v>
      </c>
    </row>
    <row r="30" spans="1:14" ht="24.75" x14ac:dyDescent="0.25">
      <c r="A30" s="21" t="s">
        <v>8423</v>
      </c>
      <c r="B30" s="22" t="s">
        <v>8424</v>
      </c>
      <c r="C30" s="2">
        <v>11</v>
      </c>
      <c r="D30" s="23">
        <v>18.989999999999998</v>
      </c>
      <c r="E30" s="3">
        <v>208.89</v>
      </c>
      <c r="F30" s="2" t="s">
        <v>8425</v>
      </c>
      <c r="G30" s="22" t="s">
        <v>19763</v>
      </c>
      <c r="H30" s="24"/>
      <c r="I30" s="22" t="s">
        <v>19309</v>
      </c>
      <c r="J30" s="22" t="s">
        <v>16678</v>
      </c>
      <c r="K30" s="22" t="s">
        <v>19463</v>
      </c>
      <c r="L30" s="22"/>
      <c r="M30" s="22"/>
      <c r="N30" s="25" t="str">
        <f>HYPERLINK("http://slimages.macys.com/is/image/MCY/21306071 ")</f>
        <v xml:space="preserve">http://slimages.macys.com/is/image/MCY/21306071 </v>
      </c>
    </row>
    <row r="31" spans="1:14" ht="24.75" x14ac:dyDescent="0.25">
      <c r="A31" s="21" t="s">
        <v>10974</v>
      </c>
      <c r="B31" s="22" t="s">
        <v>10975</v>
      </c>
      <c r="C31" s="2">
        <v>16</v>
      </c>
      <c r="D31" s="23">
        <v>21.61</v>
      </c>
      <c r="E31" s="3">
        <v>345.76</v>
      </c>
      <c r="F31" s="2" t="s">
        <v>10976</v>
      </c>
      <c r="G31" s="22"/>
      <c r="H31" s="24" t="s">
        <v>20159</v>
      </c>
      <c r="I31" s="22" t="s">
        <v>19309</v>
      </c>
      <c r="J31" s="22" t="s">
        <v>19708</v>
      </c>
      <c r="K31" s="22" t="s">
        <v>19709</v>
      </c>
      <c r="L31" s="22"/>
      <c r="M31" s="22"/>
      <c r="N31" s="25" t="str">
        <f>HYPERLINK("http://slimages.macys.com/is/image/MCY/21423053 ")</f>
        <v xml:space="preserve">http://slimages.macys.com/is/image/MCY/21423053 </v>
      </c>
    </row>
    <row r="32" spans="1:14" ht="24.75" x14ac:dyDescent="0.25">
      <c r="A32" s="21" t="s">
        <v>8063</v>
      </c>
      <c r="B32" s="22" t="s">
        <v>8064</v>
      </c>
      <c r="C32" s="2">
        <v>12</v>
      </c>
      <c r="D32" s="23">
        <v>21.99</v>
      </c>
      <c r="E32" s="3">
        <v>263.88</v>
      </c>
      <c r="F32" s="2" t="s">
        <v>19964</v>
      </c>
      <c r="G32" s="22" t="s">
        <v>19342</v>
      </c>
      <c r="H32" s="24" t="s">
        <v>19478</v>
      </c>
      <c r="I32" s="22" t="s">
        <v>19309</v>
      </c>
      <c r="J32" s="22" t="s">
        <v>19696</v>
      </c>
      <c r="K32" s="22" t="s">
        <v>19965</v>
      </c>
      <c r="L32" s="22"/>
      <c r="M32" s="22"/>
      <c r="N32" s="25" t="str">
        <f>HYPERLINK("http://slimages.macys.com/is/image/MCY/21355968 ")</f>
        <v xml:space="preserve">http://slimages.macys.com/is/image/MCY/21355968 </v>
      </c>
    </row>
    <row r="33" spans="1:14" x14ac:dyDescent="0.25">
      <c r="A33" s="21" t="s">
        <v>8248</v>
      </c>
      <c r="B33" s="22" t="s">
        <v>8249</v>
      </c>
      <c r="C33" s="2">
        <v>24</v>
      </c>
      <c r="D33" s="23">
        <v>21.99</v>
      </c>
      <c r="E33" s="3">
        <v>527.76</v>
      </c>
      <c r="F33" s="2" t="s">
        <v>8250</v>
      </c>
      <c r="G33" s="22" t="s">
        <v>19342</v>
      </c>
      <c r="H33" s="24" t="s">
        <v>19542</v>
      </c>
      <c r="I33" s="22" t="s">
        <v>19309</v>
      </c>
      <c r="J33" s="22" t="s">
        <v>19696</v>
      </c>
      <c r="K33" s="22" t="s">
        <v>19697</v>
      </c>
      <c r="L33" s="22"/>
      <c r="M33" s="22"/>
      <c r="N33" s="25" t="str">
        <f>HYPERLINK("http://slimages.macys.com/is/image/MCY/21836768 ")</f>
        <v xml:space="preserve">http://slimages.macys.com/is/image/MCY/21836768 </v>
      </c>
    </row>
    <row r="34" spans="1:14" x14ac:dyDescent="0.25">
      <c r="A34" s="21" t="s">
        <v>8061</v>
      </c>
      <c r="B34" s="22" t="s">
        <v>8062</v>
      </c>
      <c r="C34" s="2">
        <v>24</v>
      </c>
      <c r="D34" s="23">
        <v>21.99</v>
      </c>
      <c r="E34" s="3">
        <v>527.76</v>
      </c>
      <c r="F34" s="2" t="s">
        <v>19964</v>
      </c>
      <c r="G34" s="22" t="s">
        <v>19342</v>
      </c>
      <c r="H34" s="24" t="s">
        <v>19542</v>
      </c>
      <c r="I34" s="22" t="s">
        <v>19309</v>
      </c>
      <c r="J34" s="22" t="s">
        <v>19696</v>
      </c>
      <c r="K34" s="22" t="s">
        <v>19965</v>
      </c>
      <c r="L34" s="22"/>
      <c r="M34" s="22"/>
      <c r="N34" s="25" t="str">
        <f>HYPERLINK("http://slimages.macys.com/is/image/MCY/21355968 ")</f>
        <v xml:space="preserve">http://slimages.macys.com/is/image/MCY/21355968 </v>
      </c>
    </row>
    <row r="35" spans="1:14" ht="24.75" x14ac:dyDescent="0.25">
      <c r="A35" s="21" t="s">
        <v>10980</v>
      </c>
      <c r="B35" s="22" t="s">
        <v>10981</v>
      </c>
      <c r="C35" s="2">
        <v>8</v>
      </c>
      <c r="D35" s="23">
        <v>23</v>
      </c>
      <c r="E35" s="3">
        <v>184</v>
      </c>
      <c r="F35" s="2" t="s">
        <v>20031</v>
      </c>
      <c r="G35" s="22" t="s">
        <v>19333</v>
      </c>
      <c r="H35" s="24" t="s">
        <v>19364</v>
      </c>
      <c r="I35" s="22" t="s">
        <v>19309</v>
      </c>
      <c r="J35" s="22" t="s">
        <v>19595</v>
      </c>
      <c r="K35" s="22" t="s">
        <v>19423</v>
      </c>
      <c r="L35" s="22"/>
      <c r="M35" s="22"/>
      <c r="N35" s="25" t="str">
        <f>HYPERLINK("http://slimages.macys.com/is/image/MCY/20917977 ")</f>
        <v xml:space="preserve">http://slimages.macys.com/is/image/MCY/20917977 </v>
      </c>
    </row>
    <row r="36" spans="1:14" ht="24.75" x14ac:dyDescent="0.25">
      <c r="A36" s="21" t="s">
        <v>9505</v>
      </c>
      <c r="B36" s="22" t="s">
        <v>9506</v>
      </c>
      <c r="C36" s="2">
        <v>8</v>
      </c>
      <c r="D36" s="23">
        <v>29.5</v>
      </c>
      <c r="E36" s="3">
        <v>236</v>
      </c>
      <c r="F36" s="2" t="s">
        <v>10986</v>
      </c>
      <c r="G36" s="22" t="s">
        <v>19594</v>
      </c>
      <c r="H36" s="24" t="s">
        <v>11751</v>
      </c>
      <c r="I36" s="22" t="s">
        <v>19309</v>
      </c>
      <c r="J36" s="22" t="s">
        <v>20104</v>
      </c>
      <c r="K36" s="22" t="s">
        <v>20105</v>
      </c>
      <c r="L36" s="22"/>
      <c r="M36" s="22"/>
      <c r="N36" s="25" t="str">
        <f>HYPERLINK("http://slimages.macys.com/is/image/MCY/21254194 ")</f>
        <v xml:space="preserve">http://slimages.macys.com/is/image/MCY/21254194 </v>
      </c>
    </row>
    <row r="37" spans="1:14" ht="24.75" x14ac:dyDescent="0.25">
      <c r="A37" s="21" t="s">
        <v>10984</v>
      </c>
      <c r="B37" s="22" t="s">
        <v>10985</v>
      </c>
      <c r="C37" s="2">
        <v>6</v>
      </c>
      <c r="D37" s="23">
        <v>29.5</v>
      </c>
      <c r="E37" s="3">
        <v>177</v>
      </c>
      <c r="F37" s="2" t="s">
        <v>10986</v>
      </c>
      <c r="G37" s="22" t="s">
        <v>19594</v>
      </c>
      <c r="H37" s="24" t="s">
        <v>18139</v>
      </c>
      <c r="I37" s="22" t="s">
        <v>19309</v>
      </c>
      <c r="J37" s="22" t="s">
        <v>20104</v>
      </c>
      <c r="K37" s="22" t="s">
        <v>20105</v>
      </c>
      <c r="L37" s="22"/>
      <c r="M37" s="22"/>
      <c r="N37" s="25" t="str">
        <f>HYPERLINK("http://slimages.macys.com/is/image/MCY/21254194 ")</f>
        <v xml:space="preserve">http://slimages.macys.com/is/image/MCY/21254194 </v>
      </c>
    </row>
    <row r="38" spans="1:14" ht="24.75" x14ac:dyDescent="0.25">
      <c r="A38" s="21" t="s">
        <v>8426</v>
      </c>
      <c r="B38" s="22" t="s">
        <v>8427</v>
      </c>
      <c r="C38" s="2">
        <v>11</v>
      </c>
      <c r="D38" s="23">
        <v>29.5</v>
      </c>
      <c r="E38" s="3">
        <v>324.5</v>
      </c>
      <c r="F38" s="2" t="s">
        <v>10986</v>
      </c>
      <c r="G38" s="22" t="s">
        <v>19594</v>
      </c>
      <c r="H38" s="24" t="s">
        <v>19432</v>
      </c>
      <c r="I38" s="22" t="s">
        <v>19309</v>
      </c>
      <c r="J38" s="22" t="s">
        <v>20104</v>
      </c>
      <c r="K38" s="22" t="s">
        <v>20105</v>
      </c>
      <c r="L38" s="22"/>
      <c r="M38" s="22"/>
      <c r="N38" s="25" t="str">
        <f>HYPERLINK("http://slimages.macys.com/is/image/MCY/21254194 ")</f>
        <v xml:space="preserve">http://slimages.macys.com/is/image/MCY/21254194 </v>
      </c>
    </row>
    <row r="39" spans="1:14" x14ac:dyDescent="0.25">
      <c r="A39" s="21" t="s">
        <v>12036</v>
      </c>
      <c r="B39" s="22" t="s">
        <v>12037</v>
      </c>
      <c r="C39" s="2">
        <v>10</v>
      </c>
      <c r="D39" s="23">
        <v>18.989999999999998</v>
      </c>
      <c r="E39" s="3">
        <v>189.9</v>
      </c>
      <c r="F39" s="2" t="s">
        <v>12038</v>
      </c>
      <c r="G39" s="22" t="s">
        <v>19467</v>
      </c>
      <c r="H39" s="24"/>
      <c r="I39" s="22" t="s">
        <v>19309</v>
      </c>
      <c r="J39" s="22" t="s">
        <v>19696</v>
      </c>
      <c r="K39" s="22" t="s">
        <v>18094</v>
      </c>
      <c r="L39" s="22"/>
      <c r="M39" s="22"/>
      <c r="N39" s="25" t="str">
        <f>HYPERLINK("http://slimages.macys.com/is/image/MCY/21408518 ")</f>
        <v xml:space="preserve">http://slimages.macys.com/is/image/MCY/21408518 </v>
      </c>
    </row>
    <row r="40" spans="1:14" x14ac:dyDescent="0.25">
      <c r="A40" s="21" t="s">
        <v>8428</v>
      </c>
      <c r="B40" s="22" t="s">
        <v>8429</v>
      </c>
      <c r="C40" s="2">
        <v>17</v>
      </c>
      <c r="D40" s="23">
        <v>19.989999999999998</v>
      </c>
      <c r="E40" s="3">
        <v>339.83</v>
      </c>
      <c r="F40" s="2" t="s">
        <v>8430</v>
      </c>
      <c r="G40" s="22" t="s">
        <v>19333</v>
      </c>
      <c r="H40" s="24" t="s">
        <v>14479</v>
      </c>
      <c r="I40" s="22" t="s">
        <v>19309</v>
      </c>
      <c r="J40" s="22" t="s">
        <v>19696</v>
      </c>
      <c r="K40" s="22" t="s">
        <v>15978</v>
      </c>
      <c r="L40" s="22"/>
      <c r="M40" s="22"/>
      <c r="N40" s="25" t="str">
        <f>HYPERLINK("http://slimages.macys.com/is/image/MCY/20426371 ")</f>
        <v xml:space="preserve">http://slimages.macys.com/is/image/MCY/20426371 </v>
      </c>
    </row>
    <row r="41" spans="1:14" x14ac:dyDescent="0.25">
      <c r="A41" s="21" t="s">
        <v>9531</v>
      </c>
      <c r="B41" s="22" t="s">
        <v>9532</v>
      </c>
      <c r="C41" s="2">
        <v>11</v>
      </c>
      <c r="D41" s="23">
        <v>18.2</v>
      </c>
      <c r="E41" s="3">
        <v>200.2</v>
      </c>
      <c r="F41" s="2" t="s">
        <v>9533</v>
      </c>
      <c r="G41" s="22"/>
      <c r="H41" s="24" t="s">
        <v>20159</v>
      </c>
      <c r="I41" s="22" t="s">
        <v>19309</v>
      </c>
      <c r="J41" s="22" t="s">
        <v>19708</v>
      </c>
      <c r="K41" s="22" t="s">
        <v>19709</v>
      </c>
      <c r="L41" s="22"/>
      <c r="M41" s="22"/>
      <c r="N41" s="25" t="str">
        <f>HYPERLINK("http://slimages.macys.com/is/image/MCY/21423014 ")</f>
        <v xml:space="preserve">http://slimages.macys.com/is/image/MCY/21423014 </v>
      </c>
    </row>
    <row r="42" spans="1:14" ht="24.75" x14ac:dyDescent="0.25">
      <c r="A42" s="21" t="s">
        <v>8084</v>
      </c>
      <c r="B42" s="22" t="s">
        <v>8085</v>
      </c>
      <c r="C42" s="2">
        <v>2</v>
      </c>
      <c r="D42" s="23">
        <v>16.989999999999998</v>
      </c>
      <c r="E42" s="3">
        <v>33.979999999999997</v>
      </c>
      <c r="F42" s="2" t="s">
        <v>8086</v>
      </c>
      <c r="G42" s="22" t="s">
        <v>19333</v>
      </c>
      <c r="H42" s="24"/>
      <c r="I42" s="22" t="s">
        <v>19309</v>
      </c>
      <c r="J42" s="22" t="s">
        <v>19519</v>
      </c>
      <c r="K42" s="22" t="s">
        <v>11201</v>
      </c>
      <c r="L42" s="22"/>
      <c r="M42" s="22"/>
      <c r="N42" s="25" t="str">
        <f>HYPERLINK("http://slimages.macys.com/is/image/MCY/21776966 ")</f>
        <v xml:space="preserve">http://slimages.macys.com/is/image/MCY/21776966 </v>
      </c>
    </row>
    <row r="43" spans="1:14" x14ac:dyDescent="0.25">
      <c r="A43" s="21" t="s">
        <v>8431</v>
      </c>
      <c r="B43" s="22" t="s">
        <v>8432</v>
      </c>
      <c r="C43" s="2">
        <v>12</v>
      </c>
      <c r="D43" s="23">
        <v>17.989999999999998</v>
      </c>
      <c r="E43" s="3">
        <v>215.88</v>
      </c>
      <c r="F43" s="2" t="s">
        <v>8433</v>
      </c>
      <c r="G43" s="22" t="s">
        <v>19342</v>
      </c>
      <c r="H43" s="24" t="s">
        <v>19334</v>
      </c>
      <c r="I43" s="22" t="s">
        <v>19309</v>
      </c>
      <c r="J43" s="22" t="s">
        <v>19696</v>
      </c>
      <c r="K43" s="22" t="s">
        <v>19697</v>
      </c>
      <c r="L43" s="22"/>
      <c r="M43" s="22"/>
      <c r="N43" s="25" t="str">
        <f>HYPERLINK("http://slimages.macys.com/is/image/MCY/21622678 ")</f>
        <v xml:space="preserve">http://slimages.macys.com/is/image/MCY/21622678 </v>
      </c>
    </row>
    <row r="44" spans="1:14" x14ac:dyDescent="0.25">
      <c r="A44" s="21" t="s">
        <v>11010</v>
      </c>
      <c r="B44" s="22" t="s">
        <v>11011</v>
      </c>
      <c r="C44" s="2">
        <v>12</v>
      </c>
      <c r="D44" s="23">
        <v>17.989999999999998</v>
      </c>
      <c r="E44" s="3">
        <v>215.88</v>
      </c>
      <c r="F44" s="2" t="s">
        <v>11012</v>
      </c>
      <c r="G44" s="22" t="s">
        <v>19342</v>
      </c>
      <c r="H44" s="24" t="s">
        <v>19345</v>
      </c>
      <c r="I44" s="22" t="s">
        <v>19309</v>
      </c>
      <c r="J44" s="22" t="s">
        <v>19696</v>
      </c>
      <c r="K44" s="22" t="s">
        <v>19697</v>
      </c>
      <c r="L44" s="22"/>
      <c r="M44" s="22"/>
      <c r="N44" s="25" t="str">
        <f>HYPERLINK("http://slimages.macys.com/is/image/MCY/21642765 ")</f>
        <v xml:space="preserve">http://slimages.macys.com/is/image/MCY/21642765 </v>
      </c>
    </row>
    <row r="45" spans="1:14" x14ac:dyDescent="0.25">
      <c r="A45" s="21" t="s">
        <v>11015</v>
      </c>
      <c r="B45" s="22" t="s">
        <v>11016</v>
      </c>
      <c r="C45" s="2">
        <v>12</v>
      </c>
      <c r="D45" s="23">
        <v>17.989999999999998</v>
      </c>
      <c r="E45" s="3">
        <v>215.88</v>
      </c>
      <c r="F45" s="2" t="s">
        <v>11012</v>
      </c>
      <c r="G45" s="22" t="s">
        <v>19342</v>
      </c>
      <c r="H45" s="24" t="s">
        <v>19392</v>
      </c>
      <c r="I45" s="22" t="s">
        <v>19309</v>
      </c>
      <c r="J45" s="22" t="s">
        <v>19696</v>
      </c>
      <c r="K45" s="22" t="s">
        <v>19697</v>
      </c>
      <c r="L45" s="22"/>
      <c r="M45" s="22"/>
      <c r="N45" s="25" t="str">
        <f>HYPERLINK("http://slimages.macys.com/is/image/MCY/21642765 ")</f>
        <v xml:space="preserve">http://slimages.macys.com/is/image/MCY/21642765 </v>
      </c>
    </row>
    <row r="46" spans="1:14" ht="24.75" x14ac:dyDescent="0.25">
      <c r="A46" s="21" t="s">
        <v>16101</v>
      </c>
      <c r="B46" s="22" t="s">
        <v>16102</v>
      </c>
      <c r="C46" s="2">
        <v>36</v>
      </c>
      <c r="D46" s="23">
        <v>15.99</v>
      </c>
      <c r="E46" s="3">
        <v>575.64</v>
      </c>
      <c r="F46" s="2" t="s">
        <v>18227</v>
      </c>
      <c r="G46" s="22" t="s">
        <v>19670</v>
      </c>
      <c r="H46" s="24" t="s">
        <v>19352</v>
      </c>
      <c r="I46" s="22" t="s">
        <v>19309</v>
      </c>
      <c r="J46" s="22" t="s">
        <v>19849</v>
      </c>
      <c r="K46" s="22" t="s">
        <v>19850</v>
      </c>
      <c r="L46" s="22"/>
      <c r="M46" s="22"/>
      <c r="N46" s="25" t="str">
        <f>HYPERLINK("http://slimages.macys.com/is/image/MCY/1553370 ")</f>
        <v xml:space="preserve">http://slimages.macys.com/is/image/MCY/1553370 </v>
      </c>
    </row>
    <row r="47" spans="1:14" x14ac:dyDescent="0.25">
      <c r="A47" s="21" t="s">
        <v>16105</v>
      </c>
      <c r="B47" s="22" t="s">
        <v>16106</v>
      </c>
      <c r="C47" s="2">
        <v>18</v>
      </c>
      <c r="D47" s="23">
        <v>15.99</v>
      </c>
      <c r="E47" s="3">
        <v>287.82</v>
      </c>
      <c r="F47" s="2" t="s">
        <v>18227</v>
      </c>
      <c r="G47" s="22" t="s">
        <v>19670</v>
      </c>
      <c r="H47" s="24" t="s">
        <v>19364</v>
      </c>
      <c r="I47" s="22" t="s">
        <v>19309</v>
      </c>
      <c r="J47" s="22" t="s">
        <v>19849</v>
      </c>
      <c r="K47" s="22" t="s">
        <v>19850</v>
      </c>
      <c r="L47" s="22"/>
      <c r="M47" s="22"/>
      <c r="N47" s="25" t="str">
        <f>HYPERLINK("http://slimages.macys.com/is/image/MCY/1553370 ")</f>
        <v xml:space="preserve">http://slimages.macys.com/is/image/MCY/1553370 </v>
      </c>
    </row>
    <row r="48" spans="1:14" ht="24.75" x14ac:dyDescent="0.25">
      <c r="A48" s="21" t="s">
        <v>8092</v>
      </c>
      <c r="B48" s="22" t="s">
        <v>8093</v>
      </c>
      <c r="C48" s="2">
        <v>20</v>
      </c>
      <c r="D48" s="23">
        <v>32</v>
      </c>
      <c r="E48" s="3">
        <v>640</v>
      </c>
      <c r="F48" s="2" t="s">
        <v>11026</v>
      </c>
      <c r="G48" s="22" t="s">
        <v>19351</v>
      </c>
      <c r="H48" s="24"/>
      <c r="I48" s="22" t="s">
        <v>19309</v>
      </c>
      <c r="J48" s="22" t="s">
        <v>19417</v>
      </c>
      <c r="K48" s="22" t="s">
        <v>20110</v>
      </c>
      <c r="L48" s="22"/>
      <c r="M48" s="22"/>
      <c r="N48" s="25" t="str">
        <f>HYPERLINK("http://slimages.macys.com/is/image/MCY/21400712 ")</f>
        <v xml:space="preserve">http://slimages.macys.com/is/image/MCY/21400712 </v>
      </c>
    </row>
    <row r="49" spans="1:14" ht="24.75" x14ac:dyDescent="0.25">
      <c r="A49" s="21" t="s">
        <v>9551</v>
      </c>
      <c r="B49" s="22" t="s">
        <v>9552</v>
      </c>
      <c r="C49" s="2">
        <v>1</v>
      </c>
      <c r="D49" s="23">
        <v>22.5</v>
      </c>
      <c r="E49" s="3">
        <v>22.5</v>
      </c>
      <c r="F49" s="2" t="s">
        <v>9553</v>
      </c>
      <c r="G49" s="22" t="s">
        <v>19618</v>
      </c>
      <c r="H49" s="24" t="s">
        <v>19334</v>
      </c>
      <c r="I49" s="22" t="s">
        <v>19309</v>
      </c>
      <c r="J49" s="22" t="s">
        <v>19688</v>
      </c>
      <c r="K49" s="22" t="s">
        <v>19614</v>
      </c>
      <c r="L49" s="22"/>
      <c r="M49" s="22"/>
      <c r="N49" s="25" t="str">
        <f>HYPERLINK("http://slimages.macys.com/is/image/MCY/21035866 ")</f>
        <v xml:space="preserve">http://slimages.macys.com/is/image/MCY/21035866 </v>
      </c>
    </row>
    <row r="50" spans="1:14" ht="24.75" x14ac:dyDescent="0.25">
      <c r="A50" s="21" t="s">
        <v>8272</v>
      </c>
      <c r="B50" s="22" t="s">
        <v>8273</v>
      </c>
      <c r="C50" s="2">
        <v>6</v>
      </c>
      <c r="D50" s="23">
        <v>30</v>
      </c>
      <c r="E50" s="3">
        <v>180</v>
      </c>
      <c r="F50" s="2" t="s">
        <v>8274</v>
      </c>
      <c r="G50" s="22" t="s">
        <v>19333</v>
      </c>
      <c r="H50" s="24" t="s">
        <v>19324</v>
      </c>
      <c r="I50" s="22" t="s">
        <v>19309</v>
      </c>
      <c r="J50" s="22" t="s">
        <v>19417</v>
      </c>
      <c r="K50" s="22" t="s">
        <v>18317</v>
      </c>
      <c r="L50" s="22"/>
      <c r="M50" s="22"/>
      <c r="N50" s="25" t="str">
        <f>HYPERLINK("http://slimages.macys.com/is/image/MCY/22226507 ")</f>
        <v xml:space="preserve">http://slimages.macys.com/is/image/MCY/22226507 </v>
      </c>
    </row>
    <row r="51" spans="1:14" ht="24.75" x14ac:dyDescent="0.25">
      <c r="A51" s="21" t="s">
        <v>8107</v>
      </c>
      <c r="B51" s="22" t="s">
        <v>8108</v>
      </c>
      <c r="C51" s="2">
        <v>12</v>
      </c>
      <c r="D51" s="23">
        <v>30</v>
      </c>
      <c r="E51" s="3">
        <v>360</v>
      </c>
      <c r="F51" s="2" t="s">
        <v>11047</v>
      </c>
      <c r="G51" s="22" t="s">
        <v>19594</v>
      </c>
      <c r="H51" s="24"/>
      <c r="I51" s="22" t="s">
        <v>19309</v>
      </c>
      <c r="J51" s="22" t="s">
        <v>19417</v>
      </c>
      <c r="K51" s="22" t="s">
        <v>18317</v>
      </c>
      <c r="L51" s="22"/>
      <c r="M51" s="22"/>
      <c r="N51" s="25" t="str">
        <f>HYPERLINK("http://slimages.macys.com/is/image/MCY/21615012 ")</f>
        <v xml:space="preserve">http://slimages.macys.com/is/image/MCY/21615012 </v>
      </c>
    </row>
    <row r="52" spans="1:14" ht="24.75" x14ac:dyDescent="0.25">
      <c r="A52" s="21" t="s">
        <v>10602</v>
      </c>
      <c r="B52" s="22" t="s">
        <v>10603</v>
      </c>
      <c r="C52" s="2">
        <v>10</v>
      </c>
      <c r="D52" s="23">
        <v>24</v>
      </c>
      <c r="E52" s="3">
        <v>240</v>
      </c>
      <c r="F52" s="2" t="s">
        <v>11056</v>
      </c>
      <c r="G52" s="22" t="s">
        <v>18439</v>
      </c>
      <c r="H52" s="24"/>
      <c r="I52" s="22" t="s">
        <v>19309</v>
      </c>
      <c r="J52" s="22" t="s">
        <v>19417</v>
      </c>
      <c r="K52" s="22" t="s">
        <v>20110</v>
      </c>
      <c r="L52" s="22"/>
      <c r="M52" s="22"/>
      <c r="N52" s="25" t="str">
        <f>HYPERLINK("http://slimages.macys.com/is/image/MCY/21400727 ")</f>
        <v xml:space="preserve">http://slimages.macys.com/is/image/MCY/21400727 </v>
      </c>
    </row>
    <row r="53" spans="1:14" ht="24.75" x14ac:dyDescent="0.25">
      <c r="A53" s="21" t="s">
        <v>8109</v>
      </c>
      <c r="B53" s="22" t="s">
        <v>8110</v>
      </c>
      <c r="C53" s="2">
        <v>12</v>
      </c>
      <c r="D53" s="23">
        <v>30</v>
      </c>
      <c r="E53" s="3">
        <v>360</v>
      </c>
      <c r="F53" s="2" t="s">
        <v>11047</v>
      </c>
      <c r="G53" s="22" t="s">
        <v>19594</v>
      </c>
      <c r="H53" s="24" t="s">
        <v>19384</v>
      </c>
      <c r="I53" s="22" t="s">
        <v>19309</v>
      </c>
      <c r="J53" s="22" t="s">
        <v>19417</v>
      </c>
      <c r="K53" s="22" t="s">
        <v>18317</v>
      </c>
      <c r="L53" s="22"/>
      <c r="M53" s="22"/>
      <c r="N53" s="25" t="str">
        <f>HYPERLINK("http://slimages.macys.com/is/image/MCY/21615012 ")</f>
        <v xml:space="preserve">http://slimages.macys.com/is/image/MCY/21615012 </v>
      </c>
    </row>
    <row r="54" spans="1:14" ht="24.75" x14ac:dyDescent="0.25">
      <c r="A54" s="21" t="s">
        <v>11042</v>
      </c>
      <c r="B54" s="22" t="s">
        <v>11043</v>
      </c>
      <c r="C54" s="2">
        <v>6</v>
      </c>
      <c r="D54" s="23">
        <v>30</v>
      </c>
      <c r="E54" s="3">
        <v>180</v>
      </c>
      <c r="F54" s="2" t="s">
        <v>11044</v>
      </c>
      <c r="G54" s="22" t="s">
        <v>19333</v>
      </c>
      <c r="H54" s="24"/>
      <c r="I54" s="22" t="s">
        <v>19309</v>
      </c>
      <c r="J54" s="22" t="s">
        <v>19417</v>
      </c>
      <c r="K54" s="22" t="s">
        <v>18317</v>
      </c>
      <c r="L54" s="22"/>
      <c r="M54" s="22"/>
      <c r="N54" s="25" t="str">
        <f>HYPERLINK("http://slimages.macys.com/is/image/MCY/22226519 ")</f>
        <v xml:space="preserve">http://slimages.macys.com/is/image/MCY/22226519 </v>
      </c>
    </row>
    <row r="55" spans="1:14" ht="24.75" x14ac:dyDescent="0.25">
      <c r="A55" s="21" t="s">
        <v>11030</v>
      </c>
      <c r="B55" s="22" t="s">
        <v>11031</v>
      </c>
      <c r="C55" s="2">
        <v>8</v>
      </c>
      <c r="D55" s="23">
        <v>26</v>
      </c>
      <c r="E55" s="3">
        <v>208</v>
      </c>
      <c r="F55" s="2" t="s">
        <v>11032</v>
      </c>
      <c r="G55" s="22" t="s">
        <v>19674</v>
      </c>
      <c r="H55" s="24" t="s">
        <v>19770</v>
      </c>
      <c r="I55" s="22" t="s">
        <v>19309</v>
      </c>
      <c r="J55" s="22" t="s">
        <v>19417</v>
      </c>
      <c r="K55" s="22" t="s">
        <v>20110</v>
      </c>
      <c r="L55" s="22"/>
      <c r="M55" s="22"/>
      <c r="N55" s="25" t="str">
        <f>HYPERLINK("http://slimages.macys.com/is/image/MCY/21551760 ")</f>
        <v xml:space="preserve">http://slimages.macys.com/is/image/MCY/21551760 </v>
      </c>
    </row>
    <row r="56" spans="1:14" ht="24.75" x14ac:dyDescent="0.25">
      <c r="A56" s="21" t="s">
        <v>8103</v>
      </c>
      <c r="B56" s="22" t="s">
        <v>8104</v>
      </c>
      <c r="C56" s="2">
        <v>18</v>
      </c>
      <c r="D56" s="23">
        <v>30</v>
      </c>
      <c r="E56" s="3">
        <v>540</v>
      </c>
      <c r="F56" s="2" t="s">
        <v>8105</v>
      </c>
      <c r="G56" s="22" t="s">
        <v>19333</v>
      </c>
      <c r="H56" s="24"/>
      <c r="I56" s="22" t="s">
        <v>19309</v>
      </c>
      <c r="J56" s="22" t="s">
        <v>19417</v>
      </c>
      <c r="K56" s="22" t="s">
        <v>18317</v>
      </c>
      <c r="L56" s="22"/>
      <c r="M56" s="22"/>
      <c r="N56" s="25" t="str">
        <f>HYPERLINK("http://slimages.macys.com/is/image/MCY/22226519 ")</f>
        <v xml:space="preserve">http://slimages.macys.com/is/image/MCY/22226519 </v>
      </c>
    </row>
    <row r="57" spans="1:14" ht="24.75" x14ac:dyDescent="0.25">
      <c r="A57" s="21" t="s">
        <v>9554</v>
      </c>
      <c r="B57" s="22" t="s">
        <v>11043</v>
      </c>
      <c r="C57" s="2">
        <v>12</v>
      </c>
      <c r="D57" s="23">
        <v>30</v>
      </c>
      <c r="E57" s="3">
        <v>360</v>
      </c>
      <c r="F57" s="2" t="s">
        <v>11050</v>
      </c>
      <c r="G57" s="22" t="s">
        <v>19333</v>
      </c>
      <c r="H57" s="24"/>
      <c r="I57" s="22" t="s">
        <v>19309</v>
      </c>
      <c r="J57" s="22" t="s">
        <v>19417</v>
      </c>
      <c r="K57" s="22" t="s">
        <v>18317</v>
      </c>
      <c r="L57" s="22"/>
      <c r="M57" s="22"/>
      <c r="N57" s="25" t="str">
        <f>HYPERLINK("http://slimages.macys.com/is/image/MCY/22226507 ")</f>
        <v xml:space="preserve">http://slimages.macys.com/is/image/MCY/22226507 </v>
      </c>
    </row>
    <row r="58" spans="1:14" ht="24.75" x14ac:dyDescent="0.25">
      <c r="A58" s="21" t="s">
        <v>8100</v>
      </c>
      <c r="B58" s="22" t="s">
        <v>8101</v>
      </c>
      <c r="C58" s="2">
        <v>6</v>
      </c>
      <c r="D58" s="23">
        <v>30</v>
      </c>
      <c r="E58" s="3">
        <v>180</v>
      </c>
      <c r="F58" s="2" t="s">
        <v>8102</v>
      </c>
      <c r="G58" s="22"/>
      <c r="H58" s="24"/>
      <c r="I58" s="22" t="s">
        <v>19309</v>
      </c>
      <c r="J58" s="22" t="s">
        <v>19417</v>
      </c>
      <c r="K58" s="22" t="s">
        <v>18317</v>
      </c>
      <c r="L58" s="22"/>
      <c r="M58" s="22"/>
      <c r="N58" s="25" t="str">
        <f>HYPERLINK("http://slimages.macys.com/is/image/MCY/21615008 ")</f>
        <v xml:space="preserve">http://slimages.macys.com/is/image/MCY/21615008 </v>
      </c>
    </row>
    <row r="59" spans="1:14" ht="24.75" x14ac:dyDescent="0.25">
      <c r="A59" s="21" t="s">
        <v>11048</v>
      </c>
      <c r="B59" s="22" t="s">
        <v>11049</v>
      </c>
      <c r="C59" s="2">
        <v>12</v>
      </c>
      <c r="D59" s="23">
        <v>30</v>
      </c>
      <c r="E59" s="3">
        <v>360</v>
      </c>
      <c r="F59" s="2" t="s">
        <v>11050</v>
      </c>
      <c r="G59" s="22" t="s">
        <v>19333</v>
      </c>
      <c r="H59" s="24" t="s">
        <v>19538</v>
      </c>
      <c r="I59" s="22" t="s">
        <v>19309</v>
      </c>
      <c r="J59" s="22" t="s">
        <v>19417</v>
      </c>
      <c r="K59" s="22" t="s">
        <v>18317</v>
      </c>
      <c r="L59" s="22"/>
      <c r="M59" s="22"/>
      <c r="N59" s="25" t="str">
        <f>HYPERLINK("http://slimages.macys.com/is/image/MCY/22226507 ")</f>
        <v xml:space="preserve">http://slimages.macys.com/is/image/MCY/22226507 </v>
      </c>
    </row>
    <row r="60" spans="1:14" ht="24.75" x14ac:dyDescent="0.25">
      <c r="A60" s="21" t="s">
        <v>8434</v>
      </c>
      <c r="B60" s="22" t="s">
        <v>8435</v>
      </c>
      <c r="C60" s="2">
        <v>18</v>
      </c>
      <c r="D60" s="23">
        <v>16.989999999999998</v>
      </c>
      <c r="E60" s="3">
        <v>305.82</v>
      </c>
      <c r="F60" s="2" t="s">
        <v>11061</v>
      </c>
      <c r="G60" s="22" t="s">
        <v>19462</v>
      </c>
      <c r="H60" s="24" t="s">
        <v>19797</v>
      </c>
      <c r="I60" s="22" t="s">
        <v>19309</v>
      </c>
      <c r="J60" s="22" t="s">
        <v>19849</v>
      </c>
      <c r="K60" s="22" t="s">
        <v>19850</v>
      </c>
      <c r="L60" s="22"/>
      <c r="M60" s="22"/>
      <c r="N60" s="25" t="str">
        <f>HYPERLINK("http://slimages.macys.com/is/image/MCY/1553435 ")</f>
        <v xml:space="preserve">http://slimages.macys.com/is/image/MCY/1553435 </v>
      </c>
    </row>
    <row r="61" spans="1:14" ht="24.75" x14ac:dyDescent="0.25">
      <c r="A61" s="21" t="s">
        <v>8111</v>
      </c>
      <c r="B61" s="22" t="s">
        <v>8112</v>
      </c>
      <c r="C61" s="2">
        <v>17</v>
      </c>
      <c r="D61" s="23">
        <v>24.5</v>
      </c>
      <c r="E61" s="3">
        <v>416.5</v>
      </c>
      <c r="F61" s="2" t="s">
        <v>8113</v>
      </c>
      <c r="G61" s="22" t="s">
        <v>19618</v>
      </c>
      <c r="H61" s="24"/>
      <c r="I61" s="22" t="s">
        <v>19309</v>
      </c>
      <c r="J61" s="22" t="s">
        <v>19613</v>
      </c>
      <c r="K61" s="22" t="s">
        <v>19614</v>
      </c>
      <c r="L61" s="22"/>
      <c r="M61" s="22"/>
      <c r="N61" s="25" t="str">
        <f>HYPERLINK("http://slimages.macys.com/is/image/MCY/21035738 ")</f>
        <v xml:space="preserve">http://slimages.macys.com/is/image/MCY/21035738 </v>
      </c>
    </row>
    <row r="62" spans="1:14" ht="24.75" x14ac:dyDescent="0.25">
      <c r="A62" s="21" t="s">
        <v>8115</v>
      </c>
      <c r="B62" s="22" t="s">
        <v>8116</v>
      </c>
      <c r="C62" s="2">
        <v>37</v>
      </c>
      <c r="D62" s="23">
        <v>24.5</v>
      </c>
      <c r="E62" s="3">
        <v>906.5</v>
      </c>
      <c r="F62" s="2" t="s">
        <v>8113</v>
      </c>
      <c r="G62" s="22" t="s">
        <v>19618</v>
      </c>
      <c r="H62" s="24"/>
      <c r="I62" s="22" t="s">
        <v>19309</v>
      </c>
      <c r="J62" s="22" t="s">
        <v>19613</v>
      </c>
      <c r="K62" s="22" t="s">
        <v>19614</v>
      </c>
      <c r="L62" s="22"/>
      <c r="M62" s="22"/>
      <c r="N62" s="25" t="str">
        <f>HYPERLINK("http://slimages.macys.com/is/image/MCY/21035738 ")</f>
        <v xml:space="preserve">http://slimages.macys.com/is/image/MCY/21035738 </v>
      </c>
    </row>
    <row r="63" spans="1:14" ht="24.75" x14ac:dyDescent="0.25">
      <c r="A63" s="21" t="s">
        <v>8114</v>
      </c>
      <c r="B63" s="22" t="s">
        <v>19616</v>
      </c>
      <c r="C63" s="2">
        <v>32</v>
      </c>
      <c r="D63" s="23">
        <v>24.5</v>
      </c>
      <c r="E63" s="3">
        <v>784</v>
      </c>
      <c r="F63" s="2" t="s">
        <v>8113</v>
      </c>
      <c r="G63" s="22" t="s">
        <v>19618</v>
      </c>
      <c r="H63" s="24"/>
      <c r="I63" s="22" t="s">
        <v>19309</v>
      </c>
      <c r="J63" s="22" t="s">
        <v>19613</v>
      </c>
      <c r="K63" s="22" t="s">
        <v>19614</v>
      </c>
      <c r="L63" s="22"/>
      <c r="M63" s="22"/>
      <c r="N63" s="25" t="str">
        <f>HYPERLINK("http://slimages.macys.com/is/image/MCY/21035738 ")</f>
        <v xml:space="preserve">http://slimages.macys.com/is/image/MCY/21035738 </v>
      </c>
    </row>
    <row r="64" spans="1:14" x14ac:dyDescent="0.25">
      <c r="A64" s="21" t="s">
        <v>8436</v>
      </c>
      <c r="B64" s="22" t="s">
        <v>8437</v>
      </c>
      <c r="C64" s="2">
        <v>7</v>
      </c>
      <c r="D64" s="23">
        <v>12.24</v>
      </c>
      <c r="E64" s="3">
        <v>85.68</v>
      </c>
      <c r="F64" s="2" t="s">
        <v>18287</v>
      </c>
      <c r="G64" s="22" t="s">
        <v>19323</v>
      </c>
      <c r="H64" s="24" t="s">
        <v>19770</v>
      </c>
      <c r="I64" s="22" t="s">
        <v>19309</v>
      </c>
      <c r="J64" s="22" t="s">
        <v>19708</v>
      </c>
      <c r="K64" s="22" t="s">
        <v>19709</v>
      </c>
      <c r="L64" s="22"/>
      <c r="M64" s="22"/>
      <c r="N64" s="25" t="str">
        <f>HYPERLINK("http://slimages.macys.com/is/image/MCY/21410161 ")</f>
        <v xml:space="preserve">http://slimages.macys.com/is/image/MCY/21410161 </v>
      </c>
    </row>
    <row r="65" spans="1:14" ht="24.75" x14ac:dyDescent="0.25">
      <c r="A65" s="21" t="s">
        <v>8121</v>
      </c>
      <c r="B65" s="22" t="s">
        <v>8122</v>
      </c>
      <c r="C65" s="2">
        <v>24</v>
      </c>
      <c r="D65" s="23">
        <v>30</v>
      </c>
      <c r="E65" s="3">
        <v>720</v>
      </c>
      <c r="F65" s="2" t="s">
        <v>18316</v>
      </c>
      <c r="G65" s="22" t="s">
        <v>19422</v>
      </c>
      <c r="H65" s="24"/>
      <c r="I65" s="22" t="s">
        <v>19309</v>
      </c>
      <c r="J65" s="22" t="s">
        <v>19417</v>
      </c>
      <c r="K65" s="22" t="s">
        <v>18317</v>
      </c>
      <c r="L65" s="22"/>
      <c r="M65" s="22"/>
      <c r="N65" s="25" t="str">
        <f>HYPERLINK("http://slimages.macys.com/is/image/MCY/21614910 ")</f>
        <v xml:space="preserve">http://slimages.macys.com/is/image/MCY/21614910 </v>
      </c>
    </row>
    <row r="66" spans="1:14" ht="24.75" x14ac:dyDescent="0.25">
      <c r="A66" s="21" t="s">
        <v>11076</v>
      </c>
      <c r="B66" s="22" t="s">
        <v>11077</v>
      </c>
      <c r="C66" s="2">
        <v>12</v>
      </c>
      <c r="D66" s="23">
        <v>30</v>
      </c>
      <c r="E66" s="3">
        <v>360</v>
      </c>
      <c r="F66" s="2" t="s">
        <v>11078</v>
      </c>
      <c r="G66" s="22" t="s">
        <v>19333</v>
      </c>
      <c r="H66" s="24" t="s">
        <v>19968</v>
      </c>
      <c r="I66" s="22" t="s">
        <v>19309</v>
      </c>
      <c r="J66" s="22" t="s">
        <v>19417</v>
      </c>
      <c r="K66" s="22" t="s">
        <v>18317</v>
      </c>
      <c r="L66" s="22"/>
      <c r="M66" s="22"/>
      <c r="N66" s="25" t="str">
        <f>HYPERLINK("http://slimages.macys.com/is/image/MCY/21614931 ")</f>
        <v xml:space="preserve">http://slimages.macys.com/is/image/MCY/21614931 </v>
      </c>
    </row>
    <row r="67" spans="1:14" ht="24.75" x14ac:dyDescent="0.25">
      <c r="A67" s="21" t="s">
        <v>8287</v>
      </c>
      <c r="B67" s="22" t="s">
        <v>8288</v>
      </c>
      <c r="C67" s="2">
        <v>1</v>
      </c>
      <c r="D67" s="23">
        <v>22</v>
      </c>
      <c r="E67" s="3">
        <v>22</v>
      </c>
      <c r="F67" s="2" t="s">
        <v>8289</v>
      </c>
      <c r="G67" s="22" t="s">
        <v>18439</v>
      </c>
      <c r="H67" s="24" t="s">
        <v>20109</v>
      </c>
      <c r="I67" s="22" t="s">
        <v>19309</v>
      </c>
      <c r="J67" s="22" t="s">
        <v>19417</v>
      </c>
      <c r="K67" s="22" t="s">
        <v>20110</v>
      </c>
      <c r="L67" s="22"/>
      <c r="M67" s="22"/>
      <c r="N67" s="25" t="str">
        <f>HYPERLINK("http://slimages.macys.com/is/image/MCY/21551774 ")</f>
        <v xml:space="preserve">http://slimages.macys.com/is/image/MCY/21551774 </v>
      </c>
    </row>
    <row r="68" spans="1:14" ht="24.75" x14ac:dyDescent="0.25">
      <c r="A68" s="21" t="s">
        <v>9564</v>
      </c>
      <c r="B68" s="22" t="s">
        <v>9565</v>
      </c>
      <c r="C68" s="2">
        <v>12</v>
      </c>
      <c r="D68" s="23">
        <v>17.989999999999998</v>
      </c>
      <c r="E68" s="3">
        <v>215.88</v>
      </c>
      <c r="F68" s="2" t="s">
        <v>9566</v>
      </c>
      <c r="G68" s="22" t="s">
        <v>19342</v>
      </c>
      <c r="H68" s="24" t="s">
        <v>19334</v>
      </c>
      <c r="I68" s="22" t="s">
        <v>19309</v>
      </c>
      <c r="J68" s="22" t="s">
        <v>19696</v>
      </c>
      <c r="K68" s="22" t="s">
        <v>19697</v>
      </c>
      <c r="L68" s="22"/>
      <c r="M68" s="22"/>
      <c r="N68" s="25" t="str">
        <f>HYPERLINK("http://slimages.macys.com/is/image/MCY/21355167 ")</f>
        <v xml:space="preserve">http://slimages.macys.com/is/image/MCY/21355167 </v>
      </c>
    </row>
    <row r="69" spans="1:14" ht="24.75" x14ac:dyDescent="0.25">
      <c r="A69" s="21" t="s">
        <v>9572</v>
      </c>
      <c r="B69" s="22" t="s">
        <v>9573</v>
      </c>
      <c r="C69" s="2">
        <v>12</v>
      </c>
      <c r="D69" s="23">
        <v>17.989999999999998</v>
      </c>
      <c r="E69" s="3">
        <v>215.88</v>
      </c>
      <c r="F69" s="2" t="s">
        <v>9566</v>
      </c>
      <c r="G69" s="22" t="s">
        <v>19342</v>
      </c>
      <c r="H69" s="24" t="s">
        <v>19345</v>
      </c>
      <c r="I69" s="22" t="s">
        <v>19309</v>
      </c>
      <c r="J69" s="22" t="s">
        <v>19696</v>
      </c>
      <c r="K69" s="22" t="s">
        <v>19697</v>
      </c>
      <c r="L69" s="22"/>
      <c r="M69" s="22"/>
      <c r="N69" s="25" t="str">
        <f>HYPERLINK("http://slimages.macys.com/is/image/MCY/21355167 ")</f>
        <v xml:space="preserve">http://slimages.macys.com/is/image/MCY/21355167 </v>
      </c>
    </row>
    <row r="70" spans="1:14" ht="24.75" x14ac:dyDescent="0.25">
      <c r="A70" s="21" t="s">
        <v>18336</v>
      </c>
      <c r="B70" s="22" t="s">
        <v>18337</v>
      </c>
      <c r="C70" s="2">
        <v>24</v>
      </c>
      <c r="D70" s="23">
        <v>22.5</v>
      </c>
      <c r="E70" s="3">
        <v>540</v>
      </c>
      <c r="F70" s="2" t="s">
        <v>18338</v>
      </c>
      <c r="G70" s="22" t="s">
        <v>19351</v>
      </c>
      <c r="H70" s="24" t="s">
        <v>19334</v>
      </c>
      <c r="I70" s="22" t="s">
        <v>19309</v>
      </c>
      <c r="J70" s="22" t="s">
        <v>19688</v>
      </c>
      <c r="K70" s="22" t="s">
        <v>19614</v>
      </c>
      <c r="L70" s="22"/>
      <c r="M70" s="22"/>
      <c r="N70" s="25" t="str">
        <f>HYPERLINK("http://slimages.macys.com/is/image/MCY/21035862 ")</f>
        <v xml:space="preserve">http://slimages.macys.com/is/image/MCY/21035862 </v>
      </c>
    </row>
    <row r="71" spans="1:14" ht="24.75" x14ac:dyDescent="0.25">
      <c r="A71" s="21" t="s">
        <v>9587</v>
      </c>
      <c r="B71" s="22" t="s">
        <v>9588</v>
      </c>
      <c r="C71" s="2">
        <v>6</v>
      </c>
      <c r="D71" s="23">
        <v>22.5</v>
      </c>
      <c r="E71" s="3">
        <v>135</v>
      </c>
      <c r="F71" s="2" t="s">
        <v>13234</v>
      </c>
      <c r="G71" s="22" t="s">
        <v>19351</v>
      </c>
      <c r="H71" s="24" t="s">
        <v>19432</v>
      </c>
      <c r="I71" s="22" t="s">
        <v>19309</v>
      </c>
      <c r="J71" s="22" t="s">
        <v>19688</v>
      </c>
      <c r="K71" s="22" t="s">
        <v>19614</v>
      </c>
      <c r="L71" s="22"/>
      <c r="M71" s="22"/>
      <c r="N71" s="25" t="str">
        <f>HYPERLINK("http://slimages.macys.com/is/image/MCY/21035872 ")</f>
        <v xml:space="preserve">http://slimages.macys.com/is/image/MCY/21035872 </v>
      </c>
    </row>
    <row r="72" spans="1:14" ht="24.75" x14ac:dyDescent="0.25">
      <c r="A72" s="21" t="s">
        <v>13232</v>
      </c>
      <c r="B72" s="22" t="s">
        <v>13233</v>
      </c>
      <c r="C72" s="2">
        <v>6</v>
      </c>
      <c r="D72" s="23">
        <v>22.5</v>
      </c>
      <c r="E72" s="3">
        <v>135</v>
      </c>
      <c r="F72" s="2" t="s">
        <v>13234</v>
      </c>
      <c r="G72" s="22" t="s">
        <v>19351</v>
      </c>
      <c r="H72" s="24" t="s">
        <v>19395</v>
      </c>
      <c r="I72" s="22" t="s">
        <v>19309</v>
      </c>
      <c r="J72" s="22" t="s">
        <v>19688</v>
      </c>
      <c r="K72" s="22" t="s">
        <v>19614</v>
      </c>
      <c r="L72" s="22"/>
      <c r="M72" s="22"/>
      <c r="N72" s="25" t="str">
        <f>HYPERLINK("http://slimages.macys.com/is/image/MCY/21035872 ")</f>
        <v xml:space="preserve">http://slimages.macys.com/is/image/MCY/21035872 </v>
      </c>
    </row>
    <row r="73" spans="1:14" ht="24.75" x14ac:dyDescent="0.25">
      <c r="A73" s="21" t="s">
        <v>16182</v>
      </c>
      <c r="B73" s="22" t="s">
        <v>16183</v>
      </c>
      <c r="C73" s="2">
        <v>5</v>
      </c>
      <c r="D73" s="23">
        <v>22.5</v>
      </c>
      <c r="E73" s="3">
        <v>112.5</v>
      </c>
      <c r="F73" s="2" t="s">
        <v>16184</v>
      </c>
      <c r="G73" s="22" t="s">
        <v>19528</v>
      </c>
      <c r="H73" s="24" t="s">
        <v>19334</v>
      </c>
      <c r="I73" s="22" t="s">
        <v>19309</v>
      </c>
      <c r="J73" s="22" t="s">
        <v>19688</v>
      </c>
      <c r="K73" s="22" t="s">
        <v>19614</v>
      </c>
      <c r="L73" s="22"/>
      <c r="M73" s="22"/>
      <c r="N73" s="25" t="str">
        <f>HYPERLINK("http://slimages.macys.com/is/image/MCY/21035884 ")</f>
        <v xml:space="preserve">http://slimages.macys.com/is/image/MCY/21035884 </v>
      </c>
    </row>
    <row r="74" spans="1:14" ht="24.75" x14ac:dyDescent="0.25">
      <c r="A74" s="21" t="s">
        <v>8123</v>
      </c>
      <c r="B74" s="22" t="s">
        <v>8124</v>
      </c>
      <c r="C74" s="2">
        <v>8</v>
      </c>
      <c r="D74" s="23">
        <v>22.5</v>
      </c>
      <c r="E74" s="3">
        <v>180</v>
      </c>
      <c r="F74" s="2" t="s">
        <v>13234</v>
      </c>
      <c r="G74" s="22" t="s">
        <v>19351</v>
      </c>
      <c r="H74" s="24" t="s">
        <v>19345</v>
      </c>
      <c r="I74" s="22" t="s">
        <v>19309</v>
      </c>
      <c r="J74" s="22" t="s">
        <v>19688</v>
      </c>
      <c r="K74" s="22" t="s">
        <v>19614</v>
      </c>
      <c r="L74" s="22"/>
      <c r="M74" s="22"/>
      <c r="N74" s="25" t="str">
        <f>HYPERLINK("http://slimages.macys.com/is/image/MCY/21035870 ")</f>
        <v xml:space="preserve">http://slimages.macys.com/is/image/MCY/21035870 </v>
      </c>
    </row>
    <row r="75" spans="1:14" ht="24.75" x14ac:dyDescent="0.25">
      <c r="A75" s="21" t="s">
        <v>8131</v>
      </c>
      <c r="B75" s="22" t="s">
        <v>8132</v>
      </c>
      <c r="C75" s="2">
        <v>5</v>
      </c>
      <c r="D75" s="23">
        <v>22.5</v>
      </c>
      <c r="E75" s="3">
        <v>112.5</v>
      </c>
      <c r="F75" s="2" t="s">
        <v>13234</v>
      </c>
      <c r="G75" s="22" t="s">
        <v>19351</v>
      </c>
      <c r="H75" s="24" t="s">
        <v>19542</v>
      </c>
      <c r="I75" s="22" t="s">
        <v>19309</v>
      </c>
      <c r="J75" s="22" t="s">
        <v>19688</v>
      </c>
      <c r="K75" s="22" t="s">
        <v>19614</v>
      </c>
      <c r="L75" s="22"/>
      <c r="M75" s="22"/>
      <c r="N75" s="25" t="str">
        <f>HYPERLINK("http://slimages.macys.com/is/image/MCY/21035872 ")</f>
        <v xml:space="preserve">http://slimages.macys.com/is/image/MCY/21035872 </v>
      </c>
    </row>
    <row r="76" spans="1:14" ht="24.75" x14ac:dyDescent="0.25">
      <c r="A76" s="21" t="s">
        <v>11085</v>
      </c>
      <c r="B76" s="22" t="s">
        <v>11086</v>
      </c>
      <c r="C76" s="2">
        <v>11</v>
      </c>
      <c r="D76" s="23">
        <v>22.5</v>
      </c>
      <c r="E76" s="3">
        <v>247.5</v>
      </c>
      <c r="F76" s="2" t="s">
        <v>13234</v>
      </c>
      <c r="G76" s="22" t="s">
        <v>19351</v>
      </c>
      <c r="H76" s="24" t="s">
        <v>19334</v>
      </c>
      <c r="I76" s="22" t="s">
        <v>19309</v>
      </c>
      <c r="J76" s="22" t="s">
        <v>19688</v>
      </c>
      <c r="K76" s="22" t="s">
        <v>19614</v>
      </c>
      <c r="L76" s="22"/>
      <c r="M76" s="22"/>
      <c r="N76" s="25" t="str">
        <f>HYPERLINK("http://slimages.macys.com/is/image/MCY/21035870 ")</f>
        <v xml:space="preserve">http://slimages.macys.com/is/image/MCY/21035870 </v>
      </c>
    </row>
    <row r="77" spans="1:14" ht="24.75" x14ac:dyDescent="0.25">
      <c r="A77" s="21" t="s">
        <v>8129</v>
      </c>
      <c r="B77" s="22" t="s">
        <v>8130</v>
      </c>
      <c r="C77" s="2">
        <v>11</v>
      </c>
      <c r="D77" s="23">
        <v>22.5</v>
      </c>
      <c r="E77" s="3">
        <v>247.5</v>
      </c>
      <c r="F77" s="2" t="s">
        <v>18338</v>
      </c>
      <c r="G77" s="22" t="s">
        <v>19351</v>
      </c>
      <c r="H77" s="24" t="s">
        <v>19542</v>
      </c>
      <c r="I77" s="22" t="s">
        <v>19309</v>
      </c>
      <c r="J77" s="22" t="s">
        <v>19688</v>
      </c>
      <c r="K77" s="22" t="s">
        <v>19614</v>
      </c>
      <c r="L77" s="22"/>
      <c r="M77" s="22"/>
      <c r="N77" s="25" t="str">
        <f>HYPERLINK("http://slimages.macys.com/is/image/MCY/21035864 ")</f>
        <v xml:space="preserve">http://slimages.macys.com/is/image/MCY/21035864 </v>
      </c>
    </row>
    <row r="78" spans="1:14" ht="24.75" x14ac:dyDescent="0.25">
      <c r="A78" s="21" t="s">
        <v>8127</v>
      </c>
      <c r="B78" s="22" t="s">
        <v>8128</v>
      </c>
      <c r="C78" s="2">
        <v>21</v>
      </c>
      <c r="D78" s="23">
        <v>22.5</v>
      </c>
      <c r="E78" s="3">
        <v>472.5</v>
      </c>
      <c r="F78" s="2" t="s">
        <v>18338</v>
      </c>
      <c r="G78" s="22" t="s">
        <v>19351</v>
      </c>
      <c r="H78" s="24" t="s">
        <v>19361</v>
      </c>
      <c r="I78" s="22" t="s">
        <v>19309</v>
      </c>
      <c r="J78" s="22" t="s">
        <v>19688</v>
      </c>
      <c r="K78" s="22" t="s">
        <v>19614</v>
      </c>
      <c r="L78" s="22"/>
      <c r="M78" s="22"/>
      <c r="N78" s="25" t="str">
        <f>HYPERLINK("http://slimages.macys.com/is/image/MCY/21035864 ")</f>
        <v xml:space="preserve">http://slimages.macys.com/is/image/MCY/21035864 </v>
      </c>
    </row>
    <row r="79" spans="1:14" ht="24.75" x14ac:dyDescent="0.25">
      <c r="A79" s="21" t="s">
        <v>9581</v>
      </c>
      <c r="B79" s="22" t="s">
        <v>9582</v>
      </c>
      <c r="C79" s="2">
        <v>10</v>
      </c>
      <c r="D79" s="23">
        <v>22.5</v>
      </c>
      <c r="E79" s="3">
        <v>225</v>
      </c>
      <c r="F79" s="2" t="s">
        <v>18338</v>
      </c>
      <c r="G79" s="22" t="s">
        <v>19351</v>
      </c>
      <c r="H79" s="24" t="s">
        <v>19345</v>
      </c>
      <c r="I79" s="22" t="s">
        <v>19309</v>
      </c>
      <c r="J79" s="22" t="s">
        <v>19688</v>
      </c>
      <c r="K79" s="22" t="s">
        <v>19614</v>
      </c>
      <c r="L79" s="22"/>
      <c r="M79" s="22"/>
      <c r="N79" s="25" t="str">
        <f>HYPERLINK("http://slimages.macys.com/is/image/MCY/21035862 ")</f>
        <v xml:space="preserve">http://slimages.macys.com/is/image/MCY/21035862 </v>
      </c>
    </row>
    <row r="80" spans="1:14" ht="24.75" x14ac:dyDescent="0.25">
      <c r="A80" s="21" t="s">
        <v>8295</v>
      </c>
      <c r="B80" s="22" t="s">
        <v>8296</v>
      </c>
      <c r="C80" s="2">
        <v>1</v>
      </c>
      <c r="D80" s="23">
        <v>22.5</v>
      </c>
      <c r="E80" s="3">
        <v>22.5</v>
      </c>
      <c r="F80" s="2" t="s">
        <v>16184</v>
      </c>
      <c r="G80" s="22" t="s">
        <v>19528</v>
      </c>
      <c r="H80" s="24" t="s">
        <v>19395</v>
      </c>
      <c r="I80" s="22" t="s">
        <v>19309</v>
      </c>
      <c r="J80" s="22" t="s">
        <v>19688</v>
      </c>
      <c r="K80" s="22" t="s">
        <v>19614</v>
      </c>
      <c r="L80" s="22"/>
      <c r="M80" s="22"/>
      <c r="N80" s="25" t="str">
        <f>HYPERLINK("http://slimages.macys.com/is/image/MCY/21035886 ")</f>
        <v xml:space="preserve">http://slimages.macys.com/is/image/MCY/21035886 </v>
      </c>
    </row>
    <row r="81" spans="1:14" ht="24.75" x14ac:dyDescent="0.25">
      <c r="A81" s="21" t="s">
        <v>8125</v>
      </c>
      <c r="B81" s="22" t="s">
        <v>8126</v>
      </c>
      <c r="C81" s="2">
        <v>7</v>
      </c>
      <c r="D81" s="23">
        <v>22.5</v>
      </c>
      <c r="E81" s="3">
        <v>157.5</v>
      </c>
      <c r="F81" s="2" t="s">
        <v>13234</v>
      </c>
      <c r="G81" s="22" t="s">
        <v>19351</v>
      </c>
      <c r="H81" s="24" t="s">
        <v>19361</v>
      </c>
      <c r="I81" s="22" t="s">
        <v>19309</v>
      </c>
      <c r="J81" s="22" t="s">
        <v>19688</v>
      </c>
      <c r="K81" s="22" t="s">
        <v>19614</v>
      </c>
      <c r="L81" s="22"/>
      <c r="M81" s="22"/>
      <c r="N81" s="25" t="str">
        <f>HYPERLINK("http://slimages.macys.com/is/image/MCY/21035872 ")</f>
        <v xml:space="preserve">http://slimages.macys.com/is/image/MCY/21035872 </v>
      </c>
    </row>
    <row r="82" spans="1:14" ht="24.75" x14ac:dyDescent="0.25">
      <c r="A82" s="21" t="s">
        <v>9583</v>
      </c>
      <c r="B82" s="22" t="s">
        <v>9584</v>
      </c>
      <c r="C82" s="2">
        <v>13</v>
      </c>
      <c r="D82" s="23">
        <v>22.5</v>
      </c>
      <c r="E82" s="3">
        <v>292.5</v>
      </c>
      <c r="F82" s="2" t="s">
        <v>18338</v>
      </c>
      <c r="G82" s="22" t="s">
        <v>19351</v>
      </c>
      <c r="H82" s="24" t="s">
        <v>19395</v>
      </c>
      <c r="I82" s="22" t="s">
        <v>19309</v>
      </c>
      <c r="J82" s="22" t="s">
        <v>19688</v>
      </c>
      <c r="K82" s="22" t="s">
        <v>19614</v>
      </c>
      <c r="L82" s="22"/>
      <c r="M82" s="22"/>
      <c r="N82" s="25" t="str">
        <f>HYPERLINK("http://slimages.macys.com/is/image/MCY/21035864 ")</f>
        <v xml:space="preserve">http://slimages.macys.com/is/image/MCY/21035864 </v>
      </c>
    </row>
    <row r="83" spans="1:14" ht="24.75" x14ac:dyDescent="0.25">
      <c r="A83" s="21" t="s">
        <v>8438</v>
      </c>
      <c r="B83" s="22" t="s">
        <v>8439</v>
      </c>
      <c r="C83" s="2">
        <v>4</v>
      </c>
      <c r="D83" s="23">
        <v>28</v>
      </c>
      <c r="E83" s="3">
        <v>112</v>
      </c>
      <c r="F83" s="2" t="s">
        <v>8440</v>
      </c>
      <c r="G83" s="22" t="s">
        <v>19879</v>
      </c>
      <c r="H83" s="24" t="s">
        <v>19384</v>
      </c>
      <c r="I83" s="22" t="s">
        <v>19309</v>
      </c>
      <c r="J83" s="22" t="s">
        <v>19417</v>
      </c>
      <c r="K83" s="22" t="s">
        <v>18387</v>
      </c>
      <c r="L83" s="22"/>
      <c r="M83" s="22"/>
      <c r="N83" s="25" t="str">
        <f>HYPERLINK("http://slimages.macys.com/is/image/MCY/21530081 ")</f>
        <v xml:space="preserve">http://slimages.macys.com/is/image/MCY/21530081 </v>
      </c>
    </row>
    <row r="84" spans="1:14" ht="24.75" x14ac:dyDescent="0.25">
      <c r="A84" s="21" t="s">
        <v>13836</v>
      </c>
      <c r="B84" s="22" t="s">
        <v>13837</v>
      </c>
      <c r="C84" s="2">
        <v>18</v>
      </c>
      <c r="D84" s="23">
        <v>13.99</v>
      </c>
      <c r="E84" s="3">
        <v>251.82</v>
      </c>
      <c r="F84" s="2" t="s">
        <v>18470</v>
      </c>
      <c r="G84" s="22" t="s">
        <v>19351</v>
      </c>
      <c r="H84" s="24" t="s">
        <v>19538</v>
      </c>
      <c r="I84" s="22" t="s">
        <v>19309</v>
      </c>
      <c r="J84" s="22" t="s">
        <v>19573</v>
      </c>
      <c r="K84" s="22" t="s">
        <v>19574</v>
      </c>
      <c r="L84" s="22"/>
      <c r="M84" s="22"/>
      <c r="N84" s="25" t="str">
        <f>HYPERLINK("http://slimages.macys.com/is/image/MCY/21361742 ")</f>
        <v xml:space="preserve">http://slimages.macys.com/is/image/MCY/21361742 </v>
      </c>
    </row>
    <row r="85" spans="1:14" ht="24.75" x14ac:dyDescent="0.25">
      <c r="A85" s="21" t="s">
        <v>8441</v>
      </c>
      <c r="B85" s="22" t="s">
        <v>8442</v>
      </c>
      <c r="C85" s="2">
        <v>18</v>
      </c>
      <c r="D85" s="23">
        <v>13.99</v>
      </c>
      <c r="E85" s="3">
        <v>251.82</v>
      </c>
      <c r="F85" s="2" t="s">
        <v>9604</v>
      </c>
      <c r="G85" s="22" t="s">
        <v>19618</v>
      </c>
      <c r="H85" s="24" t="s">
        <v>19324</v>
      </c>
      <c r="I85" s="22" t="s">
        <v>19309</v>
      </c>
      <c r="J85" s="22" t="s">
        <v>19573</v>
      </c>
      <c r="K85" s="22" t="s">
        <v>19574</v>
      </c>
      <c r="L85" s="22"/>
      <c r="M85" s="22"/>
      <c r="N85" s="25" t="str">
        <f>HYPERLINK("http://slimages.macys.com/is/image/MCY/21970306 ")</f>
        <v xml:space="preserve">http://slimages.macys.com/is/image/MCY/21970306 </v>
      </c>
    </row>
    <row r="86" spans="1:14" ht="24.75" x14ac:dyDescent="0.25">
      <c r="A86" s="21" t="s">
        <v>18579</v>
      </c>
      <c r="B86" s="22" t="s">
        <v>18580</v>
      </c>
      <c r="C86" s="2">
        <v>18</v>
      </c>
      <c r="D86" s="23">
        <v>16.989999999999998</v>
      </c>
      <c r="E86" s="3">
        <v>305.82</v>
      </c>
      <c r="F86" s="2" t="s">
        <v>18581</v>
      </c>
      <c r="G86" s="22" t="s">
        <v>19333</v>
      </c>
      <c r="H86" s="24" t="s">
        <v>20135</v>
      </c>
      <c r="I86" s="22" t="s">
        <v>19309</v>
      </c>
      <c r="J86" s="22" t="s">
        <v>19454</v>
      </c>
      <c r="K86" s="22" t="s">
        <v>19524</v>
      </c>
      <c r="L86" s="22"/>
      <c r="M86" s="22"/>
      <c r="N86" s="25" t="str">
        <f>HYPERLINK("http://slimages.macys.com/is/image/MCY/21265927 ")</f>
        <v xml:space="preserve">http://slimages.macys.com/is/image/MCY/21265927 </v>
      </c>
    </row>
    <row r="87" spans="1:14" ht="24.75" x14ac:dyDescent="0.25">
      <c r="A87" s="21" t="s">
        <v>13877</v>
      </c>
      <c r="B87" s="22" t="s">
        <v>13878</v>
      </c>
      <c r="C87" s="2">
        <v>35</v>
      </c>
      <c r="D87" s="23">
        <v>16.989999999999998</v>
      </c>
      <c r="E87" s="3">
        <v>594.65</v>
      </c>
      <c r="F87" s="2" t="s">
        <v>18581</v>
      </c>
      <c r="G87" s="22" t="s">
        <v>19333</v>
      </c>
      <c r="H87" s="24" t="s">
        <v>19361</v>
      </c>
      <c r="I87" s="22" t="s">
        <v>19309</v>
      </c>
      <c r="J87" s="22" t="s">
        <v>19454</v>
      </c>
      <c r="K87" s="22" t="s">
        <v>19524</v>
      </c>
      <c r="L87" s="22"/>
      <c r="M87" s="22"/>
      <c r="N87" s="25" t="str">
        <f>HYPERLINK("http://slimages.macys.com/is/image/MCY/21265927 ")</f>
        <v xml:space="preserve">http://slimages.macys.com/is/image/MCY/21265927 </v>
      </c>
    </row>
    <row r="88" spans="1:14" ht="24.75" x14ac:dyDescent="0.25">
      <c r="A88" s="21" t="s">
        <v>8443</v>
      </c>
      <c r="B88" s="22" t="s">
        <v>8444</v>
      </c>
      <c r="C88" s="2">
        <v>18</v>
      </c>
      <c r="D88" s="23">
        <v>16.989999999999998</v>
      </c>
      <c r="E88" s="3">
        <v>305.82</v>
      </c>
      <c r="F88" s="2" t="s">
        <v>18581</v>
      </c>
      <c r="G88" s="22" t="s">
        <v>19333</v>
      </c>
      <c r="H88" s="24" t="s">
        <v>19432</v>
      </c>
      <c r="I88" s="22" t="s">
        <v>19309</v>
      </c>
      <c r="J88" s="22" t="s">
        <v>19454</v>
      </c>
      <c r="K88" s="22" t="s">
        <v>19524</v>
      </c>
      <c r="L88" s="22"/>
      <c r="M88" s="22"/>
      <c r="N88" s="25" t="str">
        <f>HYPERLINK("http://slimages.macys.com/is/image/MCY/21265927 ")</f>
        <v xml:space="preserve">http://slimages.macys.com/is/image/MCY/21265927 </v>
      </c>
    </row>
    <row r="89" spans="1:14" ht="24.75" x14ac:dyDescent="0.25">
      <c r="A89" s="21" t="s">
        <v>11105</v>
      </c>
      <c r="B89" s="22" t="s">
        <v>11106</v>
      </c>
      <c r="C89" s="2">
        <v>6</v>
      </c>
      <c r="D89" s="23">
        <v>24</v>
      </c>
      <c r="E89" s="3">
        <v>144</v>
      </c>
      <c r="F89" s="2" t="s">
        <v>11107</v>
      </c>
      <c r="G89" s="22" t="s">
        <v>19357</v>
      </c>
      <c r="H89" s="24"/>
      <c r="I89" s="22" t="s">
        <v>19309</v>
      </c>
      <c r="J89" s="22" t="s">
        <v>19417</v>
      </c>
      <c r="K89" s="22" t="s">
        <v>18317</v>
      </c>
      <c r="L89" s="22"/>
      <c r="M89" s="22"/>
      <c r="N89" s="25" t="str">
        <f>HYPERLINK("http://slimages.macys.com/is/image/MCY/21614962 ")</f>
        <v xml:space="preserve">http://slimages.macys.com/is/image/MCY/21614962 </v>
      </c>
    </row>
    <row r="90" spans="1:14" ht="24.75" x14ac:dyDescent="0.25">
      <c r="A90" s="21" t="s">
        <v>8445</v>
      </c>
      <c r="B90" s="22" t="s">
        <v>8446</v>
      </c>
      <c r="C90" s="2">
        <v>13</v>
      </c>
      <c r="D90" s="23">
        <v>24</v>
      </c>
      <c r="E90" s="3">
        <v>312</v>
      </c>
      <c r="F90" s="2" t="s">
        <v>11107</v>
      </c>
      <c r="G90" s="22" t="s">
        <v>19357</v>
      </c>
      <c r="H90" s="24" t="s">
        <v>19384</v>
      </c>
      <c r="I90" s="22" t="s">
        <v>19309</v>
      </c>
      <c r="J90" s="22" t="s">
        <v>19417</v>
      </c>
      <c r="K90" s="22" t="s">
        <v>18317</v>
      </c>
      <c r="L90" s="22"/>
      <c r="M90" s="22"/>
      <c r="N90" s="25" t="str">
        <f>HYPERLINK("http://slimages.macys.com/is/image/MCY/21614962 ")</f>
        <v xml:space="preserve">http://slimages.macys.com/is/image/MCY/21614962 </v>
      </c>
    </row>
    <row r="91" spans="1:14" ht="24.75" x14ac:dyDescent="0.25">
      <c r="A91" s="21" t="s">
        <v>9619</v>
      </c>
      <c r="B91" s="22" t="s">
        <v>9620</v>
      </c>
      <c r="C91" s="2">
        <v>30</v>
      </c>
      <c r="D91" s="23">
        <v>24</v>
      </c>
      <c r="E91" s="3">
        <v>720</v>
      </c>
      <c r="F91" s="2" t="s">
        <v>11107</v>
      </c>
      <c r="G91" s="22" t="s">
        <v>19357</v>
      </c>
      <c r="H91" s="24" t="s">
        <v>19538</v>
      </c>
      <c r="I91" s="22" t="s">
        <v>19309</v>
      </c>
      <c r="J91" s="22" t="s">
        <v>19417</v>
      </c>
      <c r="K91" s="22" t="s">
        <v>18317</v>
      </c>
      <c r="L91" s="22"/>
      <c r="M91" s="22"/>
      <c r="N91" s="25" t="str">
        <f>HYPERLINK("http://slimages.macys.com/is/image/MCY/21614962 ")</f>
        <v xml:space="preserve">http://slimages.macys.com/is/image/MCY/21614962 </v>
      </c>
    </row>
    <row r="92" spans="1:14" ht="24.75" x14ac:dyDescent="0.25">
      <c r="A92" s="21" t="s">
        <v>8447</v>
      </c>
      <c r="B92" s="22" t="s">
        <v>8448</v>
      </c>
      <c r="C92" s="2">
        <v>18</v>
      </c>
      <c r="D92" s="23">
        <v>13.99</v>
      </c>
      <c r="E92" s="3">
        <v>251.82</v>
      </c>
      <c r="F92" s="2" t="s">
        <v>16688</v>
      </c>
      <c r="G92" s="22" t="s">
        <v>19518</v>
      </c>
      <c r="H92" s="24" t="s">
        <v>19538</v>
      </c>
      <c r="I92" s="22" t="s">
        <v>19309</v>
      </c>
      <c r="J92" s="22" t="s">
        <v>19573</v>
      </c>
      <c r="K92" s="22" t="s">
        <v>19574</v>
      </c>
      <c r="L92" s="22"/>
      <c r="M92" s="22"/>
      <c r="N92" s="25" t="str">
        <f>HYPERLINK("http://slimages.macys.com/is/image/MCY/1554876 ")</f>
        <v xml:space="preserve">http://slimages.macys.com/is/image/MCY/1554876 </v>
      </c>
    </row>
    <row r="93" spans="1:14" ht="24.75" x14ac:dyDescent="0.25">
      <c r="A93" s="21" t="s">
        <v>8140</v>
      </c>
      <c r="B93" s="22" t="s">
        <v>8141</v>
      </c>
      <c r="C93" s="2">
        <v>10</v>
      </c>
      <c r="D93" s="23">
        <v>8.31</v>
      </c>
      <c r="E93" s="3">
        <v>83.1</v>
      </c>
      <c r="F93" s="2" t="s">
        <v>11115</v>
      </c>
      <c r="G93" s="22" t="s">
        <v>19431</v>
      </c>
      <c r="H93" s="24" t="s">
        <v>19364</v>
      </c>
      <c r="I93" s="22" t="s">
        <v>19309</v>
      </c>
      <c r="J93" s="22" t="s">
        <v>19565</v>
      </c>
      <c r="K93" s="22" t="s">
        <v>18514</v>
      </c>
      <c r="L93" s="22"/>
      <c r="M93" s="22"/>
      <c r="N93" s="25" t="str">
        <f>HYPERLINK("http://slimages.macys.com/is/image/MCY/21901987 ")</f>
        <v xml:space="preserve">http://slimages.macys.com/is/image/MCY/21901987 </v>
      </c>
    </row>
    <row r="94" spans="1:14" ht="24.75" x14ac:dyDescent="0.25">
      <c r="A94" s="21" t="s">
        <v>8449</v>
      </c>
      <c r="B94" s="22" t="s">
        <v>8450</v>
      </c>
      <c r="C94" s="2">
        <v>18</v>
      </c>
      <c r="D94" s="23">
        <v>8.99</v>
      </c>
      <c r="E94" s="3">
        <v>161.82</v>
      </c>
      <c r="F94" s="2" t="s">
        <v>16881</v>
      </c>
      <c r="G94" s="22" t="s">
        <v>19431</v>
      </c>
      <c r="H94" s="24" t="s">
        <v>20135</v>
      </c>
      <c r="I94" s="22" t="s">
        <v>19309</v>
      </c>
      <c r="J94" s="22" t="s">
        <v>19815</v>
      </c>
      <c r="K94" s="22" t="s">
        <v>19816</v>
      </c>
      <c r="L94" s="22"/>
      <c r="M94" s="22"/>
      <c r="N94" s="25" t="str">
        <f>HYPERLINK("http://slimages.macys.com/is/image/MCY/1505064 ")</f>
        <v xml:space="preserve">http://slimages.macys.com/is/image/MCY/1505064 </v>
      </c>
    </row>
    <row r="95" spans="1:14" x14ac:dyDescent="0.25">
      <c r="A95" s="21" t="s">
        <v>8451</v>
      </c>
      <c r="B95" s="22" t="s">
        <v>8452</v>
      </c>
      <c r="C95" s="2">
        <v>1</v>
      </c>
      <c r="D95" s="23">
        <v>8.3000000000000007</v>
      </c>
      <c r="E95" s="3">
        <v>8.3000000000000007</v>
      </c>
      <c r="F95" s="2" t="s">
        <v>9664</v>
      </c>
      <c r="G95" s="22" t="s">
        <v>19594</v>
      </c>
      <c r="H95" s="24" t="s">
        <v>19367</v>
      </c>
      <c r="I95" s="22" t="s">
        <v>19309</v>
      </c>
      <c r="J95" s="22" t="s">
        <v>19708</v>
      </c>
      <c r="K95" s="22" t="s">
        <v>19709</v>
      </c>
      <c r="L95" s="22"/>
      <c r="M95" s="22"/>
      <c r="N95" s="25" t="str">
        <f>HYPERLINK("http://slimages.macys.com/is/image/MCY/21726389 ")</f>
        <v xml:space="preserve">http://slimages.macys.com/is/image/MCY/21726389 </v>
      </c>
    </row>
    <row r="96" spans="1:14" ht="24.75" x14ac:dyDescent="0.25">
      <c r="A96" s="21" t="s">
        <v>8453</v>
      </c>
      <c r="B96" s="22" t="s">
        <v>8454</v>
      </c>
      <c r="C96" s="2">
        <v>18</v>
      </c>
      <c r="D96" s="23">
        <v>7.99</v>
      </c>
      <c r="E96" s="3">
        <v>143.82</v>
      </c>
      <c r="F96" s="2" t="s">
        <v>8455</v>
      </c>
      <c r="G96" s="22" t="s">
        <v>19431</v>
      </c>
      <c r="H96" s="24" t="s">
        <v>20135</v>
      </c>
      <c r="I96" s="22" t="s">
        <v>19309</v>
      </c>
      <c r="J96" s="22" t="s">
        <v>19573</v>
      </c>
      <c r="K96" s="22" t="s">
        <v>19574</v>
      </c>
      <c r="L96" s="22"/>
      <c r="M96" s="22"/>
      <c r="N96" s="25" t="str">
        <f>HYPERLINK("http://slimages.macys.com/is/image/MCY/18421939 ")</f>
        <v xml:space="preserve">http://slimages.macys.com/is/image/MCY/18421939 </v>
      </c>
    </row>
    <row r="97" spans="1:14" ht="24.75" x14ac:dyDescent="0.25">
      <c r="A97" s="21" t="s">
        <v>17066</v>
      </c>
      <c r="B97" s="22" t="s">
        <v>17067</v>
      </c>
      <c r="C97" s="2">
        <v>36</v>
      </c>
      <c r="D97" s="23">
        <v>7.99</v>
      </c>
      <c r="E97" s="3">
        <v>287.64</v>
      </c>
      <c r="F97" s="2" t="s">
        <v>17068</v>
      </c>
      <c r="G97" s="22" t="s">
        <v>19415</v>
      </c>
      <c r="H97" s="24" t="s">
        <v>20089</v>
      </c>
      <c r="I97" s="22" t="s">
        <v>19309</v>
      </c>
      <c r="J97" s="22" t="s">
        <v>19573</v>
      </c>
      <c r="K97" s="22" t="s">
        <v>19574</v>
      </c>
      <c r="L97" s="22"/>
      <c r="M97" s="22"/>
      <c r="N97" s="25" t="str">
        <f>HYPERLINK("http://slimages.macys.com/is/image/MCY/21371404 ")</f>
        <v xml:space="preserve">http://slimages.macys.com/is/image/MCY/21371404 </v>
      </c>
    </row>
    <row r="98" spans="1:14" ht="24.75" x14ac:dyDescent="0.25">
      <c r="A98" s="21" t="s">
        <v>8149</v>
      </c>
      <c r="B98" s="22" t="s">
        <v>8150</v>
      </c>
      <c r="C98" s="2">
        <v>37</v>
      </c>
      <c r="D98" s="23">
        <v>7.99</v>
      </c>
      <c r="E98" s="3">
        <v>295.63</v>
      </c>
      <c r="F98" s="2" t="s">
        <v>17068</v>
      </c>
      <c r="G98" s="22" t="s">
        <v>19674</v>
      </c>
      <c r="H98" s="24" t="s">
        <v>19907</v>
      </c>
      <c r="I98" s="22" t="s">
        <v>19309</v>
      </c>
      <c r="J98" s="22" t="s">
        <v>19573</v>
      </c>
      <c r="K98" s="22" t="s">
        <v>19574</v>
      </c>
      <c r="L98" s="22"/>
      <c r="M98" s="22"/>
      <c r="N98" s="25" t="str">
        <f>HYPERLINK("http://slimages.macys.com/is/image/MCY/1554809 ")</f>
        <v xml:space="preserve">http://slimages.macys.com/is/image/MCY/1554809 </v>
      </c>
    </row>
    <row r="99" spans="1:14" ht="24.75" x14ac:dyDescent="0.25">
      <c r="A99" s="21" t="s">
        <v>8349</v>
      </c>
      <c r="B99" s="22" t="s">
        <v>8350</v>
      </c>
      <c r="C99" s="2">
        <v>18</v>
      </c>
      <c r="D99" s="23">
        <v>7.99</v>
      </c>
      <c r="E99" s="3">
        <v>143.82</v>
      </c>
      <c r="F99" s="2" t="s">
        <v>17068</v>
      </c>
      <c r="G99" s="22" t="s">
        <v>19906</v>
      </c>
      <c r="H99" s="24" t="s">
        <v>20135</v>
      </c>
      <c r="I99" s="22" t="s">
        <v>19309</v>
      </c>
      <c r="J99" s="22" t="s">
        <v>19573</v>
      </c>
      <c r="K99" s="22" t="s">
        <v>19574</v>
      </c>
      <c r="L99" s="22"/>
      <c r="M99" s="22"/>
      <c r="N99" s="25" t="str">
        <f>HYPERLINK("http://slimages.macys.com/is/image/MCY/1554809 ")</f>
        <v xml:space="preserve">http://slimages.macys.com/is/image/MCY/1554809 </v>
      </c>
    </row>
    <row r="100" spans="1:14" ht="24.75" x14ac:dyDescent="0.25">
      <c r="A100" s="21" t="s">
        <v>14740</v>
      </c>
      <c r="B100" s="22" t="s">
        <v>14741</v>
      </c>
      <c r="C100" s="2">
        <v>36</v>
      </c>
      <c r="D100" s="23">
        <v>7.99</v>
      </c>
      <c r="E100" s="3">
        <v>287.64</v>
      </c>
      <c r="F100" s="2" t="s">
        <v>19040</v>
      </c>
      <c r="G100" s="22" t="s">
        <v>19906</v>
      </c>
      <c r="H100" s="24" t="s">
        <v>20135</v>
      </c>
      <c r="I100" s="22" t="s">
        <v>19309</v>
      </c>
      <c r="J100" s="22" t="s">
        <v>19573</v>
      </c>
      <c r="K100" s="22" t="s">
        <v>19574</v>
      </c>
      <c r="L100" s="22"/>
      <c r="M100" s="22"/>
      <c r="N100" s="25" t="str">
        <f>HYPERLINK("http://slimages.macys.com/is/image/MCY/21209467 ")</f>
        <v xml:space="preserve">http://slimages.macys.com/is/image/MCY/21209467 </v>
      </c>
    </row>
    <row r="101" spans="1:14" ht="24.75" x14ac:dyDescent="0.25">
      <c r="A101" s="21" t="s">
        <v>19038</v>
      </c>
      <c r="B101" s="22" t="s">
        <v>19039</v>
      </c>
      <c r="C101" s="2">
        <v>109</v>
      </c>
      <c r="D101" s="23">
        <v>7.99</v>
      </c>
      <c r="E101" s="3">
        <v>870.91</v>
      </c>
      <c r="F101" s="2" t="s">
        <v>19040</v>
      </c>
      <c r="G101" s="22" t="s">
        <v>19906</v>
      </c>
      <c r="H101" s="24" t="s">
        <v>19907</v>
      </c>
      <c r="I101" s="22" t="s">
        <v>19309</v>
      </c>
      <c r="J101" s="22" t="s">
        <v>19573</v>
      </c>
      <c r="K101" s="22" t="s">
        <v>19574</v>
      </c>
      <c r="L101" s="22"/>
      <c r="M101" s="22"/>
      <c r="N101" s="25" t="str">
        <f>HYPERLINK("http://slimages.macys.com/is/image/MCY/21209467 ")</f>
        <v xml:space="preserve">http://slimages.macys.com/is/image/MCY/21209467 </v>
      </c>
    </row>
    <row r="102" spans="1:14" ht="24.75" x14ac:dyDescent="0.25">
      <c r="A102" s="21" t="s">
        <v>14734</v>
      </c>
      <c r="B102" s="22" t="s">
        <v>14735</v>
      </c>
      <c r="C102" s="2">
        <v>18</v>
      </c>
      <c r="D102" s="23">
        <v>7.99</v>
      </c>
      <c r="E102" s="3">
        <v>143.82</v>
      </c>
      <c r="F102" s="2" t="s">
        <v>19040</v>
      </c>
      <c r="G102" s="22" t="s">
        <v>19906</v>
      </c>
      <c r="H102" s="24" t="s">
        <v>20089</v>
      </c>
      <c r="I102" s="22" t="s">
        <v>19309</v>
      </c>
      <c r="J102" s="22" t="s">
        <v>19573</v>
      </c>
      <c r="K102" s="22" t="s">
        <v>19574</v>
      </c>
      <c r="L102" s="22"/>
      <c r="M102" s="22"/>
      <c r="N102" s="25" t="str">
        <f>HYPERLINK("http://slimages.macys.com/is/image/MCY/21209467 ")</f>
        <v xml:space="preserve">http://slimages.macys.com/is/image/MCY/21209467 </v>
      </c>
    </row>
    <row r="103" spans="1:14" ht="24.75" x14ac:dyDescent="0.25">
      <c r="A103" s="21" t="s">
        <v>8456</v>
      </c>
      <c r="B103" s="22" t="s">
        <v>8457</v>
      </c>
      <c r="C103" s="2">
        <v>6</v>
      </c>
      <c r="D103" s="23">
        <v>6.99</v>
      </c>
      <c r="E103" s="3">
        <v>41.94</v>
      </c>
      <c r="F103" s="2" t="s">
        <v>9207</v>
      </c>
      <c r="G103" s="22" t="s">
        <v>19513</v>
      </c>
      <c r="H103" s="24" t="s">
        <v>19364</v>
      </c>
      <c r="I103" s="22" t="s">
        <v>19309</v>
      </c>
      <c r="J103" s="22" t="s">
        <v>19454</v>
      </c>
      <c r="K103" s="22" t="s">
        <v>18654</v>
      </c>
      <c r="L103" s="22"/>
      <c r="M103" s="22"/>
      <c r="N103" s="25" t="str">
        <f>HYPERLINK("http://slimages.macys.com/is/image/MCY/17759330 ")</f>
        <v xml:space="preserve">http://slimages.macys.com/is/image/MCY/17759330 </v>
      </c>
    </row>
    <row r="104" spans="1:14" ht="24.75" x14ac:dyDescent="0.25">
      <c r="A104" s="21" t="s">
        <v>11135</v>
      </c>
      <c r="B104" s="22" t="s">
        <v>11136</v>
      </c>
      <c r="C104" s="2">
        <v>18</v>
      </c>
      <c r="D104" s="23">
        <v>7.99</v>
      </c>
      <c r="E104" s="3">
        <v>143.82</v>
      </c>
      <c r="F104" s="2" t="s">
        <v>17068</v>
      </c>
      <c r="G104" s="22" t="s">
        <v>19674</v>
      </c>
      <c r="H104" s="24" t="s">
        <v>20089</v>
      </c>
      <c r="I104" s="22" t="s">
        <v>19309</v>
      </c>
      <c r="J104" s="22" t="s">
        <v>19573</v>
      </c>
      <c r="K104" s="22" t="s">
        <v>19574</v>
      </c>
      <c r="L104" s="22"/>
      <c r="M104" s="22"/>
      <c r="N104" s="25" t="str">
        <f>HYPERLINK("http://slimages.macys.com/is/image/MCY/20757995 ")</f>
        <v xml:space="preserve">http://slimages.macys.com/is/image/MCY/20757995 </v>
      </c>
    </row>
    <row r="105" spans="1:14" ht="24.75" x14ac:dyDescent="0.25">
      <c r="A105" s="21" t="s">
        <v>8458</v>
      </c>
      <c r="B105" s="22" t="s">
        <v>8459</v>
      </c>
      <c r="C105" s="2">
        <v>18</v>
      </c>
      <c r="D105" s="23">
        <v>7.99</v>
      </c>
      <c r="E105" s="3">
        <v>143.82</v>
      </c>
      <c r="F105" s="2" t="s">
        <v>17068</v>
      </c>
      <c r="G105" s="22" t="s">
        <v>19462</v>
      </c>
      <c r="H105" s="24" t="s">
        <v>20089</v>
      </c>
      <c r="I105" s="22" t="s">
        <v>19309</v>
      </c>
      <c r="J105" s="22" t="s">
        <v>19573</v>
      </c>
      <c r="K105" s="22" t="s">
        <v>19574</v>
      </c>
      <c r="L105" s="22"/>
      <c r="M105" s="22"/>
      <c r="N105" s="25" t="str">
        <f>HYPERLINK("http://slimages.macys.com/is/image/MCY/20757991 ")</f>
        <v xml:space="preserve">http://slimages.macys.com/is/image/MCY/20757991 </v>
      </c>
    </row>
    <row r="106" spans="1:14" ht="24.75" x14ac:dyDescent="0.25">
      <c r="A106" s="21" t="s">
        <v>11137</v>
      </c>
      <c r="B106" s="22" t="s">
        <v>11138</v>
      </c>
      <c r="C106" s="2">
        <v>18</v>
      </c>
      <c r="D106" s="23">
        <v>7.99</v>
      </c>
      <c r="E106" s="3">
        <v>143.82</v>
      </c>
      <c r="F106" s="2" t="s">
        <v>17068</v>
      </c>
      <c r="G106" s="22" t="s">
        <v>19462</v>
      </c>
      <c r="H106" s="24" t="s">
        <v>19907</v>
      </c>
      <c r="I106" s="22" t="s">
        <v>19309</v>
      </c>
      <c r="J106" s="22" t="s">
        <v>19573</v>
      </c>
      <c r="K106" s="22" t="s">
        <v>19574</v>
      </c>
      <c r="L106" s="22"/>
      <c r="M106" s="22"/>
      <c r="N106" s="25" t="str">
        <f>HYPERLINK("http://slimages.macys.com/is/image/MCY/20757991 ")</f>
        <v xml:space="preserve">http://slimages.macys.com/is/image/MCY/20757991 </v>
      </c>
    </row>
    <row r="107" spans="1:14" ht="24.75" x14ac:dyDescent="0.25">
      <c r="A107" s="21" t="s">
        <v>8151</v>
      </c>
      <c r="B107" s="22" t="s">
        <v>8152</v>
      </c>
      <c r="C107" s="2">
        <v>9</v>
      </c>
      <c r="D107" s="23">
        <v>7.99</v>
      </c>
      <c r="E107" s="3">
        <v>71.91</v>
      </c>
      <c r="F107" s="2" t="s">
        <v>8153</v>
      </c>
      <c r="G107" s="22" t="s">
        <v>19674</v>
      </c>
      <c r="H107" s="24" t="s">
        <v>20089</v>
      </c>
      <c r="I107" s="22" t="s">
        <v>19309</v>
      </c>
      <c r="J107" s="22" t="s">
        <v>19573</v>
      </c>
      <c r="K107" s="22" t="s">
        <v>19574</v>
      </c>
      <c r="L107" s="22"/>
      <c r="M107" s="22"/>
      <c r="N107" s="25" t="str">
        <f>HYPERLINK("http://slimages.macys.com/is/image/MCY/20753453 ")</f>
        <v xml:space="preserve">http://slimages.macys.com/is/image/MCY/20753453 </v>
      </c>
    </row>
    <row r="108" spans="1:14" ht="24.75" x14ac:dyDescent="0.25">
      <c r="A108" s="21" t="s">
        <v>8460</v>
      </c>
      <c r="B108" s="22" t="s">
        <v>8461</v>
      </c>
      <c r="C108" s="2">
        <v>18</v>
      </c>
      <c r="D108" s="23">
        <v>7.99</v>
      </c>
      <c r="E108" s="3">
        <v>143.82</v>
      </c>
      <c r="F108" s="2" t="s">
        <v>8365</v>
      </c>
      <c r="G108" s="22" t="s">
        <v>19618</v>
      </c>
      <c r="H108" s="24" t="s">
        <v>20135</v>
      </c>
      <c r="I108" s="22" t="s">
        <v>19309</v>
      </c>
      <c r="J108" s="22" t="s">
        <v>19573</v>
      </c>
      <c r="K108" s="22" t="s">
        <v>19574</v>
      </c>
      <c r="L108" s="22"/>
      <c r="M108" s="22"/>
      <c r="N108" s="25" t="str">
        <f>HYPERLINK("http://slimages.macys.com/is/image/MCY/1610409 ")</f>
        <v xml:space="preserve">http://slimages.macys.com/is/image/MCY/1610409 </v>
      </c>
    </row>
    <row r="109" spans="1:14" ht="24.75" x14ac:dyDescent="0.25">
      <c r="A109" s="21" t="s">
        <v>8462</v>
      </c>
      <c r="B109" s="22" t="s">
        <v>8463</v>
      </c>
      <c r="C109" s="2">
        <v>18</v>
      </c>
      <c r="D109" s="23">
        <v>5.99</v>
      </c>
      <c r="E109" s="3">
        <v>107.82</v>
      </c>
      <c r="F109" s="2" t="s">
        <v>8464</v>
      </c>
      <c r="G109" s="22" t="s">
        <v>19357</v>
      </c>
      <c r="H109" s="24" t="s">
        <v>19361</v>
      </c>
      <c r="I109" s="22" t="s">
        <v>19309</v>
      </c>
      <c r="J109" s="22" t="s">
        <v>19454</v>
      </c>
      <c r="K109" s="22" t="s">
        <v>19524</v>
      </c>
      <c r="L109" s="22"/>
      <c r="M109" s="22"/>
      <c r="N109" s="25" t="str">
        <f>HYPERLINK("http://slimages.macys.com/is/image/MCY/19239571 ")</f>
        <v xml:space="preserve">http://slimages.macys.com/is/image/MCY/19239571 </v>
      </c>
    </row>
    <row r="110" spans="1:14" ht="24.75" x14ac:dyDescent="0.25">
      <c r="A110" s="21" t="s">
        <v>8465</v>
      </c>
      <c r="B110" s="22" t="s">
        <v>8466</v>
      </c>
      <c r="C110" s="2">
        <v>6</v>
      </c>
      <c r="D110" s="23">
        <v>5.99</v>
      </c>
      <c r="E110" s="3">
        <v>35.94</v>
      </c>
      <c r="F110" s="2" t="s">
        <v>14264</v>
      </c>
      <c r="G110" s="22" t="s">
        <v>19315</v>
      </c>
      <c r="H110" s="24" t="s">
        <v>20135</v>
      </c>
      <c r="I110" s="22" t="s">
        <v>19309</v>
      </c>
      <c r="J110" s="22" t="s">
        <v>19454</v>
      </c>
      <c r="K110" s="22" t="s">
        <v>19524</v>
      </c>
      <c r="L110" s="22"/>
      <c r="M110" s="22"/>
      <c r="N110" s="25" t="str">
        <f>HYPERLINK("http://slimages.macys.com/is/image/MCY/19239511 ")</f>
        <v xml:space="preserve">http://slimages.macys.com/is/image/MCY/19239511 </v>
      </c>
    </row>
    <row r="111" spans="1:14" ht="24.75" x14ac:dyDescent="0.25">
      <c r="A111" s="21" t="s">
        <v>8159</v>
      </c>
      <c r="B111" s="22" t="s">
        <v>8160</v>
      </c>
      <c r="C111" s="2">
        <v>18</v>
      </c>
      <c r="D111" s="23">
        <v>5.99</v>
      </c>
      <c r="E111" s="3">
        <v>107.82</v>
      </c>
      <c r="F111" s="2" t="s">
        <v>11156</v>
      </c>
      <c r="G111" s="22" t="s">
        <v>19351</v>
      </c>
      <c r="H111" s="24" t="s">
        <v>19416</v>
      </c>
      <c r="I111" s="22" t="s">
        <v>19309</v>
      </c>
      <c r="J111" s="22" t="s">
        <v>19573</v>
      </c>
      <c r="K111" s="22" t="s">
        <v>19574</v>
      </c>
      <c r="L111" s="22"/>
      <c r="M111" s="22"/>
      <c r="N111" s="25" t="str">
        <f>HYPERLINK("http://slimages.macys.com/is/image/MCY/21361186 ")</f>
        <v xml:space="preserve">http://slimages.macys.com/is/image/MCY/21361186 </v>
      </c>
    </row>
    <row r="112" spans="1:14" ht="24.75" x14ac:dyDescent="0.25">
      <c r="A112" s="21" t="s">
        <v>8467</v>
      </c>
      <c r="B112" s="22" t="s">
        <v>8468</v>
      </c>
      <c r="C112" s="2">
        <v>6</v>
      </c>
      <c r="D112" s="23">
        <v>5.99</v>
      </c>
      <c r="E112" s="3">
        <v>35.94</v>
      </c>
      <c r="F112" s="2" t="s">
        <v>8469</v>
      </c>
      <c r="G112" s="22" t="s">
        <v>19338</v>
      </c>
      <c r="H112" s="24" t="s">
        <v>20089</v>
      </c>
      <c r="I112" s="22" t="s">
        <v>19309</v>
      </c>
      <c r="J112" s="22" t="s">
        <v>19908</v>
      </c>
      <c r="K112" s="22" t="s">
        <v>19524</v>
      </c>
      <c r="L112" s="22"/>
      <c r="M112" s="22"/>
      <c r="N112" s="25" t="str">
        <f>HYPERLINK("http://slimages.macys.com/is/image/MCY/19263778 ")</f>
        <v xml:space="preserve">http://slimages.macys.com/is/image/MCY/19263778 </v>
      </c>
    </row>
    <row r="113" spans="1:14" ht="24.75" x14ac:dyDescent="0.25">
      <c r="A113" s="21" t="s">
        <v>8470</v>
      </c>
      <c r="B113" s="22" t="s">
        <v>8471</v>
      </c>
      <c r="C113" s="2">
        <v>6</v>
      </c>
      <c r="D113" s="23">
        <v>5.99</v>
      </c>
      <c r="E113" s="3">
        <v>35.94</v>
      </c>
      <c r="F113" s="2" t="s">
        <v>8472</v>
      </c>
      <c r="G113" s="22" t="s">
        <v>19323</v>
      </c>
      <c r="H113" s="24" t="s">
        <v>19361</v>
      </c>
      <c r="I113" s="22" t="s">
        <v>19309</v>
      </c>
      <c r="J113" s="22" t="s">
        <v>19908</v>
      </c>
      <c r="K113" s="22" t="s">
        <v>19524</v>
      </c>
      <c r="L113" s="22"/>
      <c r="M113" s="22"/>
      <c r="N113" s="25" t="str">
        <f>HYPERLINK("http://slimages.macys.com/is/image/MCY/19263797 ")</f>
        <v xml:space="preserve">http://slimages.macys.com/is/image/MCY/19263797 </v>
      </c>
    </row>
    <row r="114" spans="1:14" ht="24.75" x14ac:dyDescent="0.25">
      <c r="A114" s="21" t="s">
        <v>8163</v>
      </c>
      <c r="B114" s="22" t="s">
        <v>8164</v>
      </c>
      <c r="C114" s="2">
        <v>18</v>
      </c>
      <c r="D114" s="23">
        <v>5.99</v>
      </c>
      <c r="E114" s="3">
        <v>107.82</v>
      </c>
      <c r="F114" s="2" t="s">
        <v>17203</v>
      </c>
      <c r="G114" s="22" t="s">
        <v>19585</v>
      </c>
      <c r="H114" s="24" t="s">
        <v>19330</v>
      </c>
      <c r="I114" s="22" t="s">
        <v>19309</v>
      </c>
      <c r="J114" s="22" t="s">
        <v>19573</v>
      </c>
      <c r="K114" s="22" t="s">
        <v>19574</v>
      </c>
      <c r="L114" s="22"/>
      <c r="M114" s="22"/>
      <c r="N114" s="25" t="str">
        <f>HYPERLINK("http://slimages.macys.com/is/image/MCY/20757989 ")</f>
        <v xml:space="preserve">http://slimages.macys.com/is/image/MCY/20757989 </v>
      </c>
    </row>
    <row r="115" spans="1:14" ht="24.75" x14ac:dyDescent="0.25">
      <c r="A115" s="21" t="s">
        <v>8473</v>
      </c>
      <c r="B115" s="22" t="s">
        <v>8474</v>
      </c>
      <c r="C115" s="2">
        <v>18</v>
      </c>
      <c r="D115" s="23">
        <v>5.99</v>
      </c>
      <c r="E115" s="3">
        <v>107.82</v>
      </c>
      <c r="F115" s="2" t="s">
        <v>11171</v>
      </c>
      <c r="G115" s="22" t="s">
        <v>19351</v>
      </c>
      <c r="H115" s="24" t="s">
        <v>19384</v>
      </c>
      <c r="I115" s="22" t="s">
        <v>19309</v>
      </c>
      <c r="J115" s="22" t="s">
        <v>19573</v>
      </c>
      <c r="K115" s="22" t="s">
        <v>19574</v>
      </c>
      <c r="L115" s="22"/>
      <c r="M115" s="22"/>
      <c r="N115" s="25" t="str">
        <f>HYPERLINK("http://slimages.macys.com/is/image/MCY/21371479 ")</f>
        <v xml:space="preserve">http://slimages.macys.com/is/image/MCY/21371479 </v>
      </c>
    </row>
    <row r="116" spans="1:14" ht="24.75" x14ac:dyDescent="0.25">
      <c r="A116" s="21" t="s">
        <v>8475</v>
      </c>
      <c r="B116" s="22" t="s">
        <v>8476</v>
      </c>
      <c r="C116" s="2">
        <v>18</v>
      </c>
      <c r="D116" s="23">
        <v>5.99</v>
      </c>
      <c r="E116" s="3">
        <v>107.82</v>
      </c>
      <c r="F116" s="2" t="s">
        <v>11171</v>
      </c>
      <c r="G116" s="22" t="s">
        <v>19351</v>
      </c>
      <c r="H116" s="24" t="s">
        <v>19416</v>
      </c>
      <c r="I116" s="22" t="s">
        <v>19309</v>
      </c>
      <c r="J116" s="22" t="s">
        <v>19573</v>
      </c>
      <c r="K116" s="22" t="s">
        <v>19574</v>
      </c>
      <c r="L116" s="22"/>
      <c r="M116" s="22"/>
      <c r="N116" s="25" t="str">
        <f>HYPERLINK("http://slimages.macys.com/is/image/MCY/21371479 ")</f>
        <v xml:space="preserve">http://slimages.macys.com/is/image/MCY/21371479 </v>
      </c>
    </row>
    <row r="117" spans="1:14" ht="24.75" x14ac:dyDescent="0.25">
      <c r="A117" s="21" t="s">
        <v>9732</v>
      </c>
      <c r="B117" s="22" t="s">
        <v>9733</v>
      </c>
      <c r="C117" s="2">
        <v>18</v>
      </c>
      <c r="D117" s="23">
        <v>5.99</v>
      </c>
      <c r="E117" s="3">
        <v>107.82</v>
      </c>
      <c r="F117" s="2" t="s">
        <v>9721</v>
      </c>
      <c r="G117" s="22" t="s">
        <v>19351</v>
      </c>
      <c r="H117" s="24" t="s">
        <v>19330</v>
      </c>
      <c r="I117" s="22" t="s">
        <v>19309</v>
      </c>
      <c r="J117" s="22" t="s">
        <v>19573</v>
      </c>
      <c r="K117" s="22" t="s">
        <v>19574</v>
      </c>
      <c r="L117" s="22"/>
      <c r="M117" s="22"/>
      <c r="N117" s="25" t="str">
        <f>HYPERLINK("http://slimages.macys.com/is/image/MCY/21371491 ")</f>
        <v xml:space="preserve">http://slimages.macys.com/is/image/MCY/21371491 </v>
      </c>
    </row>
    <row r="118" spans="1:14" ht="24.75" x14ac:dyDescent="0.25">
      <c r="A118" s="21" t="s">
        <v>8477</v>
      </c>
      <c r="B118" s="22" t="s">
        <v>8478</v>
      </c>
      <c r="C118" s="2">
        <v>18</v>
      </c>
      <c r="D118" s="23">
        <v>5.99</v>
      </c>
      <c r="E118" s="3">
        <v>107.82</v>
      </c>
      <c r="F118" s="2" t="s">
        <v>9727</v>
      </c>
      <c r="G118" s="22" t="s">
        <v>19906</v>
      </c>
      <c r="H118" s="24" t="s">
        <v>19538</v>
      </c>
      <c r="I118" s="22" t="s">
        <v>19309</v>
      </c>
      <c r="J118" s="22" t="s">
        <v>19573</v>
      </c>
      <c r="K118" s="22" t="s">
        <v>19574</v>
      </c>
      <c r="L118" s="22"/>
      <c r="M118" s="22"/>
      <c r="N118" s="25" t="str">
        <f>HYPERLINK("http://slimages.macys.com/is/image/MCY/1586084 ")</f>
        <v xml:space="preserve">http://slimages.macys.com/is/image/MCY/1586084 </v>
      </c>
    </row>
    <row r="119" spans="1:14" ht="24.75" x14ac:dyDescent="0.25">
      <c r="A119" s="21" t="s">
        <v>8172</v>
      </c>
      <c r="B119" s="22" t="s">
        <v>8173</v>
      </c>
      <c r="C119" s="2">
        <v>36</v>
      </c>
      <c r="D119" s="23">
        <v>5.99</v>
      </c>
      <c r="E119" s="3">
        <v>215.64</v>
      </c>
      <c r="F119" s="2" t="s">
        <v>9721</v>
      </c>
      <c r="G119" s="22" t="s">
        <v>19351</v>
      </c>
      <c r="H119" s="24" t="s">
        <v>19384</v>
      </c>
      <c r="I119" s="22" t="s">
        <v>19309</v>
      </c>
      <c r="J119" s="22" t="s">
        <v>19573</v>
      </c>
      <c r="K119" s="22" t="s">
        <v>19574</v>
      </c>
      <c r="L119" s="22"/>
      <c r="M119" s="22"/>
      <c r="N119" s="25" t="str">
        <f>HYPERLINK("http://slimages.macys.com/is/image/MCY/21371491 ")</f>
        <v xml:space="preserve">http://slimages.macys.com/is/image/MCY/21371491 </v>
      </c>
    </row>
    <row r="120" spans="1:14" ht="24.75" x14ac:dyDescent="0.25">
      <c r="A120" s="21" t="s">
        <v>8174</v>
      </c>
      <c r="B120" s="22" t="s">
        <v>8175</v>
      </c>
      <c r="C120" s="2">
        <v>36</v>
      </c>
      <c r="D120" s="23">
        <v>5.99</v>
      </c>
      <c r="E120" s="3">
        <v>215.64</v>
      </c>
      <c r="F120" s="2" t="s">
        <v>9721</v>
      </c>
      <c r="G120" s="22" t="s">
        <v>19351</v>
      </c>
      <c r="H120" s="24" t="s">
        <v>19416</v>
      </c>
      <c r="I120" s="22" t="s">
        <v>19309</v>
      </c>
      <c r="J120" s="22" t="s">
        <v>19573</v>
      </c>
      <c r="K120" s="22" t="s">
        <v>19574</v>
      </c>
      <c r="L120" s="22"/>
      <c r="M120" s="22"/>
      <c r="N120" s="25" t="str">
        <f>HYPERLINK("http://slimages.macys.com/is/image/MCY/21371491 ")</f>
        <v xml:space="preserve">http://slimages.macys.com/is/image/MCY/21371491 </v>
      </c>
    </row>
    <row r="121" spans="1:14" ht="24.75" x14ac:dyDescent="0.25">
      <c r="A121" s="21" t="s">
        <v>9745</v>
      </c>
      <c r="B121" s="22" t="s">
        <v>17404</v>
      </c>
      <c r="C121" s="2">
        <v>18</v>
      </c>
      <c r="D121" s="23">
        <v>5.99</v>
      </c>
      <c r="E121" s="3">
        <v>107.82</v>
      </c>
      <c r="F121" s="2" t="s">
        <v>17309</v>
      </c>
      <c r="G121" s="22" t="s">
        <v>19351</v>
      </c>
      <c r="H121" s="24" t="s">
        <v>19538</v>
      </c>
      <c r="I121" s="22" t="s">
        <v>19309</v>
      </c>
      <c r="J121" s="22" t="s">
        <v>19573</v>
      </c>
      <c r="K121" s="22" t="s">
        <v>19574</v>
      </c>
      <c r="L121" s="22"/>
      <c r="M121" s="22"/>
      <c r="N121" s="25" t="str">
        <f>HYPERLINK("http://slimages.macys.com/is/image/MCY/1554658 ")</f>
        <v xml:space="preserve">http://slimages.macys.com/is/image/MCY/1554658 </v>
      </c>
    </row>
    <row r="122" spans="1:14" ht="24.75" x14ac:dyDescent="0.25">
      <c r="A122" s="21" t="s">
        <v>17470</v>
      </c>
      <c r="B122" s="22" t="s">
        <v>17471</v>
      </c>
      <c r="C122" s="2">
        <v>18</v>
      </c>
      <c r="D122" s="23">
        <v>5.99</v>
      </c>
      <c r="E122" s="3">
        <v>107.82</v>
      </c>
      <c r="F122" s="2" t="s">
        <v>17472</v>
      </c>
      <c r="G122" s="22" t="s">
        <v>19467</v>
      </c>
      <c r="H122" s="24" t="s">
        <v>19330</v>
      </c>
      <c r="I122" s="22" t="s">
        <v>19309</v>
      </c>
      <c r="J122" s="22" t="s">
        <v>19573</v>
      </c>
      <c r="K122" s="22" t="s">
        <v>19574</v>
      </c>
      <c r="L122" s="22"/>
      <c r="M122" s="22"/>
      <c r="N122" s="25" t="str">
        <f>HYPERLINK("http://slimages.macys.com/is/image/MCY/16605973 ")</f>
        <v xml:space="preserve">http://slimages.macys.com/is/image/MCY/16605973 </v>
      </c>
    </row>
    <row r="123" spans="1:14" ht="24.75" x14ac:dyDescent="0.25">
      <c r="A123" s="21" t="s">
        <v>9759</v>
      </c>
      <c r="B123" s="22" t="s">
        <v>9760</v>
      </c>
      <c r="C123" s="2">
        <v>10</v>
      </c>
      <c r="D123" s="23">
        <v>24.99</v>
      </c>
      <c r="E123" s="3">
        <v>249.9</v>
      </c>
      <c r="F123" s="2" t="s">
        <v>9432</v>
      </c>
      <c r="G123" s="22" t="s">
        <v>19333</v>
      </c>
      <c r="H123" s="24" t="s">
        <v>19330</v>
      </c>
      <c r="I123" s="22" t="s">
        <v>19309</v>
      </c>
      <c r="J123" s="22" t="s">
        <v>19385</v>
      </c>
      <c r="K123" s="22" t="s">
        <v>19386</v>
      </c>
      <c r="L123" s="22"/>
      <c r="M123" s="22"/>
      <c r="N123" s="25"/>
    </row>
    <row r="124" spans="1:14" ht="24.75" x14ac:dyDescent="0.25">
      <c r="A124" s="21" t="s">
        <v>8189</v>
      </c>
      <c r="B124" s="22" t="s">
        <v>8190</v>
      </c>
      <c r="C124" s="2">
        <v>24</v>
      </c>
      <c r="D124" s="23">
        <v>13.99</v>
      </c>
      <c r="E124" s="3">
        <v>335.76</v>
      </c>
      <c r="F124" s="2" t="s">
        <v>11213</v>
      </c>
      <c r="G124" s="22"/>
      <c r="H124" s="24" t="s">
        <v>19330</v>
      </c>
      <c r="I124" s="22" t="s">
        <v>19309</v>
      </c>
      <c r="J124" s="22" t="s">
        <v>19385</v>
      </c>
      <c r="K124" s="22" t="s">
        <v>11214</v>
      </c>
      <c r="L124" s="22"/>
      <c r="M124" s="22"/>
      <c r="N124" s="25"/>
    </row>
    <row r="125" spans="1:14" ht="24.75" x14ac:dyDescent="0.25">
      <c r="A125" s="21" t="s">
        <v>8187</v>
      </c>
      <c r="B125" s="22" t="s">
        <v>8188</v>
      </c>
      <c r="C125" s="2">
        <v>24</v>
      </c>
      <c r="D125" s="23">
        <v>13.99</v>
      </c>
      <c r="E125" s="3">
        <v>335.76</v>
      </c>
      <c r="F125" s="2" t="s">
        <v>11213</v>
      </c>
      <c r="G125" s="22"/>
      <c r="H125" s="24" t="s">
        <v>19324</v>
      </c>
      <c r="I125" s="22" t="s">
        <v>19309</v>
      </c>
      <c r="J125" s="22" t="s">
        <v>19385</v>
      </c>
      <c r="K125" s="22" t="s">
        <v>11214</v>
      </c>
      <c r="L125" s="22"/>
      <c r="M125" s="22"/>
      <c r="N125" s="25"/>
    </row>
  </sheetData>
  <phoneticPr fontId="0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workbookViewId="0">
      <selection activeCell="F19" sqref="F19"/>
    </sheetView>
  </sheetViews>
  <sheetFormatPr defaultRowHeight="15" x14ac:dyDescent="0.25"/>
  <cols>
    <col min="1" max="1" width="14.42578125" customWidth="1"/>
    <col min="2" max="2" width="50.85546875" customWidth="1"/>
    <col min="3" max="4" width="15" customWidth="1"/>
    <col min="5" max="5" width="10.42578125" customWidth="1"/>
    <col min="6" max="6" width="12.5703125" customWidth="1"/>
    <col min="7" max="8" width="11.42578125" customWidth="1"/>
    <col min="9" max="9" width="10.85546875" customWidth="1"/>
    <col min="10" max="10" width="12.140625" customWidth="1"/>
    <col min="11" max="11" width="36.5703125" bestFit="1" customWidth="1"/>
    <col min="12" max="13" width="20.5703125" customWidth="1"/>
    <col min="14" max="14" width="64.42578125" customWidth="1"/>
  </cols>
  <sheetData>
    <row r="1" spans="1:14" ht="36" x14ac:dyDescent="0.25">
      <c r="A1" s="1" t="s">
        <v>19291</v>
      </c>
      <c r="B1" s="1" t="s">
        <v>19292</v>
      </c>
      <c r="C1" s="1" t="s">
        <v>19293</v>
      </c>
      <c r="D1" s="1" t="s">
        <v>19284</v>
      </c>
      <c r="E1" s="1" t="s">
        <v>19294</v>
      </c>
      <c r="F1" s="1" t="s">
        <v>19295</v>
      </c>
      <c r="G1" s="1" t="s">
        <v>19296</v>
      </c>
      <c r="H1" s="1" t="s">
        <v>19297</v>
      </c>
      <c r="I1" s="1" t="s">
        <v>19298</v>
      </c>
      <c r="J1" s="1" t="s">
        <v>19299</v>
      </c>
      <c r="K1" s="1" t="s">
        <v>19300</v>
      </c>
      <c r="L1" s="1" t="s">
        <v>19301</v>
      </c>
      <c r="M1" s="1" t="s">
        <v>19302</v>
      </c>
      <c r="N1" s="1" t="s">
        <v>19303</v>
      </c>
    </row>
    <row r="2" spans="1:14" x14ac:dyDescent="0.25">
      <c r="A2" s="21" t="s">
        <v>8197</v>
      </c>
      <c r="B2" s="22" t="s">
        <v>8198</v>
      </c>
      <c r="C2" s="2">
        <v>9</v>
      </c>
      <c r="D2" s="23">
        <v>49.99</v>
      </c>
      <c r="E2" s="3">
        <v>449.91</v>
      </c>
      <c r="F2" s="2">
        <v>115554</v>
      </c>
      <c r="G2" s="22" t="s">
        <v>19315</v>
      </c>
      <c r="H2" s="24" t="s">
        <v>17505</v>
      </c>
      <c r="I2" s="22" t="s">
        <v>19309</v>
      </c>
      <c r="J2" s="22" t="s">
        <v>19417</v>
      </c>
      <c r="K2" s="22" t="s">
        <v>8199</v>
      </c>
      <c r="L2" s="22"/>
      <c r="M2" s="22"/>
      <c r="N2" s="25" t="str">
        <f>HYPERLINK("http://slimages.macys.com/is/image/MCY/16873339 ")</f>
        <v xml:space="preserve">http://slimages.macys.com/is/image/MCY/16873339 </v>
      </c>
    </row>
    <row r="3" spans="1:14" ht="24.75" x14ac:dyDescent="0.25">
      <c r="A3" s="21" t="s">
        <v>8479</v>
      </c>
      <c r="B3" s="22" t="s">
        <v>8480</v>
      </c>
      <c r="C3" s="2">
        <v>2</v>
      </c>
      <c r="D3" s="23">
        <v>56.99</v>
      </c>
      <c r="E3" s="3">
        <v>113.98</v>
      </c>
      <c r="F3" s="2" t="s">
        <v>8481</v>
      </c>
      <c r="G3" s="22" t="s">
        <v>19404</v>
      </c>
      <c r="H3" s="24" t="s">
        <v>19330</v>
      </c>
      <c r="I3" s="22" t="s">
        <v>19309</v>
      </c>
      <c r="J3" s="22" t="s">
        <v>19491</v>
      </c>
      <c r="K3" s="22" t="s">
        <v>17812</v>
      </c>
      <c r="L3" s="22"/>
      <c r="M3" s="22"/>
      <c r="N3" s="25" t="str">
        <f>HYPERLINK("http://slimages.macys.com/is/image/MCY/20866443 ")</f>
        <v xml:space="preserve">http://slimages.macys.com/is/image/MCY/20866443 </v>
      </c>
    </row>
    <row r="4" spans="1:14" ht="24.75" x14ac:dyDescent="0.25">
      <c r="A4" s="21" t="s">
        <v>8482</v>
      </c>
      <c r="B4" s="22" t="s">
        <v>8483</v>
      </c>
      <c r="C4" s="2">
        <v>9</v>
      </c>
      <c r="D4" s="23">
        <v>45</v>
      </c>
      <c r="E4" s="3">
        <v>405</v>
      </c>
      <c r="F4" s="2">
        <v>1369473</v>
      </c>
      <c r="G4" s="22" t="s">
        <v>19307</v>
      </c>
      <c r="H4" s="24" t="s">
        <v>19364</v>
      </c>
      <c r="I4" s="22" t="s">
        <v>19309</v>
      </c>
      <c r="J4" s="22" t="s">
        <v>19310</v>
      </c>
      <c r="K4" s="22" t="s">
        <v>17686</v>
      </c>
      <c r="L4" s="22" t="s">
        <v>8484</v>
      </c>
      <c r="M4" s="22" t="s">
        <v>19764</v>
      </c>
      <c r="N4" s="25" t="str">
        <f>HYPERLINK("http://images.bloomingdales.com/is/image/BLM/11600296 ")</f>
        <v xml:space="preserve">http://images.bloomingdales.com/is/image/BLM/11600296 </v>
      </c>
    </row>
    <row r="5" spans="1:14" ht="24.75" x14ac:dyDescent="0.25">
      <c r="A5" s="21" t="s">
        <v>9803</v>
      </c>
      <c r="B5" s="22" t="s">
        <v>9804</v>
      </c>
      <c r="C5" s="2">
        <v>6</v>
      </c>
      <c r="D5" s="23">
        <v>39.5</v>
      </c>
      <c r="E5" s="3">
        <v>237</v>
      </c>
      <c r="F5" s="2">
        <v>322842275002</v>
      </c>
      <c r="G5" s="22" t="s">
        <v>19333</v>
      </c>
      <c r="H5" s="24" t="s">
        <v>19542</v>
      </c>
      <c r="I5" s="22" t="s">
        <v>19309</v>
      </c>
      <c r="J5" s="22" t="s">
        <v>19335</v>
      </c>
      <c r="K5" s="22" t="s">
        <v>19326</v>
      </c>
      <c r="L5" s="22"/>
      <c r="M5" s="22"/>
      <c r="N5" s="25" t="str">
        <f>HYPERLINK("http://slimages.macys.com/is/image/MCY/19469073 ")</f>
        <v xml:space="preserve">http://slimages.macys.com/is/image/MCY/19469073 </v>
      </c>
    </row>
    <row r="6" spans="1:14" x14ac:dyDescent="0.25">
      <c r="A6" s="21" t="s">
        <v>8485</v>
      </c>
      <c r="B6" s="22" t="s">
        <v>8486</v>
      </c>
      <c r="C6" s="2">
        <v>4</v>
      </c>
      <c r="D6" s="23">
        <v>34.99</v>
      </c>
      <c r="E6" s="3">
        <v>139.96</v>
      </c>
      <c r="F6" s="2" t="s">
        <v>8487</v>
      </c>
      <c r="G6" s="22" t="s">
        <v>19333</v>
      </c>
      <c r="H6" s="24" t="s">
        <v>19352</v>
      </c>
      <c r="I6" s="22" t="s">
        <v>19309</v>
      </c>
      <c r="J6" s="22" t="s">
        <v>19310</v>
      </c>
      <c r="K6" s="22" t="s">
        <v>19529</v>
      </c>
      <c r="L6" s="22"/>
      <c r="M6" s="22"/>
      <c r="N6" s="25" t="str">
        <f>HYPERLINK("http://slimages.macys.com/is/image/MCY/18643316 ")</f>
        <v xml:space="preserve">http://slimages.macys.com/is/image/MCY/18643316 </v>
      </c>
    </row>
    <row r="7" spans="1:14" ht="24.75" x14ac:dyDescent="0.25">
      <c r="A7" s="21" t="s">
        <v>8488</v>
      </c>
      <c r="B7" s="22" t="s">
        <v>8489</v>
      </c>
      <c r="C7" s="2">
        <v>14</v>
      </c>
      <c r="D7" s="23">
        <v>35</v>
      </c>
      <c r="E7" s="3">
        <v>490</v>
      </c>
      <c r="F7" s="2">
        <v>320858891001</v>
      </c>
      <c r="G7" s="22" t="s">
        <v>19351</v>
      </c>
      <c r="H7" s="24" t="s">
        <v>19416</v>
      </c>
      <c r="I7" s="22" t="s">
        <v>19309</v>
      </c>
      <c r="J7" s="22" t="s">
        <v>19325</v>
      </c>
      <c r="K7" s="22" t="s">
        <v>19326</v>
      </c>
      <c r="L7" s="22" t="s">
        <v>19319</v>
      </c>
      <c r="M7" s="22" t="s">
        <v>19358</v>
      </c>
      <c r="N7" s="25" t="str">
        <f>HYPERLINK("http://images.bloomingdales.com/is/image/BLM/12127491 ")</f>
        <v xml:space="preserve">http://images.bloomingdales.com/is/image/BLM/12127491 </v>
      </c>
    </row>
    <row r="8" spans="1:14" x14ac:dyDescent="0.25">
      <c r="A8" s="21" t="s">
        <v>9399</v>
      </c>
      <c r="B8" s="22" t="s">
        <v>9400</v>
      </c>
      <c r="C8" s="2">
        <v>2</v>
      </c>
      <c r="D8" s="23">
        <v>27</v>
      </c>
      <c r="E8" s="3">
        <v>54</v>
      </c>
      <c r="F8" s="2" t="s">
        <v>9401</v>
      </c>
      <c r="G8" s="22" t="s">
        <v>19307</v>
      </c>
      <c r="H8" s="24" t="s">
        <v>19339</v>
      </c>
      <c r="I8" s="22" t="s">
        <v>19309</v>
      </c>
      <c r="J8" s="22" t="s">
        <v>19310</v>
      </c>
      <c r="K8" s="22" t="s">
        <v>19311</v>
      </c>
      <c r="L8" s="22"/>
      <c r="M8" s="22"/>
      <c r="N8" s="25" t="str">
        <f>HYPERLINK("http://slimages.macys.com/is/image/MCY/18249638 ")</f>
        <v xml:space="preserve">http://slimages.macys.com/is/image/MCY/18249638 </v>
      </c>
    </row>
    <row r="9" spans="1:14" ht="24.75" x14ac:dyDescent="0.25">
      <c r="A9" s="21" t="s">
        <v>8490</v>
      </c>
      <c r="B9" s="22" t="s">
        <v>8491</v>
      </c>
      <c r="C9" s="2">
        <v>3</v>
      </c>
      <c r="D9" s="23">
        <v>29.99</v>
      </c>
      <c r="E9" s="3">
        <v>89.97</v>
      </c>
      <c r="F9" s="2" t="s">
        <v>8492</v>
      </c>
      <c r="G9" s="22" t="s">
        <v>19333</v>
      </c>
      <c r="H9" s="24" t="s">
        <v>19538</v>
      </c>
      <c r="I9" s="22" t="s">
        <v>19309</v>
      </c>
      <c r="J9" s="22" t="s">
        <v>19491</v>
      </c>
      <c r="K9" s="22" t="s">
        <v>13811</v>
      </c>
      <c r="L9" s="22"/>
      <c r="M9" s="22"/>
      <c r="N9" s="25" t="str">
        <f>HYPERLINK("http://slimages.macys.com/is/image/MCY/20594695 ")</f>
        <v xml:space="preserve">http://slimages.macys.com/is/image/MCY/20594695 </v>
      </c>
    </row>
    <row r="10" spans="1:14" ht="24.75" x14ac:dyDescent="0.25">
      <c r="A10" s="21" t="s">
        <v>15628</v>
      </c>
      <c r="B10" s="22" t="s">
        <v>15629</v>
      </c>
      <c r="C10" s="2">
        <v>10</v>
      </c>
      <c r="D10" s="23">
        <v>24.99</v>
      </c>
      <c r="E10" s="3">
        <v>249.9</v>
      </c>
      <c r="F10" s="2" t="s">
        <v>17681</v>
      </c>
      <c r="G10" s="22" t="s">
        <v>19618</v>
      </c>
      <c r="H10" s="24" t="s">
        <v>19797</v>
      </c>
      <c r="I10" s="22" t="s">
        <v>19309</v>
      </c>
      <c r="J10" s="22" t="s">
        <v>19447</v>
      </c>
      <c r="K10" s="22" t="s">
        <v>19533</v>
      </c>
      <c r="L10" s="22"/>
      <c r="M10" s="22"/>
      <c r="N10" s="25" t="str">
        <f>HYPERLINK("http://slimages.macys.com/is/image/MCY/21150450 ")</f>
        <v xml:space="preserve">http://slimages.macys.com/is/image/MCY/21150450 </v>
      </c>
    </row>
    <row r="11" spans="1:14" ht="24.75" x14ac:dyDescent="0.25">
      <c r="A11" s="21" t="s">
        <v>8493</v>
      </c>
      <c r="B11" s="22" t="s">
        <v>8494</v>
      </c>
      <c r="C11" s="2">
        <v>2</v>
      </c>
      <c r="D11" s="23">
        <v>24.99</v>
      </c>
      <c r="E11" s="3">
        <v>49.98</v>
      </c>
      <c r="F11" s="2" t="s">
        <v>8495</v>
      </c>
      <c r="G11" s="22" t="s">
        <v>19342</v>
      </c>
      <c r="H11" s="24"/>
      <c r="I11" s="22" t="s">
        <v>19309</v>
      </c>
      <c r="J11" s="22" t="s">
        <v>19491</v>
      </c>
      <c r="K11" s="22" t="s">
        <v>19554</v>
      </c>
      <c r="L11" s="22"/>
      <c r="M11" s="22"/>
      <c r="N11" s="25" t="str">
        <f>HYPERLINK("http://slimages.macys.com/is/image/MCY/21365125 ")</f>
        <v xml:space="preserve">http://slimages.macys.com/is/image/MCY/21365125 </v>
      </c>
    </row>
    <row r="12" spans="1:14" ht="24.75" x14ac:dyDescent="0.25">
      <c r="A12" s="21" t="s">
        <v>8496</v>
      </c>
      <c r="B12" s="22" t="s">
        <v>8497</v>
      </c>
      <c r="C12" s="2">
        <v>3</v>
      </c>
      <c r="D12" s="23">
        <v>21.6</v>
      </c>
      <c r="E12" s="3">
        <v>64.8</v>
      </c>
      <c r="F12" s="2" t="s">
        <v>8498</v>
      </c>
      <c r="G12" s="22" t="s">
        <v>19622</v>
      </c>
      <c r="H12" s="24"/>
      <c r="I12" s="22" t="s">
        <v>19309</v>
      </c>
      <c r="J12" s="22" t="s">
        <v>19317</v>
      </c>
      <c r="K12" s="22" t="s">
        <v>15106</v>
      </c>
      <c r="L12" s="22"/>
      <c r="M12" s="22"/>
      <c r="N12" s="25" t="str">
        <f>HYPERLINK("http://slimages.macys.com/is/image/MCY/19992480 ")</f>
        <v xml:space="preserve">http://slimages.macys.com/is/image/MCY/19992480 </v>
      </c>
    </row>
    <row r="13" spans="1:14" ht="24.75" x14ac:dyDescent="0.25">
      <c r="A13" s="21" t="s">
        <v>8499</v>
      </c>
      <c r="B13" s="22" t="s">
        <v>8500</v>
      </c>
      <c r="C13" s="2">
        <v>2</v>
      </c>
      <c r="D13" s="23">
        <v>44.5</v>
      </c>
      <c r="E13" s="3">
        <v>89</v>
      </c>
      <c r="F13" s="2" t="s">
        <v>8501</v>
      </c>
      <c r="G13" s="22" t="s">
        <v>19315</v>
      </c>
      <c r="H13" s="24"/>
      <c r="I13" s="22" t="s">
        <v>19309</v>
      </c>
      <c r="J13" s="22" t="s">
        <v>19613</v>
      </c>
      <c r="K13" s="22" t="s">
        <v>19614</v>
      </c>
      <c r="L13" s="22"/>
      <c r="M13" s="22"/>
      <c r="N13" s="25" t="str">
        <f>HYPERLINK("http://slimages.macys.com/is/image/MCY/18059705 ")</f>
        <v xml:space="preserve">http://slimages.macys.com/is/image/MCY/18059705 </v>
      </c>
    </row>
    <row r="14" spans="1:14" x14ac:dyDescent="0.25">
      <c r="A14" s="21" t="s">
        <v>8502</v>
      </c>
      <c r="B14" s="22" t="s">
        <v>8503</v>
      </c>
      <c r="C14" s="2">
        <v>12</v>
      </c>
      <c r="D14" s="23">
        <v>29.99</v>
      </c>
      <c r="E14" s="3">
        <v>359.88</v>
      </c>
      <c r="F14" s="2" t="s">
        <v>9807</v>
      </c>
      <c r="G14" s="22" t="s">
        <v>19342</v>
      </c>
      <c r="H14" s="24" t="s">
        <v>19542</v>
      </c>
      <c r="I14" s="22" t="s">
        <v>19309</v>
      </c>
      <c r="J14" s="22" t="s">
        <v>19696</v>
      </c>
      <c r="K14" s="22" t="s">
        <v>19697</v>
      </c>
      <c r="L14" s="22"/>
      <c r="M14" s="22"/>
      <c r="N14" s="25" t="str">
        <f>HYPERLINK("http://slimages.macys.com/is/image/MCY/21355146 ")</f>
        <v xml:space="preserve">http://slimages.macys.com/is/image/MCY/21355146 </v>
      </c>
    </row>
    <row r="15" spans="1:14" x14ac:dyDescent="0.25">
      <c r="A15" s="21" t="s">
        <v>8504</v>
      </c>
      <c r="B15" s="22" t="s">
        <v>8505</v>
      </c>
      <c r="C15" s="2">
        <v>2</v>
      </c>
      <c r="D15" s="23">
        <v>24.09</v>
      </c>
      <c r="E15" s="3">
        <v>48.18</v>
      </c>
      <c r="F15" s="2" t="s">
        <v>8506</v>
      </c>
      <c r="G15" s="22" t="s">
        <v>19801</v>
      </c>
      <c r="H15" s="24" t="s">
        <v>19334</v>
      </c>
      <c r="I15" s="22" t="s">
        <v>19309</v>
      </c>
      <c r="J15" s="22" t="s">
        <v>19514</v>
      </c>
      <c r="K15" s="22" t="s">
        <v>19406</v>
      </c>
      <c r="L15" s="22"/>
      <c r="M15" s="22"/>
      <c r="N15" s="25" t="str">
        <f>HYPERLINK("http://slimages.macys.com/is/image/MCY/20010270 ")</f>
        <v xml:space="preserve">http://slimages.macys.com/is/image/MCY/20010270 </v>
      </c>
    </row>
    <row r="16" spans="1:14" ht="24.75" x14ac:dyDescent="0.25">
      <c r="A16" s="21" t="s">
        <v>8507</v>
      </c>
      <c r="B16" s="22" t="s">
        <v>8508</v>
      </c>
      <c r="C16" s="2">
        <v>2</v>
      </c>
      <c r="D16" s="23">
        <v>24.99</v>
      </c>
      <c r="E16" s="3">
        <v>49.98</v>
      </c>
      <c r="F16" s="2" t="s">
        <v>8509</v>
      </c>
      <c r="G16" s="22" t="s">
        <v>19467</v>
      </c>
      <c r="H16" s="24" t="s">
        <v>19324</v>
      </c>
      <c r="I16" s="22" t="s">
        <v>19309</v>
      </c>
      <c r="J16" s="22" t="s">
        <v>19491</v>
      </c>
      <c r="K16" s="22" t="s">
        <v>20146</v>
      </c>
      <c r="L16" s="22"/>
      <c r="M16" s="22"/>
      <c r="N16" s="25" t="str">
        <f>HYPERLINK("http://slimages.macys.com/is/image/MCY/20244802 ")</f>
        <v xml:space="preserve">http://slimages.macys.com/is/image/MCY/20244802 </v>
      </c>
    </row>
    <row r="17" spans="1:14" ht="24.75" x14ac:dyDescent="0.25">
      <c r="A17" s="21" t="s">
        <v>8510</v>
      </c>
      <c r="B17" s="22" t="s">
        <v>8511</v>
      </c>
      <c r="C17" s="2">
        <v>2</v>
      </c>
      <c r="D17" s="23">
        <v>24.99</v>
      </c>
      <c r="E17" s="3">
        <v>49.98</v>
      </c>
      <c r="F17" s="2" t="s">
        <v>8509</v>
      </c>
      <c r="G17" s="22" t="s">
        <v>19467</v>
      </c>
      <c r="H17" s="24" t="s">
        <v>19330</v>
      </c>
      <c r="I17" s="22" t="s">
        <v>19309</v>
      </c>
      <c r="J17" s="22" t="s">
        <v>19491</v>
      </c>
      <c r="K17" s="22" t="s">
        <v>20146</v>
      </c>
      <c r="L17" s="22"/>
      <c r="M17" s="22"/>
      <c r="N17" s="25" t="str">
        <f>HYPERLINK("http://slimages.macys.com/is/image/MCY/20244802 ")</f>
        <v xml:space="preserve">http://slimages.macys.com/is/image/MCY/20244802 </v>
      </c>
    </row>
    <row r="18" spans="1:14" ht="24.75" x14ac:dyDescent="0.25">
      <c r="A18" s="21" t="s">
        <v>8512</v>
      </c>
      <c r="B18" s="22" t="s">
        <v>8513</v>
      </c>
      <c r="C18" s="2">
        <v>1</v>
      </c>
      <c r="D18" s="23">
        <v>39.5</v>
      </c>
      <c r="E18" s="3">
        <v>39.5</v>
      </c>
      <c r="F18" s="2" t="s">
        <v>8514</v>
      </c>
      <c r="G18" s="22" t="s">
        <v>19660</v>
      </c>
      <c r="H18" s="24" t="s">
        <v>19334</v>
      </c>
      <c r="I18" s="22" t="s">
        <v>19309</v>
      </c>
      <c r="J18" s="22" t="s">
        <v>19688</v>
      </c>
      <c r="K18" s="22" t="s">
        <v>19614</v>
      </c>
      <c r="L18" s="22"/>
      <c r="M18" s="22"/>
      <c r="N18" s="25" t="str">
        <f>HYPERLINK("http://slimages.macys.com/is/image/MCY/21081669 ")</f>
        <v xml:space="preserve">http://slimages.macys.com/is/image/MCY/21081669 </v>
      </c>
    </row>
    <row r="19" spans="1:14" ht="24.75" x14ac:dyDescent="0.25">
      <c r="A19" s="21" t="s">
        <v>10369</v>
      </c>
      <c r="B19" s="22" t="s">
        <v>10370</v>
      </c>
      <c r="C19" s="2">
        <v>43</v>
      </c>
      <c r="D19" s="23">
        <v>24.99</v>
      </c>
      <c r="E19" s="3">
        <v>1074.57</v>
      </c>
      <c r="F19" s="2" t="s">
        <v>10882</v>
      </c>
      <c r="G19" s="22" t="s">
        <v>19323</v>
      </c>
      <c r="H19" s="24" t="s">
        <v>19538</v>
      </c>
      <c r="I19" s="22" t="s">
        <v>19309</v>
      </c>
      <c r="J19" s="22" t="s">
        <v>19385</v>
      </c>
      <c r="K19" s="22" t="s">
        <v>19386</v>
      </c>
      <c r="L19" s="22"/>
      <c r="M19" s="22"/>
      <c r="N19" s="25" t="str">
        <f>HYPERLINK("http://slimages.macys.com/is/image/MCY/21820640 ")</f>
        <v xml:space="preserve">http://slimages.macys.com/is/image/MCY/21820640 </v>
      </c>
    </row>
    <row r="20" spans="1:14" ht="24.75" x14ac:dyDescent="0.25">
      <c r="A20" s="21" t="s">
        <v>9422</v>
      </c>
      <c r="B20" s="22" t="s">
        <v>9423</v>
      </c>
      <c r="C20" s="2">
        <v>13</v>
      </c>
      <c r="D20" s="23">
        <v>24.99</v>
      </c>
      <c r="E20" s="3">
        <v>324.87</v>
      </c>
      <c r="F20" s="2" t="s">
        <v>9421</v>
      </c>
      <c r="G20" s="22" t="s">
        <v>19462</v>
      </c>
      <c r="H20" s="24" t="s">
        <v>19384</v>
      </c>
      <c r="I20" s="22" t="s">
        <v>19309</v>
      </c>
      <c r="J20" s="22" t="s">
        <v>19385</v>
      </c>
      <c r="K20" s="22" t="s">
        <v>19386</v>
      </c>
      <c r="L20" s="22"/>
      <c r="M20" s="22"/>
      <c r="N20" s="25" t="str">
        <f>HYPERLINK("http://slimages.macys.com/is/image/MCY/21465558 ")</f>
        <v xml:space="preserve">http://slimages.macys.com/is/image/MCY/21465558 </v>
      </c>
    </row>
    <row r="21" spans="1:14" ht="24.75" x14ac:dyDescent="0.25">
      <c r="A21" s="21" t="s">
        <v>8217</v>
      </c>
      <c r="B21" s="22" t="s">
        <v>8218</v>
      </c>
      <c r="C21" s="2">
        <v>19</v>
      </c>
      <c r="D21" s="23">
        <v>24.99</v>
      </c>
      <c r="E21" s="3">
        <v>474.81</v>
      </c>
      <c r="F21" s="2" t="s">
        <v>10882</v>
      </c>
      <c r="G21" s="22" t="s">
        <v>19323</v>
      </c>
      <c r="H21" s="24" t="s">
        <v>19384</v>
      </c>
      <c r="I21" s="22" t="s">
        <v>19309</v>
      </c>
      <c r="J21" s="22" t="s">
        <v>19385</v>
      </c>
      <c r="K21" s="22" t="s">
        <v>19386</v>
      </c>
      <c r="L21" s="22"/>
      <c r="M21" s="22"/>
      <c r="N21" s="25" t="str">
        <f>HYPERLINK("http://slimages.macys.com/is/image/MCY/21820640 ")</f>
        <v xml:space="preserve">http://slimages.macys.com/is/image/MCY/21820640 </v>
      </c>
    </row>
    <row r="22" spans="1:14" ht="24.75" x14ac:dyDescent="0.25">
      <c r="A22" s="21" t="s">
        <v>9817</v>
      </c>
      <c r="B22" s="22" t="s">
        <v>9818</v>
      </c>
      <c r="C22" s="2">
        <v>10</v>
      </c>
      <c r="D22" s="23">
        <v>24.99</v>
      </c>
      <c r="E22" s="3">
        <v>249.9</v>
      </c>
      <c r="F22" s="2" t="s">
        <v>9421</v>
      </c>
      <c r="G22" s="22" t="s">
        <v>19462</v>
      </c>
      <c r="H22" s="24" t="s">
        <v>19324</v>
      </c>
      <c r="I22" s="22" t="s">
        <v>19309</v>
      </c>
      <c r="J22" s="22" t="s">
        <v>19385</v>
      </c>
      <c r="K22" s="22" t="s">
        <v>19386</v>
      </c>
      <c r="L22" s="22"/>
      <c r="M22" s="22"/>
      <c r="N22" s="25" t="str">
        <f>HYPERLINK("http://slimages.macys.com/is/image/MCY/21465558 ")</f>
        <v xml:space="preserve">http://slimages.macys.com/is/image/MCY/21465558 </v>
      </c>
    </row>
    <row r="23" spans="1:14" x14ac:dyDescent="0.25">
      <c r="A23" s="21" t="s">
        <v>8515</v>
      </c>
      <c r="B23" s="22" t="s">
        <v>8516</v>
      </c>
      <c r="C23" s="2">
        <v>2</v>
      </c>
      <c r="D23" s="23">
        <v>25.99</v>
      </c>
      <c r="E23" s="3">
        <v>51.98</v>
      </c>
      <c r="F23" s="2" t="s">
        <v>8517</v>
      </c>
      <c r="G23" s="22" t="s">
        <v>19342</v>
      </c>
      <c r="H23" s="24" t="s">
        <v>19542</v>
      </c>
      <c r="I23" s="22" t="s">
        <v>19309</v>
      </c>
      <c r="J23" s="22" t="s">
        <v>19696</v>
      </c>
      <c r="K23" s="22" t="s">
        <v>19965</v>
      </c>
      <c r="L23" s="22"/>
      <c r="M23" s="22"/>
      <c r="N23" s="25" t="str">
        <f>HYPERLINK("http://slimages.macys.com/is/image/MCY/20662606 ")</f>
        <v xml:space="preserve">http://slimages.macys.com/is/image/MCY/20662606 </v>
      </c>
    </row>
    <row r="24" spans="1:14" ht="24.75" x14ac:dyDescent="0.25">
      <c r="A24" s="21" t="s">
        <v>15722</v>
      </c>
      <c r="B24" s="22" t="s">
        <v>15723</v>
      </c>
      <c r="C24" s="2">
        <v>12</v>
      </c>
      <c r="D24" s="23">
        <v>29.99</v>
      </c>
      <c r="E24" s="3">
        <v>359.88</v>
      </c>
      <c r="F24" s="2" t="s">
        <v>15724</v>
      </c>
      <c r="G24" s="22" t="s">
        <v>19342</v>
      </c>
      <c r="H24" s="24" t="s">
        <v>19330</v>
      </c>
      <c r="I24" s="22" t="s">
        <v>19309</v>
      </c>
      <c r="J24" s="22" t="s">
        <v>19491</v>
      </c>
      <c r="K24" s="22" t="s">
        <v>15725</v>
      </c>
      <c r="L24" s="22"/>
      <c r="M24" s="22"/>
      <c r="N24" s="25" t="str">
        <f>HYPERLINK("http://slimages.macys.com/is/image/MCY/21176916 ")</f>
        <v xml:space="preserve">http://slimages.macys.com/is/image/MCY/21176916 </v>
      </c>
    </row>
    <row r="25" spans="1:14" x14ac:dyDescent="0.25">
      <c r="A25" s="21" t="s">
        <v>9824</v>
      </c>
      <c r="B25" s="22" t="s">
        <v>9825</v>
      </c>
      <c r="C25" s="2">
        <v>12</v>
      </c>
      <c r="D25" s="23">
        <v>27.99</v>
      </c>
      <c r="E25" s="3">
        <v>335.88</v>
      </c>
      <c r="F25" s="2" t="s">
        <v>10899</v>
      </c>
      <c r="G25" s="22" t="s">
        <v>19342</v>
      </c>
      <c r="H25" s="24" t="s">
        <v>19334</v>
      </c>
      <c r="I25" s="22" t="s">
        <v>19309</v>
      </c>
      <c r="J25" s="22" t="s">
        <v>19696</v>
      </c>
      <c r="K25" s="22" t="s">
        <v>19697</v>
      </c>
      <c r="L25" s="22"/>
      <c r="M25" s="22"/>
      <c r="N25" s="25" t="str">
        <f>HYPERLINK("http://slimages.macys.com/is/image/MCY/21355157 ")</f>
        <v xml:space="preserve">http://slimages.macys.com/is/image/MCY/21355157 </v>
      </c>
    </row>
    <row r="26" spans="1:14" x14ac:dyDescent="0.25">
      <c r="A26" s="21" t="s">
        <v>8027</v>
      </c>
      <c r="B26" s="22" t="s">
        <v>8028</v>
      </c>
      <c r="C26" s="2">
        <v>12</v>
      </c>
      <c r="D26" s="23">
        <v>27.99</v>
      </c>
      <c r="E26" s="3">
        <v>335.88</v>
      </c>
      <c r="F26" s="2" t="s">
        <v>9821</v>
      </c>
      <c r="G26" s="22" t="s">
        <v>19342</v>
      </c>
      <c r="H26" s="24" t="s">
        <v>19334</v>
      </c>
      <c r="I26" s="22" t="s">
        <v>19309</v>
      </c>
      <c r="J26" s="22" t="s">
        <v>19696</v>
      </c>
      <c r="K26" s="22" t="s">
        <v>19697</v>
      </c>
      <c r="L26" s="22"/>
      <c r="M26" s="22"/>
      <c r="N26" s="25" t="str">
        <f>HYPERLINK("http://slimages.macys.com/is/image/MCY/21355165 ")</f>
        <v xml:space="preserve">http://slimages.macys.com/is/image/MCY/21355165 </v>
      </c>
    </row>
    <row r="27" spans="1:14" x14ac:dyDescent="0.25">
      <c r="A27" s="21" t="s">
        <v>8224</v>
      </c>
      <c r="B27" s="22" t="s">
        <v>8225</v>
      </c>
      <c r="C27" s="2">
        <v>12</v>
      </c>
      <c r="D27" s="23">
        <v>27.99</v>
      </c>
      <c r="E27" s="3">
        <v>335.88</v>
      </c>
      <c r="F27" s="2" t="s">
        <v>9429</v>
      </c>
      <c r="G27" s="22" t="s">
        <v>19342</v>
      </c>
      <c r="H27" s="24" t="s">
        <v>19334</v>
      </c>
      <c r="I27" s="22" t="s">
        <v>19309</v>
      </c>
      <c r="J27" s="22" t="s">
        <v>19696</v>
      </c>
      <c r="K27" s="22" t="s">
        <v>19697</v>
      </c>
      <c r="L27" s="22"/>
      <c r="M27" s="22"/>
      <c r="N27" s="25" t="str">
        <f>HYPERLINK("http://slimages.macys.com/is/image/MCY/21355162 ")</f>
        <v xml:space="preserve">http://slimages.macys.com/is/image/MCY/21355162 </v>
      </c>
    </row>
    <row r="28" spans="1:14" x14ac:dyDescent="0.25">
      <c r="A28" s="21" t="s">
        <v>8034</v>
      </c>
      <c r="B28" s="22" t="s">
        <v>8035</v>
      </c>
      <c r="C28" s="2">
        <v>1</v>
      </c>
      <c r="D28" s="23">
        <v>20.58</v>
      </c>
      <c r="E28" s="3">
        <v>20.58</v>
      </c>
      <c r="F28" s="2" t="s">
        <v>8036</v>
      </c>
      <c r="G28" s="22" t="s">
        <v>19342</v>
      </c>
      <c r="H28" s="24" t="s">
        <v>19395</v>
      </c>
      <c r="I28" s="22" t="s">
        <v>19309</v>
      </c>
      <c r="J28" s="22" t="s">
        <v>19514</v>
      </c>
      <c r="K28" s="22" t="s">
        <v>10909</v>
      </c>
      <c r="L28" s="22"/>
      <c r="M28" s="22"/>
      <c r="N28" s="25" t="str">
        <f>HYPERLINK("http://slimages.macys.com/is/image/MCY/21192202 ")</f>
        <v xml:space="preserve">http://slimages.macys.com/is/image/MCY/21192202 </v>
      </c>
    </row>
    <row r="29" spans="1:14" x14ac:dyDescent="0.25">
      <c r="A29" s="21" t="s">
        <v>8041</v>
      </c>
      <c r="B29" s="22" t="s">
        <v>8042</v>
      </c>
      <c r="C29" s="2">
        <v>12</v>
      </c>
      <c r="D29" s="23">
        <v>20.58</v>
      </c>
      <c r="E29" s="3">
        <v>246.96</v>
      </c>
      <c r="F29" s="2" t="s">
        <v>8036</v>
      </c>
      <c r="G29" s="22" t="s">
        <v>19342</v>
      </c>
      <c r="H29" s="24" t="s">
        <v>19361</v>
      </c>
      <c r="I29" s="22" t="s">
        <v>19309</v>
      </c>
      <c r="J29" s="22" t="s">
        <v>19514</v>
      </c>
      <c r="K29" s="22" t="s">
        <v>10909</v>
      </c>
      <c r="L29" s="22"/>
      <c r="M29" s="22"/>
      <c r="N29" s="25" t="str">
        <f>HYPERLINK("http://slimages.macys.com/is/image/MCY/21192202 ")</f>
        <v xml:space="preserve">http://slimages.macys.com/is/image/MCY/21192202 </v>
      </c>
    </row>
    <row r="30" spans="1:14" x14ac:dyDescent="0.25">
      <c r="A30" s="21" t="s">
        <v>8037</v>
      </c>
      <c r="B30" s="22" t="s">
        <v>8038</v>
      </c>
      <c r="C30" s="2">
        <v>24</v>
      </c>
      <c r="D30" s="23">
        <v>20.58</v>
      </c>
      <c r="E30" s="3">
        <v>493.92</v>
      </c>
      <c r="F30" s="2" t="s">
        <v>8036</v>
      </c>
      <c r="G30" s="22" t="s">
        <v>19342</v>
      </c>
      <c r="H30" s="24" t="s">
        <v>19542</v>
      </c>
      <c r="I30" s="22" t="s">
        <v>19309</v>
      </c>
      <c r="J30" s="22" t="s">
        <v>19514</v>
      </c>
      <c r="K30" s="22" t="s">
        <v>10909</v>
      </c>
      <c r="L30" s="22"/>
      <c r="M30" s="22"/>
      <c r="N30" s="25" t="str">
        <f>HYPERLINK("http://slimages.macys.com/is/image/MCY/21192202 ")</f>
        <v xml:space="preserve">http://slimages.macys.com/is/image/MCY/21192202 </v>
      </c>
    </row>
    <row r="31" spans="1:14" ht="24.75" x14ac:dyDescent="0.25">
      <c r="A31" s="21" t="s">
        <v>8043</v>
      </c>
      <c r="B31" s="22" t="s">
        <v>8044</v>
      </c>
      <c r="C31" s="2">
        <v>17</v>
      </c>
      <c r="D31" s="23">
        <v>24.99</v>
      </c>
      <c r="E31" s="3">
        <v>424.83</v>
      </c>
      <c r="F31" s="2" t="s">
        <v>15796</v>
      </c>
      <c r="G31" s="22" t="s">
        <v>19594</v>
      </c>
      <c r="H31" s="24" t="s">
        <v>19538</v>
      </c>
      <c r="I31" s="22" t="s">
        <v>19309</v>
      </c>
      <c r="J31" s="22" t="s">
        <v>19385</v>
      </c>
      <c r="K31" s="22" t="s">
        <v>19386</v>
      </c>
      <c r="L31" s="22"/>
      <c r="M31" s="22"/>
      <c r="N31" s="25" t="str">
        <f>HYPERLINK("http://slimages.macys.com/is/image/MCY/21820646 ")</f>
        <v xml:space="preserve">http://slimages.macys.com/is/image/MCY/21820646 </v>
      </c>
    </row>
    <row r="32" spans="1:14" ht="24.75" x14ac:dyDescent="0.25">
      <c r="A32" s="21" t="s">
        <v>10922</v>
      </c>
      <c r="B32" s="22" t="s">
        <v>10923</v>
      </c>
      <c r="C32" s="2">
        <v>3</v>
      </c>
      <c r="D32" s="23">
        <v>17.989999999999998</v>
      </c>
      <c r="E32" s="3">
        <v>53.97</v>
      </c>
      <c r="F32" s="2" t="s">
        <v>10916</v>
      </c>
      <c r="G32" s="22" t="s">
        <v>19342</v>
      </c>
      <c r="H32" s="24" t="s">
        <v>19364</v>
      </c>
      <c r="I32" s="22" t="s">
        <v>19309</v>
      </c>
      <c r="J32" s="22" t="s">
        <v>20076</v>
      </c>
      <c r="K32" s="22" t="s">
        <v>10917</v>
      </c>
      <c r="L32" s="22"/>
      <c r="M32" s="22"/>
      <c r="N32" s="25" t="str">
        <f>HYPERLINK("http://slimages.macys.com/is/image/MCY/23526466 ")</f>
        <v xml:space="preserve">http://slimages.macys.com/is/image/MCY/23526466 </v>
      </c>
    </row>
    <row r="33" spans="1:14" ht="24.75" x14ac:dyDescent="0.25">
      <c r="A33" s="21" t="s">
        <v>10914</v>
      </c>
      <c r="B33" s="22" t="s">
        <v>10915</v>
      </c>
      <c r="C33" s="2">
        <v>4</v>
      </c>
      <c r="D33" s="23">
        <v>17.989999999999998</v>
      </c>
      <c r="E33" s="3">
        <v>71.959999999999994</v>
      </c>
      <c r="F33" s="2" t="s">
        <v>10916</v>
      </c>
      <c r="G33" s="22" t="s">
        <v>19342</v>
      </c>
      <c r="H33" s="24"/>
      <c r="I33" s="22" t="s">
        <v>19309</v>
      </c>
      <c r="J33" s="22" t="s">
        <v>20076</v>
      </c>
      <c r="K33" s="22" t="s">
        <v>10917</v>
      </c>
      <c r="L33" s="22"/>
      <c r="M33" s="22"/>
      <c r="N33" s="25" t="str">
        <f>HYPERLINK("http://slimages.macys.com/is/image/MCY/23526466 ")</f>
        <v xml:space="preserve">http://slimages.macys.com/is/image/MCY/23526466 </v>
      </c>
    </row>
    <row r="34" spans="1:14" x14ac:dyDescent="0.25">
      <c r="A34" s="21" t="s">
        <v>8518</v>
      </c>
      <c r="B34" s="22" t="s">
        <v>8519</v>
      </c>
      <c r="C34" s="2">
        <v>4</v>
      </c>
      <c r="D34" s="23">
        <v>34</v>
      </c>
      <c r="E34" s="3">
        <v>136</v>
      </c>
      <c r="F34" s="2" t="s">
        <v>10929</v>
      </c>
      <c r="G34" s="22"/>
      <c r="H34" s="24" t="s">
        <v>20152</v>
      </c>
      <c r="I34" s="22" t="s">
        <v>19309</v>
      </c>
      <c r="J34" s="22" t="s">
        <v>19708</v>
      </c>
      <c r="K34" s="22" t="s">
        <v>19709</v>
      </c>
      <c r="L34" s="22"/>
      <c r="M34" s="22"/>
      <c r="N34" s="25" t="str">
        <f>HYPERLINK("http://slimages.macys.com/is/image/MCY/21717958 ")</f>
        <v xml:space="preserve">http://slimages.macys.com/is/image/MCY/21717958 </v>
      </c>
    </row>
    <row r="35" spans="1:14" ht="24.75" x14ac:dyDescent="0.25">
      <c r="A35" s="21" t="s">
        <v>8236</v>
      </c>
      <c r="B35" s="22" t="s">
        <v>8237</v>
      </c>
      <c r="C35" s="2">
        <v>6</v>
      </c>
      <c r="D35" s="23">
        <v>24</v>
      </c>
      <c r="E35" s="3">
        <v>144</v>
      </c>
      <c r="F35" s="2" t="s">
        <v>9471</v>
      </c>
      <c r="G35" s="22"/>
      <c r="H35" s="24" t="s">
        <v>19367</v>
      </c>
      <c r="I35" s="22" t="s">
        <v>19309</v>
      </c>
      <c r="J35" s="22" t="s">
        <v>19417</v>
      </c>
      <c r="K35" s="22" t="s">
        <v>19854</v>
      </c>
      <c r="L35" s="22"/>
      <c r="M35" s="22"/>
      <c r="N35" s="25" t="str">
        <f>HYPERLINK("http://slimages.macys.com/is/image/MCY/21369970 ")</f>
        <v xml:space="preserve">http://slimages.macys.com/is/image/MCY/21369970 </v>
      </c>
    </row>
    <row r="36" spans="1:14" ht="24.75" x14ac:dyDescent="0.25">
      <c r="A36" s="21" t="s">
        <v>8520</v>
      </c>
      <c r="B36" s="22" t="s">
        <v>8521</v>
      </c>
      <c r="C36" s="2">
        <v>16</v>
      </c>
      <c r="D36" s="23">
        <v>24</v>
      </c>
      <c r="E36" s="3">
        <v>384</v>
      </c>
      <c r="F36" s="2" t="s">
        <v>19853</v>
      </c>
      <c r="G36" s="22" t="s">
        <v>19404</v>
      </c>
      <c r="H36" s="24" t="s">
        <v>20152</v>
      </c>
      <c r="I36" s="22" t="s">
        <v>19309</v>
      </c>
      <c r="J36" s="22" t="s">
        <v>19417</v>
      </c>
      <c r="K36" s="22" t="s">
        <v>19854</v>
      </c>
      <c r="L36" s="22"/>
      <c r="M36" s="22"/>
      <c r="N36" s="25" t="str">
        <f>HYPERLINK("http://slimages.macys.com/is/image/MCY/21369862 ")</f>
        <v xml:space="preserve">http://slimages.macys.com/is/image/MCY/21369862 </v>
      </c>
    </row>
    <row r="37" spans="1:14" ht="24.75" x14ac:dyDescent="0.25">
      <c r="A37" s="21" t="s">
        <v>9469</v>
      </c>
      <c r="B37" s="22" t="s">
        <v>9470</v>
      </c>
      <c r="C37" s="2">
        <v>26</v>
      </c>
      <c r="D37" s="23">
        <v>24</v>
      </c>
      <c r="E37" s="3">
        <v>624</v>
      </c>
      <c r="F37" s="2" t="s">
        <v>9471</v>
      </c>
      <c r="G37" s="22"/>
      <c r="H37" s="24" t="s">
        <v>19324</v>
      </c>
      <c r="I37" s="22" t="s">
        <v>19309</v>
      </c>
      <c r="J37" s="22" t="s">
        <v>19417</v>
      </c>
      <c r="K37" s="22" t="s">
        <v>19854</v>
      </c>
      <c r="L37" s="22"/>
      <c r="M37" s="22"/>
      <c r="N37" s="25" t="str">
        <f>HYPERLINK("http://slimages.macys.com/is/image/MCY/21369970 ")</f>
        <v xml:space="preserve">http://slimages.macys.com/is/image/MCY/21369970 </v>
      </c>
    </row>
    <row r="38" spans="1:14" ht="24.75" x14ac:dyDescent="0.25">
      <c r="A38" s="21" t="s">
        <v>8522</v>
      </c>
      <c r="B38" s="22" t="s">
        <v>8523</v>
      </c>
      <c r="C38" s="2">
        <v>17</v>
      </c>
      <c r="D38" s="23">
        <v>24</v>
      </c>
      <c r="E38" s="3">
        <v>408</v>
      </c>
      <c r="F38" s="2" t="s">
        <v>10943</v>
      </c>
      <c r="G38" s="22"/>
      <c r="H38" s="24" t="s">
        <v>19324</v>
      </c>
      <c r="I38" s="22" t="s">
        <v>19309</v>
      </c>
      <c r="J38" s="22" t="s">
        <v>19417</v>
      </c>
      <c r="K38" s="22" t="s">
        <v>19854</v>
      </c>
      <c r="L38" s="22"/>
      <c r="M38" s="22"/>
      <c r="N38" s="25" t="str">
        <f>HYPERLINK("http://slimages.macys.com/is/image/MCY/21362959 ")</f>
        <v xml:space="preserve">http://slimages.macys.com/is/image/MCY/21362959 </v>
      </c>
    </row>
    <row r="39" spans="1:14" ht="24.75" x14ac:dyDescent="0.25">
      <c r="A39" s="21" t="s">
        <v>8524</v>
      </c>
      <c r="B39" s="22" t="s">
        <v>8525</v>
      </c>
      <c r="C39" s="2">
        <v>19</v>
      </c>
      <c r="D39" s="23">
        <v>24</v>
      </c>
      <c r="E39" s="3">
        <v>456</v>
      </c>
      <c r="F39" s="2" t="s">
        <v>19853</v>
      </c>
      <c r="G39" s="22" t="s">
        <v>19404</v>
      </c>
      <c r="H39" s="24" t="s">
        <v>19367</v>
      </c>
      <c r="I39" s="22" t="s">
        <v>19309</v>
      </c>
      <c r="J39" s="22" t="s">
        <v>19417</v>
      </c>
      <c r="K39" s="22" t="s">
        <v>19854</v>
      </c>
      <c r="L39" s="22"/>
      <c r="M39" s="22"/>
      <c r="N39" s="25" t="str">
        <f>HYPERLINK("http://slimages.macys.com/is/image/MCY/21369862 ")</f>
        <v xml:space="preserve">http://slimages.macys.com/is/image/MCY/21369862 </v>
      </c>
    </row>
    <row r="40" spans="1:14" ht="24.75" x14ac:dyDescent="0.25">
      <c r="A40" s="21" t="s">
        <v>8526</v>
      </c>
      <c r="B40" s="22" t="s">
        <v>8527</v>
      </c>
      <c r="C40" s="2">
        <v>20</v>
      </c>
      <c r="D40" s="23">
        <v>24</v>
      </c>
      <c r="E40" s="3">
        <v>480</v>
      </c>
      <c r="F40" s="2" t="s">
        <v>19853</v>
      </c>
      <c r="G40" s="22" t="s">
        <v>19404</v>
      </c>
      <c r="H40" s="24" t="s">
        <v>20159</v>
      </c>
      <c r="I40" s="22" t="s">
        <v>19309</v>
      </c>
      <c r="J40" s="22" t="s">
        <v>19417</v>
      </c>
      <c r="K40" s="22" t="s">
        <v>19854</v>
      </c>
      <c r="L40" s="22"/>
      <c r="M40" s="22"/>
      <c r="N40" s="25" t="str">
        <f>HYPERLINK("http://slimages.macys.com/is/image/MCY/21369862 ")</f>
        <v xml:space="preserve">http://slimages.macys.com/is/image/MCY/21369862 </v>
      </c>
    </row>
    <row r="41" spans="1:14" ht="24.75" x14ac:dyDescent="0.25">
      <c r="A41" s="21" t="s">
        <v>8528</v>
      </c>
      <c r="B41" s="22" t="s">
        <v>8529</v>
      </c>
      <c r="C41" s="2">
        <v>14</v>
      </c>
      <c r="D41" s="23">
        <v>24</v>
      </c>
      <c r="E41" s="3">
        <v>336</v>
      </c>
      <c r="F41" s="2" t="s">
        <v>8530</v>
      </c>
      <c r="G41" s="22" t="s">
        <v>19674</v>
      </c>
      <c r="H41" s="24" t="s">
        <v>20159</v>
      </c>
      <c r="I41" s="22" t="s">
        <v>19309</v>
      </c>
      <c r="J41" s="22" t="s">
        <v>19417</v>
      </c>
      <c r="K41" s="22" t="s">
        <v>19854</v>
      </c>
      <c r="L41" s="22"/>
      <c r="M41" s="22"/>
      <c r="N41" s="25" t="str">
        <f>HYPERLINK("http://slimages.macys.com/is/image/MCY/21363366 ")</f>
        <v xml:space="preserve">http://slimages.macys.com/is/image/MCY/21363366 </v>
      </c>
    </row>
    <row r="42" spans="1:14" ht="24.75" x14ac:dyDescent="0.25">
      <c r="A42" s="21" t="s">
        <v>8531</v>
      </c>
      <c r="B42" s="22" t="s">
        <v>8532</v>
      </c>
      <c r="C42" s="2">
        <v>21</v>
      </c>
      <c r="D42" s="23">
        <v>24</v>
      </c>
      <c r="E42" s="3">
        <v>504</v>
      </c>
      <c r="F42" s="2" t="s">
        <v>8530</v>
      </c>
      <c r="G42" s="22" t="s">
        <v>19674</v>
      </c>
      <c r="H42" s="24" t="s">
        <v>20152</v>
      </c>
      <c r="I42" s="22" t="s">
        <v>19309</v>
      </c>
      <c r="J42" s="22" t="s">
        <v>19417</v>
      </c>
      <c r="K42" s="22" t="s">
        <v>19854</v>
      </c>
      <c r="L42" s="22"/>
      <c r="M42" s="22"/>
      <c r="N42" s="25" t="str">
        <f>HYPERLINK("http://slimages.macys.com/is/image/MCY/21363366 ")</f>
        <v xml:space="preserve">http://slimages.macys.com/is/image/MCY/21363366 </v>
      </c>
    </row>
    <row r="43" spans="1:14" ht="24.75" x14ac:dyDescent="0.25">
      <c r="A43" s="21" t="s">
        <v>8533</v>
      </c>
      <c r="B43" s="22" t="s">
        <v>8534</v>
      </c>
      <c r="C43" s="2">
        <v>30</v>
      </c>
      <c r="D43" s="23">
        <v>24</v>
      </c>
      <c r="E43" s="3">
        <v>720</v>
      </c>
      <c r="F43" s="2" t="s">
        <v>8530</v>
      </c>
      <c r="G43" s="22" t="s">
        <v>19674</v>
      </c>
      <c r="H43" s="24" t="s">
        <v>19367</v>
      </c>
      <c r="I43" s="22" t="s">
        <v>19309</v>
      </c>
      <c r="J43" s="22" t="s">
        <v>19417</v>
      </c>
      <c r="K43" s="22" t="s">
        <v>19854</v>
      </c>
      <c r="L43" s="22"/>
      <c r="M43" s="22"/>
      <c r="N43" s="25" t="str">
        <f>HYPERLINK("http://slimages.macys.com/is/image/MCY/21363366 ")</f>
        <v xml:space="preserve">http://slimages.macys.com/is/image/MCY/21363366 </v>
      </c>
    </row>
    <row r="44" spans="1:14" ht="24.75" x14ac:dyDescent="0.25">
      <c r="A44" s="21" t="s">
        <v>8535</v>
      </c>
      <c r="B44" s="22" t="s">
        <v>8536</v>
      </c>
      <c r="C44" s="2">
        <v>17</v>
      </c>
      <c r="D44" s="23">
        <v>24</v>
      </c>
      <c r="E44" s="3">
        <v>408</v>
      </c>
      <c r="F44" s="2" t="s">
        <v>8051</v>
      </c>
      <c r="G44" s="22"/>
      <c r="H44" s="24" t="s">
        <v>19416</v>
      </c>
      <c r="I44" s="22" t="s">
        <v>19309</v>
      </c>
      <c r="J44" s="22" t="s">
        <v>19417</v>
      </c>
      <c r="K44" s="22" t="s">
        <v>19854</v>
      </c>
      <c r="L44" s="22"/>
      <c r="M44" s="22"/>
      <c r="N44" s="25" t="str">
        <f>HYPERLINK("http://slimages.macys.com/is/image/MCY/21362805 ")</f>
        <v xml:space="preserve">http://slimages.macys.com/is/image/MCY/21362805 </v>
      </c>
    </row>
    <row r="45" spans="1:14" x14ac:dyDescent="0.25">
      <c r="A45" s="21" t="s">
        <v>8537</v>
      </c>
      <c r="B45" s="22" t="s">
        <v>8538</v>
      </c>
      <c r="C45" s="2">
        <v>20</v>
      </c>
      <c r="D45" s="23">
        <v>21.61</v>
      </c>
      <c r="E45" s="3">
        <v>432.2</v>
      </c>
      <c r="F45" s="2" t="s">
        <v>8539</v>
      </c>
      <c r="G45" s="22"/>
      <c r="H45" s="24" t="s">
        <v>20159</v>
      </c>
      <c r="I45" s="22" t="s">
        <v>19309</v>
      </c>
      <c r="J45" s="22" t="s">
        <v>19708</v>
      </c>
      <c r="K45" s="22" t="s">
        <v>19709</v>
      </c>
      <c r="L45" s="22"/>
      <c r="M45" s="22"/>
      <c r="N45" s="25" t="str">
        <f>HYPERLINK("http://slimages.macys.com/is/image/MCY/21726589 ")</f>
        <v xml:space="preserve">http://slimages.macys.com/is/image/MCY/21726589 </v>
      </c>
    </row>
    <row r="46" spans="1:14" x14ac:dyDescent="0.25">
      <c r="A46" s="21" t="s">
        <v>8061</v>
      </c>
      <c r="B46" s="22" t="s">
        <v>8062</v>
      </c>
      <c r="C46" s="2">
        <v>12</v>
      </c>
      <c r="D46" s="23">
        <v>21.99</v>
      </c>
      <c r="E46" s="3">
        <v>263.88</v>
      </c>
      <c r="F46" s="2" t="s">
        <v>19964</v>
      </c>
      <c r="G46" s="22" t="s">
        <v>19342</v>
      </c>
      <c r="H46" s="24" t="s">
        <v>19542</v>
      </c>
      <c r="I46" s="22" t="s">
        <v>19309</v>
      </c>
      <c r="J46" s="22" t="s">
        <v>19696</v>
      </c>
      <c r="K46" s="22" t="s">
        <v>19965</v>
      </c>
      <c r="L46" s="22"/>
      <c r="M46" s="22"/>
      <c r="N46" s="25" t="str">
        <f>HYPERLINK("http://slimages.macys.com/is/image/MCY/21355968 ")</f>
        <v xml:space="preserve">http://slimages.macys.com/is/image/MCY/21355968 </v>
      </c>
    </row>
    <row r="47" spans="1:14" x14ac:dyDescent="0.25">
      <c r="A47" s="21" t="s">
        <v>8065</v>
      </c>
      <c r="B47" s="22" t="s">
        <v>8066</v>
      </c>
      <c r="C47" s="2">
        <v>24</v>
      </c>
      <c r="D47" s="23">
        <v>21.99</v>
      </c>
      <c r="E47" s="3">
        <v>527.76</v>
      </c>
      <c r="F47" s="2" t="s">
        <v>8067</v>
      </c>
      <c r="G47" s="22" t="s">
        <v>19342</v>
      </c>
      <c r="H47" s="24" t="s">
        <v>19542</v>
      </c>
      <c r="I47" s="22" t="s">
        <v>19309</v>
      </c>
      <c r="J47" s="22" t="s">
        <v>19696</v>
      </c>
      <c r="K47" s="22" t="s">
        <v>19965</v>
      </c>
      <c r="L47" s="22"/>
      <c r="M47" s="22"/>
      <c r="N47" s="25" t="str">
        <f>HYPERLINK("http://slimages.macys.com/is/image/MCY/21497275 ")</f>
        <v xml:space="preserve">http://slimages.macys.com/is/image/MCY/21497275 </v>
      </c>
    </row>
    <row r="48" spans="1:14" x14ac:dyDescent="0.25">
      <c r="A48" s="21" t="s">
        <v>8540</v>
      </c>
      <c r="B48" s="22" t="s">
        <v>8541</v>
      </c>
      <c r="C48" s="2">
        <v>3</v>
      </c>
      <c r="D48" s="23">
        <v>21.99</v>
      </c>
      <c r="E48" s="3">
        <v>65.97</v>
      </c>
      <c r="F48" s="2" t="s">
        <v>18024</v>
      </c>
      <c r="G48" s="22" t="s">
        <v>19342</v>
      </c>
      <c r="H48" s="24" t="s">
        <v>19478</v>
      </c>
      <c r="I48" s="22" t="s">
        <v>19309</v>
      </c>
      <c r="J48" s="22" t="s">
        <v>19696</v>
      </c>
      <c r="K48" s="22" t="s">
        <v>19965</v>
      </c>
      <c r="L48" s="22"/>
      <c r="M48" s="22"/>
      <c r="N48" s="25" t="str">
        <f>HYPERLINK("http://slimages.macys.com/is/image/MCY/21708519 ")</f>
        <v xml:space="preserve">http://slimages.macys.com/is/image/MCY/21708519 </v>
      </c>
    </row>
    <row r="49" spans="1:14" x14ac:dyDescent="0.25">
      <c r="A49" s="21" t="s">
        <v>8542</v>
      </c>
      <c r="B49" s="22" t="s">
        <v>8543</v>
      </c>
      <c r="C49" s="2">
        <v>24</v>
      </c>
      <c r="D49" s="23">
        <v>21.99</v>
      </c>
      <c r="E49" s="3">
        <v>527.76</v>
      </c>
      <c r="F49" s="2" t="s">
        <v>8070</v>
      </c>
      <c r="G49" s="22" t="s">
        <v>19342</v>
      </c>
      <c r="H49" s="24" t="s">
        <v>19395</v>
      </c>
      <c r="I49" s="22" t="s">
        <v>19309</v>
      </c>
      <c r="J49" s="22" t="s">
        <v>19696</v>
      </c>
      <c r="K49" s="22" t="s">
        <v>19965</v>
      </c>
      <c r="L49" s="22"/>
      <c r="M49" s="22"/>
      <c r="N49" s="25" t="str">
        <f>HYPERLINK("http://slimages.macys.com/is/image/MCY/21540670 ")</f>
        <v xml:space="preserve">http://slimages.macys.com/is/image/MCY/21540670 </v>
      </c>
    </row>
    <row r="50" spans="1:14" x14ac:dyDescent="0.25">
      <c r="A50" s="21" t="s">
        <v>8068</v>
      </c>
      <c r="B50" s="22" t="s">
        <v>8069</v>
      </c>
      <c r="C50" s="2">
        <v>18</v>
      </c>
      <c r="D50" s="23">
        <v>21.99</v>
      </c>
      <c r="E50" s="3">
        <v>395.82</v>
      </c>
      <c r="F50" s="2" t="s">
        <v>8070</v>
      </c>
      <c r="G50" s="22" t="s">
        <v>19342</v>
      </c>
      <c r="H50" s="24" t="s">
        <v>19542</v>
      </c>
      <c r="I50" s="22" t="s">
        <v>19309</v>
      </c>
      <c r="J50" s="22" t="s">
        <v>19696</v>
      </c>
      <c r="K50" s="22" t="s">
        <v>19965</v>
      </c>
      <c r="L50" s="22"/>
      <c r="M50" s="22"/>
      <c r="N50" s="25" t="str">
        <f>HYPERLINK("http://slimages.macys.com/is/image/MCY/21540670 ")</f>
        <v xml:space="preserve">http://slimages.macys.com/is/image/MCY/21540670 </v>
      </c>
    </row>
    <row r="51" spans="1:14" x14ac:dyDescent="0.25">
      <c r="A51" s="21" t="s">
        <v>8544</v>
      </c>
      <c r="B51" s="22" t="s">
        <v>8545</v>
      </c>
      <c r="C51" s="2">
        <v>12</v>
      </c>
      <c r="D51" s="23">
        <v>21.99</v>
      </c>
      <c r="E51" s="3">
        <v>263.88</v>
      </c>
      <c r="F51" s="2" t="s">
        <v>8067</v>
      </c>
      <c r="G51" s="22" t="s">
        <v>19342</v>
      </c>
      <c r="H51" s="24"/>
      <c r="I51" s="22" t="s">
        <v>19309</v>
      </c>
      <c r="J51" s="22" t="s">
        <v>19696</v>
      </c>
      <c r="K51" s="22" t="s">
        <v>19965</v>
      </c>
      <c r="L51" s="22"/>
      <c r="M51" s="22"/>
      <c r="N51" s="25" t="str">
        <f>HYPERLINK("http://slimages.macys.com/is/image/MCY/21497276 ")</f>
        <v xml:space="preserve">http://slimages.macys.com/is/image/MCY/21497276 </v>
      </c>
    </row>
    <row r="52" spans="1:14" x14ac:dyDescent="0.25">
      <c r="A52" s="21" t="s">
        <v>8546</v>
      </c>
      <c r="B52" s="22" t="s">
        <v>8547</v>
      </c>
      <c r="C52" s="2">
        <v>42</v>
      </c>
      <c r="D52" s="23">
        <v>21.99</v>
      </c>
      <c r="E52" s="3">
        <v>923.58</v>
      </c>
      <c r="F52" s="2" t="s">
        <v>8070</v>
      </c>
      <c r="G52" s="22" t="s">
        <v>19342</v>
      </c>
      <c r="H52" s="24" t="s">
        <v>19478</v>
      </c>
      <c r="I52" s="22" t="s">
        <v>19309</v>
      </c>
      <c r="J52" s="22" t="s">
        <v>19696</v>
      </c>
      <c r="K52" s="22" t="s">
        <v>19965</v>
      </c>
      <c r="L52" s="22"/>
      <c r="M52" s="22"/>
      <c r="N52" s="25" t="str">
        <f>HYPERLINK("http://slimages.macys.com/is/image/MCY/21540670 ")</f>
        <v xml:space="preserve">http://slimages.macys.com/is/image/MCY/21540670 </v>
      </c>
    </row>
    <row r="53" spans="1:14" ht="24.75" x14ac:dyDescent="0.25">
      <c r="A53" s="21" t="s">
        <v>8548</v>
      </c>
      <c r="B53" s="22" t="s">
        <v>8549</v>
      </c>
      <c r="C53" s="2">
        <v>1</v>
      </c>
      <c r="D53" s="23">
        <v>22.99</v>
      </c>
      <c r="E53" s="3">
        <v>22.99</v>
      </c>
      <c r="F53" s="2" t="s">
        <v>8550</v>
      </c>
      <c r="G53" s="22" t="s">
        <v>19333</v>
      </c>
      <c r="H53" s="24" t="s">
        <v>19501</v>
      </c>
      <c r="I53" s="22" t="s">
        <v>19309</v>
      </c>
      <c r="J53" s="22" t="s">
        <v>19400</v>
      </c>
      <c r="K53" s="22" t="s">
        <v>19423</v>
      </c>
      <c r="L53" s="22"/>
      <c r="M53" s="22"/>
      <c r="N53" s="25" t="str">
        <f>HYPERLINK("http://slimages.macys.com/is/image/MCY/18823386 ")</f>
        <v xml:space="preserve">http://slimages.macys.com/is/image/MCY/18823386 </v>
      </c>
    </row>
    <row r="54" spans="1:14" ht="24.75" x14ac:dyDescent="0.25">
      <c r="A54" s="21" t="s">
        <v>8551</v>
      </c>
      <c r="B54" s="22" t="s">
        <v>8552</v>
      </c>
      <c r="C54" s="2">
        <v>2</v>
      </c>
      <c r="D54" s="23">
        <v>19.989999999999998</v>
      </c>
      <c r="E54" s="3">
        <v>39.979999999999997</v>
      </c>
      <c r="F54" s="2" t="s">
        <v>8553</v>
      </c>
      <c r="G54" s="22" t="s">
        <v>19342</v>
      </c>
      <c r="H54" s="24" t="s">
        <v>19324</v>
      </c>
      <c r="I54" s="22" t="s">
        <v>19309</v>
      </c>
      <c r="J54" s="22" t="s">
        <v>19385</v>
      </c>
      <c r="K54" s="22" t="s">
        <v>18064</v>
      </c>
      <c r="L54" s="22"/>
      <c r="M54" s="22"/>
      <c r="N54" s="25" t="str">
        <f>HYPERLINK("http://slimages.macys.com/is/image/MCY/20876789 ")</f>
        <v xml:space="preserve">http://slimages.macys.com/is/image/MCY/20876789 </v>
      </c>
    </row>
    <row r="55" spans="1:14" ht="24.75" x14ac:dyDescent="0.25">
      <c r="A55" s="21" t="s">
        <v>8554</v>
      </c>
      <c r="B55" s="22" t="s">
        <v>8555</v>
      </c>
      <c r="C55" s="2">
        <v>18</v>
      </c>
      <c r="D55" s="23">
        <v>22.99</v>
      </c>
      <c r="E55" s="3">
        <v>413.82</v>
      </c>
      <c r="F55" s="2" t="s">
        <v>8556</v>
      </c>
      <c r="G55" s="22" t="s">
        <v>19338</v>
      </c>
      <c r="H55" s="24" t="s">
        <v>19797</v>
      </c>
      <c r="I55" s="22" t="s">
        <v>19309</v>
      </c>
      <c r="J55" s="22" t="s">
        <v>19849</v>
      </c>
      <c r="K55" s="22" t="s">
        <v>20220</v>
      </c>
      <c r="L55" s="22"/>
      <c r="M55" s="22"/>
      <c r="N55" s="25" t="str">
        <f>HYPERLINK("http://slimages.macys.com/is/image/MCY/20007916 ")</f>
        <v xml:space="preserve">http://slimages.macys.com/is/image/MCY/20007916 </v>
      </c>
    </row>
    <row r="56" spans="1:14" x14ac:dyDescent="0.25">
      <c r="A56" s="21" t="s">
        <v>12039</v>
      </c>
      <c r="B56" s="22" t="s">
        <v>12040</v>
      </c>
      <c r="C56" s="2">
        <v>11</v>
      </c>
      <c r="D56" s="23">
        <v>18.989999999999998</v>
      </c>
      <c r="E56" s="3">
        <v>208.89</v>
      </c>
      <c r="F56" s="2" t="s">
        <v>12038</v>
      </c>
      <c r="G56" s="22" t="s">
        <v>19467</v>
      </c>
      <c r="H56" s="24"/>
      <c r="I56" s="22" t="s">
        <v>19309</v>
      </c>
      <c r="J56" s="22" t="s">
        <v>19696</v>
      </c>
      <c r="K56" s="22" t="s">
        <v>18094</v>
      </c>
      <c r="L56" s="22"/>
      <c r="M56" s="22"/>
      <c r="N56" s="25" t="str">
        <f>HYPERLINK("http://slimages.macys.com/is/image/MCY/21408518 ")</f>
        <v xml:space="preserve">http://slimages.macys.com/is/image/MCY/21408518 </v>
      </c>
    </row>
    <row r="57" spans="1:14" x14ac:dyDescent="0.25">
      <c r="A57" s="21" t="s">
        <v>8557</v>
      </c>
      <c r="B57" s="22" t="s">
        <v>8558</v>
      </c>
      <c r="C57" s="2">
        <v>1</v>
      </c>
      <c r="D57" s="23">
        <v>19.989999999999998</v>
      </c>
      <c r="E57" s="3">
        <v>19.989999999999998</v>
      </c>
      <c r="F57" s="2" t="s">
        <v>8559</v>
      </c>
      <c r="G57" s="22" t="s">
        <v>19342</v>
      </c>
      <c r="H57" s="24" t="s">
        <v>19478</v>
      </c>
      <c r="I57" s="22" t="s">
        <v>19309</v>
      </c>
      <c r="J57" s="22" t="s">
        <v>19696</v>
      </c>
      <c r="K57" s="22" t="s">
        <v>19965</v>
      </c>
      <c r="L57" s="22"/>
      <c r="M57" s="22"/>
      <c r="N57" s="25" t="str">
        <f>HYPERLINK("http://slimages.macys.com/is/image/MCY/20662530 ")</f>
        <v xml:space="preserve">http://slimages.macys.com/is/image/MCY/20662530 </v>
      </c>
    </row>
    <row r="58" spans="1:14" x14ac:dyDescent="0.25">
      <c r="A58" s="21" t="s">
        <v>8560</v>
      </c>
      <c r="B58" s="22" t="s">
        <v>8561</v>
      </c>
      <c r="C58" s="2">
        <v>66</v>
      </c>
      <c r="D58" s="23">
        <v>19.989999999999998</v>
      </c>
      <c r="E58" s="3">
        <v>1319.34</v>
      </c>
      <c r="F58" s="2" t="s">
        <v>15998</v>
      </c>
      <c r="G58" s="22" t="s">
        <v>19342</v>
      </c>
      <c r="H58" s="24" t="s">
        <v>19478</v>
      </c>
      <c r="I58" s="22" t="s">
        <v>19309</v>
      </c>
      <c r="J58" s="22" t="s">
        <v>19696</v>
      </c>
      <c r="K58" s="22" t="s">
        <v>19965</v>
      </c>
      <c r="L58" s="22"/>
      <c r="M58" s="22"/>
      <c r="N58" s="25" t="str">
        <f>HYPERLINK("http://slimages.macys.com/is/image/MCY/20662562 ")</f>
        <v xml:space="preserve">http://slimages.macys.com/is/image/MCY/20662562 </v>
      </c>
    </row>
    <row r="59" spans="1:14" ht="24.75" x14ac:dyDescent="0.25">
      <c r="A59" s="21" t="s">
        <v>8562</v>
      </c>
      <c r="B59" s="22" t="s">
        <v>8563</v>
      </c>
      <c r="C59" s="2">
        <v>2</v>
      </c>
      <c r="D59" s="23">
        <v>25</v>
      </c>
      <c r="E59" s="3">
        <v>50</v>
      </c>
      <c r="F59" s="2" t="s">
        <v>9527</v>
      </c>
      <c r="G59" s="22" t="s">
        <v>19333</v>
      </c>
      <c r="H59" s="24" t="s">
        <v>19352</v>
      </c>
      <c r="I59" s="22" t="s">
        <v>19309</v>
      </c>
      <c r="J59" s="22" t="s">
        <v>19559</v>
      </c>
      <c r="K59" s="22" t="s">
        <v>13057</v>
      </c>
      <c r="L59" s="22"/>
      <c r="M59" s="22"/>
      <c r="N59" s="25" t="str">
        <f>HYPERLINK("http://slimages.macys.com/is/image/MCY/21443646 ")</f>
        <v xml:space="preserve">http://slimages.macys.com/is/image/MCY/21443646 </v>
      </c>
    </row>
    <row r="60" spans="1:14" ht="24.75" x14ac:dyDescent="0.25">
      <c r="A60" s="21" t="s">
        <v>8564</v>
      </c>
      <c r="B60" s="22" t="s">
        <v>8565</v>
      </c>
      <c r="C60" s="2">
        <v>9</v>
      </c>
      <c r="D60" s="23">
        <v>20</v>
      </c>
      <c r="E60" s="3">
        <v>180</v>
      </c>
      <c r="F60" s="2" t="s">
        <v>9530</v>
      </c>
      <c r="G60" s="22" t="s">
        <v>19422</v>
      </c>
      <c r="H60" s="24" t="s">
        <v>19324</v>
      </c>
      <c r="I60" s="22" t="s">
        <v>19309</v>
      </c>
      <c r="J60" s="22" t="s">
        <v>19417</v>
      </c>
      <c r="K60" s="22" t="s">
        <v>19854</v>
      </c>
      <c r="L60" s="22"/>
      <c r="M60" s="22"/>
      <c r="N60" s="25" t="str">
        <f>HYPERLINK("http://slimages.macys.com/is/image/MCY/21370109 ")</f>
        <v xml:space="preserve">http://slimages.macys.com/is/image/MCY/21370109 </v>
      </c>
    </row>
    <row r="61" spans="1:14" ht="24.75" x14ac:dyDescent="0.25">
      <c r="A61" s="21" t="s">
        <v>8566</v>
      </c>
      <c r="B61" s="22" t="s">
        <v>8567</v>
      </c>
      <c r="C61" s="2">
        <v>13</v>
      </c>
      <c r="D61" s="23">
        <v>20</v>
      </c>
      <c r="E61" s="3">
        <v>260</v>
      </c>
      <c r="F61" s="2" t="s">
        <v>9530</v>
      </c>
      <c r="G61" s="22" t="s">
        <v>19422</v>
      </c>
      <c r="H61" s="24" t="s">
        <v>20159</v>
      </c>
      <c r="I61" s="22" t="s">
        <v>19309</v>
      </c>
      <c r="J61" s="22" t="s">
        <v>19417</v>
      </c>
      <c r="K61" s="22" t="s">
        <v>19854</v>
      </c>
      <c r="L61" s="22"/>
      <c r="M61" s="22"/>
      <c r="N61" s="25" t="str">
        <f>HYPERLINK("http://slimages.macys.com/is/image/MCY/21370109 ")</f>
        <v xml:space="preserve">http://slimages.macys.com/is/image/MCY/21370109 </v>
      </c>
    </row>
    <row r="62" spans="1:14" ht="24.75" x14ac:dyDescent="0.25">
      <c r="A62" s="21" t="s">
        <v>8568</v>
      </c>
      <c r="B62" s="22" t="s">
        <v>8569</v>
      </c>
      <c r="C62" s="2">
        <v>9</v>
      </c>
      <c r="D62" s="23">
        <v>20</v>
      </c>
      <c r="E62" s="3">
        <v>180</v>
      </c>
      <c r="F62" s="2" t="s">
        <v>9530</v>
      </c>
      <c r="G62" s="22" t="s">
        <v>19422</v>
      </c>
      <c r="H62" s="24" t="s">
        <v>19367</v>
      </c>
      <c r="I62" s="22" t="s">
        <v>19309</v>
      </c>
      <c r="J62" s="22" t="s">
        <v>19417</v>
      </c>
      <c r="K62" s="22" t="s">
        <v>19854</v>
      </c>
      <c r="L62" s="22"/>
      <c r="M62" s="22"/>
      <c r="N62" s="25" t="str">
        <f>HYPERLINK("http://slimages.macys.com/is/image/MCY/21370109 ")</f>
        <v xml:space="preserve">http://slimages.macys.com/is/image/MCY/21370109 </v>
      </c>
    </row>
    <row r="63" spans="1:14" x14ac:dyDescent="0.25">
      <c r="A63" s="21" t="s">
        <v>8570</v>
      </c>
      <c r="B63" s="22" t="s">
        <v>8571</v>
      </c>
      <c r="C63" s="2">
        <v>18</v>
      </c>
      <c r="D63" s="23">
        <v>24.99</v>
      </c>
      <c r="E63" s="3">
        <v>449.82</v>
      </c>
      <c r="F63" s="2" t="s">
        <v>11633</v>
      </c>
      <c r="G63" s="22" t="s">
        <v>19674</v>
      </c>
      <c r="H63" s="24" t="s">
        <v>19797</v>
      </c>
      <c r="I63" s="22" t="s">
        <v>19309</v>
      </c>
      <c r="J63" s="22" t="s">
        <v>19849</v>
      </c>
      <c r="K63" s="22" t="s">
        <v>19850</v>
      </c>
      <c r="L63" s="22"/>
      <c r="M63" s="22"/>
      <c r="N63" s="25" t="str">
        <f>HYPERLINK("http://slimages.macys.com/is/image/MCY/20549494 ")</f>
        <v xml:space="preserve">http://slimages.macys.com/is/image/MCY/20549494 </v>
      </c>
    </row>
    <row r="64" spans="1:14" x14ac:dyDescent="0.25">
      <c r="A64" s="21" t="s">
        <v>11631</v>
      </c>
      <c r="B64" s="22" t="s">
        <v>11632</v>
      </c>
      <c r="C64" s="2">
        <v>16</v>
      </c>
      <c r="D64" s="23">
        <v>24.99</v>
      </c>
      <c r="E64" s="3">
        <v>399.84</v>
      </c>
      <c r="F64" s="2" t="s">
        <v>11633</v>
      </c>
      <c r="G64" s="22" t="s">
        <v>19674</v>
      </c>
      <c r="H64" s="24" t="s">
        <v>19364</v>
      </c>
      <c r="I64" s="22" t="s">
        <v>19309</v>
      </c>
      <c r="J64" s="22" t="s">
        <v>19849</v>
      </c>
      <c r="K64" s="22" t="s">
        <v>19850</v>
      </c>
      <c r="L64" s="22"/>
      <c r="M64" s="22"/>
      <c r="N64" s="25" t="str">
        <f>HYPERLINK("http://slimages.macys.com/is/image/MCY/20549494 ")</f>
        <v xml:space="preserve">http://slimages.macys.com/is/image/MCY/20549494 </v>
      </c>
    </row>
    <row r="65" spans="1:14" x14ac:dyDescent="0.25">
      <c r="A65" s="21" t="s">
        <v>8572</v>
      </c>
      <c r="B65" s="22" t="s">
        <v>8573</v>
      </c>
      <c r="C65" s="2">
        <v>18</v>
      </c>
      <c r="D65" s="23">
        <v>21.99</v>
      </c>
      <c r="E65" s="3">
        <v>395.82</v>
      </c>
      <c r="F65" s="2" t="s">
        <v>8574</v>
      </c>
      <c r="G65" s="22" t="s">
        <v>19315</v>
      </c>
      <c r="H65" s="24" t="s">
        <v>19352</v>
      </c>
      <c r="I65" s="22" t="s">
        <v>19309</v>
      </c>
      <c r="J65" s="22" t="s">
        <v>19849</v>
      </c>
      <c r="K65" s="22" t="s">
        <v>19850</v>
      </c>
      <c r="L65" s="22"/>
      <c r="M65" s="22"/>
      <c r="N65" s="25" t="str">
        <f>HYPERLINK("http://slimages.macys.com/is/image/MCY/19975559 ")</f>
        <v xml:space="preserve">http://slimages.macys.com/is/image/MCY/19975559 </v>
      </c>
    </row>
    <row r="66" spans="1:14" x14ac:dyDescent="0.25">
      <c r="A66" s="21" t="s">
        <v>8575</v>
      </c>
      <c r="B66" s="22" t="s">
        <v>8576</v>
      </c>
      <c r="C66" s="2">
        <v>1</v>
      </c>
      <c r="D66" s="23">
        <v>30</v>
      </c>
      <c r="E66" s="3">
        <v>30</v>
      </c>
      <c r="F66" s="2" t="s">
        <v>8577</v>
      </c>
      <c r="G66" s="22" t="s">
        <v>19635</v>
      </c>
      <c r="H66" s="24" t="s">
        <v>19384</v>
      </c>
      <c r="I66" s="22" t="s">
        <v>19309</v>
      </c>
      <c r="J66" s="22" t="s">
        <v>19417</v>
      </c>
      <c r="K66" s="22" t="s">
        <v>18317</v>
      </c>
      <c r="L66" s="22"/>
      <c r="M66" s="22"/>
      <c r="N66" s="25" t="str">
        <f>HYPERLINK("http://slimages.macys.com/is/image/MCY/18883504 ")</f>
        <v xml:space="preserve">http://slimages.macys.com/is/image/MCY/18883504 </v>
      </c>
    </row>
    <row r="67" spans="1:14" ht="24.75" x14ac:dyDescent="0.25">
      <c r="A67" s="21" t="s">
        <v>8087</v>
      </c>
      <c r="B67" s="22" t="s">
        <v>8088</v>
      </c>
      <c r="C67" s="2">
        <v>14</v>
      </c>
      <c r="D67" s="23">
        <v>15.99</v>
      </c>
      <c r="E67" s="3">
        <v>223.86</v>
      </c>
      <c r="F67" s="2" t="s">
        <v>9539</v>
      </c>
      <c r="G67" s="22" t="s">
        <v>19333</v>
      </c>
      <c r="H67" s="24" t="s">
        <v>19392</v>
      </c>
      <c r="I67" s="22" t="s">
        <v>19309</v>
      </c>
      <c r="J67" s="22" t="s">
        <v>19519</v>
      </c>
      <c r="K67" s="22" t="s">
        <v>17725</v>
      </c>
      <c r="L67" s="22"/>
      <c r="M67" s="22"/>
      <c r="N67" s="25" t="str">
        <f>HYPERLINK("http://slimages.macys.com/is/image/MCY/21141716 ")</f>
        <v xml:space="preserve">http://slimages.macys.com/is/image/MCY/21141716 </v>
      </c>
    </row>
    <row r="68" spans="1:14" ht="24.75" x14ac:dyDescent="0.25">
      <c r="A68" s="21" t="s">
        <v>8258</v>
      </c>
      <c r="B68" s="22" t="s">
        <v>8259</v>
      </c>
      <c r="C68" s="2">
        <v>6</v>
      </c>
      <c r="D68" s="23">
        <v>15.99</v>
      </c>
      <c r="E68" s="3">
        <v>95.94</v>
      </c>
      <c r="F68" s="2" t="s">
        <v>9539</v>
      </c>
      <c r="G68" s="22" t="s">
        <v>19333</v>
      </c>
      <c r="H68" s="24" t="s">
        <v>19334</v>
      </c>
      <c r="I68" s="22" t="s">
        <v>19309</v>
      </c>
      <c r="J68" s="22" t="s">
        <v>19519</v>
      </c>
      <c r="K68" s="22" t="s">
        <v>17725</v>
      </c>
      <c r="L68" s="22"/>
      <c r="M68" s="22"/>
      <c r="N68" s="25" t="str">
        <f>HYPERLINK("http://slimages.macys.com/is/image/MCY/21141716 ")</f>
        <v xml:space="preserve">http://slimages.macys.com/is/image/MCY/21141716 </v>
      </c>
    </row>
    <row r="69" spans="1:14" ht="24.75" x14ac:dyDescent="0.25">
      <c r="A69" s="21" t="s">
        <v>9537</v>
      </c>
      <c r="B69" s="22" t="s">
        <v>9538</v>
      </c>
      <c r="C69" s="2">
        <v>2</v>
      </c>
      <c r="D69" s="23">
        <v>15.99</v>
      </c>
      <c r="E69" s="3">
        <v>31.98</v>
      </c>
      <c r="F69" s="2" t="s">
        <v>9539</v>
      </c>
      <c r="G69" s="22" t="s">
        <v>19333</v>
      </c>
      <c r="H69" s="24" t="s">
        <v>19345</v>
      </c>
      <c r="I69" s="22" t="s">
        <v>19309</v>
      </c>
      <c r="J69" s="22" t="s">
        <v>19519</v>
      </c>
      <c r="K69" s="22" t="s">
        <v>17725</v>
      </c>
      <c r="L69" s="22"/>
      <c r="M69" s="22"/>
      <c r="N69" s="25" t="str">
        <f>HYPERLINK("http://slimages.macys.com/is/image/MCY/21141716 ")</f>
        <v xml:space="preserve">http://slimages.macys.com/is/image/MCY/21141716 </v>
      </c>
    </row>
    <row r="70" spans="1:14" x14ac:dyDescent="0.25">
      <c r="A70" s="21" t="s">
        <v>8431</v>
      </c>
      <c r="B70" s="22" t="s">
        <v>8432</v>
      </c>
      <c r="C70" s="2">
        <v>11</v>
      </c>
      <c r="D70" s="23">
        <v>17.989999999999998</v>
      </c>
      <c r="E70" s="3">
        <v>197.89</v>
      </c>
      <c r="F70" s="2" t="s">
        <v>8433</v>
      </c>
      <c r="G70" s="22" t="s">
        <v>19342</v>
      </c>
      <c r="H70" s="24" t="s">
        <v>19334</v>
      </c>
      <c r="I70" s="22" t="s">
        <v>19309</v>
      </c>
      <c r="J70" s="22" t="s">
        <v>19696</v>
      </c>
      <c r="K70" s="22" t="s">
        <v>19697</v>
      </c>
      <c r="L70" s="22"/>
      <c r="M70" s="22"/>
      <c r="N70" s="25" t="str">
        <f>HYPERLINK("http://slimages.macys.com/is/image/MCY/21622678 ")</f>
        <v xml:space="preserve">http://slimages.macys.com/is/image/MCY/21622678 </v>
      </c>
    </row>
    <row r="71" spans="1:14" x14ac:dyDescent="0.25">
      <c r="A71" s="21" t="s">
        <v>11010</v>
      </c>
      <c r="B71" s="22" t="s">
        <v>11011</v>
      </c>
      <c r="C71" s="2">
        <v>12</v>
      </c>
      <c r="D71" s="23">
        <v>17.989999999999998</v>
      </c>
      <c r="E71" s="3">
        <v>215.88</v>
      </c>
      <c r="F71" s="2" t="s">
        <v>11012</v>
      </c>
      <c r="G71" s="22" t="s">
        <v>19342</v>
      </c>
      <c r="H71" s="24" t="s">
        <v>19345</v>
      </c>
      <c r="I71" s="22" t="s">
        <v>19309</v>
      </c>
      <c r="J71" s="22" t="s">
        <v>19696</v>
      </c>
      <c r="K71" s="22" t="s">
        <v>19697</v>
      </c>
      <c r="L71" s="22"/>
      <c r="M71" s="22"/>
      <c r="N71" s="25" t="str">
        <f>HYPERLINK("http://slimages.macys.com/is/image/MCY/21642765 ")</f>
        <v xml:space="preserve">http://slimages.macys.com/is/image/MCY/21642765 </v>
      </c>
    </row>
    <row r="72" spans="1:14" x14ac:dyDescent="0.25">
      <c r="A72" s="21" t="s">
        <v>11013</v>
      </c>
      <c r="B72" s="22" t="s">
        <v>11014</v>
      </c>
      <c r="C72" s="2">
        <v>12</v>
      </c>
      <c r="D72" s="23">
        <v>17.989999999999998</v>
      </c>
      <c r="E72" s="3">
        <v>215.88</v>
      </c>
      <c r="F72" s="2" t="s">
        <v>11012</v>
      </c>
      <c r="G72" s="22" t="s">
        <v>19342</v>
      </c>
      <c r="H72" s="24" t="s">
        <v>19334</v>
      </c>
      <c r="I72" s="22" t="s">
        <v>19309</v>
      </c>
      <c r="J72" s="22" t="s">
        <v>19696</v>
      </c>
      <c r="K72" s="22" t="s">
        <v>19697</v>
      </c>
      <c r="L72" s="22"/>
      <c r="M72" s="22"/>
      <c r="N72" s="25" t="str">
        <f>HYPERLINK("http://slimages.macys.com/is/image/MCY/21642765 ")</f>
        <v xml:space="preserve">http://slimages.macys.com/is/image/MCY/21642765 </v>
      </c>
    </row>
    <row r="73" spans="1:14" ht="24.75" x14ac:dyDescent="0.25">
      <c r="A73" s="21" t="s">
        <v>8578</v>
      </c>
      <c r="B73" s="22" t="s">
        <v>8579</v>
      </c>
      <c r="C73" s="2">
        <v>8</v>
      </c>
      <c r="D73" s="23">
        <v>15.99</v>
      </c>
      <c r="E73" s="3">
        <v>127.92</v>
      </c>
      <c r="F73" s="2">
        <v>10013097200</v>
      </c>
      <c r="G73" s="22" t="s">
        <v>19618</v>
      </c>
      <c r="H73" s="24" t="s">
        <v>19968</v>
      </c>
      <c r="I73" s="22" t="s">
        <v>19309</v>
      </c>
      <c r="J73" s="22" t="s">
        <v>19573</v>
      </c>
      <c r="K73" s="22" t="s">
        <v>19574</v>
      </c>
      <c r="L73" s="22"/>
      <c r="M73" s="22"/>
      <c r="N73" s="25" t="str">
        <f>HYPERLINK("http://slimages.macys.com/is/image/MCY/1006593 ")</f>
        <v xml:space="preserve">http://slimages.macys.com/is/image/MCY/1006593 </v>
      </c>
    </row>
    <row r="74" spans="1:14" x14ac:dyDescent="0.25">
      <c r="A74" s="21" t="s">
        <v>8580</v>
      </c>
      <c r="B74" s="22" t="s">
        <v>8581</v>
      </c>
      <c r="C74" s="2">
        <v>12</v>
      </c>
      <c r="D74" s="23">
        <v>17.059999999999999</v>
      </c>
      <c r="E74" s="3">
        <v>204.72</v>
      </c>
      <c r="F74" s="2" t="s">
        <v>8582</v>
      </c>
      <c r="G74" s="22"/>
      <c r="H74" s="24" t="s">
        <v>20159</v>
      </c>
      <c r="I74" s="22" t="s">
        <v>19309</v>
      </c>
      <c r="J74" s="22" t="s">
        <v>19708</v>
      </c>
      <c r="K74" s="22" t="s">
        <v>19709</v>
      </c>
      <c r="L74" s="22"/>
      <c r="M74" s="22"/>
      <c r="N74" s="25" t="str">
        <f>HYPERLINK("http://slimages.macys.com/is/image/MCY/21422976 ")</f>
        <v xml:space="preserve">http://slimages.macys.com/is/image/MCY/21422976 </v>
      </c>
    </row>
    <row r="75" spans="1:14" x14ac:dyDescent="0.25">
      <c r="A75" s="21" t="s">
        <v>13719</v>
      </c>
      <c r="B75" s="22" t="s">
        <v>13720</v>
      </c>
      <c r="C75" s="2">
        <v>5</v>
      </c>
      <c r="D75" s="23">
        <v>15.99</v>
      </c>
      <c r="E75" s="3">
        <v>79.95</v>
      </c>
      <c r="F75" s="2" t="s">
        <v>20223</v>
      </c>
      <c r="G75" s="22" t="s">
        <v>19674</v>
      </c>
      <c r="H75" s="24" t="s">
        <v>19542</v>
      </c>
      <c r="I75" s="22" t="s">
        <v>19309</v>
      </c>
      <c r="J75" s="22" t="s">
        <v>19849</v>
      </c>
      <c r="K75" s="22" t="s">
        <v>19850</v>
      </c>
      <c r="L75" s="22"/>
      <c r="M75" s="22"/>
      <c r="N75" s="25" t="str">
        <f>HYPERLINK("http://slimages.macys.com/is/image/MCY/20549380 ")</f>
        <v xml:space="preserve">http://slimages.macys.com/is/image/MCY/20549380 </v>
      </c>
    </row>
    <row r="76" spans="1:14" x14ac:dyDescent="0.25">
      <c r="A76" s="21" t="s">
        <v>8583</v>
      </c>
      <c r="B76" s="22" t="s">
        <v>15700</v>
      </c>
      <c r="C76" s="2">
        <v>17</v>
      </c>
      <c r="D76" s="23">
        <v>17.989999999999998</v>
      </c>
      <c r="E76" s="3">
        <v>305.83</v>
      </c>
      <c r="F76" s="2" t="s">
        <v>16098</v>
      </c>
      <c r="G76" s="22" t="s">
        <v>19342</v>
      </c>
      <c r="H76" s="24" t="s">
        <v>19334</v>
      </c>
      <c r="I76" s="22" t="s">
        <v>19309</v>
      </c>
      <c r="J76" s="22" t="s">
        <v>19696</v>
      </c>
      <c r="K76" s="22" t="s">
        <v>19965</v>
      </c>
      <c r="L76" s="22"/>
      <c r="M76" s="22"/>
      <c r="N76" s="25" t="str">
        <f>HYPERLINK("http://slimages.macys.com/is/image/MCY/20662559 ")</f>
        <v xml:space="preserve">http://slimages.macys.com/is/image/MCY/20662559 </v>
      </c>
    </row>
    <row r="77" spans="1:14" ht="24.75" x14ac:dyDescent="0.25">
      <c r="A77" s="21" t="s">
        <v>8584</v>
      </c>
      <c r="B77" s="22" t="s">
        <v>8585</v>
      </c>
      <c r="C77" s="2">
        <v>18</v>
      </c>
      <c r="D77" s="23">
        <v>22.5</v>
      </c>
      <c r="E77" s="3">
        <v>405</v>
      </c>
      <c r="F77" s="2" t="s">
        <v>9553</v>
      </c>
      <c r="G77" s="22" t="s">
        <v>19618</v>
      </c>
      <c r="H77" s="24" t="s">
        <v>19395</v>
      </c>
      <c r="I77" s="22" t="s">
        <v>19309</v>
      </c>
      <c r="J77" s="22" t="s">
        <v>19688</v>
      </c>
      <c r="K77" s="22" t="s">
        <v>19614</v>
      </c>
      <c r="L77" s="22"/>
      <c r="M77" s="22"/>
      <c r="N77" s="25" t="str">
        <f>HYPERLINK("http://slimages.macys.com/is/image/MCY/21035868 ")</f>
        <v xml:space="preserve">http://slimages.macys.com/is/image/MCY/21035868 </v>
      </c>
    </row>
    <row r="78" spans="1:14" ht="24.75" x14ac:dyDescent="0.25">
      <c r="A78" s="21" t="s">
        <v>9551</v>
      </c>
      <c r="B78" s="22" t="s">
        <v>9552</v>
      </c>
      <c r="C78" s="2">
        <v>13</v>
      </c>
      <c r="D78" s="23">
        <v>22.5</v>
      </c>
      <c r="E78" s="3">
        <v>292.5</v>
      </c>
      <c r="F78" s="2" t="s">
        <v>9553</v>
      </c>
      <c r="G78" s="22" t="s">
        <v>19618</v>
      </c>
      <c r="H78" s="24" t="s">
        <v>19334</v>
      </c>
      <c r="I78" s="22" t="s">
        <v>19309</v>
      </c>
      <c r="J78" s="22" t="s">
        <v>19688</v>
      </c>
      <c r="K78" s="22" t="s">
        <v>19614</v>
      </c>
      <c r="L78" s="22"/>
      <c r="M78" s="22"/>
      <c r="N78" s="25" t="str">
        <f>HYPERLINK("http://slimages.macys.com/is/image/MCY/21035866 ")</f>
        <v xml:space="preserve">http://slimages.macys.com/is/image/MCY/21035866 </v>
      </c>
    </row>
    <row r="79" spans="1:14" x14ac:dyDescent="0.25">
      <c r="A79" s="21" t="s">
        <v>8109</v>
      </c>
      <c r="B79" s="22" t="s">
        <v>8110</v>
      </c>
      <c r="C79" s="2">
        <v>6</v>
      </c>
      <c r="D79" s="23">
        <v>30</v>
      </c>
      <c r="E79" s="3">
        <v>180</v>
      </c>
      <c r="F79" s="2" t="s">
        <v>11047</v>
      </c>
      <c r="G79" s="22" t="s">
        <v>19594</v>
      </c>
      <c r="H79" s="24" t="s">
        <v>19384</v>
      </c>
      <c r="I79" s="22" t="s">
        <v>19309</v>
      </c>
      <c r="J79" s="22" t="s">
        <v>19417</v>
      </c>
      <c r="K79" s="22" t="s">
        <v>18317</v>
      </c>
      <c r="L79" s="22"/>
      <c r="M79" s="22"/>
      <c r="N79" s="25" t="str">
        <f>HYPERLINK("http://slimages.macys.com/is/image/MCY/21615012 ")</f>
        <v xml:space="preserve">http://slimages.macys.com/is/image/MCY/21615012 </v>
      </c>
    </row>
    <row r="80" spans="1:14" x14ac:dyDescent="0.25">
      <c r="A80" s="21" t="s">
        <v>10594</v>
      </c>
      <c r="B80" s="22" t="s">
        <v>10595</v>
      </c>
      <c r="C80" s="2">
        <v>3</v>
      </c>
      <c r="D80" s="23">
        <v>24</v>
      </c>
      <c r="E80" s="3">
        <v>72</v>
      </c>
      <c r="F80" s="2" t="s">
        <v>10596</v>
      </c>
      <c r="G80" s="22" t="s">
        <v>19404</v>
      </c>
      <c r="H80" s="24" t="s">
        <v>19538</v>
      </c>
      <c r="I80" s="22" t="s">
        <v>19309</v>
      </c>
      <c r="J80" s="22" t="s">
        <v>19417</v>
      </c>
      <c r="K80" s="22" t="s">
        <v>20110</v>
      </c>
      <c r="L80" s="22"/>
      <c r="M80" s="22"/>
      <c r="N80" s="25" t="str">
        <f>HYPERLINK("http://slimages.macys.com/is/image/MCY/21551777 ")</f>
        <v xml:space="preserve">http://slimages.macys.com/is/image/MCY/21551777 </v>
      </c>
    </row>
    <row r="81" spans="1:14" x14ac:dyDescent="0.25">
      <c r="A81" s="21" t="s">
        <v>10602</v>
      </c>
      <c r="B81" s="22" t="s">
        <v>10603</v>
      </c>
      <c r="C81" s="2">
        <v>15</v>
      </c>
      <c r="D81" s="23">
        <v>24</v>
      </c>
      <c r="E81" s="3">
        <v>360</v>
      </c>
      <c r="F81" s="2" t="s">
        <v>11056</v>
      </c>
      <c r="G81" s="22" t="s">
        <v>18439</v>
      </c>
      <c r="H81" s="24"/>
      <c r="I81" s="22" t="s">
        <v>19309</v>
      </c>
      <c r="J81" s="22" t="s">
        <v>19417</v>
      </c>
      <c r="K81" s="22" t="s">
        <v>20110</v>
      </c>
      <c r="L81" s="22"/>
      <c r="M81" s="22"/>
      <c r="N81" s="25" t="str">
        <f>HYPERLINK("http://slimages.macys.com/is/image/MCY/21400727 ")</f>
        <v xml:space="preserve">http://slimages.macys.com/is/image/MCY/21400727 </v>
      </c>
    </row>
    <row r="82" spans="1:14" ht="24.75" x14ac:dyDescent="0.25">
      <c r="A82" s="21" t="s">
        <v>8097</v>
      </c>
      <c r="B82" s="22" t="s">
        <v>8098</v>
      </c>
      <c r="C82" s="2">
        <v>6</v>
      </c>
      <c r="D82" s="23">
        <v>30</v>
      </c>
      <c r="E82" s="3">
        <v>180</v>
      </c>
      <c r="F82" s="2" t="s">
        <v>8099</v>
      </c>
      <c r="G82" s="22" t="s">
        <v>19333</v>
      </c>
      <c r="H82" s="24"/>
      <c r="I82" s="22" t="s">
        <v>19309</v>
      </c>
      <c r="J82" s="22" t="s">
        <v>19417</v>
      </c>
      <c r="K82" s="22" t="s">
        <v>18317</v>
      </c>
      <c r="L82" s="22"/>
      <c r="M82" s="22"/>
      <c r="N82" s="25" t="str">
        <f>HYPERLINK("http://slimages.macys.com/is/image/MCY/22226509 ")</f>
        <v xml:space="preserve">http://slimages.macys.com/is/image/MCY/22226509 </v>
      </c>
    </row>
    <row r="83" spans="1:14" x14ac:dyDescent="0.25">
      <c r="A83" s="21" t="s">
        <v>8272</v>
      </c>
      <c r="B83" s="22" t="s">
        <v>8273</v>
      </c>
      <c r="C83" s="2">
        <v>12</v>
      </c>
      <c r="D83" s="23">
        <v>30</v>
      </c>
      <c r="E83" s="3">
        <v>360</v>
      </c>
      <c r="F83" s="2" t="s">
        <v>8274</v>
      </c>
      <c r="G83" s="22" t="s">
        <v>19333</v>
      </c>
      <c r="H83" s="24" t="s">
        <v>19324</v>
      </c>
      <c r="I83" s="22" t="s">
        <v>19309</v>
      </c>
      <c r="J83" s="22" t="s">
        <v>19417</v>
      </c>
      <c r="K83" s="22" t="s">
        <v>18317</v>
      </c>
      <c r="L83" s="22"/>
      <c r="M83" s="22"/>
      <c r="N83" s="25" t="str">
        <f>HYPERLINK("http://slimages.macys.com/is/image/MCY/22226507 ")</f>
        <v xml:space="preserve">http://slimages.macys.com/is/image/MCY/22226507 </v>
      </c>
    </row>
    <row r="84" spans="1:14" x14ac:dyDescent="0.25">
      <c r="A84" s="21" t="s">
        <v>8106</v>
      </c>
      <c r="B84" s="22" t="s">
        <v>11049</v>
      </c>
      <c r="C84" s="2">
        <v>6</v>
      </c>
      <c r="D84" s="23">
        <v>30</v>
      </c>
      <c r="E84" s="3">
        <v>180</v>
      </c>
      <c r="F84" s="2" t="s">
        <v>11044</v>
      </c>
      <c r="G84" s="22" t="s">
        <v>19333</v>
      </c>
      <c r="H84" s="24" t="s">
        <v>19538</v>
      </c>
      <c r="I84" s="22" t="s">
        <v>19309</v>
      </c>
      <c r="J84" s="22" t="s">
        <v>19417</v>
      </c>
      <c r="K84" s="22" t="s">
        <v>18317</v>
      </c>
      <c r="L84" s="22"/>
      <c r="M84" s="22"/>
      <c r="N84" s="25" t="str">
        <f>HYPERLINK("http://slimages.macys.com/is/image/MCY/22226519 ")</f>
        <v xml:space="preserve">http://slimages.macys.com/is/image/MCY/22226519 </v>
      </c>
    </row>
    <row r="85" spans="1:14" x14ac:dyDescent="0.25">
      <c r="A85" s="21" t="s">
        <v>8586</v>
      </c>
      <c r="B85" s="22" t="s">
        <v>8587</v>
      </c>
      <c r="C85" s="2">
        <v>2</v>
      </c>
      <c r="D85" s="23">
        <v>24</v>
      </c>
      <c r="E85" s="3">
        <v>48</v>
      </c>
      <c r="F85" s="2" t="s">
        <v>11056</v>
      </c>
      <c r="G85" s="22" t="s">
        <v>18439</v>
      </c>
      <c r="H85" s="24" t="s">
        <v>19538</v>
      </c>
      <c r="I85" s="22" t="s">
        <v>19309</v>
      </c>
      <c r="J85" s="22" t="s">
        <v>19417</v>
      </c>
      <c r="K85" s="22" t="s">
        <v>20110</v>
      </c>
      <c r="L85" s="22"/>
      <c r="M85" s="22"/>
      <c r="N85" s="25" t="str">
        <f>HYPERLINK("http://slimages.macys.com/is/image/MCY/21400727 ")</f>
        <v xml:space="preserve">http://slimages.macys.com/is/image/MCY/21400727 </v>
      </c>
    </row>
    <row r="86" spans="1:14" x14ac:dyDescent="0.25">
      <c r="A86" s="21" t="s">
        <v>10604</v>
      </c>
      <c r="B86" s="22" t="s">
        <v>10605</v>
      </c>
      <c r="C86" s="2">
        <v>1</v>
      </c>
      <c r="D86" s="23">
        <v>24</v>
      </c>
      <c r="E86" s="3">
        <v>24</v>
      </c>
      <c r="F86" s="2" t="s">
        <v>11056</v>
      </c>
      <c r="G86" s="22" t="s">
        <v>18439</v>
      </c>
      <c r="H86" s="24" t="s">
        <v>19770</v>
      </c>
      <c r="I86" s="22" t="s">
        <v>19309</v>
      </c>
      <c r="J86" s="22" t="s">
        <v>19417</v>
      </c>
      <c r="K86" s="22" t="s">
        <v>20110</v>
      </c>
      <c r="L86" s="22"/>
      <c r="M86" s="22"/>
      <c r="N86" s="25" t="str">
        <f>HYPERLINK("http://slimages.macys.com/is/image/MCY/21400727 ")</f>
        <v xml:space="preserve">http://slimages.macys.com/is/image/MCY/21400727 </v>
      </c>
    </row>
    <row r="87" spans="1:14" x14ac:dyDescent="0.25">
      <c r="A87" s="21" t="s">
        <v>8103</v>
      </c>
      <c r="B87" s="22" t="s">
        <v>8104</v>
      </c>
      <c r="C87" s="2">
        <v>6</v>
      </c>
      <c r="D87" s="23">
        <v>30</v>
      </c>
      <c r="E87" s="3">
        <v>180</v>
      </c>
      <c r="F87" s="2" t="s">
        <v>8105</v>
      </c>
      <c r="G87" s="22" t="s">
        <v>19333</v>
      </c>
      <c r="H87" s="24"/>
      <c r="I87" s="22" t="s">
        <v>19309</v>
      </c>
      <c r="J87" s="22" t="s">
        <v>19417</v>
      </c>
      <c r="K87" s="22" t="s">
        <v>18317</v>
      </c>
      <c r="L87" s="22"/>
      <c r="M87" s="22"/>
      <c r="N87" s="25" t="str">
        <f>HYPERLINK("http://slimages.macys.com/is/image/MCY/22226519 ")</f>
        <v xml:space="preserve">http://slimages.macys.com/is/image/MCY/22226519 </v>
      </c>
    </row>
    <row r="88" spans="1:14" x14ac:dyDescent="0.25">
      <c r="A88" s="21" t="s">
        <v>9554</v>
      </c>
      <c r="B88" s="22" t="s">
        <v>11043</v>
      </c>
      <c r="C88" s="2">
        <v>6</v>
      </c>
      <c r="D88" s="23">
        <v>30</v>
      </c>
      <c r="E88" s="3">
        <v>180</v>
      </c>
      <c r="F88" s="2" t="s">
        <v>11050</v>
      </c>
      <c r="G88" s="22" t="s">
        <v>19333</v>
      </c>
      <c r="H88" s="24"/>
      <c r="I88" s="22" t="s">
        <v>19309</v>
      </c>
      <c r="J88" s="22" t="s">
        <v>19417</v>
      </c>
      <c r="K88" s="22" t="s">
        <v>18317</v>
      </c>
      <c r="L88" s="22"/>
      <c r="M88" s="22"/>
      <c r="N88" s="25" t="str">
        <f>HYPERLINK("http://slimages.macys.com/is/image/MCY/22226507 ")</f>
        <v xml:space="preserve">http://slimages.macys.com/is/image/MCY/22226507 </v>
      </c>
    </row>
    <row r="89" spans="1:14" x14ac:dyDescent="0.25">
      <c r="A89" s="21" t="s">
        <v>8100</v>
      </c>
      <c r="B89" s="22" t="s">
        <v>8101</v>
      </c>
      <c r="C89" s="2">
        <v>6</v>
      </c>
      <c r="D89" s="23">
        <v>30</v>
      </c>
      <c r="E89" s="3">
        <v>180</v>
      </c>
      <c r="F89" s="2" t="s">
        <v>8102</v>
      </c>
      <c r="G89" s="22"/>
      <c r="H89" s="24"/>
      <c r="I89" s="22" t="s">
        <v>19309</v>
      </c>
      <c r="J89" s="22" t="s">
        <v>19417</v>
      </c>
      <c r="K89" s="22" t="s">
        <v>18317</v>
      </c>
      <c r="L89" s="22"/>
      <c r="M89" s="22"/>
      <c r="N89" s="25" t="str">
        <f>HYPERLINK("http://slimages.macys.com/is/image/MCY/21615008 ")</f>
        <v xml:space="preserve">http://slimages.macys.com/is/image/MCY/21615008 </v>
      </c>
    </row>
    <row r="90" spans="1:14" x14ac:dyDescent="0.25">
      <c r="A90" s="21" t="s">
        <v>8588</v>
      </c>
      <c r="B90" s="22" t="s">
        <v>8589</v>
      </c>
      <c r="C90" s="2">
        <v>26</v>
      </c>
      <c r="D90" s="23">
        <v>24</v>
      </c>
      <c r="E90" s="3">
        <v>624</v>
      </c>
      <c r="F90" s="2" t="s">
        <v>10596</v>
      </c>
      <c r="G90" s="22" t="s">
        <v>19404</v>
      </c>
      <c r="H90" s="24"/>
      <c r="I90" s="22" t="s">
        <v>19309</v>
      </c>
      <c r="J90" s="22" t="s">
        <v>19417</v>
      </c>
      <c r="K90" s="22" t="s">
        <v>20110</v>
      </c>
      <c r="L90" s="22"/>
      <c r="M90" s="22"/>
      <c r="N90" s="25" t="str">
        <f>HYPERLINK("http://slimages.macys.com/is/image/MCY/21551777 ")</f>
        <v xml:space="preserve">http://slimages.macys.com/is/image/MCY/21551777 </v>
      </c>
    </row>
    <row r="91" spans="1:14" x14ac:dyDescent="0.25">
      <c r="A91" s="21" t="s">
        <v>8107</v>
      </c>
      <c r="B91" s="22" t="s">
        <v>8108</v>
      </c>
      <c r="C91" s="2">
        <v>5</v>
      </c>
      <c r="D91" s="23">
        <v>30</v>
      </c>
      <c r="E91" s="3">
        <v>150</v>
      </c>
      <c r="F91" s="2" t="s">
        <v>11047</v>
      </c>
      <c r="G91" s="22" t="s">
        <v>19594</v>
      </c>
      <c r="H91" s="24"/>
      <c r="I91" s="22" t="s">
        <v>19309</v>
      </c>
      <c r="J91" s="22" t="s">
        <v>19417</v>
      </c>
      <c r="K91" s="22" t="s">
        <v>18317</v>
      </c>
      <c r="L91" s="22"/>
      <c r="M91" s="22"/>
      <c r="N91" s="25" t="str">
        <f>HYPERLINK("http://slimages.macys.com/is/image/MCY/21615012 ")</f>
        <v xml:space="preserve">http://slimages.macys.com/is/image/MCY/21615012 </v>
      </c>
    </row>
    <row r="92" spans="1:14" ht="24.75" x14ac:dyDescent="0.25">
      <c r="A92" s="21" t="s">
        <v>8590</v>
      </c>
      <c r="B92" s="22" t="s">
        <v>8591</v>
      </c>
      <c r="C92" s="2">
        <v>14</v>
      </c>
      <c r="D92" s="23">
        <v>15.99</v>
      </c>
      <c r="E92" s="3">
        <v>223.86</v>
      </c>
      <c r="F92" s="2" t="s">
        <v>8592</v>
      </c>
      <c r="G92" s="22" t="s">
        <v>19674</v>
      </c>
      <c r="H92" s="24" t="s">
        <v>20135</v>
      </c>
      <c r="I92" s="22" t="s">
        <v>19309</v>
      </c>
      <c r="J92" s="22" t="s">
        <v>19573</v>
      </c>
      <c r="K92" s="22" t="s">
        <v>19574</v>
      </c>
      <c r="L92" s="22"/>
      <c r="M92" s="22"/>
      <c r="N92" s="25" t="str">
        <f>HYPERLINK("http://slimages.macys.com/is/image/MCY/22037419 ")</f>
        <v xml:space="preserve">http://slimages.macys.com/is/image/MCY/22037419 </v>
      </c>
    </row>
    <row r="93" spans="1:14" ht="24.75" x14ac:dyDescent="0.25">
      <c r="A93" s="21" t="s">
        <v>8117</v>
      </c>
      <c r="B93" s="22" t="s">
        <v>8118</v>
      </c>
      <c r="C93" s="2">
        <v>12</v>
      </c>
      <c r="D93" s="23">
        <v>24.5</v>
      </c>
      <c r="E93" s="3">
        <v>294</v>
      </c>
      <c r="F93" s="2" t="s">
        <v>9561</v>
      </c>
      <c r="G93" s="22" t="s">
        <v>19351</v>
      </c>
      <c r="H93" s="24" t="s">
        <v>19395</v>
      </c>
      <c r="I93" s="22" t="s">
        <v>19309</v>
      </c>
      <c r="J93" s="22" t="s">
        <v>19688</v>
      </c>
      <c r="K93" s="22" t="s">
        <v>19614</v>
      </c>
      <c r="L93" s="22"/>
      <c r="M93" s="22"/>
      <c r="N93" s="25" t="str">
        <f>HYPERLINK("http://slimages.macys.com/is/image/MCY/21965036 ")</f>
        <v xml:space="preserve">http://slimages.macys.com/is/image/MCY/21965036 </v>
      </c>
    </row>
    <row r="94" spans="1:14" ht="24.75" x14ac:dyDescent="0.25">
      <c r="A94" s="21" t="s">
        <v>8287</v>
      </c>
      <c r="B94" s="22" t="s">
        <v>8288</v>
      </c>
      <c r="C94" s="2">
        <v>13</v>
      </c>
      <c r="D94" s="23">
        <v>22</v>
      </c>
      <c r="E94" s="3">
        <v>286</v>
      </c>
      <c r="F94" s="2" t="s">
        <v>8289</v>
      </c>
      <c r="G94" s="22" t="s">
        <v>18439</v>
      </c>
      <c r="H94" s="24" t="s">
        <v>20109</v>
      </c>
      <c r="I94" s="22" t="s">
        <v>19309</v>
      </c>
      <c r="J94" s="22" t="s">
        <v>19417</v>
      </c>
      <c r="K94" s="22" t="s">
        <v>20110</v>
      </c>
      <c r="L94" s="22"/>
      <c r="M94" s="22"/>
      <c r="N94" s="25" t="str">
        <f>HYPERLINK("http://slimages.macys.com/is/image/MCY/21551774 ")</f>
        <v xml:space="preserve">http://slimages.macys.com/is/image/MCY/21551774 </v>
      </c>
    </row>
    <row r="95" spans="1:14" ht="24.75" x14ac:dyDescent="0.25">
      <c r="A95" s="21" t="s">
        <v>16173</v>
      </c>
      <c r="B95" s="22" t="s">
        <v>16174</v>
      </c>
      <c r="C95" s="2">
        <v>16</v>
      </c>
      <c r="D95" s="23">
        <v>22</v>
      </c>
      <c r="E95" s="3">
        <v>352</v>
      </c>
      <c r="F95" s="2" t="s">
        <v>16175</v>
      </c>
      <c r="G95" s="22" t="s">
        <v>19404</v>
      </c>
      <c r="H95" s="24" t="s">
        <v>20109</v>
      </c>
      <c r="I95" s="22" t="s">
        <v>19309</v>
      </c>
      <c r="J95" s="22" t="s">
        <v>19417</v>
      </c>
      <c r="K95" s="22" t="s">
        <v>20110</v>
      </c>
      <c r="L95" s="22"/>
      <c r="M95" s="22"/>
      <c r="N95" s="25" t="str">
        <f>HYPERLINK("http://slimages.macys.com/is/image/MCY/21735554 ")</f>
        <v xml:space="preserve">http://slimages.macys.com/is/image/MCY/21735554 </v>
      </c>
    </row>
    <row r="96" spans="1:14" x14ac:dyDescent="0.25">
      <c r="A96" s="21" t="s">
        <v>11076</v>
      </c>
      <c r="B96" s="22" t="s">
        <v>11077</v>
      </c>
      <c r="C96" s="2">
        <v>31</v>
      </c>
      <c r="D96" s="23">
        <v>30</v>
      </c>
      <c r="E96" s="3">
        <v>930</v>
      </c>
      <c r="F96" s="2" t="s">
        <v>11078</v>
      </c>
      <c r="G96" s="22" t="s">
        <v>19333</v>
      </c>
      <c r="H96" s="24" t="s">
        <v>19968</v>
      </c>
      <c r="I96" s="22" t="s">
        <v>19309</v>
      </c>
      <c r="J96" s="22" t="s">
        <v>19417</v>
      </c>
      <c r="K96" s="22" t="s">
        <v>18317</v>
      </c>
      <c r="L96" s="22"/>
      <c r="M96" s="22"/>
      <c r="N96" s="25" t="str">
        <f>HYPERLINK("http://slimages.macys.com/is/image/MCY/21614931 ")</f>
        <v xml:space="preserve">http://slimages.macys.com/is/image/MCY/21614931 </v>
      </c>
    </row>
    <row r="97" spans="1:14" ht="24.75" x14ac:dyDescent="0.25">
      <c r="A97" s="21" t="s">
        <v>11085</v>
      </c>
      <c r="B97" s="22" t="s">
        <v>11086</v>
      </c>
      <c r="C97" s="2">
        <v>26</v>
      </c>
      <c r="D97" s="23">
        <v>22.5</v>
      </c>
      <c r="E97" s="3">
        <v>585</v>
      </c>
      <c r="F97" s="2" t="s">
        <v>13234</v>
      </c>
      <c r="G97" s="22" t="s">
        <v>19351</v>
      </c>
      <c r="H97" s="24" t="s">
        <v>19334</v>
      </c>
      <c r="I97" s="22" t="s">
        <v>19309</v>
      </c>
      <c r="J97" s="22" t="s">
        <v>19688</v>
      </c>
      <c r="K97" s="22" t="s">
        <v>19614</v>
      </c>
      <c r="L97" s="22"/>
      <c r="M97" s="22"/>
      <c r="N97" s="25" t="str">
        <f>HYPERLINK("http://slimages.macys.com/is/image/MCY/21035870 ")</f>
        <v xml:space="preserve">http://slimages.macys.com/is/image/MCY/21035870 </v>
      </c>
    </row>
    <row r="98" spans="1:14" ht="24.75" x14ac:dyDescent="0.25">
      <c r="A98" s="21" t="s">
        <v>8593</v>
      </c>
      <c r="B98" s="22" t="s">
        <v>8594</v>
      </c>
      <c r="C98" s="2">
        <v>7</v>
      </c>
      <c r="D98" s="23">
        <v>22.5</v>
      </c>
      <c r="E98" s="3">
        <v>157.5</v>
      </c>
      <c r="F98" s="2" t="s">
        <v>11084</v>
      </c>
      <c r="G98" s="22" t="s">
        <v>19404</v>
      </c>
      <c r="H98" s="24" t="s">
        <v>19334</v>
      </c>
      <c r="I98" s="22" t="s">
        <v>19309</v>
      </c>
      <c r="J98" s="22" t="s">
        <v>19688</v>
      </c>
      <c r="K98" s="22" t="s">
        <v>19614</v>
      </c>
      <c r="L98" s="22"/>
      <c r="M98" s="22"/>
      <c r="N98" s="25" t="str">
        <f>HYPERLINK("http://slimages.macys.com/is/image/MCY/21726761 ")</f>
        <v xml:space="preserve">http://slimages.macys.com/is/image/MCY/21726761 </v>
      </c>
    </row>
    <row r="99" spans="1:14" ht="24.75" x14ac:dyDescent="0.25">
      <c r="A99" s="21" t="s">
        <v>8125</v>
      </c>
      <c r="B99" s="22" t="s">
        <v>8126</v>
      </c>
      <c r="C99" s="2">
        <v>9</v>
      </c>
      <c r="D99" s="23">
        <v>22.5</v>
      </c>
      <c r="E99" s="3">
        <v>202.5</v>
      </c>
      <c r="F99" s="2" t="s">
        <v>13234</v>
      </c>
      <c r="G99" s="22" t="s">
        <v>19351</v>
      </c>
      <c r="H99" s="24" t="s">
        <v>19361</v>
      </c>
      <c r="I99" s="22" t="s">
        <v>19309</v>
      </c>
      <c r="J99" s="22" t="s">
        <v>19688</v>
      </c>
      <c r="K99" s="22" t="s">
        <v>19614</v>
      </c>
      <c r="L99" s="22"/>
      <c r="M99" s="22"/>
      <c r="N99" s="25" t="str">
        <f>HYPERLINK("http://slimages.macys.com/is/image/MCY/21035872 ")</f>
        <v xml:space="preserve">http://slimages.macys.com/is/image/MCY/21035872 </v>
      </c>
    </row>
    <row r="100" spans="1:14" ht="24.75" x14ac:dyDescent="0.25">
      <c r="A100" s="21" t="s">
        <v>9583</v>
      </c>
      <c r="B100" s="22" t="s">
        <v>9584</v>
      </c>
      <c r="C100" s="2">
        <v>17</v>
      </c>
      <c r="D100" s="23">
        <v>22.5</v>
      </c>
      <c r="E100" s="3">
        <v>382.5</v>
      </c>
      <c r="F100" s="2" t="s">
        <v>18338</v>
      </c>
      <c r="G100" s="22" t="s">
        <v>19351</v>
      </c>
      <c r="H100" s="24" t="s">
        <v>19395</v>
      </c>
      <c r="I100" s="22" t="s">
        <v>19309</v>
      </c>
      <c r="J100" s="22" t="s">
        <v>19688</v>
      </c>
      <c r="K100" s="22" t="s">
        <v>19614</v>
      </c>
      <c r="L100" s="22"/>
      <c r="M100" s="22"/>
      <c r="N100" s="25" t="str">
        <f>HYPERLINK("http://slimages.macys.com/is/image/MCY/21035864 ")</f>
        <v xml:space="preserve">http://slimages.macys.com/is/image/MCY/21035864 </v>
      </c>
    </row>
    <row r="101" spans="1:14" ht="24.75" x14ac:dyDescent="0.25">
      <c r="A101" s="21" t="s">
        <v>9587</v>
      </c>
      <c r="B101" s="22" t="s">
        <v>9588</v>
      </c>
      <c r="C101" s="2">
        <v>13</v>
      </c>
      <c r="D101" s="23">
        <v>22.5</v>
      </c>
      <c r="E101" s="3">
        <v>292.5</v>
      </c>
      <c r="F101" s="2" t="s">
        <v>13234</v>
      </c>
      <c r="G101" s="22" t="s">
        <v>19351</v>
      </c>
      <c r="H101" s="24" t="s">
        <v>19432</v>
      </c>
      <c r="I101" s="22" t="s">
        <v>19309</v>
      </c>
      <c r="J101" s="22" t="s">
        <v>19688</v>
      </c>
      <c r="K101" s="22" t="s">
        <v>19614</v>
      </c>
      <c r="L101" s="22"/>
      <c r="M101" s="22"/>
      <c r="N101" s="25" t="str">
        <f>HYPERLINK("http://slimages.macys.com/is/image/MCY/21035872 ")</f>
        <v xml:space="preserve">http://slimages.macys.com/is/image/MCY/21035872 </v>
      </c>
    </row>
    <row r="102" spans="1:14" ht="24.75" x14ac:dyDescent="0.25">
      <c r="A102" s="21" t="s">
        <v>13232</v>
      </c>
      <c r="B102" s="22" t="s">
        <v>13233</v>
      </c>
      <c r="C102" s="2">
        <v>31</v>
      </c>
      <c r="D102" s="23">
        <v>22.5</v>
      </c>
      <c r="E102" s="3">
        <v>697.5</v>
      </c>
      <c r="F102" s="2" t="s">
        <v>13234</v>
      </c>
      <c r="G102" s="22" t="s">
        <v>19351</v>
      </c>
      <c r="H102" s="24" t="s">
        <v>19395</v>
      </c>
      <c r="I102" s="22" t="s">
        <v>19309</v>
      </c>
      <c r="J102" s="22" t="s">
        <v>19688</v>
      </c>
      <c r="K102" s="22" t="s">
        <v>19614</v>
      </c>
      <c r="L102" s="22"/>
      <c r="M102" s="22"/>
      <c r="N102" s="25" t="str">
        <f>HYPERLINK("http://slimages.macys.com/is/image/MCY/21035872 ")</f>
        <v xml:space="preserve">http://slimages.macys.com/is/image/MCY/21035872 </v>
      </c>
    </row>
    <row r="103" spans="1:14" ht="24.75" x14ac:dyDescent="0.25">
      <c r="A103" s="21" t="s">
        <v>8131</v>
      </c>
      <c r="B103" s="22" t="s">
        <v>8132</v>
      </c>
      <c r="C103" s="2">
        <v>13</v>
      </c>
      <c r="D103" s="23">
        <v>22.5</v>
      </c>
      <c r="E103" s="3">
        <v>292.5</v>
      </c>
      <c r="F103" s="2" t="s">
        <v>13234</v>
      </c>
      <c r="G103" s="22" t="s">
        <v>19351</v>
      </c>
      <c r="H103" s="24" t="s">
        <v>19542</v>
      </c>
      <c r="I103" s="22" t="s">
        <v>19309</v>
      </c>
      <c r="J103" s="22" t="s">
        <v>19688</v>
      </c>
      <c r="K103" s="22" t="s">
        <v>19614</v>
      </c>
      <c r="L103" s="22"/>
      <c r="M103" s="22"/>
      <c r="N103" s="25" t="str">
        <f>HYPERLINK("http://slimages.macys.com/is/image/MCY/21035872 ")</f>
        <v xml:space="preserve">http://slimages.macys.com/is/image/MCY/21035872 </v>
      </c>
    </row>
    <row r="104" spans="1:14" ht="24.75" x14ac:dyDescent="0.25">
      <c r="A104" s="21" t="s">
        <v>9581</v>
      </c>
      <c r="B104" s="22" t="s">
        <v>9582</v>
      </c>
      <c r="C104" s="2">
        <v>13</v>
      </c>
      <c r="D104" s="23">
        <v>22.5</v>
      </c>
      <c r="E104" s="3">
        <v>292.5</v>
      </c>
      <c r="F104" s="2" t="s">
        <v>18338</v>
      </c>
      <c r="G104" s="22" t="s">
        <v>19351</v>
      </c>
      <c r="H104" s="24" t="s">
        <v>19345</v>
      </c>
      <c r="I104" s="22" t="s">
        <v>19309</v>
      </c>
      <c r="J104" s="22" t="s">
        <v>19688</v>
      </c>
      <c r="K104" s="22" t="s">
        <v>19614</v>
      </c>
      <c r="L104" s="22"/>
      <c r="M104" s="22"/>
      <c r="N104" s="25" t="str">
        <f>HYPERLINK("http://slimages.macys.com/is/image/MCY/21035862 ")</f>
        <v xml:space="preserve">http://slimages.macys.com/is/image/MCY/21035862 </v>
      </c>
    </row>
    <row r="105" spans="1:14" ht="24.75" x14ac:dyDescent="0.25">
      <c r="A105" s="21" t="s">
        <v>8127</v>
      </c>
      <c r="B105" s="22" t="s">
        <v>8128</v>
      </c>
      <c r="C105" s="2">
        <v>22</v>
      </c>
      <c r="D105" s="23">
        <v>22.5</v>
      </c>
      <c r="E105" s="3">
        <v>495</v>
      </c>
      <c r="F105" s="2" t="s">
        <v>18338</v>
      </c>
      <c r="G105" s="22" t="s">
        <v>19351</v>
      </c>
      <c r="H105" s="24" t="s">
        <v>19361</v>
      </c>
      <c r="I105" s="22" t="s">
        <v>19309</v>
      </c>
      <c r="J105" s="22" t="s">
        <v>19688</v>
      </c>
      <c r="K105" s="22" t="s">
        <v>19614</v>
      </c>
      <c r="L105" s="22"/>
      <c r="M105" s="22"/>
      <c r="N105" s="25" t="str">
        <f>HYPERLINK("http://slimages.macys.com/is/image/MCY/21035864 ")</f>
        <v xml:space="preserve">http://slimages.macys.com/is/image/MCY/21035864 </v>
      </c>
    </row>
    <row r="106" spans="1:14" ht="24.75" x14ac:dyDescent="0.25">
      <c r="A106" s="21" t="s">
        <v>18336</v>
      </c>
      <c r="B106" s="22" t="s">
        <v>18337</v>
      </c>
      <c r="C106" s="2">
        <v>36</v>
      </c>
      <c r="D106" s="23">
        <v>22.5</v>
      </c>
      <c r="E106" s="3">
        <v>810</v>
      </c>
      <c r="F106" s="2" t="s">
        <v>18338</v>
      </c>
      <c r="G106" s="22" t="s">
        <v>19351</v>
      </c>
      <c r="H106" s="24" t="s">
        <v>19334</v>
      </c>
      <c r="I106" s="22" t="s">
        <v>19309</v>
      </c>
      <c r="J106" s="22" t="s">
        <v>19688</v>
      </c>
      <c r="K106" s="22" t="s">
        <v>19614</v>
      </c>
      <c r="L106" s="22"/>
      <c r="M106" s="22"/>
      <c r="N106" s="25" t="str">
        <f>HYPERLINK("http://slimages.macys.com/is/image/MCY/21035862 ")</f>
        <v xml:space="preserve">http://slimages.macys.com/is/image/MCY/21035862 </v>
      </c>
    </row>
    <row r="107" spans="1:14" ht="24.75" x14ac:dyDescent="0.25">
      <c r="A107" s="21" t="s">
        <v>8123</v>
      </c>
      <c r="B107" s="22" t="s">
        <v>8124</v>
      </c>
      <c r="C107" s="2">
        <v>28</v>
      </c>
      <c r="D107" s="23">
        <v>22.5</v>
      </c>
      <c r="E107" s="3">
        <v>630</v>
      </c>
      <c r="F107" s="2" t="s">
        <v>13234</v>
      </c>
      <c r="G107" s="22" t="s">
        <v>19351</v>
      </c>
      <c r="H107" s="24" t="s">
        <v>19345</v>
      </c>
      <c r="I107" s="22" t="s">
        <v>19309</v>
      </c>
      <c r="J107" s="22" t="s">
        <v>19688</v>
      </c>
      <c r="K107" s="22" t="s">
        <v>19614</v>
      </c>
      <c r="L107" s="22"/>
      <c r="M107" s="22"/>
      <c r="N107" s="25" t="str">
        <f>HYPERLINK("http://slimages.macys.com/is/image/MCY/21035870 ")</f>
        <v xml:space="preserve">http://slimages.macys.com/is/image/MCY/21035870 </v>
      </c>
    </row>
    <row r="108" spans="1:14" ht="24.75" x14ac:dyDescent="0.25">
      <c r="A108" s="21" t="s">
        <v>8295</v>
      </c>
      <c r="B108" s="22" t="s">
        <v>8296</v>
      </c>
      <c r="C108" s="2">
        <v>1</v>
      </c>
      <c r="D108" s="23">
        <v>22.5</v>
      </c>
      <c r="E108" s="3">
        <v>22.5</v>
      </c>
      <c r="F108" s="2" t="s">
        <v>16184</v>
      </c>
      <c r="G108" s="22" t="s">
        <v>19528</v>
      </c>
      <c r="H108" s="24" t="s">
        <v>19395</v>
      </c>
      <c r="I108" s="22" t="s">
        <v>19309</v>
      </c>
      <c r="J108" s="22" t="s">
        <v>19688</v>
      </c>
      <c r="K108" s="22" t="s">
        <v>19614</v>
      </c>
      <c r="L108" s="22"/>
      <c r="M108" s="22"/>
      <c r="N108" s="25" t="str">
        <f>HYPERLINK("http://slimages.macys.com/is/image/MCY/21035886 ")</f>
        <v xml:space="preserve">http://slimages.macys.com/is/image/MCY/21035886 </v>
      </c>
    </row>
    <row r="109" spans="1:14" ht="24.75" x14ac:dyDescent="0.25">
      <c r="A109" s="21" t="s">
        <v>9574</v>
      </c>
      <c r="B109" s="22" t="s">
        <v>9575</v>
      </c>
      <c r="C109" s="2">
        <v>6</v>
      </c>
      <c r="D109" s="23">
        <v>22.5</v>
      </c>
      <c r="E109" s="3">
        <v>135</v>
      </c>
      <c r="F109" s="2" t="s">
        <v>9576</v>
      </c>
      <c r="G109" s="22" t="s">
        <v>19415</v>
      </c>
      <c r="H109" s="24" t="s">
        <v>19395</v>
      </c>
      <c r="I109" s="22" t="s">
        <v>19309</v>
      </c>
      <c r="J109" s="22" t="s">
        <v>19688</v>
      </c>
      <c r="K109" s="22" t="s">
        <v>19614</v>
      </c>
      <c r="L109" s="22"/>
      <c r="M109" s="22"/>
      <c r="N109" s="25" t="str">
        <f>HYPERLINK("http://slimages.macys.com/is/image/MCY/21035860 ")</f>
        <v xml:space="preserve">http://slimages.macys.com/is/image/MCY/21035860 </v>
      </c>
    </row>
    <row r="110" spans="1:14" ht="24.75" x14ac:dyDescent="0.25">
      <c r="A110" s="21" t="s">
        <v>8129</v>
      </c>
      <c r="B110" s="22" t="s">
        <v>8130</v>
      </c>
      <c r="C110" s="2">
        <v>24</v>
      </c>
      <c r="D110" s="23">
        <v>22.5</v>
      </c>
      <c r="E110" s="3">
        <v>540</v>
      </c>
      <c r="F110" s="2" t="s">
        <v>18338</v>
      </c>
      <c r="G110" s="22" t="s">
        <v>19351</v>
      </c>
      <c r="H110" s="24" t="s">
        <v>19542</v>
      </c>
      <c r="I110" s="22" t="s">
        <v>19309</v>
      </c>
      <c r="J110" s="22" t="s">
        <v>19688</v>
      </c>
      <c r="K110" s="22" t="s">
        <v>19614</v>
      </c>
      <c r="L110" s="22"/>
      <c r="M110" s="22"/>
      <c r="N110" s="25" t="str">
        <f>HYPERLINK("http://slimages.macys.com/is/image/MCY/21035864 ")</f>
        <v xml:space="preserve">http://slimages.macys.com/is/image/MCY/21035864 </v>
      </c>
    </row>
    <row r="111" spans="1:14" x14ac:dyDescent="0.25">
      <c r="A111" s="21" t="s">
        <v>8595</v>
      </c>
      <c r="B111" s="22" t="s">
        <v>8596</v>
      </c>
      <c r="C111" s="2">
        <v>32</v>
      </c>
      <c r="D111" s="23">
        <v>15.99</v>
      </c>
      <c r="E111" s="3">
        <v>511.68</v>
      </c>
      <c r="F111" s="2" t="s">
        <v>18462</v>
      </c>
      <c r="G111" s="22" t="s">
        <v>19477</v>
      </c>
      <c r="H111" s="24" t="s">
        <v>19542</v>
      </c>
      <c r="I111" s="22" t="s">
        <v>19309</v>
      </c>
      <c r="J111" s="22" t="s">
        <v>19849</v>
      </c>
      <c r="K111" s="22" t="s">
        <v>19850</v>
      </c>
      <c r="L111" s="22"/>
      <c r="M111" s="22"/>
      <c r="N111" s="25" t="str">
        <f>HYPERLINK("http://slimages.macys.com/is/image/MCY/20549437 ")</f>
        <v xml:space="preserve">http://slimages.macys.com/is/image/MCY/20549437 </v>
      </c>
    </row>
    <row r="112" spans="1:14" ht="24.75" x14ac:dyDescent="0.25">
      <c r="A112" s="21" t="s">
        <v>8597</v>
      </c>
      <c r="B112" s="22" t="s">
        <v>8598</v>
      </c>
      <c r="C112" s="2">
        <v>1</v>
      </c>
      <c r="D112" s="23">
        <v>8.99</v>
      </c>
      <c r="E112" s="3">
        <v>8.99</v>
      </c>
      <c r="F112" s="2" t="s">
        <v>12299</v>
      </c>
      <c r="G112" s="22" t="s">
        <v>19618</v>
      </c>
      <c r="H112" s="24" t="s">
        <v>19364</v>
      </c>
      <c r="I112" s="22" t="s">
        <v>19309</v>
      </c>
      <c r="J112" s="22" t="s">
        <v>19310</v>
      </c>
      <c r="K112" s="22" t="s">
        <v>19873</v>
      </c>
      <c r="L112" s="22"/>
      <c r="M112" s="22"/>
      <c r="N112" s="25" t="str">
        <f>HYPERLINK("http://slimages.macys.com/is/image/MCY/19933401 ")</f>
        <v xml:space="preserve">http://slimages.macys.com/is/image/MCY/19933401 </v>
      </c>
    </row>
    <row r="113" spans="1:14" ht="24.75" x14ac:dyDescent="0.25">
      <c r="A113" s="21" t="s">
        <v>8306</v>
      </c>
      <c r="B113" s="22" t="s">
        <v>8307</v>
      </c>
      <c r="C113" s="2">
        <v>23</v>
      </c>
      <c r="D113" s="23">
        <v>13.99</v>
      </c>
      <c r="E113" s="3">
        <v>321.77</v>
      </c>
      <c r="F113" s="2" t="s">
        <v>9604</v>
      </c>
      <c r="G113" s="22" t="s">
        <v>19618</v>
      </c>
      <c r="H113" s="24" t="s">
        <v>19538</v>
      </c>
      <c r="I113" s="22" t="s">
        <v>19309</v>
      </c>
      <c r="J113" s="22" t="s">
        <v>19573</v>
      </c>
      <c r="K113" s="22" t="s">
        <v>19574</v>
      </c>
      <c r="L113" s="22"/>
      <c r="M113" s="22"/>
      <c r="N113" s="25" t="str">
        <f>HYPERLINK("http://slimages.macys.com/is/image/MCY/1554881 ")</f>
        <v xml:space="preserve">http://slimages.macys.com/is/image/MCY/1554881 </v>
      </c>
    </row>
    <row r="114" spans="1:14" ht="24.75" x14ac:dyDescent="0.25">
      <c r="A114" s="21" t="s">
        <v>18560</v>
      </c>
      <c r="B114" s="22" t="s">
        <v>18561</v>
      </c>
      <c r="C114" s="2">
        <v>12</v>
      </c>
      <c r="D114" s="23">
        <v>13.99</v>
      </c>
      <c r="E114" s="3">
        <v>167.88</v>
      </c>
      <c r="F114" s="2" t="s">
        <v>18551</v>
      </c>
      <c r="G114" s="22" t="s">
        <v>19467</v>
      </c>
      <c r="H114" s="24" t="s">
        <v>19538</v>
      </c>
      <c r="I114" s="22" t="s">
        <v>19309</v>
      </c>
      <c r="J114" s="22" t="s">
        <v>19573</v>
      </c>
      <c r="K114" s="22" t="s">
        <v>19574</v>
      </c>
      <c r="L114" s="22"/>
      <c r="M114" s="22"/>
      <c r="N114" s="25" t="str">
        <f>HYPERLINK("http://slimages.macys.com/is/image/MCY/21361645 ")</f>
        <v xml:space="preserve">http://slimages.macys.com/is/image/MCY/21361645 </v>
      </c>
    </row>
    <row r="115" spans="1:14" ht="24.75" x14ac:dyDescent="0.25">
      <c r="A115" s="21" t="s">
        <v>18579</v>
      </c>
      <c r="B115" s="22" t="s">
        <v>18580</v>
      </c>
      <c r="C115" s="2">
        <v>18</v>
      </c>
      <c r="D115" s="23">
        <v>16.989999999999998</v>
      </c>
      <c r="E115" s="3">
        <v>305.82</v>
      </c>
      <c r="F115" s="2" t="s">
        <v>18581</v>
      </c>
      <c r="G115" s="22" t="s">
        <v>19333</v>
      </c>
      <c r="H115" s="24" t="s">
        <v>20135</v>
      </c>
      <c r="I115" s="22" t="s">
        <v>19309</v>
      </c>
      <c r="J115" s="22" t="s">
        <v>19454</v>
      </c>
      <c r="K115" s="22" t="s">
        <v>19524</v>
      </c>
      <c r="L115" s="22"/>
      <c r="M115" s="22"/>
      <c r="N115" s="25" t="str">
        <f>HYPERLINK("http://slimages.macys.com/is/image/MCY/21265927 ")</f>
        <v xml:space="preserve">http://slimages.macys.com/is/image/MCY/21265927 </v>
      </c>
    </row>
    <row r="116" spans="1:14" x14ac:dyDescent="0.25">
      <c r="A116" s="21" t="s">
        <v>11105</v>
      </c>
      <c r="B116" s="22" t="s">
        <v>11106</v>
      </c>
      <c r="C116" s="2">
        <v>24</v>
      </c>
      <c r="D116" s="23">
        <v>24</v>
      </c>
      <c r="E116" s="3">
        <v>576</v>
      </c>
      <c r="F116" s="2" t="s">
        <v>11107</v>
      </c>
      <c r="G116" s="22" t="s">
        <v>19357</v>
      </c>
      <c r="H116" s="24"/>
      <c r="I116" s="22" t="s">
        <v>19309</v>
      </c>
      <c r="J116" s="22" t="s">
        <v>19417</v>
      </c>
      <c r="K116" s="22" t="s">
        <v>18317</v>
      </c>
      <c r="L116" s="22"/>
      <c r="M116" s="22"/>
      <c r="N116" s="25" t="str">
        <f>HYPERLINK("http://slimages.macys.com/is/image/MCY/21614962 ")</f>
        <v xml:space="preserve">http://slimages.macys.com/is/image/MCY/21614962 </v>
      </c>
    </row>
    <row r="117" spans="1:14" x14ac:dyDescent="0.25">
      <c r="A117" s="21" t="s">
        <v>8445</v>
      </c>
      <c r="B117" s="22" t="s">
        <v>8446</v>
      </c>
      <c r="C117" s="2">
        <v>18</v>
      </c>
      <c r="D117" s="23">
        <v>24</v>
      </c>
      <c r="E117" s="3">
        <v>432</v>
      </c>
      <c r="F117" s="2" t="s">
        <v>11107</v>
      </c>
      <c r="G117" s="22" t="s">
        <v>19357</v>
      </c>
      <c r="H117" s="24" t="s">
        <v>19384</v>
      </c>
      <c r="I117" s="22" t="s">
        <v>19309</v>
      </c>
      <c r="J117" s="22" t="s">
        <v>19417</v>
      </c>
      <c r="K117" s="22" t="s">
        <v>18317</v>
      </c>
      <c r="L117" s="22"/>
      <c r="M117" s="22"/>
      <c r="N117" s="25" t="str">
        <f>HYPERLINK("http://slimages.macys.com/is/image/MCY/21614962 ")</f>
        <v xml:space="preserve">http://slimages.macys.com/is/image/MCY/21614962 </v>
      </c>
    </row>
    <row r="118" spans="1:14" x14ac:dyDescent="0.25">
      <c r="A118" s="21" t="s">
        <v>8599</v>
      </c>
      <c r="B118" s="22" t="s">
        <v>8600</v>
      </c>
      <c r="C118" s="2">
        <v>1</v>
      </c>
      <c r="D118" s="23">
        <v>12.17</v>
      </c>
      <c r="E118" s="3">
        <v>12.17</v>
      </c>
      <c r="F118" s="2" t="s">
        <v>8601</v>
      </c>
      <c r="G118" s="22" t="s">
        <v>19594</v>
      </c>
      <c r="H118" s="24" t="s">
        <v>20159</v>
      </c>
      <c r="I118" s="22" t="s">
        <v>19309</v>
      </c>
      <c r="J118" s="22" t="s">
        <v>19708</v>
      </c>
      <c r="K118" s="22" t="s">
        <v>19709</v>
      </c>
      <c r="L118" s="22"/>
      <c r="M118" s="22"/>
      <c r="N118" s="25" t="str">
        <f>HYPERLINK("http://slimages.macys.com/is/image/MCY/19915953 ")</f>
        <v xml:space="preserve">http://slimages.macys.com/is/image/MCY/19915953 </v>
      </c>
    </row>
    <row r="119" spans="1:14" ht="24.75" x14ac:dyDescent="0.25">
      <c r="A119" s="21" t="s">
        <v>16686</v>
      </c>
      <c r="B119" s="22" t="s">
        <v>16687</v>
      </c>
      <c r="C119" s="2">
        <v>18</v>
      </c>
      <c r="D119" s="23">
        <v>13.99</v>
      </c>
      <c r="E119" s="3">
        <v>251.82</v>
      </c>
      <c r="F119" s="2" t="s">
        <v>16688</v>
      </c>
      <c r="G119" s="22" t="s">
        <v>19518</v>
      </c>
      <c r="H119" s="24" t="s">
        <v>19384</v>
      </c>
      <c r="I119" s="22" t="s">
        <v>19309</v>
      </c>
      <c r="J119" s="22" t="s">
        <v>19573</v>
      </c>
      <c r="K119" s="22" t="s">
        <v>19574</v>
      </c>
      <c r="L119" s="22"/>
      <c r="M119" s="22"/>
      <c r="N119" s="25" t="str">
        <f>HYPERLINK("http://slimages.macys.com/is/image/MCY/21361108 ")</f>
        <v xml:space="preserve">http://slimages.macys.com/is/image/MCY/21361108 </v>
      </c>
    </row>
    <row r="120" spans="1:14" ht="24.75" x14ac:dyDescent="0.25">
      <c r="A120" s="21" t="s">
        <v>11113</v>
      </c>
      <c r="B120" s="22" t="s">
        <v>11114</v>
      </c>
      <c r="C120" s="2">
        <v>11</v>
      </c>
      <c r="D120" s="23">
        <v>8.31</v>
      </c>
      <c r="E120" s="3">
        <v>91.41</v>
      </c>
      <c r="F120" s="2" t="s">
        <v>11115</v>
      </c>
      <c r="G120" s="22" t="s">
        <v>19431</v>
      </c>
      <c r="H120" s="24" t="s">
        <v>19308</v>
      </c>
      <c r="I120" s="22" t="s">
        <v>19309</v>
      </c>
      <c r="J120" s="22" t="s">
        <v>19565</v>
      </c>
      <c r="K120" s="22" t="s">
        <v>18514</v>
      </c>
      <c r="L120" s="22"/>
      <c r="M120" s="22"/>
      <c r="N120" s="25" t="str">
        <f>HYPERLINK("http://slimages.macys.com/is/image/MCY/21901987 ")</f>
        <v xml:space="preserve">http://slimages.macys.com/is/image/MCY/21901987 </v>
      </c>
    </row>
    <row r="121" spans="1:14" ht="24.75" x14ac:dyDescent="0.25">
      <c r="A121" s="21" t="s">
        <v>8331</v>
      </c>
      <c r="B121" s="22" t="s">
        <v>8332</v>
      </c>
      <c r="C121" s="2">
        <v>33</v>
      </c>
      <c r="D121" s="23">
        <v>8.31</v>
      </c>
      <c r="E121" s="3">
        <v>274.23</v>
      </c>
      <c r="F121" s="2" t="s">
        <v>11115</v>
      </c>
      <c r="G121" s="22" t="s">
        <v>19431</v>
      </c>
      <c r="H121" s="24" t="s">
        <v>19352</v>
      </c>
      <c r="I121" s="22" t="s">
        <v>19309</v>
      </c>
      <c r="J121" s="22" t="s">
        <v>19565</v>
      </c>
      <c r="K121" s="22" t="s">
        <v>18514</v>
      </c>
      <c r="L121" s="22"/>
      <c r="M121" s="22"/>
      <c r="N121" s="25" t="str">
        <f>HYPERLINK("http://slimages.macys.com/is/image/MCY/21901987 ")</f>
        <v xml:space="preserve">http://slimages.macys.com/is/image/MCY/21901987 </v>
      </c>
    </row>
    <row r="122" spans="1:14" ht="24.75" x14ac:dyDescent="0.25">
      <c r="A122" s="21" t="s">
        <v>16929</v>
      </c>
      <c r="B122" s="22" t="s">
        <v>16930</v>
      </c>
      <c r="C122" s="2">
        <v>7</v>
      </c>
      <c r="D122" s="23">
        <v>8.99</v>
      </c>
      <c r="E122" s="3">
        <v>62.93</v>
      </c>
      <c r="F122" s="2" t="s">
        <v>18909</v>
      </c>
      <c r="G122" s="22" t="s">
        <v>19518</v>
      </c>
      <c r="H122" s="24" t="s">
        <v>19308</v>
      </c>
      <c r="I122" s="22" t="s">
        <v>19309</v>
      </c>
      <c r="J122" s="22" t="s">
        <v>19815</v>
      </c>
      <c r="K122" s="22" t="s">
        <v>19816</v>
      </c>
      <c r="L122" s="22"/>
      <c r="M122" s="22"/>
      <c r="N122" s="25" t="str">
        <f>HYPERLINK("http://slimages.macys.com/is/image/MCY/20454073 ")</f>
        <v xml:space="preserve">http://slimages.macys.com/is/image/MCY/20454073 </v>
      </c>
    </row>
    <row r="123" spans="1:14" ht="24.75" x14ac:dyDescent="0.25">
      <c r="A123" s="21" t="s">
        <v>8602</v>
      </c>
      <c r="B123" s="22" t="s">
        <v>8603</v>
      </c>
      <c r="C123" s="2">
        <v>9</v>
      </c>
      <c r="D123" s="23">
        <v>7.99</v>
      </c>
      <c r="E123" s="3">
        <v>71.91</v>
      </c>
      <c r="F123" s="2" t="s">
        <v>8604</v>
      </c>
      <c r="G123" s="22" t="s">
        <v>19618</v>
      </c>
      <c r="H123" s="24" t="s">
        <v>20135</v>
      </c>
      <c r="I123" s="22" t="s">
        <v>19309</v>
      </c>
      <c r="J123" s="22" t="s">
        <v>19573</v>
      </c>
      <c r="K123" s="22" t="s">
        <v>19574</v>
      </c>
      <c r="L123" s="22"/>
      <c r="M123" s="22"/>
      <c r="N123" s="25" t="str">
        <f>HYPERLINK("http://slimages.macys.com/is/image/MCY/19977728 ")</f>
        <v xml:space="preserve">http://slimages.macys.com/is/image/MCY/19977728 </v>
      </c>
    </row>
    <row r="124" spans="1:14" x14ac:dyDescent="0.25">
      <c r="A124" s="21" t="s">
        <v>16965</v>
      </c>
      <c r="B124" s="22" t="s">
        <v>16966</v>
      </c>
      <c r="C124" s="2">
        <v>22</v>
      </c>
      <c r="D124" s="23">
        <v>7.99</v>
      </c>
      <c r="E124" s="3">
        <v>175.78</v>
      </c>
      <c r="F124" s="2" t="s">
        <v>16840</v>
      </c>
      <c r="G124" s="22" t="s">
        <v>19467</v>
      </c>
      <c r="H124" s="24" t="s">
        <v>19907</v>
      </c>
      <c r="I124" s="22" t="s">
        <v>19309</v>
      </c>
      <c r="J124" s="22" t="s">
        <v>19849</v>
      </c>
      <c r="K124" s="22" t="s">
        <v>19850</v>
      </c>
      <c r="L124" s="22"/>
      <c r="M124" s="22"/>
      <c r="N124" s="25" t="str">
        <f>HYPERLINK("http://slimages.macys.com/is/image/MCY/19068277 ")</f>
        <v xml:space="preserve">http://slimages.macys.com/is/image/MCY/19068277 </v>
      </c>
    </row>
    <row r="125" spans="1:14" x14ac:dyDescent="0.25">
      <c r="A125" s="21" t="s">
        <v>14104</v>
      </c>
      <c r="B125" s="22" t="s">
        <v>14105</v>
      </c>
      <c r="C125" s="2">
        <v>1</v>
      </c>
      <c r="D125" s="23">
        <v>7.99</v>
      </c>
      <c r="E125" s="3">
        <v>7.99</v>
      </c>
      <c r="F125" s="2" t="s">
        <v>16840</v>
      </c>
      <c r="G125" s="22" t="s">
        <v>19467</v>
      </c>
      <c r="H125" s="24" t="s">
        <v>19542</v>
      </c>
      <c r="I125" s="22" t="s">
        <v>19309</v>
      </c>
      <c r="J125" s="22" t="s">
        <v>19849</v>
      </c>
      <c r="K125" s="22" t="s">
        <v>19850</v>
      </c>
      <c r="L125" s="22"/>
      <c r="M125" s="22"/>
      <c r="N125" s="25" t="str">
        <f>HYPERLINK("http://slimages.macys.com/is/image/MCY/19068277 ")</f>
        <v xml:space="preserve">http://slimages.macys.com/is/image/MCY/19068277 </v>
      </c>
    </row>
    <row r="126" spans="1:14" ht="24.75" x14ac:dyDescent="0.25">
      <c r="A126" s="21" t="s">
        <v>8605</v>
      </c>
      <c r="B126" s="22" t="s">
        <v>8606</v>
      </c>
      <c r="C126" s="2">
        <v>1</v>
      </c>
      <c r="D126" s="23">
        <v>7.99</v>
      </c>
      <c r="E126" s="3">
        <v>7.99</v>
      </c>
      <c r="F126" s="2" t="s">
        <v>8607</v>
      </c>
      <c r="G126" s="22" t="s">
        <v>19518</v>
      </c>
      <c r="H126" s="24" t="s">
        <v>20089</v>
      </c>
      <c r="I126" s="22" t="s">
        <v>19309</v>
      </c>
      <c r="J126" s="22" t="s">
        <v>19573</v>
      </c>
      <c r="K126" s="22" t="s">
        <v>19574</v>
      </c>
      <c r="L126" s="22"/>
      <c r="M126" s="22"/>
      <c r="N126" s="25" t="str">
        <f>HYPERLINK("http://slimages.macys.com/is/image/MCY/21089263 ")</f>
        <v xml:space="preserve">http://slimages.macys.com/is/image/MCY/21089263 </v>
      </c>
    </row>
    <row r="127" spans="1:14" x14ac:dyDescent="0.25">
      <c r="A127" s="21" t="s">
        <v>8608</v>
      </c>
      <c r="B127" s="22" t="s">
        <v>8609</v>
      </c>
      <c r="C127" s="2">
        <v>47</v>
      </c>
      <c r="D127" s="23">
        <v>8.3000000000000007</v>
      </c>
      <c r="E127" s="3">
        <v>390.1</v>
      </c>
      <c r="F127" s="2" t="s">
        <v>9667</v>
      </c>
      <c r="G127" s="22" t="s">
        <v>19431</v>
      </c>
      <c r="H127" s="24" t="s">
        <v>19330</v>
      </c>
      <c r="I127" s="22" t="s">
        <v>19309</v>
      </c>
      <c r="J127" s="22" t="s">
        <v>19708</v>
      </c>
      <c r="K127" s="22" t="s">
        <v>19709</v>
      </c>
      <c r="L127" s="22"/>
      <c r="M127" s="22"/>
      <c r="N127" s="25" t="str">
        <f>HYPERLINK("http://slimages.macys.com/is/image/MCY/21726415 ")</f>
        <v xml:space="preserve">http://slimages.macys.com/is/image/MCY/21726415 </v>
      </c>
    </row>
    <row r="128" spans="1:14" ht="24.75" x14ac:dyDescent="0.25">
      <c r="A128" s="21" t="s">
        <v>8610</v>
      </c>
      <c r="B128" s="22" t="s">
        <v>8611</v>
      </c>
      <c r="C128" s="2">
        <v>18</v>
      </c>
      <c r="D128" s="23">
        <v>7.99</v>
      </c>
      <c r="E128" s="3">
        <v>143.82</v>
      </c>
      <c r="F128" s="2" t="s">
        <v>8612</v>
      </c>
      <c r="G128" s="22" t="s">
        <v>19713</v>
      </c>
      <c r="H128" s="24" t="s">
        <v>19907</v>
      </c>
      <c r="I128" s="22" t="s">
        <v>19309</v>
      </c>
      <c r="J128" s="22" t="s">
        <v>19573</v>
      </c>
      <c r="K128" s="22" t="s">
        <v>19574</v>
      </c>
      <c r="L128" s="22"/>
      <c r="M128" s="22"/>
      <c r="N128" s="25" t="str">
        <f>HYPERLINK("http://slimages.macys.com/is/image/MCY/19217593 ")</f>
        <v xml:space="preserve">http://slimages.macys.com/is/image/MCY/19217593 </v>
      </c>
    </row>
    <row r="129" spans="1:14" ht="24.75" x14ac:dyDescent="0.25">
      <c r="A129" s="21" t="s">
        <v>9676</v>
      </c>
      <c r="B129" s="22" t="s">
        <v>9677</v>
      </c>
      <c r="C129" s="2">
        <v>18</v>
      </c>
      <c r="D129" s="23">
        <v>7.99</v>
      </c>
      <c r="E129" s="3">
        <v>143.82</v>
      </c>
      <c r="F129" s="2" t="s">
        <v>17068</v>
      </c>
      <c r="G129" s="22" t="s">
        <v>19674</v>
      </c>
      <c r="H129" s="24" t="s">
        <v>20089</v>
      </c>
      <c r="I129" s="22" t="s">
        <v>19309</v>
      </c>
      <c r="J129" s="22" t="s">
        <v>19573</v>
      </c>
      <c r="K129" s="22" t="s">
        <v>19574</v>
      </c>
      <c r="L129" s="22"/>
      <c r="M129" s="22"/>
      <c r="N129" s="25" t="str">
        <f>HYPERLINK("http://slimages.macys.com/is/image/MCY/1554809 ")</f>
        <v xml:space="preserve">http://slimages.macys.com/is/image/MCY/1554809 </v>
      </c>
    </row>
    <row r="130" spans="1:14" ht="24.75" x14ac:dyDescent="0.25">
      <c r="A130" s="21" t="s">
        <v>9674</v>
      </c>
      <c r="B130" s="22" t="s">
        <v>9675</v>
      </c>
      <c r="C130" s="2">
        <v>18</v>
      </c>
      <c r="D130" s="23">
        <v>7.99</v>
      </c>
      <c r="E130" s="3">
        <v>143.82</v>
      </c>
      <c r="F130" s="2" t="s">
        <v>17068</v>
      </c>
      <c r="G130" s="22" t="s">
        <v>19674</v>
      </c>
      <c r="H130" s="24" t="s">
        <v>20135</v>
      </c>
      <c r="I130" s="22" t="s">
        <v>19309</v>
      </c>
      <c r="J130" s="22" t="s">
        <v>19573</v>
      </c>
      <c r="K130" s="22" t="s">
        <v>19574</v>
      </c>
      <c r="L130" s="22"/>
      <c r="M130" s="22"/>
      <c r="N130" s="25" t="str">
        <f>HYPERLINK("http://slimages.macys.com/is/image/MCY/21371404 ")</f>
        <v xml:space="preserve">http://slimages.macys.com/is/image/MCY/21371404 </v>
      </c>
    </row>
    <row r="131" spans="1:14" ht="24.75" x14ac:dyDescent="0.25">
      <c r="A131" s="21" t="s">
        <v>8149</v>
      </c>
      <c r="B131" s="22" t="s">
        <v>8150</v>
      </c>
      <c r="C131" s="2">
        <v>36</v>
      </c>
      <c r="D131" s="23">
        <v>7.99</v>
      </c>
      <c r="E131" s="3">
        <v>287.64</v>
      </c>
      <c r="F131" s="2" t="s">
        <v>17068</v>
      </c>
      <c r="G131" s="22" t="s">
        <v>19674</v>
      </c>
      <c r="H131" s="24" t="s">
        <v>19907</v>
      </c>
      <c r="I131" s="22" t="s">
        <v>19309</v>
      </c>
      <c r="J131" s="22" t="s">
        <v>19573</v>
      </c>
      <c r="K131" s="22" t="s">
        <v>19574</v>
      </c>
      <c r="L131" s="22"/>
      <c r="M131" s="22"/>
      <c r="N131" s="25" t="str">
        <f>HYPERLINK("http://slimages.macys.com/is/image/MCY/1554809 ")</f>
        <v xml:space="preserve">http://slimages.macys.com/is/image/MCY/1554809 </v>
      </c>
    </row>
    <row r="132" spans="1:14" ht="24.75" x14ac:dyDescent="0.25">
      <c r="A132" s="21" t="s">
        <v>8147</v>
      </c>
      <c r="B132" s="22" t="s">
        <v>8148</v>
      </c>
      <c r="C132" s="2">
        <v>24</v>
      </c>
      <c r="D132" s="23">
        <v>7.99</v>
      </c>
      <c r="E132" s="3">
        <v>191.76</v>
      </c>
      <c r="F132" s="2" t="s">
        <v>17068</v>
      </c>
      <c r="G132" s="22" t="s">
        <v>19906</v>
      </c>
      <c r="H132" s="24" t="s">
        <v>20089</v>
      </c>
      <c r="I132" s="22" t="s">
        <v>19309</v>
      </c>
      <c r="J132" s="22" t="s">
        <v>19573</v>
      </c>
      <c r="K132" s="22" t="s">
        <v>19574</v>
      </c>
      <c r="L132" s="22"/>
      <c r="M132" s="22"/>
      <c r="N132" s="25" t="str">
        <f>HYPERLINK("http://slimages.macys.com/is/image/MCY/1554809 ")</f>
        <v xml:space="preserve">http://slimages.macys.com/is/image/MCY/1554809 </v>
      </c>
    </row>
    <row r="133" spans="1:14" ht="24.75" x14ac:dyDescent="0.25">
      <c r="A133" s="21" t="s">
        <v>8357</v>
      </c>
      <c r="B133" s="22" t="s">
        <v>8358</v>
      </c>
      <c r="C133" s="2">
        <v>18</v>
      </c>
      <c r="D133" s="23">
        <v>7.99</v>
      </c>
      <c r="E133" s="3">
        <v>143.82</v>
      </c>
      <c r="F133" s="2" t="s">
        <v>8359</v>
      </c>
      <c r="G133" s="22" t="s">
        <v>19351</v>
      </c>
      <c r="H133" s="24" t="s">
        <v>20089</v>
      </c>
      <c r="I133" s="22" t="s">
        <v>19309</v>
      </c>
      <c r="J133" s="22" t="s">
        <v>19573</v>
      </c>
      <c r="K133" s="22" t="s">
        <v>19574</v>
      </c>
      <c r="L133" s="22"/>
      <c r="M133" s="22"/>
      <c r="N133" s="25" t="str">
        <f>HYPERLINK("http://slimages.macys.com/is/image/MCY/21088503 ")</f>
        <v xml:space="preserve">http://slimages.macys.com/is/image/MCY/21088503 </v>
      </c>
    </row>
    <row r="134" spans="1:14" ht="24.75" x14ac:dyDescent="0.25">
      <c r="A134" s="21" t="s">
        <v>19079</v>
      </c>
      <c r="B134" s="22" t="s">
        <v>19080</v>
      </c>
      <c r="C134" s="2">
        <v>36</v>
      </c>
      <c r="D134" s="23">
        <v>7.99</v>
      </c>
      <c r="E134" s="3">
        <v>287.64</v>
      </c>
      <c r="F134" s="2" t="s">
        <v>19081</v>
      </c>
      <c r="G134" s="22" t="s">
        <v>19351</v>
      </c>
      <c r="H134" s="24" t="s">
        <v>20089</v>
      </c>
      <c r="I134" s="22" t="s">
        <v>19309</v>
      </c>
      <c r="J134" s="22" t="s">
        <v>19573</v>
      </c>
      <c r="K134" s="22" t="s">
        <v>19574</v>
      </c>
      <c r="L134" s="22"/>
      <c r="M134" s="22"/>
      <c r="N134" s="25" t="str">
        <f>HYPERLINK("http://slimages.macys.com/is/image/MCY/20736374 ")</f>
        <v xml:space="preserve">http://slimages.macys.com/is/image/MCY/20736374 </v>
      </c>
    </row>
    <row r="135" spans="1:14" ht="24.75" x14ac:dyDescent="0.25">
      <c r="A135" s="21" t="s">
        <v>8151</v>
      </c>
      <c r="B135" s="22" t="s">
        <v>8152</v>
      </c>
      <c r="C135" s="2">
        <v>69</v>
      </c>
      <c r="D135" s="23">
        <v>7.99</v>
      </c>
      <c r="E135" s="3">
        <v>551.30999999999995</v>
      </c>
      <c r="F135" s="2" t="s">
        <v>8153</v>
      </c>
      <c r="G135" s="22" t="s">
        <v>19674</v>
      </c>
      <c r="H135" s="24" t="s">
        <v>20089</v>
      </c>
      <c r="I135" s="22" t="s">
        <v>19309</v>
      </c>
      <c r="J135" s="22" t="s">
        <v>19573</v>
      </c>
      <c r="K135" s="22" t="s">
        <v>19574</v>
      </c>
      <c r="L135" s="22"/>
      <c r="M135" s="22"/>
      <c r="N135" s="25" t="str">
        <f>HYPERLINK("http://slimages.macys.com/is/image/MCY/20753453 ")</f>
        <v xml:space="preserve">http://slimages.macys.com/is/image/MCY/20753453 </v>
      </c>
    </row>
    <row r="136" spans="1:14" ht="24.75" x14ac:dyDescent="0.25">
      <c r="A136" s="21" t="s">
        <v>12591</v>
      </c>
      <c r="B136" s="22" t="s">
        <v>12592</v>
      </c>
      <c r="C136" s="2">
        <v>40</v>
      </c>
      <c r="D136" s="23">
        <v>7.99</v>
      </c>
      <c r="E136" s="3">
        <v>319.60000000000002</v>
      </c>
      <c r="F136" s="2" t="s">
        <v>19081</v>
      </c>
      <c r="G136" s="22" t="s">
        <v>19351</v>
      </c>
      <c r="H136" s="24" t="s">
        <v>19907</v>
      </c>
      <c r="I136" s="22" t="s">
        <v>19309</v>
      </c>
      <c r="J136" s="22" t="s">
        <v>19573</v>
      </c>
      <c r="K136" s="22" t="s">
        <v>19574</v>
      </c>
      <c r="L136" s="22"/>
      <c r="M136" s="22"/>
      <c r="N136" s="25" t="str">
        <f>HYPERLINK("http://slimages.macys.com/is/image/MCY/20736374 ")</f>
        <v xml:space="preserve">http://slimages.macys.com/is/image/MCY/20736374 </v>
      </c>
    </row>
    <row r="137" spans="1:14" ht="24.75" x14ac:dyDescent="0.25">
      <c r="A137" s="21" t="s">
        <v>8613</v>
      </c>
      <c r="B137" s="22" t="s">
        <v>8614</v>
      </c>
      <c r="C137" s="2">
        <v>1</v>
      </c>
      <c r="D137" s="23">
        <v>7.99</v>
      </c>
      <c r="E137" s="3">
        <v>7.99</v>
      </c>
      <c r="F137" s="2" t="s">
        <v>8365</v>
      </c>
      <c r="G137" s="22" t="s">
        <v>19618</v>
      </c>
      <c r="H137" s="24" t="s">
        <v>20089</v>
      </c>
      <c r="I137" s="22" t="s">
        <v>19309</v>
      </c>
      <c r="J137" s="22" t="s">
        <v>19573</v>
      </c>
      <c r="K137" s="22" t="s">
        <v>19574</v>
      </c>
      <c r="L137" s="22"/>
      <c r="M137" s="22"/>
      <c r="N137" s="25" t="str">
        <f>HYPERLINK("http://slimages.macys.com/is/image/MCY/1610409 ")</f>
        <v xml:space="preserve">http://slimages.macys.com/is/image/MCY/1610409 </v>
      </c>
    </row>
    <row r="138" spans="1:14" ht="24.75" x14ac:dyDescent="0.25">
      <c r="A138" s="21" t="s">
        <v>11141</v>
      </c>
      <c r="B138" s="22" t="s">
        <v>11142</v>
      </c>
      <c r="C138" s="2">
        <v>18</v>
      </c>
      <c r="D138" s="23">
        <v>7.99</v>
      </c>
      <c r="E138" s="3">
        <v>143.82</v>
      </c>
      <c r="F138" s="2" t="s">
        <v>11143</v>
      </c>
      <c r="G138" s="22" t="s">
        <v>19670</v>
      </c>
      <c r="H138" s="24" t="s">
        <v>20135</v>
      </c>
      <c r="I138" s="22" t="s">
        <v>19309</v>
      </c>
      <c r="J138" s="22" t="s">
        <v>19573</v>
      </c>
      <c r="K138" s="22" t="s">
        <v>19574</v>
      </c>
      <c r="L138" s="22"/>
      <c r="M138" s="22"/>
      <c r="N138" s="25" t="str">
        <f>HYPERLINK("http://slimages.macys.com/is/image/MCY/21209533 ")</f>
        <v xml:space="preserve">http://slimages.macys.com/is/image/MCY/21209533 </v>
      </c>
    </row>
    <row r="139" spans="1:14" ht="24.75" x14ac:dyDescent="0.25">
      <c r="A139" s="21" t="s">
        <v>8615</v>
      </c>
      <c r="B139" s="22" t="s">
        <v>8616</v>
      </c>
      <c r="C139" s="2">
        <v>1</v>
      </c>
      <c r="D139" s="23">
        <v>6.99</v>
      </c>
      <c r="E139" s="3">
        <v>6.99</v>
      </c>
      <c r="F139" s="2" t="s">
        <v>8617</v>
      </c>
      <c r="G139" s="22" t="s">
        <v>19351</v>
      </c>
      <c r="H139" s="24" t="s">
        <v>19538</v>
      </c>
      <c r="I139" s="22" t="s">
        <v>19309</v>
      </c>
      <c r="J139" s="22" t="s">
        <v>19573</v>
      </c>
      <c r="K139" s="22" t="s">
        <v>19574</v>
      </c>
      <c r="L139" s="22"/>
      <c r="M139" s="22"/>
      <c r="N139" s="25" t="str">
        <f>HYPERLINK("http://slimages.macys.com/is/image/MCY/20134168 ")</f>
        <v xml:space="preserve">http://slimages.macys.com/is/image/MCY/20134168 </v>
      </c>
    </row>
    <row r="140" spans="1:14" ht="24.75" x14ac:dyDescent="0.25">
      <c r="A140" s="21" t="s">
        <v>19117</v>
      </c>
      <c r="B140" s="22" t="s">
        <v>19118</v>
      </c>
      <c r="C140" s="2">
        <v>21</v>
      </c>
      <c r="D140" s="23">
        <v>5.99</v>
      </c>
      <c r="E140" s="3">
        <v>125.79</v>
      </c>
      <c r="F140" s="2" t="s">
        <v>19109</v>
      </c>
      <c r="G140" s="22" t="s">
        <v>19670</v>
      </c>
      <c r="H140" s="24" t="s">
        <v>19538</v>
      </c>
      <c r="I140" s="22" t="s">
        <v>19309</v>
      </c>
      <c r="J140" s="22" t="s">
        <v>19573</v>
      </c>
      <c r="K140" s="22" t="s">
        <v>19574</v>
      </c>
      <c r="L140" s="22"/>
      <c r="M140" s="22"/>
      <c r="N140" s="25" t="str">
        <f>HYPERLINK("http://slimages.macys.com/is/image/MCY/21209381 ")</f>
        <v xml:space="preserve">http://slimages.macys.com/is/image/MCY/21209381 </v>
      </c>
    </row>
    <row r="141" spans="1:14" ht="24.75" x14ac:dyDescent="0.25">
      <c r="A141" s="21" t="s">
        <v>19121</v>
      </c>
      <c r="B141" s="22" t="s">
        <v>19122</v>
      </c>
      <c r="C141" s="2">
        <v>21</v>
      </c>
      <c r="D141" s="23">
        <v>5.99</v>
      </c>
      <c r="E141" s="3">
        <v>125.79</v>
      </c>
      <c r="F141" s="2" t="s">
        <v>19109</v>
      </c>
      <c r="G141" s="22" t="s">
        <v>19670</v>
      </c>
      <c r="H141" s="24" t="s">
        <v>19330</v>
      </c>
      <c r="I141" s="22" t="s">
        <v>19309</v>
      </c>
      <c r="J141" s="22" t="s">
        <v>19573</v>
      </c>
      <c r="K141" s="22" t="s">
        <v>19574</v>
      </c>
      <c r="L141" s="22"/>
      <c r="M141" s="22"/>
      <c r="N141" s="25" t="str">
        <f>HYPERLINK("http://slimages.macys.com/is/image/MCY/1734374 ")</f>
        <v xml:space="preserve">http://slimages.macys.com/is/image/MCY/1734374 </v>
      </c>
    </row>
    <row r="142" spans="1:14" ht="24.75" x14ac:dyDescent="0.25">
      <c r="A142" s="21" t="s">
        <v>8618</v>
      </c>
      <c r="B142" s="22" t="s">
        <v>8619</v>
      </c>
      <c r="C142" s="2">
        <v>36</v>
      </c>
      <c r="D142" s="23">
        <v>7.99</v>
      </c>
      <c r="E142" s="3">
        <v>287.64</v>
      </c>
      <c r="F142" s="2" t="s">
        <v>9696</v>
      </c>
      <c r="G142" s="22" t="s">
        <v>19351</v>
      </c>
      <c r="H142" s="24" t="s">
        <v>19907</v>
      </c>
      <c r="I142" s="22" t="s">
        <v>19309</v>
      </c>
      <c r="J142" s="22" t="s">
        <v>19573</v>
      </c>
      <c r="K142" s="22" t="s">
        <v>19574</v>
      </c>
      <c r="L142" s="22"/>
      <c r="M142" s="22"/>
      <c r="N142" s="25" t="str">
        <f>HYPERLINK("http://slimages.macys.com/is/image/MCY/1610409 ")</f>
        <v xml:space="preserve">http://slimages.macys.com/is/image/MCY/1610409 </v>
      </c>
    </row>
    <row r="143" spans="1:14" ht="24.75" x14ac:dyDescent="0.25">
      <c r="A143" s="21" t="s">
        <v>8368</v>
      </c>
      <c r="B143" s="22" t="s">
        <v>8369</v>
      </c>
      <c r="C143" s="2">
        <v>16</v>
      </c>
      <c r="D143" s="23">
        <v>7.99</v>
      </c>
      <c r="E143" s="3">
        <v>127.84</v>
      </c>
      <c r="F143" s="2" t="s">
        <v>8370</v>
      </c>
      <c r="G143" s="22" t="s">
        <v>19415</v>
      </c>
      <c r="H143" s="24" t="s">
        <v>20135</v>
      </c>
      <c r="I143" s="22" t="s">
        <v>19309</v>
      </c>
      <c r="J143" s="22" t="s">
        <v>19573</v>
      </c>
      <c r="K143" s="22" t="s">
        <v>19574</v>
      </c>
      <c r="L143" s="22"/>
      <c r="M143" s="22"/>
      <c r="N143" s="25" t="str">
        <f>HYPERLINK("http://slimages.macys.com/is/image/MCY/1610409 ")</f>
        <v xml:space="preserve">http://slimages.macys.com/is/image/MCY/1610409 </v>
      </c>
    </row>
    <row r="144" spans="1:14" ht="24.75" x14ac:dyDescent="0.25">
      <c r="A144" s="21" t="s">
        <v>8620</v>
      </c>
      <c r="B144" s="22" t="s">
        <v>8621</v>
      </c>
      <c r="C144" s="2">
        <v>1</v>
      </c>
      <c r="D144" s="23">
        <v>6.99</v>
      </c>
      <c r="E144" s="3">
        <v>6.99</v>
      </c>
      <c r="F144" s="2" t="s">
        <v>8622</v>
      </c>
      <c r="G144" s="22" t="s">
        <v>19351</v>
      </c>
      <c r="H144" s="24" t="s">
        <v>19330</v>
      </c>
      <c r="I144" s="22" t="s">
        <v>19309</v>
      </c>
      <c r="J144" s="22" t="s">
        <v>19573</v>
      </c>
      <c r="K144" s="22" t="s">
        <v>19574</v>
      </c>
      <c r="L144" s="22"/>
      <c r="M144" s="22"/>
      <c r="N144" s="25" t="str">
        <f>HYPERLINK("http://slimages.macys.com/is/image/MCY/20540912 ")</f>
        <v xml:space="preserve">http://slimages.macys.com/is/image/MCY/20540912 </v>
      </c>
    </row>
    <row r="145" spans="1:14" ht="24.75" x14ac:dyDescent="0.25">
      <c r="A145" s="21" t="s">
        <v>11149</v>
      </c>
      <c r="B145" s="22" t="s">
        <v>11150</v>
      </c>
      <c r="C145" s="2">
        <v>18</v>
      </c>
      <c r="D145" s="23">
        <v>7.99</v>
      </c>
      <c r="E145" s="3">
        <v>143.82</v>
      </c>
      <c r="F145" s="2" t="s">
        <v>11146</v>
      </c>
      <c r="G145" s="22" t="s">
        <v>19351</v>
      </c>
      <c r="H145" s="24" t="s">
        <v>19907</v>
      </c>
      <c r="I145" s="22" t="s">
        <v>19309</v>
      </c>
      <c r="J145" s="22" t="s">
        <v>19573</v>
      </c>
      <c r="K145" s="22" t="s">
        <v>19574</v>
      </c>
      <c r="L145" s="22"/>
      <c r="M145" s="22"/>
      <c r="N145" s="25" t="str">
        <f>HYPERLINK("http://slimages.macys.com/is/image/MCY/21209295 ")</f>
        <v xml:space="preserve">http://slimages.macys.com/is/image/MCY/21209295 </v>
      </c>
    </row>
    <row r="146" spans="1:14" ht="24.75" x14ac:dyDescent="0.25">
      <c r="A146" s="21" t="s">
        <v>8623</v>
      </c>
      <c r="B146" s="22" t="s">
        <v>8624</v>
      </c>
      <c r="C146" s="2">
        <v>1</v>
      </c>
      <c r="D146" s="23">
        <v>6.99</v>
      </c>
      <c r="E146" s="3">
        <v>6.99</v>
      </c>
      <c r="F146" s="2" t="s">
        <v>8625</v>
      </c>
      <c r="G146" s="22" t="s">
        <v>19315</v>
      </c>
      <c r="H146" s="24" t="s">
        <v>19330</v>
      </c>
      <c r="I146" s="22" t="s">
        <v>19309</v>
      </c>
      <c r="J146" s="22" t="s">
        <v>19573</v>
      </c>
      <c r="K146" s="22" t="s">
        <v>19574</v>
      </c>
      <c r="L146" s="22"/>
      <c r="M146" s="22"/>
      <c r="N146" s="25" t="str">
        <f>HYPERLINK("http://slimages.macys.com/is/image/MCY/19784518 ")</f>
        <v xml:space="preserve">http://slimages.macys.com/is/image/MCY/19784518 </v>
      </c>
    </row>
    <row r="147" spans="1:14" ht="24.75" x14ac:dyDescent="0.25">
      <c r="A147" s="21" t="s">
        <v>9700</v>
      </c>
      <c r="B147" s="22" t="s">
        <v>9701</v>
      </c>
      <c r="C147" s="2">
        <v>13</v>
      </c>
      <c r="D147" s="23">
        <v>5.99</v>
      </c>
      <c r="E147" s="3">
        <v>77.87</v>
      </c>
      <c r="F147" s="2" t="s">
        <v>11156</v>
      </c>
      <c r="G147" s="22" t="s">
        <v>19351</v>
      </c>
      <c r="H147" s="24" t="s">
        <v>19538</v>
      </c>
      <c r="I147" s="22" t="s">
        <v>19309</v>
      </c>
      <c r="J147" s="22" t="s">
        <v>19573</v>
      </c>
      <c r="K147" s="22" t="s">
        <v>19574</v>
      </c>
      <c r="L147" s="22"/>
      <c r="M147" s="22"/>
      <c r="N147" s="25" t="str">
        <f>HYPERLINK("http://slimages.macys.com/is/image/MCY/1586539 ")</f>
        <v xml:space="preserve">http://slimages.macys.com/is/image/MCY/1586539 </v>
      </c>
    </row>
    <row r="148" spans="1:14" ht="24.75" x14ac:dyDescent="0.25">
      <c r="A148" s="21" t="s">
        <v>14867</v>
      </c>
      <c r="B148" s="22" t="s">
        <v>14868</v>
      </c>
      <c r="C148" s="2">
        <v>18</v>
      </c>
      <c r="D148" s="23">
        <v>5.99</v>
      </c>
      <c r="E148" s="3">
        <v>107.82</v>
      </c>
      <c r="F148" s="2" t="s">
        <v>19170</v>
      </c>
      <c r="G148" s="22" t="s">
        <v>19906</v>
      </c>
      <c r="H148" s="24" t="s">
        <v>19324</v>
      </c>
      <c r="I148" s="22" t="s">
        <v>19309</v>
      </c>
      <c r="J148" s="22" t="s">
        <v>19573</v>
      </c>
      <c r="K148" s="22" t="s">
        <v>19574</v>
      </c>
      <c r="L148" s="22"/>
      <c r="M148" s="22"/>
      <c r="N148" s="25" t="str">
        <f>HYPERLINK("http://slimages.macys.com/is/image/MCY/21361119 ")</f>
        <v xml:space="preserve">http://slimages.macys.com/is/image/MCY/21361119 </v>
      </c>
    </row>
    <row r="149" spans="1:14" ht="24.75" x14ac:dyDescent="0.25">
      <c r="A149" s="21" t="s">
        <v>19185</v>
      </c>
      <c r="B149" s="22" t="s">
        <v>19186</v>
      </c>
      <c r="C149" s="2">
        <v>18</v>
      </c>
      <c r="D149" s="23">
        <v>5.99</v>
      </c>
      <c r="E149" s="3">
        <v>107.82</v>
      </c>
      <c r="F149" s="2" t="s">
        <v>19180</v>
      </c>
      <c r="G149" s="22" t="s">
        <v>19477</v>
      </c>
      <c r="H149" s="24" t="s">
        <v>19538</v>
      </c>
      <c r="I149" s="22" t="s">
        <v>19309</v>
      </c>
      <c r="J149" s="22" t="s">
        <v>19573</v>
      </c>
      <c r="K149" s="22" t="s">
        <v>19574</v>
      </c>
      <c r="L149" s="22"/>
      <c r="M149" s="22"/>
      <c r="N149" s="25" t="str">
        <f>HYPERLINK("http://slimages.macys.com/is/image/MCY/1521974 ")</f>
        <v xml:space="preserve">http://slimages.macys.com/is/image/MCY/1521974 </v>
      </c>
    </row>
    <row r="150" spans="1:14" ht="24.75" x14ac:dyDescent="0.25">
      <c r="A150" s="21" t="s">
        <v>19212</v>
      </c>
      <c r="B150" s="22" t="s">
        <v>19213</v>
      </c>
      <c r="C150" s="2">
        <v>32</v>
      </c>
      <c r="D150" s="23">
        <v>5.99</v>
      </c>
      <c r="E150" s="3">
        <v>191.68</v>
      </c>
      <c r="F150" s="2" t="s">
        <v>19214</v>
      </c>
      <c r="G150" s="22" t="s">
        <v>19674</v>
      </c>
      <c r="H150" s="24" t="s">
        <v>19538</v>
      </c>
      <c r="I150" s="22" t="s">
        <v>19309</v>
      </c>
      <c r="J150" s="22" t="s">
        <v>19573</v>
      </c>
      <c r="K150" s="22" t="s">
        <v>19574</v>
      </c>
      <c r="L150" s="22"/>
      <c r="M150" s="22"/>
      <c r="N150" s="25" t="str">
        <f>HYPERLINK("http://slimages.macys.com/is/image/MCY/1570641 ")</f>
        <v xml:space="preserve">http://slimages.macys.com/is/image/MCY/1570641 </v>
      </c>
    </row>
    <row r="151" spans="1:14" ht="24.75" x14ac:dyDescent="0.25">
      <c r="A151" s="21" t="s">
        <v>8626</v>
      </c>
      <c r="B151" s="22" t="s">
        <v>8627</v>
      </c>
      <c r="C151" s="2">
        <v>1</v>
      </c>
      <c r="D151" s="23">
        <v>7.99</v>
      </c>
      <c r="E151" s="3">
        <v>7.99</v>
      </c>
      <c r="F151" s="2" t="s">
        <v>10727</v>
      </c>
      <c r="G151" s="22" t="s">
        <v>19351</v>
      </c>
      <c r="H151" s="24" t="s">
        <v>19907</v>
      </c>
      <c r="I151" s="22" t="s">
        <v>19309</v>
      </c>
      <c r="J151" s="22" t="s">
        <v>19573</v>
      </c>
      <c r="K151" s="22" t="s">
        <v>19574</v>
      </c>
      <c r="L151" s="22"/>
      <c r="M151" s="22"/>
      <c r="N151" s="25" t="str">
        <f>HYPERLINK("http://slimages.macys.com/is/image/MCY/20757969 ")</f>
        <v xml:space="preserve">http://slimages.macys.com/is/image/MCY/20757969 </v>
      </c>
    </row>
    <row r="152" spans="1:14" ht="24.75" x14ac:dyDescent="0.25">
      <c r="A152" s="21" t="s">
        <v>8628</v>
      </c>
      <c r="B152" s="22" t="s">
        <v>8629</v>
      </c>
      <c r="C152" s="2">
        <v>67</v>
      </c>
      <c r="D152" s="23">
        <v>5.99</v>
      </c>
      <c r="E152" s="3">
        <v>401.33</v>
      </c>
      <c r="F152" s="2" t="s">
        <v>17203</v>
      </c>
      <c r="G152" s="22" t="s">
        <v>19467</v>
      </c>
      <c r="H152" s="24" t="s">
        <v>19416</v>
      </c>
      <c r="I152" s="22" t="s">
        <v>19309</v>
      </c>
      <c r="J152" s="22" t="s">
        <v>19573</v>
      </c>
      <c r="K152" s="22" t="s">
        <v>19574</v>
      </c>
      <c r="L152" s="22"/>
      <c r="M152" s="22"/>
      <c r="N152" s="25" t="str">
        <f>HYPERLINK("http://slimages.macys.com/is/image/MCY/20757989 ")</f>
        <v xml:space="preserve">http://slimages.macys.com/is/image/MCY/20757989 </v>
      </c>
    </row>
    <row r="153" spans="1:14" ht="24.75" x14ac:dyDescent="0.25">
      <c r="A153" s="21" t="s">
        <v>14300</v>
      </c>
      <c r="B153" s="22" t="s">
        <v>14301</v>
      </c>
      <c r="C153" s="2">
        <v>16</v>
      </c>
      <c r="D153" s="23">
        <v>5.99</v>
      </c>
      <c r="E153" s="3">
        <v>95.84</v>
      </c>
      <c r="F153" s="2" t="s">
        <v>14302</v>
      </c>
      <c r="G153" s="22" t="s">
        <v>19351</v>
      </c>
      <c r="H153" s="24" t="s">
        <v>19538</v>
      </c>
      <c r="I153" s="22" t="s">
        <v>19309</v>
      </c>
      <c r="J153" s="22" t="s">
        <v>19573</v>
      </c>
      <c r="K153" s="22" t="s">
        <v>19574</v>
      </c>
      <c r="L153" s="22"/>
      <c r="M153" s="22"/>
      <c r="N153" s="25" t="str">
        <f>HYPERLINK("http://slimages.macys.com/is/image/MCY/21371433 ")</f>
        <v xml:space="preserve">http://slimages.macys.com/is/image/MCY/21371433 </v>
      </c>
    </row>
    <row r="154" spans="1:14" ht="24.75" x14ac:dyDescent="0.25">
      <c r="A154" s="21" t="s">
        <v>8475</v>
      </c>
      <c r="B154" s="22" t="s">
        <v>8476</v>
      </c>
      <c r="C154" s="2">
        <v>26</v>
      </c>
      <c r="D154" s="23">
        <v>5.99</v>
      </c>
      <c r="E154" s="3">
        <v>155.74</v>
      </c>
      <c r="F154" s="2" t="s">
        <v>11171</v>
      </c>
      <c r="G154" s="22" t="s">
        <v>19351</v>
      </c>
      <c r="H154" s="24" t="s">
        <v>19416</v>
      </c>
      <c r="I154" s="22" t="s">
        <v>19309</v>
      </c>
      <c r="J154" s="22" t="s">
        <v>19573</v>
      </c>
      <c r="K154" s="22" t="s">
        <v>19574</v>
      </c>
      <c r="L154" s="22"/>
      <c r="M154" s="22"/>
      <c r="N154" s="25" t="str">
        <f>HYPERLINK("http://slimages.macys.com/is/image/MCY/21371479 ")</f>
        <v xml:space="preserve">http://slimages.macys.com/is/image/MCY/21371479 </v>
      </c>
    </row>
    <row r="155" spans="1:14" ht="24.75" x14ac:dyDescent="0.25">
      <c r="A155" s="21" t="s">
        <v>8630</v>
      </c>
      <c r="B155" s="22" t="s">
        <v>8631</v>
      </c>
      <c r="C155" s="2">
        <v>21</v>
      </c>
      <c r="D155" s="23">
        <v>5.99</v>
      </c>
      <c r="E155" s="3">
        <v>125.79</v>
      </c>
      <c r="F155" s="2" t="s">
        <v>11171</v>
      </c>
      <c r="G155" s="22" t="s">
        <v>19351</v>
      </c>
      <c r="H155" s="24" t="s">
        <v>19330</v>
      </c>
      <c r="I155" s="22" t="s">
        <v>19309</v>
      </c>
      <c r="J155" s="22" t="s">
        <v>19573</v>
      </c>
      <c r="K155" s="22" t="s">
        <v>19574</v>
      </c>
      <c r="L155" s="22"/>
      <c r="M155" s="22"/>
      <c r="N155" s="25" t="str">
        <f>HYPERLINK("http://slimages.macys.com/is/image/MCY/21371479 ")</f>
        <v xml:space="preserve">http://slimages.macys.com/is/image/MCY/21371479 </v>
      </c>
    </row>
    <row r="156" spans="1:14" ht="24.75" x14ac:dyDescent="0.25">
      <c r="A156" s="21" t="s">
        <v>8172</v>
      </c>
      <c r="B156" s="22" t="s">
        <v>8173</v>
      </c>
      <c r="C156" s="2">
        <v>18</v>
      </c>
      <c r="D156" s="23">
        <v>5.99</v>
      </c>
      <c r="E156" s="3">
        <v>107.82</v>
      </c>
      <c r="F156" s="2" t="s">
        <v>9721</v>
      </c>
      <c r="G156" s="22" t="s">
        <v>19351</v>
      </c>
      <c r="H156" s="24" t="s">
        <v>19384</v>
      </c>
      <c r="I156" s="22" t="s">
        <v>19309</v>
      </c>
      <c r="J156" s="22" t="s">
        <v>19573</v>
      </c>
      <c r="K156" s="22" t="s">
        <v>19574</v>
      </c>
      <c r="L156" s="22"/>
      <c r="M156" s="22"/>
      <c r="N156" s="25" t="str">
        <f>HYPERLINK("http://slimages.macys.com/is/image/MCY/21371491 ")</f>
        <v xml:space="preserve">http://slimages.macys.com/is/image/MCY/21371491 </v>
      </c>
    </row>
    <row r="157" spans="1:14" ht="24.75" x14ac:dyDescent="0.25">
      <c r="A157" s="21" t="s">
        <v>17246</v>
      </c>
      <c r="B157" s="22" t="s">
        <v>17247</v>
      </c>
      <c r="C157" s="2">
        <v>53</v>
      </c>
      <c r="D157" s="23">
        <v>5.99</v>
      </c>
      <c r="E157" s="3">
        <v>317.47000000000003</v>
      </c>
      <c r="F157" s="2" t="s">
        <v>17245</v>
      </c>
      <c r="G157" s="22" t="s">
        <v>19794</v>
      </c>
      <c r="H157" s="24" t="s">
        <v>19330</v>
      </c>
      <c r="I157" s="22" t="s">
        <v>19309</v>
      </c>
      <c r="J157" s="22" t="s">
        <v>19573</v>
      </c>
      <c r="K157" s="22" t="s">
        <v>19574</v>
      </c>
      <c r="L157" s="22"/>
      <c r="M157" s="22"/>
      <c r="N157" s="25" t="str">
        <f>HYPERLINK("http://slimages.macys.com/is/image/MCY/1520523 ")</f>
        <v xml:space="preserve">http://slimages.macys.com/is/image/MCY/1520523 </v>
      </c>
    </row>
    <row r="158" spans="1:14" ht="24.75" x14ac:dyDescent="0.25">
      <c r="A158" s="21" t="s">
        <v>14966</v>
      </c>
      <c r="B158" s="22" t="s">
        <v>14967</v>
      </c>
      <c r="C158" s="2">
        <v>18</v>
      </c>
      <c r="D158" s="23">
        <v>5.99</v>
      </c>
      <c r="E158" s="3">
        <v>107.82</v>
      </c>
      <c r="F158" s="2" t="s">
        <v>17245</v>
      </c>
      <c r="G158" s="22" t="s">
        <v>19794</v>
      </c>
      <c r="H158" s="24" t="s">
        <v>19416</v>
      </c>
      <c r="I158" s="22" t="s">
        <v>19309</v>
      </c>
      <c r="J158" s="22" t="s">
        <v>19573</v>
      </c>
      <c r="K158" s="22" t="s">
        <v>19574</v>
      </c>
      <c r="L158" s="22"/>
      <c r="M158" s="22"/>
      <c r="N158" s="25" t="str">
        <f>HYPERLINK("http://slimages.macys.com/is/image/MCY/1520523 ")</f>
        <v xml:space="preserve">http://slimages.macys.com/is/image/MCY/1520523 </v>
      </c>
    </row>
    <row r="159" spans="1:14" ht="24.75" x14ac:dyDescent="0.25">
      <c r="A159" s="21" t="s">
        <v>9329</v>
      </c>
      <c r="B159" s="22" t="s">
        <v>9330</v>
      </c>
      <c r="C159" s="2">
        <v>17</v>
      </c>
      <c r="D159" s="23">
        <v>5.99</v>
      </c>
      <c r="E159" s="3">
        <v>101.83</v>
      </c>
      <c r="F159" s="2" t="s">
        <v>17245</v>
      </c>
      <c r="G159" s="22" t="s">
        <v>19794</v>
      </c>
      <c r="H159" s="24" t="s">
        <v>19538</v>
      </c>
      <c r="I159" s="22" t="s">
        <v>19309</v>
      </c>
      <c r="J159" s="22" t="s">
        <v>19573</v>
      </c>
      <c r="K159" s="22" t="s">
        <v>19574</v>
      </c>
      <c r="L159" s="22"/>
      <c r="M159" s="22"/>
      <c r="N159" s="25" t="str">
        <f>HYPERLINK("http://slimages.macys.com/is/image/MCY/1520523 ")</f>
        <v xml:space="preserve">http://slimages.macys.com/is/image/MCY/1520523 </v>
      </c>
    </row>
    <row r="160" spans="1:14" ht="24.75" x14ac:dyDescent="0.25">
      <c r="A160" s="21" t="s">
        <v>17315</v>
      </c>
      <c r="B160" s="22" t="s">
        <v>17316</v>
      </c>
      <c r="C160" s="2">
        <v>18</v>
      </c>
      <c r="D160" s="23">
        <v>5.99</v>
      </c>
      <c r="E160" s="3">
        <v>107.82</v>
      </c>
      <c r="F160" s="2" t="s">
        <v>17472</v>
      </c>
      <c r="G160" s="22" t="s">
        <v>19467</v>
      </c>
      <c r="H160" s="24" t="s">
        <v>19324</v>
      </c>
      <c r="I160" s="22" t="s">
        <v>19309</v>
      </c>
      <c r="J160" s="22" t="s">
        <v>19573</v>
      </c>
      <c r="K160" s="22" t="s">
        <v>19574</v>
      </c>
      <c r="L160" s="22"/>
      <c r="M160" s="22"/>
      <c r="N160" s="25" t="str">
        <f>HYPERLINK("http://slimages.macys.com/is/image/MCY/16605973 ")</f>
        <v xml:space="preserve">http://slimages.macys.com/is/image/MCY/16605973 </v>
      </c>
    </row>
    <row r="161" spans="1:14" ht="24.75" x14ac:dyDescent="0.25">
      <c r="A161" s="21" t="s">
        <v>8632</v>
      </c>
      <c r="B161" s="22" t="s">
        <v>8633</v>
      </c>
      <c r="C161" s="2">
        <v>12</v>
      </c>
      <c r="D161" s="23">
        <v>30.99</v>
      </c>
      <c r="E161" s="3">
        <v>371.88</v>
      </c>
      <c r="F161" s="2" t="s">
        <v>17342</v>
      </c>
      <c r="G161" s="22" t="s">
        <v>19674</v>
      </c>
      <c r="H161" s="24" t="s">
        <v>19538</v>
      </c>
      <c r="I161" s="22" t="s">
        <v>19309</v>
      </c>
      <c r="J161" s="22" t="s">
        <v>19385</v>
      </c>
      <c r="K161" s="22" t="s">
        <v>19487</v>
      </c>
      <c r="L161" s="22"/>
      <c r="M161" s="22"/>
      <c r="N161" s="25"/>
    </row>
    <row r="162" spans="1:14" ht="24.75" x14ac:dyDescent="0.25">
      <c r="A162" s="21" t="s">
        <v>9755</v>
      </c>
      <c r="B162" s="22" t="s">
        <v>9756</v>
      </c>
      <c r="C162" s="2">
        <v>20</v>
      </c>
      <c r="D162" s="23">
        <v>24.99</v>
      </c>
      <c r="E162" s="3">
        <v>499.8</v>
      </c>
      <c r="F162" s="2" t="s">
        <v>9432</v>
      </c>
      <c r="G162" s="22" t="s">
        <v>19333</v>
      </c>
      <c r="H162" s="24" t="s">
        <v>19538</v>
      </c>
      <c r="I162" s="22" t="s">
        <v>19309</v>
      </c>
      <c r="J162" s="22" t="s">
        <v>19385</v>
      </c>
      <c r="K162" s="22" t="s">
        <v>19386</v>
      </c>
      <c r="L162" s="22"/>
      <c r="M162" s="22"/>
      <c r="N162" s="25"/>
    </row>
    <row r="163" spans="1:14" ht="24.75" x14ac:dyDescent="0.25">
      <c r="A163" s="21" t="s">
        <v>9757</v>
      </c>
      <c r="B163" s="22" t="s">
        <v>9758</v>
      </c>
      <c r="C163" s="2">
        <v>22</v>
      </c>
      <c r="D163" s="23">
        <v>24.99</v>
      </c>
      <c r="E163" s="3">
        <v>549.78</v>
      </c>
      <c r="F163" s="2" t="s">
        <v>9432</v>
      </c>
      <c r="G163" s="22" t="s">
        <v>19333</v>
      </c>
      <c r="H163" s="24" t="s">
        <v>19324</v>
      </c>
      <c r="I163" s="22" t="s">
        <v>19309</v>
      </c>
      <c r="J163" s="22" t="s">
        <v>19385</v>
      </c>
      <c r="K163" s="22" t="s">
        <v>19386</v>
      </c>
      <c r="L163" s="22"/>
      <c r="M163" s="22"/>
      <c r="N163" s="25"/>
    </row>
    <row r="164" spans="1:14" ht="24.75" x14ac:dyDescent="0.25">
      <c r="A164" s="21" t="s">
        <v>8183</v>
      </c>
      <c r="B164" s="22" t="s">
        <v>8184</v>
      </c>
      <c r="C164" s="2">
        <v>23</v>
      </c>
      <c r="D164" s="23">
        <v>13.88</v>
      </c>
      <c r="E164" s="3">
        <v>319.24</v>
      </c>
      <c r="F164" s="2" t="s">
        <v>11210</v>
      </c>
      <c r="G164" s="22" t="s">
        <v>19415</v>
      </c>
      <c r="H164" s="24" t="s">
        <v>19364</v>
      </c>
      <c r="I164" s="22" t="s">
        <v>19309</v>
      </c>
      <c r="J164" s="22" t="s">
        <v>19565</v>
      </c>
      <c r="K164" s="22" t="s">
        <v>18548</v>
      </c>
      <c r="L164" s="22"/>
      <c r="M164" s="22"/>
      <c r="N164" s="25"/>
    </row>
    <row r="165" spans="1:14" ht="24.75" x14ac:dyDescent="0.25">
      <c r="A165" s="21" t="s">
        <v>8398</v>
      </c>
      <c r="B165" s="22" t="s">
        <v>8399</v>
      </c>
      <c r="C165" s="2">
        <v>24</v>
      </c>
      <c r="D165" s="23">
        <v>13.88</v>
      </c>
      <c r="E165" s="3">
        <v>333.12</v>
      </c>
      <c r="F165" s="2" t="s">
        <v>11210</v>
      </c>
      <c r="G165" s="22" t="s">
        <v>19415</v>
      </c>
      <c r="H165" s="24" t="s">
        <v>19352</v>
      </c>
      <c r="I165" s="22" t="s">
        <v>19309</v>
      </c>
      <c r="J165" s="22" t="s">
        <v>19565</v>
      </c>
      <c r="K165" s="22" t="s">
        <v>18548</v>
      </c>
      <c r="L165" s="22"/>
      <c r="M165" s="22"/>
      <c r="N165" s="25"/>
    </row>
    <row r="166" spans="1:14" ht="24.75" x14ac:dyDescent="0.25">
      <c r="A166" s="21" t="s">
        <v>8634</v>
      </c>
      <c r="B166" s="22" t="s">
        <v>8635</v>
      </c>
      <c r="C166" s="2">
        <v>24</v>
      </c>
      <c r="D166" s="23">
        <v>13.88</v>
      </c>
      <c r="E166" s="3">
        <v>333.12</v>
      </c>
      <c r="F166" s="2" t="s">
        <v>11210</v>
      </c>
      <c r="G166" s="22" t="s">
        <v>19415</v>
      </c>
      <c r="H166" s="24" t="s">
        <v>19339</v>
      </c>
      <c r="I166" s="22" t="s">
        <v>19309</v>
      </c>
      <c r="J166" s="22" t="s">
        <v>19565</v>
      </c>
      <c r="K166" s="22" t="s">
        <v>18548</v>
      </c>
      <c r="L166" s="22"/>
      <c r="M166" s="22"/>
      <c r="N166" s="25"/>
    </row>
    <row r="167" spans="1:14" ht="24.75" x14ac:dyDescent="0.25">
      <c r="A167" s="21" t="s">
        <v>11208</v>
      </c>
      <c r="B167" s="22" t="s">
        <v>11209</v>
      </c>
      <c r="C167" s="2">
        <v>23</v>
      </c>
      <c r="D167" s="23">
        <v>13.88</v>
      </c>
      <c r="E167" s="3">
        <v>319.24</v>
      </c>
      <c r="F167" s="2" t="s">
        <v>11210</v>
      </c>
      <c r="G167" s="22" t="s">
        <v>19415</v>
      </c>
      <c r="H167" s="24" t="s">
        <v>19308</v>
      </c>
      <c r="I167" s="22" t="s">
        <v>19309</v>
      </c>
      <c r="J167" s="22" t="s">
        <v>19565</v>
      </c>
      <c r="K167" s="22" t="s">
        <v>18548</v>
      </c>
      <c r="L167" s="22"/>
      <c r="M167" s="22"/>
      <c r="N167" s="25"/>
    </row>
    <row r="168" spans="1:14" ht="24.75" x14ac:dyDescent="0.25">
      <c r="A168" s="21" t="s">
        <v>9377</v>
      </c>
      <c r="B168" s="22" t="s">
        <v>9378</v>
      </c>
      <c r="C168" s="2">
        <v>24</v>
      </c>
      <c r="D168" s="23">
        <v>11.55</v>
      </c>
      <c r="E168" s="3">
        <v>277.2</v>
      </c>
      <c r="F168" s="2" t="s">
        <v>17372</v>
      </c>
      <c r="G168" s="22" t="s">
        <v>19618</v>
      </c>
      <c r="H168" s="24" t="s">
        <v>19364</v>
      </c>
      <c r="I168" s="22" t="s">
        <v>19309</v>
      </c>
      <c r="J168" s="22" t="s">
        <v>19565</v>
      </c>
      <c r="K168" s="22" t="s">
        <v>18548</v>
      </c>
      <c r="L168" s="22"/>
      <c r="M168" s="22"/>
      <c r="N168" s="25"/>
    </row>
    <row r="169" spans="1:14" ht="24.75" x14ac:dyDescent="0.25">
      <c r="A169" s="21" t="s">
        <v>8400</v>
      </c>
      <c r="B169" s="22" t="s">
        <v>8401</v>
      </c>
      <c r="C169" s="2">
        <v>24</v>
      </c>
      <c r="D169" s="23">
        <v>11.55</v>
      </c>
      <c r="E169" s="3">
        <v>277.2</v>
      </c>
      <c r="F169" s="2" t="s">
        <v>17372</v>
      </c>
      <c r="G169" s="22" t="s">
        <v>19618</v>
      </c>
      <c r="H169" s="24" t="s">
        <v>19352</v>
      </c>
      <c r="I169" s="22" t="s">
        <v>19309</v>
      </c>
      <c r="J169" s="22" t="s">
        <v>19565</v>
      </c>
      <c r="K169" s="22" t="s">
        <v>18548</v>
      </c>
      <c r="L169" s="22"/>
      <c r="M169" s="22"/>
      <c r="N169" s="25"/>
    </row>
    <row r="170" spans="1:14" ht="24.75" x14ac:dyDescent="0.25">
      <c r="A170" s="21" t="s">
        <v>8187</v>
      </c>
      <c r="B170" s="22" t="s">
        <v>8188</v>
      </c>
      <c r="C170" s="2">
        <v>12</v>
      </c>
      <c r="D170" s="23">
        <v>13.99</v>
      </c>
      <c r="E170" s="3">
        <v>167.88</v>
      </c>
      <c r="F170" s="2" t="s">
        <v>11213</v>
      </c>
      <c r="G170" s="22"/>
      <c r="H170" s="24" t="s">
        <v>19324</v>
      </c>
      <c r="I170" s="22" t="s">
        <v>19309</v>
      </c>
      <c r="J170" s="22" t="s">
        <v>19385</v>
      </c>
      <c r="K170" s="22" t="s">
        <v>11214</v>
      </c>
      <c r="L170" s="22"/>
      <c r="M170" s="22"/>
      <c r="N170" s="25"/>
    </row>
    <row r="171" spans="1:14" x14ac:dyDescent="0.25">
      <c r="A171" s="21" t="s">
        <v>8636</v>
      </c>
      <c r="B171" s="22" t="s">
        <v>8637</v>
      </c>
      <c r="C171" s="2">
        <v>7</v>
      </c>
      <c r="D171" s="23">
        <v>12</v>
      </c>
      <c r="E171" s="3">
        <v>84</v>
      </c>
      <c r="F171" s="2" t="s">
        <v>9659</v>
      </c>
      <c r="G171" s="22"/>
      <c r="H171" s="24" t="s">
        <v>19367</v>
      </c>
      <c r="I171" s="22" t="s">
        <v>19309</v>
      </c>
      <c r="J171" s="22" t="s">
        <v>19708</v>
      </c>
      <c r="K171" s="22" t="s">
        <v>19709</v>
      </c>
      <c r="L171" s="22"/>
      <c r="M171" s="22"/>
      <c r="N171" s="25"/>
    </row>
  </sheetData>
  <phoneticPr fontId="0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6"/>
  <sheetViews>
    <sheetView workbookViewId="0">
      <selection activeCell="F16" sqref="F16"/>
    </sheetView>
  </sheetViews>
  <sheetFormatPr defaultRowHeight="15" x14ac:dyDescent="0.25"/>
  <cols>
    <col min="1" max="1" width="14.42578125" customWidth="1"/>
    <col min="2" max="2" width="50.85546875" customWidth="1"/>
    <col min="3" max="4" width="15" customWidth="1"/>
    <col min="5" max="5" width="10.85546875" customWidth="1"/>
    <col min="6" max="6" width="13.5703125" customWidth="1"/>
    <col min="7" max="8" width="11.42578125" customWidth="1"/>
    <col min="9" max="9" width="10.85546875" customWidth="1"/>
    <col min="10" max="10" width="12.140625" customWidth="1"/>
    <col min="11" max="11" width="36.5703125" bestFit="1" customWidth="1"/>
    <col min="12" max="13" width="20.5703125" customWidth="1"/>
    <col min="14" max="14" width="64.42578125" customWidth="1"/>
  </cols>
  <sheetData>
    <row r="1" spans="1:14" ht="36" x14ac:dyDescent="0.25">
      <c r="A1" s="1" t="s">
        <v>19291</v>
      </c>
      <c r="B1" s="1" t="s">
        <v>19292</v>
      </c>
      <c r="C1" s="1" t="s">
        <v>19293</v>
      </c>
      <c r="D1" s="1" t="s">
        <v>19284</v>
      </c>
      <c r="E1" s="1" t="s">
        <v>19294</v>
      </c>
      <c r="F1" s="1" t="s">
        <v>19295</v>
      </c>
      <c r="G1" s="1" t="s">
        <v>19296</v>
      </c>
      <c r="H1" s="1" t="s">
        <v>19297</v>
      </c>
      <c r="I1" s="1" t="s">
        <v>19298</v>
      </c>
      <c r="J1" s="1" t="s">
        <v>19299</v>
      </c>
      <c r="K1" s="1" t="s">
        <v>19300</v>
      </c>
      <c r="L1" s="1" t="s">
        <v>19301</v>
      </c>
      <c r="M1" s="1" t="s">
        <v>19302</v>
      </c>
      <c r="N1" s="1" t="s">
        <v>19303</v>
      </c>
    </row>
    <row r="2" spans="1:14" ht="24.75" x14ac:dyDescent="0.25">
      <c r="A2" s="21" t="s">
        <v>8638</v>
      </c>
      <c r="B2" s="22" t="s">
        <v>8639</v>
      </c>
      <c r="C2" s="2">
        <v>1</v>
      </c>
      <c r="D2" s="23">
        <v>155</v>
      </c>
      <c r="E2" s="3">
        <v>155</v>
      </c>
      <c r="F2" s="2">
        <v>321854454001</v>
      </c>
      <c r="G2" s="22" t="s">
        <v>19315</v>
      </c>
      <c r="H2" s="24" t="s">
        <v>19345</v>
      </c>
      <c r="I2" s="22" t="s">
        <v>19309</v>
      </c>
      <c r="J2" s="22" t="s">
        <v>19335</v>
      </c>
      <c r="K2" s="22" t="s">
        <v>19326</v>
      </c>
      <c r="L2" s="22"/>
      <c r="M2" s="22"/>
      <c r="N2" s="25" t="str">
        <f>HYPERLINK("http://slimages.macys.com/is/image/MCY/21284802 ")</f>
        <v xml:space="preserve">http://slimages.macys.com/is/image/MCY/21284802 </v>
      </c>
    </row>
    <row r="3" spans="1:14" ht="24.75" x14ac:dyDescent="0.25">
      <c r="A3" s="21" t="s">
        <v>8640</v>
      </c>
      <c r="B3" s="22" t="s">
        <v>8641</v>
      </c>
      <c r="C3" s="2">
        <v>1</v>
      </c>
      <c r="D3" s="23">
        <v>59.99</v>
      </c>
      <c r="E3" s="3">
        <v>59.99</v>
      </c>
      <c r="F3" s="2" t="s">
        <v>8642</v>
      </c>
      <c r="G3" s="22" t="s">
        <v>18439</v>
      </c>
      <c r="H3" s="24" t="s">
        <v>19345</v>
      </c>
      <c r="I3" s="22" t="s">
        <v>19309</v>
      </c>
      <c r="J3" s="22" t="s">
        <v>15506</v>
      </c>
      <c r="K3" s="22" t="s">
        <v>8643</v>
      </c>
      <c r="L3" s="22"/>
      <c r="M3" s="22"/>
      <c r="N3" s="25" t="str">
        <f>HYPERLINK("http://slimages.macys.com/is/image/MCY/19800257 ")</f>
        <v xml:space="preserve">http://slimages.macys.com/is/image/MCY/19800257 </v>
      </c>
    </row>
    <row r="4" spans="1:14" ht="24.75" x14ac:dyDescent="0.25">
      <c r="A4" s="21" t="s">
        <v>8644</v>
      </c>
      <c r="B4" s="22" t="s">
        <v>8645</v>
      </c>
      <c r="C4" s="2">
        <v>1</v>
      </c>
      <c r="D4" s="23">
        <v>50</v>
      </c>
      <c r="E4" s="3">
        <v>50</v>
      </c>
      <c r="F4" s="2" t="s">
        <v>8646</v>
      </c>
      <c r="G4" s="22" t="s">
        <v>19467</v>
      </c>
      <c r="H4" s="24" t="s">
        <v>8647</v>
      </c>
      <c r="I4" s="22" t="s">
        <v>19309</v>
      </c>
      <c r="J4" s="22" t="s">
        <v>17328</v>
      </c>
      <c r="K4" s="22" t="s">
        <v>8648</v>
      </c>
      <c r="L4" s="22" t="s">
        <v>19319</v>
      </c>
      <c r="M4" s="22" t="s">
        <v>8649</v>
      </c>
      <c r="N4" s="25" t="str">
        <f>HYPERLINK("http://slimages.macys.com/is/image/MCY/16662201 ")</f>
        <v xml:space="preserve">http://slimages.macys.com/is/image/MCY/16662201 </v>
      </c>
    </row>
    <row r="5" spans="1:14" ht="24.75" x14ac:dyDescent="0.25">
      <c r="A5" s="21" t="s">
        <v>8650</v>
      </c>
      <c r="B5" s="22" t="s">
        <v>8651</v>
      </c>
      <c r="C5" s="2">
        <v>2</v>
      </c>
      <c r="D5" s="23">
        <v>50</v>
      </c>
      <c r="E5" s="3">
        <v>100</v>
      </c>
      <c r="F5" s="2" t="s">
        <v>8646</v>
      </c>
      <c r="G5" s="22" t="s">
        <v>19467</v>
      </c>
      <c r="H5" s="24" t="s">
        <v>11850</v>
      </c>
      <c r="I5" s="22" t="s">
        <v>19309</v>
      </c>
      <c r="J5" s="22" t="s">
        <v>17328</v>
      </c>
      <c r="K5" s="22" t="s">
        <v>8648</v>
      </c>
      <c r="L5" s="22"/>
      <c r="M5" s="22"/>
      <c r="N5" s="25" t="str">
        <f>HYPERLINK("http://slimages.macys.com/is/image/MCY/16662201 ")</f>
        <v xml:space="preserve">http://slimages.macys.com/is/image/MCY/16662201 </v>
      </c>
    </row>
    <row r="6" spans="1:14" ht="24.75" x14ac:dyDescent="0.25">
      <c r="A6" s="21" t="s">
        <v>8652</v>
      </c>
      <c r="B6" s="22" t="s">
        <v>8653</v>
      </c>
      <c r="C6" s="2">
        <v>1</v>
      </c>
      <c r="D6" s="23">
        <v>45</v>
      </c>
      <c r="E6" s="3">
        <v>45</v>
      </c>
      <c r="F6" s="2" t="s">
        <v>8654</v>
      </c>
      <c r="G6" s="22" t="s">
        <v>18073</v>
      </c>
      <c r="H6" s="24" t="s">
        <v>19308</v>
      </c>
      <c r="I6" s="22" t="s">
        <v>19309</v>
      </c>
      <c r="J6" s="22" t="s">
        <v>19447</v>
      </c>
      <c r="K6" s="22" t="s">
        <v>17538</v>
      </c>
      <c r="L6" s="22"/>
      <c r="M6" s="22"/>
      <c r="N6" s="25" t="str">
        <f>HYPERLINK("http://slimages.macys.com/is/image/MCY/20604602 ")</f>
        <v xml:space="preserve">http://slimages.macys.com/is/image/MCY/20604602 </v>
      </c>
    </row>
    <row r="7" spans="1:14" ht="24.75" x14ac:dyDescent="0.25">
      <c r="A7" s="21" t="s">
        <v>8655</v>
      </c>
      <c r="B7" s="22" t="s">
        <v>8656</v>
      </c>
      <c r="C7" s="2">
        <v>1</v>
      </c>
      <c r="D7" s="23">
        <v>40.99</v>
      </c>
      <c r="E7" s="3">
        <v>40.99</v>
      </c>
      <c r="F7" s="2">
        <v>446558</v>
      </c>
      <c r="G7" s="22" t="s">
        <v>19467</v>
      </c>
      <c r="H7" s="24" t="s">
        <v>18168</v>
      </c>
      <c r="I7" s="22" t="s">
        <v>19309</v>
      </c>
      <c r="J7" s="22" t="s">
        <v>16678</v>
      </c>
      <c r="K7" s="22" t="s">
        <v>10844</v>
      </c>
      <c r="L7" s="22"/>
      <c r="M7" s="22"/>
      <c r="N7" s="25" t="str">
        <f>HYPERLINK("http://slimages.macys.com/is/image/MCY/1687779 ")</f>
        <v xml:space="preserve">http://slimages.macys.com/is/image/MCY/1687779 </v>
      </c>
    </row>
    <row r="8" spans="1:14" ht="24.75" x14ac:dyDescent="0.25">
      <c r="A8" s="21" t="s">
        <v>8657</v>
      </c>
      <c r="B8" s="22" t="s">
        <v>8658</v>
      </c>
      <c r="C8" s="2">
        <v>1</v>
      </c>
      <c r="D8" s="23">
        <v>45</v>
      </c>
      <c r="E8" s="3">
        <v>45</v>
      </c>
      <c r="F8" s="2">
        <v>322677131005</v>
      </c>
      <c r="G8" s="22" t="s">
        <v>19351</v>
      </c>
      <c r="H8" s="24" t="s">
        <v>19542</v>
      </c>
      <c r="I8" s="22" t="s">
        <v>19309</v>
      </c>
      <c r="J8" s="22" t="s">
        <v>8659</v>
      </c>
      <c r="K8" s="22" t="s">
        <v>19326</v>
      </c>
      <c r="L8" s="22" t="s">
        <v>19319</v>
      </c>
      <c r="M8" s="22" t="s">
        <v>17531</v>
      </c>
      <c r="N8" s="25" t="str">
        <f>HYPERLINK("http://slimages.macys.com/is/image/MCY/9538022 ")</f>
        <v xml:space="preserve">http://slimages.macys.com/is/image/MCY/9538022 </v>
      </c>
    </row>
    <row r="9" spans="1:14" ht="24.75" x14ac:dyDescent="0.25">
      <c r="A9" s="21" t="s">
        <v>9803</v>
      </c>
      <c r="B9" s="22" t="s">
        <v>9804</v>
      </c>
      <c r="C9" s="2">
        <v>7</v>
      </c>
      <c r="D9" s="23">
        <v>39.5</v>
      </c>
      <c r="E9" s="3">
        <v>276.5</v>
      </c>
      <c r="F9" s="2">
        <v>322842275002</v>
      </c>
      <c r="G9" s="22" t="s">
        <v>19333</v>
      </c>
      <c r="H9" s="24" t="s">
        <v>19542</v>
      </c>
      <c r="I9" s="22" t="s">
        <v>19309</v>
      </c>
      <c r="J9" s="22" t="s">
        <v>19335</v>
      </c>
      <c r="K9" s="22" t="s">
        <v>19326</v>
      </c>
      <c r="L9" s="22"/>
      <c r="M9" s="22"/>
      <c r="N9" s="25" t="str">
        <f>HYPERLINK("http://slimages.macys.com/is/image/MCY/19469073 ")</f>
        <v xml:space="preserve">http://slimages.macys.com/is/image/MCY/19469073 </v>
      </c>
    </row>
    <row r="10" spans="1:14" ht="24.75" x14ac:dyDescent="0.25">
      <c r="A10" s="21" t="s">
        <v>8660</v>
      </c>
      <c r="B10" s="22" t="s">
        <v>8661</v>
      </c>
      <c r="C10" s="2">
        <v>1</v>
      </c>
      <c r="D10" s="23">
        <v>45</v>
      </c>
      <c r="E10" s="3">
        <v>45</v>
      </c>
      <c r="F10" s="2" t="s">
        <v>8662</v>
      </c>
      <c r="G10" s="22" t="s">
        <v>19618</v>
      </c>
      <c r="H10" s="24"/>
      <c r="I10" s="22" t="s">
        <v>19309</v>
      </c>
      <c r="J10" s="22" t="s">
        <v>19559</v>
      </c>
      <c r="K10" s="22" t="s">
        <v>15236</v>
      </c>
      <c r="L10" s="22"/>
      <c r="M10" s="22"/>
      <c r="N10" s="25" t="str">
        <f>HYPERLINK("http://slimages.macys.com/is/image/MCY/21255518 ")</f>
        <v xml:space="preserve">http://slimages.macys.com/is/image/MCY/21255518 </v>
      </c>
    </row>
    <row r="11" spans="1:14" ht="24.75" x14ac:dyDescent="0.25">
      <c r="A11" s="21" t="s">
        <v>8663</v>
      </c>
      <c r="B11" s="22" t="s">
        <v>8664</v>
      </c>
      <c r="C11" s="2">
        <v>1</v>
      </c>
      <c r="D11" s="23">
        <v>40</v>
      </c>
      <c r="E11" s="3">
        <v>40</v>
      </c>
      <c r="F11" s="2" t="s">
        <v>8665</v>
      </c>
      <c r="G11" s="22" t="s">
        <v>18439</v>
      </c>
      <c r="H11" s="24" t="s">
        <v>19352</v>
      </c>
      <c r="I11" s="22" t="s">
        <v>19309</v>
      </c>
      <c r="J11" s="22" t="s">
        <v>19310</v>
      </c>
      <c r="K11" s="22" t="s">
        <v>17538</v>
      </c>
      <c r="L11" s="22"/>
      <c r="M11" s="22"/>
      <c r="N11" s="25" t="str">
        <f>HYPERLINK("http://slimages.macys.com/is/image/MCY/20582080 ")</f>
        <v xml:space="preserve">http://slimages.macys.com/is/image/MCY/20582080 </v>
      </c>
    </row>
    <row r="12" spans="1:14" ht="24.75" x14ac:dyDescent="0.25">
      <c r="A12" s="21" t="s">
        <v>8666</v>
      </c>
      <c r="B12" s="22" t="s">
        <v>8667</v>
      </c>
      <c r="C12" s="2">
        <v>1</v>
      </c>
      <c r="D12" s="23">
        <v>39.99</v>
      </c>
      <c r="E12" s="3">
        <v>39.99</v>
      </c>
      <c r="F12" s="2" t="s">
        <v>13625</v>
      </c>
      <c r="G12" s="22" t="s">
        <v>19333</v>
      </c>
      <c r="H12" s="24" t="s">
        <v>19501</v>
      </c>
      <c r="I12" s="22" t="s">
        <v>19309</v>
      </c>
      <c r="J12" s="22" t="s">
        <v>19405</v>
      </c>
      <c r="K12" s="22" t="s">
        <v>19406</v>
      </c>
      <c r="L12" s="22" t="s">
        <v>19319</v>
      </c>
      <c r="M12" s="22" t="s">
        <v>13626</v>
      </c>
      <c r="N12" s="25" t="str">
        <f>HYPERLINK("http://slimages.macys.com/is/image/MCY/3696437 ")</f>
        <v xml:space="preserve">http://slimages.macys.com/is/image/MCY/3696437 </v>
      </c>
    </row>
    <row r="13" spans="1:14" ht="24.75" x14ac:dyDescent="0.25">
      <c r="A13" s="21" t="s">
        <v>8668</v>
      </c>
      <c r="B13" s="22" t="s">
        <v>8669</v>
      </c>
      <c r="C13" s="2">
        <v>1</v>
      </c>
      <c r="D13" s="23">
        <v>38.99</v>
      </c>
      <c r="E13" s="3">
        <v>38.99</v>
      </c>
      <c r="F13" s="2" t="s">
        <v>8670</v>
      </c>
      <c r="G13" s="22" t="s">
        <v>19351</v>
      </c>
      <c r="H13" s="24" t="s">
        <v>19538</v>
      </c>
      <c r="I13" s="22" t="s">
        <v>19309</v>
      </c>
      <c r="J13" s="22" t="s">
        <v>19417</v>
      </c>
      <c r="K13" s="22" t="s">
        <v>19969</v>
      </c>
      <c r="L13" s="22" t="s">
        <v>19319</v>
      </c>
      <c r="M13" s="22" t="s">
        <v>8671</v>
      </c>
      <c r="N13" s="25" t="str">
        <f>HYPERLINK("http://slimages.macys.com/is/image/MCY/15357856 ")</f>
        <v xml:space="preserve">http://slimages.macys.com/is/image/MCY/15357856 </v>
      </c>
    </row>
    <row r="14" spans="1:14" ht="24.75" x14ac:dyDescent="0.25">
      <c r="A14" s="21" t="s">
        <v>13632</v>
      </c>
      <c r="B14" s="22" t="s">
        <v>13633</v>
      </c>
      <c r="C14" s="2">
        <v>1</v>
      </c>
      <c r="D14" s="23">
        <v>34.99</v>
      </c>
      <c r="E14" s="3">
        <v>34.99</v>
      </c>
      <c r="F14" s="2" t="s">
        <v>15539</v>
      </c>
      <c r="G14" s="22" t="s">
        <v>19333</v>
      </c>
      <c r="H14" s="24" t="s">
        <v>19384</v>
      </c>
      <c r="I14" s="22" t="s">
        <v>19309</v>
      </c>
      <c r="J14" s="22" t="s">
        <v>19385</v>
      </c>
      <c r="K14" s="22" t="s">
        <v>19386</v>
      </c>
      <c r="L14" s="22"/>
      <c r="M14" s="22"/>
      <c r="N14" s="25" t="str">
        <f>HYPERLINK("http://slimages.macys.com/is/image/MCY/21185185 ")</f>
        <v xml:space="preserve">http://slimages.macys.com/is/image/MCY/21185185 </v>
      </c>
    </row>
    <row r="15" spans="1:14" ht="24.75" x14ac:dyDescent="0.25">
      <c r="A15" s="21" t="s">
        <v>8672</v>
      </c>
      <c r="B15" s="22" t="s">
        <v>8673</v>
      </c>
      <c r="C15" s="2">
        <v>1</v>
      </c>
      <c r="D15" s="23">
        <v>39.99</v>
      </c>
      <c r="E15" s="3">
        <v>39.99</v>
      </c>
      <c r="F15" s="2" t="s">
        <v>8674</v>
      </c>
      <c r="G15" s="22" t="s">
        <v>19383</v>
      </c>
      <c r="H15" s="24" t="s">
        <v>19538</v>
      </c>
      <c r="I15" s="22" t="s">
        <v>19309</v>
      </c>
      <c r="J15" s="22" t="s">
        <v>19385</v>
      </c>
      <c r="K15" s="22" t="s">
        <v>19386</v>
      </c>
      <c r="L15" s="22"/>
      <c r="M15" s="22"/>
      <c r="N15" s="25" t="str">
        <f>HYPERLINK("http://slimages.macys.com/is/image/MCY/21000291 ")</f>
        <v xml:space="preserve">http://slimages.macys.com/is/image/MCY/21000291 </v>
      </c>
    </row>
    <row r="16" spans="1:14" ht="24.75" x14ac:dyDescent="0.25">
      <c r="A16" s="21" t="s">
        <v>8675</v>
      </c>
      <c r="B16" s="22" t="s">
        <v>8676</v>
      </c>
      <c r="C16" s="2">
        <v>2</v>
      </c>
      <c r="D16" s="23">
        <v>36.99</v>
      </c>
      <c r="E16" s="3">
        <v>73.98</v>
      </c>
      <c r="F16" s="2" t="s">
        <v>8677</v>
      </c>
      <c r="G16" s="22" t="s">
        <v>19439</v>
      </c>
      <c r="H16" s="24" t="s">
        <v>19432</v>
      </c>
      <c r="I16" s="22" t="s">
        <v>19309</v>
      </c>
      <c r="J16" s="22" t="s">
        <v>19310</v>
      </c>
      <c r="K16" s="22" t="s">
        <v>8678</v>
      </c>
      <c r="L16" s="22"/>
      <c r="M16" s="22"/>
      <c r="N16" s="25" t="str">
        <f>HYPERLINK("http://slimages.macys.com/is/image/MCY/21305453 ")</f>
        <v xml:space="preserve">http://slimages.macys.com/is/image/MCY/21305453 </v>
      </c>
    </row>
    <row r="17" spans="1:14" ht="24.75" x14ac:dyDescent="0.25">
      <c r="A17" s="21" t="s">
        <v>8679</v>
      </c>
      <c r="B17" s="22" t="s">
        <v>8680</v>
      </c>
      <c r="C17" s="2">
        <v>19</v>
      </c>
      <c r="D17" s="23">
        <v>36.99</v>
      </c>
      <c r="E17" s="3">
        <v>702.81</v>
      </c>
      <c r="F17" s="2" t="s">
        <v>8677</v>
      </c>
      <c r="G17" s="22" t="s">
        <v>19439</v>
      </c>
      <c r="H17" s="24" t="s">
        <v>19542</v>
      </c>
      <c r="I17" s="22" t="s">
        <v>19309</v>
      </c>
      <c r="J17" s="22" t="s">
        <v>19310</v>
      </c>
      <c r="K17" s="22" t="s">
        <v>8678</v>
      </c>
      <c r="L17" s="22"/>
      <c r="M17" s="22"/>
      <c r="N17" s="25" t="str">
        <f>HYPERLINK("http://slimages.macys.com/is/image/MCY/21305453 ")</f>
        <v xml:space="preserve">http://slimages.macys.com/is/image/MCY/21305453 </v>
      </c>
    </row>
    <row r="18" spans="1:14" ht="24.75" x14ac:dyDescent="0.25">
      <c r="A18" s="21" t="s">
        <v>8681</v>
      </c>
      <c r="B18" s="22" t="s">
        <v>8682</v>
      </c>
      <c r="C18" s="2">
        <v>1</v>
      </c>
      <c r="D18" s="23">
        <v>29.99</v>
      </c>
      <c r="E18" s="3">
        <v>29.99</v>
      </c>
      <c r="F18" s="2" t="s">
        <v>8683</v>
      </c>
      <c r="G18" s="22" t="s">
        <v>19351</v>
      </c>
      <c r="H18" s="24" t="s">
        <v>19377</v>
      </c>
      <c r="I18" s="22" t="s">
        <v>19309</v>
      </c>
      <c r="J18" s="22" t="s">
        <v>19447</v>
      </c>
      <c r="K18" s="22" t="s">
        <v>13616</v>
      </c>
      <c r="L18" s="22"/>
      <c r="M18" s="22"/>
      <c r="N18" s="25" t="str">
        <f>HYPERLINK("http://slimages.macys.com/is/image/MCY/21256768 ")</f>
        <v xml:space="preserve">http://slimages.macys.com/is/image/MCY/21256768 </v>
      </c>
    </row>
    <row r="19" spans="1:14" ht="24.75" x14ac:dyDescent="0.25">
      <c r="A19" s="21" t="s">
        <v>8684</v>
      </c>
      <c r="B19" s="22" t="s">
        <v>8685</v>
      </c>
      <c r="C19" s="2">
        <v>1</v>
      </c>
      <c r="D19" s="23">
        <v>27.99</v>
      </c>
      <c r="E19" s="3">
        <v>27.99</v>
      </c>
      <c r="F19" s="2" t="s">
        <v>8686</v>
      </c>
      <c r="G19" s="22" t="s">
        <v>19801</v>
      </c>
      <c r="H19" s="24" t="s">
        <v>19330</v>
      </c>
      <c r="I19" s="22" t="s">
        <v>19309</v>
      </c>
      <c r="J19" s="22" t="s">
        <v>19491</v>
      </c>
      <c r="K19" s="22" t="s">
        <v>12872</v>
      </c>
      <c r="L19" s="22"/>
      <c r="M19" s="22"/>
      <c r="N19" s="25" t="str">
        <f>HYPERLINK("http://slimages.macys.com/is/image/MCY/21395967 ")</f>
        <v xml:space="preserve">http://slimages.macys.com/is/image/MCY/21395967 </v>
      </c>
    </row>
    <row r="20" spans="1:14" ht="24.75" x14ac:dyDescent="0.25">
      <c r="A20" s="21" t="s">
        <v>8687</v>
      </c>
      <c r="B20" s="22" t="s">
        <v>8688</v>
      </c>
      <c r="C20" s="2">
        <v>1</v>
      </c>
      <c r="D20" s="23">
        <v>49.5</v>
      </c>
      <c r="E20" s="3">
        <v>49.5</v>
      </c>
      <c r="F20" s="2" t="s">
        <v>8689</v>
      </c>
      <c r="G20" s="22" t="s">
        <v>19404</v>
      </c>
      <c r="H20" s="24" t="s">
        <v>19399</v>
      </c>
      <c r="I20" s="22" t="s">
        <v>19309</v>
      </c>
      <c r="J20" s="22" t="s">
        <v>15149</v>
      </c>
      <c r="K20" s="22" t="s">
        <v>19546</v>
      </c>
      <c r="L20" s="22"/>
      <c r="M20" s="22"/>
      <c r="N20" s="25" t="str">
        <f>HYPERLINK("http://slimages.macys.com/is/image/MCY/21615911 ")</f>
        <v xml:space="preserve">http://slimages.macys.com/is/image/MCY/21615911 </v>
      </c>
    </row>
    <row r="21" spans="1:14" ht="24.75" x14ac:dyDescent="0.25">
      <c r="A21" s="21" t="s">
        <v>11741</v>
      </c>
      <c r="B21" s="22" t="s">
        <v>11742</v>
      </c>
      <c r="C21" s="2">
        <v>1</v>
      </c>
      <c r="D21" s="23">
        <v>33.99</v>
      </c>
      <c r="E21" s="3">
        <v>33.99</v>
      </c>
      <c r="F21" s="2" t="s">
        <v>11743</v>
      </c>
      <c r="G21" s="22"/>
      <c r="H21" s="24" t="s">
        <v>19330</v>
      </c>
      <c r="I21" s="22" t="s">
        <v>19309</v>
      </c>
      <c r="J21" s="22" t="s">
        <v>19385</v>
      </c>
      <c r="K21" s="22" t="s">
        <v>19487</v>
      </c>
      <c r="L21" s="22"/>
      <c r="M21" s="22"/>
      <c r="N21" s="25" t="str">
        <f>HYPERLINK("http://slimages.macys.com/is/image/MCY/21174123 ")</f>
        <v xml:space="preserve">http://slimages.macys.com/is/image/MCY/21174123 </v>
      </c>
    </row>
    <row r="22" spans="1:14" ht="24.75" x14ac:dyDescent="0.25">
      <c r="A22" s="21" t="s">
        <v>8690</v>
      </c>
      <c r="B22" s="22" t="s">
        <v>8691</v>
      </c>
      <c r="C22" s="2">
        <v>1</v>
      </c>
      <c r="D22" s="23">
        <v>49.5</v>
      </c>
      <c r="E22" s="3">
        <v>49.5</v>
      </c>
      <c r="F22" s="2">
        <v>100147696</v>
      </c>
      <c r="G22" s="22" t="s">
        <v>17811</v>
      </c>
      <c r="H22" s="24" t="s">
        <v>13630</v>
      </c>
      <c r="I22" s="22" t="s">
        <v>19309</v>
      </c>
      <c r="J22" s="22" t="s">
        <v>17328</v>
      </c>
      <c r="K22" s="22" t="s">
        <v>11851</v>
      </c>
      <c r="L22" s="22"/>
      <c r="M22" s="22"/>
      <c r="N22" s="25" t="str">
        <f>HYPERLINK("http://slimages.macys.com/is/image/MCY/1431233 ")</f>
        <v xml:space="preserve">http://slimages.macys.com/is/image/MCY/1431233 </v>
      </c>
    </row>
    <row r="23" spans="1:14" ht="24.75" x14ac:dyDescent="0.25">
      <c r="A23" s="21" t="s">
        <v>8692</v>
      </c>
      <c r="B23" s="22" t="s">
        <v>8693</v>
      </c>
      <c r="C23" s="2">
        <v>1</v>
      </c>
      <c r="D23" s="23">
        <v>49.5</v>
      </c>
      <c r="E23" s="3">
        <v>49.5</v>
      </c>
      <c r="F23" s="2">
        <v>100147696</v>
      </c>
      <c r="G23" s="22" t="s">
        <v>19315</v>
      </c>
      <c r="H23" s="24" t="s">
        <v>15565</v>
      </c>
      <c r="I23" s="22" t="s">
        <v>19309</v>
      </c>
      <c r="J23" s="22" t="s">
        <v>17328</v>
      </c>
      <c r="K23" s="22" t="s">
        <v>11851</v>
      </c>
      <c r="L23" s="22"/>
      <c r="M23" s="22"/>
      <c r="N23" s="25" t="str">
        <f>HYPERLINK("http://slimages.macys.com/is/image/MCY/1431232 ")</f>
        <v xml:space="preserve">http://slimages.macys.com/is/image/MCY/1431232 </v>
      </c>
    </row>
    <row r="24" spans="1:14" ht="24.75" x14ac:dyDescent="0.25">
      <c r="A24" s="21" t="s">
        <v>8694</v>
      </c>
      <c r="B24" s="22" t="s">
        <v>8695</v>
      </c>
      <c r="C24" s="2">
        <v>1</v>
      </c>
      <c r="D24" s="23">
        <v>49.5</v>
      </c>
      <c r="E24" s="3">
        <v>49.5</v>
      </c>
      <c r="F24" s="2">
        <v>100147696</v>
      </c>
      <c r="G24" s="22" t="s">
        <v>19315</v>
      </c>
      <c r="H24" s="24" t="s">
        <v>11850</v>
      </c>
      <c r="I24" s="22" t="s">
        <v>19309</v>
      </c>
      <c r="J24" s="22" t="s">
        <v>17328</v>
      </c>
      <c r="K24" s="22" t="s">
        <v>11851</v>
      </c>
      <c r="L24" s="22"/>
      <c r="M24" s="22"/>
      <c r="N24" s="25" t="str">
        <f>HYPERLINK("http://slimages.macys.com/is/image/MCY/1431232 ")</f>
        <v xml:space="preserve">http://slimages.macys.com/is/image/MCY/1431232 </v>
      </c>
    </row>
    <row r="25" spans="1:14" ht="24.75" x14ac:dyDescent="0.25">
      <c r="A25" s="21" t="s">
        <v>8696</v>
      </c>
      <c r="B25" s="22" t="s">
        <v>8697</v>
      </c>
      <c r="C25" s="2">
        <v>1</v>
      </c>
      <c r="D25" s="23">
        <v>28.99</v>
      </c>
      <c r="E25" s="3">
        <v>28.99</v>
      </c>
      <c r="F25" s="2" t="s">
        <v>8698</v>
      </c>
      <c r="G25" s="22" t="s">
        <v>19422</v>
      </c>
      <c r="H25" s="24" t="s">
        <v>20135</v>
      </c>
      <c r="I25" s="22" t="s">
        <v>19309</v>
      </c>
      <c r="J25" s="22" t="s">
        <v>19573</v>
      </c>
      <c r="K25" s="22" t="s">
        <v>19574</v>
      </c>
      <c r="L25" s="22"/>
      <c r="M25" s="22"/>
      <c r="N25" s="25" t="str">
        <f>HYPERLINK("http://slimages.macys.com/is/image/MCY/2096925 ")</f>
        <v xml:space="preserve">http://slimages.macys.com/is/image/MCY/2096925 </v>
      </c>
    </row>
    <row r="26" spans="1:14" ht="24.75" x14ac:dyDescent="0.25">
      <c r="A26" s="21" t="s">
        <v>8699</v>
      </c>
      <c r="B26" s="22" t="s">
        <v>8700</v>
      </c>
      <c r="C26" s="2">
        <v>10</v>
      </c>
      <c r="D26" s="23">
        <v>36</v>
      </c>
      <c r="E26" s="3">
        <v>360</v>
      </c>
      <c r="F26" s="2" t="s">
        <v>9404</v>
      </c>
      <c r="G26" s="22" t="s">
        <v>19404</v>
      </c>
      <c r="H26" s="24" t="s">
        <v>20159</v>
      </c>
      <c r="I26" s="22" t="s">
        <v>19309</v>
      </c>
      <c r="J26" s="22" t="s">
        <v>19417</v>
      </c>
      <c r="K26" s="22" t="s">
        <v>19854</v>
      </c>
      <c r="L26" s="22"/>
      <c r="M26" s="22"/>
      <c r="N26" s="25" t="str">
        <f>HYPERLINK("http://slimages.macys.com/is/image/MCY/21363431 ")</f>
        <v xml:space="preserve">http://slimages.macys.com/is/image/MCY/21363431 </v>
      </c>
    </row>
    <row r="27" spans="1:14" ht="24.75" x14ac:dyDescent="0.25">
      <c r="A27" s="21" t="s">
        <v>8701</v>
      </c>
      <c r="B27" s="22" t="s">
        <v>8702</v>
      </c>
      <c r="C27" s="2">
        <v>1</v>
      </c>
      <c r="D27" s="23">
        <v>24.99</v>
      </c>
      <c r="E27" s="3">
        <v>24.99</v>
      </c>
      <c r="F27" s="2" t="s">
        <v>8703</v>
      </c>
      <c r="G27" s="22" t="s">
        <v>19342</v>
      </c>
      <c r="H27" s="24" t="s">
        <v>19324</v>
      </c>
      <c r="I27" s="22" t="s">
        <v>19309</v>
      </c>
      <c r="J27" s="22" t="s">
        <v>19385</v>
      </c>
      <c r="K27" s="22" t="s">
        <v>18064</v>
      </c>
      <c r="L27" s="22"/>
      <c r="M27" s="22"/>
      <c r="N27" s="25" t="str">
        <f>HYPERLINK("http://slimages.macys.com/is/image/MCY/21775768 ")</f>
        <v xml:space="preserve">http://slimages.macys.com/is/image/MCY/21775768 </v>
      </c>
    </row>
    <row r="28" spans="1:14" ht="24.75" x14ac:dyDescent="0.25">
      <c r="A28" s="21" t="s">
        <v>8704</v>
      </c>
      <c r="B28" s="22" t="s">
        <v>8705</v>
      </c>
      <c r="C28" s="2">
        <v>1</v>
      </c>
      <c r="D28" s="23">
        <v>29.99</v>
      </c>
      <c r="E28" s="3">
        <v>29.99</v>
      </c>
      <c r="F28" s="2" t="s">
        <v>8706</v>
      </c>
      <c r="G28" s="22" t="s">
        <v>19415</v>
      </c>
      <c r="H28" s="24" t="s">
        <v>19324</v>
      </c>
      <c r="I28" s="22" t="s">
        <v>19309</v>
      </c>
      <c r="J28" s="22" t="s">
        <v>19491</v>
      </c>
      <c r="K28" s="22" t="s">
        <v>15106</v>
      </c>
      <c r="L28" s="22"/>
      <c r="M28" s="22"/>
      <c r="N28" s="25" t="str">
        <f>HYPERLINK("http://slimages.macys.com/is/image/MCY/18699543 ")</f>
        <v xml:space="preserve">http://slimages.macys.com/is/image/MCY/18699543 </v>
      </c>
    </row>
    <row r="29" spans="1:14" ht="24.75" x14ac:dyDescent="0.25">
      <c r="A29" s="21" t="s">
        <v>8707</v>
      </c>
      <c r="B29" s="22" t="s">
        <v>8708</v>
      </c>
      <c r="C29" s="2">
        <v>1</v>
      </c>
      <c r="D29" s="23">
        <v>31.99</v>
      </c>
      <c r="E29" s="3">
        <v>31.99</v>
      </c>
      <c r="F29" s="2">
        <v>7734180</v>
      </c>
      <c r="G29" s="22" t="s">
        <v>19537</v>
      </c>
      <c r="H29" s="24" t="s">
        <v>19339</v>
      </c>
      <c r="I29" s="22" t="s">
        <v>19309</v>
      </c>
      <c r="J29" s="22" t="s">
        <v>19595</v>
      </c>
      <c r="K29" s="22" t="s">
        <v>8709</v>
      </c>
      <c r="L29" s="22"/>
      <c r="M29" s="22"/>
      <c r="N29" s="25" t="str">
        <f>HYPERLINK("http://slimages.macys.com/is/image/MCY/20229687 ")</f>
        <v xml:space="preserve">http://slimages.macys.com/is/image/MCY/20229687 </v>
      </c>
    </row>
    <row r="30" spans="1:14" ht="24.75" x14ac:dyDescent="0.25">
      <c r="A30" s="21" t="s">
        <v>8710</v>
      </c>
      <c r="B30" s="22" t="s">
        <v>8711</v>
      </c>
      <c r="C30" s="2">
        <v>1</v>
      </c>
      <c r="D30" s="23">
        <v>28.99</v>
      </c>
      <c r="E30" s="3">
        <v>28.99</v>
      </c>
      <c r="F30" s="2" t="s">
        <v>8712</v>
      </c>
      <c r="G30" s="22" t="s">
        <v>19351</v>
      </c>
      <c r="H30" s="24" t="s">
        <v>20135</v>
      </c>
      <c r="I30" s="22" t="s">
        <v>19309</v>
      </c>
      <c r="J30" s="22" t="s">
        <v>19573</v>
      </c>
      <c r="K30" s="22" t="s">
        <v>19574</v>
      </c>
      <c r="L30" s="22"/>
      <c r="M30" s="22"/>
      <c r="N30" s="25" t="str">
        <f>HYPERLINK("http://slimages.macys.com/is/image/MCY/21209303 ")</f>
        <v xml:space="preserve">http://slimages.macys.com/is/image/MCY/21209303 </v>
      </c>
    </row>
    <row r="31" spans="1:14" x14ac:dyDescent="0.25">
      <c r="A31" s="21" t="s">
        <v>8713</v>
      </c>
      <c r="B31" s="22" t="s">
        <v>8714</v>
      </c>
      <c r="C31" s="2">
        <v>1</v>
      </c>
      <c r="D31" s="23">
        <v>27.27</v>
      </c>
      <c r="E31" s="3">
        <v>27.27</v>
      </c>
      <c r="F31" s="2" t="s">
        <v>8715</v>
      </c>
      <c r="G31" s="22" t="s">
        <v>19618</v>
      </c>
      <c r="H31" s="24" t="s">
        <v>19542</v>
      </c>
      <c r="I31" s="22" t="s">
        <v>19309</v>
      </c>
      <c r="J31" s="22" t="s">
        <v>19514</v>
      </c>
      <c r="K31" s="22" t="s">
        <v>19406</v>
      </c>
      <c r="L31" s="22"/>
      <c r="M31" s="22"/>
      <c r="N31" s="25" t="str">
        <f>HYPERLINK("http://slimages.macys.com/is/image/MCY/21590832 ")</f>
        <v xml:space="preserve">http://slimages.macys.com/is/image/MCY/21590832 </v>
      </c>
    </row>
    <row r="32" spans="1:14" ht="24.75" x14ac:dyDescent="0.25">
      <c r="A32" s="21" t="s">
        <v>8716</v>
      </c>
      <c r="B32" s="22" t="s">
        <v>8717</v>
      </c>
      <c r="C32" s="2">
        <v>2</v>
      </c>
      <c r="D32" s="23">
        <v>29.99</v>
      </c>
      <c r="E32" s="3">
        <v>59.98</v>
      </c>
      <c r="F32" s="2" t="s">
        <v>8718</v>
      </c>
      <c r="G32" s="22" t="s">
        <v>19338</v>
      </c>
      <c r="H32" s="24" t="s">
        <v>12224</v>
      </c>
      <c r="I32" s="22" t="s">
        <v>19309</v>
      </c>
      <c r="J32" s="22" t="s">
        <v>19417</v>
      </c>
      <c r="K32" s="22" t="s">
        <v>17976</v>
      </c>
      <c r="L32" s="22"/>
      <c r="M32" s="22"/>
      <c r="N32" s="25" t="str">
        <f>HYPERLINK("http://slimages.macys.com/is/image/MCY/18676002 ")</f>
        <v xml:space="preserve">http://slimages.macys.com/is/image/MCY/18676002 </v>
      </c>
    </row>
    <row r="33" spans="1:14" ht="36.75" x14ac:dyDescent="0.25">
      <c r="A33" s="21" t="s">
        <v>8719</v>
      </c>
      <c r="B33" s="22" t="s">
        <v>8720</v>
      </c>
      <c r="C33" s="2">
        <v>1</v>
      </c>
      <c r="D33" s="23">
        <v>24.99</v>
      </c>
      <c r="E33" s="3">
        <v>24.99</v>
      </c>
      <c r="F33" s="2" t="s">
        <v>8204</v>
      </c>
      <c r="G33" s="22" t="s">
        <v>19383</v>
      </c>
      <c r="H33" s="24" t="s">
        <v>20152</v>
      </c>
      <c r="I33" s="22" t="s">
        <v>19309</v>
      </c>
      <c r="J33" s="22" t="s">
        <v>19385</v>
      </c>
      <c r="K33" s="22" t="s">
        <v>19458</v>
      </c>
      <c r="L33" s="22" t="s">
        <v>19319</v>
      </c>
      <c r="M33" s="22" t="s">
        <v>8205</v>
      </c>
      <c r="N33" s="25" t="str">
        <f>HYPERLINK("http://slimages.macys.com/is/image/MCY/10022456 ")</f>
        <v xml:space="preserve">http://slimages.macys.com/is/image/MCY/10022456 </v>
      </c>
    </row>
    <row r="34" spans="1:14" ht="24.75" x14ac:dyDescent="0.25">
      <c r="A34" s="21" t="s">
        <v>8721</v>
      </c>
      <c r="B34" s="22" t="s">
        <v>8722</v>
      </c>
      <c r="C34" s="2">
        <v>1</v>
      </c>
      <c r="D34" s="23">
        <v>26.99</v>
      </c>
      <c r="E34" s="3">
        <v>26.99</v>
      </c>
      <c r="F34" s="2" t="s">
        <v>8723</v>
      </c>
      <c r="G34" s="22" t="s">
        <v>19323</v>
      </c>
      <c r="H34" s="24"/>
      <c r="I34" s="22" t="s">
        <v>19309</v>
      </c>
      <c r="J34" s="22" t="s">
        <v>19417</v>
      </c>
      <c r="K34" s="22" t="s">
        <v>19969</v>
      </c>
      <c r="L34" s="22" t="s">
        <v>19319</v>
      </c>
      <c r="M34" s="22" t="s">
        <v>8724</v>
      </c>
      <c r="N34" s="25" t="str">
        <f>HYPERLINK("http://slimages.macys.com/is/image/MCY/15673732 ")</f>
        <v xml:space="preserve">http://slimages.macys.com/is/image/MCY/15673732 </v>
      </c>
    </row>
    <row r="35" spans="1:14" ht="24.75" x14ac:dyDescent="0.25">
      <c r="A35" s="21" t="s">
        <v>8725</v>
      </c>
      <c r="B35" s="22" t="s">
        <v>8726</v>
      </c>
      <c r="C35" s="2">
        <v>1</v>
      </c>
      <c r="D35" s="23">
        <v>28.99</v>
      </c>
      <c r="E35" s="3">
        <v>28.99</v>
      </c>
      <c r="F35" s="2" t="s">
        <v>8727</v>
      </c>
      <c r="G35" s="22" t="s">
        <v>19342</v>
      </c>
      <c r="H35" s="24" t="s">
        <v>19361</v>
      </c>
      <c r="I35" s="22" t="s">
        <v>19309</v>
      </c>
      <c r="J35" s="22" t="s">
        <v>19550</v>
      </c>
      <c r="K35" s="22" t="s">
        <v>19554</v>
      </c>
      <c r="L35" s="22"/>
      <c r="M35" s="22"/>
      <c r="N35" s="25" t="str">
        <f>HYPERLINK("http://slimages.macys.com/is/image/MCY/18388901 ")</f>
        <v xml:space="preserve">http://slimages.macys.com/is/image/MCY/18388901 </v>
      </c>
    </row>
    <row r="36" spans="1:14" ht="24.75" x14ac:dyDescent="0.25">
      <c r="A36" s="21" t="s">
        <v>8206</v>
      </c>
      <c r="B36" s="22" t="s">
        <v>8207</v>
      </c>
      <c r="C36" s="2">
        <v>1</v>
      </c>
      <c r="D36" s="23">
        <v>29.99</v>
      </c>
      <c r="E36" s="3">
        <v>29.99</v>
      </c>
      <c r="F36" s="2" t="s">
        <v>8208</v>
      </c>
      <c r="G36" s="22" t="s">
        <v>19351</v>
      </c>
      <c r="H36" s="24" t="s">
        <v>19384</v>
      </c>
      <c r="I36" s="22" t="s">
        <v>19309</v>
      </c>
      <c r="J36" s="22" t="s">
        <v>19385</v>
      </c>
      <c r="K36" s="22" t="s">
        <v>19386</v>
      </c>
      <c r="L36" s="22"/>
      <c r="M36" s="22"/>
      <c r="N36" s="25" t="str">
        <f>HYPERLINK("http://slimages.macys.com/is/image/MCY/20756395 ")</f>
        <v xml:space="preserve">http://slimages.macys.com/is/image/MCY/20756395 </v>
      </c>
    </row>
    <row r="37" spans="1:14" ht="24.75" x14ac:dyDescent="0.25">
      <c r="A37" s="21" t="s">
        <v>8728</v>
      </c>
      <c r="B37" s="22" t="s">
        <v>8729</v>
      </c>
      <c r="C37" s="2">
        <v>1</v>
      </c>
      <c r="D37" s="23">
        <v>29.99</v>
      </c>
      <c r="E37" s="3">
        <v>29.99</v>
      </c>
      <c r="F37" s="2" t="s">
        <v>8730</v>
      </c>
      <c r="G37" s="22" t="s">
        <v>19333</v>
      </c>
      <c r="H37" s="24" t="s">
        <v>19416</v>
      </c>
      <c r="I37" s="22" t="s">
        <v>19309</v>
      </c>
      <c r="J37" s="22" t="s">
        <v>19385</v>
      </c>
      <c r="K37" s="22" t="s">
        <v>19386</v>
      </c>
      <c r="L37" s="22"/>
      <c r="M37" s="22"/>
      <c r="N37" s="25" t="str">
        <f>HYPERLINK("http://slimages.macys.com/is/image/MCY/20756386 ")</f>
        <v xml:space="preserve">http://slimages.macys.com/is/image/MCY/20756386 </v>
      </c>
    </row>
    <row r="38" spans="1:14" x14ac:dyDescent="0.25">
      <c r="A38" s="21" t="s">
        <v>8731</v>
      </c>
      <c r="B38" s="22" t="s">
        <v>8732</v>
      </c>
      <c r="C38" s="2">
        <v>8</v>
      </c>
      <c r="D38" s="23">
        <v>30.99</v>
      </c>
      <c r="E38" s="3">
        <v>247.92</v>
      </c>
      <c r="F38" s="2" t="s">
        <v>8211</v>
      </c>
      <c r="G38" s="22" t="s">
        <v>19431</v>
      </c>
      <c r="H38" s="24"/>
      <c r="I38" s="22" t="s">
        <v>19309</v>
      </c>
      <c r="J38" s="22" t="s">
        <v>19696</v>
      </c>
      <c r="K38" s="22" t="s">
        <v>8212</v>
      </c>
      <c r="L38" s="22"/>
      <c r="M38" s="22"/>
      <c r="N38" s="25" t="str">
        <f>HYPERLINK("http://slimages.macys.com/is/image/MCY/19292060 ")</f>
        <v xml:space="preserve">http://slimages.macys.com/is/image/MCY/19292060 </v>
      </c>
    </row>
    <row r="39" spans="1:14" x14ac:dyDescent="0.25">
      <c r="A39" s="21" t="s">
        <v>8209</v>
      </c>
      <c r="B39" s="22" t="s">
        <v>8210</v>
      </c>
      <c r="C39" s="2">
        <v>7</v>
      </c>
      <c r="D39" s="23">
        <v>30.99</v>
      </c>
      <c r="E39" s="3">
        <v>216.93</v>
      </c>
      <c r="F39" s="2" t="s">
        <v>8211</v>
      </c>
      <c r="G39" s="22" t="s">
        <v>19431</v>
      </c>
      <c r="H39" s="24"/>
      <c r="I39" s="22" t="s">
        <v>19309</v>
      </c>
      <c r="J39" s="22" t="s">
        <v>19696</v>
      </c>
      <c r="K39" s="22" t="s">
        <v>8212</v>
      </c>
      <c r="L39" s="22"/>
      <c r="M39" s="22"/>
      <c r="N39" s="25" t="str">
        <f>HYPERLINK("http://slimages.macys.com/is/image/MCY/19292060 ")</f>
        <v xml:space="preserve">http://slimages.macys.com/is/image/MCY/19292060 </v>
      </c>
    </row>
    <row r="40" spans="1:14" x14ac:dyDescent="0.25">
      <c r="A40" s="21" t="s">
        <v>8213</v>
      </c>
      <c r="B40" s="22" t="s">
        <v>8214</v>
      </c>
      <c r="C40" s="2">
        <v>6</v>
      </c>
      <c r="D40" s="23">
        <v>30.99</v>
      </c>
      <c r="E40" s="3">
        <v>185.94</v>
      </c>
      <c r="F40" s="2" t="s">
        <v>8211</v>
      </c>
      <c r="G40" s="22" t="s">
        <v>19431</v>
      </c>
      <c r="H40" s="24"/>
      <c r="I40" s="22" t="s">
        <v>19309</v>
      </c>
      <c r="J40" s="22" t="s">
        <v>19696</v>
      </c>
      <c r="K40" s="22" t="s">
        <v>8212</v>
      </c>
      <c r="L40" s="22"/>
      <c r="M40" s="22"/>
      <c r="N40" s="25" t="str">
        <f>HYPERLINK("http://slimages.macys.com/is/image/MCY/19292060 ")</f>
        <v xml:space="preserve">http://slimages.macys.com/is/image/MCY/19292060 </v>
      </c>
    </row>
    <row r="41" spans="1:14" ht="24.75" x14ac:dyDescent="0.25">
      <c r="A41" s="21" t="s">
        <v>8733</v>
      </c>
      <c r="B41" s="22" t="s">
        <v>8734</v>
      </c>
      <c r="C41" s="2">
        <v>1</v>
      </c>
      <c r="D41" s="23">
        <v>30.99</v>
      </c>
      <c r="E41" s="3">
        <v>30.99</v>
      </c>
      <c r="F41" s="2" t="s">
        <v>8735</v>
      </c>
      <c r="G41" s="22" t="s">
        <v>19315</v>
      </c>
      <c r="H41" s="24" t="s">
        <v>11751</v>
      </c>
      <c r="I41" s="22" t="s">
        <v>19309</v>
      </c>
      <c r="J41" s="22" t="s">
        <v>19447</v>
      </c>
      <c r="K41" s="22" t="s">
        <v>18333</v>
      </c>
      <c r="L41" s="22"/>
      <c r="M41" s="22"/>
      <c r="N41" s="25" t="str">
        <f>HYPERLINK("http://slimages.macys.com/is/image/MCY/21048338 ")</f>
        <v xml:space="preserve">http://slimages.macys.com/is/image/MCY/21048338 </v>
      </c>
    </row>
    <row r="42" spans="1:14" ht="24.75" x14ac:dyDescent="0.25">
      <c r="A42" s="21" t="s">
        <v>8736</v>
      </c>
      <c r="B42" s="22" t="s">
        <v>8737</v>
      </c>
      <c r="C42" s="2">
        <v>1</v>
      </c>
      <c r="D42" s="23">
        <v>27.99</v>
      </c>
      <c r="E42" s="3">
        <v>27.99</v>
      </c>
      <c r="F42" s="2" t="s">
        <v>8738</v>
      </c>
      <c r="G42" s="22" t="s">
        <v>19315</v>
      </c>
      <c r="H42" s="24" t="s">
        <v>19432</v>
      </c>
      <c r="I42" s="22" t="s">
        <v>19309</v>
      </c>
      <c r="J42" s="22" t="s">
        <v>19595</v>
      </c>
      <c r="K42" s="22" t="s">
        <v>9601</v>
      </c>
      <c r="L42" s="22"/>
      <c r="M42" s="22"/>
      <c r="N42" s="25" t="str">
        <f>HYPERLINK("http://slimages.macys.com/is/image/MCY/19979657 ")</f>
        <v xml:space="preserve">http://slimages.macys.com/is/image/MCY/19979657 </v>
      </c>
    </row>
    <row r="43" spans="1:14" ht="24.75" x14ac:dyDescent="0.25">
      <c r="A43" s="21" t="s">
        <v>19654</v>
      </c>
      <c r="B43" s="22" t="s">
        <v>19655</v>
      </c>
      <c r="C43" s="2">
        <v>1</v>
      </c>
      <c r="D43" s="23">
        <v>24.99</v>
      </c>
      <c r="E43" s="3">
        <v>24.99</v>
      </c>
      <c r="F43" s="2" t="s">
        <v>19656</v>
      </c>
      <c r="G43" s="22" t="s">
        <v>19333</v>
      </c>
      <c r="H43" s="24" t="s">
        <v>19416</v>
      </c>
      <c r="I43" s="22" t="s">
        <v>19309</v>
      </c>
      <c r="J43" s="22" t="s">
        <v>19385</v>
      </c>
      <c r="K43" s="22" t="s">
        <v>19487</v>
      </c>
      <c r="L43" s="22"/>
      <c r="M43" s="22"/>
      <c r="N43" s="25" t="str">
        <f>HYPERLINK("http://slimages.macys.com/is/image/MCY/21856823 ")</f>
        <v xml:space="preserve">http://slimages.macys.com/is/image/MCY/21856823 </v>
      </c>
    </row>
    <row r="44" spans="1:14" ht="24.75" x14ac:dyDescent="0.25">
      <c r="A44" s="21" t="s">
        <v>8739</v>
      </c>
      <c r="B44" s="22" t="s">
        <v>8740</v>
      </c>
      <c r="C44" s="2">
        <v>1</v>
      </c>
      <c r="D44" s="23">
        <v>22.99</v>
      </c>
      <c r="E44" s="3">
        <v>22.99</v>
      </c>
      <c r="F44" s="2" t="s">
        <v>8741</v>
      </c>
      <c r="G44" s="22" t="s">
        <v>19351</v>
      </c>
      <c r="H44" s="24" t="s">
        <v>19416</v>
      </c>
      <c r="I44" s="22" t="s">
        <v>19309</v>
      </c>
      <c r="J44" s="22" t="s">
        <v>19385</v>
      </c>
      <c r="K44" s="22" t="s">
        <v>19463</v>
      </c>
      <c r="L44" s="22"/>
      <c r="M44" s="22"/>
      <c r="N44" s="25" t="str">
        <f>HYPERLINK("http://slimages.macys.com/is/image/MCY/21423788 ")</f>
        <v xml:space="preserve">http://slimages.macys.com/is/image/MCY/21423788 </v>
      </c>
    </row>
    <row r="45" spans="1:14" x14ac:dyDescent="0.25">
      <c r="A45" s="21" t="s">
        <v>8742</v>
      </c>
      <c r="B45" s="22" t="s">
        <v>8743</v>
      </c>
      <c r="C45" s="2">
        <v>1</v>
      </c>
      <c r="D45" s="23">
        <v>28.99</v>
      </c>
      <c r="E45" s="3">
        <v>28.99</v>
      </c>
      <c r="F45" s="2" t="s">
        <v>8744</v>
      </c>
      <c r="G45" s="22" t="s">
        <v>19342</v>
      </c>
      <c r="H45" s="24" t="s">
        <v>19542</v>
      </c>
      <c r="I45" s="22" t="s">
        <v>19309</v>
      </c>
      <c r="J45" s="22" t="s">
        <v>19696</v>
      </c>
      <c r="K45" s="22" t="s">
        <v>19697</v>
      </c>
      <c r="L45" s="22"/>
      <c r="M45" s="22"/>
      <c r="N45" s="25" t="str">
        <f>HYPERLINK("http://slimages.macys.com/is/image/MCY/20084468 ")</f>
        <v xml:space="preserve">http://slimages.macys.com/is/image/MCY/20084468 </v>
      </c>
    </row>
    <row r="46" spans="1:14" ht="24.75" x14ac:dyDescent="0.25">
      <c r="A46" s="21" t="s">
        <v>10889</v>
      </c>
      <c r="B46" s="22" t="s">
        <v>10890</v>
      </c>
      <c r="C46" s="2">
        <v>9</v>
      </c>
      <c r="D46" s="23">
        <v>24.99</v>
      </c>
      <c r="E46" s="3">
        <v>224.91</v>
      </c>
      <c r="F46" s="2" t="s">
        <v>10882</v>
      </c>
      <c r="G46" s="22" t="s">
        <v>19323</v>
      </c>
      <c r="H46" s="24" t="s">
        <v>19330</v>
      </c>
      <c r="I46" s="22" t="s">
        <v>19309</v>
      </c>
      <c r="J46" s="22" t="s">
        <v>19385</v>
      </c>
      <c r="K46" s="22" t="s">
        <v>19386</v>
      </c>
      <c r="L46" s="22"/>
      <c r="M46" s="22"/>
      <c r="N46" s="25" t="str">
        <f>HYPERLINK("http://slimages.macys.com/is/image/MCY/21820640 ")</f>
        <v xml:space="preserve">http://slimages.macys.com/is/image/MCY/21820640 </v>
      </c>
    </row>
    <row r="47" spans="1:14" ht="24.75" x14ac:dyDescent="0.25">
      <c r="A47" s="21" t="s">
        <v>8217</v>
      </c>
      <c r="B47" s="22" t="s">
        <v>8218</v>
      </c>
      <c r="C47" s="2">
        <v>3</v>
      </c>
      <c r="D47" s="23">
        <v>24.99</v>
      </c>
      <c r="E47" s="3">
        <v>74.97</v>
      </c>
      <c r="F47" s="2" t="s">
        <v>10882</v>
      </c>
      <c r="G47" s="22" t="s">
        <v>19323</v>
      </c>
      <c r="H47" s="24" t="s">
        <v>19384</v>
      </c>
      <c r="I47" s="22" t="s">
        <v>19309</v>
      </c>
      <c r="J47" s="22" t="s">
        <v>19385</v>
      </c>
      <c r="K47" s="22" t="s">
        <v>19386</v>
      </c>
      <c r="L47" s="22"/>
      <c r="M47" s="22"/>
      <c r="N47" s="25" t="str">
        <f>HYPERLINK("http://slimages.macys.com/is/image/MCY/21820640 ")</f>
        <v xml:space="preserve">http://slimages.macys.com/is/image/MCY/21820640 </v>
      </c>
    </row>
    <row r="48" spans="1:14" ht="24.75" x14ac:dyDescent="0.25">
      <c r="A48" s="21" t="s">
        <v>8745</v>
      </c>
      <c r="B48" s="22" t="s">
        <v>8746</v>
      </c>
      <c r="C48" s="2">
        <v>3</v>
      </c>
      <c r="D48" s="23">
        <v>24.99</v>
      </c>
      <c r="E48" s="3">
        <v>74.97</v>
      </c>
      <c r="F48" s="2" t="s">
        <v>10888</v>
      </c>
      <c r="G48" s="22" t="s">
        <v>19333</v>
      </c>
      <c r="H48" s="24" t="s">
        <v>19416</v>
      </c>
      <c r="I48" s="22" t="s">
        <v>19309</v>
      </c>
      <c r="J48" s="22" t="s">
        <v>19385</v>
      </c>
      <c r="K48" s="22" t="s">
        <v>19386</v>
      </c>
      <c r="L48" s="22"/>
      <c r="M48" s="22"/>
      <c r="N48" s="25" t="str">
        <f>HYPERLINK("http://slimages.macys.com/is/image/MCY/21313489 ")</f>
        <v xml:space="preserve">http://slimages.macys.com/is/image/MCY/21313489 </v>
      </c>
    </row>
    <row r="49" spans="1:14" ht="24.75" x14ac:dyDescent="0.25">
      <c r="A49" s="21" t="s">
        <v>19661</v>
      </c>
      <c r="B49" s="22" t="s">
        <v>19662</v>
      </c>
      <c r="C49" s="2">
        <v>3</v>
      </c>
      <c r="D49" s="23">
        <v>26.99</v>
      </c>
      <c r="E49" s="3">
        <v>80.97</v>
      </c>
      <c r="F49" s="2" t="s">
        <v>19663</v>
      </c>
      <c r="G49" s="22" t="s">
        <v>19333</v>
      </c>
      <c r="H49" s="24" t="s">
        <v>19416</v>
      </c>
      <c r="I49" s="22" t="s">
        <v>19309</v>
      </c>
      <c r="J49" s="22" t="s">
        <v>19385</v>
      </c>
      <c r="K49" s="22" t="s">
        <v>19487</v>
      </c>
      <c r="L49" s="22"/>
      <c r="M49" s="22"/>
      <c r="N49" s="25" t="str">
        <f>HYPERLINK("http://slimages.macys.com/is/image/MCY/21856819 ")</f>
        <v xml:space="preserve">http://slimages.macys.com/is/image/MCY/21856819 </v>
      </c>
    </row>
    <row r="50" spans="1:14" ht="24.75" x14ac:dyDescent="0.25">
      <c r="A50" s="21" t="s">
        <v>11451</v>
      </c>
      <c r="B50" s="22" t="s">
        <v>11452</v>
      </c>
      <c r="C50" s="2">
        <v>1</v>
      </c>
      <c r="D50" s="23">
        <v>26.99</v>
      </c>
      <c r="E50" s="3">
        <v>26.99</v>
      </c>
      <c r="F50" s="2" t="s">
        <v>19663</v>
      </c>
      <c r="G50" s="22" t="s">
        <v>19333</v>
      </c>
      <c r="H50" s="24" t="s">
        <v>19324</v>
      </c>
      <c r="I50" s="22" t="s">
        <v>19309</v>
      </c>
      <c r="J50" s="22" t="s">
        <v>19385</v>
      </c>
      <c r="K50" s="22" t="s">
        <v>19487</v>
      </c>
      <c r="L50" s="22"/>
      <c r="M50" s="22"/>
      <c r="N50" s="25" t="str">
        <f>HYPERLINK("http://slimages.macys.com/is/image/MCY/21856819 ")</f>
        <v xml:space="preserve">http://slimages.macys.com/is/image/MCY/21856819 </v>
      </c>
    </row>
    <row r="51" spans="1:14" ht="24.75" x14ac:dyDescent="0.25">
      <c r="A51" s="21" t="s">
        <v>9419</v>
      </c>
      <c r="B51" s="22" t="s">
        <v>9420</v>
      </c>
      <c r="C51" s="2">
        <v>23</v>
      </c>
      <c r="D51" s="23">
        <v>24.99</v>
      </c>
      <c r="E51" s="3">
        <v>574.77</v>
      </c>
      <c r="F51" s="2" t="s">
        <v>9421</v>
      </c>
      <c r="G51" s="22" t="s">
        <v>19462</v>
      </c>
      <c r="H51" s="24" t="s">
        <v>19416</v>
      </c>
      <c r="I51" s="22" t="s">
        <v>19309</v>
      </c>
      <c r="J51" s="22" t="s">
        <v>19385</v>
      </c>
      <c r="K51" s="22" t="s">
        <v>19386</v>
      </c>
      <c r="L51" s="22"/>
      <c r="M51" s="22"/>
      <c r="N51" s="25" t="str">
        <f>HYPERLINK("http://slimages.macys.com/is/image/MCY/21465558 ")</f>
        <v xml:space="preserve">http://slimages.macys.com/is/image/MCY/21465558 </v>
      </c>
    </row>
    <row r="52" spans="1:14" ht="24.75" x14ac:dyDescent="0.25">
      <c r="A52" s="21" t="s">
        <v>10369</v>
      </c>
      <c r="B52" s="22" t="s">
        <v>10370</v>
      </c>
      <c r="C52" s="2">
        <v>7</v>
      </c>
      <c r="D52" s="23">
        <v>24.99</v>
      </c>
      <c r="E52" s="3">
        <v>174.93</v>
      </c>
      <c r="F52" s="2" t="s">
        <v>10882</v>
      </c>
      <c r="G52" s="22" t="s">
        <v>19323</v>
      </c>
      <c r="H52" s="24" t="s">
        <v>19538</v>
      </c>
      <c r="I52" s="22" t="s">
        <v>19309</v>
      </c>
      <c r="J52" s="22" t="s">
        <v>19385</v>
      </c>
      <c r="K52" s="22" t="s">
        <v>19386</v>
      </c>
      <c r="L52" s="22"/>
      <c r="M52" s="22"/>
      <c r="N52" s="25" t="str">
        <f>HYPERLINK("http://slimages.macys.com/is/image/MCY/21820640 ")</f>
        <v xml:space="preserve">http://slimages.macys.com/is/image/MCY/21820640 </v>
      </c>
    </row>
    <row r="53" spans="1:14" ht="24.75" x14ac:dyDescent="0.25">
      <c r="A53" s="21" t="s">
        <v>9813</v>
      </c>
      <c r="B53" s="22" t="s">
        <v>9814</v>
      </c>
      <c r="C53" s="2">
        <v>1</v>
      </c>
      <c r="D53" s="23">
        <v>24.99</v>
      </c>
      <c r="E53" s="3">
        <v>24.99</v>
      </c>
      <c r="F53" s="2" t="s">
        <v>9421</v>
      </c>
      <c r="G53" s="22" t="s">
        <v>19462</v>
      </c>
      <c r="H53" s="24" t="s">
        <v>19538</v>
      </c>
      <c r="I53" s="22" t="s">
        <v>19309</v>
      </c>
      <c r="J53" s="22" t="s">
        <v>19385</v>
      </c>
      <c r="K53" s="22" t="s">
        <v>19386</v>
      </c>
      <c r="L53" s="22"/>
      <c r="M53" s="22"/>
      <c r="N53" s="25" t="str">
        <f>HYPERLINK("http://slimages.macys.com/is/image/MCY/21465558 ")</f>
        <v xml:space="preserve">http://slimages.macys.com/is/image/MCY/21465558 </v>
      </c>
    </row>
    <row r="54" spans="1:14" ht="24.75" x14ac:dyDescent="0.25">
      <c r="A54" s="21" t="s">
        <v>9815</v>
      </c>
      <c r="B54" s="22" t="s">
        <v>9816</v>
      </c>
      <c r="C54" s="2">
        <v>1</v>
      </c>
      <c r="D54" s="23">
        <v>24.99</v>
      </c>
      <c r="E54" s="3">
        <v>24.99</v>
      </c>
      <c r="F54" s="2" t="s">
        <v>10882</v>
      </c>
      <c r="G54" s="22" t="s">
        <v>19323</v>
      </c>
      <c r="H54" s="24" t="s">
        <v>19416</v>
      </c>
      <c r="I54" s="22" t="s">
        <v>19309</v>
      </c>
      <c r="J54" s="22" t="s">
        <v>19385</v>
      </c>
      <c r="K54" s="22" t="s">
        <v>19386</v>
      </c>
      <c r="L54" s="22"/>
      <c r="M54" s="22"/>
      <c r="N54" s="25" t="str">
        <f>HYPERLINK("http://slimages.macys.com/is/image/MCY/21820640 ")</f>
        <v xml:space="preserve">http://slimages.macys.com/is/image/MCY/21820640 </v>
      </c>
    </row>
    <row r="55" spans="1:14" ht="24.75" x14ac:dyDescent="0.25">
      <c r="A55" s="21" t="s">
        <v>8747</v>
      </c>
      <c r="B55" s="22" t="s">
        <v>8748</v>
      </c>
      <c r="C55" s="2">
        <v>4</v>
      </c>
      <c r="D55" s="23">
        <v>27.99</v>
      </c>
      <c r="E55" s="3">
        <v>111.96</v>
      </c>
      <c r="F55" s="2" t="s">
        <v>8420</v>
      </c>
      <c r="G55" s="22" t="s">
        <v>19342</v>
      </c>
      <c r="H55" s="24" t="s">
        <v>19392</v>
      </c>
      <c r="I55" s="22" t="s">
        <v>19309</v>
      </c>
      <c r="J55" s="22" t="s">
        <v>19696</v>
      </c>
      <c r="K55" s="22" t="s">
        <v>19697</v>
      </c>
      <c r="L55" s="22"/>
      <c r="M55" s="22"/>
      <c r="N55" s="25" t="str">
        <f>HYPERLINK("http://slimages.macys.com/is/image/MCY/21364970 ")</f>
        <v xml:space="preserve">http://slimages.macys.com/is/image/MCY/21364970 </v>
      </c>
    </row>
    <row r="56" spans="1:14" x14ac:dyDescent="0.25">
      <c r="A56" s="21" t="s">
        <v>9819</v>
      </c>
      <c r="B56" s="22" t="s">
        <v>9820</v>
      </c>
      <c r="C56" s="2">
        <v>9</v>
      </c>
      <c r="D56" s="23">
        <v>27.99</v>
      </c>
      <c r="E56" s="3">
        <v>251.91</v>
      </c>
      <c r="F56" s="2" t="s">
        <v>9821</v>
      </c>
      <c r="G56" s="22" t="s">
        <v>19342</v>
      </c>
      <c r="H56" s="24" t="s">
        <v>19392</v>
      </c>
      <c r="I56" s="22" t="s">
        <v>19309</v>
      </c>
      <c r="J56" s="22" t="s">
        <v>19696</v>
      </c>
      <c r="K56" s="22" t="s">
        <v>19697</v>
      </c>
      <c r="L56" s="22"/>
      <c r="M56" s="22"/>
      <c r="N56" s="25" t="str">
        <f>HYPERLINK("http://slimages.macys.com/is/image/MCY/21355165 ")</f>
        <v xml:space="preserve">http://slimages.macys.com/is/image/MCY/21355165 </v>
      </c>
    </row>
    <row r="57" spans="1:14" ht="24.75" x14ac:dyDescent="0.25">
      <c r="A57" s="21" t="s">
        <v>8226</v>
      </c>
      <c r="B57" s="22" t="s">
        <v>8227</v>
      </c>
      <c r="C57" s="2">
        <v>26</v>
      </c>
      <c r="D57" s="23">
        <v>27.99</v>
      </c>
      <c r="E57" s="3">
        <v>727.74</v>
      </c>
      <c r="F57" s="2" t="s">
        <v>10896</v>
      </c>
      <c r="G57" s="22" t="s">
        <v>19342</v>
      </c>
      <c r="H57" s="24" t="s">
        <v>19345</v>
      </c>
      <c r="I57" s="22" t="s">
        <v>19309</v>
      </c>
      <c r="J57" s="22" t="s">
        <v>19696</v>
      </c>
      <c r="K57" s="22" t="s">
        <v>19965</v>
      </c>
      <c r="L57" s="22"/>
      <c r="M57" s="22"/>
      <c r="N57" s="25" t="str">
        <f>HYPERLINK("http://slimages.macys.com/is/image/MCY/21356000 ")</f>
        <v xml:space="preserve">http://slimages.macys.com/is/image/MCY/21356000 </v>
      </c>
    </row>
    <row r="58" spans="1:14" x14ac:dyDescent="0.25">
      <c r="A58" s="21" t="s">
        <v>8749</v>
      </c>
      <c r="B58" s="22" t="s">
        <v>8750</v>
      </c>
      <c r="C58" s="2">
        <v>2</v>
      </c>
      <c r="D58" s="23">
        <v>27.99</v>
      </c>
      <c r="E58" s="3">
        <v>55.98</v>
      </c>
      <c r="F58" s="2" t="s">
        <v>8751</v>
      </c>
      <c r="G58" s="22" t="s">
        <v>19342</v>
      </c>
      <c r="H58" s="24" t="s">
        <v>19334</v>
      </c>
      <c r="I58" s="22" t="s">
        <v>19309</v>
      </c>
      <c r="J58" s="22" t="s">
        <v>19696</v>
      </c>
      <c r="K58" s="22" t="s">
        <v>19697</v>
      </c>
      <c r="L58" s="22"/>
      <c r="M58" s="22"/>
      <c r="N58" s="25" t="str">
        <f>HYPERLINK("http://slimages.macys.com/is/image/MCY/21355155 ")</f>
        <v xml:space="preserve">http://slimages.macys.com/is/image/MCY/21355155 </v>
      </c>
    </row>
    <row r="59" spans="1:14" x14ac:dyDescent="0.25">
      <c r="A59" s="21" t="s">
        <v>9822</v>
      </c>
      <c r="B59" s="22" t="s">
        <v>9823</v>
      </c>
      <c r="C59" s="2">
        <v>3</v>
      </c>
      <c r="D59" s="23">
        <v>27.99</v>
      </c>
      <c r="E59" s="3">
        <v>83.97</v>
      </c>
      <c r="F59" s="2" t="s">
        <v>9821</v>
      </c>
      <c r="G59" s="22" t="s">
        <v>19342</v>
      </c>
      <c r="H59" s="24" t="s">
        <v>19345</v>
      </c>
      <c r="I59" s="22" t="s">
        <v>19309</v>
      </c>
      <c r="J59" s="22" t="s">
        <v>19696</v>
      </c>
      <c r="K59" s="22" t="s">
        <v>19697</v>
      </c>
      <c r="L59" s="22"/>
      <c r="M59" s="22"/>
      <c r="N59" s="25" t="str">
        <f>HYPERLINK("http://slimages.macys.com/is/image/MCY/21355165 ")</f>
        <v xml:space="preserve">http://slimages.macys.com/is/image/MCY/21355165 </v>
      </c>
    </row>
    <row r="60" spans="1:14" x14ac:dyDescent="0.25">
      <c r="A60" s="21" t="s">
        <v>8752</v>
      </c>
      <c r="B60" s="22" t="s">
        <v>8753</v>
      </c>
      <c r="C60" s="2">
        <v>10</v>
      </c>
      <c r="D60" s="23">
        <v>27.99</v>
      </c>
      <c r="E60" s="3">
        <v>279.89999999999998</v>
      </c>
      <c r="F60" s="2" t="s">
        <v>8754</v>
      </c>
      <c r="G60" s="22" t="s">
        <v>19342</v>
      </c>
      <c r="H60" s="24" t="s">
        <v>19334</v>
      </c>
      <c r="I60" s="22" t="s">
        <v>19309</v>
      </c>
      <c r="J60" s="22" t="s">
        <v>19696</v>
      </c>
      <c r="K60" s="22" t="s">
        <v>19965</v>
      </c>
      <c r="L60" s="22"/>
      <c r="M60" s="22"/>
      <c r="N60" s="25" t="str">
        <f>HYPERLINK("http://slimages.macys.com/is/image/MCY/21355988 ")</f>
        <v xml:space="preserve">http://slimages.macys.com/is/image/MCY/21355988 </v>
      </c>
    </row>
    <row r="61" spans="1:14" x14ac:dyDescent="0.25">
      <c r="A61" s="21" t="s">
        <v>8755</v>
      </c>
      <c r="B61" s="22" t="s">
        <v>8756</v>
      </c>
      <c r="C61" s="2">
        <v>1</v>
      </c>
      <c r="D61" s="23">
        <v>26.99</v>
      </c>
      <c r="E61" s="3">
        <v>26.99</v>
      </c>
      <c r="F61" s="2" t="s">
        <v>8757</v>
      </c>
      <c r="G61" s="22" t="s">
        <v>19342</v>
      </c>
      <c r="H61" s="24" t="s">
        <v>19478</v>
      </c>
      <c r="I61" s="22" t="s">
        <v>19309</v>
      </c>
      <c r="J61" s="22" t="s">
        <v>19696</v>
      </c>
      <c r="K61" s="22" t="s">
        <v>19697</v>
      </c>
      <c r="L61" s="22"/>
      <c r="M61" s="22"/>
      <c r="N61" s="25" t="str">
        <f>HYPERLINK("http://slimages.macys.com/is/image/MCY/21622752 ")</f>
        <v xml:space="preserve">http://slimages.macys.com/is/image/MCY/21622752 </v>
      </c>
    </row>
    <row r="62" spans="1:14" x14ac:dyDescent="0.25">
      <c r="A62" s="21" t="s">
        <v>8758</v>
      </c>
      <c r="B62" s="22" t="s">
        <v>8759</v>
      </c>
      <c r="C62" s="2">
        <v>1</v>
      </c>
      <c r="D62" s="23">
        <v>26.99</v>
      </c>
      <c r="E62" s="3">
        <v>26.99</v>
      </c>
      <c r="F62" s="2" t="s">
        <v>9435</v>
      </c>
      <c r="G62" s="22" t="s">
        <v>19342</v>
      </c>
      <c r="H62" s="24" t="s">
        <v>19478</v>
      </c>
      <c r="I62" s="22" t="s">
        <v>19309</v>
      </c>
      <c r="J62" s="22" t="s">
        <v>19696</v>
      </c>
      <c r="K62" s="22" t="s">
        <v>19697</v>
      </c>
      <c r="L62" s="22"/>
      <c r="M62" s="22"/>
      <c r="N62" s="25" t="str">
        <f>HYPERLINK("http://slimages.macys.com/is/image/MCY/21622759 ")</f>
        <v xml:space="preserve">http://slimages.macys.com/is/image/MCY/21622759 </v>
      </c>
    </row>
    <row r="63" spans="1:14" ht="24.75" x14ac:dyDescent="0.25">
      <c r="A63" s="21" t="s">
        <v>8760</v>
      </c>
      <c r="B63" s="22" t="s">
        <v>8761</v>
      </c>
      <c r="C63" s="2">
        <v>1</v>
      </c>
      <c r="D63" s="23">
        <v>24.99</v>
      </c>
      <c r="E63" s="3">
        <v>24.99</v>
      </c>
      <c r="F63" s="2" t="s">
        <v>9440</v>
      </c>
      <c r="G63" s="22" t="s">
        <v>19342</v>
      </c>
      <c r="H63" s="24" t="s">
        <v>19416</v>
      </c>
      <c r="I63" s="22" t="s">
        <v>19309</v>
      </c>
      <c r="J63" s="22" t="s">
        <v>19491</v>
      </c>
      <c r="K63" s="22" t="s">
        <v>19554</v>
      </c>
      <c r="L63" s="22"/>
      <c r="M63" s="22"/>
      <c r="N63" s="25" t="str">
        <f>HYPERLINK("http://slimages.macys.com/is/image/MCY/21483063 ")</f>
        <v xml:space="preserve">http://slimages.macys.com/is/image/MCY/21483063 </v>
      </c>
    </row>
    <row r="64" spans="1:14" x14ac:dyDescent="0.25">
      <c r="A64" s="21" t="s">
        <v>8039</v>
      </c>
      <c r="B64" s="22" t="s">
        <v>8040</v>
      </c>
      <c r="C64" s="2">
        <v>16</v>
      </c>
      <c r="D64" s="23">
        <v>20.58</v>
      </c>
      <c r="E64" s="3">
        <v>329.28</v>
      </c>
      <c r="F64" s="2" t="s">
        <v>10908</v>
      </c>
      <c r="G64" s="22" t="s">
        <v>19342</v>
      </c>
      <c r="H64" s="24" t="s">
        <v>19392</v>
      </c>
      <c r="I64" s="22" t="s">
        <v>19309</v>
      </c>
      <c r="J64" s="22" t="s">
        <v>19514</v>
      </c>
      <c r="K64" s="22" t="s">
        <v>10909</v>
      </c>
      <c r="L64" s="22"/>
      <c r="M64" s="22"/>
      <c r="N64" s="25" t="str">
        <f>HYPERLINK("http://slimages.macys.com/is/image/MCY/21192198 ")</f>
        <v xml:space="preserve">http://slimages.macys.com/is/image/MCY/21192198 </v>
      </c>
    </row>
    <row r="65" spans="1:14" ht="24.75" x14ac:dyDescent="0.25">
      <c r="A65" s="21" t="s">
        <v>8762</v>
      </c>
      <c r="B65" s="22" t="s">
        <v>8763</v>
      </c>
      <c r="C65" s="2">
        <v>1</v>
      </c>
      <c r="D65" s="23">
        <v>26.99</v>
      </c>
      <c r="E65" s="3">
        <v>26.99</v>
      </c>
      <c r="F65" s="2">
        <v>10013096900</v>
      </c>
      <c r="G65" s="22" t="s">
        <v>19713</v>
      </c>
      <c r="H65" s="24" t="s">
        <v>19324</v>
      </c>
      <c r="I65" s="22" t="s">
        <v>19309</v>
      </c>
      <c r="J65" s="22" t="s">
        <v>19573</v>
      </c>
      <c r="K65" s="22" t="s">
        <v>19574</v>
      </c>
      <c r="L65" s="22"/>
      <c r="M65" s="22"/>
      <c r="N65" s="25" t="str">
        <f>HYPERLINK("http://slimages.macys.com/is/image/MCY/19754453 ")</f>
        <v xml:space="preserve">http://slimages.macys.com/is/image/MCY/19754453 </v>
      </c>
    </row>
    <row r="66" spans="1:14" ht="24.75" x14ac:dyDescent="0.25">
      <c r="A66" s="21" t="s">
        <v>8764</v>
      </c>
      <c r="B66" s="22" t="s">
        <v>8765</v>
      </c>
      <c r="C66" s="2">
        <v>1</v>
      </c>
      <c r="D66" s="23">
        <v>26.99</v>
      </c>
      <c r="E66" s="3">
        <v>26.99</v>
      </c>
      <c r="F66" s="2">
        <v>10013096900</v>
      </c>
      <c r="G66" s="22" t="s">
        <v>19422</v>
      </c>
      <c r="H66" s="24" t="s">
        <v>19384</v>
      </c>
      <c r="I66" s="22" t="s">
        <v>19309</v>
      </c>
      <c r="J66" s="22" t="s">
        <v>19573</v>
      </c>
      <c r="K66" s="22" t="s">
        <v>19574</v>
      </c>
      <c r="L66" s="22"/>
      <c r="M66" s="22"/>
      <c r="N66" s="25" t="str">
        <f>HYPERLINK("http://slimages.macys.com/is/image/MCY/19754453 ")</f>
        <v xml:space="preserve">http://slimages.macys.com/is/image/MCY/19754453 </v>
      </c>
    </row>
    <row r="67" spans="1:14" ht="24.75" x14ac:dyDescent="0.25">
      <c r="A67" s="21" t="s">
        <v>8766</v>
      </c>
      <c r="B67" s="22" t="s">
        <v>8767</v>
      </c>
      <c r="C67" s="2">
        <v>1</v>
      </c>
      <c r="D67" s="23">
        <v>24.99</v>
      </c>
      <c r="E67" s="3">
        <v>24.99</v>
      </c>
      <c r="F67" s="2" t="s">
        <v>8768</v>
      </c>
      <c r="G67" s="22" t="s">
        <v>19342</v>
      </c>
      <c r="H67" s="24" t="s">
        <v>19324</v>
      </c>
      <c r="I67" s="22" t="s">
        <v>19309</v>
      </c>
      <c r="J67" s="22" t="s">
        <v>19385</v>
      </c>
      <c r="K67" s="22" t="s">
        <v>19729</v>
      </c>
      <c r="L67" s="22"/>
      <c r="M67" s="22"/>
      <c r="N67" s="25" t="str">
        <f>HYPERLINK("http://slimages.macys.com/is/image/MCY/20856384 ")</f>
        <v xml:space="preserve">http://slimages.macys.com/is/image/MCY/20856384 </v>
      </c>
    </row>
    <row r="68" spans="1:14" ht="24.75" x14ac:dyDescent="0.25">
      <c r="A68" s="21" t="s">
        <v>8769</v>
      </c>
      <c r="B68" s="22" t="s">
        <v>8770</v>
      </c>
      <c r="C68" s="2">
        <v>1</v>
      </c>
      <c r="D68" s="23">
        <v>24.99</v>
      </c>
      <c r="E68" s="3">
        <v>24.99</v>
      </c>
      <c r="F68" s="2" t="s">
        <v>8771</v>
      </c>
      <c r="G68" s="22" t="s">
        <v>19342</v>
      </c>
      <c r="H68" s="24" t="s">
        <v>19324</v>
      </c>
      <c r="I68" s="22" t="s">
        <v>19309</v>
      </c>
      <c r="J68" s="22" t="s">
        <v>19385</v>
      </c>
      <c r="K68" s="22" t="s">
        <v>19614</v>
      </c>
      <c r="L68" s="22"/>
      <c r="M68" s="22"/>
      <c r="N68" s="25" t="str">
        <f>HYPERLINK("http://slimages.macys.com/is/image/MCY/21771116 ")</f>
        <v xml:space="preserve">http://slimages.macys.com/is/image/MCY/21771116 </v>
      </c>
    </row>
    <row r="69" spans="1:14" ht="24.75" x14ac:dyDescent="0.25">
      <c r="A69" s="21" t="s">
        <v>8772</v>
      </c>
      <c r="B69" s="22" t="s">
        <v>8773</v>
      </c>
      <c r="C69" s="2">
        <v>1</v>
      </c>
      <c r="D69" s="23">
        <v>24.99</v>
      </c>
      <c r="E69" s="3">
        <v>24.99</v>
      </c>
      <c r="F69" s="2" t="s">
        <v>8774</v>
      </c>
      <c r="G69" s="22" t="s">
        <v>19342</v>
      </c>
      <c r="H69" s="24" t="s">
        <v>19324</v>
      </c>
      <c r="I69" s="22" t="s">
        <v>19309</v>
      </c>
      <c r="J69" s="22" t="s">
        <v>19491</v>
      </c>
      <c r="K69" s="22" t="s">
        <v>19554</v>
      </c>
      <c r="L69" s="22"/>
      <c r="M69" s="22"/>
      <c r="N69" s="25" t="str">
        <f>HYPERLINK("http://slimages.macys.com/is/image/MCY/20389900 ")</f>
        <v xml:space="preserve">http://slimages.macys.com/is/image/MCY/20389900 </v>
      </c>
    </row>
    <row r="70" spans="1:14" ht="24.75" x14ac:dyDescent="0.25">
      <c r="A70" s="21" t="s">
        <v>8775</v>
      </c>
      <c r="B70" s="22" t="s">
        <v>8776</v>
      </c>
      <c r="C70" s="2">
        <v>1</v>
      </c>
      <c r="D70" s="23">
        <v>24.99</v>
      </c>
      <c r="E70" s="3">
        <v>24.99</v>
      </c>
      <c r="F70" s="2" t="s">
        <v>8777</v>
      </c>
      <c r="G70" s="22" t="s">
        <v>19342</v>
      </c>
      <c r="H70" s="24" t="s">
        <v>19330</v>
      </c>
      <c r="I70" s="22" t="s">
        <v>19309</v>
      </c>
      <c r="J70" s="22" t="s">
        <v>19491</v>
      </c>
      <c r="K70" s="22" t="s">
        <v>19554</v>
      </c>
      <c r="L70" s="22"/>
      <c r="M70" s="22"/>
      <c r="N70" s="25" t="str">
        <f>HYPERLINK("http://slimages.macys.com/is/image/MCY/21365130 ")</f>
        <v xml:space="preserve">http://slimages.macys.com/is/image/MCY/21365130 </v>
      </c>
    </row>
    <row r="71" spans="1:14" ht="24.75" x14ac:dyDescent="0.25">
      <c r="A71" s="21" t="s">
        <v>8778</v>
      </c>
      <c r="B71" s="22" t="s">
        <v>8779</v>
      </c>
      <c r="C71" s="2">
        <v>1</v>
      </c>
      <c r="D71" s="23">
        <v>23.99</v>
      </c>
      <c r="E71" s="3">
        <v>23.99</v>
      </c>
      <c r="F71" s="2" t="s">
        <v>8780</v>
      </c>
      <c r="G71" s="22" t="s">
        <v>19342</v>
      </c>
      <c r="H71" s="24" t="s">
        <v>19416</v>
      </c>
      <c r="I71" s="22" t="s">
        <v>19309</v>
      </c>
      <c r="J71" s="22" t="s">
        <v>19491</v>
      </c>
      <c r="K71" s="22" t="s">
        <v>8781</v>
      </c>
      <c r="L71" s="22"/>
      <c r="M71" s="22"/>
      <c r="N71" s="25" t="str">
        <f>HYPERLINK("http://slimages.macys.com/is/image/MCY/21716693 ")</f>
        <v xml:space="preserve">http://slimages.macys.com/is/image/MCY/21716693 </v>
      </c>
    </row>
    <row r="72" spans="1:14" ht="24.75" x14ac:dyDescent="0.25">
      <c r="A72" s="21" t="s">
        <v>8782</v>
      </c>
      <c r="B72" s="22" t="s">
        <v>8783</v>
      </c>
      <c r="C72" s="2">
        <v>1</v>
      </c>
      <c r="D72" s="23">
        <v>23.99</v>
      </c>
      <c r="E72" s="3">
        <v>23.99</v>
      </c>
      <c r="F72" s="2" t="s">
        <v>8784</v>
      </c>
      <c r="G72" s="22" t="s">
        <v>19342</v>
      </c>
      <c r="H72" s="24" t="s">
        <v>19416</v>
      </c>
      <c r="I72" s="22" t="s">
        <v>19309</v>
      </c>
      <c r="J72" s="22" t="s">
        <v>19491</v>
      </c>
      <c r="K72" s="22" t="s">
        <v>8781</v>
      </c>
      <c r="L72" s="22"/>
      <c r="M72" s="22"/>
      <c r="N72" s="25" t="str">
        <f>HYPERLINK("http://slimages.macys.com/is/image/MCY/21655049 ")</f>
        <v xml:space="preserve">http://slimages.macys.com/is/image/MCY/21655049 </v>
      </c>
    </row>
    <row r="73" spans="1:14" ht="24.75" x14ac:dyDescent="0.25">
      <c r="A73" s="21" t="s">
        <v>8785</v>
      </c>
      <c r="B73" s="22" t="s">
        <v>8786</v>
      </c>
      <c r="C73" s="2">
        <v>3</v>
      </c>
      <c r="D73" s="23">
        <v>24.99</v>
      </c>
      <c r="E73" s="3">
        <v>74.97</v>
      </c>
      <c r="F73" s="2" t="s">
        <v>8787</v>
      </c>
      <c r="G73" s="22" t="s">
        <v>19618</v>
      </c>
      <c r="H73" s="24" t="s">
        <v>19416</v>
      </c>
      <c r="I73" s="22" t="s">
        <v>19309</v>
      </c>
      <c r="J73" s="22" t="s">
        <v>19385</v>
      </c>
      <c r="K73" s="22" t="s">
        <v>17835</v>
      </c>
      <c r="L73" s="22"/>
      <c r="M73" s="22"/>
      <c r="N73" s="25" t="str">
        <f>HYPERLINK("http://slimages.macys.com/is/image/MCY/21679913 ")</f>
        <v xml:space="preserve">http://slimages.macys.com/is/image/MCY/21679913 </v>
      </c>
    </row>
    <row r="74" spans="1:14" ht="24.75" x14ac:dyDescent="0.25">
      <c r="A74" s="21" t="s">
        <v>9453</v>
      </c>
      <c r="B74" s="22" t="s">
        <v>9454</v>
      </c>
      <c r="C74" s="2">
        <v>18</v>
      </c>
      <c r="D74" s="23">
        <v>24.99</v>
      </c>
      <c r="E74" s="3">
        <v>449.82</v>
      </c>
      <c r="F74" s="2" t="s">
        <v>9452</v>
      </c>
      <c r="G74" s="22" t="s">
        <v>19670</v>
      </c>
      <c r="H74" s="24" t="s">
        <v>19538</v>
      </c>
      <c r="I74" s="22" t="s">
        <v>19309</v>
      </c>
      <c r="J74" s="22" t="s">
        <v>19385</v>
      </c>
      <c r="K74" s="22" t="s">
        <v>19386</v>
      </c>
      <c r="L74" s="22"/>
      <c r="M74" s="22"/>
      <c r="N74" s="25" t="str">
        <f>HYPERLINK("http://slimages.macys.com/is/image/MCY/21820644 ")</f>
        <v xml:space="preserve">http://slimages.macys.com/is/image/MCY/21820644 </v>
      </c>
    </row>
    <row r="75" spans="1:14" ht="24.75" x14ac:dyDescent="0.25">
      <c r="A75" s="21" t="s">
        <v>8788</v>
      </c>
      <c r="B75" s="22" t="s">
        <v>8789</v>
      </c>
      <c r="C75" s="2">
        <v>2</v>
      </c>
      <c r="D75" s="23">
        <v>31.99</v>
      </c>
      <c r="E75" s="3">
        <v>63.98</v>
      </c>
      <c r="F75" s="2" t="s">
        <v>8790</v>
      </c>
      <c r="G75" s="22" t="s">
        <v>19618</v>
      </c>
      <c r="H75" s="24" t="s">
        <v>19384</v>
      </c>
      <c r="I75" s="22" t="s">
        <v>19309</v>
      </c>
      <c r="J75" s="22" t="s">
        <v>19573</v>
      </c>
      <c r="K75" s="22" t="s">
        <v>19574</v>
      </c>
      <c r="L75" s="22"/>
      <c r="M75" s="22"/>
      <c r="N75" s="25" t="str">
        <f>HYPERLINK("http://slimages.macys.com/is/image/MCY/14601402 ")</f>
        <v xml:space="preserve">http://slimages.macys.com/is/image/MCY/14601402 </v>
      </c>
    </row>
    <row r="76" spans="1:14" ht="24.75" x14ac:dyDescent="0.25">
      <c r="A76" s="21" t="s">
        <v>8791</v>
      </c>
      <c r="B76" s="22" t="s">
        <v>8792</v>
      </c>
      <c r="C76" s="2">
        <v>1</v>
      </c>
      <c r="D76" s="23">
        <v>20.99</v>
      </c>
      <c r="E76" s="3">
        <v>20.99</v>
      </c>
      <c r="F76" s="2" t="s">
        <v>8793</v>
      </c>
      <c r="G76" s="22" t="s">
        <v>19351</v>
      </c>
      <c r="H76" s="24" t="s">
        <v>19538</v>
      </c>
      <c r="I76" s="22" t="s">
        <v>19309</v>
      </c>
      <c r="J76" s="22" t="s">
        <v>19573</v>
      </c>
      <c r="K76" s="22" t="s">
        <v>19574</v>
      </c>
      <c r="L76" s="22"/>
      <c r="M76" s="22"/>
      <c r="N76" s="25" t="str">
        <f>HYPERLINK("http://slimages.macys.com/is/image/MCY/21302919 ")</f>
        <v xml:space="preserve">http://slimages.macys.com/is/image/MCY/21302919 </v>
      </c>
    </row>
    <row r="77" spans="1:14" ht="24.75" x14ac:dyDescent="0.25">
      <c r="A77" s="21" t="s">
        <v>8794</v>
      </c>
      <c r="B77" s="22" t="s">
        <v>8795</v>
      </c>
      <c r="C77" s="2">
        <v>1</v>
      </c>
      <c r="D77" s="23">
        <v>25.99</v>
      </c>
      <c r="E77" s="3">
        <v>25.99</v>
      </c>
      <c r="F77" s="2" t="s">
        <v>8796</v>
      </c>
      <c r="G77" s="22" t="s">
        <v>19338</v>
      </c>
      <c r="H77" s="24" t="s">
        <v>19352</v>
      </c>
      <c r="I77" s="22" t="s">
        <v>19309</v>
      </c>
      <c r="J77" s="22" t="s">
        <v>19815</v>
      </c>
      <c r="K77" s="22" t="s">
        <v>19816</v>
      </c>
      <c r="L77" s="22"/>
      <c r="M77" s="22"/>
      <c r="N77" s="25" t="str">
        <f>HYPERLINK("http://slimages.macys.com/is/image/MCY/19937460 ")</f>
        <v xml:space="preserve">http://slimages.macys.com/is/image/MCY/19937460 </v>
      </c>
    </row>
    <row r="78" spans="1:14" ht="24.75" x14ac:dyDescent="0.25">
      <c r="A78" s="21" t="s">
        <v>8797</v>
      </c>
      <c r="B78" s="22" t="s">
        <v>8798</v>
      </c>
      <c r="C78" s="2">
        <v>2</v>
      </c>
      <c r="D78" s="23">
        <v>18.989999999999998</v>
      </c>
      <c r="E78" s="3">
        <v>37.979999999999997</v>
      </c>
      <c r="F78" s="2" t="s">
        <v>19825</v>
      </c>
      <c r="G78" s="22" t="s">
        <v>19315</v>
      </c>
      <c r="H78" s="24" t="s">
        <v>19797</v>
      </c>
      <c r="I78" s="22" t="s">
        <v>19309</v>
      </c>
      <c r="J78" s="22" t="s">
        <v>19447</v>
      </c>
      <c r="K78" s="22" t="s">
        <v>19533</v>
      </c>
      <c r="L78" s="22"/>
      <c r="M78" s="22"/>
      <c r="N78" s="25" t="str">
        <f>HYPERLINK("http://slimages.macys.com/is/image/MCY/20930967 ")</f>
        <v xml:space="preserve">http://slimages.macys.com/is/image/MCY/20930967 </v>
      </c>
    </row>
    <row r="79" spans="1:14" ht="24.75" x14ac:dyDescent="0.25">
      <c r="A79" s="21" t="s">
        <v>8242</v>
      </c>
      <c r="B79" s="22" t="s">
        <v>8243</v>
      </c>
      <c r="C79" s="2">
        <v>8</v>
      </c>
      <c r="D79" s="23">
        <v>24</v>
      </c>
      <c r="E79" s="3">
        <v>192</v>
      </c>
      <c r="F79" s="2" t="s">
        <v>10949</v>
      </c>
      <c r="G79" s="22" t="s">
        <v>19351</v>
      </c>
      <c r="H79" s="24" t="s">
        <v>19770</v>
      </c>
      <c r="I79" s="22" t="s">
        <v>19309</v>
      </c>
      <c r="J79" s="22" t="s">
        <v>19417</v>
      </c>
      <c r="K79" s="22" t="s">
        <v>19854</v>
      </c>
      <c r="L79" s="22"/>
      <c r="M79" s="22"/>
      <c r="N79" s="25" t="str">
        <f>HYPERLINK("http://slimages.macys.com/is/image/MCY/21369853 ")</f>
        <v xml:space="preserve">http://slimages.macys.com/is/image/MCY/21369853 </v>
      </c>
    </row>
    <row r="80" spans="1:14" ht="24.75" x14ac:dyDescent="0.25">
      <c r="A80" s="21" t="s">
        <v>8799</v>
      </c>
      <c r="B80" s="22" t="s">
        <v>8800</v>
      </c>
      <c r="C80" s="2">
        <v>2</v>
      </c>
      <c r="D80" s="23">
        <v>24</v>
      </c>
      <c r="E80" s="3">
        <v>48</v>
      </c>
      <c r="F80" s="2" t="s">
        <v>17927</v>
      </c>
      <c r="G80" s="22" t="s">
        <v>19594</v>
      </c>
      <c r="H80" s="24" t="s">
        <v>20159</v>
      </c>
      <c r="I80" s="22" t="s">
        <v>19309</v>
      </c>
      <c r="J80" s="22" t="s">
        <v>19417</v>
      </c>
      <c r="K80" s="22" t="s">
        <v>19854</v>
      </c>
      <c r="L80" s="22"/>
      <c r="M80" s="22"/>
      <c r="N80" s="25" t="str">
        <f>HYPERLINK("http://slimages.macys.com/is/image/MCY/21370252 ")</f>
        <v xml:space="preserve">http://slimages.macys.com/is/image/MCY/21370252 </v>
      </c>
    </row>
    <row r="81" spans="1:14" ht="24.75" x14ac:dyDescent="0.25">
      <c r="A81" s="21" t="s">
        <v>8240</v>
      </c>
      <c r="B81" s="22" t="s">
        <v>8241</v>
      </c>
      <c r="C81" s="2">
        <v>2</v>
      </c>
      <c r="D81" s="23">
        <v>24</v>
      </c>
      <c r="E81" s="3">
        <v>48</v>
      </c>
      <c r="F81" s="2" t="s">
        <v>8051</v>
      </c>
      <c r="G81" s="22"/>
      <c r="H81" s="24" t="s">
        <v>19367</v>
      </c>
      <c r="I81" s="22" t="s">
        <v>19309</v>
      </c>
      <c r="J81" s="22" t="s">
        <v>19417</v>
      </c>
      <c r="K81" s="22" t="s">
        <v>19854</v>
      </c>
      <c r="L81" s="22"/>
      <c r="M81" s="22"/>
      <c r="N81" s="25" t="str">
        <f>HYPERLINK("http://slimages.macys.com/is/image/MCY/21362805 ")</f>
        <v xml:space="preserve">http://slimages.macys.com/is/image/MCY/21362805 </v>
      </c>
    </row>
    <row r="82" spans="1:14" ht="24.75" x14ac:dyDescent="0.25">
      <c r="A82" s="21" t="s">
        <v>10935</v>
      </c>
      <c r="B82" s="22" t="s">
        <v>10936</v>
      </c>
      <c r="C82" s="2">
        <v>1</v>
      </c>
      <c r="D82" s="23">
        <v>24</v>
      </c>
      <c r="E82" s="3">
        <v>24</v>
      </c>
      <c r="F82" s="2" t="s">
        <v>10937</v>
      </c>
      <c r="G82" s="22" t="s">
        <v>19404</v>
      </c>
      <c r="H82" s="24" t="s">
        <v>20159</v>
      </c>
      <c r="I82" s="22" t="s">
        <v>19309</v>
      </c>
      <c r="J82" s="22" t="s">
        <v>19417</v>
      </c>
      <c r="K82" s="22" t="s">
        <v>19854</v>
      </c>
      <c r="L82" s="22"/>
      <c r="M82" s="22"/>
      <c r="N82" s="25" t="str">
        <f>HYPERLINK("http://slimages.macys.com/is/image/MCY/21370054 ")</f>
        <v xml:space="preserve">http://slimages.macys.com/is/image/MCY/21370054 </v>
      </c>
    </row>
    <row r="83" spans="1:14" ht="24.75" x14ac:dyDescent="0.25">
      <c r="A83" s="21" t="s">
        <v>8047</v>
      </c>
      <c r="B83" s="22" t="s">
        <v>8048</v>
      </c>
      <c r="C83" s="2">
        <v>5</v>
      </c>
      <c r="D83" s="23">
        <v>24</v>
      </c>
      <c r="E83" s="3">
        <v>120</v>
      </c>
      <c r="F83" s="2" t="s">
        <v>9464</v>
      </c>
      <c r="G83" s="22" t="s">
        <v>19404</v>
      </c>
      <c r="H83" s="24" t="s">
        <v>19367</v>
      </c>
      <c r="I83" s="22" t="s">
        <v>19309</v>
      </c>
      <c r="J83" s="22" t="s">
        <v>19417</v>
      </c>
      <c r="K83" s="22" t="s">
        <v>19854</v>
      </c>
      <c r="L83" s="22"/>
      <c r="M83" s="22"/>
      <c r="N83" s="25" t="str">
        <f>HYPERLINK("http://slimages.macys.com/is/image/MCY/21369881 ")</f>
        <v xml:space="preserve">http://slimages.macys.com/is/image/MCY/21369881 </v>
      </c>
    </row>
    <row r="84" spans="1:14" ht="24.75" x14ac:dyDescent="0.25">
      <c r="A84" s="21" t="s">
        <v>8801</v>
      </c>
      <c r="B84" s="22" t="s">
        <v>8802</v>
      </c>
      <c r="C84" s="2">
        <v>1</v>
      </c>
      <c r="D84" s="23">
        <v>24</v>
      </c>
      <c r="E84" s="3">
        <v>24</v>
      </c>
      <c r="F84" s="2" t="s">
        <v>10946</v>
      </c>
      <c r="G84" s="22" t="s">
        <v>19404</v>
      </c>
      <c r="H84" s="24" t="s">
        <v>20152</v>
      </c>
      <c r="I84" s="22" t="s">
        <v>19309</v>
      </c>
      <c r="J84" s="22" t="s">
        <v>19417</v>
      </c>
      <c r="K84" s="22" t="s">
        <v>19854</v>
      </c>
      <c r="L84" s="22"/>
      <c r="M84" s="22"/>
      <c r="N84" s="25" t="str">
        <f>HYPERLINK("http://slimages.macys.com/is/image/MCY/21362948 ")</f>
        <v xml:space="preserve">http://slimages.macys.com/is/image/MCY/21362948 </v>
      </c>
    </row>
    <row r="85" spans="1:14" ht="24.75" x14ac:dyDescent="0.25">
      <c r="A85" s="21" t="s">
        <v>8803</v>
      </c>
      <c r="B85" s="22" t="s">
        <v>8804</v>
      </c>
      <c r="C85" s="2">
        <v>13</v>
      </c>
      <c r="D85" s="23">
        <v>24</v>
      </c>
      <c r="E85" s="3">
        <v>312</v>
      </c>
      <c r="F85" s="2" t="s">
        <v>8805</v>
      </c>
      <c r="G85" s="22" t="s">
        <v>19879</v>
      </c>
      <c r="H85" s="24" t="s">
        <v>20159</v>
      </c>
      <c r="I85" s="22" t="s">
        <v>19309</v>
      </c>
      <c r="J85" s="22" t="s">
        <v>19417</v>
      </c>
      <c r="K85" s="22" t="s">
        <v>19854</v>
      </c>
      <c r="L85" s="22"/>
      <c r="M85" s="22"/>
      <c r="N85" s="25" t="str">
        <f>HYPERLINK("http://slimages.macys.com/is/image/MCY/21370254 ")</f>
        <v xml:space="preserve">http://slimages.macys.com/is/image/MCY/21370254 </v>
      </c>
    </row>
    <row r="86" spans="1:14" ht="24.75" x14ac:dyDescent="0.25">
      <c r="A86" s="21" t="s">
        <v>8806</v>
      </c>
      <c r="B86" s="22" t="s">
        <v>8807</v>
      </c>
      <c r="C86" s="2">
        <v>1</v>
      </c>
      <c r="D86" s="23">
        <v>21.99</v>
      </c>
      <c r="E86" s="3">
        <v>21.99</v>
      </c>
      <c r="F86" s="2" t="s">
        <v>8808</v>
      </c>
      <c r="G86" s="22"/>
      <c r="H86" s="24" t="s">
        <v>19797</v>
      </c>
      <c r="I86" s="22" t="s">
        <v>19309</v>
      </c>
      <c r="J86" s="22" t="s">
        <v>19353</v>
      </c>
      <c r="K86" s="22" t="s">
        <v>19524</v>
      </c>
      <c r="L86" s="22"/>
      <c r="M86" s="22"/>
      <c r="N86" s="25" t="str">
        <f>HYPERLINK("http://slimages.macys.com/is/image/MCY/19631905 ")</f>
        <v xml:space="preserve">http://slimages.macys.com/is/image/MCY/19631905 </v>
      </c>
    </row>
    <row r="87" spans="1:14" ht="24.75" x14ac:dyDescent="0.25">
      <c r="A87" s="21" t="s">
        <v>8809</v>
      </c>
      <c r="B87" s="22" t="s">
        <v>8810</v>
      </c>
      <c r="C87" s="2">
        <v>1</v>
      </c>
      <c r="D87" s="23">
        <v>20</v>
      </c>
      <c r="E87" s="3">
        <v>20</v>
      </c>
      <c r="F87" s="2">
        <v>1363281</v>
      </c>
      <c r="G87" s="22" t="s">
        <v>19680</v>
      </c>
      <c r="H87" s="24" t="s">
        <v>19339</v>
      </c>
      <c r="I87" s="22" t="s">
        <v>19309</v>
      </c>
      <c r="J87" s="22" t="s">
        <v>19310</v>
      </c>
      <c r="K87" s="22" t="s">
        <v>17686</v>
      </c>
      <c r="L87" s="22"/>
      <c r="M87" s="22"/>
      <c r="N87" s="25" t="str">
        <f>HYPERLINK("http://slimages.macys.com/is/image/MCY/18922465 ")</f>
        <v xml:space="preserve">http://slimages.macys.com/is/image/MCY/18922465 </v>
      </c>
    </row>
    <row r="88" spans="1:14" x14ac:dyDescent="0.25">
      <c r="A88" s="21" t="s">
        <v>10974</v>
      </c>
      <c r="B88" s="22" t="s">
        <v>10975</v>
      </c>
      <c r="C88" s="2">
        <v>13</v>
      </c>
      <c r="D88" s="23">
        <v>21.61</v>
      </c>
      <c r="E88" s="3">
        <v>280.93</v>
      </c>
      <c r="F88" s="2" t="s">
        <v>10976</v>
      </c>
      <c r="G88" s="22"/>
      <c r="H88" s="24" t="s">
        <v>20159</v>
      </c>
      <c r="I88" s="22" t="s">
        <v>19309</v>
      </c>
      <c r="J88" s="22" t="s">
        <v>19708</v>
      </c>
      <c r="K88" s="22" t="s">
        <v>19709</v>
      </c>
      <c r="L88" s="22"/>
      <c r="M88" s="22"/>
      <c r="N88" s="25" t="str">
        <f>HYPERLINK("http://slimages.macys.com/is/image/MCY/21423053 ")</f>
        <v xml:space="preserve">http://slimages.macys.com/is/image/MCY/21423053 </v>
      </c>
    </row>
    <row r="89" spans="1:14" x14ac:dyDescent="0.25">
      <c r="A89" s="21" t="s">
        <v>8811</v>
      </c>
      <c r="B89" s="22" t="s">
        <v>8812</v>
      </c>
      <c r="C89" s="2">
        <v>3</v>
      </c>
      <c r="D89" s="23">
        <v>21.99</v>
      </c>
      <c r="E89" s="3">
        <v>65.97</v>
      </c>
      <c r="F89" s="2" t="s">
        <v>8813</v>
      </c>
      <c r="G89" s="22" t="s">
        <v>19342</v>
      </c>
      <c r="H89" s="24" t="s">
        <v>19478</v>
      </c>
      <c r="I89" s="22" t="s">
        <v>19309</v>
      </c>
      <c r="J89" s="22" t="s">
        <v>19696</v>
      </c>
      <c r="K89" s="22" t="s">
        <v>19697</v>
      </c>
      <c r="L89" s="22"/>
      <c r="M89" s="22"/>
      <c r="N89" s="25" t="str">
        <f>HYPERLINK("http://slimages.macys.com/is/image/MCY/20662584 ")</f>
        <v xml:space="preserve">http://slimages.macys.com/is/image/MCY/20662584 </v>
      </c>
    </row>
    <row r="90" spans="1:14" x14ac:dyDescent="0.25">
      <c r="A90" s="21" t="s">
        <v>8251</v>
      </c>
      <c r="B90" s="22" t="s">
        <v>8252</v>
      </c>
      <c r="C90" s="2">
        <v>7</v>
      </c>
      <c r="D90" s="23">
        <v>21.99</v>
      </c>
      <c r="E90" s="3">
        <v>153.93</v>
      </c>
      <c r="F90" s="2" t="s">
        <v>8250</v>
      </c>
      <c r="G90" s="22" t="s">
        <v>19342</v>
      </c>
      <c r="H90" s="24" t="s">
        <v>19395</v>
      </c>
      <c r="I90" s="22" t="s">
        <v>19309</v>
      </c>
      <c r="J90" s="22" t="s">
        <v>19696</v>
      </c>
      <c r="K90" s="22" t="s">
        <v>19697</v>
      </c>
      <c r="L90" s="22"/>
      <c r="M90" s="22"/>
      <c r="N90" s="25" t="str">
        <f>HYPERLINK("http://slimages.macys.com/is/image/MCY/21836768 ")</f>
        <v xml:space="preserve">http://slimages.macys.com/is/image/MCY/21836768 </v>
      </c>
    </row>
    <row r="91" spans="1:14" x14ac:dyDescent="0.25">
      <c r="A91" s="21" t="s">
        <v>8814</v>
      </c>
      <c r="B91" s="22" t="s">
        <v>8815</v>
      </c>
      <c r="C91" s="2">
        <v>5</v>
      </c>
      <c r="D91" s="23">
        <v>21.99</v>
      </c>
      <c r="E91" s="3">
        <v>109.95</v>
      </c>
      <c r="F91" s="2" t="s">
        <v>8250</v>
      </c>
      <c r="G91" s="22" t="s">
        <v>19342</v>
      </c>
      <c r="H91" s="24" t="s">
        <v>19478</v>
      </c>
      <c r="I91" s="22" t="s">
        <v>19309</v>
      </c>
      <c r="J91" s="22" t="s">
        <v>19696</v>
      </c>
      <c r="K91" s="22" t="s">
        <v>19697</v>
      </c>
      <c r="L91" s="22"/>
      <c r="M91" s="22"/>
      <c r="N91" s="25" t="str">
        <f>HYPERLINK("http://slimages.macys.com/is/image/MCY/21836769 ")</f>
        <v xml:space="preserve">http://slimages.macys.com/is/image/MCY/21836769 </v>
      </c>
    </row>
    <row r="92" spans="1:14" x14ac:dyDescent="0.25">
      <c r="A92" s="21" t="s">
        <v>8816</v>
      </c>
      <c r="B92" s="22" t="s">
        <v>8817</v>
      </c>
      <c r="C92" s="2">
        <v>5</v>
      </c>
      <c r="D92" s="23">
        <v>21.99</v>
      </c>
      <c r="E92" s="3">
        <v>109.95</v>
      </c>
      <c r="F92" s="2" t="s">
        <v>8067</v>
      </c>
      <c r="G92" s="22" t="s">
        <v>19342</v>
      </c>
      <c r="H92" s="24" t="s">
        <v>19478</v>
      </c>
      <c r="I92" s="22" t="s">
        <v>19309</v>
      </c>
      <c r="J92" s="22" t="s">
        <v>19696</v>
      </c>
      <c r="K92" s="22" t="s">
        <v>19965</v>
      </c>
      <c r="L92" s="22"/>
      <c r="M92" s="22"/>
      <c r="N92" s="25" t="str">
        <f>HYPERLINK("http://slimages.macys.com/is/image/MCY/21497276 ")</f>
        <v xml:space="preserve">http://slimages.macys.com/is/image/MCY/21497276 </v>
      </c>
    </row>
    <row r="93" spans="1:14" x14ac:dyDescent="0.25">
      <c r="A93" s="21" t="s">
        <v>11982</v>
      </c>
      <c r="B93" s="22" t="s">
        <v>11983</v>
      </c>
      <c r="C93" s="2">
        <v>1</v>
      </c>
      <c r="D93" s="23">
        <v>21.99</v>
      </c>
      <c r="E93" s="3">
        <v>21.99</v>
      </c>
      <c r="F93" s="2" t="s">
        <v>18018</v>
      </c>
      <c r="G93" s="22" t="s">
        <v>19342</v>
      </c>
      <c r="H93" s="24" t="s">
        <v>19395</v>
      </c>
      <c r="I93" s="22" t="s">
        <v>19309</v>
      </c>
      <c r="J93" s="22" t="s">
        <v>19696</v>
      </c>
      <c r="K93" s="22" t="s">
        <v>19965</v>
      </c>
      <c r="L93" s="22"/>
      <c r="M93" s="22"/>
      <c r="N93" s="25" t="str">
        <f>HYPERLINK("http://slimages.macys.com/is/image/MCY/21530623 ")</f>
        <v xml:space="preserve">http://slimages.macys.com/is/image/MCY/21530623 </v>
      </c>
    </row>
    <row r="94" spans="1:14" x14ac:dyDescent="0.25">
      <c r="A94" s="21" t="s">
        <v>18016</v>
      </c>
      <c r="B94" s="22" t="s">
        <v>18017</v>
      </c>
      <c r="C94" s="2">
        <v>6</v>
      </c>
      <c r="D94" s="23">
        <v>21.99</v>
      </c>
      <c r="E94" s="3">
        <v>131.94</v>
      </c>
      <c r="F94" s="2" t="s">
        <v>18018</v>
      </c>
      <c r="G94" s="22" t="s">
        <v>19342</v>
      </c>
      <c r="H94" s="24" t="s">
        <v>19478</v>
      </c>
      <c r="I94" s="22" t="s">
        <v>19309</v>
      </c>
      <c r="J94" s="22" t="s">
        <v>19696</v>
      </c>
      <c r="K94" s="22" t="s">
        <v>19965</v>
      </c>
      <c r="L94" s="22"/>
      <c r="M94" s="22"/>
      <c r="N94" s="25" t="str">
        <f>HYPERLINK("http://slimages.macys.com/is/image/MCY/21530622 ")</f>
        <v xml:space="preserve">http://slimages.macys.com/is/image/MCY/21530622 </v>
      </c>
    </row>
    <row r="95" spans="1:14" x14ac:dyDescent="0.25">
      <c r="A95" s="21" t="s">
        <v>8061</v>
      </c>
      <c r="B95" s="22" t="s">
        <v>8062</v>
      </c>
      <c r="C95" s="2">
        <v>5</v>
      </c>
      <c r="D95" s="23">
        <v>21.99</v>
      </c>
      <c r="E95" s="3">
        <v>109.95</v>
      </c>
      <c r="F95" s="2" t="s">
        <v>19964</v>
      </c>
      <c r="G95" s="22" t="s">
        <v>19342</v>
      </c>
      <c r="H95" s="24" t="s">
        <v>19542</v>
      </c>
      <c r="I95" s="22" t="s">
        <v>19309</v>
      </c>
      <c r="J95" s="22" t="s">
        <v>19696</v>
      </c>
      <c r="K95" s="22" t="s">
        <v>19965</v>
      </c>
      <c r="L95" s="22"/>
      <c r="M95" s="22"/>
      <c r="N95" s="25" t="str">
        <f>HYPERLINK("http://slimages.macys.com/is/image/MCY/21355968 ")</f>
        <v xml:space="preserve">http://slimages.macys.com/is/image/MCY/21355968 </v>
      </c>
    </row>
    <row r="96" spans="1:14" x14ac:dyDescent="0.25">
      <c r="A96" s="21" t="s">
        <v>8818</v>
      </c>
      <c r="B96" s="22" t="s">
        <v>8819</v>
      </c>
      <c r="C96" s="2">
        <v>6</v>
      </c>
      <c r="D96" s="23">
        <v>21.99</v>
      </c>
      <c r="E96" s="3">
        <v>131.94</v>
      </c>
      <c r="F96" s="2" t="s">
        <v>8067</v>
      </c>
      <c r="G96" s="22" t="s">
        <v>19342</v>
      </c>
      <c r="H96" s="24" t="s">
        <v>19395</v>
      </c>
      <c r="I96" s="22" t="s">
        <v>19309</v>
      </c>
      <c r="J96" s="22" t="s">
        <v>19696</v>
      </c>
      <c r="K96" s="22" t="s">
        <v>19965</v>
      </c>
      <c r="L96" s="22"/>
      <c r="M96" s="22"/>
      <c r="N96" s="25" t="str">
        <f>HYPERLINK("http://slimages.macys.com/is/image/MCY/21497275 ")</f>
        <v xml:space="preserve">http://slimages.macys.com/is/image/MCY/21497275 </v>
      </c>
    </row>
    <row r="97" spans="1:14" x14ac:dyDescent="0.25">
      <c r="A97" s="21" t="s">
        <v>8820</v>
      </c>
      <c r="B97" s="22" t="s">
        <v>8821</v>
      </c>
      <c r="C97" s="2">
        <v>1</v>
      </c>
      <c r="D97" s="23">
        <v>21.99</v>
      </c>
      <c r="E97" s="3">
        <v>21.99</v>
      </c>
      <c r="F97" s="2" t="s">
        <v>8822</v>
      </c>
      <c r="G97" s="22" t="s">
        <v>19342</v>
      </c>
      <c r="H97" s="24" t="s">
        <v>19542</v>
      </c>
      <c r="I97" s="22" t="s">
        <v>19309</v>
      </c>
      <c r="J97" s="22" t="s">
        <v>19696</v>
      </c>
      <c r="K97" s="22" t="s">
        <v>19965</v>
      </c>
      <c r="L97" s="22"/>
      <c r="M97" s="22"/>
      <c r="N97" s="25" t="str">
        <f>HYPERLINK("http://slimages.macys.com/is/image/MCY/21355975 ")</f>
        <v xml:space="preserve">http://slimages.macys.com/is/image/MCY/21355975 </v>
      </c>
    </row>
    <row r="98" spans="1:14" x14ac:dyDescent="0.25">
      <c r="A98" s="21" t="s">
        <v>8823</v>
      </c>
      <c r="B98" s="22" t="s">
        <v>8824</v>
      </c>
      <c r="C98" s="2">
        <v>11</v>
      </c>
      <c r="D98" s="23">
        <v>21.99</v>
      </c>
      <c r="E98" s="3">
        <v>241.89</v>
      </c>
      <c r="F98" s="2" t="s">
        <v>8250</v>
      </c>
      <c r="G98" s="22" t="s">
        <v>19342</v>
      </c>
      <c r="H98" s="24" t="s">
        <v>19997</v>
      </c>
      <c r="I98" s="22" t="s">
        <v>19309</v>
      </c>
      <c r="J98" s="22" t="s">
        <v>19696</v>
      </c>
      <c r="K98" s="22" t="s">
        <v>19697</v>
      </c>
      <c r="L98" s="22"/>
      <c r="M98" s="22"/>
      <c r="N98" s="25" t="str">
        <f>HYPERLINK("http://slimages.macys.com/is/image/MCY/21836769 ")</f>
        <v xml:space="preserve">http://slimages.macys.com/is/image/MCY/21836769 </v>
      </c>
    </row>
    <row r="99" spans="1:14" x14ac:dyDescent="0.25">
      <c r="A99" s="21" t="s">
        <v>8065</v>
      </c>
      <c r="B99" s="22" t="s">
        <v>8066</v>
      </c>
      <c r="C99" s="2">
        <v>2</v>
      </c>
      <c r="D99" s="23">
        <v>21.99</v>
      </c>
      <c r="E99" s="3">
        <v>43.98</v>
      </c>
      <c r="F99" s="2" t="s">
        <v>8067</v>
      </c>
      <c r="G99" s="22" t="s">
        <v>19342</v>
      </c>
      <c r="H99" s="24" t="s">
        <v>19542</v>
      </c>
      <c r="I99" s="22" t="s">
        <v>19309</v>
      </c>
      <c r="J99" s="22" t="s">
        <v>19696</v>
      </c>
      <c r="K99" s="22" t="s">
        <v>19965</v>
      </c>
      <c r="L99" s="22"/>
      <c r="M99" s="22"/>
      <c r="N99" s="25" t="str">
        <f>HYPERLINK("http://slimages.macys.com/is/image/MCY/21497275 ")</f>
        <v xml:space="preserve">http://slimages.macys.com/is/image/MCY/21497275 </v>
      </c>
    </row>
    <row r="100" spans="1:14" ht="24.75" x14ac:dyDescent="0.25">
      <c r="A100" s="21" t="s">
        <v>8071</v>
      </c>
      <c r="B100" s="22" t="s">
        <v>8072</v>
      </c>
      <c r="C100" s="2">
        <v>1</v>
      </c>
      <c r="D100" s="23">
        <v>20.99</v>
      </c>
      <c r="E100" s="3">
        <v>20.99</v>
      </c>
      <c r="F100" s="2" t="s">
        <v>8073</v>
      </c>
      <c r="G100" s="22" t="s">
        <v>19342</v>
      </c>
      <c r="H100" s="24" t="s">
        <v>19324</v>
      </c>
      <c r="I100" s="22" t="s">
        <v>19309</v>
      </c>
      <c r="J100" s="22" t="s">
        <v>19385</v>
      </c>
      <c r="K100" s="22" t="s">
        <v>18064</v>
      </c>
      <c r="L100" s="22"/>
      <c r="M100" s="22"/>
      <c r="N100" s="25" t="str">
        <f>HYPERLINK("http://slimages.macys.com/is/image/MCY/21484170 ")</f>
        <v xml:space="preserve">http://slimages.macys.com/is/image/MCY/21484170 </v>
      </c>
    </row>
    <row r="101" spans="1:14" ht="24.75" x14ac:dyDescent="0.25">
      <c r="A101" s="21" t="s">
        <v>8825</v>
      </c>
      <c r="B101" s="22" t="s">
        <v>8826</v>
      </c>
      <c r="C101" s="2">
        <v>1</v>
      </c>
      <c r="D101" s="23">
        <v>20.99</v>
      </c>
      <c r="E101" s="3">
        <v>20.99</v>
      </c>
      <c r="F101" s="2" t="s">
        <v>8073</v>
      </c>
      <c r="G101" s="22" t="s">
        <v>19342</v>
      </c>
      <c r="H101" s="24" t="s">
        <v>19330</v>
      </c>
      <c r="I101" s="22" t="s">
        <v>19309</v>
      </c>
      <c r="J101" s="22" t="s">
        <v>19385</v>
      </c>
      <c r="K101" s="22" t="s">
        <v>18064</v>
      </c>
      <c r="L101" s="22"/>
      <c r="M101" s="22"/>
      <c r="N101" s="25" t="str">
        <f>HYPERLINK("http://slimages.macys.com/is/image/MCY/21484170 ")</f>
        <v xml:space="preserve">http://slimages.macys.com/is/image/MCY/21484170 </v>
      </c>
    </row>
    <row r="102" spans="1:14" ht="24.75" x14ac:dyDescent="0.25">
      <c r="A102" s="21" t="s">
        <v>10980</v>
      </c>
      <c r="B102" s="22" t="s">
        <v>10981</v>
      </c>
      <c r="C102" s="2">
        <v>1</v>
      </c>
      <c r="D102" s="23">
        <v>23</v>
      </c>
      <c r="E102" s="3">
        <v>23</v>
      </c>
      <c r="F102" s="2" t="s">
        <v>20031</v>
      </c>
      <c r="G102" s="22" t="s">
        <v>19333</v>
      </c>
      <c r="H102" s="24" t="s">
        <v>19364</v>
      </c>
      <c r="I102" s="22" t="s">
        <v>19309</v>
      </c>
      <c r="J102" s="22" t="s">
        <v>19595</v>
      </c>
      <c r="K102" s="22" t="s">
        <v>19423</v>
      </c>
      <c r="L102" s="22"/>
      <c r="M102" s="22"/>
      <c r="N102" s="25" t="str">
        <f>HYPERLINK("http://slimages.macys.com/is/image/MCY/20917977 ")</f>
        <v xml:space="preserve">http://slimages.macys.com/is/image/MCY/20917977 </v>
      </c>
    </row>
    <row r="103" spans="1:14" ht="24.75" x14ac:dyDescent="0.25">
      <c r="A103" s="21" t="s">
        <v>8827</v>
      </c>
      <c r="B103" s="22" t="s">
        <v>8828</v>
      </c>
      <c r="C103" s="2">
        <v>40</v>
      </c>
      <c r="D103" s="23">
        <v>23</v>
      </c>
      <c r="E103" s="3">
        <v>920</v>
      </c>
      <c r="F103" s="2" t="s">
        <v>20031</v>
      </c>
      <c r="G103" s="22" t="s">
        <v>19333</v>
      </c>
      <c r="H103" s="24" t="s">
        <v>19352</v>
      </c>
      <c r="I103" s="22" t="s">
        <v>19309</v>
      </c>
      <c r="J103" s="22" t="s">
        <v>19595</v>
      </c>
      <c r="K103" s="22" t="s">
        <v>19423</v>
      </c>
      <c r="L103" s="22"/>
      <c r="M103" s="22"/>
      <c r="N103" s="25" t="str">
        <f>HYPERLINK("http://slimages.macys.com/is/image/MCY/20917977 ")</f>
        <v xml:space="preserve">http://slimages.macys.com/is/image/MCY/20917977 </v>
      </c>
    </row>
    <row r="104" spans="1:14" ht="24.75" x14ac:dyDescent="0.25">
      <c r="A104" s="21" t="s">
        <v>9505</v>
      </c>
      <c r="B104" s="22" t="s">
        <v>9506</v>
      </c>
      <c r="C104" s="2">
        <v>6</v>
      </c>
      <c r="D104" s="23">
        <v>29.5</v>
      </c>
      <c r="E104" s="3">
        <v>177</v>
      </c>
      <c r="F104" s="2" t="s">
        <v>10986</v>
      </c>
      <c r="G104" s="22" t="s">
        <v>19594</v>
      </c>
      <c r="H104" s="24" t="s">
        <v>11751</v>
      </c>
      <c r="I104" s="22" t="s">
        <v>19309</v>
      </c>
      <c r="J104" s="22" t="s">
        <v>20104</v>
      </c>
      <c r="K104" s="22" t="s">
        <v>20105</v>
      </c>
      <c r="L104" s="22"/>
      <c r="M104" s="22"/>
      <c r="N104" s="25" t="str">
        <f>HYPERLINK("http://slimages.macys.com/is/image/MCY/21254194 ")</f>
        <v xml:space="preserve">http://slimages.macys.com/is/image/MCY/21254194 </v>
      </c>
    </row>
    <row r="105" spans="1:14" x14ac:dyDescent="0.25">
      <c r="A105" s="21" t="s">
        <v>12039</v>
      </c>
      <c r="B105" s="22" t="s">
        <v>12040</v>
      </c>
      <c r="C105" s="2">
        <v>26</v>
      </c>
      <c r="D105" s="23">
        <v>18.989999999999998</v>
      </c>
      <c r="E105" s="3">
        <v>493.74</v>
      </c>
      <c r="F105" s="2" t="s">
        <v>12038</v>
      </c>
      <c r="G105" s="22" t="s">
        <v>19467</v>
      </c>
      <c r="H105" s="24"/>
      <c r="I105" s="22" t="s">
        <v>19309</v>
      </c>
      <c r="J105" s="22" t="s">
        <v>19696</v>
      </c>
      <c r="K105" s="22" t="s">
        <v>18094</v>
      </c>
      <c r="L105" s="22"/>
      <c r="M105" s="22"/>
      <c r="N105" s="25" t="str">
        <f>HYPERLINK("http://slimages.macys.com/is/image/MCY/21408518 ")</f>
        <v xml:space="preserve">http://slimages.macys.com/is/image/MCY/21408518 </v>
      </c>
    </row>
    <row r="106" spans="1:14" ht="24.75" x14ac:dyDescent="0.25">
      <c r="A106" s="21" t="s">
        <v>8829</v>
      </c>
      <c r="B106" s="22" t="s">
        <v>10988</v>
      </c>
      <c r="C106" s="2">
        <v>1</v>
      </c>
      <c r="D106" s="23">
        <v>20.99</v>
      </c>
      <c r="E106" s="3">
        <v>20.99</v>
      </c>
      <c r="F106" s="2" t="s">
        <v>8830</v>
      </c>
      <c r="G106" s="22" t="s">
        <v>19315</v>
      </c>
      <c r="H106" s="24" t="s">
        <v>19432</v>
      </c>
      <c r="I106" s="22" t="s">
        <v>19309</v>
      </c>
      <c r="J106" s="22" t="s">
        <v>19447</v>
      </c>
      <c r="K106" s="22" t="s">
        <v>18333</v>
      </c>
      <c r="L106" s="22"/>
      <c r="M106" s="22"/>
      <c r="N106" s="25" t="str">
        <f>HYPERLINK("http://slimages.macys.com/is/image/MCY/21048340 ")</f>
        <v xml:space="preserve">http://slimages.macys.com/is/image/MCY/21048340 </v>
      </c>
    </row>
    <row r="107" spans="1:14" x14ac:dyDescent="0.25">
      <c r="A107" s="21" t="s">
        <v>8831</v>
      </c>
      <c r="B107" s="22" t="s">
        <v>8832</v>
      </c>
      <c r="C107" s="2">
        <v>4</v>
      </c>
      <c r="D107" s="23">
        <v>14.99</v>
      </c>
      <c r="E107" s="3">
        <v>59.96</v>
      </c>
      <c r="F107" s="2" t="s">
        <v>8833</v>
      </c>
      <c r="G107" s="22" t="s">
        <v>19315</v>
      </c>
      <c r="H107" s="24" t="s">
        <v>19352</v>
      </c>
      <c r="I107" s="22" t="s">
        <v>19309</v>
      </c>
      <c r="J107" s="22" t="s">
        <v>19310</v>
      </c>
      <c r="K107" s="22" t="s">
        <v>19529</v>
      </c>
      <c r="L107" s="22"/>
      <c r="M107" s="22"/>
      <c r="N107" s="25" t="str">
        <f>HYPERLINK("http://slimages.macys.com/is/image/MCY/18642842 ")</f>
        <v xml:space="preserve">http://slimages.macys.com/is/image/MCY/18642842 </v>
      </c>
    </row>
    <row r="108" spans="1:14" ht="24.75" x14ac:dyDescent="0.25">
      <c r="A108" s="21" t="s">
        <v>8834</v>
      </c>
      <c r="B108" s="22" t="s">
        <v>8835</v>
      </c>
      <c r="C108" s="2">
        <v>1</v>
      </c>
      <c r="D108" s="23">
        <v>28.5</v>
      </c>
      <c r="E108" s="3">
        <v>28.5</v>
      </c>
      <c r="F108" s="2" t="s">
        <v>8836</v>
      </c>
      <c r="G108" s="22" t="s">
        <v>19618</v>
      </c>
      <c r="H108" s="24" t="s">
        <v>11751</v>
      </c>
      <c r="I108" s="22" t="s">
        <v>19309</v>
      </c>
      <c r="J108" s="22" t="s">
        <v>20104</v>
      </c>
      <c r="K108" s="22" t="s">
        <v>20105</v>
      </c>
      <c r="L108" s="22"/>
      <c r="M108" s="22"/>
      <c r="N108" s="25" t="str">
        <f>HYPERLINK("http://slimages.macys.com/is/image/MCY/20006229 ")</f>
        <v xml:space="preserve">http://slimages.macys.com/is/image/MCY/20006229 </v>
      </c>
    </row>
    <row r="109" spans="1:14" ht="24.75" x14ac:dyDescent="0.25">
      <c r="A109" s="21" t="s">
        <v>8837</v>
      </c>
      <c r="B109" s="22" t="s">
        <v>8838</v>
      </c>
      <c r="C109" s="2">
        <v>1</v>
      </c>
      <c r="D109" s="23">
        <v>17.32</v>
      </c>
      <c r="E109" s="3">
        <v>17.32</v>
      </c>
      <c r="F109" s="2" t="s">
        <v>8839</v>
      </c>
      <c r="G109" s="22"/>
      <c r="H109" s="24" t="s">
        <v>19392</v>
      </c>
      <c r="I109" s="22" t="s">
        <v>19309</v>
      </c>
      <c r="J109" s="22" t="s">
        <v>19602</v>
      </c>
      <c r="K109" s="22" t="s">
        <v>20041</v>
      </c>
      <c r="L109" s="22"/>
      <c r="M109" s="22"/>
      <c r="N109" s="25" t="str">
        <f>HYPERLINK("http://slimages.macys.com/is/image/MCY/20193710 ")</f>
        <v xml:space="preserve">http://slimages.macys.com/is/image/MCY/20193710 </v>
      </c>
    </row>
    <row r="110" spans="1:14" x14ac:dyDescent="0.25">
      <c r="A110" s="21" t="s">
        <v>8077</v>
      </c>
      <c r="B110" s="22" t="s">
        <v>8078</v>
      </c>
      <c r="C110" s="2">
        <v>20</v>
      </c>
      <c r="D110" s="23">
        <v>19.989999999999998</v>
      </c>
      <c r="E110" s="3">
        <v>399.8</v>
      </c>
      <c r="F110" s="2" t="s">
        <v>8079</v>
      </c>
      <c r="G110" s="22" t="s">
        <v>19342</v>
      </c>
      <c r="H110" s="24" t="s">
        <v>19542</v>
      </c>
      <c r="I110" s="22" t="s">
        <v>19309</v>
      </c>
      <c r="J110" s="22" t="s">
        <v>19696</v>
      </c>
      <c r="K110" s="22" t="s">
        <v>19965</v>
      </c>
      <c r="L110" s="22"/>
      <c r="M110" s="22"/>
      <c r="N110" s="25" t="str">
        <f>HYPERLINK("http://slimages.macys.com/is/image/MCY/21689633 ")</f>
        <v xml:space="preserve">http://slimages.macys.com/is/image/MCY/21689633 </v>
      </c>
    </row>
    <row r="111" spans="1:14" x14ac:dyDescent="0.25">
      <c r="A111" s="21" t="s">
        <v>8080</v>
      </c>
      <c r="B111" s="22" t="s">
        <v>8081</v>
      </c>
      <c r="C111" s="2">
        <v>2</v>
      </c>
      <c r="D111" s="23">
        <v>19.989999999999998</v>
      </c>
      <c r="E111" s="3">
        <v>39.979999999999997</v>
      </c>
      <c r="F111" s="2" t="s">
        <v>8079</v>
      </c>
      <c r="G111" s="22" t="s">
        <v>19342</v>
      </c>
      <c r="H111" s="24" t="s">
        <v>19478</v>
      </c>
      <c r="I111" s="22" t="s">
        <v>19309</v>
      </c>
      <c r="J111" s="22" t="s">
        <v>19696</v>
      </c>
      <c r="K111" s="22" t="s">
        <v>19965</v>
      </c>
      <c r="L111" s="22"/>
      <c r="M111" s="22"/>
      <c r="N111" s="25" t="str">
        <f>HYPERLINK("http://slimages.macys.com/is/image/MCY/21689633 ")</f>
        <v xml:space="preserve">http://slimages.macys.com/is/image/MCY/21689633 </v>
      </c>
    </row>
    <row r="112" spans="1:14" x14ac:dyDescent="0.25">
      <c r="A112" s="21" t="s">
        <v>8840</v>
      </c>
      <c r="B112" s="22" t="s">
        <v>8841</v>
      </c>
      <c r="C112" s="2">
        <v>15</v>
      </c>
      <c r="D112" s="23">
        <v>19.989999999999998</v>
      </c>
      <c r="E112" s="3">
        <v>299.85000000000002</v>
      </c>
      <c r="F112" s="2" t="s">
        <v>8079</v>
      </c>
      <c r="G112" s="22" t="s">
        <v>19342</v>
      </c>
      <c r="H112" s="24" t="s">
        <v>19395</v>
      </c>
      <c r="I112" s="22" t="s">
        <v>19309</v>
      </c>
      <c r="J112" s="22" t="s">
        <v>19696</v>
      </c>
      <c r="K112" s="22" t="s">
        <v>19965</v>
      </c>
      <c r="L112" s="22"/>
      <c r="M112" s="22"/>
      <c r="N112" s="25" t="str">
        <f>HYPERLINK("http://slimages.macys.com/is/image/MCY/21689633 ")</f>
        <v xml:space="preserve">http://slimages.macys.com/is/image/MCY/21689633 </v>
      </c>
    </row>
    <row r="113" spans="1:14" x14ac:dyDescent="0.25">
      <c r="A113" s="21" t="s">
        <v>8842</v>
      </c>
      <c r="B113" s="22" t="s">
        <v>8843</v>
      </c>
      <c r="C113" s="2">
        <v>1</v>
      </c>
      <c r="D113" s="23">
        <v>44.5</v>
      </c>
      <c r="E113" s="3">
        <v>44.5</v>
      </c>
      <c r="F113" s="2">
        <v>100147724</v>
      </c>
      <c r="G113" s="22" t="s">
        <v>19357</v>
      </c>
      <c r="H113" s="24" t="s">
        <v>8844</v>
      </c>
      <c r="I113" s="22" t="s">
        <v>19309</v>
      </c>
      <c r="J113" s="22" t="s">
        <v>17328</v>
      </c>
      <c r="K113" s="22" t="s">
        <v>8845</v>
      </c>
      <c r="L113" s="22"/>
      <c r="M113" s="22"/>
      <c r="N113" s="25" t="str">
        <f>HYPERLINK("http://slimages.macys.com/is/image/MCY/20989265 ")</f>
        <v xml:space="preserve">http://slimages.macys.com/is/image/MCY/20989265 </v>
      </c>
    </row>
    <row r="114" spans="1:14" x14ac:dyDescent="0.25">
      <c r="A114" s="21" t="s">
        <v>8846</v>
      </c>
      <c r="B114" s="22" t="s">
        <v>8847</v>
      </c>
      <c r="C114" s="2">
        <v>1</v>
      </c>
      <c r="D114" s="23">
        <v>44.5</v>
      </c>
      <c r="E114" s="3">
        <v>44.5</v>
      </c>
      <c r="F114" s="2">
        <v>100147724</v>
      </c>
      <c r="G114" s="22" t="s">
        <v>19357</v>
      </c>
      <c r="H114" s="24" t="s">
        <v>13630</v>
      </c>
      <c r="I114" s="22" t="s">
        <v>19309</v>
      </c>
      <c r="J114" s="22" t="s">
        <v>17328</v>
      </c>
      <c r="K114" s="22" t="s">
        <v>8845</v>
      </c>
      <c r="L114" s="22"/>
      <c r="M114" s="22"/>
      <c r="N114" s="25" t="str">
        <f>HYPERLINK("http://slimages.macys.com/is/image/MCY/20989265 ")</f>
        <v xml:space="preserve">http://slimages.macys.com/is/image/MCY/20989265 </v>
      </c>
    </row>
    <row r="115" spans="1:14" x14ac:dyDescent="0.25">
      <c r="A115" s="21" t="s">
        <v>8848</v>
      </c>
      <c r="B115" s="22" t="s">
        <v>8849</v>
      </c>
      <c r="C115" s="2">
        <v>1</v>
      </c>
      <c r="D115" s="23">
        <v>44.5</v>
      </c>
      <c r="E115" s="3">
        <v>44.5</v>
      </c>
      <c r="F115" s="2">
        <v>100147724</v>
      </c>
      <c r="G115" s="22" t="s">
        <v>19357</v>
      </c>
      <c r="H115" s="24" t="s">
        <v>11850</v>
      </c>
      <c r="I115" s="22" t="s">
        <v>19309</v>
      </c>
      <c r="J115" s="22" t="s">
        <v>17328</v>
      </c>
      <c r="K115" s="22" t="s">
        <v>8845</v>
      </c>
      <c r="L115" s="22"/>
      <c r="M115" s="22"/>
      <c r="N115" s="25" t="str">
        <f>HYPERLINK("http://slimages.macys.com/is/image/MCY/20989271 ")</f>
        <v xml:space="preserve">http://slimages.macys.com/is/image/MCY/20989271 </v>
      </c>
    </row>
    <row r="116" spans="1:14" x14ac:dyDescent="0.25">
      <c r="A116" s="21" t="s">
        <v>8850</v>
      </c>
      <c r="B116" s="22" t="s">
        <v>8851</v>
      </c>
      <c r="C116" s="2">
        <v>1</v>
      </c>
      <c r="D116" s="23">
        <v>19.34</v>
      </c>
      <c r="E116" s="3">
        <v>19.34</v>
      </c>
      <c r="F116" s="2" t="s">
        <v>8852</v>
      </c>
      <c r="G116" s="22"/>
      <c r="H116" s="24" t="s">
        <v>20159</v>
      </c>
      <c r="I116" s="22" t="s">
        <v>19309</v>
      </c>
      <c r="J116" s="22" t="s">
        <v>19708</v>
      </c>
      <c r="K116" s="22" t="s">
        <v>19709</v>
      </c>
      <c r="L116" s="22"/>
      <c r="M116" s="22"/>
      <c r="N116" s="25" t="str">
        <f>HYPERLINK("http://slimages.macys.com/is/image/MCY/21423041 ")</f>
        <v xml:space="preserve">http://slimages.macys.com/is/image/MCY/21423041 </v>
      </c>
    </row>
    <row r="117" spans="1:14" ht="24.75" x14ac:dyDescent="0.25">
      <c r="A117" s="21" t="s">
        <v>8853</v>
      </c>
      <c r="B117" s="22" t="s">
        <v>8854</v>
      </c>
      <c r="C117" s="2">
        <v>1</v>
      </c>
      <c r="D117" s="23">
        <v>28</v>
      </c>
      <c r="E117" s="3">
        <v>28</v>
      </c>
      <c r="F117" s="2" t="s">
        <v>8855</v>
      </c>
      <c r="G117" s="22" t="s">
        <v>19879</v>
      </c>
      <c r="H117" s="24"/>
      <c r="I117" s="22" t="s">
        <v>19309</v>
      </c>
      <c r="J117" s="22" t="s">
        <v>19417</v>
      </c>
      <c r="K117" s="22" t="s">
        <v>20110</v>
      </c>
      <c r="L117" s="22"/>
      <c r="M117" s="22"/>
      <c r="N117" s="25" t="str">
        <f>HYPERLINK("http://slimages.macys.com/is/image/MCY/19731722 ")</f>
        <v xml:space="preserve">http://slimages.macys.com/is/image/MCY/19731722 </v>
      </c>
    </row>
    <row r="118" spans="1:14" x14ac:dyDescent="0.25">
      <c r="A118" s="21" t="s">
        <v>8856</v>
      </c>
      <c r="B118" s="22" t="s">
        <v>8857</v>
      </c>
      <c r="C118" s="2">
        <v>1</v>
      </c>
      <c r="D118" s="23">
        <v>28</v>
      </c>
      <c r="E118" s="3">
        <v>28</v>
      </c>
      <c r="F118" s="2" t="s">
        <v>8858</v>
      </c>
      <c r="G118" s="22" t="s">
        <v>19404</v>
      </c>
      <c r="H118" s="24" t="s">
        <v>19538</v>
      </c>
      <c r="I118" s="22" t="s">
        <v>19309</v>
      </c>
      <c r="J118" s="22" t="s">
        <v>19417</v>
      </c>
      <c r="K118" s="22" t="s">
        <v>20110</v>
      </c>
      <c r="L118" s="22"/>
      <c r="M118" s="22"/>
      <c r="N118" s="25" t="str">
        <f>HYPERLINK("http://slimages.macys.com/is/image/MCY/19872529 ")</f>
        <v xml:space="preserve">http://slimages.macys.com/is/image/MCY/19872529 </v>
      </c>
    </row>
    <row r="119" spans="1:14" x14ac:dyDescent="0.25">
      <c r="A119" s="21" t="s">
        <v>18149</v>
      </c>
      <c r="B119" s="22" t="s">
        <v>18150</v>
      </c>
      <c r="C119" s="2">
        <v>1</v>
      </c>
      <c r="D119" s="23">
        <v>19</v>
      </c>
      <c r="E119" s="3">
        <v>19</v>
      </c>
      <c r="F119" s="2" t="s">
        <v>18151</v>
      </c>
      <c r="G119" s="22" t="s">
        <v>19814</v>
      </c>
      <c r="H119" s="24" t="s">
        <v>19416</v>
      </c>
      <c r="I119" s="22" t="s">
        <v>19309</v>
      </c>
      <c r="J119" s="22" t="s">
        <v>19708</v>
      </c>
      <c r="K119" s="22" t="s">
        <v>19709</v>
      </c>
      <c r="L119" s="22"/>
      <c r="M119" s="22"/>
      <c r="N119" s="25" t="str">
        <f>HYPERLINK("http://slimages.macys.com/is/image/MCY/21726241 ")</f>
        <v xml:space="preserve">http://slimages.macys.com/is/image/MCY/21726241 </v>
      </c>
    </row>
    <row r="120" spans="1:14" x14ac:dyDescent="0.25">
      <c r="A120" s="21" t="s">
        <v>8570</v>
      </c>
      <c r="B120" s="22" t="s">
        <v>8571</v>
      </c>
      <c r="C120" s="2">
        <v>9</v>
      </c>
      <c r="D120" s="23">
        <v>24.99</v>
      </c>
      <c r="E120" s="3">
        <v>224.91</v>
      </c>
      <c r="F120" s="2" t="s">
        <v>11633</v>
      </c>
      <c r="G120" s="22" t="s">
        <v>19674</v>
      </c>
      <c r="H120" s="24" t="s">
        <v>19797</v>
      </c>
      <c r="I120" s="22" t="s">
        <v>19309</v>
      </c>
      <c r="J120" s="22" t="s">
        <v>19849</v>
      </c>
      <c r="K120" s="22" t="s">
        <v>19850</v>
      </c>
      <c r="L120" s="22"/>
      <c r="M120" s="22"/>
      <c r="N120" s="25" t="str">
        <f>HYPERLINK("http://slimages.macys.com/is/image/MCY/20549494 ")</f>
        <v xml:space="preserve">http://slimages.macys.com/is/image/MCY/20549494 </v>
      </c>
    </row>
    <row r="121" spans="1:14" ht="24.75" x14ac:dyDescent="0.25">
      <c r="A121" s="21" t="s">
        <v>8859</v>
      </c>
      <c r="B121" s="22" t="s">
        <v>8860</v>
      </c>
      <c r="C121" s="2">
        <v>3</v>
      </c>
      <c r="D121" s="23">
        <v>12.99</v>
      </c>
      <c r="E121" s="3">
        <v>38.97</v>
      </c>
      <c r="F121" s="2" t="s">
        <v>20141</v>
      </c>
      <c r="G121" s="22" t="s">
        <v>19585</v>
      </c>
      <c r="H121" s="24" t="s">
        <v>19797</v>
      </c>
      <c r="I121" s="22" t="s">
        <v>19309</v>
      </c>
      <c r="J121" s="22" t="s">
        <v>19447</v>
      </c>
      <c r="K121" s="22" t="s">
        <v>19873</v>
      </c>
      <c r="L121" s="22"/>
      <c r="M121" s="22"/>
      <c r="N121" s="25" t="str">
        <f>HYPERLINK("http://slimages.macys.com/is/image/MCY/21122038 ")</f>
        <v xml:space="preserve">http://slimages.macys.com/is/image/MCY/21122038 </v>
      </c>
    </row>
    <row r="122" spans="1:14" ht="24.75" x14ac:dyDescent="0.25">
      <c r="A122" s="21" t="s">
        <v>20139</v>
      </c>
      <c r="B122" s="22" t="s">
        <v>20140</v>
      </c>
      <c r="C122" s="2">
        <v>3</v>
      </c>
      <c r="D122" s="23">
        <v>12.99</v>
      </c>
      <c r="E122" s="3">
        <v>38.97</v>
      </c>
      <c r="F122" s="2" t="s">
        <v>20141</v>
      </c>
      <c r="G122" s="22" t="s">
        <v>19585</v>
      </c>
      <c r="H122" s="24" t="s">
        <v>19352</v>
      </c>
      <c r="I122" s="22" t="s">
        <v>19309</v>
      </c>
      <c r="J122" s="22" t="s">
        <v>19447</v>
      </c>
      <c r="K122" s="22" t="s">
        <v>19873</v>
      </c>
      <c r="L122" s="22"/>
      <c r="M122" s="22"/>
      <c r="N122" s="25" t="str">
        <f>HYPERLINK("http://slimages.macys.com/is/image/MCY/21122038 ")</f>
        <v xml:space="preserve">http://slimages.macys.com/is/image/MCY/21122038 </v>
      </c>
    </row>
    <row r="123" spans="1:14" ht="24.75" x14ac:dyDescent="0.25">
      <c r="A123" s="21" t="s">
        <v>8861</v>
      </c>
      <c r="B123" s="22" t="s">
        <v>8862</v>
      </c>
      <c r="C123" s="2">
        <v>1</v>
      </c>
      <c r="D123" s="23">
        <v>17.989999999999998</v>
      </c>
      <c r="E123" s="3">
        <v>17.989999999999998</v>
      </c>
      <c r="F123" s="2">
        <v>10013097300</v>
      </c>
      <c r="G123" s="22" t="s">
        <v>19518</v>
      </c>
      <c r="H123" s="24" t="s">
        <v>18168</v>
      </c>
      <c r="I123" s="22" t="s">
        <v>19309</v>
      </c>
      <c r="J123" s="22" t="s">
        <v>19573</v>
      </c>
      <c r="K123" s="22" t="s">
        <v>19574</v>
      </c>
      <c r="L123" s="22"/>
      <c r="M123" s="22"/>
      <c r="N123" s="25" t="str">
        <f>HYPERLINK("http://slimages.macys.com/is/image/MCY/19755903 ")</f>
        <v xml:space="preserve">http://slimages.macys.com/is/image/MCY/19755903 </v>
      </c>
    </row>
    <row r="124" spans="1:14" ht="24.75" x14ac:dyDescent="0.25">
      <c r="A124" s="21" t="s">
        <v>8863</v>
      </c>
      <c r="B124" s="22" t="s">
        <v>8864</v>
      </c>
      <c r="C124" s="2">
        <v>1</v>
      </c>
      <c r="D124" s="23">
        <v>32.99</v>
      </c>
      <c r="E124" s="3">
        <v>32.99</v>
      </c>
      <c r="F124" s="2" t="s">
        <v>8865</v>
      </c>
      <c r="G124" s="22" t="s">
        <v>19333</v>
      </c>
      <c r="H124" s="24"/>
      <c r="I124" s="22" t="s">
        <v>19309</v>
      </c>
      <c r="J124" s="22" t="s">
        <v>19519</v>
      </c>
      <c r="K124" s="22" t="s">
        <v>17725</v>
      </c>
      <c r="L124" s="22"/>
      <c r="M124" s="22"/>
      <c r="N124" s="25" t="str">
        <f>HYPERLINK("http://slimages.macys.com/is/image/MCY/21103371 ")</f>
        <v xml:space="preserve">http://slimages.macys.com/is/image/MCY/21103371 </v>
      </c>
    </row>
    <row r="125" spans="1:14" ht="24.75" x14ac:dyDescent="0.25">
      <c r="A125" s="21" t="s">
        <v>8866</v>
      </c>
      <c r="B125" s="22" t="s">
        <v>8867</v>
      </c>
      <c r="C125" s="2">
        <v>1</v>
      </c>
      <c r="D125" s="23">
        <v>15.99</v>
      </c>
      <c r="E125" s="3">
        <v>15.99</v>
      </c>
      <c r="F125" s="2" t="s">
        <v>8868</v>
      </c>
      <c r="G125" s="22" t="s">
        <v>19794</v>
      </c>
      <c r="H125" s="24" t="s">
        <v>19416</v>
      </c>
      <c r="I125" s="22" t="s">
        <v>19309</v>
      </c>
      <c r="J125" s="22" t="s">
        <v>19491</v>
      </c>
      <c r="K125" s="22" t="s">
        <v>18197</v>
      </c>
      <c r="L125" s="22"/>
      <c r="M125" s="22"/>
      <c r="N125" s="25" t="str">
        <f>HYPERLINK("http://slimages.macys.com/is/image/MCY/21541845 ")</f>
        <v xml:space="preserve">http://slimages.macys.com/is/image/MCY/21541845 </v>
      </c>
    </row>
    <row r="126" spans="1:14" x14ac:dyDescent="0.25">
      <c r="A126" s="21" t="s">
        <v>8869</v>
      </c>
      <c r="B126" s="22" t="s">
        <v>8870</v>
      </c>
      <c r="C126" s="2">
        <v>1</v>
      </c>
      <c r="D126" s="23">
        <v>16.989999999999998</v>
      </c>
      <c r="E126" s="3">
        <v>16.989999999999998</v>
      </c>
      <c r="F126" s="2" t="s">
        <v>8871</v>
      </c>
      <c r="G126" s="22" t="s">
        <v>19323</v>
      </c>
      <c r="H126" s="24"/>
      <c r="I126" s="22" t="s">
        <v>19309</v>
      </c>
      <c r="J126" s="22" t="s">
        <v>19696</v>
      </c>
      <c r="K126" s="22" t="s">
        <v>15978</v>
      </c>
      <c r="L126" s="22"/>
      <c r="M126" s="22"/>
      <c r="N126" s="25" t="str">
        <f>HYPERLINK("http://slimages.macys.com/is/image/MCY/21408733 ")</f>
        <v xml:space="preserve">http://slimages.macys.com/is/image/MCY/21408733 </v>
      </c>
    </row>
    <row r="127" spans="1:14" ht="24.75" x14ac:dyDescent="0.25">
      <c r="A127" s="21" t="s">
        <v>8872</v>
      </c>
      <c r="B127" s="22" t="s">
        <v>8873</v>
      </c>
      <c r="C127" s="2">
        <v>6</v>
      </c>
      <c r="D127" s="23">
        <v>15.99</v>
      </c>
      <c r="E127" s="3">
        <v>95.94</v>
      </c>
      <c r="F127" s="2" t="s">
        <v>8874</v>
      </c>
      <c r="G127" s="22" t="s">
        <v>19351</v>
      </c>
      <c r="H127" s="24" t="s">
        <v>19907</v>
      </c>
      <c r="I127" s="22" t="s">
        <v>19309</v>
      </c>
      <c r="J127" s="22" t="s">
        <v>19573</v>
      </c>
      <c r="K127" s="22" t="s">
        <v>19574</v>
      </c>
      <c r="L127" s="22"/>
      <c r="M127" s="22"/>
      <c r="N127" s="25" t="str">
        <f>HYPERLINK("http://slimages.macys.com/is/image/MCY/21907847 ")</f>
        <v xml:space="preserve">http://slimages.macys.com/is/image/MCY/21907847 </v>
      </c>
    </row>
    <row r="128" spans="1:14" ht="24.75" x14ac:dyDescent="0.25">
      <c r="A128" s="21" t="s">
        <v>8875</v>
      </c>
      <c r="B128" s="22" t="s">
        <v>8876</v>
      </c>
      <c r="C128" s="2">
        <v>4</v>
      </c>
      <c r="D128" s="23">
        <v>15.99</v>
      </c>
      <c r="E128" s="3">
        <v>63.96</v>
      </c>
      <c r="F128" s="2" t="s">
        <v>8874</v>
      </c>
      <c r="G128" s="22" t="s">
        <v>19351</v>
      </c>
      <c r="H128" s="24" t="s">
        <v>20089</v>
      </c>
      <c r="I128" s="22" t="s">
        <v>19309</v>
      </c>
      <c r="J128" s="22" t="s">
        <v>19573</v>
      </c>
      <c r="K128" s="22" t="s">
        <v>19574</v>
      </c>
      <c r="L128" s="22"/>
      <c r="M128" s="22"/>
      <c r="N128" s="25" t="str">
        <f>HYPERLINK("http://slimages.macys.com/is/image/MCY/21907847 ")</f>
        <v xml:space="preserve">http://slimages.macys.com/is/image/MCY/21907847 </v>
      </c>
    </row>
    <row r="129" spans="1:14" ht="24.75" x14ac:dyDescent="0.25">
      <c r="A129" s="21" t="s">
        <v>8877</v>
      </c>
      <c r="B129" s="22" t="s">
        <v>8878</v>
      </c>
      <c r="C129" s="2">
        <v>1</v>
      </c>
      <c r="D129" s="23">
        <v>15.11</v>
      </c>
      <c r="E129" s="3">
        <v>15.11</v>
      </c>
      <c r="F129" s="2" t="s">
        <v>8879</v>
      </c>
      <c r="G129" s="22" t="s">
        <v>19333</v>
      </c>
      <c r="H129" s="24" t="s">
        <v>19345</v>
      </c>
      <c r="I129" s="22" t="s">
        <v>19309</v>
      </c>
      <c r="J129" s="22" t="s">
        <v>19602</v>
      </c>
      <c r="K129" s="22" t="s">
        <v>20041</v>
      </c>
      <c r="L129" s="22"/>
      <c r="M129" s="22"/>
      <c r="N129" s="25" t="str">
        <f>HYPERLINK("http://slimages.macys.com/is/image/MCY/19858125 ")</f>
        <v xml:space="preserve">http://slimages.macys.com/is/image/MCY/19858125 </v>
      </c>
    </row>
    <row r="130" spans="1:14" x14ac:dyDescent="0.25">
      <c r="A130" s="21" t="s">
        <v>9543</v>
      </c>
      <c r="B130" s="22" t="s">
        <v>9544</v>
      </c>
      <c r="C130" s="2">
        <v>12</v>
      </c>
      <c r="D130" s="23">
        <v>17.059999999999999</v>
      </c>
      <c r="E130" s="3">
        <v>204.72</v>
      </c>
      <c r="F130" s="2" t="s">
        <v>9545</v>
      </c>
      <c r="G130" s="22"/>
      <c r="H130" s="24" t="s">
        <v>20159</v>
      </c>
      <c r="I130" s="22" t="s">
        <v>19309</v>
      </c>
      <c r="J130" s="22" t="s">
        <v>19708</v>
      </c>
      <c r="K130" s="22" t="s">
        <v>19709</v>
      </c>
      <c r="L130" s="22"/>
      <c r="M130" s="22"/>
      <c r="N130" s="25" t="str">
        <f>HYPERLINK("http://slimages.macys.com/is/image/MCY/21726580 ")</f>
        <v xml:space="preserve">http://slimages.macys.com/is/image/MCY/21726580 </v>
      </c>
    </row>
    <row r="131" spans="1:14" x14ac:dyDescent="0.25">
      <c r="A131" s="21" t="s">
        <v>8880</v>
      </c>
      <c r="B131" s="22" t="s">
        <v>8881</v>
      </c>
      <c r="C131" s="2">
        <v>2</v>
      </c>
      <c r="D131" s="23">
        <v>17.989999999999998</v>
      </c>
      <c r="E131" s="3">
        <v>35.979999999999997</v>
      </c>
      <c r="F131" s="2" t="s">
        <v>10576</v>
      </c>
      <c r="G131" s="22" t="s">
        <v>19342</v>
      </c>
      <c r="H131" s="24" t="s">
        <v>19334</v>
      </c>
      <c r="I131" s="22" t="s">
        <v>19309</v>
      </c>
      <c r="J131" s="22" t="s">
        <v>19696</v>
      </c>
      <c r="K131" s="22" t="s">
        <v>19965</v>
      </c>
      <c r="L131" s="22"/>
      <c r="M131" s="22"/>
      <c r="N131" s="25" t="str">
        <f>HYPERLINK("http://slimages.macys.com/is/image/MCY/20583418 ")</f>
        <v xml:space="preserve">http://slimages.macys.com/is/image/MCY/20583418 </v>
      </c>
    </row>
    <row r="132" spans="1:14" x14ac:dyDescent="0.25">
      <c r="A132" s="21" t="s">
        <v>8270</v>
      </c>
      <c r="B132" s="22" t="s">
        <v>8271</v>
      </c>
      <c r="C132" s="2">
        <v>1</v>
      </c>
      <c r="D132" s="23">
        <v>15.99</v>
      </c>
      <c r="E132" s="3">
        <v>15.99</v>
      </c>
      <c r="F132" s="2" t="s">
        <v>18227</v>
      </c>
      <c r="G132" s="22" t="s">
        <v>19315</v>
      </c>
      <c r="H132" s="24" t="s">
        <v>19364</v>
      </c>
      <c r="I132" s="22" t="s">
        <v>19309</v>
      </c>
      <c r="J132" s="22" t="s">
        <v>19849</v>
      </c>
      <c r="K132" s="22" t="s">
        <v>19850</v>
      </c>
      <c r="L132" s="22"/>
      <c r="M132" s="22"/>
      <c r="N132" s="25" t="str">
        <f>HYPERLINK("http://slimages.macys.com/is/image/MCY/1521344 ")</f>
        <v xml:space="preserve">http://slimages.macys.com/is/image/MCY/1521344 </v>
      </c>
    </row>
    <row r="133" spans="1:14" ht="24.75" x14ac:dyDescent="0.25">
      <c r="A133" s="21" t="s">
        <v>8097</v>
      </c>
      <c r="B133" s="22" t="s">
        <v>8098</v>
      </c>
      <c r="C133" s="2">
        <v>2</v>
      </c>
      <c r="D133" s="23">
        <v>30</v>
      </c>
      <c r="E133" s="3">
        <v>60</v>
      </c>
      <c r="F133" s="2" t="s">
        <v>8099</v>
      </c>
      <c r="G133" s="22" t="s">
        <v>19333</v>
      </c>
      <c r="H133" s="24"/>
      <c r="I133" s="22" t="s">
        <v>19309</v>
      </c>
      <c r="J133" s="22" t="s">
        <v>19417</v>
      </c>
      <c r="K133" s="22" t="s">
        <v>18317</v>
      </c>
      <c r="L133" s="22"/>
      <c r="M133" s="22"/>
      <c r="N133" s="25" t="str">
        <f>HYPERLINK("http://slimages.macys.com/is/image/MCY/22226509 ")</f>
        <v xml:space="preserve">http://slimages.macys.com/is/image/MCY/22226509 </v>
      </c>
    </row>
    <row r="134" spans="1:14" x14ac:dyDescent="0.25">
      <c r="A134" s="21" t="s">
        <v>8586</v>
      </c>
      <c r="B134" s="22" t="s">
        <v>8587</v>
      </c>
      <c r="C134" s="2">
        <v>1</v>
      </c>
      <c r="D134" s="23">
        <v>24</v>
      </c>
      <c r="E134" s="3">
        <v>24</v>
      </c>
      <c r="F134" s="2" t="s">
        <v>11056</v>
      </c>
      <c r="G134" s="22" t="s">
        <v>18439</v>
      </c>
      <c r="H134" s="24" t="s">
        <v>19538</v>
      </c>
      <c r="I134" s="22" t="s">
        <v>19309</v>
      </c>
      <c r="J134" s="22" t="s">
        <v>19417</v>
      </c>
      <c r="K134" s="22" t="s">
        <v>20110</v>
      </c>
      <c r="L134" s="22"/>
      <c r="M134" s="22"/>
      <c r="N134" s="25" t="str">
        <f>HYPERLINK("http://slimages.macys.com/is/image/MCY/21400727 ")</f>
        <v xml:space="preserve">http://slimages.macys.com/is/image/MCY/21400727 </v>
      </c>
    </row>
    <row r="135" spans="1:14" x14ac:dyDescent="0.25">
      <c r="A135" s="21" t="s">
        <v>8882</v>
      </c>
      <c r="B135" s="22" t="s">
        <v>8883</v>
      </c>
      <c r="C135" s="2">
        <v>24</v>
      </c>
      <c r="D135" s="23">
        <v>24</v>
      </c>
      <c r="E135" s="3">
        <v>576</v>
      </c>
      <c r="F135" s="2" t="s">
        <v>10596</v>
      </c>
      <c r="G135" s="22" t="s">
        <v>19404</v>
      </c>
      <c r="H135" s="24" t="s">
        <v>19770</v>
      </c>
      <c r="I135" s="22" t="s">
        <v>19309</v>
      </c>
      <c r="J135" s="22" t="s">
        <v>19417</v>
      </c>
      <c r="K135" s="22" t="s">
        <v>20110</v>
      </c>
      <c r="L135" s="22"/>
      <c r="M135" s="22"/>
      <c r="N135" s="25" t="str">
        <f>HYPERLINK("http://slimages.macys.com/is/image/MCY/21551777 ")</f>
        <v xml:space="preserve">http://slimages.macys.com/is/image/MCY/21551777 </v>
      </c>
    </row>
    <row r="136" spans="1:14" ht="24.75" x14ac:dyDescent="0.25">
      <c r="A136" s="21" t="s">
        <v>8884</v>
      </c>
      <c r="B136" s="22" t="s">
        <v>8885</v>
      </c>
      <c r="C136" s="2">
        <v>27</v>
      </c>
      <c r="D136" s="23">
        <v>24</v>
      </c>
      <c r="E136" s="3">
        <v>648</v>
      </c>
      <c r="F136" s="2" t="s">
        <v>8886</v>
      </c>
      <c r="G136" s="22" t="s">
        <v>19594</v>
      </c>
      <c r="H136" s="24"/>
      <c r="I136" s="22" t="s">
        <v>19309</v>
      </c>
      <c r="J136" s="22" t="s">
        <v>19417</v>
      </c>
      <c r="K136" s="22" t="s">
        <v>20110</v>
      </c>
      <c r="L136" s="22"/>
      <c r="M136" s="22"/>
      <c r="N136" s="25" t="str">
        <f>HYPERLINK("http://slimages.macys.com/is/image/MCY/21551777 ")</f>
        <v xml:space="preserve">http://slimages.macys.com/is/image/MCY/21551777 </v>
      </c>
    </row>
    <row r="137" spans="1:14" x14ac:dyDescent="0.25">
      <c r="A137" s="21" t="s">
        <v>8887</v>
      </c>
      <c r="B137" s="22" t="s">
        <v>8888</v>
      </c>
      <c r="C137" s="2">
        <v>25</v>
      </c>
      <c r="D137" s="23">
        <v>24</v>
      </c>
      <c r="E137" s="3">
        <v>600</v>
      </c>
      <c r="F137" s="2" t="s">
        <v>8886</v>
      </c>
      <c r="G137" s="22" t="s">
        <v>19594</v>
      </c>
      <c r="H137" s="24" t="s">
        <v>19770</v>
      </c>
      <c r="I137" s="22" t="s">
        <v>19309</v>
      </c>
      <c r="J137" s="22" t="s">
        <v>19417</v>
      </c>
      <c r="K137" s="22" t="s">
        <v>20110</v>
      </c>
      <c r="L137" s="22"/>
      <c r="M137" s="22"/>
      <c r="N137" s="25" t="str">
        <f>HYPERLINK("http://slimages.macys.com/is/image/MCY/21551777 ")</f>
        <v xml:space="preserve">http://slimages.macys.com/is/image/MCY/21551777 </v>
      </c>
    </row>
    <row r="138" spans="1:14" ht="24.75" x14ac:dyDescent="0.25">
      <c r="A138" s="21" t="s">
        <v>11033</v>
      </c>
      <c r="B138" s="22" t="s">
        <v>11034</v>
      </c>
      <c r="C138" s="2">
        <v>1</v>
      </c>
      <c r="D138" s="23">
        <v>26</v>
      </c>
      <c r="E138" s="3">
        <v>26</v>
      </c>
      <c r="F138" s="2" t="s">
        <v>11032</v>
      </c>
      <c r="G138" s="22" t="s">
        <v>19674</v>
      </c>
      <c r="H138" s="24"/>
      <c r="I138" s="22" t="s">
        <v>19309</v>
      </c>
      <c r="J138" s="22" t="s">
        <v>19417</v>
      </c>
      <c r="K138" s="22" t="s">
        <v>20110</v>
      </c>
      <c r="L138" s="22"/>
      <c r="M138" s="22"/>
      <c r="N138" s="25" t="str">
        <f>HYPERLINK("http://slimages.macys.com/is/image/MCY/21551760 ")</f>
        <v xml:space="preserve">http://slimages.macys.com/is/image/MCY/21551760 </v>
      </c>
    </row>
    <row r="139" spans="1:14" ht="24.75" x14ac:dyDescent="0.25">
      <c r="A139" s="21" t="s">
        <v>8889</v>
      </c>
      <c r="B139" s="22" t="s">
        <v>8890</v>
      </c>
      <c r="C139" s="2">
        <v>4</v>
      </c>
      <c r="D139" s="23">
        <v>24</v>
      </c>
      <c r="E139" s="3">
        <v>96</v>
      </c>
      <c r="F139" s="2" t="s">
        <v>8886</v>
      </c>
      <c r="G139" s="22" t="s">
        <v>19594</v>
      </c>
      <c r="H139" s="24" t="s">
        <v>19538</v>
      </c>
      <c r="I139" s="22" t="s">
        <v>19309</v>
      </c>
      <c r="J139" s="22" t="s">
        <v>19417</v>
      </c>
      <c r="K139" s="22" t="s">
        <v>20110</v>
      </c>
      <c r="L139" s="22"/>
      <c r="M139" s="22"/>
      <c r="N139" s="25" t="str">
        <f>HYPERLINK("http://slimages.macys.com/is/image/MCY/21551777 ")</f>
        <v xml:space="preserve">http://slimages.macys.com/is/image/MCY/21551777 </v>
      </c>
    </row>
    <row r="140" spans="1:14" x14ac:dyDescent="0.25">
      <c r="A140" s="21" t="s">
        <v>8891</v>
      </c>
      <c r="B140" s="22" t="s">
        <v>8892</v>
      </c>
      <c r="C140" s="2">
        <v>38</v>
      </c>
      <c r="D140" s="23">
        <v>16.989999999999998</v>
      </c>
      <c r="E140" s="3">
        <v>645.62</v>
      </c>
      <c r="F140" s="2" t="s">
        <v>11061</v>
      </c>
      <c r="G140" s="22" t="s">
        <v>19462</v>
      </c>
      <c r="H140" s="24" t="s">
        <v>19364</v>
      </c>
      <c r="I140" s="22" t="s">
        <v>19309</v>
      </c>
      <c r="J140" s="22" t="s">
        <v>19849</v>
      </c>
      <c r="K140" s="22" t="s">
        <v>19850</v>
      </c>
      <c r="L140" s="22"/>
      <c r="M140" s="22"/>
      <c r="N140" s="25" t="str">
        <f>HYPERLINK("http://slimages.macys.com/is/image/MCY/1553435 ")</f>
        <v xml:space="preserve">http://slimages.macys.com/is/image/MCY/1553435 </v>
      </c>
    </row>
    <row r="141" spans="1:14" ht="24.75" x14ac:dyDescent="0.25">
      <c r="A141" s="21" t="s">
        <v>8893</v>
      </c>
      <c r="B141" s="22" t="s">
        <v>8894</v>
      </c>
      <c r="C141" s="2">
        <v>1</v>
      </c>
      <c r="D141" s="23">
        <v>15.99</v>
      </c>
      <c r="E141" s="3">
        <v>15.99</v>
      </c>
      <c r="F141" s="2" t="s">
        <v>20288</v>
      </c>
      <c r="G141" s="22" t="s">
        <v>19618</v>
      </c>
      <c r="H141" s="24" t="s">
        <v>19907</v>
      </c>
      <c r="I141" s="22" t="s">
        <v>19309</v>
      </c>
      <c r="J141" s="22" t="s">
        <v>19573</v>
      </c>
      <c r="K141" s="22" t="s">
        <v>19574</v>
      </c>
      <c r="L141" s="22"/>
      <c r="M141" s="22"/>
      <c r="N141" s="25" t="str">
        <f>HYPERLINK("http://slimages.macys.com/is/image/MCY/1554876 ")</f>
        <v xml:space="preserve">http://slimages.macys.com/is/image/MCY/1554876 </v>
      </c>
    </row>
    <row r="142" spans="1:14" ht="24.75" x14ac:dyDescent="0.25">
      <c r="A142" s="21" t="s">
        <v>8895</v>
      </c>
      <c r="B142" s="22" t="s">
        <v>8896</v>
      </c>
      <c r="C142" s="2">
        <v>1</v>
      </c>
      <c r="D142" s="23">
        <v>24.5</v>
      </c>
      <c r="E142" s="3">
        <v>24.5</v>
      </c>
      <c r="F142" s="2" t="s">
        <v>11069</v>
      </c>
      <c r="G142" s="22" t="s">
        <v>18764</v>
      </c>
      <c r="H142" s="24" t="s">
        <v>19395</v>
      </c>
      <c r="I142" s="22" t="s">
        <v>19309</v>
      </c>
      <c r="J142" s="22" t="s">
        <v>19688</v>
      </c>
      <c r="K142" s="22" t="s">
        <v>19614</v>
      </c>
      <c r="L142" s="22"/>
      <c r="M142" s="22"/>
      <c r="N142" s="25" t="str">
        <f>HYPERLINK("http://slimages.macys.com/is/image/MCY/21589145 ")</f>
        <v xml:space="preserve">http://slimages.macys.com/is/image/MCY/21589145 </v>
      </c>
    </row>
    <row r="143" spans="1:14" ht="24.75" x14ac:dyDescent="0.25">
      <c r="A143" s="21" t="s">
        <v>8897</v>
      </c>
      <c r="B143" s="22" t="s">
        <v>8898</v>
      </c>
      <c r="C143" s="2">
        <v>1</v>
      </c>
      <c r="D143" s="23">
        <v>15.99</v>
      </c>
      <c r="E143" s="3">
        <v>15.99</v>
      </c>
      <c r="F143" s="2" t="s">
        <v>8592</v>
      </c>
      <c r="G143" s="22" t="s">
        <v>19674</v>
      </c>
      <c r="H143" s="24" t="s">
        <v>19907</v>
      </c>
      <c r="I143" s="22" t="s">
        <v>19309</v>
      </c>
      <c r="J143" s="22" t="s">
        <v>19573</v>
      </c>
      <c r="K143" s="22" t="s">
        <v>19574</v>
      </c>
      <c r="L143" s="22"/>
      <c r="M143" s="22"/>
      <c r="N143" s="25" t="str">
        <f>HYPERLINK("http://slimages.macys.com/is/image/MCY/22037419 ")</f>
        <v xml:space="preserve">http://slimages.macys.com/is/image/MCY/22037419 </v>
      </c>
    </row>
    <row r="144" spans="1:14" ht="24.75" x14ac:dyDescent="0.25">
      <c r="A144" s="21" t="s">
        <v>8899</v>
      </c>
      <c r="B144" s="22" t="s">
        <v>8900</v>
      </c>
      <c r="C144" s="2">
        <v>1</v>
      </c>
      <c r="D144" s="23">
        <v>15.99</v>
      </c>
      <c r="E144" s="3">
        <v>15.99</v>
      </c>
      <c r="F144" s="2" t="s">
        <v>20323</v>
      </c>
      <c r="G144" s="22" t="s">
        <v>19415</v>
      </c>
      <c r="H144" s="24"/>
      <c r="I144" s="22" t="s">
        <v>19309</v>
      </c>
      <c r="J144" s="22" t="s">
        <v>19573</v>
      </c>
      <c r="K144" s="22" t="s">
        <v>19574</v>
      </c>
      <c r="L144" s="22"/>
      <c r="M144" s="22"/>
      <c r="N144" s="25" t="str">
        <f>HYPERLINK("http://slimages.macys.com/is/image/MCY/20757473 ")</f>
        <v xml:space="preserve">http://slimages.macys.com/is/image/MCY/20757473 </v>
      </c>
    </row>
    <row r="145" spans="1:14" ht="24.75" x14ac:dyDescent="0.25">
      <c r="A145" s="21" t="s">
        <v>9562</v>
      </c>
      <c r="B145" s="22" t="s">
        <v>9563</v>
      </c>
      <c r="C145" s="2">
        <v>1</v>
      </c>
      <c r="D145" s="23">
        <v>14.99</v>
      </c>
      <c r="E145" s="3">
        <v>14.99</v>
      </c>
      <c r="F145" s="2" t="s">
        <v>18364</v>
      </c>
      <c r="G145" s="22" t="s">
        <v>19431</v>
      </c>
      <c r="H145" s="24" t="s">
        <v>19538</v>
      </c>
      <c r="I145" s="22" t="s">
        <v>19309</v>
      </c>
      <c r="J145" s="22" t="s">
        <v>19573</v>
      </c>
      <c r="K145" s="22" t="s">
        <v>19574</v>
      </c>
      <c r="L145" s="22"/>
      <c r="M145" s="22"/>
      <c r="N145" s="25" t="str">
        <f>HYPERLINK("http://slimages.macys.com/is/image/MCY/2062457 ")</f>
        <v xml:space="preserve">http://slimages.macys.com/is/image/MCY/2062457 </v>
      </c>
    </row>
    <row r="146" spans="1:14" x14ac:dyDescent="0.25">
      <c r="A146" s="21" t="s">
        <v>8901</v>
      </c>
      <c r="B146" s="22" t="s">
        <v>8902</v>
      </c>
      <c r="C146" s="2">
        <v>1</v>
      </c>
      <c r="D146" s="23">
        <v>15.13</v>
      </c>
      <c r="E146" s="3">
        <v>15.13</v>
      </c>
      <c r="F146" s="2" t="s">
        <v>8903</v>
      </c>
      <c r="G146" s="22" t="s">
        <v>19431</v>
      </c>
      <c r="H146" s="24" t="s">
        <v>20152</v>
      </c>
      <c r="I146" s="22" t="s">
        <v>19309</v>
      </c>
      <c r="J146" s="22" t="s">
        <v>19708</v>
      </c>
      <c r="K146" s="22" t="s">
        <v>19709</v>
      </c>
      <c r="L146" s="22"/>
      <c r="M146" s="22"/>
      <c r="N146" s="25" t="str">
        <f>HYPERLINK("http://slimages.macys.com/is/image/MCY/21410411 ")</f>
        <v xml:space="preserve">http://slimages.macys.com/is/image/MCY/21410411 </v>
      </c>
    </row>
    <row r="147" spans="1:14" x14ac:dyDescent="0.25">
      <c r="A147" s="21" t="s">
        <v>9827</v>
      </c>
      <c r="B147" s="22" t="s">
        <v>9828</v>
      </c>
      <c r="C147" s="2">
        <v>1</v>
      </c>
      <c r="D147" s="23">
        <v>15.13</v>
      </c>
      <c r="E147" s="3">
        <v>15.13</v>
      </c>
      <c r="F147" s="2" t="s">
        <v>18305</v>
      </c>
      <c r="G147" s="22" t="s">
        <v>19333</v>
      </c>
      <c r="H147" s="24" t="s">
        <v>20159</v>
      </c>
      <c r="I147" s="22" t="s">
        <v>19309</v>
      </c>
      <c r="J147" s="22" t="s">
        <v>19708</v>
      </c>
      <c r="K147" s="22" t="s">
        <v>19709</v>
      </c>
      <c r="L147" s="22"/>
      <c r="M147" s="22"/>
      <c r="N147" s="25" t="str">
        <f>HYPERLINK("http://slimages.macys.com/is/image/MCY/21752166 ")</f>
        <v xml:space="preserve">http://slimages.macys.com/is/image/MCY/21752166 </v>
      </c>
    </row>
    <row r="148" spans="1:14" ht="24.75" x14ac:dyDescent="0.25">
      <c r="A148" s="21" t="s">
        <v>8121</v>
      </c>
      <c r="B148" s="22" t="s">
        <v>8122</v>
      </c>
      <c r="C148" s="2">
        <v>3</v>
      </c>
      <c r="D148" s="23">
        <v>30</v>
      </c>
      <c r="E148" s="3">
        <v>90</v>
      </c>
      <c r="F148" s="2" t="s">
        <v>18316</v>
      </c>
      <c r="G148" s="22" t="s">
        <v>19422</v>
      </c>
      <c r="H148" s="24"/>
      <c r="I148" s="22" t="s">
        <v>19309</v>
      </c>
      <c r="J148" s="22" t="s">
        <v>19417</v>
      </c>
      <c r="K148" s="22" t="s">
        <v>18317</v>
      </c>
      <c r="L148" s="22"/>
      <c r="M148" s="22"/>
      <c r="N148" s="25" t="str">
        <f>HYPERLINK("http://slimages.macys.com/is/image/MCY/21614910 ")</f>
        <v xml:space="preserve">http://slimages.macys.com/is/image/MCY/21614910 </v>
      </c>
    </row>
    <row r="149" spans="1:14" ht="24.75" x14ac:dyDescent="0.25">
      <c r="A149" s="21" t="s">
        <v>8904</v>
      </c>
      <c r="B149" s="22" t="s">
        <v>8905</v>
      </c>
      <c r="C149" s="2">
        <v>17</v>
      </c>
      <c r="D149" s="23">
        <v>22</v>
      </c>
      <c r="E149" s="3">
        <v>374</v>
      </c>
      <c r="F149" s="2" t="s">
        <v>16172</v>
      </c>
      <c r="G149" s="22" t="s">
        <v>19404</v>
      </c>
      <c r="H149" s="24" t="s">
        <v>19538</v>
      </c>
      <c r="I149" s="22" t="s">
        <v>19309</v>
      </c>
      <c r="J149" s="22" t="s">
        <v>19417</v>
      </c>
      <c r="K149" s="22" t="s">
        <v>20110</v>
      </c>
      <c r="L149" s="22"/>
      <c r="M149" s="22"/>
      <c r="N149" s="25" t="str">
        <f>HYPERLINK("http://slimages.macys.com/is/image/MCY/21735554 ")</f>
        <v xml:space="preserve">http://slimages.macys.com/is/image/MCY/21735554 </v>
      </c>
    </row>
    <row r="150" spans="1:14" x14ac:dyDescent="0.25">
      <c r="A150" s="21" t="s">
        <v>9564</v>
      </c>
      <c r="B150" s="22" t="s">
        <v>9565</v>
      </c>
      <c r="C150" s="2">
        <v>1</v>
      </c>
      <c r="D150" s="23">
        <v>17.989999999999998</v>
      </c>
      <c r="E150" s="3">
        <v>17.989999999999998</v>
      </c>
      <c r="F150" s="2" t="s">
        <v>9566</v>
      </c>
      <c r="G150" s="22" t="s">
        <v>19342</v>
      </c>
      <c r="H150" s="24" t="s">
        <v>19334</v>
      </c>
      <c r="I150" s="22" t="s">
        <v>19309</v>
      </c>
      <c r="J150" s="22" t="s">
        <v>19696</v>
      </c>
      <c r="K150" s="22" t="s">
        <v>19697</v>
      </c>
      <c r="L150" s="22"/>
      <c r="M150" s="22"/>
      <c r="N150" s="25" t="str">
        <f>HYPERLINK("http://slimages.macys.com/is/image/MCY/21355167 ")</f>
        <v xml:space="preserve">http://slimages.macys.com/is/image/MCY/21355167 </v>
      </c>
    </row>
    <row r="151" spans="1:14" ht="24.75" x14ac:dyDescent="0.25">
      <c r="A151" s="21" t="s">
        <v>8284</v>
      </c>
      <c r="B151" s="22" t="s">
        <v>8285</v>
      </c>
      <c r="C151" s="2">
        <v>5</v>
      </c>
      <c r="D151" s="23">
        <v>22</v>
      </c>
      <c r="E151" s="3">
        <v>110</v>
      </c>
      <c r="F151" s="2" t="s">
        <v>8286</v>
      </c>
      <c r="G151" s="22" t="s">
        <v>18821</v>
      </c>
      <c r="H151" s="24" t="s">
        <v>20109</v>
      </c>
      <c r="I151" s="22" t="s">
        <v>19309</v>
      </c>
      <c r="J151" s="22" t="s">
        <v>19417</v>
      </c>
      <c r="K151" s="22" t="s">
        <v>20110</v>
      </c>
      <c r="L151" s="22"/>
      <c r="M151" s="22"/>
      <c r="N151" s="25" t="str">
        <f>HYPERLINK("http://slimages.macys.com/is/image/MCY/21551767 ")</f>
        <v xml:space="preserve">http://slimages.macys.com/is/image/MCY/21551767 </v>
      </c>
    </row>
    <row r="152" spans="1:14" ht="24.75" x14ac:dyDescent="0.25">
      <c r="A152" s="21" t="s">
        <v>16170</v>
      </c>
      <c r="B152" s="22" t="s">
        <v>16171</v>
      </c>
      <c r="C152" s="2">
        <v>14</v>
      </c>
      <c r="D152" s="23">
        <v>22</v>
      </c>
      <c r="E152" s="3">
        <v>308</v>
      </c>
      <c r="F152" s="2" t="s">
        <v>16172</v>
      </c>
      <c r="G152" s="22" t="s">
        <v>19404</v>
      </c>
      <c r="H152" s="24" t="s">
        <v>19770</v>
      </c>
      <c r="I152" s="22" t="s">
        <v>19309</v>
      </c>
      <c r="J152" s="22" t="s">
        <v>19417</v>
      </c>
      <c r="K152" s="22" t="s">
        <v>20110</v>
      </c>
      <c r="L152" s="22"/>
      <c r="M152" s="22"/>
      <c r="N152" s="25" t="str">
        <f>HYPERLINK("http://slimages.macys.com/is/image/MCY/21735554 ")</f>
        <v xml:space="preserve">http://slimages.macys.com/is/image/MCY/21735554 </v>
      </c>
    </row>
    <row r="153" spans="1:14" x14ac:dyDescent="0.25">
      <c r="A153" s="21" t="s">
        <v>8906</v>
      </c>
      <c r="B153" s="22" t="s">
        <v>8907</v>
      </c>
      <c r="C153" s="2">
        <v>14</v>
      </c>
      <c r="D153" s="23">
        <v>22</v>
      </c>
      <c r="E153" s="3">
        <v>308</v>
      </c>
      <c r="F153" s="2" t="s">
        <v>8908</v>
      </c>
      <c r="G153" s="22" t="s">
        <v>19351</v>
      </c>
      <c r="H153" s="24" t="s">
        <v>19770</v>
      </c>
      <c r="I153" s="22" t="s">
        <v>19309</v>
      </c>
      <c r="J153" s="22" t="s">
        <v>19417</v>
      </c>
      <c r="K153" s="22" t="s">
        <v>20110</v>
      </c>
      <c r="L153" s="22"/>
      <c r="M153" s="22"/>
      <c r="N153" s="25" t="str">
        <f>HYPERLINK("http://slimages.macys.com/is/image/MCY/21735554 ")</f>
        <v xml:space="preserve">http://slimages.macys.com/is/image/MCY/21735554 </v>
      </c>
    </row>
    <row r="154" spans="1:14" ht="24.75" x14ac:dyDescent="0.25">
      <c r="A154" s="21" t="s">
        <v>8290</v>
      </c>
      <c r="B154" s="22" t="s">
        <v>8291</v>
      </c>
      <c r="C154" s="2">
        <v>8</v>
      </c>
      <c r="D154" s="23">
        <v>11.99</v>
      </c>
      <c r="E154" s="3">
        <v>95.92</v>
      </c>
      <c r="F154" s="2" t="s">
        <v>8292</v>
      </c>
      <c r="G154" s="22" t="s">
        <v>19431</v>
      </c>
      <c r="H154" s="24"/>
      <c r="I154" s="22" t="s">
        <v>19309</v>
      </c>
      <c r="J154" s="22" t="s">
        <v>19573</v>
      </c>
      <c r="K154" s="22" t="s">
        <v>19574</v>
      </c>
      <c r="L154" s="22"/>
      <c r="M154" s="22"/>
      <c r="N154" s="25" t="str">
        <f>HYPERLINK("http://slimages.macys.com/is/image/MCY/21361796 ")</f>
        <v xml:space="preserve">http://slimages.macys.com/is/image/MCY/21361796 </v>
      </c>
    </row>
    <row r="155" spans="1:14" x14ac:dyDescent="0.25">
      <c r="A155" s="21" t="s">
        <v>8127</v>
      </c>
      <c r="B155" s="22" t="s">
        <v>8128</v>
      </c>
      <c r="C155" s="2">
        <v>1</v>
      </c>
      <c r="D155" s="23">
        <v>22.5</v>
      </c>
      <c r="E155" s="3">
        <v>22.5</v>
      </c>
      <c r="F155" s="2" t="s">
        <v>18338</v>
      </c>
      <c r="G155" s="22" t="s">
        <v>19351</v>
      </c>
      <c r="H155" s="24" t="s">
        <v>19361</v>
      </c>
      <c r="I155" s="22" t="s">
        <v>19309</v>
      </c>
      <c r="J155" s="22" t="s">
        <v>19688</v>
      </c>
      <c r="K155" s="22" t="s">
        <v>19614</v>
      </c>
      <c r="L155" s="22"/>
      <c r="M155" s="22"/>
      <c r="N155" s="25" t="str">
        <f>HYPERLINK("http://slimages.macys.com/is/image/MCY/21035864 ")</f>
        <v xml:space="preserve">http://slimages.macys.com/is/image/MCY/21035864 </v>
      </c>
    </row>
    <row r="156" spans="1:14" x14ac:dyDescent="0.25">
      <c r="A156" s="21" t="s">
        <v>8909</v>
      </c>
      <c r="B156" s="22" t="s">
        <v>8910</v>
      </c>
      <c r="C156" s="2">
        <v>22</v>
      </c>
      <c r="D156" s="23">
        <v>22.5</v>
      </c>
      <c r="E156" s="3">
        <v>495</v>
      </c>
      <c r="F156" s="2" t="s">
        <v>11081</v>
      </c>
      <c r="G156" s="22" t="s">
        <v>19618</v>
      </c>
      <c r="H156" s="24" t="s">
        <v>19361</v>
      </c>
      <c r="I156" s="22" t="s">
        <v>19309</v>
      </c>
      <c r="J156" s="22" t="s">
        <v>19688</v>
      </c>
      <c r="K156" s="22" t="s">
        <v>19614</v>
      </c>
      <c r="L156" s="22"/>
      <c r="M156" s="22"/>
      <c r="N156" s="25" t="str">
        <f>HYPERLINK("http://slimages.macys.com/is/image/MCY/21035860 ")</f>
        <v xml:space="preserve">http://slimages.macys.com/is/image/MCY/21035860 </v>
      </c>
    </row>
    <row r="157" spans="1:14" ht="24.75" x14ac:dyDescent="0.25">
      <c r="A157" s="21" t="s">
        <v>9581</v>
      </c>
      <c r="B157" s="22" t="s">
        <v>9582</v>
      </c>
      <c r="C157" s="2">
        <v>15</v>
      </c>
      <c r="D157" s="23">
        <v>22.5</v>
      </c>
      <c r="E157" s="3">
        <v>337.5</v>
      </c>
      <c r="F157" s="2" t="s">
        <v>18338</v>
      </c>
      <c r="G157" s="22" t="s">
        <v>19351</v>
      </c>
      <c r="H157" s="24" t="s">
        <v>19345</v>
      </c>
      <c r="I157" s="22" t="s">
        <v>19309</v>
      </c>
      <c r="J157" s="22" t="s">
        <v>19688</v>
      </c>
      <c r="K157" s="22" t="s">
        <v>19614</v>
      </c>
      <c r="L157" s="22"/>
      <c r="M157" s="22"/>
      <c r="N157" s="25" t="str">
        <f>HYPERLINK("http://slimages.macys.com/is/image/MCY/21035862 ")</f>
        <v xml:space="preserve">http://slimages.macys.com/is/image/MCY/21035862 </v>
      </c>
    </row>
    <row r="158" spans="1:14" ht="24.75" x14ac:dyDescent="0.25">
      <c r="A158" s="21" t="s">
        <v>8299</v>
      </c>
      <c r="B158" s="22" t="s">
        <v>8300</v>
      </c>
      <c r="C158" s="2">
        <v>1</v>
      </c>
      <c r="D158" s="23">
        <v>22.5</v>
      </c>
      <c r="E158" s="3">
        <v>22.5</v>
      </c>
      <c r="F158" s="2" t="s">
        <v>9576</v>
      </c>
      <c r="G158" s="22" t="s">
        <v>19415</v>
      </c>
      <c r="H158" s="24" t="s">
        <v>19345</v>
      </c>
      <c r="I158" s="22" t="s">
        <v>19309</v>
      </c>
      <c r="J158" s="22" t="s">
        <v>19688</v>
      </c>
      <c r="K158" s="22" t="s">
        <v>19614</v>
      </c>
      <c r="L158" s="22"/>
      <c r="M158" s="22"/>
      <c r="N158" s="25" t="str">
        <f>HYPERLINK("http://slimages.macys.com/is/image/MCY/21035858 ")</f>
        <v xml:space="preserve">http://slimages.macys.com/is/image/MCY/21035858 </v>
      </c>
    </row>
    <row r="159" spans="1:14" x14ac:dyDescent="0.25">
      <c r="A159" s="21" t="s">
        <v>8911</v>
      </c>
      <c r="B159" s="22" t="s">
        <v>8912</v>
      </c>
      <c r="C159" s="2">
        <v>34</v>
      </c>
      <c r="D159" s="23">
        <v>22.5</v>
      </c>
      <c r="E159" s="3">
        <v>765</v>
      </c>
      <c r="F159" s="2" t="s">
        <v>11081</v>
      </c>
      <c r="G159" s="22" t="s">
        <v>19618</v>
      </c>
      <c r="H159" s="24" t="s">
        <v>19395</v>
      </c>
      <c r="I159" s="22" t="s">
        <v>19309</v>
      </c>
      <c r="J159" s="22" t="s">
        <v>19688</v>
      </c>
      <c r="K159" s="22" t="s">
        <v>19614</v>
      </c>
      <c r="L159" s="22"/>
      <c r="M159" s="22"/>
      <c r="N159" s="25" t="str">
        <f>HYPERLINK("http://slimages.macys.com/is/image/MCY/21035860 ")</f>
        <v xml:space="preserve">http://slimages.macys.com/is/image/MCY/21035860 </v>
      </c>
    </row>
    <row r="160" spans="1:14" x14ac:dyDescent="0.25">
      <c r="A160" s="21" t="s">
        <v>8913</v>
      </c>
      <c r="B160" s="22" t="s">
        <v>8914</v>
      </c>
      <c r="C160" s="2">
        <v>34</v>
      </c>
      <c r="D160" s="23">
        <v>22.5</v>
      </c>
      <c r="E160" s="3">
        <v>765</v>
      </c>
      <c r="F160" s="2" t="s">
        <v>13231</v>
      </c>
      <c r="G160" s="22" t="s">
        <v>19618</v>
      </c>
      <c r="H160" s="24" t="s">
        <v>19395</v>
      </c>
      <c r="I160" s="22" t="s">
        <v>19309</v>
      </c>
      <c r="J160" s="22" t="s">
        <v>19688</v>
      </c>
      <c r="K160" s="22" t="s">
        <v>19614</v>
      </c>
      <c r="L160" s="22"/>
      <c r="M160" s="22"/>
      <c r="N160" s="25" t="str">
        <f>HYPERLINK("http://slimages.macys.com/is/image/MCY/21495260 ")</f>
        <v xml:space="preserve">http://slimages.macys.com/is/image/MCY/21495260 </v>
      </c>
    </row>
    <row r="161" spans="1:14" x14ac:dyDescent="0.25">
      <c r="A161" s="21" t="s">
        <v>8125</v>
      </c>
      <c r="B161" s="22" t="s">
        <v>8126</v>
      </c>
      <c r="C161" s="2">
        <v>67</v>
      </c>
      <c r="D161" s="23">
        <v>22.5</v>
      </c>
      <c r="E161" s="3">
        <v>1507.5</v>
      </c>
      <c r="F161" s="2" t="s">
        <v>13234</v>
      </c>
      <c r="G161" s="22" t="s">
        <v>19351</v>
      </c>
      <c r="H161" s="24" t="s">
        <v>19361</v>
      </c>
      <c r="I161" s="22" t="s">
        <v>19309</v>
      </c>
      <c r="J161" s="22" t="s">
        <v>19688</v>
      </c>
      <c r="K161" s="22" t="s">
        <v>19614</v>
      </c>
      <c r="L161" s="22"/>
      <c r="M161" s="22"/>
      <c r="N161" s="25" t="str">
        <f>HYPERLINK("http://slimages.macys.com/is/image/MCY/21035872 ")</f>
        <v xml:space="preserve">http://slimages.macys.com/is/image/MCY/21035872 </v>
      </c>
    </row>
    <row r="162" spans="1:14" x14ac:dyDescent="0.25">
      <c r="A162" s="21" t="s">
        <v>8131</v>
      </c>
      <c r="B162" s="22" t="s">
        <v>8132</v>
      </c>
      <c r="C162" s="2">
        <v>23</v>
      </c>
      <c r="D162" s="23">
        <v>22.5</v>
      </c>
      <c r="E162" s="3">
        <v>517.5</v>
      </c>
      <c r="F162" s="2" t="s">
        <v>13234</v>
      </c>
      <c r="G162" s="22" t="s">
        <v>19351</v>
      </c>
      <c r="H162" s="24" t="s">
        <v>19542</v>
      </c>
      <c r="I162" s="22" t="s">
        <v>19309</v>
      </c>
      <c r="J162" s="22" t="s">
        <v>19688</v>
      </c>
      <c r="K162" s="22" t="s">
        <v>19614</v>
      </c>
      <c r="L162" s="22"/>
      <c r="M162" s="22"/>
      <c r="N162" s="25" t="str">
        <f>HYPERLINK("http://slimages.macys.com/is/image/MCY/21035872 ")</f>
        <v xml:space="preserve">http://slimages.macys.com/is/image/MCY/21035872 </v>
      </c>
    </row>
    <row r="163" spans="1:14" x14ac:dyDescent="0.25">
      <c r="A163" s="21" t="s">
        <v>13232</v>
      </c>
      <c r="B163" s="22" t="s">
        <v>13233</v>
      </c>
      <c r="C163" s="2">
        <v>29</v>
      </c>
      <c r="D163" s="23">
        <v>22.5</v>
      </c>
      <c r="E163" s="3">
        <v>652.5</v>
      </c>
      <c r="F163" s="2" t="s">
        <v>13234</v>
      </c>
      <c r="G163" s="22" t="s">
        <v>19351</v>
      </c>
      <c r="H163" s="24" t="s">
        <v>19395</v>
      </c>
      <c r="I163" s="22" t="s">
        <v>19309</v>
      </c>
      <c r="J163" s="22" t="s">
        <v>19688</v>
      </c>
      <c r="K163" s="22" t="s">
        <v>19614</v>
      </c>
      <c r="L163" s="22"/>
      <c r="M163" s="22"/>
      <c r="N163" s="25" t="str">
        <f>HYPERLINK("http://slimages.macys.com/is/image/MCY/21035872 ")</f>
        <v xml:space="preserve">http://slimages.macys.com/is/image/MCY/21035872 </v>
      </c>
    </row>
    <row r="164" spans="1:14" x14ac:dyDescent="0.25">
      <c r="A164" s="21" t="s">
        <v>16202</v>
      </c>
      <c r="B164" s="22" t="s">
        <v>16203</v>
      </c>
      <c r="C164" s="2">
        <v>35</v>
      </c>
      <c r="D164" s="23">
        <v>22</v>
      </c>
      <c r="E164" s="3">
        <v>770</v>
      </c>
      <c r="F164" s="2" t="s">
        <v>16204</v>
      </c>
      <c r="G164" s="22" t="s">
        <v>19333</v>
      </c>
      <c r="H164" s="24" t="s">
        <v>19538</v>
      </c>
      <c r="I164" s="22" t="s">
        <v>19309</v>
      </c>
      <c r="J164" s="22" t="s">
        <v>19417</v>
      </c>
      <c r="K164" s="22" t="s">
        <v>20110</v>
      </c>
      <c r="L164" s="22"/>
      <c r="M164" s="22"/>
      <c r="N164" s="25" t="str">
        <f>HYPERLINK("http://slimages.macys.com/is/image/MCY/21551778 ")</f>
        <v xml:space="preserve">http://slimages.macys.com/is/image/MCY/21551778 </v>
      </c>
    </row>
    <row r="165" spans="1:14" x14ac:dyDescent="0.25">
      <c r="A165" s="21" t="s">
        <v>8133</v>
      </c>
      <c r="B165" s="22" t="s">
        <v>8134</v>
      </c>
      <c r="C165" s="2">
        <v>33</v>
      </c>
      <c r="D165" s="23">
        <v>22</v>
      </c>
      <c r="E165" s="3">
        <v>726</v>
      </c>
      <c r="F165" s="2" t="s">
        <v>16204</v>
      </c>
      <c r="G165" s="22" t="s">
        <v>19333</v>
      </c>
      <c r="H165" s="24"/>
      <c r="I165" s="22" t="s">
        <v>19309</v>
      </c>
      <c r="J165" s="22" t="s">
        <v>19417</v>
      </c>
      <c r="K165" s="22" t="s">
        <v>20110</v>
      </c>
      <c r="L165" s="22"/>
      <c r="M165" s="22"/>
      <c r="N165" s="25" t="str">
        <f>HYPERLINK("http://slimages.macys.com/is/image/MCY/21551778 ")</f>
        <v xml:space="preserve">http://slimages.macys.com/is/image/MCY/21551778 </v>
      </c>
    </row>
    <row r="166" spans="1:14" x14ac:dyDescent="0.25">
      <c r="A166" s="21" t="s">
        <v>8915</v>
      </c>
      <c r="B166" s="22" t="s">
        <v>8916</v>
      </c>
      <c r="C166" s="2">
        <v>1</v>
      </c>
      <c r="D166" s="23">
        <v>21.99</v>
      </c>
      <c r="E166" s="3">
        <v>21.99</v>
      </c>
      <c r="F166" s="2" t="s">
        <v>8917</v>
      </c>
      <c r="G166" s="22" t="s">
        <v>19315</v>
      </c>
      <c r="H166" s="24" t="s">
        <v>20089</v>
      </c>
      <c r="I166" s="22" t="s">
        <v>19309</v>
      </c>
      <c r="J166" s="22" t="s">
        <v>19849</v>
      </c>
      <c r="K166" s="22" t="s">
        <v>19850</v>
      </c>
      <c r="L166" s="22"/>
      <c r="M166" s="22"/>
      <c r="N166" s="25" t="str">
        <f>HYPERLINK("http://slimages.macys.com/is/image/MCY/20531674 ")</f>
        <v xml:space="preserve">http://slimages.macys.com/is/image/MCY/20531674 </v>
      </c>
    </row>
    <row r="167" spans="1:14" x14ac:dyDescent="0.25">
      <c r="A167" s="21" t="s">
        <v>16207</v>
      </c>
      <c r="B167" s="22" t="s">
        <v>16208</v>
      </c>
      <c r="C167" s="2">
        <v>6</v>
      </c>
      <c r="D167" s="23">
        <v>15.99</v>
      </c>
      <c r="E167" s="3">
        <v>95.94</v>
      </c>
      <c r="F167" s="2" t="s">
        <v>18462</v>
      </c>
      <c r="G167" s="22" t="s">
        <v>19674</v>
      </c>
      <c r="H167" s="24" t="s">
        <v>19361</v>
      </c>
      <c r="I167" s="22" t="s">
        <v>19309</v>
      </c>
      <c r="J167" s="22" t="s">
        <v>19849</v>
      </c>
      <c r="K167" s="22" t="s">
        <v>19850</v>
      </c>
      <c r="L167" s="22"/>
      <c r="M167" s="22"/>
      <c r="N167" s="25" t="str">
        <f>HYPERLINK("http://slimages.macys.com/is/image/MCY/20549437 ")</f>
        <v xml:space="preserve">http://slimages.macys.com/is/image/MCY/20549437 </v>
      </c>
    </row>
    <row r="168" spans="1:14" ht="24.75" x14ac:dyDescent="0.25">
      <c r="A168" s="21" t="s">
        <v>8304</v>
      </c>
      <c r="B168" s="22" t="s">
        <v>8305</v>
      </c>
      <c r="C168" s="2">
        <v>2</v>
      </c>
      <c r="D168" s="23">
        <v>14.99</v>
      </c>
      <c r="E168" s="3">
        <v>29.98</v>
      </c>
      <c r="F168" s="2" t="s">
        <v>9891</v>
      </c>
      <c r="G168" s="22" t="s">
        <v>19323</v>
      </c>
      <c r="H168" s="24" t="s">
        <v>19797</v>
      </c>
      <c r="I168" s="22" t="s">
        <v>19309</v>
      </c>
      <c r="J168" s="22" t="s">
        <v>19353</v>
      </c>
      <c r="K168" s="22" t="s">
        <v>19524</v>
      </c>
      <c r="L168" s="22"/>
      <c r="M168" s="22"/>
      <c r="N168" s="25" t="str">
        <f>HYPERLINK("http://slimages.macys.com/is/image/MCY/19932860 ")</f>
        <v xml:space="preserve">http://slimages.macys.com/is/image/MCY/19932860 </v>
      </c>
    </row>
    <row r="169" spans="1:14" ht="24.75" x14ac:dyDescent="0.25">
      <c r="A169" s="21" t="s">
        <v>8918</v>
      </c>
      <c r="B169" s="22" t="s">
        <v>8919</v>
      </c>
      <c r="C169" s="2">
        <v>8</v>
      </c>
      <c r="D169" s="23">
        <v>13.99</v>
      </c>
      <c r="E169" s="3">
        <v>111.92</v>
      </c>
      <c r="F169" s="2" t="s">
        <v>9604</v>
      </c>
      <c r="G169" s="22" t="s">
        <v>19618</v>
      </c>
      <c r="H169" s="24" t="s">
        <v>19416</v>
      </c>
      <c r="I169" s="22" t="s">
        <v>19309</v>
      </c>
      <c r="J169" s="22" t="s">
        <v>19573</v>
      </c>
      <c r="K169" s="22" t="s">
        <v>19574</v>
      </c>
      <c r="L169" s="22"/>
      <c r="M169" s="22"/>
      <c r="N169" s="25" t="str">
        <f>HYPERLINK("http://slimages.macys.com/is/image/MCY/1554881 ")</f>
        <v xml:space="preserve">http://slimages.macys.com/is/image/MCY/1554881 </v>
      </c>
    </row>
    <row r="170" spans="1:14" ht="24.75" x14ac:dyDescent="0.25">
      <c r="A170" s="21" t="s">
        <v>13873</v>
      </c>
      <c r="B170" s="22" t="s">
        <v>13874</v>
      </c>
      <c r="C170" s="2">
        <v>17</v>
      </c>
      <c r="D170" s="23">
        <v>13.99</v>
      </c>
      <c r="E170" s="3">
        <v>237.83</v>
      </c>
      <c r="F170" s="2" t="s">
        <v>18551</v>
      </c>
      <c r="G170" s="22" t="s">
        <v>19415</v>
      </c>
      <c r="H170" s="24" t="s">
        <v>19330</v>
      </c>
      <c r="I170" s="22" t="s">
        <v>19309</v>
      </c>
      <c r="J170" s="22" t="s">
        <v>19573</v>
      </c>
      <c r="K170" s="22" t="s">
        <v>19574</v>
      </c>
      <c r="L170" s="22"/>
      <c r="M170" s="22"/>
      <c r="N170" s="25" t="str">
        <f>HYPERLINK("http://slimages.macys.com/is/image/MCY/1554883 ")</f>
        <v xml:space="preserve">http://slimages.macys.com/is/image/MCY/1554883 </v>
      </c>
    </row>
    <row r="171" spans="1:14" ht="24.75" x14ac:dyDescent="0.25">
      <c r="A171" s="21" t="s">
        <v>18554</v>
      </c>
      <c r="B171" s="22" t="s">
        <v>18555</v>
      </c>
      <c r="C171" s="2">
        <v>15</v>
      </c>
      <c r="D171" s="23">
        <v>13.99</v>
      </c>
      <c r="E171" s="3">
        <v>209.85</v>
      </c>
      <c r="F171" s="2" t="s">
        <v>18551</v>
      </c>
      <c r="G171" s="22" t="s">
        <v>19415</v>
      </c>
      <c r="H171" s="24" t="s">
        <v>19384</v>
      </c>
      <c r="I171" s="22" t="s">
        <v>19309</v>
      </c>
      <c r="J171" s="22" t="s">
        <v>19573</v>
      </c>
      <c r="K171" s="22" t="s">
        <v>19574</v>
      </c>
      <c r="L171" s="22"/>
      <c r="M171" s="22"/>
      <c r="N171" s="25" t="str">
        <f>HYPERLINK("http://slimages.macys.com/is/image/MCY/21361645 ")</f>
        <v xml:space="preserve">http://slimages.macys.com/is/image/MCY/21361645 </v>
      </c>
    </row>
    <row r="172" spans="1:14" ht="24.75" x14ac:dyDescent="0.25">
      <c r="A172" s="21" t="s">
        <v>8443</v>
      </c>
      <c r="B172" s="22" t="s">
        <v>8444</v>
      </c>
      <c r="C172" s="2">
        <v>2</v>
      </c>
      <c r="D172" s="23">
        <v>16.989999999999998</v>
      </c>
      <c r="E172" s="3">
        <v>33.979999999999997</v>
      </c>
      <c r="F172" s="2" t="s">
        <v>18581</v>
      </c>
      <c r="G172" s="22" t="s">
        <v>19333</v>
      </c>
      <c r="H172" s="24" t="s">
        <v>19432</v>
      </c>
      <c r="I172" s="22" t="s">
        <v>19309</v>
      </c>
      <c r="J172" s="22" t="s">
        <v>19454</v>
      </c>
      <c r="K172" s="22" t="s">
        <v>19524</v>
      </c>
      <c r="L172" s="22"/>
      <c r="M172" s="22"/>
      <c r="N172" s="25" t="str">
        <f>HYPERLINK("http://slimages.macys.com/is/image/MCY/21265927 ")</f>
        <v xml:space="preserve">http://slimages.macys.com/is/image/MCY/21265927 </v>
      </c>
    </row>
    <row r="173" spans="1:14" ht="24.75" x14ac:dyDescent="0.25">
      <c r="A173" s="21" t="s">
        <v>13875</v>
      </c>
      <c r="B173" s="22" t="s">
        <v>13876</v>
      </c>
      <c r="C173" s="2">
        <v>3</v>
      </c>
      <c r="D173" s="23">
        <v>16.989999999999998</v>
      </c>
      <c r="E173" s="3">
        <v>50.97</v>
      </c>
      <c r="F173" s="2" t="s">
        <v>18581</v>
      </c>
      <c r="G173" s="22" t="s">
        <v>19333</v>
      </c>
      <c r="H173" s="24" t="s">
        <v>19907</v>
      </c>
      <c r="I173" s="22" t="s">
        <v>19309</v>
      </c>
      <c r="J173" s="22" t="s">
        <v>19454</v>
      </c>
      <c r="K173" s="22" t="s">
        <v>19524</v>
      </c>
      <c r="L173" s="22"/>
      <c r="M173" s="22"/>
      <c r="N173" s="25" t="str">
        <f>HYPERLINK("http://slimages.macys.com/is/image/MCY/21265927 ")</f>
        <v xml:space="preserve">http://slimages.macys.com/is/image/MCY/21265927 </v>
      </c>
    </row>
    <row r="174" spans="1:14" ht="24.75" x14ac:dyDescent="0.25">
      <c r="A174" s="21" t="s">
        <v>13879</v>
      </c>
      <c r="B174" s="22" t="s">
        <v>13880</v>
      </c>
      <c r="C174" s="2">
        <v>5</v>
      </c>
      <c r="D174" s="23">
        <v>16.989999999999998</v>
      </c>
      <c r="E174" s="3">
        <v>84.95</v>
      </c>
      <c r="F174" s="2" t="s">
        <v>18581</v>
      </c>
      <c r="G174" s="22" t="s">
        <v>19333</v>
      </c>
      <c r="H174" s="24" t="s">
        <v>19392</v>
      </c>
      <c r="I174" s="22" t="s">
        <v>19309</v>
      </c>
      <c r="J174" s="22" t="s">
        <v>19454</v>
      </c>
      <c r="K174" s="22" t="s">
        <v>19524</v>
      </c>
      <c r="L174" s="22"/>
      <c r="M174" s="22"/>
      <c r="N174" s="25" t="str">
        <f>HYPERLINK("http://slimages.macys.com/is/image/MCY/21265927 ")</f>
        <v xml:space="preserve">http://slimages.macys.com/is/image/MCY/21265927 </v>
      </c>
    </row>
    <row r="175" spans="1:14" ht="24.75" x14ac:dyDescent="0.25">
      <c r="A175" s="21" t="s">
        <v>8313</v>
      </c>
      <c r="B175" s="22" t="s">
        <v>8314</v>
      </c>
      <c r="C175" s="2">
        <v>1</v>
      </c>
      <c r="D175" s="23">
        <v>8.25</v>
      </c>
      <c r="E175" s="3">
        <v>8.25</v>
      </c>
      <c r="F175" s="2" t="s">
        <v>8312</v>
      </c>
      <c r="G175" s="22" t="s">
        <v>19351</v>
      </c>
      <c r="H175" s="24" t="s">
        <v>19542</v>
      </c>
      <c r="I175" s="22" t="s">
        <v>19309</v>
      </c>
      <c r="J175" s="22" t="s">
        <v>19447</v>
      </c>
      <c r="K175" s="22" t="s">
        <v>20146</v>
      </c>
      <c r="L175" s="22"/>
      <c r="M175" s="22"/>
      <c r="N175" s="25" t="str">
        <f>HYPERLINK("http://slimages.macys.com/is/image/MCY/20437124 ")</f>
        <v xml:space="preserve">http://slimages.macys.com/is/image/MCY/20437124 </v>
      </c>
    </row>
    <row r="176" spans="1:14" ht="24.75" x14ac:dyDescent="0.25">
      <c r="A176" s="21" t="s">
        <v>16600</v>
      </c>
      <c r="B176" s="22" t="s">
        <v>16601</v>
      </c>
      <c r="C176" s="2">
        <v>1</v>
      </c>
      <c r="D176" s="23">
        <v>10.91</v>
      </c>
      <c r="E176" s="3">
        <v>10.91</v>
      </c>
      <c r="F176" s="2" t="s">
        <v>16602</v>
      </c>
      <c r="G176" s="22" t="s">
        <v>19357</v>
      </c>
      <c r="H176" s="24" t="s">
        <v>19334</v>
      </c>
      <c r="I176" s="22" t="s">
        <v>19309</v>
      </c>
      <c r="J176" s="22" t="s">
        <v>19602</v>
      </c>
      <c r="K176" s="22" t="s">
        <v>20041</v>
      </c>
      <c r="L176" s="22"/>
      <c r="M176" s="22"/>
      <c r="N176" s="25" t="str">
        <f>HYPERLINK("http://slimages.macys.com/is/image/MCY/21723141 ")</f>
        <v xml:space="preserve">http://slimages.macys.com/is/image/MCY/21723141 </v>
      </c>
    </row>
    <row r="177" spans="1:14" ht="24.75" x14ac:dyDescent="0.25">
      <c r="A177" s="21" t="s">
        <v>8920</v>
      </c>
      <c r="B177" s="22" t="s">
        <v>8921</v>
      </c>
      <c r="C177" s="2">
        <v>1</v>
      </c>
      <c r="D177" s="23">
        <v>11.99</v>
      </c>
      <c r="E177" s="3">
        <v>11.99</v>
      </c>
      <c r="F177" s="2" t="s">
        <v>8922</v>
      </c>
      <c r="G177" s="22" t="s">
        <v>19351</v>
      </c>
      <c r="H177" s="24" t="s">
        <v>19339</v>
      </c>
      <c r="I177" s="22" t="s">
        <v>19309</v>
      </c>
      <c r="J177" s="22" t="s">
        <v>19454</v>
      </c>
      <c r="K177" s="22" t="s">
        <v>18654</v>
      </c>
      <c r="L177" s="22"/>
      <c r="M177" s="22"/>
      <c r="N177" s="25" t="str">
        <f>HYPERLINK("http://slimages.macys.com/is/image/MCY/1067460 ")</f>
        <v xml:space="preserve">http://slimages.macys.com/is/image/MCY/1067460 </v>
      </c>
    </row>
    <row r="178" spans="1:14" x14ac:dyDescent="0.25">
      <c r="A178" s="21" t="s">
        <v>8923</v>
      </c>
      <c r="B178" s="22" t="s">
        <v>8924</v>
      </c>
      <c r="C178" s="2">
        <v>1</v>
      </c>
      <c r="D178" s="23">
        <v>26</v>
      </c>
      <c r="E178" s="3">
        <v>26</v>
      </c>
      <c r="F178" s="2" t="s">
        <v>8925</v>
      </c>
      <c r="G178" s="22" t="s">
        <v>19333</v>
      </c>
      <c r="H178" s="24"/>
      <c r="I178" s="22" t="s">
        <v>19309</v>
      </c>
      <c r="J178" s="22" t="s">
        <v>19417</v>
      </c>
      <c r="K178" s="22" t="s">
        <v>18317</v>
      </c>
      <c r="L178" s="22"/>
      <c r="M178" s="22"/>
      <c r="N178" s="25" t="str">
        <f>HYPERLINK("http://slimages.macys.com/is/image/MCY/21615001 ")</f>
        <v xml:space="preserve">http://slimages.macys.com/is/image/MCY/21615001 </v>
      </c>
    </row>
    <row r="179" spans="1:14" ht="24.75" x14ac:dyDescent="0.25">
      <c r="A179" s="21" t="s">
        <v>8926</v>
      </c>
      <c r="B179" s="22" t="s">
        <v>8927</v>
      </c>
      <c r="C179" s="2">
        <v>1</v>
      </c>
      <c r="D179" s="23">
        <v>18</v>
      </c>
      <c r="E179" s="3">
        <v>18</v>
      </c>
      <c r="F179" s="2" t="s">
        <v>16316</v>
      </c>
      <c r="G179" s="22" t="s">
        <v>19431</v>
      </c>
      <c r="H179" s="24" t="s">
        <v>19770</v>
      </c>
      <c r="I179" s="22" t="s">
        <v>19309</v>
      </c>
      <c r="J179" s="22" t="s">
        <v>19417</v>
      </c>
      <c r="K179" s="22" t="s">
        <v>20110</v>
      </c>
      <c r="L179" s="22"/>
      <c r="M179" s="22"/>
      <c r="N179" s="25" t="str">
        <f>HYPERLINK("http://slimages.macys.com/is/image/MCY/21551781 ")</f>
        <v xml:space="preserve">http://slimages.macys.com/is/image/MCY/21551781 </v>
      </c>
    </row>
    <row r="180" spans="1:14" ht="24.75" x14ac:dyDescent="0.25">
      <c r="A180" s="21" t="s">
        <v>16651</v>
      </c>
      <c r="B180" s="22" t="s">
        <v>16652</v>
      </c>
      <c r="C180" s="2">
        <v>1</v>
      </c>
      <c r="D180" s="23">
        <v>11.99</v>
      </c>
      <c r="E180" s="3">
        <v>11.99</v>
      </c>
      <c r="F180" s="2" t="s">
        <v>18672</v>
      </c>
      <c r="G180" s="22" t="s">
        <v>19670</v>
      </c>
      <c r="H180" s="24" t="s">
        <v>19538</v>
      </c>
      <c r="I180" s="22" t="s">
        <v>19309</v>
      </c>
      <c r="J180" s="22" t="s">
        <v>19573</v>
      </c>
      <c r="K180" s="22" t="s">
        <v>19574</v>
      </c>
      <c r="L180" s="22"/>
      <c r="M180" s="22"/>
      <c r="N180" s="25" t="str">
        <f>HYPERLINK("http://slimages.macys.com/is/image/MCY/21209478 ")</f>
        <v xml:space="preserve">http://slimages.macys.com/is/image/MCY/21209478 </v>
      </c>
    </row>
    <row r="181" spans="1:14" ht="24.75" x14ac:dyDescent="0.25">
      <c r="A181" s="21" t="s">
        <v>16655</v>
      </c>
      <c r="B181" s="22" t="s">
        <v>16656</v>
      </c>
      <c r="C181" s="2">
        <v>1</v>
      </c>
      <c r="D181" s="23">
        <v>11.99</v>
      </c>
      <c r="E181" s="3">
        <v>11.99</v>
      </c>
      <c r="F181" s="2" t="s">
        <v>16646</v>
      </c>
      <c r="G181" s="22" t="s">
        <v>19794</v>
      </c>
      <c r="H181" s="24" t="s">
        <v>19538</v>
      </c>
      <c r="I181" s="22" t="s">
        <v>19309</v>
      </c>
      <c r="J181" s="22" t="s">
        <v>19573</v>
      </c>
      <c r="K181" s="22" t="s">
        <v>19574</v>
      </c>
      <c r="L181" s="22"/>
      <c r="M181" s="22"/>
      <c r="N181" s="25" t="str">
        <f>HYPERLINK("http://slimages.macys.com/is/image/MCY/1956290 ")</f>
        <v xml:space="preserve">http://slimages.macys.com/is/image/MCY/1956290 </v>
      </c>
    </row>
    <row r="182" spans="1:14" ht="24.75" x14ac:dyDescent="0.25">
      <c r="A182" s="21" t="s">
        <v>8928</v>
      </c>
      <c r="B182" s="22" t="s">
        <v>8929</v>
      </c>
      <c r="C182" s="2">
        <v>2</v>
      </c>
      <c r="D182" s="23">
        <v>12.99</v>
      </c>
      <c r="E182" s="3">
        <v>25.98</v>
      </c>
      <c r="F182" s="2" t="s">
        <v>8930</v>
      </c>
      <c r="G182" s="22" t="s">
        <v>19333</v>
      </c>
      <c r="H182" s="24" t="s">
        <v>19361</v>
      </c>
      <c r="I182" s="22" t="s">
        <v>19309</v>
      </c>
      <c r="J182" s="22" t="s">
        <v>19454</v>
      </c>
      <c r="K182" s="22" t="s">
        <v>19524</v>
      </c>
      <c r="L182" s="22"/>
      <c r="M182" s="22"/>
      <c r="N182" s="25" t="str">
        <f>HYPERLINK("http://slimages.macys.com/is/image/MCY/19965859 ")</f>
        <v xml:space="preserve">http://slimages.macys.com/is/image/MCY/19965859 </v>
      </c>
    </row>
    <row r="183" spans="1:14" ht="24.75" x14ac:dyDescent="0.25">
      <c r="A183" s="21" t="s">
        <v>9625</v>
      </c>
      <c r="B183" s="22" t="s">
        <v>9626</v>
      </c>
      <c r="C183" s="2">
        <v>7</v>
      </c>
      <c r="D183" s="23">
        <v>13.99</v>
      </c>
      <c r="E183" s="3">
        <v>97.93</v>
      </c>
      <c r="F183" s="2" t="s">
        <v>16688</v>
      </c>
      <c r="G183" s="22" t="s">
        <v>19906</v>
      </c>
      <c r="H183" s="24" t="s">
        <v>19384</v>
      </c>
      <c r="I183" s="22" t="s">
        <v>19309</v>
      </c>
      <c r="J183" s="22" t="s">
        <v>19573</v>
      </c>
      <c r="K183" s="22" t="s">
        <v>19574</v>
      </c>
      <c r="L183" s="22"/>
      <c r="M183" s="22"/>
      <c r="N183" s="25" t="str">
        <f>HYPERLINK("http://slimages.macys.com/is/image/MCY/1554879 ")</f>
        <v xml:space="preserve">http://slimages.macys.com/is/image/MCY/1554879 </v>
      </c>
    </row>
    <row r="184" spans="1:14" ht="24.75" x14ac:dyDescent="0.25">
      <c r="A184" s="21" t="s">
        <v>8447</v>
      </c>
      <c r="B184" s="22" t="s">
        <v>8448</v>
      </c>
      <c r="C184" s="2">
        <v>22</v>
      </c>
      <c r="D184" s="23">
        <v>13.99</v>
      </c>
      <c r="E184" s="3">
        <v>307.77999999999997</v>
      </c>
      <c r="F184" s="2" t="s">
        <v>16688</v>
      </c>
      <c r="G184" s="22" t="s">
        <v>19518</v>
      </c>
      <c r="H184" s="24" t="s">
        <v>19538</v>
      </c>
      <c r="I184" s="22" t="s">
        <v>19309</v>
      </c>
      <c r="J184" s="22" t="s">
        <v>19573</v>
      </c>
      <c r="K184" s="22" t="s">
        <v>19574</v>
      </c>
      <c r="L184" s="22"/>
      <c r="M184" s="22"/>
      <c r="N184" s="25" t="str">
        <f>HYPERLINK("http://slimages.macys.com/is/image/MCY/1554876 ")</f>
        <v xml:space="preserve">http://slimages.macys.com/is/image/MCY/1554876 </v>
      </c>
    </row>
    <row r="185" spans="1:14" ht="24.75" x14ac:dyDescent="0.25">
      <c r="A185" s="21" t="s">
        <v>8321</v>
      </c>
      <c r="B185" s="22" t="s">
        <v>8322</v>
      </c>
      <c r="C185" s="2">
        <v>1</v>
      </c>
      <c r="D185" s="23">
        <v>10.99</v>
      </c>
      <c r="E185" s="3">
        <v>10.99</v>
      </c>
      <c r="F185" s="2" t="s">
        <v>13319</v>
      </c>
      <c r="G185" s="22" t="s">
        <v>19415</v>
      </c>
      <c r="H185" s="24" t="s">
        <v>19364</v>
      </c>
      <c r="I185" s="22" t="s">
        <v>19309</v>
      </c>
      <c r="J185" s="22" t="s">
        <v>19353</v>
      </c>
      <c r="K185" s="22" t="s">
        <v>19524</v>
      </c>
      <c r="L185" s="22"/>
      <c r="M185" s="22"/>
      <c r="N185" s="25" t="str">
        <f>HYPERLINK("http://slimages.macys.com/is/image/MCY/21083368 ")</f>
        <v xml:space="preserve">http://slimages.macys.com/is/image/MCY/21083368 </v>
      </c>
    </row>
    <row r="186" spans="1:14" ht="24.75" x14ac:dyDescent="0.25">
      <c r="A186" s="21" t="s">
        <v>12418</v>
      </c>
      <c r="B186" s="22" t="s">
        <v>12419</v>
      </c>
      <c r="C186" s="2">
        <v>2</v>
      </c>
      <c r="D186" s="23">
        <v>11.99</v>
      </c>
      <c r="E186" s="3">
        <v>23.98</v>
      </c>
      <c r="F186" s="2">
        <v>4217</v>
      </c>
      <c r="G186" s="22" t="s">
        <v>19351</v>
      </c>
      <c r="H186" s="24" t="s">
        <v>19364</v>
      </c>
      <c r="I186" s="22" t="s">
        <v>19309</v>
      </c>
      <c r="J186" s="22" t="s">
        <v>20076</v>
      </c>
      <c r="K186" s="22" t="s">
        <v>20077</v>
      </c>
      <c r="L186" s="22" t="s">
        <v>19319</v>
      </c>
      <c r="M186" s="22" t="s">
        <v>19209</v>
      </c>
      <c r="N186" s="25" t="str">
        <f>HYPERLINK("http://slimages.macys.com/is/image/MCY/13050192 ")</f>
        <v xml:space="preserve">http://slimages.macys.com/is/image/MCY/13050192 </v>
      </c>
    </row>
    <row r="187" spans="1:14" ht="24.75" x14ac:dyDescent="0.25">
      <c r="A187" s="21" t="s">
        <v>8931</v>
      </c>
      <c r="B187" s="22" t="s">
        <v>7111</v>
      </c>
      <c r="C187" s="2">
        <v>1</v>
      </c>
      <c r="D187" s="23">
        <v>18</v>
      </c>
      <c r="E187" s="3">
        <v>18</v>
      </c>
      <c r="F187" s="2" t="s">
        <v>7112</v>
      </c>
      <c r="G187" s="22"/>
      <c r="H187" s="24"/>
      <c r="I187" s="22" t="s">
        <v>19309</v>
      </c>
      <c r="J187" s="22" t="s">
        <v>19417</v>
      </c>
      <c r="K187" s="22" t="s">
        <v>18317</v>
      </c>
      <c r="L187" s="22"/>
      <c r="M187" s="22"/>
      <c r="N187" s="25" t="str">
        <f>HYPERLINK("http://slimages.macys.com/is/image/MCY/20221308 ")</f>
        <v xml:space="preserve">http://slimages.macys.com/is/image/MCY/20221308 </v>
      </c>
    </row>
    <row r="188" spans="1:14" x14ac:dyDescent="0.25">
      <c r="A188" s="21" t="s">
        <v>8333</v>
      </c>
      <c r="B188" s="22" t="s">
        <v>8334</v>
      </c>
      <c r="C188" s="2">
        <v>3</v>
      </c>
      <c r="D188" s="23">
        <v>16</v>
      </c>
      <c r="E188" s="3">
        <v>48</v>
      </c>
      <c r="F188" s="2" t="s">
        <v>11118</v>
      </c>
      <c r="G188" s="22" t="s">
        <v>19794</v>
      </c>
      <c r="H188" s="24" t="s">
        <v>19330</v>
      </c>
      <c r="I188" s="22" t="s">
        <v>19309</v>
      </c>
      <c r="J188" s="22" t="s">
        <v>19708</v>
      </c>
      <c r="K188" s="22" t="s">
        <v>19709</v>
      </c>
      <c r="L188" s="22"/>
      <c r="M188" s="22"/>
      <c r="N188" s="25" t="str">
        <f>HYPERLINK("http://slimages.macys.com/is/image/MCY/21726750 ")</f>
        <v xml:space="preserve">http://slimages.macys.com/is/image/MCY/21726750 </v>
      </c>
    </row>
    <row r="189" spans="1:14" x14ac:dyDescent="0.25">
      <c r="A189" s="21" t="s">
        <v>7113</v>
      </c>
      <c r="B189" s="22" t="s">
        <v>7114</v>
      </c>
      <c r="C189" s="2">
        <v>1</v>
      </c>
      <c r="D189" s="23">
        <v>16</v>
      </c>
      <c r="E189" s="3">
        <v>16</v>
      </c>
      <c r="F189" s="2" t="s">
        <v>7115</v>
      </c>
      <c r="G189" s="22" t="s">
        <v>19467</v>
      </c>
      <c r="H189" s="24" t="s">
        <v>20159</v>
      </c>
      <c r="I189" s="22" t="s">
        <v>19309</v>
      </c>
      <c r="J189" s="22" t="s">
        <v>19708</v>
      </c>
      <c r="K189" s="22" t="s">
        <v>19709</v>
      </c>
      <c r="L189" s="22"/>
      <c r="M189" s="22"/>
      <c r="N189" s="25" t="str">
        <f>HYPERLINK("http://slimages.macys.com/is/image/MCY/21726120 ")</f>
        <v xml:space="preserve">http://slimages.macys.com/is/image/MCY/21726120 </v>
      </c>
    </row>
    <row r="190" spans="1:14" ht="24.75" x14ac:dyDescent="0.25">
      <c r="A190" s="21" t="s">
        <v>9645</v>
      </c>
      <c r="B190" s="22" t="s">
        <v>9646</v>
      </c>
      <c r="C190" s="2">
        <v>1</v>
      </c>
      <c r="D190" s="23">
        <v>11.99</v>
      </c>
      <c r="E190" s="3">
        <v>11.99</v>
      </c>
      <c r="F190" s="2">
        <v>4217</v>
      </c>
      <c r="G190" s="22" t="s">
        <v>19422</v>
      </c>
      <c r="H190" s="24" t="s">
        <v>19797</v>
      </c>
      <c r="I190" s="22" t="s">
        <v>19309</v>
      </c>
      <c r="J190" s="22" t="s">
        <v>20076</v>
      </c>
      <c r="K190" s="22" t="s">
        <v>20077</v>
      </c>
      <c r="L190" s="22" t="s">
        <v>19319</v>
      </c>
      <c r="M190" s="22" t="s">
        <v>19209</v>
      </c>
      <c r="N190" s="25" t="str">
        <f>HYPERLINK("http://slimages.macys.com/is/image/MCY/13050192 ")</f>
        <v xml:space="preserve">http://slimages.macys.com/is/image/MCY/13050192 </v>
      </c>
    </row>
    <row r="191" spans="1:14" ht="24.75" x14ac:dyDescent="0.25">
      <c r="A191" s="21" t="s">
        <v>7116</v>
      </c>
      <c r="B191" s="22" t="s">
        <v>7117</v>
      </c>
      <c r="C191" s="2">
        <v>6</v>
      </c>
      <c r="D191" s="23">
        <v>14.99</v>
      </c>
      <c r="E191" s="3">
        <v>89.94</v>
      </c>
      <c r="F191" s="2" t="s">
        <v>14059</v>
      </c>
      <c r="G191" s="22" t="s">
        <v>19333</v>
      </c>
      <c r="H191" s="24" t="s">
        <v>19907</v>
      </c>
      <c r="I191" s="22" t="s">
        <v>19309</v>
      </c>
      <c r="J191" s="22" t="s">
        <v>19454</v>
      </c>
      <c r="K191" s="22" t="s">
        <v>19524</v>
      </c>
      <c r="L191" s="22"/>
      <c r="M191" s="22"/>
      <c r="N191" s="25" t="str">
        <f>HYPERLINK("http://slimages.macys.com/is/image/MCY/18663848 ")</f>
        <v xml:space="preserve">http://slimages.macys.com/is/image/MCY/18663848 </v>
      </c>
    </row>
    <row r="192" spans="1:14" ht="24.75" x14ac:dyDescent="0.25">
      <c r="A192" s="21" t="s">
        <v>9107</v>
      </c>
      <c r="B192" s="22" t="s">
        <v>9108</v>
      </c>
      <c r="C192" s="2">
        <v>1</v>
      </c>
      <c r="D192" s="23">
        <v>6.99</v>
      </c>
      <c r="E192" s="3">
        <v>6.99</v>
      </c>
      <c r="F192" s="2" t="s">
        <v>18841</v>
      </c>
      <c r="G192" s="22" t="s">
        <v>19618</v>
      </c>
      <c r="H192" s="24" t="s">
        <v>19352</v>
      </c>
      <c r="I192" s="22" t="s">
        <v>19309</v>
      </c>
      <c r="J192" s="22" t="s">
        <v>19849</v>
      </c>
      <c r="K192" s="22" t="s">
        <v>19850</v>
      </c>
      <c r="L192" s="22"/>
      <c r="M192" s="22"/>
      <c r="N192" s="25" t="str">
        <f>HYPERLINK("http://slimages.macys.com/is/image/MCY/19068307 ")</f>
        <v xml:space="preserve">http://slimages.macys.com/is/image/MCY/19068307 </v>
      </c>
    </row>
    <row r="193" spans="1:14" ht="24.75" x14ac:dyDescent="0.25">
      <c r="A193" s="21" t="s">
        <v>10036</v>
      </c>
      <c r="B193" s="22" t="s">
        <v>10037</v>
      </c>
      <c r="C193" s="2">
        <v>1</v>
      </c>
      <c r="D193" s="23">
        <v>8.99</v>
      </c>
      <c r="E193" s="3">
        <v>8.99</v>
      </c>
      <c r="F193" s="2">
        <v>10015096700</v>
      </c>
      <c r="G193" s="22" t="s">
        <v>19906</v>
      </c>
      <c r="H193" s="24" t="s">
        <v>19770</v>
      </c>
      <c r="I193" s="22" t="s">
        <v>19309</v>
      </c>
      <c r="J193" s="22" t="s">
        <v>19573</v>
      </c>
      <c r="K193" s="22" t="s">
        <v>19574</v>
      </c>
      <c r="L193" s="22"/>
      <c r="M193" s="22"/>
      <c r="N193" s="25" t="str">
        <f>HYPERLINK("http://slimages.macys.com/is/image/MCY/1439038 ")</f>
        <v xml:space="preserve">http://slimages.macys.com/is/image/MCY/1439038 </v>
      </c>
    </row>
    <row r="194" spans="1:14" ht="24.75" x14ac:dyDescent="0.25">
      <c r="A194" s="21" t="s">
        <v>7118</v>
      </c>
      <c r="B194" s="22" t="s">
        <v>7119</v>
      </c>
      <c r="C194" s="2">
        <v>1</v>
      </c>
      <c r="D194" s="23">
        <v>8.99</v>
      </c>
      <c r="E194" s="3">
        <v>8.99</v>
      </c>
      <c r="F194" s="2" t="s">
        <v>18872</v>
      </c>
      <c r="G194" s="22" t="s">
        <v>19906</v>
      </c>
      <c r="H194" s="24" t="s">
        <v>19907</v>
      </c>
      <c r="I194" s="22" t="s">
        <v>19309</v>
      </c>
      <c r="J194" s="22" t="s">
        <v>19573</v>
      </c>
      <c r="K194" s="22" t="s">
        <v>19574</v>
      </c>
      <c r="L194" s="22"/>
      <c r="M194" s="22"/>
      <c r="N194" s="25" t="str">
        <f>HYPERLINK("http://slimages.macys.com/is/image/MCY/21361653 ")</f>
        <v xml:space="preserve">http://slimages.macys.com/is/image/MCY/21361653 </v>
      </c>
    </row>
    <row r="195" spans="1:14" ht="24.75" x14ac:dyDescent="0.25">
      <c r="A195" s="21" t="s">
        <v>7120</v>
      </c>
      <c r="B195" s="22" t="s">
        <v>7121</v>
      </c>
      <c r="C195" s="2">
        <v>1</v>
      </c>
      <c r="D195" s="23">
        <v>8.99</v>
      </c>
      <c r="E195" s="3">
        <v>8.99</v>
      </c>
      <c r="F195" s="2" t="s">
        <v>18872</v>
      </c>
      <c r="G195" s="22" t="s">
        <v>19518</v>
      </c>
      <c r="H195" s="24" t="s">
        <v>20089</v>
      </c>
      <c r="I195" s="22" t="s">
        <v>19309</v>
      </c>
      <c r="J195" s="22" t="s">
        <v>19573</v>
      </c>
      <c r="K195" s="22" t="s">
        <v>19574</v>
      </c>
      <c r="L195" s="22"/>
      <c r="M195" s="22"/>
      <c r="N195" s="25" t="str">
        <f>HYPERLINK("http://slimages.macys.com/is/image/MCY/21361653 ")</f>
        <v xml:space="preserve">http://slimages.macys.com/is/image/MCY/21361653 </v>
      </c>
    </row>
    <row r="196" spans="1:14" ht="24.75" x14ac:dyDescent="0.25">
      <c r="A196" s="21" t="s">
        <v>18884</v>
      </c>
      <c r="B196" s="22" t="s">
        <v>18885</v>
      </c>
      <c r="C196" s="2">
        <v>1</v>
      </c>
      <c r="D196" s="23">
        <v>8.99</v>
      </c>
      <c r="E196" s="3">
        <v>8.99</v>
      </c>
      <c r="F196" s="2" t="s">
        <v>18886</v>
      </c>
      <c r="G196" s="22" t="s">
        <v>19415</v>
      </c>
      <c r="H196" s="24" t="s">
        <v>19907</v>
      </c>
      <c r="I196" s="22" t="s">
        <v>19309</v>
      </c>
      <c r="J196" s="22" t="s">
        <v>19573</v>
      </c>
      <c r="K196" s="22" t="s">
        <v>19574</v>
      </c>
      <c r="L196" s="22"/>
      <c r="M196" s="22"/>
      <c r="N196" s="25" t="str">
        <f>HYPERLINK("http://slimages.macys.com/is/image/MCY/21361541 ")</f>
        <v xml:space="preserve">http://slimages.macys.com/is/image/MCY/21361541 </v>
      </c>
    </row>
    <row r="197" spans="1:14" ht="24.75" x14ac:dyDescent="0.25">
      <c r="A197" s="21" t="s">
        <v>7122</v>
      </c>
      <c r="B197" s="22" t="s">
        <v>7123</v>
      </c>
      <c r="C197" s="2">
        <v>2</v>
      </c>
      <c r="D197" s="23">
        <v>7.99</v>
      </c>
      <c r="E197" s="3">
        <v>15.98</v>
      </c>
      <c r="F197" s="2" t="s">
        <v>18914</v>
      </c>
      <c r="G197" s="22" t="s">
        <v>19351</v>
      </c>
      <c r="H197" s="24" t="s">
        <v>20089</v>
      </c>
      <c r="I197" s="22" t="s">
        <v>19309</v>
      </c>
      <c r="J197" s="22" t="s">
        <v>19573</v>
      </c>
      <c r="K197" s="22" t="s">
        <v>19574</v>
      </c>
      <c r="L197" s="22"/>
      <c r="M197" s="22"/>
      <c r="N197" s="25" t="str">
        <f>HYPERLINK("http://slimages.macys.com/is/image/MCY/21209394 ")</f>
        <v xml:space="preserve">http://slimages.macys.com/is/image/MCY/21209394 </v>
      </c>
    </row>
    <row r="198" spans="1:14" ht="24.75" x14ac:dyDescent="0.25">
      <c r="A198" s="21" t="s">
        <v>10064</v>
      </c>
      <c r="B198" s="22" t="s">
        <v>10065</v>
      </c>
      <c r="C198" s="2">
        <v>1</v>
      </c>
      <c r="D198" s="23">
        <v>7.99</v>
      </c>
      <c r="E198" s="3">
        <v>7.99</v>
      </c>
      <c r="F198" s="2" t="s">
        <v>14661</v>
      </c>
      <c r="G198" s="22" t="s">
        <v>19794</v>
      </c>
      <c r="H198" s="24" t="s">
        <v>20089</v>
      </c>
      <c r="I198" s="22" t="s">
        <v>19309</v>
      </c>
      <c r="J198" s="22" t="s">
        <v>19573</v>
      </c>
      <c r="K198" s="22" t="s">
        <v>19574</v>
      </c>
      <c r="L198" s="22"/>
      <c r="M198" s="22"/>
      <c r="N198" s="25" t="str">
        <f>HYPERLINK("http://slimages.macys.com/is/image/MCY/21209113 ")</f>
        <v xml:space="preserve">http://slimages.macys.com/is/image/MCY/21209113 </v>
      </c>
    </row>
    <row r="199" spans="1:14" ht="24.75" x14ac:dyDescent="0.25">
      <c r="A199" s="21" t="s">
        <v>7124</v>
      </c>
      <c r="B199" s="22" t="s">
        <v>7125</v>
      </c>
      <c r="C199" s="2">
        <v>1</v>
      </c>
      <c r="D199" s="23">
        <v>7.99</v>
      </c>
      <c r="E199" s="3">
        <v>7.99</v>
      </c>
      <c r="F199" s="2" t="s">
        <v>7126</v>
      </c>
      <c r="G199" s="22" t="s">
        <v>19351</v>
      </c>
      <c r="H199" s="24" t="s">
        <v>20089</v>
      </c>
      <c r="I199" s="22" t="s">
        <v>19309</v>
      </c>
      <c r="J199" s="22" t="s">
        <v>19573</v>
      </c>
      <c r="K199" s="22" t="s">
        <v>19574</v>
      </c>
      <c r="L199" s="22"/>
      <c r="M199" s="22"/>
      <c r="N199" s="25" t="str">
        <f>HYPERLINK("http://slimages.macys.com/is/image/MCY/21361177 ")</f>
        <v xml:space="preserve">http://slimages.macys.com/is/image/MCY/21361177 </v>
      </c>
    </row>
    <row r="200" spans="1:14" ht="24.75" x14ac:dyDescent="0.25">
      <c r="A200" s="21" t="s">
        <v>18912</v>
      </c>
      <c r="B200" s="22" t="s">
        <v>18913</v>
      </c>
      <c r="C200" s="2">
        <v>1</v>
      </c>
      <c r="D200" s="23">
        <v>7.99</v>
      </c>
      <c r="E200" s="3">
        <v>7.99</v>
      </c>
      <c r="F200" s="2" t="s">
        <v>18914</v>
      </c>
      <c r="G200" s="22" t="s">
        <v>19351</v>
      </c>
      <c r="H200" s="24" t="s">
        <v>20135</v>
      </c>
      <c r="I200" s="22" t="s">
        <v>19309</v>
      </c>
      <c r="J200" s="22" t="s">
        <v>19573</v>
      </c>
      <c r="K200" s="22" t="s">
        <v>19574</v>
      </c>
      <c r="L200" s="22"/>
      <c r="M200" s="22"/>
      <c r="N200" s="25" t="str">
        <f>HYPERLINK("http://slimages.macys.com/is/image/MCY/21209394 ")</f>
        <v xml:space="preserve">http://slimages.macys.com/is/image/MCY/21209394 </v>
      </c>
    </row>
    <row r="201" spans="1:14" ht="24.75" x14ac:dyDescent="0.25">
      <c r="A201" s="21" t="s">
        <v>7127</v>
      </c>
      <c r="B201" s="22" t="s">
        <v>7128</v>
      </c>
      <c r="C201" s="2">
        <v>4</v>
      </c>
      <c r="D201" s="23">
        <v>7.99</v>
      </c>
      <c r="E201" s="3">
        <v>31.96</v>
      </c>
      <c r="F201" s="2" t="s">
        <v>7129</v>
      </c>
      <c r="G201" s="22" t="s">
        <v>19323</v>
      </c>
      <c r="H201" s="24" t="s">
        <v>19377</v>
      </c>
      <c r="I201" s="22" t="s">
        <v>19309</v>
      </c>
      <c r="J201" s="22" t="s">
        <v>19908</v>
      </c>
      <c r="K201" s="22" t="s">
        <v>19524</v>
      </c>
      <c r="L201" s="22"/>
      <c r="M201" s="22"/>
      <c r="N201" s="25" t="str">
        <f>HYPERLINK("http://slimages.macys.com/is/image/MCY/19263673 ")</f>
        <v xml:space="preserve">http://slimages.macys.com/is/image/MCY/19263673 </v>
      </c>
    </row>
    <row r="202" spans="1:14" ht="24.75" x14ac:dyDescent="0.25">
      <c r="A202" s="21" t="s">
        <v>8145</v>
      </c>
      <c r="B202" s="22" t="s">
        <v>8146</v>
      </c>
      <c r="C202" s="2">
        <v>1</v>
      </c>
      <c r="D202" s="23">
        <v>7.99</v>
      </c>
      <c r="E202" s="3">
        <v>7.99</v>
      </c>
      <c r="F202" s="2" t="s">
        <v>14691</v>
      </c>
      <c r="G202" s="22" t="s">
        <v>19323</v>
      </c>
      <c r="H202" s="24" t="s">
        <v>19339</v>
      </c>
      <c r="I202" s="22" t="s">
        <v>19309</v>
      </c>
      <c r="J202" s="22" t="s">
        <v>19353</v>
      </c>
      <c r="K202" s="22" t="s">
        <v>19524</v>
      </c>
      <c r="L202" s="22"/>
      <c r="M202" s="22"/>
      <c r="N202" s="25" t="str">
        <f>HYPERLINK("http://slimages.macys.com/is/image/MCY/19266430 ")</f>
        <v xml:space="preserve">http://slimages.macys.com/is/image/MCY/19266430 </v>
      </c>
    </row>
    <row r="203" spans="1:14" x14ac:dyDescent="0.25">
      <c r="A203" s="21" t="s">
        <v>7130</v>
      </c>
      <c r="B203" s="22" t="s">
        <v>7131</v>
      </c>
      <c r="C203" s="2">
        <v>1</v>
      </c>
      <c r="D203" s="23">
        <v>12</v>
      </c>
      <c r="E203" s="3">
        <v>12</v>
      </c>
      <c r="F203" s="2" t="s">
        <v>7132</v>
      </c>
      <c r="G203" s="22"/>
      <c r="H203" s="24" t="s">
        <v>20152</v>
      </c>
      <c r="I203" s="22" t="s">
        <v>19309</v>
      </c>
      <c r="J203" s="22" t="s">
        <v>19708</v>
      </c>
      <c r="K203" s="22" t="s">
        <v>19709</v>
      </c>
      <c r="L203" s="22"/>
      <c r="M203" s="22"/>
      <c r="N203" s="25" t="str">
        <f>HYPERLINK("http://slimages.macys.com/is/image/MCY/21726801 ")</f>
        <v xml:space="preserve">http://slimages.macys.com/is/image/MCY/21726801 </v>
      </c>
    </row>
    <row r="204" spans="1:14" x14ac:dyDescent="0.25">
      <c r="A204" s="21" t="s">
        <v>7133</v>
      </c>
      <c r="B204" s="22" t="s">
        <v>7134</v>
      </c>
      <c r="C204" s="2">
        <v>43</v>
      </c>
      <c r="D204" s="23">
        <v>8.3000000000000007</v>
      </c>
      <c r="E204" s="3">
        <v>356.9</v>
      </c>
      <c r="F204" s="2" t="s">
        <v>9667</v>
      </c>
      <c r="G204" s="22" t="s">
        <v>19431</v>
      </c>
      <c r="H204" s="24" t="s">
        <v>19367</v>
      </c>
      <c r="I204" s="22" t="s">
        <v>19309</v>
      </c>
      <c r="J204" s="22" t="s">
        <v>19708</v>
      </c>
      <c r="K204" s="22" t="s">
        <v>19709</v>
      </c>
      <c r="L204" s="22"/>
      <c r="M204" s="22"/>
      <c r="N204" s="25" t="str">
        <f>HYPERLINK("http://slimages.macys.com/is/image/MCY/21726415 ")</f>
        <v xml:space="preserve">http://slimages.macys.com/is/image/MCY/21726415 </v>
      </c>
    </row>
    <row r="205" spans="1:14" ht="24.75" x14ac:dyDescent="0.25">
      <c r="A205" s="21" t="s">
        <v>7135</v>
      </c>
      <c r="B205" s="22" t="s">
        <v>7136</v>
      </c>
      <c r="C205" s="2">
        <v>5</v>
      </c>
      <c r="D205" s="23">
        <v>7.99</v>
      </c>
      <c r="E205" s="3">
        <v>39.950000000000003</v>
      </c>
      <c r="F205" s="2" t="s">
        <v>7137</v>
      </c>
      <c r="G205" s="22" t="s">
        <v>19323</v>
      </c>
      <c r="H205" s="24" t="s">
        <v>19352</v>
      </c>
      <c r="I205" s="22" t="s">
        <v>19309</v>
      </c>
      <c r="J205" s="22" t="s">
        <v>19353</v>
      </c>
      <c r="K205" s="22" t="s">
        <v>19524</v>
      </c>
      <c r="L205" s="22"/>
      <c r="M205" s="22"/>
      <c r="N205" s="25" t="str">
        <f>HYPERLINK("http://slimages.macys.com/is/image/MCY/19503346 ")</f>
        <v xml:space="preserve">http://slimages.macys.com/is/image/MCY/19503346 </v>
      </c>
    </row>
    <row r="206" spans="1:14" ht="24.75" x14ac:dyDescent="0.25">
      <c r="A206" s="21" t="s">
        <v>7138</v>
      </c>
      <c r="B206" s="22" t="s">
        <v>7139</v>
      </c>
      <c r="C206" s="2">
        <v>1</v>
      </c>
      <c r="D206" s="23">
        <v>7.99</v>
      </c>
      <c r="E206" s="3">
        <v>7.99</v>
      </c>
      <c r="F206" s="2" t="s">
        <v>9670</v>
      </c>
      <c r="G206" s="22" t="s">
        <v>19415</v>
      </c>
      <c r="H206" s="24" t="s">
        <v>20135</v>
      </c>
      <c r="I206" s="22" t="s">
        <v>19309</v>
      </c>
      <c r="J206" s="22" t="s">
        <v>19573</v>
      </c>
      <c r="K206" s="22" t="s">
        <v>19574</v>
      </c>
      <c r="L206" s="22"/>
      <c r="M206" s="22"/>
      <c r="N206" s="25" t="str">
        <f>HYPERLINK("http://slimages.macys.com/is/image/MCY/8695857 ")</f>
        <v xml:space="preserve">http://slimages.macys.com/is/image/MCY/8695857 </v>
      </c>
    </row>
    <row r="207" spans="1:14" ht="24.75" x14ac:dyDescent="0.25">
      <c r="A207" s="21" t="s">
        <v>7140</v>
      </c>
      <c r="B207" s="22" t="s">
        <v>7141</v>
      </c>
      <c r="C207" s="2">
        <v>1</v>
      </c>
      <c r="D207" s="23">
        <v>6.99</v>
      </c>
      <c r="E207" s="3">
        <v>6.99</v>
      </c>
      <c r="F207" s="2" t="s">
        <v>17054</v>
      </c>
      <c r="G207" s="22" t="s">
        <v>19415</v>
      </c>
      <c r="H207" s="24" t="s">
        <v>19416</v>
      </c>
      <c r="I207" s="22" t="s">
        <v>19309</v>
      </c>
      <c r="J207" s="22" t="s">
        <v>19573</v>
      </c>
      <c r="K207" s="22" t="s">
        <v>19574</v>
      </c>
      <c r="L207" s="22"/>
      <c r="M207" s="22"/>
      <c r="N207" s="25" t="str">
        <f>HYPERLINK("http://slimages.macys.com/is/image/MCY/1599621 ")</f>
        <v xml:space="preserve">http://slimages.macys.com/is/image/MCY/1599621 </v>
      </c>
    </row>
    <row r="208" spans="1:14" ht="24.75" x14ac:dyDescent="0.25">
      <c r="A208" s="21" t="s">
        <v>8339</v>
      </c>
      <c r="B208" s="22" t="s">
        <v>8340</v>
      </c>
      <c r="C208" s="2">
        <v>15</v>
      </c>
      <c r="D208" s="23">
        <v>7.99</v>
      </c>
      <c r="E208" s="3">
        <v>119.85</v>
      </c>
      <c r="F208" s="2" t="s">
        <v>19012</v>
      </c>
      <c r="G208" s="22" t="s">
        <v>19906</v>
      </c>
      <c r="H208" s="24" t="s">
        <v>19416</v>
      </c>
      <c r="I208" s="22" t="s">
        <v>19309</v>
      </c>
      <c r="J208" s="22" t="s">
        <v>19573</v>
      </c>
      <c r="K208" s="22" t="s">
        <v>19574</v>
      </c>
      <c r="L208" s="22"/>
      <c r="M208" s="22"/>
      <c r="N208" s="25" t="str">
        <f>HYPERLINK("http://slimages.macys.com/is/image/MCY/21361565 ")</f>
        <v xml:space="preserve">http://slimages.macys.com/is/image/MCY/21361565 </v>
      </c>
    </row>
    <row r="209" spans="1:14" ht="24.75" x14ac:dyDescent="0.25">
      <c r="A209" s="21" t="s">
        <v>7142</v>
      </c>
      <c r="B209" s="22" t="s">
        <v>7143</v>
      </c>
      <c r="C209" s="2">
        <v>1</v>
      </c>
      <c r="D209" s="23">
        <v>7.99</v>
      </c>
      <c r="E209" s="3">
        <v>7.99</v>
      </c>
      <c r="F209" s="2" t="s">
        <v>7144</v>
      </c>
      <c r="G209" s="22" t="s">
        <v>19415</v>
      </c>
      <c r="H209" s="24" t="s">
        <v>20135</v>
      </c>
      <c r="I209" s="22" t="s">
        <v>19309</v>
      </c>
      <c r="J209" s="22" t="s">
        <v>19573</v>
      </c>
      <c r="K209" s="22" t="s">
        <v>19574</v>
      </c>
      <c r="L209" s="22"/>
      <c r="M209" s="22"/>
      <c r="N209" s="25" t="str">
        <f>HYPERLINK("http://slimages.macys.com/is/image/MCY/18421986 ")</f>
        <v xml:space="preserve">http://slimages.macys.com/is/image/MCY/18421986 </v>
      </c>
    </row>
    <row r="210" spans="1:14" ht="24.75" x14ac:dyDescent="0.25">
      <c r="A210" s="21" t="s">
        <v>7145</v>
      </c>
      <c r="B210" s="22" t="s">
        <v>7146</v>
      </c>
      <c r="C210" s="2">
        <v>1</v>
      </c>
      <c r="D210" s="23">
        <v>6.99</v>
      </c>
      <c r="E210" s="3">
        <v>6.99</v>
      </c>
      <c r="F210" s="2" t="s">
        <v>17060</v>
      </c>
      <c r="G210" s="22" t="s">
        <v>19618</v>
      </c>
      <c r="H210" s="24" t="s">
        <v>19352</v>
      </c>
      <c r="I210" s="22" t="s">
        <v>19309</v>
      </c>
      <c r="J210" s="22" t="s">
        <v>19353</v>
      </c>
      <c r="K210" s="22" t="s">
        <v>19354</v>
      </c>
      <c r="L210" s="22"/>
      <c r="M210" s="22"/>
      <c r="N210" s="25" t="str">
        <f>HYPERLINK("http://slimages.macys.com/is/image/MCY/20737537 ")</f>
        <v xml:space="preserve">http://slimages.macys.com/is/image/MCY/20737537 </v>
      </c>
    </row>
    <row r="211" spans="1:14" ht="24.75" x14ac:dyDescent="0.25">
      <c r="A211" s="21" t="s">
        <v>7147</v>
      </c>
      <c r="B211" s="22" t="s">
        <v>7148</v>
      </c>
      <c r="C211" s="2">
        <v>1</v>
      </c>
      <c r="D211" s="23">
        <v>7.99</v>
      </c>
      <c r="E211" s="3">
        <v>7.99</v>
      </c>
      <c r="F211" s="2" t="s">
        <v>7149</v>
      </c>
      <c r="G211" s="22" t="s">
        <v>19674</v>
      </c>
      <c r="H211" s="24" t="s">
        <v>19907</v>
      </c>
      <c r="I211" s="22" t="s">
        <v>19309</v>
      </c>
      <c r="J211" s="22" t="s">
        <v>19573</v>
      </c>
      <c r="K211" s="22" t="s">
        <v>19574</v>
      </c>
      <c r="L211" s="22"/>
      <c r="M211" s="22"/>
      <c r="N211" s="25" t="str">
        <f>HYPERLINK("http://slimages.macys.com/is/image/MCY/1594361 ")</f>
        <v xml:space="preserve">http://slimages.macys.com/is/image/MCY/1594361 </v>
      </c>
    </row>
    <row r="212" spans="1:14" ht="24.75" x14ac:dyDescent="0.25">
      <c r="A212" s="21" t="s">
        <v>7150</v>
      </c>
      <c r="B212" s="22" t="s">
        <v>8898</v>
      </c>
      <c r="C212" s="2">
        <v>1</v>
      </c>
      <c r="D212" s="23">
        <v>7.99</v>
      </c>
      <c r="E212" s="3">
        <v>7.99</v>
      </c>
      <c r="F212" s="2" t="s">
        <v>7151</v>
      </c>
      <c r="G212" s="22" t="s">
        <v>19674</v>
      </c>
      <c r="H212" s="24" t="s">
        <v>19907</v>
      </c>
      <c r="I212" s="22" t="s">
        <v>19309</v>
      </c>
      <c r="J212" s="22" t="s">
        <v>19573</v>
      </c>
      <c r="K212" s="22" t="s">
        <v>19574</v>
      </c>
      <c r="L212" s="22"/>
      <c r="M212" s="22"/>
      <c r="N212" s="25" t="str">
        <f>HYPERLINK("http://slimages.macys.com/is/image/MCY/21970109 ")</f>
        <v xml:space="preserve">http://slimages.macys.com/is/image/MCY/21970109 </v>
      </c>
    </row>
    <row r="213" spans="1:14" ht="24.75" x14ac:dyDescent="0.25">
      <c r="A213" s="21" t="s">
        <v>11127</v>
      </c>
      <c r="B213" s="22" t="s">
        <v>11128</v>
      </c>
      <c r="C213" s="2">
        <v>2</v>
      </c>
      <c r="D213" s="23">
        <v>7.99</v>
      </c>
      <c r="E213" s="3">
        <v>15.98</v>
      </c>
      <c r="F213" s="2" t="s">
        <v>11129</v>
      </c>
      <c r="G213" s="22" t="s">
        <v>19351</v>
      </c>
      <c r="H213" s="24" t="s">
        <v>20135</v>
      </c>
      <c r="I213" s="22" t="s">
        <v>19309</v>
      </c>
      <c r="J213" s="22" t="s">
        <v>19573</v>
      </c>
      <c r="K213" s="22" t="s">
        <v>19574</v>
      </c>
      <c r="L213" s="22"/>
      <c r="M213" s="22"/>
      <c r="N213" s="25" t="str">
        <f>HYPERLINK("http://slimages.macys.com/is/image/MCY/1610409 ")</f>
        <v xml:space="preserve">http://slimages.macys.com/is/image/MCY/1610409 </v>
      </c>
    </row>
    <row r="214" spans="1:14" ht="24.75" x14ac:dyDescent="0.25">
      <c r="A214" s="21" t="s">
        <v>8341</v>
      </c>
      <c r="B214" s="22" t="s">
        <v>8342</v>
      </c>
      <c r="C214" s="2">
        <v>5</v>
      </c>
      <c r="D214" s="23">
        <v>7.99</v>
      </c>
      <c r="E214" s="3">
        <v>39.950000000000003</v>
      </c>
      <c r="F214" s="2" t="s">
        <v>11129</v>
      </c>
      <c r="G214" s="22" t="s">
        <v>19351</v>
      </c>
      <c r="H214" s="24" t="s">
        <v>19907</v>
      </c>
      <c r="I214" s="22" t="s">
        <v>19309</v>
      </c>
      <c r="J214" s="22" t="s">
        <v>19573</v>
      </c>
      <c r="K214" s="22" t="s">
        <v>19574</v>
      </c>
      <c r="L214" s="22"/>
      <c r="M214" s="22"/>
      <c r="N214" s="25" t="str">
        <f>HYPERLINK("http://slimages.macys.com/is/image/MCY/1610409 ")</f>
        <v xml:space="preserve">http://slimages.macys.com/is/image/MCY/1610409 </v>
      </c>
    </row>
    <row r="215" spans="1:14" ht="24.75" x14ac:dyDescent="0.25">
      <c r="A215" s="21" t="s">
        <v>8343</v>
      </c>
      <c r="B215" s="22" t="s">
        <v>8344</v>
      </c>
      <c r="C215" s="2">
        <v>18</v>
      </c>
      <c r="D215" s="23">
        <v>7.99</v>
      </c>
      <c r="E215" s="3">
        <v>143.82</v>
      </c>
      <c r="F215" s="2" t="s">
        <v>11132</v>
      </c>
      <c r="G215" s="22" t="s">
        <v>19618</v>
      </c>
      <c r="H215" s="24" t="s">
        <v>20089</v>
      </c>
      <c r="I215" s="22" t="s">
        <v>19309</v>
      </c>
      <c r="J215" s="22" t="s">
        <v>19573</v>
      </c>
      <c r="K215" s="22" t="s">
        <v>19574</v>
      </c>
      <c r="L215" s="22"/>
      <c r="M215" s="22"/>
      <c r="N215" s="25" t="str">
        <f>HYPERLINK("http://slimages.macys.com/is/image/MCY/1573861 ")</f>
        <v xml:space="preserve">http://slimages.macys.com/is/image/MCY/1573861 </v>
      </c>
    </row>
    <row r="216" spans="1:14" ht="24.75" x14ac:dyDescent="0.25">
      <c r="A216" s="21" t="s">
        <v>8345</v>
      </c>
      <c r="B216" s="22" t="s">
        <v>8346</v>
      </c>
      <c r="C216" s="2">
        <v>5</v>
      </c>
      <c r="D216" s="23">
        <v>6.99</v>
      </c>
      <c r="E216" s="3">
        <v>34.950000000000003</v>
      </c>
      <c r="F216" s="2" t="s">
        <v>17155</v>
      </c>
      <c r="G216" s="22" t="s">
        <v>19674</v>
      </c>
      <c r="H216" s="24" t="s">
        <v>19384</v>
      </c>
      <c r="I216" s="22" t="s">
        <v>19309</v>
      </c>
      <c r="J216" s="22" t="s">
        <v>19573</v>
      </c>
      <c r="K216" s="22" t="s">
        <v>19574</v>
      </c>
      <c r="L216" s="22"/>
      <c r="M216" s="22"/>
      <c r="N216" s="25" t="str">
        <f>HYPERLINK("http://slimages.macys.com/is/image/MCY/14799396 ")</f>
        <v xml:space="preserve">http://slimages.macys.com/is/image/MCY/14799396 </v>
      </c>
    </row>
    <row r="217" spans="1:14" ht="24.75" x14ac:dyDescent="0.25">
      <c r="A217" s="21" t="s">
        <v>7152</v>
      </c>
      <c r="B217" s="22" t="s">
        <v>7153</v>
      </c>
      <c r="C217" s="2">
        <v>2</v>
      </c>
      <c r="D217" s="23">
        <v>6.99</v>
      </c>
      <c r="E217" s="3">
        <v>13.98</v>
      </c>
      <c r="F217" s="2" t="s">
        <v>7154</v>
      </c>
      <c r="G217" s="22" t="s">
        <v>19467</v>
      </c>
      <c r="H217" s="24" t="s">
        <v>19330</v>
      </c>
      <c r="I217" s="22" t="s">
        <v>19309</v>
      </c>
      <c r="J217" s="22" t="s">
        <v>19573</v>
      </c>
      <c r="K217" s="22" t="s">
        <v>19574</v>
      </c>
      <c r="L217" s="22"/>
      <c r="M217" s="22"/>
      <c r="N217" s="25" t="str">
        <f>HYPERLINK("http://slimages.macys.com/is/image/MCY/19977416 ")</f>
        <v xml:space="preserve">http://slimages.macys.com/is/image/MCY/19977416 </v>
      </c>
    </row>
    <row r="218" spans="1:14" ht="24.75" x14ac:dyDescent="0.25">
      <c r="A218" s="21" t="s">
        <v>7155</v>
      </c>
      <c r="B218" s="22" t="s">
        <v>7156</v>
      </c>
      <c r="C218" s="2">
        <v>1</v>
      </c>
      <c r="D218" s="23">
        <v>7.99</v>
      </c>
      <c r="E218" s="3">
        <v>7.99</v>
      </c>
      <c r="F218" s="2" t="s">
        <v>7157</v>
      </c>
      <c r="G218" s="22" t="s">
        <v>19351</v>
      </c>
      <c r="H218" s="24" t="s">
        <v>20089</v>
      </c>
      <c r="I218" s="22" t="s">
        <v>19309</v>
      </c>
      <c r="J218" s="22" t="s">
        <v>19573</v>
      </c>
      <c r="K218" s="22" t="s">
        <v>19574</v>
      </c>
      <c r="L218" s="22"/>
      <c r="M218" s="22"/>
      <c r="N218" s="25" t="str">
        <f>HYPERLINK("http://slimages.macys.com/is/image/MCY/14385124 ")</f>
        <v xml:space="preserve">http://slimages.macys.com/is/image/MCY/14385124 </v>
      </c>
    </row>
    <row r="219" spans="1:14" ht="24.75" x14ac:dyDescent="0.25">
      <c r="A219" s="21" t="s">
        <v>8355</v>
      </c>
      <c r="B219" s="22" t="s">
        <v>8356</v>
      </c>
      <c r="C219" s="2">
        <v>16</v>
      </c>
      <c r="D219" s="23">
        <v>7.99</v>
      </c>
      <c r="E219" s="3">
        <v>127.84</v>
      </c>
      <c r="F219" s="2" t="s">
        <v>17068</v>
      </c>
      <c r="G219" s="22" t="s">
        <v>19415</v>
      </c>
      <c r="H219" s="24" t="s">
        <v>19907</v>
      </c>
      <c r="I219" s="22" t="s">
        <v>19309</v>
      </c>
      <c r="J219" s="22" t="s">
        <v>19573</v>
      </c>
      <c r="K219" s="22" t="s">
        <v>19574</v>
      </c>
      <c r="L219" s="22"/>
      <c r="M219" s="22"/>
      <c r="N219" s="25" t="str">
        <f>HYPERLINK("http://slimages.macys.com/is/image/MCY/21371404 ")</f>
        <v xml:space="preserve">http://slimages.macys.com/is/image/MCY/21371404 </v>
      </c>
    </row>
    <row r="220" spans="1:14" ht="24.75" x14ac:dyDescent="0.25">
      <c r="A220" s="21" t="s">
        <v>8349</v>
      </c>
      <c r="B220" s="22" t="s">
        <v>8350</v>
      </c>
      <c r="C220" s="2">
        <v>3</v>
      </c>
      <c r="D220" s="23">
        <v>7.99</v>
      </c>
      <c r="E220" s="3">
        <v>23.97</v>
      </c>
      <c r="F220" s="2" t="s">
        <v>17068</v>
      </c>
      <c r="G220" s="22" t="s">
        <v>19906</v>
      </c>
      <c r="H220" s="24" t="s">
        <v>20135</v>
      </c>
      <c r="I220" s="22" t="s">
        <v>19309</v>
      </c>
      <c r="J220" s="22" t="s">
        <v>19573</v>
      </c>
      <c r="K220" s="22" t="s">
        <v>19574</v>
      </c>
      <c r="L220" s="22"/>
      <c r="M220" s="22"/>
      <c r="N220" s="25" t="str">
        <f>HYPERLINK("http://slimages.macys.com/is/image/MCY/1554809 ")</f>
        <v xml:space="preserve">http://slimages.macys.com/is/image/MCY/1554809 </v>
      </c>
    </row>
    <row r="221" spans="1:14" ht="24.75" x14ac:dyDescent="0.25">
      <c r="A221" s="21" t="s">
        <v>9674</v>
      </c>
      <c r="B221" s="22" t="s">
        <v>9675</v>
      </c>
      <c r="C221" s="2">
        <v>20</v>
      </c>
      <c r="D221" s="23">
        <v>7.99</v>
      </c>
      <c r="E221" s="3">
        <v>159.80000000000001</v>
      </c>
      <c r="F221" s="2" t="s">
        <v>17068</v>
      </c>
      <c r="G221" s="22" t="s">
        <v>19674</v>
      </c>
      <c r="H221" s="24" t="s">
        <v>20135</v>
      </c>
      <c r="I221" s="22" t="s">
        <v>19309</v>
      </c>
      <c r="J221" s="22" t="s">
        <v>19573</v>
      </c>
      <c r="K221" s="22" t="s">
        <v>19574</v>
      </c>
      <c r="L221" s="22"/>
      <c r="M221" s="22"/>
      <c r="N221" s="25" t="str">
        <f>HYPERLINK("http://slimages.macys.com/is/image/MCY/21371404 ")</f>
        <v xml:space="preserve">http://slimages.macys.com/is/image/MCY/21371404 </v>
      </c>
    </row>
    <row r="222" spans="1:14" ht="24.75" x14ac:dyDescent="0.25">
      <c r="A222" s="21" t="s">
        <v>7158</v>
      </c>
      <c r="B222" s="22" t="s">
        <v>7159</v>
      </c>
      <c r="C222" s="2">
        <v>1</v>
      </c>
      <c r="D222" s="23">
        <v>6.99</v>
      </c>
      <c r="E222" s="3">
        <v>6.99</v>
      </c>
      <c r="F222" s="2" t="s">
        <v>7160</v>
      </c>
      <c r="G222" s="22" t="s">
        <v>19906</v>
      </c>
      <c r="H222" s="24" t="s">
        <v>19538</v>
      </c>
      <c r="I222" s="22" t="s">
        <v>19309</v>
      </c>
      <c r="J222" s="22" t="s">
        <v>19573</v>
      </c>
      <c r="K222" s="22" t="s">
        <v>19574</v>
      </c>
      <c r="L222" s="22"/>
      <c r="M222" s="22"/>
      <c r="N222" s="25" t="str">
        <f>HYPERLINK("http://slimages.macys.com/is/image/MCY/1554928 ")</f>
        <v xml:space="preserve">http://slimages.macys.com/is/image/MCY/1554928 </v>
      </c>
    </row>
    <row r="223" spans="1:14" ht="24.75" x14ac:dyDescent="0.25">
      <c r="A223" s="21" t="s">
        <v>7161</v>
      </c>
      <c r="B223" s="22" t="s">
        <v>7162</v>
      </c>
      <c r="C223" s="2">
        <v>2</v>
      </c>
      <c r="D223" s="23">
        <v>6.99</v>
      </c>
      <c r="E223" s="3">
        <v>13.98</v>
      </c>
      <c r="F223" s="2" t="s">
        <v>7163</v>
      </c>
      <c r="G223" s="22" t="s">
        <v>19351</v>
      </c>
      <c r="H223" s="24" t="s">
        <v>19324</v>
      </c>
      <c r="I223" s="22" t="s">
        <v>19309</v>
      </c>
      <c r="J223" s="22" t="s">
        <v>19573</v>
      </c>
      <c r="K223" s="22" t="s">
        <v>19574</v>
      </c>
      <c r="L223" s="22"/>
      <c r="M223" s="22"/>
      <c r="N223" s="25" t="str">
        <f>HYPERLINK("http://slimages.macys.com/is/image/MCY/19977838 ")</f>
        <v xml:space="preserve">http://slimages.macys.com/is/image/MCY/19977838 </v>
      </c>
    </row>
    <row r="224" spans="1:14" ht="24.75" x14ac:dyDescent="0.25">
      <c r="A224" s="21" t="s">
        <v>7164</v>
      </c>
      <c r="B224" s="22" t="s">
        <v>7165</v>
      </c>
      <c r="C224" s="2">
        <v>7</v>
      </c>
      <c r="D224" s="23">
        <v>5.99</v>
      </c>
      <c r="E224" s="3">
        <v>41.93</v>
      </c>
      <c r="F224" s="2" t="s">
        <v>14758</v>
      </c>
      <c r="G224" s="22" t="s">
        <v>19351</v>
      </c>
      <c r="H224" s="24" t="s">
        <v>19330</v>
      </c>
      <c r="I224" s="22" t="s">
        <v>19309</v>
      </c>
      <c r="J224" s="22" t="s">
        <v>19573</v>
      </c>
      <c r="K224" s="22" t="s">
        <v>19574</v>
      </c>
      <c r="L224" s="22"/>
      <c r="M224" s="22"/>
      <c r="N224" s="25" t="str">
        <f>HYPERLINK("http://slimages.macys.com/is/image/MCY/1537013 ")</f>
        <v xml:space="preserve">http://slimages.macys.com/is/image/MCY/1537013 </v>
      </c>
    </row>
    <row r="225" spans="1:14" ht="24.75" x14ac:dyDescent="0.25">
      <c r="A225" s="21" t="s">
        <v>8364</v>
      </c>
      <c r="B225" s="22" t="s">
        <v>13442</v>
      </c>
      <c r="C225" s="2">
        <v>23</v>
      </c>
      <c r="D225" s="23">
        <v>7.99</v>
      </c>
      <c r="E225" s="3">
        <v>183.77</v>
      </c>
      <c r="F225" s="2" t="s">
        <v>8365</v>
      </c>
      <c r="G225" s="22" t="s">
        <v>19618</v>
      </c>
      <c r="H225" s="24" t="s">
        <v>19907</v>
      </c>
      <c r="I225" s="22" t="s">
        <v>19309</v>
      </c>
      <c r="J225" s="22" t="s">
        <v>19573</v>
      </c>
      <c r="K225" s="22" t="s">
        <v>19574</v>
      </c>
      <c r="L225" s="22"/>
      <c r="M225" s="22"/>
      <c r="N225" s="25" t="str">
        <f>HYPERLINK("http://slimages.macys.com/is/image/MCY/1610409 ")</f>
        <v xml:space="preserve">http://slimages.macys.com/is/image/MCY/1610409 </v>
      </c>
    </row>
    <row r="226" spans="1:14" ht="24.75" x14ac:dyDescent="0.25">
      <c r="A226" s="21" t="s">
        <v>7166</v>
      </c>
      <c r="B226" s="22" t="s">
        <v>7167</v>
      </c>
      <c r="C226" s="2">
        <v>1</v>
      </c>
      <c r="D226" s="23">
        <v>6.99</v>
      </c>
      <c r="E226" s="3">
        <v>6.99</v>
      </c>
      <c r="F226" s="2" t="s">
        <v>7168</v>
      </c>
      <c r="G226" s="22" t="s">
        <v>19467</v>
      </c>
      <c r="H226" s="24" t="s">
        <v>19538</v>
      </c>
      <c r="I226" s="22" t="s">
        <v>19309</v>
      </c>
      <c r="J226" s="22" t="s">
        <v>19573</v>
      </c>
      <c r="K226" s="22" t="s">
        <v>19574</v>
      </c>
      <c r="L226" s="22"/>
      <c r="M226" s="22"/>
      <c r="N226" s="25" t="str">
        <f>HYPERLINK("http://slimages.macys.com/is/image/MCY/1122110 ")</f>
        <v xml:space="preserve">http://slimages.macys.com/is/image/MCY/1122110 </v>
      </c>
    </row>
    <row r="227" spans="1:14" ht="24.75" x14ac:dyDescent="0.25">
      <c r="A227" s="21" t="s">
        <v>11141</v>
      </c>
      <c r="B227" s="22" t="s">
        <v>11142</v>
      </c>
      <c r="C227" s="2">
        <v>2</v>
      </c>
      <c r="D227" s="23">
        <v>7.99</v>
      </c>
      <c r="E227" s="3">
        <v>15.98</v>
      </c>
      <c r="F227" s="2" t="s">
        <v>11143</v>
      </c>
      <c r="G227" s="22" t="s">
        <v>19670</v>
      </c>
      <c r="H227" s="24" t="s">
        <v>20135</v>
      </c>
      <c r="I227" s="22" t="s">
        <v>19309</v>
      </c>
      <c r="J227" s="22" t="s">
        <v>19573</v>
      </c>
      <c r="K227" s="22" t="s">
        <v>19574</v>
      </c>
      <c r="L227" s="22"/>
      <c r="M227" s="22"/>
      <c r="N227" s="25" t="str">
        <f>HYPERLINK("http://slimages.macys.com/is/image/MCY/21209533 ")</f>
        <v xml:space="preserve">http://slimages.macys.com/is/image/MCY/21209533 </v>
      </c>
    </row>
    <row r="228" spans="1:14" ht="24.75" x14ac:dyDescent="0.25">
      <c r="A228" s="21" t="s">
        <v>9692</v>
      </c>
      <c r="B228" s="22" t="s">
        <v>9693</v>
      </c>
      <c r="C228" s="2">
        <v>1</v>
      </c>
      <c r="D228" s="23">
        <v>6.99</v>
      </c>
      <c r="E228" s="3">
        <v>6.99</v>
      </c>
      <c r="F228" s="2" t="s">
        <v>19101</v>
      </c>
      <c r="G228" s="22" t="s">
        <v>19415</v>
      </c>
      <c r="H228" s="24" t="s">
        <v>19538</v>
      </c>
      <c r="I228" s="22" t="s">
        <v>19309</v>
      </c>
      <c r="J228" s="22" t="s">
        <v>19573</v>
      </c>
      <c r="K228" s="22" t="s">
        <v>19574</v>
      </c>
      <c r="L228" s="22"/>
      <c r="M228" s="22"/>
      <c r="N228" s="25" t="str">
        <f>HYPERLINK("http://slimages.macys.com/is/image/MCY/1586067 ")</f>
        <v xml:space="preserve">http://slimages.macys.com/is/image/MCY/1586067 </v>
      </c>
    </row>
    <row r="229" spans="1:14" ht="24.75" x14ac:dyDescent="0.25">
      <c r="A229" s="21" t="s">
        <v>19099</v>
      </c>
      <c r="B229" s="22" t="s">
        <v>19100</v>
      </c>
      <c r="C229" s="2">
        <v>2</v>
      </c>
      <c r="D229" s="23">
        <v>6.99</v>
      </c>
      <c r="E229" s="3">
        <v>13.98</v>
      </c>
      <c r="F229" s="2" t="s">
        <v>19101</v>
      </c>
      <c r="G229" s="22" t="s">
        <v>19415</v>
      </c>
      <c r="H229" s="24" t="s">
        <v>19384</v>
      </c>
      <c r="I229" s="22" t="s">
        <v>19309</v>
      </c>
      <c r="J229" s="22" t="s">
        <v>19573</v>
      </c>
      <c r="K229" s="22" t="s">
        <v>19574</v>
      </c>
      <c r="L229" s="22"/>
      <c r="M229" s="22"/>
      <c r="N229" s="25" t="str">
        <f>HYPERLINK("http://slimages.macys.com/is/image/MCY/1586067 ")</f>
        <v xml:space="preserve">http://slimages.macys.com/is/image/MCY/1586067 </v>
      </c>
    </row>
    <row r="230" spans="1:14" ht="24.75" x14ac:dyDescent="0.25">
      <c r="A230" s="21" t="s">
        <v>19119</v>
      </c>
      <c r="B230" s="22" t="s">
        <v>19120</v>
      </c>
      <c r="C230" s="2">
        <v>7</v>
      </c>
      <c r="D230" s="23">
        <v>5.99</v>
      </c>
      <c r="E230" s="3">
        <v>41.93</v>
      </c>
      <c r="F230" s="2" t="s">
        <v>19109</v>
      </c>
      <c r="G230" s="22" t="s">
        <v>19670</v>
      </c>
      <c r="H230" s="24" t="s">
        <v>19416</v>
      </c>
      <c r="I230" s="22" t="s">
        <v>19309</v>
      </c>
      <c r="J230" s="22" t="s">
        <v>19573</v>
      </c>
      <c r="K230" s="22" t="s">
        <v>19574</v>
      </c>
      <c r="L230" s="22"/>
      <c r="M230" s="22"/>
      <c r="N230" s="25" t="str">
        <f>HYPERLINK("http://slimages.macys.com/is/image/MCY/1734374 ")</f>
        <v xml:space="preserve">http://slimages.macys.com/is/image/MCY/1734374 </v>
      </c>
    </row>
    <row r="231" spans="1:14" ht="24.75" x14ac:dyDescent="0.25">
      <c r="A231" s="21" t="s">
        <v>8618</v>
      </c>
      <c r="B231" s="22" t="s">
        <v>8619</v>
      </c>
      <c r="C231" s="2">
        <v>18</v>
      </c>
      <c r="D231" s="23">
        <v>7.99</v>
      </c>
      <c r="E231" s="3">
        <v>143.82</v>
      </c>
      <c r="F231" s="2" t="s">
        <v>9696</v>
      </c>
      <c r="G231" s="22" t="s">
        <v>19351</v>
      </c>
      <c r="H231" s="24" t="s">
        <v>19907</v>
      </c>
      <c r="I231" s="22" t="s">
        <v>19309</v>
      </c>
      <c r="J231" s="22" t="s">
        <v>19573</v>
      </c>
      <c r="K231" s="22" t="s">
        <v>19574</v>
      </c>
      <c r="L231" s="22"/>
      <c r="M231" s="22"/>
      <c r="N231" s="25" t="str">
        <f>HYPERLINK("http://slimages.macys.com/is/image/MCY/1610409 ")</f>
        <v xml:space="preserve">http://slimages.macys.com/is/image/MCY/1610409 </v>
      </c>
    </row>
    <row r="232" spans="1:14" ht="24.75" x14ac:dyDescent="0.25">
      <c r="A232" s="21" t="s">
        <v>8154</v>
      </c>
      <c r="B232" s="22" t="s">
        <v>8155</v>
      </c>
      <c r="C232" s="2">
        <v>1</v>
      </c>
      <c r="D232" s="23">
        <v>5.99</v>
      </c>
      <c r="E232" s="3">
        <v>5.99</v>
      </c>
      <c r="F232" s="2" t="s">
        <v>8156</v>
      </c>
      <c r="G232" s="22" t="s">
        <v>19618</v>
      </c>
      <c r="H232" s="24" t="s">
        <v>19538</v>
      </c>
      <c r="I232" s="22" t="s">
        <v>19309</v>
      </c>
      <c r="J232" s="22" t="s">
        <v>19573</v>
      </c>
      <c r="K232" s="22" t="s">
        <v>19574</v>
      </c>
      <c r="L232" s="22"/>
      <c r="M232" s="22"/>
      <c r="N232" s="25" t="str">
        <f>HYPERLINK("http://slimages.macys.com/is/image/MCY/21361700 ")</f>
        <v xml:space="preserve">http://slimages.macys.com/is/image/MCY/21361700 </v>
      </c>
    </row>
    <row r="233" spans="1:14" ht="24.75" x14ac:dyDescent="0.25">
      <c r="A233" s="21" t="s">
        <v>7169</v>
      </c>
      <c r="B233" s="22" t="s">
        <v>7170</v>
      </c>
      <c r="C233" s="2">
        <v>1</v>
      </c>
      <c r="D233" s="23">
        <v>7.99</v>
      </c>
      <c r="E233" s="3">
        <v>7.99</v>
      </c>
      <c r="F233" s="2" t="s">
        <v>11153</v>
      </c>
      <c r="G233" s="22" t="s">
        <v>19467</v>
      </c>
      <c r="H233" s="24" t="s">
        <v>19907</v>
      </c>
      <c r="I233" s="22" t="s">
        <v>19309</v>
      </c>
      <c r="J233" s="22" t="s">
        <v>19573</v>
      </c>
      <c r="K233" s="22" t="s">
        <v>19574</v>
      </c>
      <c r="L233" s="22"/>
      <c r="M233" s="22"/>
      <c r="N233" s="25" t="str">
        <f>HYPERLINK("http://slimages.macys.com/is/image/MCY/20757453 ")</f>
        <v xml:space="preserve">http://slimages.macys.com/is/image/MCY/20757453 </v>
      </c>
    </row>
    <row r="234" spans="1:14" ht="24.75" x14ac:dyDescent="0.25">
      <c r="A234" s="21" t="s">
        <v>11154</v>
      </c>
      <c r="B234" s="22" t="s">
        <v>11155</v>
      </c>
      <c r="C234" s="2">
        <v>21</v>
      </c>
      <c r="D234" s="23">
        <v>5.99</v>
      </c>
      <c r="E234" s="3">
        <v>125.79</v>
      </c>
      <c r="F234" s="2" t="s">
        <v>11156</v>
      </c>
      <c r="G234" s="22" t="s">
        <v>19351</v>
      </c>
      <c r="H234" s="24" t="s">
        <v>19384</v>
      </c>
      <c r="I234" s="22" t="s">
        <v>19309</v>
      </c>
      <c r="J234" s="22" t="s">
        <v>19573</v>
      </c>
      <c r="K234" s="22" t="s">
        <v>19574</v>
      </c>
      <c r="L234" s="22"/>
      <c r="M234" s="22"/>
      <c r="N234" s="25" t="str">
        <f>HYPERLINK("http://slimages.macys.com/is/image/MCY/1586539 ")</f>
        <v xml:space="preserve">http://slimages.macys.com/is/image/MCY/1586539 </v>
      </c>
    </row>
    <row r="235" spans="1:14" ht="24.75" x14ac:dyDescent="0.25">
      <c r="A235" s="21" t="s">
        <v>7171</v>
      </c>
      <c r="B235" s="22" t="s">
        <v>7172</v>
      </c>
      <c r="C235" s="2">
        <v>1</v>
      </c>
      <c r="D235" s="23">
        <v>7.99</v>
      </c>
      <c r="E235" s="3">
        <v>7.99</v>
      </c>
      <c r="F235" s="2">
        <v>64831</v>
      </c>
      <c r="G235" s="22" t="s">
        <v>19674</v>
      </c>
      <c r="H235" s="24" t="s">
        <v>13359</v>
      </c>
      <c r="I235" s="22" t="s">
        <v>19309</v>
      </c>
      <c r="J235" s="22" t="s">
        <v>20076</v>
      </c>
      <c r="K235" s="22" t="s">
        <v>18822</v>
      </c>
      <c r="L235" s="22"/>
      <c r="M235" s="22"/>
      <c r="N235" s="25" t="str">
        <f>HYPERLINK("http://slimages.macys.com/is/image/MCY/20055276 ")</f>
        <v xml:space="preserve">http://slimages.macys.com/is/image/MCY/20055276 </v>
      </c>
    </row>
    <row r="236" spans="1:14" ht="24.75" x14ac:dyDescent="0.25">
      <c r="A236" s="21" t="s">
        <v>9702</v>
      </c>
      <c r="B236" s="22" t="s">
        <v>9703</v>
      </c>
      <c r="C236" s="2">
        <v>11</v>
      </c>
      <c r="D236" s="23">
        <v>5.99</v>
      </c>
      <c r="E236" s="3">
        <v>65.89</v>
      </c>
      <c r="F236" s="2" t="s">
        <v>11156</v>
      </c>
      <c r="G236" s="22" t="s">
        <v>19351</v>
      </c>
      <c r="H236" s="24" t="s">
        <v>19330</v>
      </c>
      <c r="I236" s="22" t="s">
        <v>19309</v>
      </c>
      <c r="J236" s="22" t="s">
        <v>19573</v>
      </c>
      <c r="K236" s="22" t="s">
        <v>19574</v>
      </c>
      <c r="L236" s="22"/>
      <c r="M236" s="22"/>
      <c r="N236" s="25" t="str">
        <f>HYPERLINK("http://slimages.macys.com/is/image/MCY/1586539 ")</f>
        <v xml:space="preserve">http://slimages.macys.com/is/image/MCY/1586539 </v>
      </c>
    </row>
    <row r="237" spans="1:14" ht="24.75" x14ac:dyDescent="0.25">
      <c r="A237" s="21" t="s">
        <v>7173</v>
      </c>
      <c r="B237" s="22" t="s">
        <v>7174</v>
      </c>
      <c r="C237" s="2">
        <v>1</v>
      </c>
      <c r="D237" s="23">
        <v>5.99</v>
      </c>
      <c r="E237" s="3">
        <v>5.99</v>
      </c>
      <c r="F237" s="2" t="s">
        <v>17185</v>
      </c>
      <c r="G237" s="22" t="s">
        <v>19477</v>
      </c>
      <c r="H237" s="24" t="s">
        <v>19384</v>
      </c>
      <c r="I237" s="22" t="s">
        <v>19309</v>
      </c>
      <c r="J237" s="22" t="s">
        <v>19573</v>
      </c>
      <c r="K237" s="22" t="s">
        <v>19574</v>
      </c>
      <c r="L237" s="22"/>
      <c r="M237" s="22"/>
      <c r="N237" s="25" t="str">
        <f>HYPERLINK("http://slimages.macys.com/is/image/MCY/21209257 ")</f>
        <v xml:space="preserve">http://slimages.macys.com/is/image/MCY/21209257 </v>
      </c>
    </row>
    <row r="238" spans="1:14" ht="24.75" x14ac:dyDescent="0.25">
      <c r="A238" s="21" t="s">
        <v>7175</v>
      </c>
      <c r="B238" s="22" t="s">
        <v>7176</v>
      </c>
      <c r="C238" s="2">
        <v>1</v>
      </c>
      <c r="D238" s="23">
        <v>5.99</v>
      </c>
      <c r="E238" s="3">
        <v>5.99</v>
      </c>
      <c r="F238" s="2" t="s">
        <v>19173</v>
      </c>
      <c r="G238" s="22" t="s">
        <v>19585</v>
      </c>
      <c r="H238" s="24" t="s">
        <v>19330</v>
      </c>
      <c r="I238" s="22" t="s">
        <v>19309</v>
      </c>
      <c r="J238" s="22" t="s">
        <v>19573</v>
      </c>
      <c r="K238" s="22" t="s">
        <v>19574</v>
      </c>
      <c r="L238" s="22"/>
      <c r="M238" s="22"/>
      <c r="N238" s="25" t="str">
        <f>HYPERLINK("http://slimages.macys.com/is/image/MCY/20547842 ")</f>
        <v xml:space="preserve">http://slimages.macys.com/is/image/MCY/20547842 </v>
      </c>
    </row>
    <row r="239" spans="1:14" ht="24.75" x14ac:dyDescent="0.25">
      <c r="A239" s="21" t="s">
        <v>14865</v>
      </c>
      <c r="B239" s="22" t="s">
        <v>14866</v>
      </c>
      <c r="C239" s="2">
        <v>40</v>
      </c>
      <c r="D239" s="23">
        <v>5.99</v>
      </c>
      <c r="E239" s="3">
        <v>239.6</v>
      </c>
      <c r="F239" s="2" t="s">
        <v>19170</v>
      </c>
      <c r="G239" s="22" t="s">
        <v>19906</v>
      </c>
      <c r="H239" s="24" t="s">
        <v>19384</v>
      </c>
      <c r="I239" s="22" t="s">
        <v>19309</v>
      </c>
      <c r="J239" s="22" t="s">
        <v>19573</v>
      </c>
      <c r="K239" s="22" t="s">
        <v>19574</v>
      </c>
      <c r="L239" s="22"/>
      <c r="M239" s="22"/>
      <c r="N239" s="25" t="str">
        <f>HYPERLINK("http://slimages.macys.com/is/image/MCY/21361119 ")</f>
        <v xml:space="preserve">http://slimages.macys.com/is/image/MCY/21361119 </v>
      </c>
    </row>
    <row r="240" spans="1:14" ht="24.75" x14ac:dyDescent="0.25">
      <c r="A240" s="21" t="s">
        <v>7177</v>
      </c>
      <c r="B240" s="22" t="s">
        <v>7178</v>
      </c>
      <c r="C240" s="2">
        <v>1</v>
      </c>
      <c r="D240" s="23">
        <v>6.99</v>
      </c>
      <c r="E240" s="3">
        <v>6.99</v>
      </c>
      <c r="F240" s="2" t="s">
        <v>17155</v>
      </c>
      <c r="G240" s="22" t="s">
        <v>19618</v>
      </c>
      <c r="H240" s="24" t="s">
        <v>19324</v>
      </c>
      <c r="I240" s="22" t="s">
        <v>19309</v>
      </c>
      <c r="J240" s="22" t="s">
        <v>19573</v>
      </c>
      <c r="K240" s="22" t="s">
        <v>19574</v>
      </c>
      <c r="L240" s="22"/>
      <c r="M240" s="22"/>
      <c r="N240" s="25" t="str">
        <f>HYPERLINK("http://slimages.macys.com/is/image/MCY/19762874 ")</f>
        <v xml:space="preserve">http://slimages.macys.com/is/image/MCY/19762874 </v>
      </c>
    </row>
    <row r="241" spans="1:14" ht="24.75" x14ac:dyDescent="0.25">
      <c r="A241" s="21" t="s">
        <v>19183</v>
      </c>
      <c r="B241" s="22" t="s">
        <v>19184</v>
      </c>
      <c r="C241" s="2">
        <v>1</v>
      </c>
      <c r="D241" s="23">
        <v>5.99</v>
      </c>
      <c r="E241" s="3">
        <v>5.99</v>
      </c>
      <c r="F241" s="2" t="s">
        <v>19180</v>
      </c>
      <c r="G241" s="22" t="s">
        <v>19477</v>
      </c>
      <c r="H241" s="24" t="s">
        <v>19324</v>
      </c>
      <c r="I241" s="22" t="s">
        <v>19309</v>
      </c>
      <c r="J241" s="22" t="s">
        <v>19573</v>
      </c>
      <c r="K241" s="22" t="s">
        <v>19574</v>
      </c>
      <c r="L241" s="22"/>
      <c r="M241" s="22"/>
      <c r="N241" s="25" t="str">
        <f>HYPERLINK("http://slimages.macys.com/is/image/MCY/1521974 ")</f>
        <v xml:space="preserve">http://slimages.macys.com/is/image/MCY/1521974 </v>
      </c>
    </row>
    <row r="242" spans="1:14" ht="24.75" x14ac:dyDescent="0.25">
      <c r="A242" s="21" t="s">
        <v>7179</v>
      </c>
      <c r="B242" s="22" t="s">
        <v>7180</v>
      </c>
      <c r="C242" s="2">
        <v>1</v>
      </c>
      <c r="D242" s="23">
        <v>6.99</v>
      </c>
      <c r="E242" s="3">
        <v>6.99</v>
      </c>
      <c r="F242" s="2" t="s">
        <v>17155</v>
      </c>
      <c r="G242" s="22" t="s">
        <v>19955</v>
      </c>
      <c r="H242" s="24" t="s">
        <v>19416</v>
      </c>
      <c r="I242" s="22" t="s">
        <v>19309</v>
      </c>
      <c r="J242" s="22" t="s">
        <v>19573</v>
      </c>
      <c r="K242" s="22" t="s">
        <v>19574</v>
      </c>
      <c r="L242" s="22"/>
      <c r="M242" s="22"/>
      <c r="N242" s="25" t="str">
        <f>HYPERLINK("http://slimages.macys.com/is/image/MCY/19762874 ")</f>
        <v xml:space="preserve">http://slimages.macys.com/is/image/MCY/19762874 </v>
      </c>
    </row>
    <row r="243" spans="1:14" ht="24.75" x14ac:dyDescent="0.25">
      <c r="A243" s="21" t="s">
        <v>7181</v>
      </c>
      <c r="B243" s="22" t="s">
        <v>7182</v>
      </c>
      <c r="C243" s="2">
        <v>1</v>
      </c>
      <c r="D243" s="23">
        <v>5.99</v>
      </c>
      <c r="E243" s="3">
        <v>5.99</v>
      </c>
      <c r="F243" s="2" t="s">
        <v>17203</v>
      </c>
      <c r="G243" s="22" t="s">
        <v>19415</v>
      </c>
      <c r="H243" s="24" t="s">
        <v>19330</v>
      </c>
      <c r="I243" s="22" t="s">
        <v>19309</v>
      </c>
      <c r="J243" s="22" t="s">
        <v>19573</v>
      </c>
      <c r="K243" s="22" t="s">
        <v>19574</v>
      </c>
      <c r="L243" s="22"/>
      <c r="M243" s="22"/>
      <c r="N243" s="25" t="str">
        <f>HYPERLINK("http://slimages.macys.com/is/image/MCY/20757989 ")</f>
        <v xml:space="preserve">http://slimages.macys.com/is/image/MCY/20757989 </v>
      </c>
    </row>
    <row r="244" spans="1:14" ht="24.75" x14ac:dyDescent="0.25">
      <c r="A244" s="21" t="s">
        <v>7183</v>
      </c>
      <c r="B244" s="22" t="s">
        <v>7184</v>
      </c>
      <c r="C244" s="2">
        <v>1</v>
      </c>
      <c r="D244" s="23">
        <v>5.99</v>
      </c>
      <c r="E244" s="3">
        <v>5.99</v>
      </c>
      <c r="F244" s="2" t="s">
        <v>17203</v>
      </c>
      <c r="G244" s="22" t="s">
        <v>19415</v>
      </c>
      <c r="H244" s="24" t="s">
        <v>19324</v>
      </c>
      <c r="I244" s="22" t="s">
        <v>19309</v>
      </c>
      <c r="J244" s="22" t="s">
        <v>19573</v>
      </c>
      <c r="K244" s="22" t="s">
        <v>19574</v>
      </c>
      <c r="L244" s="22"/>
      <c r="M244" s="22"/>
      <c r="N244" s="25" t="str">
        <f>HYPERLINK("http://slimages.macys.com/is/image/MCY/20757989 ")</f>
        <v xml:space="preserve">http://slimages.macys.com/is/image/MCY/20757989 </v>
      </c>
    </row>
    <row r="245" spans="1:14" ht="24.75" x14ac:dyDescent="0.25">
      <c r="A245" s="21" t="s">
        <v>7185</v>
      </c>
      <c r="B245" s="22" t="s">
        <v>7186</v>
      </c>
      <c r="C245" s="2">
        <v>1</v>
      </c>
      <c r="D245" s="23">
        <v>5.99</v>
      </c>
      <c r="E245" s="3">
        <v>5.99</v>
      </c>
      <c r="F245" s="2" t="s">
        <v>8375</v>
      </c>
      <c r="G245" s="22" t="s">
        <v>19674</v>
      </c>
      <c r="H245" s="24" t="s">
        <v>19324</v>
      </c>
      <c r="I245" s="22" t="s">
        <v>19309</v>
      </c>
      <c r="J245" s="22" t="s">
        <v>19573</v>
      </c>
      <c r="K245" s="22" t="s">
        <v>19574</v>
      </c>
      <c r="L245" s="22"/>
      <c r="M245" s="22"/>
      <c r="N245" s="25" t="str">
        <f>HYPERLINK("http://slimages.macys.com/is/image/MCY/20385946 ")</f>
        <v xml:space="preserve">http://slimages.macys.com/is/image/MCY/20385946 </v>
      </c>
    </row>
    <row r="246" spans="1:14" ht="24.75" x14ac:dyDescent="0.25">
      <c r="A246" s="21" t="s">
        <v>7187</v>
      </c>
      <c r="B246" s="22" t="s">
        <v>7188</v>
      </c>
      <c r="C246" s="2">
        <v>36</v>
      </c>
      <c r="D246" s="23">
        <v>6.99</v>
      </c>
      <c r="E246" s="3">
        <v>251.64</v>
      </c>
      <c r="F246" s="2" t="s">
        <v>7189</v>
      </c>
      <c r="G246" s="22" t="s">
        <v>19415</v>
      </c>
      <c r="H246" s="24" t="s">
        <v>19538</v>
      </c>
      <c r="I246" s="22" t="s">
        <v>19309</v>
      </c>
      <c r="J246" s="22" t="s">
        <v>19573</v>
      </c>
      <c r="K246" s="22" t="s">
        <v>19574</v>
      </c>
      <c r="L246" s="22"/>
      <c r="M246" s="22"/>
      <c r="N246" s="25" t="str">
        <f>HYPERLINK("http://slimages.macys.com/is/image/MCY/19217379 ")</f>
        <v xml:space="preserve">http://slimages.macys.com/is/image/MCY/19217379 </v>
      </c>
    </row>
    <row r="247" spans="1:14" ht="24.75" x14ac:dyDescent="0.25">
      <c r="A247" s="21" t="s">
        <v>9715</v>
      </c>
      <c r="B247" s="22" t="s">
        <v>9716</v>
      </c>
      <c r="C247" s="2">
        <v>29</v>
      </c>
      <c r="D247" s="23">
        <v>5.99</v>
      </c>
      <c r="E247" s="3">
        <v>173.71</v>
      </c>
      <c r="F247" s="2" t="s">
        <v>17203</v>
      </c>
      <c r="G247" s="22" t="s">
        <v>19585</v>
      </c>
      <c r="H247" s="24" t="s">
        <v>19384</v>
      </c>
      <c r="I247" s="22" t="s">
        <v>19309</v>
      </c>
      <c r="J247" s="22" t="s">
        <v>19573</v>
      </c>
      <c r="K247" s="22" t="s">
        <v>19574</v>
      </c>
      <c r="L247" s="22"/>
      <c r="M247" s="22"/>
      <c r="N247" s="25" t="str">
        <f>HYPERLINK("http://slimages.macys.com/is/image/MCY/20757989 ")</f>
        <v xml:space="preserve">http://slimages.macys.com/is/image/MCY/20757989 </v>
      </c>
    </row>
    <row r="248" spans="1:14" ht="24.75" x14ac:dyDescent="0.25">
      <c r="A248" s="21" t="s">
        <v>8628</v>
      </c>
      <c r="B248" s="22" t="s">
        <v>8629</v>
      </c>
      <c r="C248" s="2">
        <v>3</v>
      </c>
      <c r="D248" s="23">
        <v>5.99</v>
      </c>
      <c r="E248" s="3">
        <v>17.97</v>
      </c>
      <c r="F248" s="2" t="s">
        <v>17203</v>
      </c>
      <c r="G248" s="22" t="s">
        <v>19467</v>
      </c>
      <c r="H248" s="24" t="s">
        <v>19416</v>
      </c>
      <c r="I248" s="22" t="s">
        <v>19309</v>
      </c>
      <c r="J248" s="22" t="s">
        <v>19573</v>
      </c>
      <c r="K248" s="22" t="s">
        <v>19574</v>
      </c>
      <c r="L248" s="22"/>
      <c r="M248" s="22"/>
      <c r="N248" s="25" t="str">
        <f>HYPERLINK("http://slimages.macys.com/is/image/MCY/20757989 ")</f>
        <v xml:space="preserve">http://slimages.macys.com/is/image/MCY/20757989 </v>
      </c>
    </row>
    <row r="249" spans="1:14" ht="24.75" x14ac:dyDescent="0.25">
      <c r="A249" s="21" t="s">
        <v>8161</v>
      </c>
      <c r="B249" s="22" t="s">
        <v>8162</v>
      </c>
      <c r="C249" s="2">
        <v>18</v>
      </c>
      <c r="D249" s="23">
        <v>5.99</v>
      </c>
      <c r="E249" s="3">
        <v>107.82</v>
      </c>
      <c r="F249" s="2" t="s">
        <v>17203</v>
      </c>
      <c r="G249" s="22" t="s">
        <v>19467</v>
      </c>
      <c r="H249" s="24" t="s">
        <v>19330</v>
      </c>
      <c r="I249" s="22" t="s">
        <v>19309</v>
      </c>
      <c r="J249" s="22" t="s">
        <v>19573</v>
      </c>
      <c r="K249" s="22" t="s">
        <v>19574</v>
      </c>
      <c r="L249" s="22"/>
      <c r="M249" s="22"/>
      <c r="N249" s="25" t="str">
        <f>HYPERLINK("http://slimages.macys.com/is/image/MCY/20757989 ")</f>
        <v xml:space="preserve">http://slimages.macys.com/is/image/MCY/20757989 </v>
      </c>
    </row>
    <row r="250" spans="1:14" ht="24.75" x14ac:dyDescent="0.25">
      <c r="A250" s="21" t="s">
        <v>7190</v>
      </c>
      <c r="B250" s="22" t="s">
        <v>7191</v>
      </c>
      <c r="C250" s="2">
        <v>1</v>
      </c>
      <c r="D250" s="23">
        <v>7.99</v>
      </c>
      <c r="E250" s="3">
        <v>7.99</v>
      </c>
      <c r="F250" s="2" t="s">
        <v>10727</v>
      </c>
      <c r="G250" s="22" t="s">
        <v>19462</v>
      </c>
      <c r="H250" s="24" t="s">
        <v>20135</v>
      </c>
      <c r="I250" s="22" t="s">
        <v>19309</v>
      </c>
      <c r="J250" s="22" t="s">
        <v>19573</v>
      </c>
      <c r="K250" s="22" t="s">
        <v>19574</v>
      </c>
      <c r="L250" s="22"/>
      <c r="M250" s="22"/>
      <c r="N250" s="25" t="str">
        <f>HYPERLINK("http://slimages.macys.com/is/image/MCY/20757965 ")</f>
        <v xml:space="preserve">http://slimages.macys.com/is/image/MCY/20757965 </v>
      </c>
    </row>
    <row r="251" spans="1:14" ht="24.75" x14ac:dyDescent="0.25">
      <c r="A251" s="21" t="s">
        <v>8165</v>
      </c>
      <c r="B251" s="22" t="s">
        <v>8166</v>
      </c>
      <c r="C251" s="2">
        <v>72</v>
      </c>
      <c r="D251" s="23">
        <v>5.99</v>
      </c>
      <c r="E251" s="3">
        <v>431.28</v>
      </c>
      <c r="F251" s="2" t="s">
        <v>17203</v>
      </c>
      <c r="G251" s="22" t="s">
        <v>19467</v>
      </c>
      <c r="H251" s="24" t="s">
        <v>19384</v>
      </c>
      <c r="I251" s="22" t="s">
        <v>19309</v>
      </c>
      <c r="J251" s="22" t="s">
        <v>19573</v>
      </c>
      <c r="K251" s="22" t="s">
        <v>19574</v>
      </c>
      <c r="L251" s="22"/>
      <c r="M251" s="22"/>
      <c r="N251" s="25" t="str">
        <f>HYPERLINK("http://slimages.macys.com/is/image/MCY/20757989 ")</f>
        <v xml:space="preserve">http://slimages.macys.com/is/image/MCY/20757989 </v>
      </c>
    </row>
    <row r="252" spans="1:14" ht="24.75" x14ac:dyDescent="0.25">
      <c r="A252" s="21" t="s">
        <v>8380</v>
      </c>
      <c r="B252" s="22" t="s">
        <v>8381</v>
      </c>
      <c r="C252" s="2">
        <v>17</v>
      </c>
      <c r="D252" s="23">
        <v>5.99</v>
      </c>
      <c r="E252" s="3">
        <v>101.83</v>
      </c>
      <c r="F252" s="2" t="s">
        <v>17203</v>
      </c>
      <c r="G252" s="22" t="s">
        <v>19585</v>
      </c>
      <c r="H252" s="24" t="s">
        <v>19324</v>
      </c>
      <c r="I252" s="22" t="s">
        <v>19309</v>
      </c>
      <c r="J252" s="22" t="s">
        <v>19573</v>
      </c>
      <c r="K252" s="22" t="s">
        <v>19574</v>
      </c>
      <c r="L252" s="22"/>
      <c r="M252" s="22"/>
      <c r="N252" s="25" t="str">
        <f>HYPERLINK("http://slimages.macys.com/is/image/MCY/20757989 ")</f>
        <v xml:space="preserve">http://slimages.macys.com/is/image/MCY/20757989 </v>
      </c>
    </row>
    <row r="253" spans="1:14" ht="24.75" x14ac:dyDescent="0.25">
      <c r="A253" s="21" t="s">
        <v>7192</v>
      </c>
      <c r="B253" s="22" t="s">
        <v>7193</v>
      </c>
      <c r="C253" s="2">
        <v>26</v>
      </c>
      <c r="D253" s="23">
        <v>5.99</v>
      </c>
      <c r="E253" s="3">
        <v>155.74</v>
      </c>
      <c r="F253" s="2" t="s">
        <v>17203</v>
      </c>
      <c r="G253" s="22" t="s">
        <v>19467</v>
      </c>
      <c r="H253" s="24" t="s">
        <v>19538</v>
      </c>
      <c r="I253" s="22" t="s">
        <v>19309</v>
      </c>
      <c r="J253" s="22" t="s">
        <v>19573</v>
      </c>
      <c r="K253" s="22" t="s">
        <v>19574</v>
      </c>
      <c r="L253" s="22"/>
      <c r="M253" s="22"/>
      <c r="N253" s="25" t="str">
        <f>HYPERLINK("http://slimages.macys.com/is/image/MCY/20757989 ")</f>
        <v xml:space="preserve">http://slimages.macys.com/is/image/MCY/20757989 </v>
      </c>
    </row>
    <row r="254" spans="1:14" ht="24.75" x14ac:dyDescent="0.25">
      <c r="A254" s="21" t="s">
        <v>7194</v>
      </c>
      <c r="B254" s="22" t="s">
        <v>7195</v>
      </c>
      <c r="C254" s="2">
        <v>1</v>
      </c>
      <c r="D254" s="23">
        <v>5.99</v>
      </c>
      <c r="E254" s="3">
        <v>5.99</v>
      </c>
      <c r="F254" s="2" t="s">
        <v>7196</v>
      </c>
      <c r="G254" s="22" t="s">
        <v>19585</v>
      </c>
      <c r="H254" s="24" t="s">
        <v>19324</v>
      </c>
      <c r="I254" s="22" t="s">
        <v>19309</v>
      </c>
      <c r="J254" s="22" t="s">
        <v>19573</v>
      </c>
      <c r="K254" s="22" t="s">
        <v>19574</v>
      </c>
      <c r="L254" s="22"/>
      <c r="M254" s="22"/>
      <c r="N254" s="25" t="str">
        <f>HYPERLINK("http://slimages.macys.com/is/image/MCY/20757623 ")</f>
        <v xml:space="preserve">http://slimages.macys.com/is/image/MCY/20757623 </v>
      </c>
    </row>
    <row r="255" spans="1:14" ht="24.75" x14ac:dyDescent="0.25">
      <c r="A255" s="21" t="s">
        <v>7197</v>
      </c>
      <c r="B255" s="22" t="s">
        <v>7198</v>
      </c>
      <c r="C255" s="2">
        <v>1</v>
      </c>
      <c r="D255" s="23">
        <v>5.99</v>
      </c>
      <c r="E255" s="3">
        <v>5.99</v>
      </c>
      <c r="F255" s="2" t="s">
        <v>8169</v>
      </c>
      <c r="G255" s="22" t="s">
        <v>19351</v>
      </c>
      <c r="H255" s="24" t="s">
        <v>19330</v>
      </c>
      <c r="I255" s="22" t="s">
        <v>19309</v>
      </c>
      <c r="J255" s="22" t="s">
        <v>19573</v>
      </c>
      <c r="K255" s="22" t="s">
        <v>19574</v>
      </c>
      <c r="L255" s="22"/>
      <c r="M255" s="22"/>
      <c r="N255" s="25" t="str">
        <f>HYPERLINK("http://slimages.macys.com/is/image/MCY/21371425 ")</f>
        <v xml:space="preserve">http://slimages.macys.com/is/image/MCY/21371425 </v>
      </c>
    </row>
    <row r="256" spans="1:14" ht="24.75" x14ac:dyDescent="0.25">
      <c r="A256" s="21" t="s">
        <v>8167</v>
      </c>
      <c r="B256" s="22" t="s">
        <v>8168</v>
      </c>
      <c r="C256" s="2">
        <v>1</v>
      </c>
      <c r="D256" s="23">
        <v>5.99</v>
      </c>
      <c r="E256" s="3">
        <v>5.99</v>
      </c>
      <c r="F256" s="2" t="s">
        <v>8169</v>
      </c>
      <c r="G256" s="22" t="s">
        <v>19351</v>
      </c>
      <c r="H256" s="24" t="s">
        <v>19384</v>
      </c>
      <c r="I256" s="22" t="s">
        <v>19309</v>
      </c>
      <c r="J256" s="22" t="s">
        <v>19573</v>
      </c>
      <c r="K256" s="22" t="s">
        <v>19574</v>
      </c>
      <c r="L256" s="22"/>
      <c r="M256" s="22"/>
      <c r="N256" s="25" t="str">
        <f>HYPERLINK("http://slimages.macys.com/is/image/MCY/21371425 ")</f>
        <v xml:space="preserve">http://slimages.macys.com/is/image/MCY/21371425 </v>
      </c>
    </row>
    <row r="257" spans="1:14" ht="24.75" x14ac:dyDescent="0.25">
      <c r="A257" s="21" t="s">
        <v>7199</v>
      </c>
      <c r="B257" s="22" t="s">
        <v>7200</v>
      </c>
      <c r="C257" s="2">
        <v>9</v>
      </c>
      <c r="D257" s="23">
        <v>5.99</v>
      </c>
      <c r="E257" s="3">
        <v>53.91</v>
      </c>
      <c r="F257" s="2" t="s">
        <v>8384</v>
      </c>
      <c r="G257" s="22" t="s">
        <v>19618</v>
      </c>
      <c r="H257" s="24" t="s">
        <v>19324</v>
      </c>
      <c r="I257" s="22" t="s">
        <v>19309</v>
      </c>
      <c r="J257" s="22" t="s">
        <v>19573</v>
      </c>
      <c r="K257" s="22" t="s">
        <v>19574</v>
      </c>
      <c r="L257" s="22"/>
      <c r="M257" s="22"/>
      <c r="N257" s="25" t="str">
        <f>HYPERLINK("http://slimages.macys.com/is/image/MCY/1587127 ")</f>
        <v xml:space="preserve">http://slimages.macys.com/is/image/MCY/1587127 </v>
      </c>
    </row>
    <row r="258" spans="1:14" ht="24.75" x14ac:dyDescent="0.25">
      <c r="A258" s="21" t="s">
        <v>8382</v>
      </c>
      <c r="B258" s="22" t="s">
        <v>8383</v>
      </c>
      <c r="C258" s="2">
        <v>1</v>
      </c>
      <c r="D258" s="23">
        <v>5.99</v>
      </c>
      <c r="E258" s="3">
        <v>5.99</v>
      </c>
      <c r="F258" s="2" t="s">
        <v>8384</v>
      </c>
      <c r="G258" s="22" t="s">
        <v>19618</v>
      </c>
      <c r="H258" s="24" t="s">
        <v>19330</v>
      </c>
      <c r="I258" s="22" t="s">
        <v>19309</v>
      </c>
      <c r="J258" s="22" t="s">
        <v>19573</v>
      </c>
      <c r="K258" s="22" t="s">
        <v>19574</v>
      </c>
      <c r="L258" s="22"/>
      <c r="M258" s="22"/>
      <c r="N258" s="25" t="str">
        <f>HYPERLINK("http://slimages.macys.com/is/image/MCY/21371487 ")</f>
        <v xml:space="preserve">http://slimages.macys.com/is/image/MCY/21371487 </v>
      </c>
    </row>
    <row r="259" spans="1:14" ht="24.75" x14ac:dyDescent="0.25">
      <c r="A259" s="21" t="s">
        <v>10740</v>
      </c>
      <c r="B259" s="22" t="s">
        <v>10741</v>
      </c>
      <c r="C259" s="2">
        <v>1</v>
      </c>
      <c r="D259" s="23">
        <v>5.99</v>
      </c>
      <c r="E259" s="3">
        <v>5.99</v>
      </c>
      <c r="F259" s="2" t="s">
        <v>19254</v>
      </c>
      <c r="G259" s="22" t="s">
        <v>19431</v>
      </c>
      <c r="H259" s="24" t="s">
        <v>19538</v>
      </c>
      <c r="I259" s="22" t="s">
        <v>19309</v>
      </c>
      <c r="J259" s="22" t="s">
        <v>19573</v>
      </c>
      <c r="K259" s="22" t="s">
        <v>19574</v>
      </c>
      <c r="L259" s="22"/>
      <c r="M259" s="22"/>
      <c r="N259" s="25" t="str">
        <f>HYPERLINK("http://slimages.macys.com/is/image/MCY/21209124 ")</f>
        <v xml:space="preserve">http://slimages.macys.com/is/image/MCY/21209124 </v>
      </c>
    </row>
    <row r="260" spans="1:14" ht="24.75" x14ac:dyDescent="0.25">
      <c r="A260" s="21" t="s">
        <v>7201</v>
      </c>
      <c r="B260" s="22" t="s">
        <v>7202</v>
      </c>
      <c r="C260" s="2">
        <v>1</v>
      </c>
      <c r="D260" s="23">
        <v>5.99</v>
      </c>
      <c r="E260" s="3">
        <v>5.99</v>
      </c>
      <c r="F260" s="2" t="s">
        <v>9727</v>
      </c>
      <c r="G260" s="22" t="s">
        <v>19618</v>
      </c>
      <c r="H260" s="24" t="s">
        <v>19384</v>
      </c>
      <c r="I260" s="22" t="s">
        <v>19309</v>
      </c>
      <c r="J260" s="22" t="s">
        <v>19573</v>
      </c>
      <c r="K260" s="22" t="s">
        <v>19574</v>
      </c>
      <c r="L260" s="22"/>
      <c r="M260" s="22"/>
      <c r="N260" s="25" t="str">
        <f>HYPERLINK("http://slimages.macys.com/is/image/MCY/21361762 ")</f>
        <v xml:space="preserve">http://slimages.macys.com/is/image/MCY/21361762 </v>
      </c>
    </row>
    <row r="261" spans="1:14" ht="24.75" x14ac:dyDescent="0.25">
      <c r="A261" s="21" t="s">
        <v>10182</v>
      </c>
      <c r="B261" s="22" t="s">
        <v>10183</v>
      </c>
      <c r="C261" s="2">
        <v>61</v>
      </c>
      <c r="D261" s="23">
        <v>7.99</v>
      </c>
      <c r="E261" s="3">
        <v>487.39</v>
      </c>
      <c r="F261" s="2" t="s">
        <v>10744</v>
      </c>
      <c r="G261" s="22" t="s">
        <v>19431</v>
      </c>
      <c r="H261" s="24" t="s">
        <v>19907</v>
      </c>
      <c r="I261" s="22" t="s">
        <v>19309</v>
      </c>
      <c r="J261" s="22" t="s">
        <v>19573</v>
      </c>
      <c r="K261" s="22" t="s">
        <v>19574</v>
      </c>
      <c r="L261" s="22"/>
      <c r="M261" s="22"/>
      <c r="N261" s="25" t="str">
        <f>HYPERLINK("http://slimages.macys.com/is/image/MCY/21209287 ")</f>
        <v xml:space="preserve">http://slimages.macys.com/is/image/MCY/21209287 </v>
      </c>
    </row>
    <row r="262" spans="1:14" ht="24.75" x14ac:dyDescent="0.25">
      <c r="A262" s="21" t="s">
        <v>8385</v>
      </c>
      <c r="B262" s="22" t="s">
        <v>8386</v>
      </c>
      <c r="C262" s="2">
        <v>9</v>
      </c>
      <c r="D262" s="23">
        <v>5.99</v>
      </c>
      <c r="E262" s="3">
        <v>53.91</v>
      </c>
      <c r="F262" s="2" t="s">
        <v>11171</v>
      </c>
      <c r="G262" s="22" t="s">
        <v>19351</v>
      </c>
      <c r="H262" s="24" t="s">
        <v>19538</v>
      </c>
      <c r="I262" s="22" t="s">
        <v>19309</v>
      </c>
      <c r="J262" s="22" t="s">
        <v>19573</v>
      </c>
      <c r="K262" s="22" t="s">
        <v>19574</v>
      </c>
      <c r="L262" s="22"/>
      <c r="M262" s="22"/>
      <c r="N262" s="25" t="str">
        <f>HYPERLINK("http://slimages.macys.com/is/image/MCY/21371479 ")</f>
        <v xml:space="preserve">http://slimages.macys.com/is/image/MCY/21371479 </v>
      </c>
    </row>
    <row r="263" spans="1:14" ht="24.75" x14ac:dyDescent="0.25">
      <c r="A263" s="21" t="s">
        <v>8174</v>
      </c>
      <c r="B263" s="22" t="s">
        <v>8175</v>
      </c>
      <c r="C263" s="2">
        <v>12</v>
      </c>
      <c r="D263" s="23">
        <v>5.99</v>
      </c>
      <c r="E263" s="3">
        <v>71.88</v>
      </c>
      <c r="F263" s="2" t="s">
        <v>9721</v>
      </c>
      <c r="G263" s="22" t="s">
        <v>19351</v>
      </c>
      <c r="H263" s="24" t="s">
        <v>19416</v>
      </c>
      <c r="I263" s="22" t="s">
        <v>19309</v>
      </c>
      <c r="J263" s="22" t="s">
        <v>19573</v>
      </c>
      <c r="K263" s="22" t="s">
        <v>19574</v>
      </c>
      <c r="L263" s="22"/>
      <c r="M263" s="22"/>
      <c r="N263" s="25" t="str">
        <f>HYPERLINK("http://slimages.macys.com/is/image/MCY/21371491 ")</f>
        <v xml:space="preserve">http://slimages.macys.com/is/image/MCY/21371491 </v>
      </c>
    </row>
    <row r="264" spans="1:14" ht="24.75" x14ac:dyDescent="0.25">
      <c r="A264" s="21" t="s">
        <v>7203</v>
      </c>
      <c r="B264" s="22" t="s">
        <v>7204</v>
      </c>
      <c r="C264" s="2">
        <v>1</v>
      </c>
      <c r="D264" s="23">
        <v>5.99</v>
      </c>
      <c r="E264" s="3">
        <v>5.99</v>
      </c>
      <c r="F264" s="2" t="s">
        <v>14949</v>
      </c>
      <c r="G264" s="22" t="s">
        <v>19518</v>
      </c>
      <c r="H264" s="24" t="s">
        <v>19538</v>
      </c>
      <c r="I264" s="22" t="s">
        <v>19309</v>
      </c>
      <c r="J264" s="22" t="s">
        <v>19573</v>
      </c>
      <c r="K264" s="22" t="s">
        <v>19574</v>
      </c>
      <c r="L264" s="22"/>
      <c r="M264" s="22"/>
      <c r="N264" s="25" t="str">
        <f>HYPERLINK("http://slimages.macys.com/is/image/MCY/20555230 ")</f>
        <v xml:space="preserve">http://slimages.macys.com/is/image/MCY/20555230 </v>
      </c>
    </row>
    <row r="265" spans="1:14" ht="24.75" x14ac:dyDescent="0.25">
      <c r="A265" s="21" t="s">
        <v>9730</v>
      </c>
      <c r="B265" s="22" t="s">
        <v>9731</v>
      </c>
      <c r="C265" s="2">
        <v>6</v>
      </c>
      <c r="D265" s="23">
        <v>7.99</v>
      </c>
      <c r="E265" s="3">
        <v>47.94</v>
      </c>
      <c r="F265" s="2" t="s">
        <v>10744</v>
      </c>
      <c r="G265" s="22" t="s">
        <v>19431</v>
      </c>
      <c r="H265" s="24" t="s">
        <v>20089</v>
      </c>
      <c r="I265" s="22" t="s">
        <v>19309</v>
      </c>
      <c r="J265" s="22" t="s">
        <v>19573</v>
      </c>
      <c r="K265" s="22" t="s">
        <v>19574</v>
      </c>
      <c r="L265" s="22"/>
      <c r="M265" s="22"/>
      <c r="N265" s="25" t="str">
        <f>HYPERLINK("http://slimages.macys.com/is/image/MCY/21209287 ")</f>
        <v xml:space="preserve">http://slimages.macys.com/is/image/MCY/21209287 </v>
      </c>
    </row>
    <row r="266" spans="1:14" ht="24.75" x14ac:dyDescent="0.25">
      <c r="A266" s="21" t="s">
        <v>7205</v>
      </c>
      <c r="B266" s="22" t="s">
        <v>7206</v>
      </c>
      <c r="C266" s="2">
        <v>1</v>
      </c>
      <c r="D266" s="23">
        <v>5.99</v>
      </c>
      <c r="E266" s="3">
        <v>5.99</v>
      </c>
      <c r="F266" s="2" t="s">
        <v>7207</v>
      </c>
      <c r="G266" s="22" t="s">
        <v>19467</v>
      </c>
      <c r="H266" s="24" t="s">
        <v>19416</v>
      </c>
      <c r="I266" s="22" t="s">
        <v>19309</v>
      </c>
      <c r="J266" s="22" t="s">
        <v>19573</v>
      </c>
      <c r="K266" s="22" t="s">
        <v>19574</v>
      </c>
      <c r="L266" s="22"/>
      <c r="M266" s="22"/>
      <c r="N266" s="25" t="str">
        <f>HYPERLINK("http://slimages.macys.com/is/image/MCY/20436622 ")</f>
        <v xml:space="preserve">http://slimages.macys.com/is/image/MCY/20436622 </v>
      </c>
    </row>
    <row r="267" spans="1:14" ht="24.75" x14ac:dyDescent="0.25">
      <c r="A267" s="21" t="s">
        <v>9734</v>
      </c>
      <c r="B267" s="22" t="s">
        <v>9735</v>
      </c>
      <c r="C267" s="2">
        <v>3</v>
      </c>
      <c r="D267" s="23">
        <v>5.99</v>
      </c>
      <c r="E267" s="3">
        <v>17.97</v>
      </c>
      <c r="F267" s="2" t="s">
        <v>17245</v>
      </c>
      <c r="G267" s="22" t="s">
        <v>19794</v>
      </c>
      <c r="H267" s="24" t="s">
        <v>19324</v>
      </c>
      <c r="I267" s="22" t="s">
        <v>19309</v>
      </c>
      <c r="J267" s="22" t="s">
        <v>19573</v>
      </c>
      <c r="K267" s="22" t="s">
        <v>19574</v>
      </c>
      <c r="L267" s="22"/>
      <c r="M267" s="22"/>
      <c r="N267" s="25" t="str">
        <f>HYPERLINK("http://slimages.macys.com/is/image/MCY/1523158 ")</f>
        <v xml:space="preserve">http://slimages.macys.com/is/image/MCY/1523158 </v>
      </c>
    </row>
    <row r="268" spans="1:14" ht="24.75" x14ac:dyDescent="0.25">
      <c r="A268" s="21" t="s">
        <v>9736</v>
      </c>
      <c r="B268" s="22" t="s">
        <v>9737</v>
      </c>
      <c r="C268" s="2">
        <v>1</v>
      </c>
      <c r="D268" s="23">
        <v>5.99</v>
      </c>
      <c r="E268" s="3">
        <v>5.99</v>
      </c>
      <c r="F268" s="2" t="s">
        <v>17245</v>
      </c>
      <c r="G268" s="22" t="s">
        <v>19670</v>
      </c>
      <c r="H268" s="24" t="s">
        <v>19330</v>
      </c>
      <c r="I268" s="22" t="s">
        <v>19309</v>
      </c>
      <c r="J268" s="22" t="s">
        <v>19573</v>
      </c>
      <c r="K268" s="22" t="s">
        <v>19574</v>
      </c>
      <c r="L268" s="22"/>
      <c r="M268" s="22"/>
      <c r="N268" s="25" t="str">
        <f>HYPERLINK("http://slimages.macys.com/is/image/MCY/21209342 ")</f>
        <v xml:space="preserve">http://slimages.macys.com/is/image/MCY/21209342 </v>
      </c>
    </row>
    <row r="269" spans="1:14" ht="24.75" x14ac:dyDescent="0.25">
      <c r="A269" s="21" t="s">
        <v>19268</v>
      </c>
      <c r="B269" s="22" t="s">
        <v>19269</v>
      </c>
      <c r="C269" s="2">
        <v>1</v>
      </c>
      <c r="D269" s="23">
        <v>5.99</v>
      </c>
      <c r="E269" s="3">
        <v>5.99</v>
      </c>
      <c r="F269" s="2" t="s">
        <v>19270</v>
      </c>
      <c r="G269" s="22" t="s">
        <v>19351</v>
      </c>
      <c r="H269" s="24" t="s">
        <v>19384</v>
      </c>
      <c r="I269" s="22" t="s">
        <v>19309</v>
      </c>
      <c r="J269" s="22" t="s">
        <v>19573</v>
      </c>
      <c r="K269" s="22" t="s">
        <v>19574</v>
      </c>
      <c r="L269" s="22"/>
      <c r="M269" s="22"/>
      <c r="N269" s="25" t="str">
        <f>HYPERLINK("http://slimages.macys.com/is/image/MCY/20839696 ")</f>
        <v xml:space="preserve">http://slimages.macys.com/is/image/MCY/20839696 </v>
      </c>
    </row>
    <row r="270" spans="1:14" ht="24.75" x14ac:dyDescent="0.25">
      <c r="A270" s="21" t="s">
        <v>7208</v>
      </c>
      <c r="B270" s="22" t="s">
        <v>7209</v>
      </c>
      <c r="C270" s="2">
        <v>1</v>
      </c>
      <c r="D270" s="23">
        <v>5.99</v>
      </c>
      <c r="E270" s="3">
        <v>5.99</v>
      </c>
      <c r="F270" s="2" t="s">
        <v>7210</v>
      </c>
      <c r="G270" s="22" t="s">
        <v>19351</v>
      </c>
      <c r="H270" s="24" t="s">
        <v>19330</v>
      </c>
      <c r="I270" s="22" t="s">
        <v>19309</v>
      </c>
      <c r="J270" s="22" t="s">
        <v>19573</v>
      </c>
      <c r="K270" s="22" t="s">
        <v>19574</v>
      </c>
      <c r="L270" s="22"/>
      <c r="M270" s="22"/>
      <c r="N270" s="25" t="str">
        <f>HYPERLINK("http://slimages.macys.com/is/image/MCY/21209408 ")</f>
        <v xml:space="preserve">http://slimages.macys.com/is/image/MCY/21209408 </v>
      </c>
    </row>
    <row r="271" spans="1:14" ht="24.75" x14ac:dyDescent="0.25">
      <c r="A271" s="21" t="s">
        <v>8389</v>
      </c>
      <c r="B271" s="22" t="s">
        <v>8390</v>
      </c>
      <c r="C271" s="2">
        <v>3</v>
      </c>
      <c r="D271" s="23">
        <v>6.99</v>
      </c>
      <c r="E271" s="3">
        <v>20.97</v>
      </c>
      <c r="F271" s="2" t="s">
        <v>9335</v>
      </c>
      <c r="G271" s="22" t="s">
        <v>18821</v>
      </c>
      <c r="H271" s="24"/>
      <c r="I271" s="22" t="s">
        <v>19309</v>
      </c>
      <c r="J271" s="22" t="s">
        <v>19573</v>
      </c>
      <c r="K271" s="22" t="s">
        <v>19574</v>
      </c>
      <c r="L271" s="22"/>
      <c r="M271" s="22"/>
      <c r="N271" s="25" t="str">
        <f>HYPERLINK("http://slimages.macys.com/is/image/MCY/1041675 ")</f>
        <v xml:space="preserve">http://slimages.macys.com/is/image/MCY/1041675 </v>
      </c>
    </row>
    <row r="272" spans="1:14" ht="24.75" x14ac:dyDescent="0.25">
      <c r="A272" s="21" t="s">
        <v>8387</v>
      </c>
      <c r="B272" s="22" t="s">
        <v>8388</v>
      </c>
      <c r="C272" s="2">
        <v>7</v>
      </c>
      <c r="D272" s="23">
        <v>6.99</v>
      </c>
      <c r="E272" s="3">
        <v>48.93</v>
      </c>
      <c r="F272" s="2" t="s">
        <v>9335</v>
      </c>
      <c r="G272" s="22" t="s">
        <v>18821</v>
      </c>
      <c r="H272" s="24" t="s">
        <v>19384</v>
      </c>
      <c r="I272" s="22" t="s">
        <v>19309</v>
      </c>
      <c r="J272" s="22" t="s">
        <v>19573</v>
      </c>
      <c r="K272" s="22" t="s">
        <v>19574</v>
      </c>
      <c r="L272" s="22"/>
      <c r="M272" s="22"/>
      <c r="N272" s="25" t="str">
        <f>HYPERLINK("http://slimages.macys.com/is/image/MCY/1041675 ")</f>
        <v xml:space="preserve">http://slimages.macys.com/is/image/MCY/1041675 </v>
      </c>
    </row>
    <row r="273" spans="1:14" ht="24.75" x14ac:dyDescent="0.25">
      <c r="A273" s="21" t="s">
        <v>8391</v>
      </c>
      <c r="B273" s="22" t="s">
        <v>8392</v>
      </c>
      <c r="C273" s="2">
        <v>10</v>
      </c>
      <c r="D273" s="23">
        <v>6.99</v>
      </c>
      <c r="E273" s="3">
        <v>69.900000000000006</v>
      </c>
      <c r="F273" s="2" t="s">
        <v>9335</v>
      </c>
      <c r="G273" s="22" t="s">
        <v>18821</v>
      </c>
      <c r="H273" s="24" t="s">
        <v>19324</v>
      </c>
      <c r="I273" s="22" t="s">
        <v>19309</v>
      </c>
      <c r="J273" s="22" t="s">
        <v>19573</v>
      </c>
      <c r="K273" s="22" t="s">
        <v>19574</v>
      </c>
      <c r="L273" s="22"/>
      <c r="M273" s="22"/>
      <c r="N273" s="25" t="str">
        <f>HYPERLINK("http://slimages.macys.com/is/image/MCY/20142540 ")</f>
        <v xml:space="preserve">http://slimages.macys.com/is/image/MCY/20142540 </v>
      </c>
    </row>
    <row r="274" spans="1:14" ht="24.75" x14ac:dyDescent="0.25">
      <c r="A274" s="21" t="s">
        <v>17269</v>
      </c>
      <c r="B274" s="22" t="s">
        <v>17270</v>
      </c>
      <c r="C274" s="2">
        <v>1</v>
      </c>
      <c r="D274" s="23">
        <v>5.99</v>
      </c>
      <c r="E274" s="3">
        <v>5.99</v>
      </c>
      <c r="F274" s="2" t="s">
        <v>17395</v>
      </c>
      <c r="G274" s="22" t="s">
        <v>19670</v>
      </c>
      <c r="H274" s="24" t="s">
        <v>19330</v>
      </c>
      <c r="I274" s="22" t="s">
        <v>19309</v>
      </c>
      <c r="J274" s="22" t="s">
        <v>19573</v>
      </c>
      <c r="K274" s="22" t="s">
        <v>19574</v>
      </c>
      <c r="L274" s="22"/>
      <c r="M274" s="22"/>
      <c r="N274" s="25" t="str">
        <f>HYPERLINK("http://slimages.macys.com/is/image/MCY/1521976 ")</f>
        <v xml:space="preserve">http://slimages.macys.com/is/image/MCY/1521976 </v>
      </c>
    </row>
    <row r="275" spans="1:14" ht="24.75" x14ac:dyDescent="0.25">
      <c r="A275" s="21" t="s">
        <v>10755</v>
      </c>
      <c r="B275" s="22" t="s">
        <v>10756</v>
      </c>
      <c r="C275" s="2">
        <v>1</v>
      </c>
      <c r="D275" s="23">
        <v>5.99</v>
      </c>
      <c r="E275" s="3">
        <v>5.99</v>
      </c>
      <c r="F275" s="2" t="s">
        <v>17268</v>
      </c>
      <c r="G275" s="22" t="s">
        <v>18764</v>
      </c>
      <c r="H275" s="24" t="s">
        <v>19330</v>
      </c>
      <c r="I275" s="22" t="s">
        <v>19309</v>
      </c>
      <c r="J275" s="22" t="s">
        <v>19573</v>
      </c>
      <c r="K275" s="22" t="s">
        <v>19574</v>
      </c>
      <c r="L275" s="22"/>
      <c r="M275" s="22"/>
      <c r="N275" s="25" t="str">
        <f>HYPERLINK("http://slimages.macys.com/is/image/MCY/21088470 ")</f>
        <v xml:space="preserve">http://slimages.macys.com/is/image/MCY/21088470 </v>
      </c>
    </row>
    <row r="276" spans="1:14" ht="24.75" x14ac:dyDescent="0.25">
      <c r="A276" s="21" t="s">
        <v>7211</v>
      </c>
      <c r="B276" s="22" t="s">
        <v>7212</v>
      </c>
      <c r="C276" s="2">
        <v>12</v>
      </c>
      <c r="D276" s="23">
        <v>5.99</v>
      </c>
      <c r="E276" s="3">
        <v>71.88</v>
      </c>
      <c r="F276" s="2" t="s">
        <v>9742</v>
      </c>
      <c r="G276" s="22" t="s">
        <v>19351</v>
      </c>
      <c r="H276" s="24" t="s">
        <v>19538</v>
      </c>
      <c r="I276" s="22" t="s">
        <v>19309</v>
      </c>
      <c r="J276" s="22" t="s">
        <v>19573</v>
      </c>
      <c r="K276" s="22" t="s">
        <v>19574</v>
      </c>
      <c r="L276" s="22"/>
      <c r="M276" s="22"/>
      <c r="N276" s="25" t="str">
        <f>HYPERLINK("http://slimages.macys.com/is/image/MCY/21361774 ")</f>
        <v xml:space="preserve">http://slimages.macys.com/is/image/MCY/21361774 </v>
      </c>
    </row>
    <row r="277" spans="1:14" ht="24.75" x14ac:dyDescent="0.25">
      <c r="A277" s="21" t="s">
        <v>7213</v>
      </c>
      <c r="B277" s="22" t="s">
        <v>7214</v>
      </c>
      <c r="C277" s="2">
        <v>1</v>
      </c>
      <c r="D277" s="23">
        <v>5.99</v>
      </c>
      <c r="E277" s="3">
        <v>5.99</v>
      </c>
      <c r="F277" s="2" t="s">
        <v>9742</v>
      </c>
      <c r="G277" s="22" t="s">
        <v>19351</v>
      </c>
      <c r="H277" s="24" t="s">
        <v>19330</v>
      </c>
      <c r="I277" s="22" t="s">
        <v>19309</v>
      </c>
      <c r="J277" s="22" t="s">
        <v>19573</v>
      </c>
      <c r="K277" s="22" t="s">
        <v>19574</v>
      </c>
      <c r="L277" s="22"/>
      <c r="M277" s="22"/>
      <c r="N277" s="25" t="str">
        <f>HYPERLINK("http://slimages.macys.com/is/image/MCY/21361774 ")</f>
        <v xml:space="preserve">http://slimages.macys.com/is/image/MCY/21361774 </v>
      </c>
    </row>
    <row r="278" spans="1:14" ht="24.75" x14ac:dyDescent="0.25">
      <c r="A278" s="21" t="s">
        <v>9743</v>
      </c>
      <c r="B278" s="22" t="s">
        <v>9744</v>
      </c>
      <c r="C278" s="2">
        <v>45</v>
      </c>
      <c r="D278" s="23">
        <v>5.99</v>
      </c>
      <c r="E278" s="3">
        <v>269.55</v>
      </c>
      <c r="F278" s="2" t="s">
        <v>17411</v>
      </c>
      <c r="G278" s="22" t="s">
        <v>19351</v>
      </c>
      <c r="H278" s="24" t="s">
        <v>19330</v>
      </c>
      <c r="I278" s="22" t="s">
        <v>19309</v>
      </c>
      <c r="J278" s="22" t="s">
        <v>19573</v>
      </c>
      <c r="K278" s="22" t="s">
        <v>19574</v>
      </c>
      <c r="L278" s="22"/>
      <c r="M278" s="22"/>
      <c r="N278" s="25" t="str">
        <f>HYPERLINK("http://slimages.macys.com/is/image/MCY/1537013 ")</f>
        <v xml:space="preserve">http://slimages.macys.com/is/image/MCY/1537013 </v>
      </c>
    </row>
    <row r="279" spans="1:14" ht="24.75" x14ac:dyDescent="0.25">
      <c r="A279" s="21" t="s">
        <v>7215</v>
      </c>
      <c r="B279" s="22" t="s">
        <v>7216</v>
      </c>
      <c r="C279" s="2">
        <v>1</v>
      </c>
      <c r="D279" s="23">
        <v>5.99</v>
      </c>
      <c r="E279" s="3">
        <v>5.99</v>
      </c>
      <c r="F279" s="2" t="s">
        <v>7217</v>
      </c>
      <c r="G279" s="22" t="s">
        <v>19462</v>
      </c>
      <c r="H279" s="24" t="s">
        <v>19416</v>
      </c>
      <c r="I279" s="22" t="s">
        <v>19309</v>
      </c>
      <c r="J279" s="22" t="s">
        <v>19573</v>
      </c>
      <c r="K279" s="22" t="s">
        <v>19574</v>
      </c>
      <c r="L279" s="22"/>
      <c r="M279" s="22"/>
      <c r="N279" s="25" t="str">
        <f>HYPERLINK("http://slimages.macys.com/is/image/MCY/21905648 ")</f>
        <v xml:space="preserve">http://slimages.macys.com/is/image/MCY/21905648 </v>
      </c>
    </row>
    <row r="280" spans="1:14" ht="24.75" x14ac:dyDescent="0.25">
      <c r="A280" s="21" t="s">
        <v>7218</v>
      </c>
      <c r="B280" s="22" t="s">
        <v>7219</v>
      </c>
      <c r="C280" s="2">
        <v>1</v>
      </c>
      <c r="D280" s="23">
        <v>5.99</v>
      </c>
      <c r="E280" s="3">
        <v>5.99</v>
      </c>
      <c r="F280" s="2" t="s">
        <v>7220</v>
      </c>
      <c r="G280" s="22" t="s">
        <v>19906</v>
      </c>
      <c r="H280" s="24" t="s">
        <v>19538</v>
      </c>
      <c r="I280" s="22" t="s">
        <v>19309</v>
      </c>
      <c r="J280" s="22" t="s">
        <v>19573</v>
      </c>
      <c r="K280" s="22" t="s">
        <v>19574</v>
      </c>
      <c r="L280" s="22"/>
      <c r="M280" s="22"/>
      <c r="N280" s="25" t="str">
        <f>HYPERLINK("http://slimages.macys.com/is/image/MCY/21209295 ")</f>
        <v xml:space="preserve">http://slimages.macys.com/is/image/MCY/21209295 </v>
      </c>
    </row>
    <row r="281" spans="1:14" ht="24.75" x14ac:dyDescent="0.25">
      <c r="A281" s="21" t="s">
        <v>7221</v>
      </c>
      <c r="B281" s="22" t="s">
        <v>7222</v>
      </c>
      <c r="C281" s="2">
        <v>1</v>
      </c>
      <c r="D281" s="23">
        <v>5.99</v>
      </c>
      <c r="E281" s="3">
        <v>5.99</v>
      </c>
      <c r="F281" s="2" t="s">
        <v>15004</v>
      </c>
      <c r="G281" s="22" t="s">
        <v>19351</v>
      </c>
      <c r="H281" s="24" t="s">
        <v>19330</v>
      </c>
      <c r="I281" s="22" t="s">
        <v>19309</v>
      </c>
      <c r="J281" s="22" t="s">
        <v>19573</v>
      </c>
      <c r="K281" s="22" t="s">
        <v>19574</v>
      </c>
      <c r="L281" s="22"/>
      <c r="M281" s="22"/>
      <c r="N281" s="25" t="str">
        <f>HYPERLINK("http://slimages.macys.com/is/image/MCY/1537013 ")</f>
        <v xml:space="preserve">http://slimages.macys.com/is/image/MCY/1537013 </v>
      </c>
    </row>
    <row r="282" spans="1:14" ht="24.75" x14ac:dyDescent="0.25">
      <c r="A282" s="21" t="s">
        <v>7223</v>
      </c>
      <c r="B282" s="22" t="s">
        <v>7224</v>
      </c>
      <c r="C282" s="2">
        <v>4</v>
      </c>
      <c r="D282" s="23">
        <v>5.99</v>
      </c>
      <c r="E282" s="3">
        <v>23.96</v>
      </c>
      <c r="F282" s="2" t="s">
        <v>10773</v>
      </c>
      <c r="G282" s="22" t="s">
        <v>19467</v>
      </c>
      <c r="H282" s="24" t="s">
        <v>19330</v>
      </c>
      <c r="I282" s="22" t="s">
        <v>19309</v>
      </c>
      <c r="J282" s="22" t="s">
        <v>19573</v>
      </c>
      <c r="K282" s="22" t="s">
        <v>19574</v>
      </c>
      <c r="L282" s="22"/>
      <c r="M282" s="22"/>
      <c r="N282" s="25" t="str">
        <f>HYPERLINK("http://slimages.macys.com/is/image/MCY/1554865 ")</f>
        <v xml:space="preserve">http://slimages.macys.com/is/image/MCY/1554865 </v>
      </c>
    </row>
    <row r="283" spans="1:14" ht="24.75" x14ac:dyDescent="0.25">
      <c r="A283" s="21" t="s">
        <v>7225</v>
      </c>
      <c r="B283" s="22" t="s">
        <v>7226</v>
      </c>
      <c r="C283" s="2">
        <v>23</v>
      </c>
      <c r="D283" s="23">
        <v>5.99</v>
      </c>
      <c r="E283" s="3">
        <v>137.77000000000001</v>
      </c>
      <c r="F283" s="2" t="s">
        <v>17309</v>
      </c>
      <c r="G283" s="22" t="s">
        <v>19351</v>
      </c>
      <c r="H283" s="24" t="s">
        <v>19384</v>
      </c>
      <c r="I283" s="22" t="s">
        <v>19309</v>
      </c>
      <c r="J283" s="22" t="s">
        <v>19573</v>
      </c>
      <c r="K283" s="22" t="s">
        <v>19574</v>
      </c>
      <c r="L283" s="22"/>
      <c r="M283" s="22"/>
      <c r="N283" s="25" t="str">
        <f>HYPERLINK("http://slimages.macys.com/is/image/MCY/1554658 ")</f>
        <v xml:space="preserve">http://slimages.macys.com/is/image/MCY/1554658 </v>
      </c>
    </row>
    <row r="284" spans="1:14" ht="24.75" x14ac:dyDescent="0.25">
      <c r="A284" s="21" t="s">
        <v>10196</v>
      </c>
      <c r="B284" s="22" t="s">
        <v>10197</v>
      </c>
      <c r="C284" s="2">
        <v>1</v>
      </c>
      <c r="D284" s="23">
        <v>5.99</v>
      </c>
      <c r="E284" s="3">
        <v>5.99</v>
      </c>
      <c r="F284" s="2" t="s">
        <v>10198</v>
      </c>
      <c r="G284" s="22" t="s">
        <v>19431</v>
      </c>
      <c r="H284" s="24" t="s">
        <v>19538</v>
      </c>
      <c r="I284" s="22" t="s">
        <v>19309</v>
      </c>
      <c r="J284" s="22" t="s">
        <v>19573</v>
      </c>
      <c r="K284" s="22" t="s">
        <v>19574</v>
      </c>
      <c r="L284" s="22"/>
      <c r="M284" s="22"/>
      <c r="N284" s="25" t="str">
        <f>HYPERLINK("http://slimages.macys.com/is/image/MCY/1537013 ")</f>
        <v xml:space="preserve">http://slimages.macys.com/is/image/MCY/1537013 </v>
      </c>
    </row>
    <row r="285" spans="1:14" ht="24.75" x14ac:dyDescent="0.25">
      <c r="A285" s="21" t="s">
        <v>17470</v>
      </c>
      <c r="B285" s="22" t="s">
        <v>17471</v>
      </c>
      <c r="C285" s="2">
        <v>12</v>
      </c>
      <c r="D285" s="23">
        <v>5.99</v>
      </c>
      <c r="E285" s="3">
        <v>71.88</v>
      </c>
      <c r="F285" s="2" t="s">
        <v>17472</v>
      </c>
      <c r="G285" s="22" t="s">
        <v>19467</v>
      </c>
      <c r="H285" s="24" t="s">
        <v>19330</v>
      </c>
      <c r="I285" s="22" t="s">
        <v>19309</v>
      </c>
      <c r="J285" s="22" t="s">
        <v>19573</v>
      </c>
      <c r="K285" s="22" t="s">
        <v>19574</v>
      </c>
      <c r="L285" s="22"/>
      <c r="M285" s="22"/>
      <c r="N285" s="25" t="str">
        <f>HYPERLINK("http://slimages.macys.com/is/image/MCY/16605973 ")</f>
        <v xml:space="preserve">http://slimages.macys.com/is/image/MCY/16605973 </v>
      </c>
    </row>
    <row r="286" spans="1:14" ht="24.75" x14ac:dyDescent="0.25">
      <c r="A286" s="21" t="s">
        <v>15021</v>
      </c>
      <c r="B286" s="22" t="s">
        <v>15022</v>
      </c>
      <c r="C286" s="2">
        <v>1</v>
      </c>
      <c r="D286" s="23">
        <v>5.99</v>
      </c>
      <c r="E286" s="3">
        <v>5.99</v>
      </c>
      <c r="F286" s="2" t="s">
        <v>17472</v>
      </c>
      <c r="G286" s="22" t="s">
        <v>19467</v>
      </c>
      <c r="H286" s="24" t="s">
        <v>19538</v>
      </c>
      <c r="I286" s="22" t="s">
        <v>19309</v>
      </c>
      <c r="J286" s="22" t="s">
        <v>19573</v>
      </c>
      <c r="K286" s="22" t="s">
        <v>19574</v>
      </c>
      <c r="L286" s="22"/>
      <c r="M286" s="22"/>
      <c r="N286" s="25" t="str">
        <f>HYPERLINK("http://slimages.macys.com/is/image/MCY/16605973 ")</f>
        <v xml:space="preserve">http://slimages.macys.com/is/image/MCY/16605973 </v>
      </c>
    </row>
    <row r="287" spans="1:14" ht="24.75" x14ac:dyDescent="0.25">
      <c r="A287" s="21" t="s">
        <v>9364</v>
      </c>
      <c r="B287" s="22" t="s">
        <v>9365</v>
      </c>
      <c r="C287" s="2">
        <v>2</v>
      </c>
      <c r="D287" s="23">
        <v>5.99</v>
      </c>
      <c r="E287" s="3">
        <v>11.98</v>
      </c>
      <c r="F287" s="2" t="s">
        <v>17472</v>
      </c>
      <c r="G287" s="22" t="s">
        <v>19467</v>
      </c>
      <c r="H287" s="24" t="s">
        <v>19384</v>
      </c>
      <c r="I287" s="22" t="s">
        <v>19309</v>
      </c>
      <c r="J287" s="22" t="s">
        <v>19573</v>
      </c>
      <c r="K287" s="22" t="s">
        <v>19574</v>
      </c>
      <c r="L287" s="22"/>
      <c r="M287" s="22"/>
      <c r="N287" s="25" t="str">
        <f>HYPERLINK("http://slimages.macys.com/is/image/MCY/16605973 ")</f>
        <v xml:space="preserve">http://slimages.macys.com/is/image/MCY/16605973 </v>
      </c>
    </row>
    <row r="288" spans="1:14" x14ac:dyDescent="0.25">
      <c r="A288" s="21" t="s">
        <v>7227</v>
      </c>
      <c r="B288" s="22" t="s">
        <v>7228</v>
      </c>
      <c r="C288" s="2">
        <v>5</v>
      </c>
      <c r="D288" s="23">
        <v>36.99</v>
      </c>
      <c r="E288" s="3">
        <v>184.95</v>
      </c>
      <c r="F288" s="2" t="s">
        <v>11186</v>
      </c>
      <c r="G288" s="22" t="s">
        <v>19338</v>
      </c>
      <c r="H288" s="24"/>
      <c r="I288" s="22" t="s">
        <v>19309</v>
      </c>
      <c r="J288" s="22" t="s">
        <v>19310</v>
      </c>
      <c r="K288" s="22" t="s">
        <v>19311</v>
      </c>
      <c r="L288" s="22"/>
      <c r="M288" s="22"/>
      <c r="N288" s="25"/>
    </row>
    <row r="289" spans="1:14" ht="24.75" x14ac:dyDescent="0.25">
      <c r="A289" s="21" t="s">
        <v>7229</v>
      </c>
      <c r="B289" s="22" t="s">
        <v>7230</v>
      </c>
      <c r="C289" s="2">
        <v>16</v>
      </c>
      <c r="D289" s="23">
        <v>32.99</v>
      </c>
      <c r="E289" s="3">
        <v>527.84</v>
      </c>
      <c r="F289" s="2" t="s">
        <v>11194</v>
      </c>
      <c r="G289" s="22" t="s">
        <v>19415</v>
      </c>
      <c r="H289" s="24" t="s">
        <v>19538</v>
      </c>
      <c r="I289" s="22" t="s">
        <v>19309</v>
      </c>
      <c r="J289" s="22" t="s">
        <v>19385</v>
      </c>
      <c r="K289" s="22" t="s">
        <v>19487</v>
      </c>
      <c r="L289" s="22"/>
      <c r="M289" s="22"/>
      <c r="N289" s="25"/>
    </row>
    <row r="290" spans="1:14" ht="24.75" x14ac:dyDescent="0.25">
      <c r="A290" s="21" t="s">
        <v>7231</v>
      </c>
      <c r="B290" s="22" t="s">
        <v>7232</v>
      </c>
      <c r="C290" s="2">
        <v>3</v>
      </c>
      <c r="D290" s="23">
        <v>32.99</v>
      </c>
      <c r="E290" s="3">
        <v>98.97</v>
      </c>
      <c r="F290" s="2" t="s">
        <v>17481</v>
      </c>
      <c r="G290" s="22" t="s">
        <v>19415</v>
      </c>
      <c r="H290" s="24" t="s">
        <v>19324</v>
      </c>
      <c r="I290" s="22" t="s">
        <v>19309</v>
      </c>
      <c r="J290" s="22" t="s">
        <v>19385</v>
      </c>
      <c r="K290" s="22" t="s">
        <v>19487</v>
      </c>
      <c r="L290" s="22"/>
      <c r="M290" s="22"/>
      <c r="N290" s="25"/>
    </row>
    <row r="291" spans="1:14" ht="24.75" x14ac:dyDescent="0.25">
      <c r="A291" s="21" t="s">
        <v>8632</v>
      </c>
      <c r="B291" s="22" t="s">
        <v>8633</v>
      </c>
      <c r="C291" s="2">
        <v>31</v>
      </c>
      <c r="D291" s="23">
        <v>30.99</v>
      </c>
      <c r="E291" s="3">
        <v>960.69</v>
      </c>
      <c r="F291" s="2" t="s">
        <v>17342</v>
      </c>
      <c r="G291" s="22" t="s">
        <v>19674</v>
      </c>
      <c r="H291" s="24" t="s">
        <v>19538</v>
      </c>
      <c r="I291" s="22" t="s">
        <v>19309</v>
      </c>
      <c r="J291" s="22" t="s">
        <v>19385</v>
      </c>
      <c r="K291" s="22" t="s">
        <v>19487</v>
      </c>
      <c r="L291" s="22"/>
      <c r="M291" s="22"/>
      <c r="N291" s="25"/>
    </row>
    <row r="292" spans="1:14" ht="24.75" x14ac:dyDescent="0.25">
      <c r="A292" s="21" t="s">
        <v>17340</v>
      </c>
      <c r="B292" s="22" t="s">
        <v>17341</v>
      </c>
      <c r="C292" s="2">
        <v>1</v>
      </c>
      <c r="D292" s="23">
        <v>30.99</v>
      </c>
      <c r="E292" s="3">
        <v>30.99</v>
      </c>
      <c r="F292" s="2" t="s">
        <v>17342</v>
      </c>
      <c r="G292" s="22" t="s">
        <v>19674</v>
      </c>
      <c r="H292" s="24" t="s">
        <v>19330</v>
      </c>
      <c r="I292" s="22" t="s">
        <v>19309</v>
      </c>
      <c r="J292" s="22" t="s">
        <v>19385</v>
      </c>
      <c r="K292" s="22" t="s">
        <v>19487</v>
      </c>
      <c r="L292" s="22"/>
      <c r="M292" s="22"/>
      <c r="N292" s="25"/>
    </row>
    <row r="293" spans="1:14" ht="24.75" x14ac:dyDescent="0.25">
      <c r="A293" s="21" t="s">
        <v>7233</v>
      </c>
      <c r="B293" s="22" t="s">
        <v>7234</v>
      </c>
      <c r="C293" s="2">
        <v>13</v>
      </c>
      <c r="D293" s="23">
        <v>30.99</v>
      </c>
      <c r="E293" s="3">
        <v>402.87</v>
      </c>
      <c r="F293" s="2" t="s">
        <v>17342</v>
      </c>
      <c r="G293" s="22" t="s">
        <v>19674</v>
      </c>
      <c r="H293" s="24" t="s">
        <v>19384</v>
      </c>
      <c r="I293" s="22" t="s">
        <v>19309</v>
      </c>
      <c r="J293" s="22" t="s">
        <v>19385</v>
      </c>
      <c r="K293" s="22" t="s">
        <v>19487</v>
      </c>
      <c r="L293" s="22"/>
      <c r="M293" s="22"/>
      <c r="N293" s="25"/>
    </row>
    <row r="294" spans="1:14" ht="24.75" x14ac:dyDescent="0.25">
      <c r="A294" s="21" t="s">
        <v>8178</v>
      </c>
      <c r="B294" s="22" t="s">
        <v>8179</v>
      </c>
      <c r="C294" s="2">
        <v>16</v>
      </c>
      <c r="D294" s="23">
        <v>26.99</v>
      </c>
      <c r="E294" s="3">
        <v>431.84</v>
      </c>
      <c r="F294" s="2" t="s">
        <v>13552</v>
      </c>
      <c r="G294" s="22" t="s">
        <v>19422</v>
      </c>
      <c r="H294" s="24" t="s">
        <v>19538</v>
      </c>
      <c r="I294" s="22" t="s">
        <v>19309</v>
      </c>
      <c r="J294" s="22" t="s">
        <v>19385</v>
      </c>
      <c r="K294" s="22" t="s">
        <v>19487</v>
      </c>
      <c r="L294" s="22"/>
      <c r="M294" s="22"/>
      <c r="N294" s="25"/>
    </row>
    <row r="295" spans="1:14" ht="24.75" x14ac:dyDescent="0.25">
      <c r="A295" s="21" t="s">
        <v>7235</v>
      </c>
      <c r="B295" s="22" t="s">
        <v>7236</v>
      </c>
      <c r="C295" s="2">
        <v>7</v>
      </c>
      <c r="D295" s="23">
        <v>26.99</v>
      </c>
      <c r="E295" s="3">
        <v>188.93</v>
      </c>
      <c r="F295" s="2" t="s">
        <v>13552</v>
      </c>
      <c r="G295" s="22" t="s">
        <v>19422</v>
      </c>
      <c r="H295" s="24" t="s">
        <v>19324</v>
      </c>
      <c r="I295" s="22" t="s">
        <v>19309</v>
      </c>
      <c r="J295" s="22" t="s">
        <v>19385</v>
      </c>
      <c r="K295" s="22" t="s">
        <v>19487</v>
      </c>
      <c r="L295" s="22"/>
      <c r="M295" s="22"/>
      <c r="N295" s="25"/>
    </row>
    <row r="296" spans="1:14" ht="24.75" x14ac:dyDescent="0.25">
      <c r="A296" s="21" t="s">
        <v>8396</v>
      </c>
      <c r="B296" s="22" t="s">
        <v>8397</v>
      </c>
      <c r="C296" s="2">
        <v>13</v>
      </c>
      <c r="D296" s="23">
        <v>26.99</v>
      </c>
      <c r="E296" s="3">
        <v>350.87</v>
      </c>
      <c r="F296" s="2" t="s">
        <v>13552</v>
      </c>
      <c r="G296" s="22" t="s">
        <v>19422</v>
      </c>
      <c r="H296" s="24" t="s">
        <v>19330</v>
      </c>
      <c r="I296" s="22" t="s">
        <v>19309</v>
      </c>
      <c r="J296" s="22" t="s">
        <v>19385</v>
      </c>
      <c r="K296" s="22" t="s">
        <v>19487</v>
      </c>
      <c r="L296" s="22"/>
      <c r="M296" s="22"/>
      <c r="N296" s="25"/>
    </row>
    <row r="297" spans="1:14" ht="24.75" x14ac:dyDescent="0.25">
      <c r="A297" s="21" t="s">
        <v>9753</v>
      </c>
      <c r="B297" s="22" t="s">
        <v>9754</v>
      </c>
      <c r="C297" s="2">
        <v>7</v>
      </c>
      <c r="D297" s="23">
        <v>26.99</v>
      </c>
      <c r="E297" s="3">
        <v>188.93</v>
      </c>
      <c r="F297" s="2" t="s">
        <v>13552</v>
      </c>
      <c r="G297" s="22" t="s">
        <v>19422</v>
      </c>
      <c r="H297" s="24" t="s">
        <v>19384</v>
      </c>
      <c r="I297" s="22" t="s">
        <v>19309</v>
      </c>
      <c r="J297" s="22" t="s">
        <v>19385</v>
      </c>
      <c r="K297" s="22" t="s">
        <v>19487</v>
      </c>
      <c r="L297" s="22"/>
      <c r="M297" s="22"/>
      <c r="N297" s="25"/>
    </row>
    <row r="298" spans="1:14" ht="24.75" x14ac:dyDescent="0.25">
      <c r="A298" s="21" t="s">
        <v>17493</v>
      </c>
      <c r="B298" s="22" t="s">
        <v>17494</v>
      </c>
      <c r="C298" s="2">
        <v>27</v>
      </c>
      <c r="D298" s="23">
        <v>26.99</v>
      </c>
      <c r="E298" s="3">
        <v>728.73</v>
      </c>
      <c r="F298" s="2" t="s">
        <v>17488</v>
      </c>
      <c r="G298" s="22" t="s">
        <v>19357</v>
      </c>
      <c r="H298" s="24" t="s">
        <v>19538</v>
      </c>
      <c r="I298" s="22" t="s">
        <v>19309</v>
      </c>
      <c r="J298" s="22" t="s">
        <v>19385</v>
      </c>
      <c r="K298" s="22" t="s">
        <v>19487</v>
      </c>
      <c r="L298" s="22"/>
      <c r="M298" s="22"/>
      <c r="N298" s="25"/>
    </row>
    <row r="299" spans="1:14" ht="24.75" x14ac:dyDescent="0.25">
      <c r="A299" s="21" t="s">
        <v>17359</v>
      </c>
      <c r="B299" s="22" t="s">
        <v>17360</v>
      </c>
      <c r="C299" s="2">
        <v>8</v>
      </c>
      <c r="D299" s="23">
        <v>26.99</v>
      </c>
      <c r="E299" s="3">
        <v>215.92</v>
      </c>
      <c r="F299" s="2" t="s">
        <v>17488</v>
      </c>
      <c r="G299" s="22" t="s">
        <v>19357</v>
      </c>
      <c r="H299" s="24" t="s">
        <v>19330</v>
      </c>
      <c r="I299" s="22" t="s">
        <v>19309</v>
      </c>
      <c r="J299" s="22" t="s">
        <v>19385</v>
      </c>
      <c r="K299" s="22" t="s">
        <v>19487</v>
      </c>
      <c r="L299" s="22"/>
      <c r="M299" s="22"/>
      <c r="N299" s="25"/>
    </row>
    <row r="300" spans="1:14" x14ac:dyDescent="0.25">
      <c r="A300" s="21" t="s">
        <v>7237</v>
      </c>
      <c r="B300" s="22" t="s">
        <v>7238</v>
      </c>
      <c r="C300" s="2">
        <v>1</v>
      </c>
      <c r="D300" s="23">
        <v>18.989999999999998</v>
      </c>
      <c r="E300" s="3">
        <v>18.989999999999998</v>
      </c>
      <c r="F300" s="2" t="s">
        <v>7239</v>
      </c>
      <c r="G300" s="22" t="s">
        <v>19307</v>
      </c>
      <c r="H300" s="24"/>
      <c r="I300" s="22" t="s">
        <v>19309</v>
      </c>
      <c r="J300" s="22" t="s">
        <v>19310</v>
      </c>
      <c r="K300" s="22" t="s">
        <v>19311</v>
      </c>
      <c r="L300" s="22"/>
      <c r="M300" s="22"/>
      <c r="N300" s="25"/>
    </row>
    <row r="301" spans="1:14" x14ac:dyDescent="0.25">
      <c r="A301" s="21" t="s">
        <v>7240</v>
      </c>
      <c r="B301" s="22" t="s">
        <v>7241</v>
      </c>
      <c r="C301" s="2">
        <v>1</v>
      </c>
      <c r="D301" s="23">
        <v>32</v>
      </c>
      <c r="E301" s="3">
        <v>32</v>
      </c>
      <c r="F301" s="2" t="s">
        <v>8182</v>
      </c>
      <c r="G301" s="22" t="s">
        <v>19315</v>
      </c>
      <c r="H301" s="24" t="s">
        <v>19330</v>
      </c>
      <c r="I301" s="22" t="s">
        <v>19309</v>
      </c>
      <c r="J301" s="22" t="s">
        <v>19417</v>
      </c>
      <c r="K301" s="22" t="s">
        <v>20110</v>
      </c>
      <c r="L301" s="22"/>
      <c r="M301" s="22"/>
      <c r="N301" s="25"/>
    </row>
    <row r="302" spans="1:14" ht="24.75" x14ac:dyDescent="0.25">
      <c r="A302" s="21" t="s">
        <v>8183</v>
      </c>
      <c r="B302" s="22" t="s">
        <v>8184</v>
      </c>
      <c r="C302" s="2">
        <v>6</v>
      </c>
      <c r="D302" s="23">
        <v>13.88</v>
      </c>
      <c r="E302" s="3">
        <v>83.28</v>
      </c>
      <c r="F302" s="2" t="s">
        <v>11210</v>
      </c>
      <c r="G302" s="22" t="s">
        <v>19415</v>
      </c>
      <c r="H302" s="24" t="s">
        <v>19364</v>
      </c>
      <c r="I302" s="22" t="s">
        <v>19309</v>
      </c>
      <c r="J302" s="22" t="s">
        <v>19565</v>
      </c>
      <c r="K302" s="22" t="s">
        <v>18548</v>
      </c>
      <c r="L302" s="22"/>
      <c r="M302" s="22"/>
      <c r="N302" s="25"/>
    </row>
    <row r="303" spans="1:14" ht="24.75" x14ac:dyDescent="0.25">
      <c r="A303" s="21" t="s">
        <v>8398</v>
      </c>
      <c r="B303" s="22" t="s">
        <v>8399</v>
      </c>
      <c r="C303" s="2">
        <v>17</v>
      </c>
      <c r="D303" s="23">
        <v>13.88</v>
      </c>
      <c r="E303" s="3">
        <v>235.96</v>
      </c>
      <c r="F303" s="2" t="s">
        <v>11210</v>
      </c>
      <c r="G303" s="22" t="s">
        <v>19415</v>
      </c>
      <c r="H303" s="24" t="s">
        <v>19352</v>
      </c>
      <c r="I303" s="22" t="s">
        <v>19309</v>
      </c>
      <c r="J303" s="22" t="s">
        <v>19565</v>
      </c>
      <c r="K303" s="22" t="s">
        <v>18548</v>
      </c>
      <c r="L303" s="22"/>
      <c r="M303" s="22"/>
      <c r="N303" s="25"/>
    </row>
    <row r="304" spans="1:14" ht="24.75" x14ac:dyDescent="0.25">
      <c r="A304" s="21" t="s">
        <v>8185</v>
      </c>
      <c r="B304" s="22" t="s">
        <v>8186</v>
      </c>
      <c r="C304" s="2">
        <v>28</v>
      </c>
      <c r="D304" s="23">
        <v>11.55</v>
      </c>
      <c r="E304" s="3">
        <v>323.39999999999998</v>
      </c>
      <c r="F304" s="2" t="s">
        <v>17372</v>
      </c>
      <c r="G304" s="22" t="s">
        <v>19618</v>
      </c>
      <c r="H304" s="24" t="s">
        <v>19339</v>
      </c>
      <c r="I304" s="22" t="s">
        <v>19309</v>
      </c>
      <c r="J304" s="22" t="s">
        <v>19565</v>
      </c>
      <c r="K304" s="22" t="s">
        <v>18548</v>
      </c>
      <c r="L304" s="22"/>
      <c r="M304" s="22"/>
      <c r="N304" s="25"/>
    </row>
    <row r="305" spans="1:14" ht="24.75" x14ac:dyDescent="0.25">
      <c r="A305" s="21" t="s">
        <v>17370</v>
      </c>
      <c r="B305" s="22" t="s">
        <v>17371</v>
      </c>
      <c r="C305" s="2">
        <v>7</v>
      </c>
      <c r="D305" s="23">
        <v>11.55</v>
      </c>
      <c r="E305" s="3">
        <v>80.849999999999994</v>
      </c>
      <c r="F305" s="2" t="s">
        <v>17372</v>
      </c>
      <c r="G305" s="22" t="s">
        <v>19618</v>
      </c>
      <c r="H305" s="24" t="s">
        <v>19308</v>
      </c>
      <c r="I305" s="22" t="s">
        <v>19309</v>
      </c>
      <c r="J305" s="22" t="s">
        <v>19565</v>
      </c>
      <c r="K305" s="22" t="s">
        <v>18548</v>
      </c>
      <c r="L305" s="22"/>
      <c r="M305" s="22"/>
      <c r="N305" s="25"/>
    </row>
    <row r="306" spans="1:14" ht="24.75" x14ac:dyDescent="0.25">
      <c r="A306" s="21" t="s">
        <v>8400</v>
      </c>
      <c r="B306" s="22" t="s">
        <v>8401</v>
      </c>
      <c r="C306" s="2">
        <v>73</v>
      </c>
      <c r="D306" s="23">
        <v>11.55</v>
      </c>
      <c r="E306" s="3">
        <v>843.15</v>
      </c>
      <c r="F306" s="2" t="s">
        <v>17372</v>
      </c>
      <c r="G306" s="22" t="s">
        <v>19618</v>
      </c>
      <c r="H306" s="24" t="s">
        <v>19352</v>
      </c>
      <c r="I306" s="22" t="s">
        <v>19309</v>
      </c>
      <c r="J306" s="22" t="s">
        <v>19565</v>
      </c>
      <c r="K306" s="22" t="s">
        <v>18548</v>
      </c>
      <c r="L306" s="22"/>
      <c r="M306" s="22"/>
      <c r="N306" s="25"/>
    </row>
    <row r="307" spans="1:14" x14ac:dyDescent="0.25">
      <c r="A307" s="21" t="s">
        <v>7242</v>
      </c>
      <c r="B307" s="22" t="s">
        <v>7243</v>
      </c>
      <c r="C307" s="2">
        <v>21</v>
      </c>
      <c r="D307" s="23">
        <v>20</v>
      </c>
      <c r="E307" s="3">
        <v>420</v>
      </c>
      <c r="F307" s="2" t="s">
        <v>7244</v>
      </c>
      <c r="G307" s="22"/>
      <c r="H307" s="24" t="s">
        <v>19324</v>
      </c>
      <c r="I307" s="22" t="s">
        <v>19309</v>
      </c>
      <c r="J307" s="22" t="s">
        <v>19708</v>
      </c>
      <c r="K307" s="22" t="s">
        <v>19709</v>
      </c>
      <c r="L307" s="22"/>
      <c r="M307" s="22"/>
      <c r="N307" s="25"/>
    </row>
    <row r="308" spans="1:14" x14ac:dyDescent="0.25">
      <c r="A308" s="21" t="s">
        <v>7245</v>
      </c>
      <c r="B308" s="22" t="s">
        <v>7246</v>
      </c>
      <c r="C308" s="2">
        <v>38</v>
      </c>
      <c r="D308" s="23">
        <v>20</v>
      </c>
      <c r="E308" s="3">
        <v>760</v>
      </c>
      <c r="F308" s="2" t="s">
        <v>7244</v>
      </c>
      <c r="G308" s="22"/>
      <c r="H308" s="24" t="s">
        <v>19416</v>
      </c>
      <c r="I308" s="22" t="s">
        <v>19309</v>
      </c>
      <c r="J308" s="22" t="s">
        <v>19708</v>
      </c>
      <c r="K308" s="22" t="s">
        <v>19709</v>
      </c>
      <c r="L308" s="22"/>
      <c r="M308" s="22"/>
      <c r="N308" s="25"/>
    </row>
    <row r="309" spans="1:14" x14ac:dyDescent="0.25">
      <c r="A309" s="21" t="s">
        <v>7247</v>
      </c>
      <c r="B309" s="22" t="s">
        <v>7248</v>
      </c>
      <c r="C309" s="2">
        <v>39</v>
      </c>
      <c r="D309" s="23">
        <v>20</v>
      </c>
      <c r="E309" s="3">
        <v>780</v>
      </c>
      <c r="F309" s="2" t="s">
        <v>7244</v>
      </c>
      <c r="G309" s="22"/>
      <c r="H309" s="24" t="s">
        <v>19330</v>
      </c>
      <c r="I309" s="22" t="s">
        <v>19309</v>
      </c>
      <c r="J309" s="22" t="s">
        <v>19708</v>
      </c>
      <c r="K309" s="22" t="s">
        <v>19709</v>
      </c>
      <c r="L309" s="22"/>
      <c r="M309" s="22"/>
      <c r="N309" s="25"/>
    </row>
    <row r="310" spans="1:14" ht="24.75" x14ac:dyDescent="0.25">
      <c r="A310" s="21" t="s">
        <v>8189</v>
      </c>
      <c r="B310" s="22" t="s">
        <v>8190</v>
      </c>
      <c r="C310" s="2">
        <v>12</v>
      </c>
      <c r="D310" s="23">
        <v>13.99</v>
      </c>
      <c r="E310" s="3">
        <v>167.88</v>
      </c>
      <c r="F310" s="2" t="s">
        <v>11213</v>
      </c>
      <c r="G310" s="22"/>
      <c r="H310" s="24" t="s">
        <v>19330</v>
      </c>
      <c r="I310" s="22" t="s">
        <v>19309</v>
      </c>
      <c r="J310" s="22" t="s">
        <v>19385</v>
      </c>
      <c r="K310" s="22" t="s">
        <v>11214</v>
      </c>
      <c r="L310" s="22"/>
      <c r="M310" s="22"/>
      <c r="N310" s="25"/>
    </row>
    <row r="311" spans="1:14" x14ac:dyDescent="0.25">
      <c r="A311" s="21" t="s">
        <v>7249</v>
      </c>
      <c r="B311" s="22" t="s">
        <v>7250</v>
      </c>
      <c r="C311" s="2">
        <v>6</v>
      </c>
      <c r="D311" s="23">
        <v>16</v>
      </c>
      <c r="E311" s="3">
        <v>96</v>
      </c>
      <c r="F311" s="2" t="s">
        <v>7251</v>
      </c>
      <c r="G311" s="22"/>
      <c r="H311" s="24" t="s">
        <v>19367</v>
      </c>
      <c r="I311" s="22" t="s">
        <v>19309</v>
      </c>
      <c r="J311" s="22" t="s">
        <v>19708</v>
      </c>
      <c r="K311" s="22" t="s">
        <v>19709</v>
      </c>
      <c r="L311" s="22"/>
      <c r="M311" s="22"/>
      <c r="N311" s="25"/>
    </row>
    <row r="312" spans="1:14" x14ac:dyDescent="0.25">
      <c r="A312" s="21" t="s">
        <v>7252</v>
      </c>
      <c r="B312" s="22" t="s">
        <v>7253</v>
      </c>
      <c r="C312" s="2">
        <v>1</v>
      </c>
      <c r="D312" s="23">
        <v>9.44</v>
      </c>
      <c r="E312" s="3">
        <v>9.44</v>
      </c>
      <c r="F312" s="2" t="s">
        <v>7254</v>
      </c>
      <c r="G312" s="22" t="s">
        <v>19594</v>
      </c>
      <c r="H312" s="24" t="s">
        <v>19770</v>
      </c>
      <c r="I312" s="22" t="s">
        <v>19309</v>
      </c>
      <c r="J312" s="22" t="s">
        <v>19708</v>
      </c>
      <c r="K312" s="22" t="s">
        <v>19709</v>
      </c>
      <c r="L312" s="22"/>
      <c r="M312" s="22"/>
      <c r="N312" s="25"/>
    </row>
    <row r="313" spans="1:14" x14ac:dyDescent="0.25">
      <c r="A313" s="21" t="s">
        <v>7255</v>
      </c>
      <c r="B313" s="22" t="s">
        <v>7256</v>
      </c>
      <c r="C313" s="2">
        <v>1</v>
      </c>
      <c r="D313" s="23">
        <v>12</v>
      </c>
      <c r="E313" s="3">
        <v>12</v>
      </c>
      <c r="F313" s="2" t="s">
        <v>9659</v>
      </c>
      <c r="G313" s="22"/>
      <c r="H313" s="24" t="s">
        <v>19324</v>
      </c>
      <c r="I313" s="22" t="s">
        <v>19309</v>
      </c>
      <c r="J313" s="22" t="s">
        <v>19708</v>
      </c>
      <c r="K313" s="22" t="s">
        <v>19709</v>
      </c>
      <c r="L313" s="22"/>
      <c r="M313" s="22"/>
      <c r="N313" s="25"/>
    </row>
    <row r="314" spans="1:14" x14ac:dyDescent="0.25">
      <c r="A314" s="21" t="s">
        <v>7257</v>
      </c>
      <c r="B314" s="22" t="s">
        <v>7258</v>
      </c>
      <c r="C314" s="2">
        <v>9</v>
      </c>
      <c r="D314" s="23">
        <v>12</v>
      </c>
      <c r="E314" s="3">
        <v>108</v>
      </c>
      <c r="F314" s="2" t="s">
        <v>11220</v>
      </c>
      <c r="G314" s="22"/>
      <c r="H314" s="24" t="s">
        <v>20152</v>
      </c>
      <c r="I314" s="22" t="s">
        <v>19309</v>
      </c>
      <c r="J314" s="22" t="s">
        <v>19708</v>
      </c>
      <c r="K314" s="22" t="s">
        <v>19709</v>
      </c>
      <c r="L314" s="22"/>
      <c r="M314" s="22"/>
      <c r="N314" s="25"/>
    </row>
    <row r="315" spans="1:14" x14ac:dyDescent="0.25">
      <c r="A315" s="21" t="s">
        <v>7259</v>
      </c>
      <c r="B315" s="22" t="s">
        <v>7260</v>
      </c>
      <c r="C315" s="2">
        <v>2</v>
      </c>
      <c r="D315" s="23">
        <v>12</v>
      </c>
      <c r="E315" s="3">
        <v>24</v>
      </c>
      <c r="F315" s="2" t="s">
        <v>9659</v>
      </c>
      <c r="G315" s="22"/>
      <c r="H315" s="24" t="s">
        <v>19330</v>
      </c>
      <c r="I315" s="22" t="s">
        <v>19309</v>
      </c>
      <c r="J315" s="22" t="s">
        <v>19708</v>
      </c>
      <c r="K315" s="22" t="s">
        <v>19709</v>
      </c>
      <c r="L315" s="22"/>
      <c r="M315" s="22"/>
      <c r="N315" s="25"/>
    </row>
    <row r="316" spans="1:14" x14ac:dyDescent="0.25">
      <c r="A316" s="21" t="s">
        <v>7261</v>
      </c>
      <c r="B316" s="22" t="s">
        <v>7262</v>
      </c>
      <c r="C316" s="2">
        <v>28</v>
      </c>
      <c r="D316" s="23">
        <v>8.3000000000000007</v>
      </c>
      <c r="E316" s="3">
        <v>232.4</v>
      </c>
      <c r="F316" s="2" t="s">
        <v>9664</v>
      </c>
      <c r="G316" s="22" t="s">
        <v>19594</v>
      </c>
      <c r="H316" s="24" t="s">
        <v>20159</v>
      </c>
      <c r="I316" s="22" t="s">
        <v>19309</v>
      </c>
      <c r="J316" s="22" t="s">
        <v>19708</v>
      </c>
      <c r="K316" s="22" t="s">
        <v>19709</v>
      </c>
      <c r="L316" s="22"/>
      <c r="M316" s="22"/>
      <c r="N316" s="25"/>
    </row>
  </sheetData>
  <phoneticPr fontId="0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35"/>
  <sheetViews>
    <sheetView workbookViewId="0">
      <selection activeCell="D18" sqref="D18"/>
    </sheetView>
  </sheetViews>
  <sheetFormatPr defaultRowHeight="15" x14ac:dyDescent="0.25"/>
  <cols>
    <col min="1" max="1" width="14.42578125" customWidth="1"/>
    <col min="2" max="2" width="49.5703125" customWidth="1"/>
    <col min="3" max="4" width="15" customWidth="1"/>
    <col min="5" max="5" width="9.5703125" customWidth="1"/>
    <col min="6" max="6" width="14.42578125" customWidth="1"/>
    <col min="7" max="7" width="11.42578125" customWidth="1"/>
    <col min="8" max="9" width="10.85546875" customWidth="1"/>
    <col min="10" max="10" width="12.140625" customWidth="1"/>
    <col min="11" max="11" width="36.5703125" bestFit="1" customWidth="1"/>
    <col min="12" max="13" width="20.5703125" customWidth="1"/>
    <col min="14" max="14" width="64.42578125" customWidth="1"/>
  </cols>
  <sheetData>
    <row r="1" spans="1:14" ht="36" x14ac:dyDescent="0.25">
      <c r="A1" s="1" t="s">
        <v>19291</v>
      </c>
      <c r="B1" s="1" t="s">
        <v>19292</v>
      </c>
      <c r="C1" s="1" t="s">
        <v>19293</v>
      </c>
      <c r="D1" s="1" t="s">
        <v>19284</v>
      </c>
      <c r="E1" s="1" t="s">
        <v>19294</v>
      </c>
      <c r="F1" s="1" t="s">
        <v>19295</v>
      </c>
      <c r="G1" s="1" t="s">
        <v>19296</v>
      </c>
      <c r="H1" s="1" t="s">
        <v>19297</v>
      </c>
      <c r="I1" s="1" t="s">
        <v>19298</v>
      </c>
      <c r="J1" s="1" t="s">
        <v>19299</v>
      </c>
      <c r="K1" s="1" t="s">
        <v>19300</v>
      </c>
      <c r="L1" s="1" t="s">
        <v>19301</v>
      </c>
      <c r="M1" s="1" t="s">
        <v>19302</v>
      </c>
      <c r="N1" s="1" t="s">
        <v>19303</v>
      </c>
    </row>
    <row r="2" spans="1:14" ht="24.75" x14ac:dyDescent="0.25">
      <c r="A2" s="21" t="s">
        <v>19312</v>
      </c>
      <c r="B2" s="22" t="s">
        <v>19313</v>
      </c>
      <c r="C2" s="2">
        <v>1</v>
      </c>
      <c r="D2" s="23">
        <v>79.989999999999995</v>
      </c>
      <c r="E2" s="3">
        <v>79.989999999999995</v>
      </c>
      <c r="F2" s="2" t="s">
        <v>19314</v>
      </c>
      <c r="G2" s="22" t="s">
        <v>19315</v>
      </c>
      <c r="H2" s="24" t="s">
        <v>19316</v>
      </c>
      <c r="I2" s="22" t="s">
        <v>19309</v>
      </c>
      <c r="J2" s="22" t="s">
        <v>19317</v>
      </c>
      <c r="K2" s="22" t="s">
        <v>19318</v>
      </c>
      <c r="L2" s="22" t="s">
        <v>19319</v>
      </c>
      <c r="M2" s="22" t="s">
        <v>19320</v>
      </c>
      <c r="N2" s="25" t="str">
        <f>HYPERLINK("http://slimages.macys.com/is/image/MCY/11252408 ")</f>
        <v xml:space="preserve">http://slimages.macys.com/is/image/MCY/11252408 </v>
      </c>
    </row>
    <row r="3" spans="1:14" ht="24.75" x14ac:dyDescent="0.25">
      <c r="A3" s="21" t="s">
        <v>7263</v>
      </c>
      <c r="B3" s="22" t="s">
        <v>7264</v>
      </c>
      <c r="C3" s="2">
        <v>1</v>
      </c>
      <c r="D3" s="23">
        <v>75</v>
      </c>
      <c r="E3" s="3">
        <v>75</v>
      </c>
      <c r="F3" s="2">
        <v>320853655001</v>
      </c>
      <c r="G3" s="22" t="s">
        <v>19342</v>
      </c>
      <c r="H3" s="24" t="s">
        <v>19770</v>
      </c>
      <c r="I3" s="22" t="s">
        <v>19309</v>
      </c>
      <c r="J3" s="22" t="s">
        <v>19325</v>
      </c>
      <c r="K3" s="22" t="s">
        <v>19326</v>
      </c>
      <c r="L3" s="22"/>
      <c r="M3" s="22"/>
      <c r="N3" s="25" t="str">
        <f>HYPERLINK("http://slimages.macys.com/is/image/MCY/20057627 ")</f>
        <v xml:space="preserve">http://slimages.macys.com/is/image/MCY/20057627 </v>
      </c>
    </row>
    <row r="4" spans="1:14" ht="24.75" x14ac:dyDescent="0.25">
      <c r="A4" s="21" t="s">
        <v>7265</v>
      </c>
      <c r="B4" s="22" t="s">
        <v>7266</v>
      </c>
      <c r="C4" s="2">
        <v>1</v>
      </c>
      <c r="D4" s="23">
        <v>65</v>
      </c>
      <c r="E4" s="3">
        <v>65</v>
      </c>
      <c r="F4" s="2" t="s">
        <v>7267</v>
      </c>
      <c r="G4" s="22" t="s">
        <v>19351</v>
      </c>
      <c r="H4" s="24"/>
      <c r="I4" s="22" t="s">
        <v>19309</v>
      </c>
      <c r="J4" s="22" t="s">
        <v>15506</v>
      </c>
      <c r="K4" s="22" t="s">
        <v>11740</v>
      </c>
      <c r="L4" s="22"/>
      <c r="M4" s="22"/>
      <c r="N4" s="25" t="str">
        <f>HYPERLINK("http://slimages.macys.com/is/image/MCY/21151187 ")</f>
        <v xml:space="preserve">http://slimages.macys.com/is/image/MCY/21151187 </v>
      </c>
    </row>
    <row r="5" spans="1:14" ht="24.75" x14ac:dyDescent="0.25">
      <c r="A5" s="21" t="s">
        <v>7268</v>
      </c>
      <c r="B5" s="22" t="s">
        <v>17523</v>
      </c>
      <c r="C5" s="2">
        <v>1</v>
      </c>
      <c r="D5" s="23">
        <v>45</v>
      </c>
      <c r="E5" s="3">
        <v>45</v>
      </c>
      <c r="F5" s="2">
        <v>321870967001</v>
      </c>
      <c r="G5" s="22" t="s">
        <v>19333</v>
      </c>
      <c r="H5" s="24" t="s">
        <v>19392</v>
      </c>
      <c r="I5" s="22" t="s">
        <v>19309</v>
      </c>
      <c r="J5" s="22" t="s">
        <v>19335</v>
      </c>
      <c r="K5" s="22" t="s">
        <v>19326</v>
      </c>
      <c r="L5" s="22"/>
      <c r="M5" s="22"/>
      <c r="N5" s="25" t="str">
        <f>HYPERLINK("http://slimages.macys.com/is/image/MCY/21850393 ")</f>
        <v xml:space="preserve">http://slimages.macys.com/is/image/MCY/21850393 </v>
      </c>
    </row>
    <row r="6" spans="1:14" x14ac:dyDescent="0.25">
      <c r="A6" s="21" t="s">
        <v>7269</v>
      </c>
      <c r="B6" s="22" t="s">
        <v>7270</v>
      </c>
      <c r="C6" s="2">
        <v>1</v>
      </c>
      <c r="D6" s="23">
        <v>41.99</v>
      </c>
      <c r="E6" s="3">
        <v>41.99</v>
      </c>
      <c r="F6" s="2" t="s">
        <v>7271</v>
      </c>
      <c r="G6" s="22" t="s">
        <v>19351</v>
      </c>
      <c r="H6" s="24" t="s">
        <v>19364</v>
      </c>
      <c r="I6" s="22" t="s">
        <v>19309</v>
      </c>
      <c r="J6" s="22" t="s">
        <v>19310</v>
      </c>
      <c r="K6" s="22" t="s">
        <v>19529</v>
      </c>
      <c r="L6" s="22"/>
      <c r="M6" s="22"/>
      <c r="N6" s="25" t="str">
        <f>HYPERLINK("http://slimages.macys.com/is/image/MCY/20918784 ")</f>
        <v xml:space="preserve">http://slimages.macys.com/is/image/MCY/20918784 </v>
      </c>
    </row>
    <row r="7" spans="1:14" ht="24.75" x14ac:dyDescent="0.25">
      <c r="A7" s="21" t="s">
        <v>7272</v>
      </c>
      <c r="B7" s="22" t="s">
        <v>7273</v>
      </c>
      <c r="C7" s="2">
        <v>1</v>
      </c>
      <c r="D7" s="23">
        <v>35</v>
      </c>
      <c r="E7" s="3">
        <v>35</v>
      </c>
      <c r="F7" s="2">
        <v>321867158051</v>
      </c>
      <c r="G7" s="22" t="s">
        <v>19338</v>
      </c>
      <c r="H7" s="24" t="s">
        <v>19392</v>
      </c>
      <c r="I7" s="22" t="s">
        <v>19309</v>
      </c>
      <c r="J7" s="22" t="s">
        <v>19335</v>
      </c>
      <c r="K7" s="22" t="s">
        <v>19326</v>
      </c>
      <c r="L7" s="22"/>
      <c r="M7" s="22"/>
      <c r="N7" s="25" t="str">
        <f>HYPERLINK("http://slimages.macys.com/is/image/MCY/21997344 ")</f>
        <v xml:space="preserve">http://slimages.macys.com/is/image/MCY/21997344 </v>
      </c>
    </row>
    <row r="8" spans="1:14" ht="24.75" x14ac:dyDescent="0.25">
      <c r="A8" s="21" t="s">
        <v>7274</v>
      </c>
      <c r="B8" s="22" t="s">
        <v>7275</v>
      </c>
      <c r="C8" s="2">
        <v>1</v>
      </c>
      <c r="D8" s="23">
        <v>35</v>
      </c>
      <c r="E8" s="3">
        <v>35</v>
      </c>
      <c r="F8" s="2">
        <v>321867158051</v>
      </c>
      <c r="G8" s="22" t="s">
        <v>19338</v>
      </c>
      <c r="H8" s="24" t="s">
        <v>19345</v>
      </c>
      <c r="I8" s="22" t="s">
        <v>19309</v>
      </c>
      <c r="J8" s="22" t="s">
        <v>19335</v>
      </c>
      <c r="K8" s="22" t="s">
        <v>19326</v>
      </c>
      <c r="L8" s="22"/>
      <c r="M8" s="22"/>
      <c r="N8" s="25" t="str">
        <f>HYPERLINK("http://slimages.macys.com/is/image/MCY/21997344 ")</f>
        <v xml:space="preserve">http://slimages.macys.com/is/image/MCY/21997344 </v>
      </c>
    </row>
    <row r="9" spans="1:14" ht="24.75" x14ac:dyDescent="0.25">
      <c r="A9" s="21" t="s">
        <v>7276</v>
      </c>
      <c r="B9" s="22" t="s">
        <v>7277</v>
      </c>
      <c r="C9" s="2">
        <v>1</v>
      </c>
      <c r="D9" s="23">
        <v>44.99</v>
      </c>
      <c r="E9" s="3">
        <v>44.99</v>
      </c>
      <c r="F9" s="2" t="s">
        <v>15096</v>
      </c>
      <c r="G9" s="22" t="s">
        <v>19427</v>
      </c>
      <c r="H9" s="24" t="s">
        <v>19432</v>
      </c>
      <c r="I9" s="22" t="s">
        <v>19309</v>
      </c>
      <c r="J9" s="22" t="s">
        <v>19400</v>
      </c>
      <c r="K9" s="22" t="s">
        <v>19423</v>
      </c>
      <c r="L9" s="22"/>
      <c r="M9" s="22"/>
      <c r="N9" s="25" t="str">
        <f>HYPERLINK("http://slimages.macys.com/is/image/MCY/21306151 ")</f>
        <v xml:space="preserve">http://slimages.macys.com/is/image/MCY/21306151 </v>
      </c>
    </row>
    <row r="10" spans="1:14" ht="24.75" x14ac:dyDescent="0.25">
      <c r="A10" s="21" t="s">
        <v>11341</v>
      </c>
      <c r="B10" s="22" t="s">
        <v>11342</v>
      </c>
      <c r="C10" s="2">
        <v>1</v>
      </c>
      <c r="D10" s="23">
        <v>39.99</v>
      </c>
      <c r="E10" s="3">
        <v>39.99</v>
      </c>
      <c r="F10" s="2" t="s">
        <v>11340</v>
      </c>
      <c r="G10" s="22" t="s">
        <v>19594</v>
      </c>
      <c r="H10" s="24" t="s">
        <v>19377</v>
      </c>
      <c r="I10" s="22" t="s">
        <v>19309</v>
      </c>
      <c r="J10" s="22" t="s">
        <v>19378</v>
      </c>
      <c r="K10" s="22" t="s">
        <v>19479</v>
      </c>
      <c r="L10" s="22"/>
      <c r="M10" s="22"/>
      <c r="N10" s="25" t="str">
        <f>HYPERLINK("http://slimages.macys.com/is/image/MCY/21082163 ")</f>
        <v xml:space="preserve">http://slimages.macys.com/is/image/MCY/21082163 </v>
      </c>
    </row>
    <row r="11" spans="1:14" ht="24.75" x14ac:dyDescent="0.25">
      <c r="A11" s="21" t="s">
        <v>7278</v>
      </c>
      <c r="B11" s="22" t="s">
        <v>7279</v>
      </c>
      <c r="C11" s="2">
        <v>1</v>
      </c>
      <c r="D11" s="23">
        <v>48</v>
      </c>
      <c r="E11" s="3">
        <v>48</v>
      </c>
      <c r="F11" s="2" t="s">
        <v>13650</v>
      </c>
      <c r="G11" s="22" t="s">
        <v>19333</v>
      </c>
      <c r="H11" s="24" t="s">
        <v>19395</v>
      </c>
      <c r="I11" s="22" t="s">
        <v>19309</v>
      </c>
      <c r="J11" s="22" t="s">
        <v>19310</v>
      </c>
      <c r="K11" s="22" t="s">
        <v>15570</v>
      </c>
      <c r="L11" s="22"/>
      <c r="M11" s="22"/>
      <c r="N11" s="25" t="str">
        <f>HYPERLINK("http://slimages.macys.com/is/image/MCY/20840510 ")</f>
        <v xml:space="preserve">http://slimages.macys.com/is/image/MCY/20840510 </v>
      </c>
    </row>
    <row r="12" spans="1:14" ht="24.75" x14ac:dyDescent="0.25">
      <c r="A12" s="21" t="s">
        <v>7280</v>
      </c>
      <c r="B12" s="22" t="s">
        <v>7281</v>
      </c>
      <c r="C12" s="2">
        <v>1</v>
      </c>
      <c r="D12" s="23">
        <v>48</v>
      </c>
      <c r="E12" s="3">
        <v>48</v>
      </c>
      <c r="F12" s="2" t="s">
        <v>13650</v>
      </c>
      <c r="G12" s="22" t="s">
        <v>19333</v>
      </c>
      <c r="H12" s="24" t="s">
        <v>19361</v>
      </c>
      <c r="I12" s="22" t="s">
        <v>19309</v>
      </c>
      <c r="J12" s="22" t="s">
        <v>19310</v>
      </c>
      <c r="K12" s="22" t="s">
        <v>15570</v>
      </c>
      <c r="L12" s="22"/>
      <c r="M12" s="22"/>
      <c r="N12" s="25" t="str">
        <f>HYPERLINK("http://slimages.macys.com/is/image/MCY/20840510 ")</f>
        <v xml:space="preserve">http://slimages.macys.com/is/image/MCY/20840510 </v>
      </c>
    </row>
    <row r="13" spans="1:14" ht="24.75" x14ac:dyDescent="0.25">
      <c r="A13" s="21" t="s">
        <v>7282</v>
      </c>
      <c r="B13" s="22" t="s">
        <v>7283</v>
      </c>
      <c r="C13" s="2">
        <v>1</v>
      </c>
      <c r="D13" s="23">
        <v>48</v>
      </c>
      <c r="E13" s="3">
        <v>48</v>
      </c>
      <c r="F13" s="2" t="s">
        <v>7284</v>
      </c>
      <c r="G13" s="22" t="s">
        <v>19315</v>
      </c>
      <c r="H13" s="24" t="s">
        <v>19395</v>
      </c>
      <c r="I13" s="22" t="s">
        <v>19309</v>
      </c>
      <c r="J13" s="22" t="s">
        <v>19310</v>
      </c>
      <c r="K13" s="22" t="s">
        <v>15570</v>
      </c>
      <c r="L13" s="22"/>
      <c r="M13" s="22"/>
      <c r="N13" s="25" t="str">
        <f>HYPERLINK("http://slimages.macys.com/is/image/MCY/21163621 ")</f>
        <v xml:space="preserve">http://slimages.macys.com/is/image/MCY/21163621 </v>
      </c>
    </row>
    <row r="14" spans="1:14" ht="24.75" x14ac:dyDescent="0.25">
      <c r="A14" s="21" t="s">
        <v>7285</v>
      </c>
      <c r="B14" s="22" t="s">
        <v>7286</v>
      </c>
      <c r="C14" s="2">
        <v>1</v>
      </c>
      <c r="D14" s="23">
        <v>30.99</v>
      </c>
      <c r="E14" s="3">
        <v>30.99</v>
      </c>
      <c r="F14" s="2" t="s">
        <v>15560</v>
      </c>
      <c r="G14" s="22" t="s">
        <v>19315</v>
      </c>
      <c r="H14" s="24" t="s">
        <v>19352</v>
      </c>
      <c r="I14" s="22" t="s">
        <v>19309</v>
      </c>
      <c r="J14" s="22" t="s">
        <v>19447</v>
      </c>
      <c r="K14" s="22" t="s">
        <v>19533</v>
      </c>
      <c r="L14" s="22"/>
      <c r="M14" s="22"/>
      <c r="N14" s="25" t="str">
        <f>HYPERLINK("http://slimages.macys.com/is/image/MCY/20930974 ")</f>
        <v xml:space="preserve">http://slimages.macys.com/is/image/MCY/20930974 </v>
      </c>
    </row>
    <row r="15" spans="1:14" ht="24.75" x14ac:dyDescent="0.25">
      <c r="A15" s="21" t="s">
        <v>7287</v>
      </c>
      <c r="B15" s="22" t="s">
        <v>7288</v>
      </c>
      <c r="C15" s="2">
        <v>1</v>
      </c>
      <c r="D15" s="23">
        <v>31.99</v>
      </c>
      <c r="E15" s="3">
        <v>31.99</v>
      </c>
      <c r="F15" s="2" t="s">
        <v>7289</v>
      </c>
      <c r="G15" s="22" t="s">
        <v>19351</v>
      </c>
      <c r="H15" s="24" t="s">
        <v>19345</v>
      </c>
      <c r="I15" s="22" t="s">
        <v>19309</v>
      </c>
      <c r="J15" s="22" t="s">
        <v>19310</v>
      </c>
      <c r="K15" s="22" t="s">
        <v>7290</v>
      </c>
      <c r="L15" s="22"/>
      <c r="M15" s="22"/>
      <c r="N15" s="25" t="str">
        <f>HYPERLINK("http://slimages.macys.com/is/image/MCY/22246404 ")</f>
        <v xml:space="preserve">http://slimages.macys.com/is/image/MCY/22246404 </v>
      </c>
    </row>
    <row r="16" spans="1:14" ht="24.75" x14ac:dyDescent="0.25">
      <c r="A16" s="21" t="s">
        <v>7291</v>
      </c>
      <c r="B16" s="22" t="s">
        <v>7292</v>
      </c>
      <c r="C16" s="2">
        <v>1</v>
      </c>
      <c r="D16" s="23">
        <v>29.99</v>
      </c>
      <c r="E16" s="3">
        <v>29.99</v>
      </c>
      <c r="F16" s="2" t="s">
        <v>7293</v>
      </c>
      <c r="G16" s="22" t="s">
        <v>19307</v>
      </c>
      <c r="H16" s="24" t="s">
        <v>19416</v>
      </c>
      <c r="I16" s="22" t="s">
        <v>19309</v>
      </c>
      <c r="J16" s="22" t="s">
        <v>19491</v>
      </c>
      <c r="K16" s="22" t="s">
        <v>19463</v>
      </c>
      <c r="L16" s="22"/>
      <c r="M16" s="22"/>
      <c r="N16" s="25" t="str">
        <f>HYPERLINK("http://slimages.macys.com/is/image/MCY/18252184 ")</f>
        <v xml:space="preserve">http://slimages.macys.com/is/image/MCY/18252184 </v>
      </c>
    </row>
    <row r="17" spans="1:14" ht="24.75" x14ac:dyDescent="0.25">
      <c r="A17" s="21" t="s">
        <v>7294</v>
      </c>
      <c r="B17" s="22" t="s">
        <v>7295</v>
      </c>
      <c r="C17" s="2">
        <v>1</v>
      </c>
      <c r="D17" s="23">
        <v>41.99</v>
      </c>
      <c r="E17" s="3">
        <v>41.99</v>
      </c>
      <c r="F17" s="2" t="s">
        <v>19426</v>
      </c>
      <c r="G17" s="22" t="s">
        <v>19427</v>
      </c>
      <c r="H17" s="24" t="s">
        <v>19501</v>
      </c>
      <c r="I17" s="22" t="s">
        <v>19309</v>
      </c>
      <c r="J17" s="22" t="s">
        <v>19400</v>
      </c>
      <c r="K17" s="22" t="s">
        <v>19423</v>
      </c>
      <c r="L17" s="22"/>
      <c r="M17" s="22"/>
      <c r="N17" s="25" t="str">
        <f>HYPERLINK("http://slimages.macys.com/is/image/MCY/21621729 ")</f>
        <v xml:space="preserve">http://slimages.macys.com/is/image/MCY/21621729 </v>
      </c>
    </row>
    <row r="18" spans="1:14" ht="24.75" x14ac:dyDescent="0.25">
      <c r="A18" s="21" t="s">
        <v>7296</v>
      </c>
      <c r="B18" s="22" t="s">
        <v>7297</v>
      </c>
      <c r="C18" s="2">
        <v>1</v>
      </c>
      <c r="D18" s="23">
        <v>41.99</v>
      </c>
      <c r="E18" s="3">
        <v>41.99</v>
      </c>
      <c r="F18" s="2" t="s">
        <v>19426</v>
      </c>
      <c r="G18" s="22" t="s">
        <v>19427</v>
      </c>
      <c r="H18" s="24"/>
      <c r="I18" s="22" t="s">
        <v>19309</v>
      </c>
      <c r="J18" s="22" t="s">
        <v>19400</v>
      </c>
      <c r="K18" s="22" t="s">
        <v>19423</v>
      </c>
      <c r="L18" s="22"/>
      <c r="M18" s="22"/>
      <c r="N18" s="25" t="str">
        <f>HYPERLINK("http://slimages.macys.com/is/image/MCY/21621729 ")</f>
        <v xml:space="preserve">http://slimages.macys.com/is/image/MCY/21621729 </v>
      </c>
    </row>
    <row r="19" spans="1:14" ht="24.75" x14ac:dyDescent="0.25">
      <c r="A19" s="21" t="s">
        <v>7298</v>
      </c>
      <c r="B19" s="22" t="s">
        <v>7299</v>
      </c>
      <c r="C19" s="2">
        <v>1</v>
      </c>
      <c r="D19" s="23">
        <v>42.19</v>
      </c>
      <c r="E19" s="3">
        <v>42.19</v>
      </c>
      <c r="F19" s="2" t="s">
        <v>10292</v>
      </c>
      <c r="G19" s="22" t="s">
        <v>19323</v>
      </c>
      <c r="H19" s="24" t="s">
        <v>19364</v>
      </c>
      <c r="I19" s="22" t="s">
        <v>19309</v>
      </c>
      <c r="J19" s="22" t="s">
        <v>19595</v>
      </c>
      <c r="K19" s="22" t="s">
        <v>19423</v>
      </c>
      <c r="L19" s="22"/>
      <c r="M19" s="22"/>
      <c r="N19" s="25" t="str">
        <f>HYPERLINK("http://slimages.macys.com/is/image/MCY/20918679 ")</f>
        <v xml:space="preserve">http://slimages.macys.com/is/image/MCY/20918679 </v>
      </c>
    </row>
    <row r="20" spans="1:14" ht="24.75" x14ac:dyDescent="0.25">
      <c r="A20" s="21" t="s">
        <v>7300</v>
      </c>
      <c r="B20" s="22" t="s">
        <v>7301</v>
      </c>
      <c r="C20" s="2">
        <v>1</v>
      </c>
      <c r="D20" s="23">
        <v>29.99</v>
      </c>
      <c r="E20" s="3">
        <v>29.99</v>
      </c>
      <c r="F20" s="2" t="s">
        <v>7302</v>
      </c>
      <c r="G20" s="22" t="s">
        <v>19422</v>
      </c>
      <c r="H20" s="24" t="s">
        <v>19395</v>
      </c>
      <c r="I20" s="22" t="s">
        <v>19309</v>
      </c>
      <c r="J20" s="22" t="s">
        <v>19447</v>
      </c>
      <c r="K20" s="22" t="s">
        <v>13616</v>
      </c>
      <c r="L20" s="22"/>
      <c r="M20" s="22"/>
      <c r="N20" s="25" t="str">
        <f>HYPERLINK("http://slimages.macys.com/is/image/MCY/21163343 ")</f>
        <v xml:space="preserve">http://slimages.macys.com/is/image/MCY/21163343 </v>
      </c>
    </row>
    <row r="21" spans="1:14" x14ac:dyDescent="0.25">
      <c r="A21" s="21" t="s">
        <v>7303</v>
      </c>
      <c r="B21" s="22" t="s">
        <v>7304</v>
      </c>
      <c r="C21" s="2">
        <v>1</v>
      </c>
      <c r="D21" s="23">
        <v>29.27</v>
      </c>
      <c r="E21" s="3">
        <v>29.27</v>
      </c>
      <c r="F21" s="2" t="s">
        <v>7305</v>
      </c>
      <c r="G21" s="22" t="s">
        <v>19618</v>
      </c>
      <c r="H21" s="24" t="s">
        <v>19392</v>
      </c>
      <c r="I21" s="22" t="s">
        <v>19309</v>
      </c>
      <c r="J21" s="22" t="s">
        <v>19514</v>
      </c>
      <c r="K21" s="22" t="s">
        <v>19406</v>
      </c>
      <c r="L21" s="22"/>
      <c r="M21" s="22"/>
      <c r="N21" s="25" t="str">
        <f>HYPERLINK("http://slimages.macys.com/is/image/MCY/19764272 ")</f>
        <v xml:space="preserve">http://slimages.macys.com/is/image/MCY/19764272 </v>
      </c>
    </row>
    <row r="22" spans="1:14" ht="24.75" x14ac:dyDescent="0.25">
      <c r="A22" s="21" t="s">
        <v>11744</v>
      </c>
      <c r="B22" s="22" t="s">
        <v>11745</v>
      </c>
      <c r="C22" s="2">
        <v>2</v>
      </c>
      <c r="D22" s="23">
        <v>28.99</v>
      </c>
      <c r="E22" s="3">
        <v>57.98</v>
      </c>
      <c r="F22" s="2" t="s">
        <v>19461</v>
      </c>
      <c r="G22" s="22" t="s">
        <v>19462</v>
      </c>
      <c r="H22" s="24" t="s">
        <v>19324</v>
      </c>
      <c r="I22" s="22" t="s">
        <v>19309</v>
      </c>
      <c r="J22" s="22" t="s">
        <v>19385</v>
      </c>
      <c r="K22" s="22" t="s">
        <v>19463</v>
      </c>
      <c r="L22" s="22"/>
      <c r="M22" s="22"/>
      <c r="N22" s="25" t="str">
        <f>HYPERLINK("http://slimages.macys.com/is/image/MCY/21423842 ")</f>
        <v xml:space="preserve">http://slimages.macys.com/is/image/MCY/21423842 </v>
      </c>
    </row>
    <row r="23" spans="1:14" ht="24.75" x14ac:dyDescent="0.25">
      <c r="A23" s="21" t="s">
        <v>7306</v>
      </c>
      <c r="B23" s="22" t="s">
        <v>7307</v>
      </c>
      <c r="C23" s="2">
        <v>1</v>
      </c>
      <c r="D23" s="23">
        <v>28.33</v>
      </c>
      <c r="E23" s="3">
        <v>28.33</v>
      </c>
      <c r="F23" s="2" t="s">
        <v>7308</v>
      </c>
      <c r="G23" s="22" t="s">
        <v>19670</v>
      </c>
      <c r="H23" s="24"/>
      <c r="I23" s="22" t="s">
        <v>19309</v>
      </c>
      <c r="J23" s="22" t="s">
        <v>19565</v>
      </c>
      <c r="K23" s="22" t="s">
        <v>19566</v>
      </c>
      <c r="L23" s="22"/>
      <c r="M23" s="22"/>
      <c r="N23" s="25" t="str">
        <f>HYPERLINK("http://slimages.macys.com/is/image/MCY/21294505 ")</f>
        <v xml:space="preserve">http://slimages.macys.com/is/image/MCY/21294505 </v>
      </c>
    </row>
    <row r="24" spans="1:14" x14ac:dyDescent="0.25">
      <c r="A24" s="21" t="s">
        <v>7309</v>
      </c>
      <c r="B24" s="22" t="s">
        <v>7310</v>
      </c>
      <c r="C24" s="2">
        <v>1</v>
      </c>
      <c r="D24" s="23">
        <v>28.99</v>
      </c>
      <c r="E24" s="3">
        <v>28.99</v>
      </c>
      <c r="F24" s="2" t="s">
        <v>7311</v>
      </c>
      <c r="G24" s="22" t="s">
        <v>19431</v>
      </c>
      <c r="H24" s="24" t="s">
        <v>19395</v>
      </c>
      <c r="I24" s="22" t="s">
        <v>19309</v>
      </c>
      <c r="J24" s="22" t="s">
        <v>19310</v>
      </c>
      <c r="K24" s="22" t="s">
        <v>19433</v>
      </c>
      <c r="L24" s="22"/>
      <c r="M24" s="22"/>
      <c r="N24" s="25" t="str">
        <f>HYPERLINK("http://slimages.macys.com/is/image/MCY/21364786 ")</f>
        <v xml:space="preserve">http://slimages.macys.com/is/image/MCY/21364786 </v>
      </c>
    </row>
    <row r="25" spans="1:14" ht="24.75" x14ac:dyDescent="0.25">
      <c r="A25" s="21" t="s">
        <v>7312</v>
      </c>
      <c r="B25" s="22" t="s">
        <v>7313</v>
      </c>
      <c r="C25" s="2">
        <v>1</v>
      </c>
      <c r="D25" s="23">
        <v>29.99</v>
      </c>
      <c r="E25" s="3">
        <v>29.99</v>
      </c>
      <c r="F25" s="2" t="s">
        <v>19482</v>
      </c>
      <c r="G25" s="22" t="s">
        <v>19483</v>
      </c>
      <c r="H25" s="24" t="s">
        <v>19330</v>
      </c>
      <c r="I25" s="22" t="s">
        <v>19309</v>
      </c>
      <c r="J25" s="22" t="s">
        <v>19385</v>
      </c>
      <c r="K25" s="22" t="s">
        <v>19386</v>
      </c>
      <c r="L25" s="22"/>
      <c r="M25" s="22"/>
      <c r="N25" s="25" t="str">
        <f>HYPERLINK("http://slimages.macys.com/is/image/MCY/22297122 ")</f>
        <v xml:space="preserve">http://slimages.macys.com/is/image/MCY/22297122 </v>
      </c>
    </row>
    <row r="26" spans="1:14" ht="24.75" x14ac:dyDescent="0.25">
      <c r="A26" s="21" t="s">
        <v>7314</v>
      </c>
      <c r="B26" s="22" t="s">
        <v>7315</v>
      </c>
      <c r="C26" s="2">
        <v>1</v>
      </c>
      <c r="D26" s="23">
        <v>25.99</v>
      </c>
      <c r="E26" s="3">
        <v>25.99</v>
      </c>
      <c r="F26" s="2" t="s">
        <v>7316</v>
      </c>
      <c r="G26" s="22" t="s">
        <v>19307</v>
      </c>
      <c r="H26" s="24" t="s">
        <v>19364</v>
      </c>
      <c r="I26" s="22" t="s">
        <v>19309</v>
      </c>
      <c r="J26" s="22" t="s">
        <v>19447</v>
      </c>
      <c r="K26" s="22" t="s">
        <v>19311</v>
      </c>
      <c r="L26" s="22"/>
      <c r="M26" s="22"/>
      <c r="N26" s="25" t="str">
        <f>HYPERLINK("http://slimages.macys.com/is/image/MCY/18226673 ")</f>
        <v xml:space="preserve">http://slimages.macys.com/is/image/MCY/18226673 </v>
      </c>
    </row>
    <row r="27" spans="1:14" ht="24.75" x14ac:dyDescent="0.25">
      <c r="A27" s="21" t="s">
        <v>7317</v>
      </c>
      <c r="B27" s="22" t="s">
        <v>7318</v>
      </c>
      <c r="C27" s="2">
        <v>1</v>
      </c>
      <c r="D27" s="23">
        <v>26.99</v>
      </c>
      <c r="E27" s="3">
        <v>26.99</v>
      </c>
      <c r="F27" s="2" t="s">
        <v>19486</v>
      </c>
      <c r="G27" s="22" t="s">
        <v>19415</v>
      </c>
      <c r="H27" s="24" t="s">
        <v>19330</v>
      </c>
      <c r="I27" s="22" t="s">
        <v>19309</v>
      </c>
      <c r="J27" s="22" t="s">
        <v>19385</v>
      </c>
      <c r="K27" s="22" t="s">
        <v>19487</v>
      </c>
      <c r="L27" s="22"/>
      <c r="M27" s="22"/>
      <c r="N27" s="25" t="str">
        <f>HYPERLINK("http://slimages.macys.com/is/image/MCY/21856821 ")</f>
        <v xml:space="preserve">http://slimages.macys.com/is/image/MCY/21856821 </v>
      </c>
    </row>
    <row r="28" spans="1:14" ht="24.75" x14ac:dyDescent="0.25">
      <c r="A28" s="21" t="s">
        <v>11398</v>
      </c>
      <c r="B28" s="22" t="s">
        <v>11399</v>
      </c>
      <c r="C28" s="2">
        <v>3</v>
      </c>
      <c r="D28" s="23">
        <v>34.99</v>
      </c>
      <c r="E28" s="3">
        <v>104.97</v>
      </c>
      <c r="F28" s="2" t="s">
        <v>11400</v>
      </c>
      <c r="G28" s="22" t="s">
        <v>19333</v>
      </c>
      <c r="H28" s="24" t="s">
        <v>19316</v>
      </c>
      <c r="I28" s="22" t="s">
        <v>19309</v>
      </c>
      <c r="J28" s="22" t="s">
        <v>19400</v>
      </c>
      <c r="K28" s="22" t="s">
        <v>19479</v>
      </c>
      <c r="L28" s="22"/>
      <c r="M28" s="22"/>
      <c r="N28" s="25" t="str">
        <f>HYPERLINK("http://slimages.macys.com/is/image/MCY/21683529 ")</f>
        <v xml:space="preserve">http://slimages.macys.com/is/image/MCY/21683529 </v>
      </c>
    </row>
    <row r="29" spans="1:14" ht="24.75" x14ac:dyDescent="0.25">
      <c r="A29" s="21" t="s">
        <v>11396</v>
      </c>
      <c r="B29" s="22" t="s">
        <v>11397</v>
      </c>
      <c r="C29" s="2">
        <v>1</v>
      </c>
      <c r="D29" s="23">
        <v>34.99</v>
      </c>
      <c r="E29" s="3">
        <v>34.99</v>
      </c>
      <c r="F29" s="2" t="s">
        <v>19494</v>
      </c>
      <c r="G29" s="22" t="s">
        <v>19315</v>
      </c>
      <c r="H29" s="24" t="s">
        <v>19316</v>
      </c>
      <c r="I29" s="22" t="s">
        <v>19309</v>
      </c>
      <c r="J29" s="22" t="s">
        <v>19400</v>
      </c>
      <c r="K29" s="22" t="s">
        <v>19479</v>
      </c>
      <c r="L29" s="22"/>
      <c r="M29" s="22"/>
      <c r="N29" s="25" t="str">
        <f>HYPERLINK("http://slimages.macys.com/is/image/MCY/21683553 ")</f>
        <v xml:space="preserve">http://slimages.macys.com/is/image/MCY/21683553 </v>
      </c>
    </row>
    <row r="30" spans="1:14" ht="24.75" x14ac:dyDescent="0.25">
      <c r="A30" s="21" t="s">
        <v>7319</v>
      </c>
      <c r="B30" s="22" t="s">
        <v>7320</v>
      </c>
      <c r="C30" s="2">
        <v>1</v>
      </c>
      <c r="D30" s="23">
        <v>40</v>
      </c>
      <c r="E30" s="3">
        <v>40</v>
      </c>
      <c r="F30" s="2" t="s">
        <v>7321</v>
      </c>
      <c r="G30" s="22" t="s">
        <v>19763</v>
      </c>
      <c r="H30" s="24" t="s">
        <v>19334</v>
      </c>
      <c r="I30" s="22" t="s">
        <v>19309</v>
      </c>
      <c r="J30" s="22" t="s">
        <v>19310</v>
      </c>
      <c r="K30" s="22" t="s">
        <v>15570</v>
      </c>
      <c r="L30" s="22"/>
      <c r="M30" s="22"/>
      <c r="N30" s="25" t="str">
        <f>HYPERLINK("http://slimages.macys.com/is/image/MCY/19684866 ")</f>
        <v xml:space="preserve">http://slimages.macys.com/is/image/MCY/19684866 </v>
      </c>
    </row>
    <row r="31" spans="1:14" ht="24.75" x14ac:dyDescent="0.25">
      <c r="A31" s="21" t="s">
        <v>7322</v>
      </c>
      <c r="B31" s="22" t="s">
        <v>7323</v>
      </c>
      <c r="C31" s="2">
        <v>1</v>
      </c>
      <c r="D31" s="23">
        <v>34.99</v>
      </c>
      <c r="E31" s="3">
        <v>34.99</v>
      </c>
      <c r="F31" s="2" t="s">
        <v>19504</v>
      </c>
      <c r="G31" s="22" t="s">
        <v>19351</v>
      </c>
      <c r="H31" s="24" t="s">
        <v>19501</v>
      </c>
      <c r="I31" s="22" t="s">
        <v>19309</v>
      </c>
      <c r="J31" s="22" t="s">
        <v>19400</v>
      </c>
      <c r="K31" s="22" t="s">
        <v>19479</v>
      </c>
      <c r="L31" s="22"/>
      <c r="M31" s="22"/>
      <c r="N31" s="25" t="str">
        <f>HYPERLINK("http://slimages.macys.com/is/image/MCY/21683538 ")</f>
        <v xml:space="preserve">http://slimages.macys.com/is/image/MCY/21683538 </v>
      </c>
    </row>
    <row r="32" spans="1:14" ht="24.75" x14ac:dyDescent="0.25">
      <c r="A32" s="21" t="s">
        <v>17638</v>
      </c>
      <c r="B32" s="22" t="s">
        <v>17639</v>
      </c>
      <c r="C32" s="2">
        <v>1</v>
      </c>
      <c r="D32" s="23">
        <v>26.99</v>
      </c>
      <c r="E32" s="3">
        <v>26.99</v>
      </c>
      <c r="F32" s="2" t="s">
        <v>17640</v>
      </c>
      <c r="G32" s="22" t="s">
        <v>19518</v>
      </c>
      <c r="H32" s="24" t="s">
        <v>19384</v>
      </c>
      <c r="I32" s="22" t="s">
        <v>19309</v>
      </c>
      <c r="J32" s="22" t="s">
        <v>19573</v>
      </c>
      <c r="K32" s="22" t="s">
        <v>19574</v>
      </c>
      <c r="L32" s="22"/>
      <c r="M32" s="22"/>
      <c r="N32" s="25" t="str">
        <f>HYPERLINK("http://slimages.macys.com/is/image/MCY/21731881 ")</f>
        <v xml:space="preserve">http://slimages.macys.com/is/image/MCY/21731881 </v>
      </c>
    </row>
    <row r="33" spans="1:14" ht="24.75" x14ac:dyDescent="0.25">
      <c r="A33" s="21" t="s">
        <v>7324</v>
      </c>
      <c r="B33" s="22" t="s">
        <v>7325</v>
      </c>
      <c r="C33" s="2">
        <v>1</v>
      </c>
      <c r="D33" s="23">
        <v>25.99</v>
      </c>
      <c r="E33" s="3">
        <v>25.99</v>
      </c>
      <c r="F33" s="2" t="s">
        <v>17649</v>
      </c>
      <c r="G33" s="22" t="s">
        <v>19886</v>
      </c>
      <c r="H33" s="24" t="s">
        <v>19416</v>
      </c>
      <c r="I33" s="22" t="s">
        <v>19309</v>
      </c>
      <c r="J33" s="22" t="s">
        <v>19491</v>
      </c>
      <c r="K33" s="22" t="s">
        <v>19463</v>
      </c>
      <c r="L33" s="22"/>
      <c r="M33" s="22"/>
      <c r="N33" s="25" t="str">
        <f>HYPERLINK("http://slimages.macys.com/is/image/MCY/22035970 ")</f>
        <v xml:space="preserve">http://slimages.macys.com/is/image/MCY/22035970 </v>
      </c>
    </row>
    <row r="34" spans="1:14" ht="24.75" x14ac:dyDescent="0.25">
      <c r="A34" s="21" t="s">
        <v>15171</v>
      </c>
      <c r="B34" s="22" t="s">
        <v>15172</v>
      </c>
      <c r="C34" s="2">
        <v>1</v>
      </c>
      <c r="D34" s="23">
        <v>35.99</v>
      </c>
      <c r="E34" s="3">
        <v>35.99</v>
      </c>
      <c r="F34" s="2" t="s">
        <v>15166</v>
      </c>
      <c r="G34" s="22" t="s">
        <v>19357</v>
      </c>
      <c r="H34" s="24" t="s">
        <v>19399</v>
      </c>
      <c r="I34" s="22" t="s">
        <v>19309</v>
      </c>
      <c r="J34" s="22" t="s">
        <v>19400</v>
      </c>
      <c r="K34" s="22" t="s">
        <v>19423</v>
      </c>
      <c r="L34" s="22"/>
      <c r="M34" s="22"/>
      <c r="N34" s="25" t="str">
        <f>HYPERLINK("http://slimages.macys.com/is/image/MCY/22060053 ")</f>
        <v xml:space="preserve">http://slimages.macys.com/is/image/MCY/22060053 </v>
      </c>
    </row>
    <row r="35" spans="1:14" ht="24.75" x14ac:dyDescent="0.25">
      <c r="A35" s="21" t="s">
        <v>7326</v>
      </c>
      <c r="B35" s="22" t="s">
        <v>7327</v>
      </c>
      <c r="C35" s="2">
        <v>1</v>
      </c>
      <c r="D35" s="23">
        <v>32</v>
      </c>
      <c r="E35" s="3">
        <v>32</v>
      </c>
      <c r="F35" s="2" t="s">
        <v>7328</v>
      </c>
      <c r="G35" s="22" t="s">
        <v>19342</v>
      </c>
      <c r="H35" s="24" t="s">
        <v>19361</v>
      </c>
      <c r="I35" s="22" t="s">
        <v>19309</v>
      </c>
      <c r="J35" s="22" t="s">
        <v>19550</v>
      </c>
      <c r="K35" s="22" t="s">
        <v>19554</v>
      </c>
      <c r="L35" s="22"/>
      <c r="M35" s="22"/>
      <c r="N35" s="25" t="str">
        <f>HYPERLINK("http://slimages.macys.com/is/image/MCY/19726319 ")</f>
        <v xml:space="preserve">http://slimages.macys.com/is/image/MCY/19726319 </v>
      </c>
    </row>
    <row r="36" spans="1:14" ht="24.75" x14ac:dyDescent="0.25">
      <c r="A36" s="21" t="s">
        <v>7329</v>
      </c>
      <c r="B36" s="22" t="s">
        <v>7330</v>
      </c>
      <c r="C36" s="2">
        <v>1</v>
      </c>
      <c r="D36" s="23">
        <v>28.99</v>
      </c>
      <c r="E36" s="3">
        <v>28.99</v>
      </c>
      <c r="F36" s="2" t="s">
        <v>7331</v>
      </c>
      <c r="G36" s="22" t="s">
        <v>19342</v>
      </c>
      <c r="H36" s="24" t="s">
        <v>19377</v>
      </c>
      <c r="I36" s="22" t="s">
        <v>19309</v>
      </c>
      <c r="J36" s="22" t="s">
        <v>19550</v>
      </c>
      <c r="K36" s="22" t="s">
        <v>19546</v>
      </c>
      <c r="L36" s="22"/>
      <c r="M36" s="22"/>
      <c r="N36" s="25" t="str">
        <f>HYPERLINK("http://slimages.macys.com/is/image/MCY/19731642 ")</f>
        <v xml:space="preserve">http://slimages.macys.com/is/image/MCY/19731642 </v>
      </c>
    </row>
    <row r="37" spans="1:14" x14ac:dyDescent="0.25">
      <c r="A37" s="21" t="s">
        <v>7332</v>
      </c>
      <c r="B37" s="22" t="s">
        <v>7333</v>
      </c>
      <c r="C37" s="2">
        <v>1</v>
      </c>
      <c r="D37" s="23">
        <v>25.99</v>
      </c>
      <c r="E37" s="3">
        <v>25.99</v>
      </c>
      <c r="F37" s="2" t="s">
        <v>19569</v>
      </c>
      <c r="G37" s="22" t="s">
        <v>19333</v>
      </c>
      <c r="H37" s="24" t="s">
        <v>19361</v>
      </c>
      <c r="I37" s="22" t="s">
        <v>19309</v>
      </c>
      <c r="J37" s="22" t="s">
        <v>19310</v>
      </c>
      <c r="K37" s="22" t="s">
        <v>19433</v>
      </c>
      <c r="L37" s="22"/>
      <c r="M37" s="22"/>
      <c r="N37" s="25" t="str">
        <f>HYPERLINK("http://slimages.macys.com/is/image/MCY/21964510 ")</f>
        <v xml:space="preserve">http://slimages.macys.com/is/image/MCY/21964510 </v>
      </c>
    </row>
    <row r="38" spans="1:14" ht="24.75" x14ac:dyDescent="0.25">
      <c r="A38" s="21" t="s">
        <v>7334</v>
      </c>
      <c r="B38" s="22" t="s">
        <v>7335</v>
      </c>
      <c r="C38" s="2">
        <v>1</v>
      </c>
      <c r="D38" s="23">
        <v>29.99</v>
      </c>
      <c r="E38" s="3">
        <v>29.99</v>
      </c>
      <c r="F38" s="2" t="s">
        <v>7336</v>
      </c>
      <c r="G38" s="22" t="s">
        <v>19763</v>
      </c>
      <c r="H38" s="24" t="s">
        <v>19330</v>
      </c>
      <c r="I38" s="22" t="s">
        <v>19309</v>
      </c>
      <c r="J38" s="22" t="s">
        <v>19385</v>
      </c>
      <c r="K38" s="22" t="s">
        <v>19386</v>
      </c>
      <c r="L38" s="22"/>
      <c r="M38" s="22"/>
      <c r="N38" s="25" t="str">
        <f>HYPERLINK("http://slimages.macys.com/is/image/MCY/19655472 ")</f>
        <v xml:space="preserve">http://slimages.macys.com/is/image/MCY/19655472 </v>
      </c>
    </row>
    <row r="39" spans="1:14" ht="24.75" x14ac:dyDescent="0.25">
      <c r="A39" s="21" t="s">
        <v>7337</v>
      </c>
      <c r="B39" s="22" t="s">
        <v>7338</v>
      </c>
      <c r="C39" s="2">
        <v>1</v>
      </c>
      <c r="D39" s="23">
        <v>26.99</v>
      </c>
      <c r="E39" s="3">
        <v>26.99</v>
      </c>
      <c r="F39" s="2" t="s">
        <v>11788</v>
      </c>
      <c r="G39" s="22" t="s">
        <v>19513</v>
      </c>
      <c r="H39" s="24" t="s">
        <v>19345</v>
      </c>
      <c r="I39" s="22" t="s">
        <v>19309</v>
      </c>
      <c r="J39" s="22" t="s">
        <v>19595</v>
      </c>
      <c r="K39" s="22" t="s">
        <v>19596</v>
      </c>
      <c r="L39" s="22"/>
      <c r="M39" s="22"/>
      <c r="N39" s="25" t="str">
        <f>HYPERLINK("http://slimages.macys.com/is/image/MCY/21622972 ")</f>
        <v xml:space="preserve">http://slimages.macys.com/is/image/MCY/21622972 </v>
      </c>
    </row>
    <row r="40" spans="1:14" ht="24.75" x14ac:dyDescent="0.25">
      <c r="A40" s="21" t="s">
        <v>7339</v>
      </c>
      <c r="B40" s="22" t="s">
        <v>7340</v>
      </c>
      <c r="C40" s="2">
        <v>1</v>
      </c>
      <c r="D40" s="23">
        <v>26.99</v>
      </c>
      <c r="E40" s="3">
        <v>26.99</v>
      </c>
      <c r="F40" s="2" t="s">
        <v>11424</v>
      </c>
      <c r="G40" s="22" t="s">
        <v>19906</v>
      </c>
      <c r="H40" s="24" t="s">
        <v>19395</v>
      </c>
      <c r="I40" s="22" t="s">
        <v>19309</v>
      </c>
      <c r="J40" s="22" t="s">
        <v>19595</v>
      </c>
      <c r="K40" s="22" t="s">
        <v>19596</v>
      </c>
      <c r="L40" s="22"/>
      <c r="M40" s="22"/>
      <c r="N40" s="25" t="str">
        <f>HYPERLINK("http://slimages.macys.com/is/image/MCY/21623092 ")</f>
        <v xml:space="preserve">http://slimages.macys.com/is/image/MCY/21623092 </v>
      </c>
    </row>
    <row r="41" spans="1:14" ht="24.75" x14ac:dyDescent="0.25">
      <c r="A41" s="21" t="s">
        <v>7341</v>
      </c>
      <c r="B41" s="22" t="s">
        <v>7342</v>
      </c>
      <c r="C41" s="2">
        <v>1</v>
      </c>
      <c r="D41" s="23">
        <v>26.99</v>
      </c>
      <c r="E41" s="3">
        <v>26.99</v>
      </c>
      <c r="F41" s="2" t="s">
        <v>11788</v>
      </c>
      <c r="G41" s="22" t="s">
        <v>19513</v>
      </c>
      <c r="H41" s="24" t="s">
        <v>19334</v>
      </c>
      <c r="I41" s="22" t="s">
        <v>19309</v>
      </c>
      <c r="J41" s="22" t="s">
        <v>19595</v>
      </c>
      <c r="K41" s="22" t="s">
        <v>19596</v>
      </c>
      <c r="L41" s="22"/>
      <c r="M41" s="22"/>
      <c r="N41" s="25" t="str">
        <f>HYPERLINK("http://slimages.macys.com/is/image/MCY/21622972 ")</f>
        <v xml:space="preserve">http://slimages.macys.com/is/image/MCY/21622972 </v>
      </c>
    </row>
    <row r="42" spans="1:14" ht="24.75" x14ac:dyDescent="0.25">
      <c r="A42" s="21" t="s">
        <v>7343</v>
      </c>
      <c r="B42" s="22" t="s">
        <v>7344</v>
      </c>
      <c r="C42" s="2">
        <v>2</v>
      </c>
      <c r="D42" s="23">
        <v>26.23</v>
      </c>
      <c r="E42" s="3">
        <v>52.46</v>
      </c>
      <c r="F42" s="2" t="s">
        <v>7345</v>
      </c>
      <c r="G42" s="22"/>
      <c r="H42" s="24" t="s">
        <v>19395</v>
      </c>
      <c r="I42" s="22" t="s">
        <v>19309</v>
      </c>
      <c r="J42" s="22" t="s">
        <v>19602</v>
      </c>
      <c r="K42" s="22" t="s">
        <v>19603</v>
      </c>
      <c r="L42" s="22"/>
      <c r="M42" s="22"/>
      <c r="N42" s="25" t="str">
        <f>HYPERLINK("http://slimages.macys.com/is/image/MCY/21421524 ")</f>
        <v xml:space="preserve">http://slimages.macys.com/is/image/MCY/21421524 </v>
      </c>
    </row>
    <row r="43" spans="1:14" ht="24.75" x14ac:dyDescent="0.25">
      <c r="A43" s="21" t="s">
        <v>15635</v>
      </c>
      <c r="B43" s="22" t="s">
        <v>15636</v>
      </c>
      <c r="C43" s="2">
        <v>1</v>
      </c>
      <c r="D43" s="23">
        <v>24.99</v>
      </c>
      <c r="E43" s="3">
        <v>24.99</v>
      </c>
      <c r="F43" s="2" t="s">
        <v>15632</v>
      </c>
      <c r="G43" s="22" t="s">
        <v>19342</v>
      </c>
      <c r="H43" s="24" t="s">
        <v>19330</v>
      </c>
      <c r="I43" s="22" t="s">
        <v>19309</v>
      </c>
      <c r="J43" s="22" t="s">
        <v>19491</v>
      </c>
      <c r="K43" s="22" t="s">
        <v>19554</v>
      </c>
      <c r="L43" s="22"/>
      <c r="M43" s="22"/>
      <c r="N43" s="25" t="str">
        <f>HYPERLINK("http://slimages.macys.com/is/image/MCY/21779045 ")</f>
        <v xml:space="preserve">http://slimages.macys.com/is/image/MCY/21779045 </v>
      </c>
    </row>
    <row r="44" spans="1:14" ht="24.75" x14ac:dyDescent="0.25">
      <c r="A44" s="21" t="s">
        <v>17696</v>
      </c>
      <c r="B44" s="22" t="s">
        <v>17697</v>
      </c>
      <c r="C44" s="2">
        <v>1</v>
      </c>
      <c r="D44" s="23">
        <v>24.99</v>
      </c>
      <c r="E44" s="3">
        <v>24.99</v>
      </c>
      <c r="F44" s="2" t="s">
        <v>19609</v>
      </c>
      <c r="G44" s="22" t="s">
        <v>19342</v>
      </c>
      <c r="H44" s="24" t="s">
        <v>19324</v>
      </c>
      <c r="I44" s="22" t="s">
        <v>19309</v>
      </c>
      <c r="J44" s="22" t="s">
        <v>19491</v>
      </c>
      <c r="K44" s="22" t="s">
        <v>19554</v>
      </c>
      <c r="L44" s="22"/>
      <c r="M44" s="22"/>
      <c r="N44" s="25" t="str">
        <f>HYPERLINK("http://slimages.macys.com/is/image/MCY/21483061 ")</f>
        <v xml:space="preserve">http://slimages.macys.com/is/image/MCY/21483061 </v>
      </c>
    </row>
    <row r="45" spans="1:14" ht="24.75" x14ac:dyDescent="0.25">
      <c r="A45" s="21" t="s">
        <v>15633</v>
      </c>
      <c r="B45" s="22" t="s">
        <v>15634</v>
      </c>
      <c r="C45" s="2">
        <v>1</v>
      </c>
      <c r="D45" s="23">
        <v>24.99</v>
      </c>
      <c r="E45" s="3">
        <v>24.99</v>
      </c>
      <c r="F45" s="2" t="s">
        <v>15632</v>
      </c>
      <c r="G45" s="22" t="s">
        <v>19342</v>
      </c>
      <c r="H45" s="24" t="s">
        <v>19416</v>
      </c>
      <c r="I45" s="22" t="s">
        <v>19309</v>
      </c>
      <c r="J45" s="22" t="s">
        <v>19491</v>
      </c>
      <c r="K45" s="22" t="s">
        <v>19554</v>
      </c>
      <c r="L45" s="22"/>
      <c r="M45" s="22"/>
      <c r="N45" s="25" t="str">
        <f>HYPERLINK("http://slimages.macys.com/is/image/MCY/21779045 ")</f>
        <v xml:space="preserve">http://slimages.macys.com/is/image/MCY/21779045 </v>
      </c>
    </row>
    <row r="46" spans="1:14" ht="24.75" x14ac:dyDescent="0.25">
      <c r="A46" s="21" t="s">
        <v>7346</v>
      </c>
      <c r="B46" s="22" t="s">
        <v>7347</v>
      </c>
      <c r="C46" s="2">
        <v>1</v>
      </c>
      <c r="D46" s="23">
        <v>24.99</v>
      </c>
      <c r="E46" s="3">
        <v>24.99</v>
      </c>
      <c r="F46" s="2" t="s">
        <v>7348</v>
      </c>
      <c r="G46" s="22" t="s">
        <v>19342</v>
      </c>
      <c r="H46" s="24" t="s">
        <v>19416</v>
      </c>
      <c r="I46" s="22" t="s">
        <v>19309</v>
      </c>
      <c r="J46" s="22" t="s">
        <v>19491</v>
      </c>
      <c r="K46" s="22" t="s">
        <v>19546</v>
      </c>
      <c r="L46" s="22"/>
      <c r="M46" s="22"/>
      <c r="N46" s="25" t="str">
        <f>HYPERLINK("http://slimages.macys.com/is/image/MCY/21583903 ")</f>
        <v xml:space="preserve">http://slimages.macys.com/is/image/MCY/21583903 </v>
      </c>
    </row>
    <row r="47" spans="1:14" ht="24.75" x14ac:dyDescent="0.25">
      <c r="A47" s="21" t="s">
        <v>15645</v>
      </c>
      <c r="B47" s="22" t="s">
        <v>15646</v>
      </c>
      <c r="C47" s="2">
        <v>2</v>
      </c>
      <c r="D47" s="23">
        <v>26.99</v>
      </c>
      <c r="E47" s="3">
        <v>53.98</v>
      </c>
      <c r="F47" s="2" t="s">
        <v>17700</v>
      </c>
      <c r="G47" s="22" t="s">
        <v>19528</v>
      </c>
      <c r="H47" s="24" t="s">
        <v>19324</v>
      </c>
      <c r="I47" s="22" t="s">
        <v>19309</v>
      </c>
      <c r="J47" s="22" t="s">
        <v>19385</v>
      </c>
      <c r="K47" s="22" t="s">
        <v>19463</v>
      </c>
      <c r="L47" s="22"/>
      <c r="M47" s="22"/>
      <c r="N47" s="25" t="str">
        <f>HYPERLINK("http://slimages.macys.com/is/image/MCY/22291356 ")</f>
        <v xml:space="preserve">http://slimages.macys.com/is/image/MCY/22291356 </v>
      </c>
    </row>
    <row r="48" spans="1:14" ht="24.75" x14ac:dyDescent="0.25">
      <c r="A48" s="21" t="s">
        <v>7349</v>
      </c>
      <c r="B48" s="22" t="s">
        <v>7350</v>
      </c>
      <c r="C48" s="2">
        <v>1</v>
      </c>
      <c r="D48" s="23">
        <v>22.99</v>
      </c>
      <c r="E48" s="3">
        <v>22.99</v>
      </c>
      <c r="F48" s="2" t="s">
        <v>7351</v>
      </c>
      <c r="G48" s="22" t="s">
        <v>19415</v>
      </c>
      <c r="H48" s="24" t="s">
        <v>19416</v>
      </c>
      <c r="I48" s="22" t="s">
        <v>19309</v>
      </c>
      <c r="J48" s="22" t="s">
        <v>19385</v>
      </c>
      <c r="K48" s="22" t="s">
        <v>19406</v>
      </c>
      <c r="L48" s="22"/>
      <c r="M48" s="22"/>
      <c r="N48" s="25" t="str">
        <f>HYPERLINK("http://slimages.macys.com/is/image/MCY/21184940 ")</f>
        <v xml:space="preserve">http://slimages.macys.com/is/image/MCY/21184940 </v>
      </c>
    </row>
    <row r="49" spans="1:14" ht="24.75" x14ac:dyDescent="0.25">
      <c r="A49" s="21" t="s">
        <v>7352</v>
      </c>
      <c r="B49" s="22" t="s">
        <v>7353</v>
      </c>
      <c r="C49" s="2">
        <v>1</v>
      </c>
      <c r="D49" s="23">
        <v>44.5</v>
      </c>
      <c r="E49" s="3">
        <v>44.5</v>
      </c>
      <c r="F49" s="2" t="s">
        <v>7354</v>
      </c>
      <c r="G49" s="22" t="s">
        <v>19315</v>
      </c>
      <c r="H49" s="24" t="s">
        <v>19478</v>
      </c>
      <c r="I49" s="22" t="s">
        <v>19309</v>
      </c>
      <c r="J49" s="22" t="s">
        <v>15149</v>
      </c>
      <c r="K49" s="22" t="s">
        <v>7355</v>
      </c>
      <c r="L49" s="22"/>
      <c r="M49" s="22"/>
      <c r="N49" s="25" t="str">
        <f>HYPERLINK("http://slimages.macys.com/is/image/MCY/19881296 ")</f>
        <v xml:space="preserve">http://slimages.macys.com/is/image/MCY/19881296 </v>
      </c>
    </row>
    <row r="50" spans="1:14" ht="24.75" x14ac:dyDescent="0.25">
      <c r="A50" s="21" t="s">
        <v>7356</v>
      </c>
      <c r="B50" s="22" t="s">
        <v>7357</v>
      </c>
      <c r="C50" s="2">
        <v>1</v>
      </c>
      <c r="D50" s="23">
        <v>32.99</v>
      </c>
      <c r="E50" s="3">
        <v>32.99</v>
      </c>
      <c r="F50" s="2" t="s">
        <v>12922</v>
      </c>
      <c r="G50" s="22" t="s">
        <v>19404</v>
      </c>
      <c r="H50" s="24" t="s">
        <v>19352</v>
      </c>
      <c r="I50" s="22" t="s">
        <v>19309</v>
      </c>
      <c r="J50" s="22" t="s">
        <v>19595</v>
      </c>
      <c r="K50" s="22" t="s">
        <v>19423</v>
      </c>
      <c r="L50" s="22"/>
      <c r="M50" s="22"/>
      <c r="N50" s="25" t="str">
        <f>HYPERLINK("http://slimages.macys.com/is/image/MCY/21398445 ")</f>
        <v xml:space="preserve">http://slimages.macys.com/is/image/MCY/21398445 </v>
      </c>
    </row>
    <row r="51" spans="1:14" ht="24.75" x14ac:dyDescent="0.25">
      <c r="A51" s="21" t="s">
        <v>7358</v>
      </c>
      <c r="B51" s="22" t="s">
        <v>7359</v>
      </c>
      <c r="C51" s="2">
        <v>1</v>
      </c>
      <c r="D51" s="23">
        <v>29.99</v>
      </c>
      <c r="E51" s="3">
        <v>29.99</v>
      </c>
      <c r="F51" s="2" t="s">
        <v>17740</v>
      </c>
      <c r="G51" s="22" t="s">
        <v>19498</v>
      </c>
      <c r="H51" s="24" t="s">
        <v>19361</v>
      </c>
      <c r="I51" s="22" t="s">
        <v>19309</v>
      </c>
      <c r="J51" s="22" t="s">
        <v>19378</v>
      </c>
      <c r="K51" s="22" t="s">
        <v>19479</v>
      </c>
      <c r="L51" s="22"/>
      <c r="M51" s="22"/>
      <c r="N51" s="25" t="str">
        <f>HYPERLINK("http://slimages.macys.com/is/image/MCY/21688674 ")</f>
        <v xml:space="preserve">http://slimages.macys.com/is/image/MCY/21688674 </v>
      </c>
    </row>
    <row r="52" spans="1:14" ht="24.75" x14ac:dyDescent="0.25">
      <c r="A52" s="21" t="s">
        <v>15200</v>
      </c>
      <c r="B52" s="22" t="s">
        <v>15201</v>
      </c>
      <c r="C52" s="2">
        <v>1</v>
      </c>
      <c r="D52" s="23">
        <v>32.99</v>
      </c>
      <c r="E52" s="3">
        <v>32.99</v>
      </c>
      <c r="F52" s="2" t="s">
        <v>15202</v>
      </c>
      <c r="G52" s="22" t="s">
        <v>15203</v>
      </c>
      <c r="H52" s="24" t="s">
        <v>19364</v>
      </c>
      <c r="I52" s="22" t="s">
        <v>19309</v>
      </c>
      <c r="J52" s="22" t="s">
        <v>19595</v>
      </c>
      <c r="K52" s="22" t="s">
        <v>19423</v>
      </c>
      <c r="L52" s="22"/>
      <c r="M52" s="22"/>
      <c r="N52" s="25" t="str">
        <f>HYPERLINK("http://slimages.macys.com/is/image/MCY/21398445 ")</f>
        <v xml:space="preserve">http://slimages.macys.com/is/image/MCY/21398445 </v>
      </c>
    </row>
    <row r="53" spans="1:14" ht="24.75" x14ac:dyDescent="0.25">
      <c r="A53" s="21" t="s">
        <v>17726</v>
      </c>
      <c r="B53" s="22" t="s">
        <v>17727</v>
      </c>
      <c r="C53" s="2">
        <v>1</v>
      </c>
      <c r="D53" s="23">
        <v>32.99</v>
      </c>
      <c r="E53" s="3">
        <v>32.99</v>
      </c>
      <c r="F53" s="2" t="s">
        <v>17728</v>
      </c>
      <c r="G53" s="22"/>
      <c r="H53" s="24" t="s">
        <v>19797</v>
      </c>
      <c r="I53" s="22" t="s">
        <v>19309</v>
      </c>
      <c r="J53" s="22" t="s">
        <v>19595</v>
      </c>
      <c r="K53" s="22" t="s">
        <v>19423</v>
      </c>
      <c r="L53" s="22"/>
      <c r="M53" s="22"/>
      <c r="N53" s="25" t="str">
        <f>HYPERLINK("http://slimages.macys.com/is/image/MCY/21423347 ")</f>
        <v xml:space="preserve">http://slimages.macys.com/is/image/MCY/21423347 </v>
      </c>
    </row>
    <row r="54" spans="1:14" ht="24.75" x14ac:dyDescent="0.25">
      <c r="A54" s="21" t="s">
        <v>15204</v>
      </c>
      <c r="B54" s="22" t="s">
        <v>15205</v>
      </c>
      <c r="C54" s="2">
        <v>1</v>
      </c>
      <c r="D54" s="23">
        <v>32.99</v>
      </c>
      <c r="E54" s="3">
        <v>32.99</v>
      </c>
      <c r="F54" s="2" t="s">
        <v>15206</v>
      </c>
      <c r="G54" s="22" t="s">
        <v>19351</v>
      </c>
      <c r="H54" s="24" t="s">
        <v>19352</v>
      </c>
      <c r="I54" s="22" t="s">
        <v>19309</v>
      </c>
      <c r="J54" s="22" t="s">
        <v>19595</v>
      </c>
      <c r="K54" s="22" t="s">
        <v>19423</v>
      </c>
      <c r="L54" s="22"/>
      <c r="M54" s="22"/>
      <c r="N54" s="25" t="str">
        <f>HYPERLINK("http://slimages.macys.com/is/image/MCY/21398479 ")</f>
        <v xml:space="preserve">http://slimages.macys.com/is/image/MCY/21398479 </v>
      </c>
    </row>
    <row r="55" spans="1:14" ht="24.75" x14ac:dyDescent="0.25">
      <c r="A55" s="21" t="s">
        <v>11802</v>
      </c>
      <c r="B55" s="22" t="s">
        <v>11803</v>
      </c>
      <c r="C55" s="2">
        <v>1</v>
      </c>
      <c r="D55" s="23">
        <v>22.99</v>
      </c>
      <c r="E55" s="3">
        <v>22.99</v>
      </c>
      <c r="F55" s="2" t="s">
        <v>17734</v>
      </c>
      <c r="G55" s="22" t="s">
        <v>19674</v>
      </c>
      <c r="H55" s="24" t="s">
        <v>19542</v>
      </c>
      <c r="I55" s="22" t="s">
        <v>19309</v>
      </c>
      <c r="J55" s="22" t="s">
        <v>19447</v>
      </c>
      <c r="K55" s="22" t="s">
        <v>19463</v>
      </c>
      <c r="L55" s="22"/>
      <c r="M55" s="22"/>
      <c r="N55" s="25" t="str">
        <f>HYPERLINK("http://slimages.macys.com/is/image/MCY/19696110 ")</f>
        <v xml:space="preserve">http://slimages.macys.com/is/image/MCY/19696110 </v>
      </c>
    </row>
    <row r="56" spans="1:14" ht="24.75" x14ac:dyDescent="0.25">
      <c r="A56" s="21" t="s">
        <v>10337</v>
      </c>
      <c r="B56" s="22" t="s">
        <v>10338</v>
      </c>
      <c r="C56" s="2">
        <v>1</v>
      </c>
      <c r="D56" s="23">
        <v>19.22</v>
      </c>
      <c r="E56" s="3">
        <v>19.22</v>
      </c>
      <c r="F56" s="2" t="s">
        <v>10339</v>
      </c>
      <c r="G56" s="22" t="s">
        <v>19467</v>
      </c>
      <c r="H56" s="24" t="s">
        <v>20232</v>
      </c>
      <c r="I56" s="22" t="s">
        <v>19309</v>
      </c>
      <c r="J56" s="22" t="s">
        <v>19514</v>
      </c>
      <c r="K56" s="22" t="s">
        <v>18514</v>
      </c>
      <c r="L56" s="22"/>
      <c r="M56" s="22"/>
      <c r="N56" s="25" t="str">
        <f>HYPERLINK("http://slimages.macys.com/is/image/MCY/21374437 ")</f>
        <v xml:space="preserve">http://slimages.macys.com/is/image/MCY/21374437 </v>
      </c>
    </row>
    <row r="57" spans="1:14" x14ac:dyDescent="0.25">
      <c r="A57" s="21" t="s">
        <v>7360</v>
      </c>
      <c r="B57" s="22" t="s">
        <v>7361</v>
      </c>
      <c r="C57" s="2">
        <v>1</v>
      </c>
      <c r="D57" s="23">
        <v>25</v>
      </c>
      <c r="E57" s="3">
        <v>25</v>
      </c>
      <c r="F57" s="2" t="s">
        <v>7362</v>
      </c>
      <c r="G57" s="22" t="s">
        <v>19351</v>
      </c>
      <c r="H57" s="24" t="s">
        <v>19339</v>
      </c>
      <c r="I57" s="22" t="s">
        <v>19309</v>
      </c>
      <c r="J57" s="22" t="s">
        <v>19310</v>
      </c>
      <c r="K57" s="22" t="s">
        <v>17538</v>
      </c>
      <c r="L57" s="22"/>
      <c r="M57" s="22"/>
      <c r="N57" s="25" t="str">
        <f>HYPERLINK("http://slimages.macys.com/is/image/MCY/20605079 ")</f>
        <v xml:space="preserve">http://slimages.macys.com/is/image/MCY/20605079 </v>
      </c>
    </row>
    <row r="58" spans="1:14" ht="24.75" x14ac:dyDescent="0.25">
      <c r="A58" s="21" t="s">
        <v>17750</v>
      </c>
      <c r="B58" s="22" t="s">
        <v>17751</v>
      </c>
      <c r="C58" s="2">
        <v>1</v>
      </c>
      <c r="D58" s="23">
        <v>25.99</v>
      </c>
      <c r="E58" s="3">
        <v>25.99</v>
      </c>
      <c r="F58" s="2" t="s">
        <v>17752</v>
      </c>
      <c r="G58" s="22" t="s">
        <v>19431</v>
      </c>
      <c r="H58" s="24"/>
      <c r="I58" s="22" t="s">
        <v>19309</v>
      </c>
      <c r="J58" s="22" t="s">
        <v>19573</v>
      </c>
      <c r="K58" s="22" t="s">
        <v>19574</v>
      </c>
      <c r="L58" s="22"/>
      <c r="M58" s="22"/>
      <c r="N58" s="25" t="str">
        <f>HYPERLINK("http://slimages.macys.com/is/image/MCY/1554793 ")</f>
        <v xml:space="preserve">http://slimages.macys.com/is/image/MCY/1554793 </v>
      </c>
    </row>
    <row r="59" spans="1:14" x14ac:dyDescent="0.25">
      <c r="A59" s="21" t="s">
        <v>7363</v>
      </c>
      <c r="B59" s="22" t="s">
        <v>7364</v>
      </c>
      <c r="C59" s="2">
        <v>1</v>
      </c>
      <c r="D59" s="23">
        <v>21.59</v>
      </c>
      <c r="E59" s="3">
        <v>21.59</v>
      </c>
      <c r="F59" s="2" t="s">
        <v>7365</v>
      </c>
      <c r="G59" s="22"/>
      <c r="H59" s="24" t="s">
        <v>19352</v>
      </c>
      <c r="I59" s="22" t="s">
        <v>19309</v>
      </c>
      <c r="J59" s="22" t="s">
        <v>19708</v>
      </c>
      <c r="K59" s="22" t="s">
        <v>19709</v>
      </c>
      <c r="L59" s="22"/>
      <c r="M59" s="22"/>
      <c r="N59" s="25" t="str">
        <f>HYPERLINK("http://slimages.macys.com/is/image/MCY/19063725 ")</f>
        <v xml:space="preserve">http://slimages.macys.com/is/image/MCY/19063725 </v>
      </c>
    </row>
    <row r="60" spans="1:14" x14ac:dyDescent="0.25">
      <c r="A60" s="21" t="s">
        <v>7366</v>
      </c>
      <c r="B60" s="22" t="s">
        <v>7367</v>
      </c>
      <c r="C60" s="2">
        <v>1</v>
      </c>
      <c r="D60" s="23">
        <v>25</v>
      </c>
      <c r="E60" s="3">
        <v>25</v>
      </c>
      <c r="F60" s="2" t="s">
        <v>7368</v>
      </c>
      <c r="G60" s="22" t="s">
        <v>17811</v>
      </c>
      <c r="H60" s="24"/>
      <c r="I60" s="22" t="s">
        <v>19309</v>
      </c>
      <c r="J60" s="22" t="s">
        <v>19559</v>
      </c>
      <c r="K60" s="22" t="s">
        <v>15525</v>
      </c>
      <c r="L60" s="22"/>
      <c r="M60" s="22"/>
      <c r="N60" s="25" t="str">
        <f>HYPERLINK("http://slimages.macys.com/is/image/MCY/21736755 ")</f>
        <v xml:space="preserve">http://slimages.macys.com/is/image/MCY/21736755 </v>
      </c>
    </row>
    <row r="61" spans="1:14" ht="24.75" x14ac:dyDescent="0.25">
      <c r="A61" s="21" t="s">
        <v>10883</v>
      </c>
      <c r="B61" s="22" t="s">
        <v>10884</v>
      </c>
      <c r="C61" s="2">
        <v>1</v>
      </c>
      <c r="D61" s="23">
        <v>24.99</v>
      </c>
      <c r="E61" s="3">
        <v>24.99</v>
      </c>
      <c r="F61" s="2" t="s">
        <v>10885</v>
      </c>
      <c r="G61" s="22" t="s">
        <v>19660</v>
      </c>
      <c r="H61" s="24" t="s">
        <v>19324</v>
      </c>
      <c r="I61" s="22" t="s">
        <v>19309</v>
      </c>
      <c r="J61" s="22" t="s">
        <v>19385</v>
      </c>
      <c r="K61" s="22" t="s">
        <v>19386</v>
      </c>
      <c r="L61" s="22"/>
      <c r="M61" s="22"/>
      <c r="N61" s="25" t="str">
        <f>HYPERLINK("http://slimages.macys.com/is/image/MCY/21688904 ")</f>
        <v xml:space="preserve">http://slimages.macys.com/is/image/MCY/21688904 </v>
      </c>
    </row>
    <row r="62" spans="1:14" ht="24.75" x14ac:dyDescent="0.25">
      <c r="A62" s="21" t="s">
        <v>17761</v>
      </c>
      <c r="B62" s="22" t="s">
        <v>17762</v>
      </c>
      <c r="C62" s="2">
        <v>1</v>
      </c>
      <c r="D62" s="23">
        <v>21.99</v>
      </c>
      <c r="E62" s="3">
        <v>21.99</v>
      </c>
      <c r="F62" s="2" t="s">
        <v>17760</v>
      </c>
      <c r="G62" s="22" t="s">
        <v>19794</v>
      </c>
      <c r="H62" s="24" t="s">
        <v>19797</v>
      </c>
      <c r="I62" s="22" t="s">
        <v>19309</v>
      </c>
      <c r="J62" s="22" t="s">
        <v>19447</v>
      </c>
      <c r="K62" s="22" t="s">
        <v>19533</v>
      </c>
      <c r="L62" s="22"/>
      <c r="M62" s="22"/>
      <c r="N62" s="25" t="str">
        <f>HYPERLINK("http://slimages.macys.com/is/image/MCY/21643405 ")</f>
        <v xml:space="preserve">http://slimages.macys.com/is/image/MCY/21643405 </v>
      </c>
    </row>
    <row r="63" spans="1:14" x14ac:dyDescent="0.25">
      <c r="A63" s="21" t="s">
        <v>7369</v>
      </c>
      <c r="B63" s="22" t="s">
        <v>7370</v>
      </c>
      <c r="C63" s="2">
        <v>1</v>
      </c>
      <c r="D63" s="23">
        <v>16.989999999999998</v>
      </c>
      <c r="E63" s="3">
        <v>16.989999999999998</v>
      </c>
      <c r="F63" s="2" t="s">
        <v>17768</v>
      </c>
      <c r="G63" s="22" t="s">
        <v>19618</v>
      </c>
      <c r="H63" s="24" t="s">
        <v>19432</v>
      </c>
      <c r="I63" s="22" t="s">
        <v>19309</v>
      </c>
      <c r="J63" s="22" t="s">
        <v>19310</v>
      </c>
      <c r="K63" s="22" t="s">
        <v>19468</v>
      </c>
      <c r="L63" s="22"/>
      <c r="M63" s="22"/>
      <c r="N63" s="25" t="str">
        <f>HYPERLINK("http://slimages.macys.com/is/image/MCY/20663243 ")</f>
        <v xml:space="preserve">http://slimages.macys.com/is/image/MCY/20663243 </v>
      </c>
    </row>
    <row r="64" spans="1:14" ht="24.75" x14ac:dyDescent="0.25">
      <c r="A64" s="21" t="s">
        <v>7371</v>
      </c>
      <c r="B64" s="22" t="s">
        <v>7372</v>
      </c>
      <c r="C64" s="2">
        <v>1</v>
      </c>
      <c r="D64" s="23">
        <v>18.989999999999998</v>
      </c>
      <c r="E64" s="3">
        <v>18.989999999999998</v>
      </c>
      <c r="F64" s="2" t="s">
        <v>7373</v>
      </c>
      <c r="G64" s="22" t="s">
        <v>19338</v>
      </c>
      <c r="H64" s="24" t="s">
        <v>19352</v>
      </c>
      <c r="I64" s="22" t="s">
        <v>19309</v>
      </c>
      <c r="J64" s="22" t="s">
        <v>19310</v>
      </c>
      <c r="K64" s="22" t="s">
        <v>19873</v>
      </c>
      <c r="L64" s="22"/>
      <c r="M64" s="22"/>
      <c r="N64" s="25" t="str">
        <f>HYPERLINK("http://slimages.macys.com/is/image/MCY/20004911 ")</f>
        <v xml:space="preserve">http://slimages.macys.com/is/image/MCY/20004911 </v>
      </c>
    </row>
    <row r="65" spans="1:14" x14ac:dyDescent="0.25">
      <c r="A65" s="21" t="s">
        <v>15711</v>
      </c>
      <c r="B65" s="22" t="s">
        <v>15712</v>
      </c>
      <c r="C65" s="2">
        <v>1</v>
      </c>
      <c r="D65" s="23">
        <v>27.99</v>
      </c>
      <c r="E65" s="3">
        <v>27.99</v>
      </c>
      <c r="F65" s="2" t="s">
        <v>15713</v>
      </c>
      <c r="G65" s="22" t="s">
        <v>19342</v>
      </c>
      <c r="H65" s="24" t="s">
        <v>19334</v>
      </c>
      <c r="I65" s="22" t="s">
        <v>19309</v>
      </c>
      <c r="J65" s="22" t="s">
        <v>19696</v>
      </c>
      <c r="K65" s="22" t="s">
        <v>19965</v>
      </c>
      <c r="L65" s="22"/>
      <c r="M65" s="22"/>
      <c r="N65" s="25" t="str">
        <f>HYPERLINK("http://slimages.macys.com/is/image/MCY/21530621 ")</f>
        <v xml:space="preserve">http://slimages.macys.com/is/image/MCY/21530621 </v>
      </c>
    </row>
    <row r="66" spans="1:14" x14ac:dyDescent="0.25">
      <c r="A66" s="21" t="s">
        <v>7374</v>
      </c>
      <c r="B66" s="22" t="s">
        <v>7375</v>
      </c>
      <c r="C66" s="2">
        <v>1</v>
      </c>
      <c r="D66" s="23">
        <v>27.99</v>
      </c>
      <c r="E66" s="3">
        <v>27.99</v>
      </c>
      <c r="F66" s="2" t="s">
        <v>17782</v>
      </c>
      <c r="G66" s="22" t="s">
        <v>19342</v>
      </c>
      <c r="H66" s="24" t="s">
        <v>19392</v>
      </c>
      <c r="I66" s="22" t="s">
        <v>19309</v>
      </c>
      <c r="J66" s="22" t="s">
        <v>19696</v>
      </c>
      <c r="K66" s="22" t="s">
        <v>19697</v>
      </c>
      <c r="L66" s="22"/>
      <c r="M66" s="22"/>
      <c r="N66" s="25" t="str">
        <f>HYPERLINK("http://slimages.macys.com/is/image/MCY/21159602 ")</f>
        <v xml:space="preserve">http://slimages.macys.com/is/image/MCY/21159602 </v>
      </c>
    </row>
    <row r="67" spans="1:14" ht="24.75" x14ac:dyDescent="0.25">
      <c r="A67" s="21" t="s">
        <v>19690</v>
      </c>
      <c r="B67" s="22" t="s">
        <v>19691</v>
      </c>
      <c r="C67" s="2">
        <v>1</v>
      </c>
      <c r="D67" s="23">
        <v>19.989999999999998</v>
      </c>
      <c r="E67" s="3">
        <v>19.989999999999998</v>
      </c>
      <c r="F67" s="2" t="s">
        <v>19692</v>
      </c>
      <c r="G67" s="22" t="s">
        <v>19315</v>
      </c>
      <c r="H67" s="24"/>
      <c r="I67" s="22" t="s">
        <v>19309</v>
      </c>
      <c r="J67" s="22" t="s">
        <v>19573</v>
      </c>
      <c r="K67" s="22" t="s">
        <v>19574</v>
      </c>
      <c r="L67" s="22"/>
      <c r="M67" s="22"/>
      <c r="N67" s="25" t="str">
        <f>HYPERLINK("http://slimages.macys.com/is/image/MCY/21731432 ")</f>
        <v xml:space="preserve">http://slimages.macys.com/is/image/MCY/21731432 </v>
      </c>
    </row>
    <row r="68" spans="1:14" ht="24.75" x14ac:dyDescent="0.25">
      <c r="A68" s="21" t="s">
        <v>19700</v>
      </c>
      <c r="B68" s="22" t="s">
        <v>19701</v>
      </c>
      <c r="C68" s="2">
        <v>1</v>
      </c>
      <c r="D68" s="23">
        <v>19.989999999999998</v>
      </c>
      <c r="E68" s="3">
        <v>19.989999999999998</v>
      </c>
      <c r="F68" s="2" t="s">
        <v>19692</v>
      </c>
      <c r="G68" s="22" t="s">
        <v>19315</v>
      </c>
      <c r="H68" s="24" t="s">
        <v>19324</v>
      </c>
      <c r="I68" s="22" t="s">
        <v>19309</v>
      </c>
      <c r="J68" s="22" t="s">
        <v>19573</v>
      </c>
      <c r="K68" s="22" t="s">
        <v>19574</v>
      </c>
      <c r="L68" s="22"/>
      <c r="M68" s="22"/>
      <c r="N68" s="25" t="str">
        <f>HYPERLINK("http://slimages.macys.com/is/image/MCY/21731432 ")</f>
        <v xml:space="preserve">http://slimages.macys.com/is/image/MCY/21731432 </v>
      </c>
    </row>
    <row r="69" spans="1:14" ht="24.75" x14ac:dyDescent="0.25">
      <c r="A69" s="21" t="s">
        <v>10381</v>
      </c>
      <c r="B69" s="22" t="s">
        <v>10382</v>
      </c>
      <c r="C69" s="2">
        <v>1</v>
      </c>
      <c r="D69" s="23">
        <v>21.99</v>
      </c>
      <c r="E69" s="3">
        <v>21.99</v>
      </c>
      <c r="F69" s="2" t="s">
        <v>11854</v>
      </c>
      <c r="G69" s="22" t="s">
        <v>19323</v>
      </c>
      <c r="H69" s="24" t="s">
        <v>19361</v>
      </c>
      <c r="I69" s="22" t="s">
        <v>19309</v>
      </c>
      <c r="J69" s="22" t="s">
        <v>19595</v>
      </c>
      <c r="K69" s="22" t="s">
        <v>19596</v>
      </c>
      <c r="L69" s="22"/>
      <c r="M69" s="22"/>
      <c r="N69" s="25" t="str">
        <f>HYPERLINK("http://slimages.macys.com/is/image/MCY/21623032 ")</f>
        <v xml:space="preserve">http://slimages.macys.com/is/image/MCY/21623032 </v>
      </c>
    </row>
    <row r="70" spans="1:14" ht="24.75" x14ac:dyDescent="0.25">
      <c r="A70" s="21" t="s">
        <v>7376</v>
      </c>
      <c r="B70" s="22" t="s">
        <v>7377</v>
      </c>
      <c r="C70" s="2">
        <v>1</v>
      </c>
      <c r="D70" s="23">
        <v>27.99</v>
      </c>
      <c r="E70" s="3">
        <v>27.99</v>
      </c>
      <c r="F70" s="2" t="s">
        <v>7378</v>
      </c>
      <c r="G70" s="22" t="s">
        <v>19333</v>
      </c>
      <c r="H70" s="24" t="s">
        <v>19316</v>
      </c>
      <c r="I70" s="22" t="s">
        <v>19309</v>
      </c>
      <c r="J70" s="22" t="s">
        <v>19353</v>
      </c>
      <c r="K70" s="22" t="s">
        <v>19524</v>
      </c>
      <c r="L70" s="22"/>
      <c r="M70" s="22"/>
      <c r="N70" s="25" t="str">
        <f>HYPERLINK("http://slimages.macys.com/is/image/MCY/20664980 ")</f>
        <v xml:space="preserve">http://slimages.macys.com/is/image/MCY/20664980 </v>
      </c>
    </row>
    <row r="71" spans="1:14" ht="24.75" x14ac:dyDescent="0.25">
      <c r="A71" s="21" t="s">
        <v>7379</v>
      </c>
      <c r="B71" s="22" t="s">
        <v>7380</v>
      </c>
      <c r="C71" s="2">
        <v>2</v>
      </c>
      <c r="D71" s="23">
        <v>23.99</v>
      </c>
      <c r="E71" s="3">
        <v>47.98</v>
      </c>
      <c r="F71" s="2" t="s">
        <v>15741</v>
      </c>
      <c r="G71" s="22" t="s">
        <v>19462</v>
      </c>
      <c r="H71" s="24" t="s">
        <v>19542</v>
      </c>
      <c r="I71" s="22" t="s">
        <v>19309</v>
      </c>
      <c r="J71" s="22" t="s">
        <v>19908</v>
      </c>
      <c r="K71" s="22" t="s">
        <v>19524</v>
      </c>
      <c r="L71" s="22"/>
      <c r="M71" s="22"/>
      <c r="N71" s="25" t="str">
        <f>HYPERLINK("http://slimages.macys.com/is/image/MCY/22028931 ")</f>
        <v xml:space="preserve">http://slimages.macys.com/is/image/MCY/22028931 </v>
      </c>
    </row>
    <row r="72" spans="1:14" ht="24.75" x14ac:dyDescent="0.25">
      <c r="A72" s="21" t="s">
        <v>17813</v>
      </c>
      <c r="B72" s="22" t="s">
        <v>17814</v>
      </c>
      <c r="C72" s="2">
        <v>1</v>
      </c>
      <c r="D72" s="23">
        <v>23.99</v>
      </c>
      <c r="E72" s="3">
        <v>23.99</v>
      </c>
      <c r="F72" s="2" t="s">
        <v>17815</v>
      </c>
      <c r="G72" s="22" t="s">
        <v>19351</v>
      </c>
      <c r="H72" s="24" t="s">
        <v>19542</v>
      </c>
      <c r="I72" s="22" t="s">
        <v>19309</v>
      </c>
      <c r="J72" s="22" t="s">
        <v>19908</v>
      </c>
      <c r="K72" s="22" t="s">
        <v>19524</v>
      </c>
      <c r="L72" s="22"/>
      <c r="M72" s="22"/>
      <c r="N72" s="25" t="str">
        <f>HYPERLINK("http://slimages.macys.com/is/image/MCY/1554818 ")</f>
        <v xml:space="preserve">http://slimages.macys.com/is/image/MCY/1554818 </v>
      </c>
    </row>
    <row r="73" spans="1:14" ht="24.75" x14ac:dyDescent="0.25">
      <c r="A73" s="21" t="s">
        <v>11480</v>
      </c>
      <c r="B73" s="22" t="s">
        <v>11481</v>
      </c>
      <c r="C73" s="2">
        <v>1</v>
      </c>
      <c r="D73" s="23">
        <v>23.99</v>
      </c>
      <c r="E73" s="3">
        <v>23.99</v>
      </c>
      <c r="F73" s="2" t="s">
        <v>11482</v>
      </c>
      <c r="G73" s="22"/>
      <c r="H73" s="24" t="s">
        <v>19377</v>
      </c>
      <c r="I73" s="22" t="s">
        <v>19309</v>
      </c>
      <c r="J73" s="22" t="s">
        <v>19908</v>
      </c>
      <c r="K73" s="22" t="s">
        <v>19524</v>
      </c>
      <c r="L73" s="22"/>
      <c r="M73" s="22"/>
      <c r="N73" s="25" t="str">
        <f>HYPERLINK("http://slimages.macys.com/is/image/MCY/21070344 ")</f>
        <v xml:space="preserve">http://slimages.macys.com/is/image/MCY/21070344 </v>
      </c>
    </row>
    <row r="74" spans="1:14" x14ac:dyDescent="0.25">
      <c r="A74" s="21" t="s">
        <v>7381</v>
      </c>
      <c r="B74" s="22" t="s">
        <v>7382</v>
      </c>
      <c r="C74" s="2">
        <v>1</v>
      </c>
      <c r="D74" s="23">
        <v>20.58</v>
      </c>
      <c r="E74" s="3">
        <v>20.58</v>
      </c>
      <c r="F74" s="2" t="s">
        <v>7383</v>
      </c>
      <c r="G74" s="22" t="s">
        <v>19342</v>
      </c>
      <c r="H74" s="24" t="s">
        <v>19345</v>
      </c>
      <c r="I74" s="22" t="s">
        <v>19309</v>
      </c>
      <c r="J74" s="22" t="s">
        <v>19514</v>
      </c>
      <c r="K74" s="22" t="s">
        <v>19639</v>
      </c>
      <c r="L74" s="22"/>
      <c r="M74" s="22"/>
      <c r="N74" s="25" t="str">
        <f>HYPERLINK("http://slimages.macys.com/is/image/MCY/21421809 ")</f>
        <v xml:space="preserve">http://slimages.macys.com/is/image/MCY/21421809 </v>
      </c>
    </row>
    <row r="75" spans="1:14" x14ac:dyDescent="0.25">
      <c r="A75" s="21" t="s">
        <v>7384</v>
      </c>
      <c r="B75" s="22" t="s">
        <v>7385</v>
      </c>
      <c r="C75" s="2">
        <v>1</v>
      </c>
      <c r="D75" s="23">
        <v>20.99</v>
      </c>
      <c r="E75" s="3">
        <v>20.99</v>
      </c>
      <c r="F75" s="2" t="s">
        <v>7386</v>
      </c>
      <c r="G75" s="22" t="s">
        <v>19351</v>
      </c>
      <c r="H75" s="24" t="s">
        <v>19395</v>
      </c>
      <c r="I75" s="22" t="s">
        <v>19309</v>
      </c>
      <c r="J75" s="22" t="s">
        <v>19310</v>
      </c>
      <c r="K75" s="22" t="s">
        <v>19440</v>
      </c>
      <c r="L75" s="22"/>
      <c r="M75" s="22"/>
      <c r="N75" s="25" t="str">
        <f>HYPERLINK("http://slimages.macys.com/is/image/MCY/19578853 ")</f>
        <v xml:space="preserve">http://slimages.macys.com/is/image/MCY/19578853 </v>
      </c>
    </row>
    <row r="76" spans="1:14" ht="24.75" x14ac:dyDescent="0.25">
      <c r="A76" s="21" t="s">
        <v>12961</v>
      </c>
      <c r="B76" s="22" t="s">
        <v>12962</v>
      </c>
      <c r="C76" s="2">
        <v>1</v>
      </c>
      <c r="D76" s="23">
        <v>24.99</v>
      </c>
      <c r="E76" s="3">
        <v>24.99</v>
      </c>
      <c r="F76" s="2" t="s">
        <v>17821</v>
      </c>
      <c r="G76" s="22" t="s">
        <v>19713</v>
      </c>
      <c r="H76" s="24" t="s">
        <v>19330</v>
      </c>
      <c r="I76" s="22" t="s">
        <v>19309</v>
      </c>
      <c r="J76" s="22" t="s">
        <v>19573</v>
      </c>
      <c r="K76" s="22" t="s">
        <v>19574</v>
      </c>
      <c r="L76" s="22"/>
      <c r="M76" s="22"/>
      <c r="N76" s="25" t="str">
        <f>HYPERLINK("http://slimages.macys.com/is/image/MCY/1679020 ")</f>
        <v xml:space="preserve">http://slimages.macys.com/is/image/MCY/1679020 </v>
      </c>
    </row>
    <row r="77" spans="1:14" ht="24.75" x14ac:dyDescent="0.25">
      <c r="A77" s="21" t="s">
        <v>7387</v>
      </c>
      <c r="B77" s="22" t="s">
        <v>7388</v>
      </c>
      <c r="C77" s="2">
        <v>1</v>
      </c>
      <c r="D77" s="23">
        <v>19.989999999999998</v>
      </c>
      <c r="E77" s="3">
        <v>19.989999999999998</v>
      </c>
      <c r="F77" s="2" t="s">
        <v>7389</v>
      </c>
      <c r="G77" s="22" t="s">
        <v>19351</v>
      </c>
      <c r="H77" s="24" t="s">
        <v>19352</v>
      </c>
      <c r="I77" s="22" t="s">
        <v>19309</v>
      </c>
      <c r="J77" s="22" t="s">
        <v>19353</v>
      </c>
      <c r="K77" s="22" t="s">
        <v>19524</v>
      </c>
      <c r="L77" s="22"/>
      <c r="M77" s="22"/>
      <c r="N77" s="25" t="str">
        <f>HYPERLINK("http://slimages.macys.com/is/image/MCY/1617378 ")</f>
        <v xml:space="preserve">http://slimages.macys.com/is/image/MCY/1617378 </v>
      </c>
    </row>
    <row r="78" spans="1:14" ht="24.75" x14ac:dyDescent="0.25">
      <c r="A78" s="21" t="s">
        <v>7390</v>
      </c>
      <c r="B78" s="22" t="s">
        <v>7391</v>
      </c>
      <c r="C78" s="2">
        <v>1</v>
      </c>
      <c r="D78" s="23">
        <v>19.989999999999998</v>
      </c>
      <c r="E78" s="3">
        <v>19.989999999999998</v>
      </c>
      <c r="F78" s="2" t="s">
        <v>7389</v>
      </c>
      <c r="G78" s="22" t="s">
        <v>19351</v>
      </c>
      <c r="H78" s="24" t="s">
        <v>19797</v>
      </c>
      <c r="I78" s="22" t="s">
        <v>19309</v>
      </c>
      <c r="J78" s="22" t="s">
        <v>19353</v>
      </c>
      <c r="K78" s="22" t="s">
        <v>19524</v>
      </c>
      <c r="L78" s="22"/>
      <c r="M78" s="22"/>
      <c r="N78" s="25" t="str">
        <f>HYPERLINK("http://slimages.macys.com/is/image/MCY/1617378 ")</f>
        <v xml:space="preserve">http://slimages.macys.com/is/image/MCY/1617378 </v>
      </c>
    </row>
    <row r="79" spans="1:14" ht="24.75" x14ac:dyDescent="0.25">
      <c r="A79" s="21" t="s">
        <v>19739</v>
      </c>
      <c r="B79" s="22" t="s">
        <v>19740</v>
      </c>
      <c r="C79" s="2">
        <v>1</v>
      </c>
      <c r="D79" s="23">
        <v>24.99</v>
      </c>
      <c r="E79" s="3">
        <v>24.99</v>
      </c>
      <c r="F79" s="2" t="s">
        <v>19735</v>
      </c>
      <c r="G79" s="22" t="s">
        <v>19342</v>
      </c>
      <c r="H79" s="24" t="s">
        <v>19330</v>
      </c>
      <c r="I79" s="22" t="s">
        <v>19309</v>
      </c>
      <c r="J79" s="22" t="s">
        <v>19385</v>
      </c>
      <c r="K79" s="22" t="s">
        <v>19729</v>
      </c>
      <c r="L79" s="22"/>
      <c r="M79" s="22"/>
      <c r="N79" s="25" t="str">
        <f>HYPERLINK("http://slimages.macys.com/is/image/MCY/21265748 ")</f>
        <v xml:space="preserve">http://slimages.macys.com/is/image/MCY/21265748 </v>
      </c>
    </row>
    <row r="80" spans="1:14" ht="24.75" x14ac:dyDescent="0.25">
      <c r="A80" s="21" t="s">
        <v>19741</v>
      </c>
      <c r="B80" s="22" t="s">
        <v>19742</v>
      </c>
      <c r="C80" s="2">
        <v>6</v>
      </c>
      <c r="D80" s="23">
        <v>24.99</v>
      </c>
      <c r="E80" s="3">
        <v>149.94</v>
      </c>
      <c r="F80" s="2" t="s">
        <v>19728</v>
      </c>
      <c r="G80" s="22" t="s">
        <v>19342</v>
      </c>
      <c r="H80" s="24" t="s">
        <v>19416</v>
      </c>
      <c r="I80" s="22" t="s">
        <v>19309</v>
      </c>
      <c r="J80" s="22" t="s">
        <v>19385</v>
      </c>
      <c r="K80" s="22" t="s">
        <v>19729</v>
      </c>
      <c r="L80" s="22"/>
      <c r="M80" s="22"/>
      <c r="N80" s="25" t="str">
        <f>HYPERLINK("http://slimages.macys.com/is/image/MCY/21773792 ")</f>
        <v xml:space="preserve">http://slimages.macys.com/is/image/MCY/21773792 </v>
      </c>
    </row>
    <row r="81" spans="1:14" ht="24.75" x14ac:dyDescent="0.25">
      <c r="A81" s="21" t="s">
        <v>19743</v>
      </c>
      <c r="B81" s="22" t="s">
        <v>19744</v>
      </c>
      <c r="C81" s="2">
        <v>3</v>
      </c>
      <c r="D81" s="23">
        <v>24.99</v>
      </c>
      <c r="E81" s="3">
        <v>74.97</v>
      </c>
      <c r="F81" s="2" t="s">
        <v>19728</v>
      </c>
      <c r="G81" s="22" t="s">
        <v>19342</v>
      </c>
      <c r="H81" s="24" t="s">
        <v>19330</v>
      </c>
      <c r="I81" s="22" t="s">
        <v>19309</v>
      </c>
      <c r="J81" s="22" t="s">
        <v>19385</v>
      </c>
      <c r="K81" s="22" t="s">
        <v>19729</v>
      </c>
      <c r="L81" s="22"/>
      <c r="M81" s="22"/>
      <c r="N81" s="25" t="str">
        <f>HYPERLINK("http://slimages.macys.com/is/image/MCY/21773792 ")</f>
        <v xml:space="preserve">http://slimages.macys.com/is/image/MCY/21773792 </v>
      </c>
    </row>
    <row r="82" spans="1:14" ht="24.75" x14ac:dyDescent="0.25">
      <c r="A82" s="21" t="s">
        <v>19726</v>
      </c>
      <c r="B82" s="22" t="s">
        <v>19727</v>
      </c>
      <c r="C82" s="2">
        <v>2</v>
      </c>
      <c r="D82" s="23">
        <v>24.99</v>
      </c>
      <c r="E82" s="3">
        <v>49.98</v>
      </c>
      <c r="F82" s="2" t="s">
        <v>19728</v>
      </c>
      <c r="G82" s="22" t="s">
        <v>19342</v>
      </c>
      <c r="H82" s="24" t="s">
        <v>19324</v>
      </c>
      <c r="I82" s="22" t="s">
        <v>19309</v>
      </c>
      <c r="J82" s="22" t="s">
        <v>19385</v>
      </c>
      <c r="K82" s="22" t="s">
        <v>19729</v>
      </c>
      <c r="L82" s="22"/>
      <c r="M82" s="22"/>
      <c r="N82" s="25" t="str">
        <f>HYPERLINK("http://slimages.macys.com/is/image/MCY/21773792 ")</f>
        <v xml:space="preserve">http://slimages.macys.com/is/image/MCY/21773792 </v>
      </c>
    </row>
    <row r="83" spans="1:14" ht="24.75" x14ac:dyDescent="0.25">
      <c r="A83" s="21" t="s">
        <v>15248</v>
      </c>
      <c r="B83" s="22" t="s">
        <v>15249</v>
      </c>
      <c r="C83" s="2">
        <v>1</v>
      </c>
      <c r="D83" s="23">
        <v>20.99</v>
      </c>
      <c r="E83" s="3">
        <v>20.99</v>
      </c>
      <c r="F83" s="2" t="s">
        <v>15250</v>
      </c>
      <c r="G83" s="22" t="s">
        <v>19674</v>
      </c>
      <c r="H83" s="24" t="s">
        <v>20159</v>
      </c>
      <c r="I83" s="22" t="s">
        <v>19309</v>
      </c>
      <c r="J83" s="22" t="s">
        <v>19385</v>
      </c>
      <c r="K83" s="22" t="s">
        <v>19463</v>
      </c>
      <c r="L83" s="22"/>
      <c r="M83" s="22"/>
      <c r="N83" s="25" t="str">
        <f>HYPERLINK("http://slimages.macys.com/is/image/MCY/21423727 ")</f>
        <v xml:space="preserve">http://slimages.macys.com/is/image/MCY/21423727 </v>
      </c>
    </row>
    <row r="84" spans="1:14" ht="24.75" x14ac:dyDescent="0.25">
      <c r="A84" s="21" t="s">
        <v>7392</v>
      </c>
      <c r="B84" s="22" t="s">
        <v>7393</v>
      </c>
      <c r="C84" s="2">
        <v>1</v>
      </c>
      <c r="D84" s="23">
        <v>21.29</v>
      </c>
      <c r="E84" s="3">
        <v>21.29</v>
      </c>
      <c r="F84" s="2" t="s">
        <v>7394</v>
      </c>
      <c r="G84" s="22"/>
      <c r="H84" s="24"/>
      <c r="I84" s="22" t="s">
        <v>19309</v>
      </c>
      <c r="J84" s="22" t="s">
        <v>19602</v>
      </c>
      <c r="K84" s="22" t="s">
        <v>19603</v>
      </c>
      <c r="L84" s="22"/>
      <c r="M84" s="22"/>
      <c r="N84" s="25" t="str">
        <f>HYPERLINK("http://slimages.macys.com/is/image/MCY/22406101 ")</f>
        <v xml:space="preserve">http://slimages.macys.com/is/image/MCY/22406101 </v>
      </c>
    </row>
    <row r="85" spans="1:14" ht="24.75" x14ac:dyDescent="0.25">
      <c r="A85" s="21" t="s">
        <v>7395</v>
      </c>
      <c r="B85" s="22" t="s">
        <v>7396</v>
      </c>
      <c r="C85" s="2">
        <v>1</v>
      </c>
      <c r="D85" s="23">
        <v>21.43</v>
      </c>
      <c r="E85" s="3">
        <v>21.43</v>
      </c>
      <c r="F85" s="2" t="s">
        <v>12973</v>
      </c>
      <c r="G85" s="22"/>
      <c r="H85" s="24" t="s">
        <v>19392</v>
      </c>
      <c r="I85" s="22" t="s">
        <v>19309</v>
      </c>
      <c r="J85" s="22" t="s">
        <v>19602</v>
      </c>
      <c r="K85" s="22" t="s">
        <v>19603</v>
      </c>
      <c r="L85" s="22"/>
      <c r="M85" s="22"/>
      <c r="N85" s="25" t="str">
        <f>HYPERLINK("http://slimages.macys.com/is/image/MCY/21421316 ")</f>
        <v xml:space="preserve">http://slimages.macys.com/is/image/MCY/21421316 </v>
      </c>
    </row>
    <row r="86" spans="1:14" x14ac:dyDescent="0.25">
      <c r="A86" s="21" t="s">
        <v>7397</v>
      </c>
      <c r="B86" s="22" t="s">
        <v>7398</v>
      </c>
      <c r="C86" s="2">
        <v>1</v>
      </c>
      <c r="D86" s="23">
        <v>18.989999999999998</v>
      </c>
      <c r="E86" s="3">
        <v>18.989999999999998</v>
      </c>
      <c r="F86" s="2" t="s">
        <v>7399</v>
      </c>
      <c r="G86" s="22" t="s">
        <v>19307</v>
      </c>
      <c r="H86" s="24" t="s">
        <v>19352</v>
      </c>
      <c r="I86" s="22" t="s">
        <v>19309</v>
      </c>
      <c r="J86" s="22" t="s">
        <v>19310</v>
      </c>
      <c r="K86" s="22" t="s">
        <v>19311</v>
      </c>
      <c r="L86" s="22"/>
      <c r="M86" s="22"/>
      <c r="N86" s="25" t="str">
        <f>HYPERLINK("http://slimages.macys.com/is/image/MCY/17974469 ")</f>
        <v xml:space="preserve">http://slimages.macys.com/is/image/MCY/17974469 </v>
      </c>
    </row>
    <row r="87" spans="1:14" ht="24.75" x14ac:dyDescent="0.25">
      <c r="A87" s="21" t="s">
        <v>19785</v>
      </c>
      <c r="B87" s="22" t="s">
        <v>19786</v>
      </c>
      <c r="C87" s="2">
        <v>1</v>
      </c>
      <c r="D87" s="23">
        <v>19.989999999999998</v>
      </c>
      <c r="E87" s="3">
        <v>19.989999999999998</v>
      </c>
      <c r="F87" s="2" t="s">
        <v>19767</v>
      </c>
      <c r="G87" s="22" t="s">
        <v>19467</v>
      </c>
      <c r="H87" s="24" t="s">
        <v>19324</v>
      </c>
      <c r="I87" s="22" t="s">
        <v>19309</v>
      </c>
      <c r="J87" s="22" t="s">
        <v>19573</v>
      </c>
      <c r="K87" s="22" t="s">
        <v>19574</v>
      </c>
      <c r="L87" s="22"/>
      <c r="M87" s="22"/>
      <c r="N87" s="25" t="str">
        <f>HYPERLINK("http://slimages.macys.com/is/image/MCY/1646350 ")</f>
        <v xml:space="preserve">http://slimages.macys.com/is/image/MCY/1646350 </v>
      </c>
    </row>
    <row r="88" spans="1:14" ht="24.75" x14ac:dyDescent="0.25">
      <c r="A88" s="21" t="s">
        <v>17855</v>
      </c>
      <c r="B88" s="22" t="s">
        <v>17856</v>
      </c>
      <c r="C88" s="2">
        <v>1</v>
      </c>
      <c r="D88" s="23">
        <v>19.989999999999998</v>
      </c>
      <c r="E88" s="3">
        <v>19.989999999999998</v>
      </c>
      <c r="F88" s="2" t="s">
        <v>19767</v>
      </c>
      <c r="G88" s="22" t="s">
        <v>19467</v>
      </c>
      <c r="H88" s="24" t="s">
        <v>19384</v>
      </c>
      <c r="I88" s="22" t="s">
        <v>19309</v>
      </c>
      <c r="J88" s="22" t="s">
        <v>19573</v>
      </c>
      <c r="K88" s="22" t="s">
        <v>19574</v>
      </c>
      <c r="L88" s="22"/>
      <c r="M88" s="22"/>
      <c r="N88" s="25" t="str">
        <f>HYPERLINK("http://slimages.macys.com/is/image/MCY/1646345 ")</f>
        <v xml:space="preserve">http://slimages.macys.com/is/image/MCY/1646345 </v>
      </c>
    </row>
    <row r="89" spans="1:14" ht="24.75" x14ac:dyDescent="0.25">
      <c r="A89" s="21" t="s">
        <v>19765</v>
      </c>
      <c r="B89" s="22" t="s">
        <v>19766</v>
      </c>
      <c r="C89" s="2">
        <v>2</v>
      </c>
      <c r="D89" s="23">
        <v>19.989999999999998</v>
      </c>
      <c r="E89" s="3">
        <v>39.979999999999997</v>
      </c>
      <c r="F89" s="2" t="s">
        <v>19767</v>
      </c>
      <c r="G89" s="22" t="s">
        <v>19467</v>
      </c>
      <c r="H89" s="24"/>
      <c r="I89" s="22" t="s">
        <v>19309</v>
      </c>
      <c r="J89" s="22" t="s">
        <v>19573</v>
      </c>
      <c r="K89" s="22" t="s">
        <v>19574</v>
      </c>
      <c r="L89" s="22"/>
      <c r="M89" s="22"/>
      <c r="N89" s="25" t="str">
        <f>HYPERLINK("http://slimages.macys.com/is/image/MCY/1646345 ")</f>
        <v xml:space="preserve">http://slimages.macys.com/is/image/MCY/1646345 </v>
      </c>
    </row>
    <row r="90" spans="1:14" ht="24.75" x14ac:dyDescent="0.25">
      <c r="A90" s="21" t="s">
        <v>19807</v>
      </c>
      <c r="B90" s="22" t="s">
        <v>19808</v>
      </c>
      <c r="C90" s="2">
        <v>1</v>
      </c>
      <c r="D90" s="23">
        <v>21.99</v>
      </c>
      <c r="E90" s="3">
        <v>21.99</v>
      </c>
      <c r="F90" s="2" t="s">
        <v>19809</v>
      </c>
      <c r="G90" s="22" t="s">
        <v>19810</v>
      </c>
      <c r="H90" s="24" t="s">
        <v>19345</v>
      </c>
      <c r="I90" s="22" t="s">
        <v>19309</v>
      </c>
      <c r="J90" s="22" t="s">
        <v>19595</v>
      </c>
      <c r="K90" s="22" t="s">
        <v>19596</v>
      </c>
      <c r="L90" s="22"/>
      <c r="M90" s="22"/>
      <c r="N90" s="25" t="str">
        <f>HYPERLINK("http://slimages.macys.com/is/image/MCY/21623024 ")</f>
        <v xml:space="preserve">http://slimages.macys.com/is/image/MCY/21623024 </v>
      </c>
    </row>
    <row r="91" spans="1:14" ht="24.75" x14ac:dyDescent="0.25">
      <c r="A91" s="21" t="s">
        <v>7400</v>
      </c>
      <c r="B91" s="22" t="s">
        <v>7401</v>
      </c>
      <c r="C91" s="2">
        <v>1</v>
      </c>
      <c r="D91" s="23">
        <v>21.99</v>
      </c>
      <c r="E91" s="3">
        <v>21.99</v>
      </c>
      <c r="F91" s="2" t="s">
        <v>19804</v>
      </c>
      <c r="G91" s="22" t="s">
        <v>19351</v>
      </c>
      <c r="H91" s="24" t="s">
        <v>19334</v>
      </c>
      <c r="I91" s="22" t="s">
        <v>19309</v>
      </c>
      <c r="J91" s="22" t="s">
        <v>19595</v>
      </c>
      <c r="K91" s="22" t="s">
        <v>19596</v>
      </c>
      <c r="L91" s="22"/>
      <c r="M91" s="22"/>
      <c r="N91" s="25" t="str">
        <f>HYPERLINK("http://slimages.macys.com/is/image/MCY/21623006 ")</f>
        <v xml:space="preserve">http://slimages.macys.com/is/image/MCY/21623006 </v>
      </c>
    </row>
    <row r="92" spans="1:14" x14ac:dyDescent="0.25">
      <c r="A92" s="21" t="s">
        <v>7402</v>
      </c>
      <c r="B92" s="22" t="s">
        <v>7403</v>
      </c>
      <c r="C92" s="2">
        <v>1</v>
      </c>
      <c r="D92" s="23">
        <v>19.329999999999998</v>
      </c>
      <c r="E92" s="3">
        <v>19.329999999999998</v>
      </c>
      <c r="F92" s="2" t="s">
        <v>15843</v>
      </c>
      <c r="G92" s="22" t="s">
        <v>19342</v>
      </c>
      <c r="H92" s="24" t="s">
        <v>19345</v>
      </c>
      <c r="I92" s="22" t="s">
        <v>19309</v>
      </c>
      <c r="J92" s="22" t="s">
        <v>19514</v>
      </c>
      <c r="K92" s="22" t="s">
        <v>17948</v>
      </c>
      <c r="L92" s="22"/>
      <c r="M92" s="22"/>
      <c r="N92" s="25" t="str">
        <f>HYPERLINK("http://slimages.macys.com/is/image/MCY/20434262 ")</f>
        <v xml:space="preserve">http://slimages.macys.com/is/image/MCY/20434262 </v>
      </c>
    </row>
    <row r="93" spans="1:14" ht="24.75" x14ac:dyDescent="0.25">
      <c r="A93" s="21" t="s">
        <v>7404</v>
      </c>
      <c r="B93" s="22" t="s">
        <v>7405</v>
      </c>
      <c r="C93" s="2">
        <v>1</v>
      </c>
      <c r="D93" s="23">
        <v>18.989999999999998</v>
      </c>
      <c r="E93" s="3">
        <v>18.989999999999998</v>
      </c>
      <c r="F93" s="2" t="s">
        <v>19813</v>
      </c>
      <c r="G93" s="22" t="s">
        <v>19315</v>
      </c>
      <c r="H93" s="24" t="s">
        <v>19364</v>
      </c>
      <c r="I93" s="22" t="s">
        <v>19309</v>
      </c>
      <c r="J93" s="22" t="s">
        <v>19815</v>
      </c>
      <c r="K93" s="22" t="s">
        <v>19816</v>
      </c>
      <c r="L93" s="22"/>
      <c r="M93" s="22"/>
      <c r="N93" s="25" t="str">
        <f>HYPERLINK("http://slimages.macys.com/is/image/MCY/20549863 ")</f>
        <v xml:space="preserve">http://slimages.macys.com/is/image/MCY/20549863 </v>
      </c>
    </row>
    <row r="94" spans="1:14" ht="24.75" x14ac:dyDescent="0.25">
      <c r="A94" s="21" t="s">
        <v>15847</v>
      </c>
      <c r="B94" s="22" t="s">
        <v>15848</v>
      </c>
      <c r="C94" s="2">
        <v>1</v>
      </c>
      <c r="D94" s="23">
        <v>18.989999999999998</v>
      </c>
      <c r="E94" s="3">
        <v>18.989999999999998</v>
      </c>
      <c r="F94" s="2" t="s">
        <v>19813</v>
      </c>
      <c r="G94" s="22" t="s">
        <v>19814</v>
      </c>
      <c r="H94" s="24" t="s">
        <v>19364</v>
      </c>
      <c r="I94" s="22" t="s">
        <v>19309</v>
      </c>
      <c r="J94" s="22" t="s">
        <v>19815</v>
      </c>
      <c r="K94" s="22" t="s">
        <v>19816</v>
      </c>
      <c r="L94" s="22"/>
      <c r="M94" s="22"/>
      <c r="N94" s="25" t="str">
        <f>HYPERLINK("http://slimages.macys.com/is/image/MCY/20549863 ")</f>
        <v xml:space="preserve">http://slimages.macys.com/is/image/MCY/20549863 </v>
      </c>
    </row>
    <row r="95" spans="1:14" x14ac:dyDescent="0.25">
      <c r="A95" s="21" t="s">
        <v>7406</v>
      </c>
      <c r="B95" s="22" t="s">
        <v>7407</v>
      </c>
      <c r="C95" s="2">
        <v>1</v>
      </c>
      <c r="D95" s="23">
        <v>23.99</v>
      </c>
      <c r="E95" s="3">
        <v>23.99</v>
      </c>
      <c r="F95" s="2" t="s">
        <v>11902</v>
      </c>
      <c r="G95" s="22" t="s">
        <v>19342</v>
      </c>
      <c r="H95" s="24" t="s">
        <v>19542</v>
      </c>
      <c r="I95" s="22" t="s">
        <v>19309</v>
      </c>
      <c r="J95" s="22" t="s">
        <v>19696</v>
      </c>
      <c r="K95" s="22" t="s">
        <v>19965</v>
      </c>
      <c r="L95" s="22"/>
      <c r="M95" s="22"/>
      <c r="N95" s="25" t="str">
        <f>HYPERLINK("http://slimages.macys.com/is/image/MCY/21643410 ")</f>
        <v xml:space="preserve">http://slimages.macys.com/is/image/MCY/21643410 </v>
      </c>
    </row>
    <row r="96" spans="1:14" x14ac:dyDescent="0.25">
      <c r="A96" s="21" t="s">
        <v>7408</v>
      </c>
      <c r="B96" s="22" t="s">
        <v>7409</v>
      </c>
      <c r="C96" s="2">
        <v>1</v>
      </c>
      <c r="D96" s="23">
        <v>25.07</v>
      </c>
      <c r="E96" s="3">
        <v>25.07</v>
      </c>
      <c r="F96" s="2" t="s">
        <v>7410</v>
      </c>
      <c r="G96" s="22"/>
      <c r="H96" s="24" t="s">
        <v>19324</v>
      </c>
      <c r="I96" s="22" t="s">
        <v>19309</v>
      </c>
      <c r="J96" s="22" t="s">
        <v>19708</v>
      </c>
      <c r="K96" s="22" t="s">
        <v>19754</v>
      </c>
      <c r="L96" s="22"/>
      <c r="M96" s="22"/>
      <c r="N96" s="25" t="str">
        <f>HYPERLINK("http://slimages.macys.com/is/image/MCY/19836379 ")</f>
        <v xml:space="preserve">http://slimages.macys.com/is/image/MCY/19836379 </v>
      </c>
    </row>
    <row r="97" spans="1:14" x14ac:dyDescent="0.25">
      <c r="A97" s="21" t="s">
        <v>7411</v>
      </c>
      <c r="B97" s="22" t="s">
        <v>7412</v>
      </c>
      <c r="C97" s="2">
        <v>1</v>
      </c>
      <c r="D97" s="23">
        <v>23.29</v>
      </c>
      <c r="E97" s="3">
        <v>23.29</v>
      </c>
      <c r="F97" s="2" t="s">
        <v>7413</v>
      </c>
      <c r="G97" s="22" t="s">
        <v>19431</v>
      </c>
      <c r="H97" s="24" t="s">
        <v>19367</v>
      </c>
      <c r="I97" s="22" t="s">
        <v>19309</v>
      </c>
      <c r="J97" s="22" t="s">
        <v>19708</v>
      </c>
      <c r="K97" s="22" t="s">
        <v>19709</v>
      </c>
      <c r="L97" s="22"/>
      <c r="M97" s="22"/>
      <c r="N97" s="25" t="str">
        <f>HYPERLINK("http://slimages.macys.com/is/image/MCY/22407532 ")</f>
        <v xml:space="preserve">http://slimages.macys.com/is/image/MCY/22407532 </v>
      </c>
    </row>
    <row r="98" spans="1:14" ht="24.75" x14ac:dyDescent="0.25">
      <c r="A98" s="21" t="s">
        <v>7414</v>
      </c>
      <c r="B98" s="22" t="s">
        <v>7415</v>
      </c>
      <c r="C98" s="2">
        <v>1</v>
      </c>
      <c r="D98" s="23">
        <v>24</v>
      </c>
      <c r="E98" s="3">
        <v>24</v>
      </c>
      <c r="F98" s="2">
        <v>751183</v>
      </c>
      <c r="G98" s="22" t="s">
        <v>19333</v>
      </c>
      <c r="H98" s="24"/>
      <c r="I98" s="22" t="s">
        <v>19309</v>
      </c>
      <c r="J98" s="22" t="s">
        <v>19417</v>
      </c>
      <c r="K98" s="22" t="s">
        <v>7416</v>
      </c>
      <c r="L98" s="22"/>
      <c r="M98" s="22"/>
      <c r="N98" s="25" t="str">
        <f>HYPERLINK("http://slimages.macys.com/is/image/MCY/21200399 ")</f>
        <v xml:space="preserve">http://slimages.macys.com/is/image/MCY/21200399 </v>
      </c>
    </row>
    <row r="99" spans="1:14" ht="24.75" x14ac:dyDescent="0.25">
      <c r="A99" s="21" t="s">
        <v>7417</v>
      </c>
      <c r="B99" s="22" t="s">
        <v>7418</v>
      </c>
      <c r="C99" s="2">
        <v>1</v>
      </c>
      <c r="D99" s="23">
        <v>24</v>
      </c>
      <c r="E99" s="3">
        <v>24</v>
      </c>
      <c r="F99" s="2">
        <v>751177</v>
      </c>
      <c r="G99" s="22" t="s">
        <v>19333</v>
      </c>
      <c r="H99" s="24"/>
      <c r="I99" s="22" t="s">
        <v>19309</v>
      </c>
      <c r="J99" s="22" t="s">
        <v>19417</v>
      </c>
      <c r="K99" s="22" t="s">
        <v>7416</v>
      </c>
      <c r="L99" s="22"/>
      <c r="M99" s="22"/>
      <c r="N99" s="25" t="str">
        <f>HYPERLINK("http://slimages.macys.com/is/image/MCY/21200399 ")</f>
        <v xml:space="preserve">http://slimages.macys.com/is/image/MCY/21200399 </v>
      </c>
    </row>
    <row r="100" spans="1:14" ht="24.75" x14ac:dyDescent="0.25">
      <c r="A100" s="21" t="s">
        <v>19826</v>
      </c>
      <c r="B100" s="22" t="s">
        <v>19827</v>
      </c>
      <c r="C100" s="2">
        <v>1</v>
      </c>
      <c r="D100" s="23">
        <v>18.989999999999998</v>
      </c>
      <c r="E100" s="3">
        <v>18.989999999999998</v>
      </c>
      <c r="F100" s="2" t="s">
        <v>19825</v>
      </c>
      <c r="G100" s="22" t="s">
        <v>19315</v>
      </c>
      <c r="H100" s="24" t="s">
        <v>19364</v>
      </c>
      <c r="I100" s="22" t="s">
        <v>19309</v>
      </c>
      <c r="J100" s="22" t="s">
        <v>19447</v>
      </c>
      <c r="K100" s="22" t="s">
        <v>19533</v>
      </c>
      <c r="L100" s="22"/>
      <c r="M100" s="22"/>
      <c r="N100" s="25" t="str">
        <f>HYPERLINK("http://slimages.macys.com/is/image/MCY/20930967 ")</f>
        <v xml:space="preserve">http://slimages.macys.com/is/image/MCY/20930967 </v>
      </c>
    </row>
    <row r="101" spans="1:14" ht="24.75" x14ac:dyDescent="0.25">
      <c r="A101" s="21" t="s">
        <v>7419</v>
      </c>
      <c r="B101" s="22" t="s">
        <v>7420</v>
      </c>
      <c r="C101" s="2">
        <v>1</v>
      </c>
      <c r="D101" s="23">
        <v>18.989999999999998</v>
      </c>
      <c r="E101" s="3">
        <v>18.989999999999998</v>
      </c>
      <c r="F101" s="2" t="s">
        <v>19825</v>
      </c>
      <c r="G101" s="22" t="s">
        <v>19315</v>
      </c>
      <c r="H101" s="24" t="s">
        <v>19352</v>
      </c>
      <c r="I101" s="22" t="s">
        <v>19309</v>
      </c>
      <c r="J101" s="22" t="s">
        <v>19447</v>
      </c>
      <c r="K101" s="22" t="s">
        <v>19533</v>
      </c>
      <c r="L101" s="22"/>
      <c r="M101" s="22"/>
      <c r="N101" s="25" t="str">
        <f>HYPERLINK("http://slimages.macys.com/is/image/MCY/20930967 ")</f>
        <v xml:space="preserve">http://slimages.macys.com/is/image/MCY/20930967 </v>
      </c>
    </row>
    <row r="102" spans="1:14" ht="24.75" x14ac:dyDescent="0.25">
      <c r="A102" s="21" t="s">
        <v>7421</v>
      </c>
      <c r="B102" s="22" t="s">
        <v>7422</v>
      </c>
      <c r="C102" s="2">
        <v>1</v>
      </c>
      <c r="D102" s="23">
        <v>21.99</v>
      </c>
      <c r="E102" s="3">
        <v>21.99</v>
      </c>
      <c r="F102" s="2" t="s">
        <v>11923</v>
      </c>
      <c r="G102" s="22"/>
      <c r="H102" s="24" t="s">
        <v>19345</v>
      </c>
      <c r="I102" s="22" t="s">
        <v>19309</v>
      </c>
      <c r="J102" s="22" t="s">
        <v>19595</v>
      </c>
      <c r="K102" s="22" t="s">
        <v>19596</v>
      </c>
      <c r="L102" s="22"/>
      <c r="M102" s="22"/>
      <c r="N102" s="25" t="str">
        <f>HYPERLINK("http://slimages.macys.com/is/image/MCY/21909788 ")</f>
        <v xml:space="preserve">http://slimages.macys.com/is/image/MCY/21909788 </v>
      </c>
    </row>
    <row r="103" spans="1:14" ht="24.75" x14ac:dyDescent="0.25">
      <c r="A103" s="21" t="s">
        <v>13014</v>
      </c>
      <c r="B103" s="22" t="s">
        <v>13015</v>
      </c>
      <c r="C103" s="2">
        <v>4</v>
      </c>
      <c r="D103" s="23">
        <v>21.99</v>
      </c>
      <c r="E103" s="3">
        <v>87.96</v>
      </c>
      <c r="F103" s="2" t="s">
        <v>15851</v>
      </c>
      <c r="G103" s="22" t="s">
        <v>19357</v>
      </c>
      <c r="H103" s="24" t="s">
        <v>19361</v>
      </c>
      <c r="I103" s="22" t="s">
        <v>19309</v>
      </c>
      <c r="J103" s="22" t="s">
        <v>19595</v>
      </c>
      <c r="K103" s="22" t="s">
        <v>19596</v>
      </c>
      <c r="L103" s="22"/>
      <c r="M103" s="22"/>
      <c r="N103" s="25" t="str">
        <f>HYPERLINK("http://slimages.macys.com/is/image/MCY/21909784 ")</f>
        <v xml:space="preserve">http://slimages.macys.com/is/image/MCY/21909784 </v>
      </c>
    </row>
    <row r="104" spans="1:14" ht="24.75" x14ac:dyDescent="0.25">
      <c r="A104" s="21" t="s">
        <v>7423</v>
      </c>
      <c r="B104" s="22" t="s">
        <v>7424</v>
      </c>
      <c r="C104" s="2">
        <v>1</v>
      </c>
      <c r="D104" s="23">
        <v>21.99</v>
      </c>
      <c r="E104" s="3">
        <v>21.99</v>
      </c>
      <c r="F104" s="2" t="s">
        <v>11923</v>
      </c>
      <c r="G104" s="22"/>
      <c r="H104" s="24" t="s">
        <v>19361</v>
      </c>
      <c r="I104" s="22" t="s">
        <v>19309</v>
      </c>
      <c r="J104" s="22" t="s">
        <v>19595</v>
      </c>
      <c r="K104" s="22" t="s">
        <v>19596</v>
      </c>
      <c r="L104" s="22"/>
      <c r="M104" s="22"/>
      <c r="N104" s="25" t="str">
        <f>HYPERLINK("http://slimages.macys.com/is/image/MCY/21909782 ")</f>
        <v xml:space="preserve">http://slimages.macys.com/is/image/MCY/21909782 </v>
      </c>
    </row>
    <row r="105" spans="1:14" ht="24.75" x14ac:dyDescent="0.25">
      <c r="A105" s="21" t="s">
        <v>7425</v>
      </c>
      <c r="B105" s="22" t="s">
        <v>7426</v>
      </c>
      <c r="C105" s="2">
        <v>1</v>
      </c>
      <c r="D105" s="23">
        <v>22</v>
      </c>
      <c r="E105" s="3">
        <v>22</v>
      </c>
      <c r="F105" s="2" t="s">
        <v>7427</v>
      </c>
      <c r="G105" s="22" t="s">
        <v>19383</v>
      </c>
      <c r="H105" s="24" t="s">
        <v>19797</v>
      </c>
      <c r="I105" s="22" t="s">
        <v>19309</v>
      </c>
      <c r="J105" s="22" t="s">
        <v>19595</v>
      </c>
      <c r="K105" s="22" t="s">
        <v>19423</v>
      </c>
      <c r="L105" s="22"/>
      <c r="M105" s="22"/>
      <c r="N105" s="25" t="str">
        <f>HYPERLINK("http://slimages.macys.com/is/image/MCY/20917964 ")</f>
        <v xml:space="preserve">http://slimages.macys.com/is/image/MCY/20917964 </v>
      </c>
    </row>
    <row r="106" spans="1:14" ht="24.75" x14ac:dyDescent="0.25">
      <c r="A106" s="21" t="s">
        <v>15849</v>
      </c>
      <c r="B106" s="22" t="s">
        <v>15850</v>
      </c>
      <c r="C106" s="2">
        <v>1</v>
      </c>
      <c r="D106" s="23">
        <v>21.99</v>
      </c>
      <c r="E106" s="3">
        <v>21.99</v>
      </c>
      <c r="F106" s="2" t="s">
        <v>15851</v>
      </c>
      <c r="G106" s="22" t="s">
        <v>19357</v>
      </c>
      <c r="H106" s="24" t="s">
        <v>19334</v>
      </c>
      <c r="I106" s="22" t="s">
        <v>19309</v>
      </c>
      <c r="J106" s="22" t="s">
        <v>19595</v>
      </c>
      <c r="K106" s="22" t="s">
        <v>19596</v>
      </c>
      <c r="L106" s="22"/>
      <c r="M106" s="22"/>
      <c r="N106" s="25" t="str">
        <f>HYPERLINK("http://slimages.macys.com/is/image/MCY/21909786 ")</f>
        <v xml:space="preserve">http://slimages.macys.com/is/image/MCY/21909786 </v>
      </c>
    </row>
    <row r="107" spans="1:14" ht="24.75" x14ac:dyDescent="0.25">
      <c r="A107" s="21" t="s">
        <v>7428</v>
      </c>
      <c r="B107" s="22" t="s">
        <v>7429</v>
      </c>
      <c r="C107" s="2">
        <v>1</v>
      </c>
      <c r="D107" s="23">
        <v>21.99</v>
      </c>
      <c r="E107" s="3">
        <v>21.99</v>
      </c>
      <c r="F107" s="2" t="s">
        <v>7430</v>
      </c>
      <c r="G107" s="22" t="s">
        <v>19594</v>
      </c>
      <c r="H107" s="24" t="s">
        <v>19334</v>
      </c>
      <c r="I107" s="22" t="s">
        <v>19309</v>
      </c>
      <c r="J107" s="22" t="s">
        <v>19595</v>
      </c>
      <c r="K107" s="22" t="s">
        <v>19596</v>
      </c>
      <c r="L107" s="22"/>
      <c r="M107" s="22"/>
      <c r="N107" s="25" t="str">
        <f>HYPERLINK("http://slimages.macys.com/is/image/MCY/21623016 ")</f>
        <v xml:space="preserve">http://slimages.macys.com/is/image/MCY/21623016 </v>
      </c>
    </row>
    <row r="108" spans="1:14" ht="24.75" x14ac:dyDescent="0.25">
      <c r="A108" s="21" t="s">
        <v>7431</v>
      </c>
      <c r="B108" s="22" t="s">
        <v>7432</v>
      </c>
      <c r="C108" s="2">
        <v>2</v>
      </c>
      <c r="D108" s="23">
        <v>21.99</v>
      </c>
      <c r="E108" s="3">
        <v>43.98</v>
      </c>
      <c r="F108" s="2" t="s">
        <v>15851</v>
      </c>
      <c r="G108" s="22" t="s">
        <v>19357</v>
      </c>
      <c r="H108" s="24" t="s">
        <v>19345</v>
      </c>
      <c r="I108" s="22" t="s">
        <v>19309</v>
      </c>
      <c r="J108" s="22" t="s">
        <v>19595</v>
      </c>
      <c r="K108" s="22" t="s">
        <v>19596</v>
      </c>
      <c r="L108" s="22"/>
      <c r="M108" s="22"/>
      <c r="N108" s="25" t="str">
        <f>HYPERLINK("http://slimages.macys.com/is/image/MCY/21909786 ")</f>
        <v xml:space="preserve">http://slimages.macys.com/is/image/MCY/21909786 </v>
      </c>
    </row>
    <row r="109" spans="1:14" ht="24.75" x14ac:dyDescent="0.25">
      <c r="A109" s="21" t="s">
        <v>19828</v>
      </c>
      <c r="B109" s="22" t="s">
        <v>19829</v>
      </c>
      <c r="C109" s="2">
        <v>1</v>
      </c>
      <c r="D109" s="23">
        <v>21.99</v>
      </c>
      <c r="E109" s="3">
        <v>21.99</v>
      </c>
      <c r="F109" s="2" t="s">
        <v>19830</v>
      </c>
      <c r="G109" s="22" t="s">
        <v>19513</v>
      </c>
      <c r="H109" s="24" t="s">
        <v>19334</v>
      </c>
      <c r="I109" s="22" t="s">
        <v>19309</v>
      </c>
      <c r="J109" s="22" t="s">
        <v>19595</v>
      </c>
      <c r="K109" s="22" t="s">
        <v>19596</v>
      </c>
      <c r="L109" s="22"/>
      <c r="M109" s="22"/>
      <c r="N109" s="25" t="str">
        <f>HYPERLINK("http://slimages.macys.com/is/image/MCY/21622964 ")</f>
        <v xml:space="preserve">http://slimages.macys.com/is/image/MCY/21622964 </v>
      </c>
    </row>
    <row r="110" spans="1:14" ht="24.75" x14ac:dyDescent="0.25">
      <c r="A110" s="21" t="s">
        <v>7433</v>
      </c>
      <c r="B110" s="22" t="s">
        <v>7434</v>
      </c>
      <c r="C110" s="2">
        <v>2</v>
      </c>
      <c r="D110" s="23">
        <v>21.99</v>
      </c>
      <c r="E110" s="3">
        <v>43.98</v>
      </c>
      <c r="F110" s="2" t="s">
        <v>19830</v>
      </c>
      <c r="G110" s="22" t="s">
        <v>19513</v>
      </c>
      <c r="H110" s="24" t="s">
        <v>19361</v>
      </c>
      <c r="I110" s="22" t="s">
        <v>19309</v>
      </c>
      <c r="J110" s="22" t="s">
        <v>19595</v>
      </c>
      <c r="K110" s="22" t="s">
        <v>19596</v>
      </c>
      <c r="L110" s="22"/>
      <c r="M110" s="22"/>
      <c r="N110" s="25" t="str">
        <f>HYPERLINK("http://slimages.macys.com/is/image/MCY/21623076 ")</f>
        <v xml:space="preserve">http://slimages.macys.com/is/image/MCY/21623076 </v>
      </c>
    </row>
    <row r="111" spans="1:14" ht="24.75" x14ac:dyDescent="0.25">
      <c r="A111" s="21" t="s">
        <v>17893</v>
      </c>
      <c r="B111" s="22" t="s">
        <v>17894</v>
      </c>
      <c r="C111" s="2">
        <v>1</v>
      </c>
      <c r="D111" s="23">
        <v>24.99</v>
      </c>
      <c r="E111" s="3">
        <v>24.99</v>
      </c>
      <c r="F111" s="2" t="s">
        <v>19833</v>
      </c>
      <c r="G111" s="22"/>
      <c r="H111" s="24" t="s">
        <v>19316</v>
      </c>
      <c r="I111" s="22" t="s">
        <v>19309</v>
      </c>
      <c r="J111" s="22" t="s">
        <v>19519</v>
      </c>
      <c r="K111" s="22" t="s">
        <v>19834</v>
      </c>
      <c r="L111" s="22"/>
      <c r="M111" s="22"/>
      <c r="N111" s="25" t="str">
        <f>HYPERLINK("http://slimages.macys.com/is/image/MCY/20950688 ")</f>
        <v xml:space="preserve">http://slimages.macys.com/is/image/MCY/20950688 </v>
      </c>
    </row>
    <row r="112" spans="1:14" ht="24.75" x14ac:dyDescent="0.25">
      <c r="A112" s="21" t="s">
        <v>7435</v>
      </c>
      <c r="B112" s="22" t="s">
        <v>7436</v>
      </c>
      <c r="C112" s="2">
        <v>1</v>
      </c>
      <c r="D112" s="23">
        <v>24.99</v>
      </c>
      <c r="E112" s="3">
        <v>24.99</v>
      </c>
      <c r="F112" s="2" t="s">
        <v>15856</v>
      </c>
      <c r="G112" s="22"/>
      <c r="H112" s="24" t="s">
        <v>19316</v>
      </c>
      <c r="I112" s="22" t="s">
        <v>19309</v>
      </c>
      <c r="J112" s="22" t="s">
        <v>19519</v>
      </c>
      <c r="K112" s="22" t="s">
        <v>19834</v>
      </c>
      <c r="L112" s="22"/>
      <c r="M112" s="22"/>
      <c r="N112" s="25" t="str">
        <f>HYPERLINK("http://slimages.macys.com/is/image/MCY/21352780 ")</f>
        <v xml:space="preserve">http://slimages.macys.com/is/image/MCY/21352780 </v>
      </c>
    </row>
    <row r="113" spans="1:14" ht="24.75" x14ac:dyDescent="0.25">
      <c r="A113" s="21" t="s">
        <v>7437</v>
      </c>
      <c r="B113" s="22" t="s">
        <v>7438</v>
      </c>
      <c r="C113" s="2">
        <v>1</v>
      </c>
      <c r="D113" s="23">
        <v>24.99</v>
      </c>
      <c r="E113" s="3">
        <v>24.99</v>
      </c>
      <c r="F113" s="2" t="s">
        <v>7439</v>
      </c>
      <c r="G113" s="22"/>
      <c r="H113" s="24" t="s">
        <v>19399</v>
      </c>
      <c r="I113" s="22" t="s">
        <v>19309</v>
      </c>
      <c r="J113" s="22" t="s">
        <v>19519</v>
      </c>
      <c r="K113" s="22" t="s">
        <v>19834</v>
      </c>
      <c r="L113" s="22"/>
      <c r="M113" s="22"/>
      <c r="N113" s="25" t="str">
        <f>HYPERLINK("http://slimages.macys.com/is/image/MCY/20950702 ")</f>
        <v xml:space="preserve">http://slimages.macys.com/is/image/MCY/20950702 </v>
      </c>
    </row>
    <row r="114" spans="1:14" ht="24.75" x14ac:dyDescent="0.25">
      <c r="A114" s="21" t="s">
        <v>7440</v>
      </c>
      <c r="B114" s="22" t="s">
        <v>7441</v>
      </c>
      <c r="C114" s="2">
        <v>1</v>
      </c>
      <c r="D114" s="23">
        <v>24.99</v>
      </c>
      <c r="E114" s="3">
        <v>24.99</v>
      </c>
      <c r="F114" s="2" t="s">
        <v>17899</v>
      </c>
      <c r="G114" s="22"/>
      <c r="H114" s="24" t="s">
        <v>19399</v>
      </c>
      <c r="I114" s="22" t="s">
        <v>19309</v>
      </c>
      <c r="J114" s="22" t="s">
        <v>19519</v>
      </c>
      <c r="K114" s="22" t="s">
        <v>19834</v>
      </c>
      <c r="L114" s="22"/>
      <c r="M114" s="22"/>
      <c r="N114" s="25" t="str">
        <f>HYPERLINK("http://slimages.macys.com/is/image/MCY/21352783 ")</f>
        <v xml:space="preserve">http://slimages.macys.com/is/image/MCY/21352783 </v>
      </c>
    </row>
    <row r="115" spans="1:14" ht="24.75" x14ac:dyDescent="0.25">
      <c r="A115" s="21" t="s">
        <v>19835</v>
      </c>
      <c r="B115" s="22" t="s">
        <v>19836</v>
      </c>
      <c r="C115" s="2">
        <v>1</v>
      </c>
      <c r="D115" s="23">
        <v>24.99</v>
      </c>
      <c r="E115" s="3">
        <v>24.99</v>
      </c>
      <c r="F115" s="2" t="s">
        <v>19833</v>
      </c>
      <c r="G115" s="22"/>
      <c r="H115" s="24" t="s">
        <v>19501</v>
      </c>
      <c r="I115" s="22" t="s">
        <v>19309</v>
      </c>
      <c r="J115" s="22" t="s">
        <v>19519</v>
      </c>
      <c r="K115" s="22" t="s">
        <v>19834</v>
      </c>
      <c r="L115" s="22"/>
      <c r="M115" s="22"/>
      <c r="N115" s="25" t="str">
        <f>HYPERLINK("http://slimages.macys.com/is/image/MCY/20950688 ")</f>
        <v xml:space="preserve">http://slimages.macys.com/is/image/MCY/20950688 </v>
      </c>
    </row>
    <row r="116" spans="1:14" ht="24.75" x14ac:dyDescent="0.25">
      <c r="A116" s="21" t="s">
        <v>7442</v>
      </c>
      <c r="B116" s="22" t="s">
        <v>7443</v>
      </c>
      <c r="C116" s="2">
        <v>1</v>
      </c>
      <c r="D116" s="23">
        <v>17.82</v>
      </c>
      <c r="E116" s="3">
        <v>17.82</v>
      </c>
      <c r="F116" s="2" t="s">
        <v>19882</v>
      </c>
      <c r="G116" s="22" t="s">
        <v>19431</v>
      </c>
      <c r="H116" s="24" t="s">
        <v>20159</v>
      </c>
      <c r="I116" s="22" t="s">
        <v>19309</v>
      </c>
      <c r="J116" s="22" t="s">
        <v>19708</v>
      </c>
      <c r="K116" s="22" t="s">
        <v>19709</v>
      </c>
      <c r="L116" s="22"/>
      <c r="M116" s="22"/>
      <c r="N116" s="25" t="str">
        <f>HYPERLINK("http://slimages.macys.com/is/image/MCY/21409066 ")</f>
        <v xml:space="preserve">http://slimages.macys.com/is/image/MCY/21409066 </v>
      </c>
    </row>
    <row r="117" spans="1:14" x14ac:dyDescent="0.25">
      <c r="A117" s="21" t="s">
        <v>7444</v>
      </c>
      <c r="B117" s="22" t="s">
        <v>7445</v>
      </c>
      <c r="C117" s="2">
        <v>1</v>
      </c>
      <c r="D117" s="23">
        <v>22.52</v>
      </c>
      <c r="E117" s="3">
        <v>22.52</v>
      </c>
      <c r="F117" s="2" t="s">
        <v>7446</v>
      </c>
      <c r="G117" s="22" t="s">
        <v>19333</v>
      </c>
      <c r="H117" s="24" t="s">
        <v>19367</v>
      </c>
      <c r="I117" s="22" t="s">
        <v>19309</v>
      </c>
      <c r="J117" s="22" t="s">
        <v>19708</v>
      </c>
      <c r="K117" s="22" t="s">
        <v>19709</v>
      </c>
      <c r="L117" s="22"/>
      <c r="M117" s="22"/>
      <c r="N117" s="25" t="str">
        <f>HYPERLINK("http://slimages.macys.com/is/image/MCY/19836756 ")</f>
        <v xml:space="preserve">http://slimages.macys.com/is/image/MCY/19836756 </v>
      </c>
    </row>
    <row r="118" spans="1:14" x14ac:dyDescent="0.25">
      <c r="A118" s="21" t="s">
        <v>7447</v>
      </c>
      <c r="B118" s="22" t="s">
        <v>7448</v>
      </c>
      <c r="C118" s="2">
        <v>1</v>
      </c>
      <c r="D118" s="23">
        <v>22.52</v>
      </c>
      <c r="E118" s="3">
        <v>22.52</v>
      </c>
      <c r="F118" s="2" t="s">
        <v>7446</v>
      </c>
      <c r="G118" s="22" t="s">
        <v>19333</v>
      </c>
      <c r="H118" s="24" t="s">
        <v>19324</v>
      </c>
      <c r="I118" s="22" t="s">
        <v>19309</v>
      </c>
      <c r="J118" s="22" t="s">
        <v>19708</v>
      </c>
      <c r="K118" s="22" t="s">
        <v>19709</v>
      </c>
      <c r="L118" s="22"/>
      <c r="M118" s="22"/>
      <c r="N118" s="25" t="str">
        <f>HYPERLINK("http://slimages.macys.com/is/image/MCY/19836756 ")</f>
        <v xml:space="preserve">http://slimages.macys.com/is/image/MCY/19836756 </v>
      </c>
    </row>
    <row r="119" spans="1:14" ht="24.75" x14ac:dyDescent="0.25">
      <c r="A119" s="21" t="s">
        <v>7449</v>
      </c>
      <c r="B119" s="22" t="s">
        <v>7450</v>
      </c>
      <c r="C119" s="2">
        <v>1</v>
      </c>
      <c r="D119" s="23">
        <v>21.99</v>
      </c>
      <c r="E119" s="3">
        <v>21.99</v>
      </c>
      <c r="F119" s="2" t="s">
        <v>7451</v>
      </c>
      <c r="G119" s="22" t="s">
        <v>19674</v>
      </c>
      <c r="H119" s="24" t="s">
        <v>19352</v>
      </c>
      <c r="I119" s="22" t="s">
        <v>19309</v>
      </c>
      <c r="J119" s="22" t="s">
        <v>19353</v>
      </c>
      <c r="K119" s="22" t="s">
        <v>19524</v>
      </c>
      <c r="L119" s="22"/>
      <c r="M119" s="22"/>
      <c r="N119" s="25" t="str">
        <f>HYPERLINK("http://slimages.macys.com/is/image/MCY/21233429 ")</f>
        <v xml:space="preserve">http://slimages.macys.com/is/image/MCY/21233429 </v>
      </c>
    </row>
    <row r="120" spans="1:14" ht="24.75" x14ac:dyDescent="0.25">
      <c r="A120" s="21" t="s">
        <v>17954</v>
      </c>
      <c r="B120" s="22" t="s">
        <v>17955</v>
      </c>
      <c r="C120" s="2">
        <v>1</v>
      </c>
      <c r="D120" s="23">
        <v>17.989999999999998</v>
      </c>
      <c r="E120" s="3">
        <v>17.989999999999998</v>
      </c>
      <c r="F120" s="2" t="s">
        <v>17956</v>
      </c>
      <c r="G120" s="22" t="s">
        <v>19351</v>
      </c>
      <c r="H120" s="24" t="s">
        <v>19797</v>
      </c>
      <c r="I120" s="22" t="s">
        <v>19309</v>
      </c>
      <c r="J120" s="22" t="s">
        <v>19447</v>
      </c>
      <c r="K120" s="22" t="s">
        <v>19533</v>
      </c>
      <c r="L120" s="22"/>
      <c r="M120" s="22"/>
      <c r="N120" s="25" t="str">
        <f>HYPERLINK("http://slimages.macys.com/is/image/MCY/21253722 ")</f>
        <v xml:space="preserve">http://slimages.macys.com/is/image/MCY/21253722 </v>
      </c>
    </row>
    <row r="121" spans="1:14" ht="24.75" x14ac:dyDescent="0.25">
      <c r="A121" s="21" t="s">
        <v>19883</v>
      </c>
      <c r="B121" s="22" t="s">
        <v>19884</v>
      </c>
      <c r="C121" s="2">
        <v>1</v>
      </c>
      <c r="D121" s="23">
        <v>17.989999999999998</v>
      </c>
      <c r="E121" s="3">
        <v>17.989999999999998</v>
      </c>
      <c r="F121" s="2" t="s">
        <v>19885</v>
      </c>
      <c r="G121" s="22" t="s">
        <v>19886</v>
      </c>
      <c r="H121" s="24" t="s">
        <v>19797</v>
      </c>
      <c r="I121" s="22" t="s">
        <v>19309</v>
      </c>
      <c r="J121" s="22" t="s">
        <v>19447</v>
      </c>
      <c r="K121" s="22" t="s">
        <v>19533</v>
      </c>
      <c r="L121" s="22"/>
      <c r="M121" s="22"/>
      <c r="N121" s="25" t="str">
        <f>HYPERLINK("http://slimages.macys.com/is/image/MCY/21253727 ")</f>
        <v xml:space="preserve">http://slimages.macys.com/is/image/MCY/21253727 </v>
      </c>
    </row>
    <row r="122" spans="1:14" ht="24.75" x14ac:dyDescent="0.25">
      <c r="A122" s="21" t="s">
        <v>11528</v>
      </c>
      <c r="B122" s="22" t="s">
        <v>11529</v>
      </c>
      <c r="C122" s="2">
        <v>1</v>
      </c>
      <c r="D122" s="23">
        <v>19.989999999999998</v>
      </c>
      <c r="E122" s="3">
        <v>19.989999999999998</v>
      </c>
      <c r="F122" s="2" t="s">
        <v>19894</v>
      </c>
      <c r="G122" s="22" t="s">
        <v>19670</v>
      </c>
      <c r="H122" s="24" t="s">
        <v>19538</v>
      </c>
      <c r="I122" s="22" t="s">
        <v>19309</v>
      </c>
      <c r="J122" s="22" t="s">
        <v>19573</v>
      </c>
      <c r="K122" s="22" t="s">
        <v>19574</v>
      </c>
      <c r="L122" s="22"/>
      <c r="M122" s="22"/>
      <c r="N122" s="25" t="str">
        <f>HYPERLINK("http://slimages.macys.com/is/image/MCY/20757824 ")</f>
        <v xml:space="preserve">http://slimages.macys.com/is/image/MCY/20757824 </v>
      </c>
    </row>
    <row r="123" spans="1:14" ht="24.75" x14ac:dyDescent="0.25">
      <c r="A123" s="21" t="s">
        <v>11949</v>
      </c>
      <c r="B123" s="22" t="s">
        <v>11950</v>
      </c>
      <c r="C123" s="2">
        <v>2</v>
      </c>
      <c r="D123" s="23">
        <v>16.989999999999998</v>
      </c>
      <c r="E123" s="3">
        <v>33.979999999999997</v>
      </c>
      <c r="F123" s="2" t="s">
        <v>19911</v>
      </c>
      <c r="G123" s="22" t="s">
        <v>19422</v>
      </c>
      <c r="H123" s="24"/>
      <c r="I123" s="22" t="s">
        <v>19309</v>
      </c>
      <c r="J123" s="22" t="s">
        <v>19573</v>
      </c>
      <c r="K123" s="22" t="s">
        <v>19574</v>
      </c>
      <c r="L123" s="22"/>
      <c r="M123" s="22"/>
      <c r="N123" s="25" t="str">
        <f>HYPERLINK("http://slimages.macys.com/is/image/MCY/1646328 ")</f>
        <v xml:space="preserve">http://slimages.macys.com/is/image/MCY/1646328 </v>
      </c>
    </row>
    <row r="124" spans="1:14" ht="24.75" x14ac:dyDescent="0.25">
      <c r="A124" s="21" t="s">
        <v>19903</v>
      </c>
      <c r="B124" s="22" t="s">
        <v>19904</v>
      </c>
      <c r="C124" s="2">
        <v>1</v>
      </c>
      <c r="D124" s="23">
        <v>26.99</v>
      </c>
      <c r="E124" s="3">
        <v>26.99</v>
      </c>
      <c r="F124" s="2" t="s">
        <v>19905</v>
      </c>
      <c r="G124" s="22" t="s">
        <v>19906</v>
      </c>
      <c r="H124" s="24" t="s">
        <v>19907</v>
      </c>
      <c r="I124" s="22" t="s">
        <v>19309</v>
      </c>
      <c r="J124" s="22" t="s">
        <v>19908</v>
      </c>
      <c r="K124" s="22" t="s">
        <v>19524</v>
      </c>
      <c r="L124" s="22"/>
      <c r="M124" s="22"/>
      <c r="N124" s="25" t="str">
        <f>HYPERLINK("http://slimages.macys.com/is/image/MCY/1472546 ")</f>
        <v xml:space="preserve">http://slimages.macys.com/is/image/MCY/1472546 </v>
      </c>
    </row>
    <row r="125" spans="1:14" ht="24.75" x14ac:dyDescent="0.25">
      <c r="A125" s="21" t="s">
        <v>7452</v>
      </c>
      <c r="B125" s="22" t="s">
        <v>7453</v>
      </c>
      <c r="C125" s="2">
        <v>1</v>
      </c>
      <c r="D125" s="23">
        <v>26.99</v>
      </c>
      <c r="E125" s="3">
        <v>26.99</v>
      </c>
      <c r="F125" s="2" t="s">
        <v>19905</v>
      </c>
      <c r="G125" s="22" t="s">
        <v>19906</v>
      </c>
      <c r="H125" s="24" t="s">
        <v>19361</v>
      </c>
      <c r="I125" s="22" t="s">
        <v>19309</v>
      </c>
      <c r="J125" s="22" t="s">
        <v>19908</v>
      </c>
      <c r="K125" s="22" t="s">
        <v>19524</v>
      </c>
      <c r="L125" s="22"/>
      <c r="M125" s="22"/>
      <c r="N125" s="25" t="str">
        <f>HYPERLINK("http://slimages.macys.com/is/image/MCY/1484635 ")</f>
        <v xml:space="preserve">http://slimages.macys.com/is/image/MCY/1484635 </v>
      </c>
    </row>
    <row r="126" spans="1:14" ht="24.75" x14ac:dyDescent="0.25">
      <c r="A126" s="21" t="s">
        <v>10470</v>
      </c>
      <c r="B126" s="22" t="s">
        <v>10471</v>
      </c>
      <c r="C126" s="2">
        <v>1</v>
      </c>
      <c r="D126" s="23">
        <v>16.989999999999998</v>
      </c>
      <c r="E126" s="3">
        <v>16.989999999999998</v>
      </c>
      <c r="F126" s="2" t="s">
        <v>19911</v>
      </c>
      <c r="G126" s="22" t="s">
        <v>19422</v>
      </c>
      <c r="H126" s="24" t="s">
        <v>19770</v>
      </c>
      <c r="I126" s="22" t="s">
        <v>19309</v>
      </c>
      <c r="J126" s="22" t="s">
        <v>19573</v>
      </c>
      <c r="K126" s="22" t="s">
        <v>19574</v>
      </c>
      <c r="L126" s="22"/>
      <c r="M126" s="22"/>
      <c r="N126" s="25" t="str">
        <f>HYPERLINK("http://slimages.macys.com/is/image/MCY/1646328 ")</f>
        <v xml:space="preserve">http://slimages.macys.com/is/image/MCY/1646328 </v>
      </c>
    </row>
    <row r="127" spans="1:14" ht="24.75" x14ac:dyDescent="0.25">
      <c r="A127" s="21" t="s">
        <v>7454</v>
      </c>
      <c r="B127" s="22" t="s">
        <v>7455</v>
      </c>
      <c r="C127" s="2">
        <v>1</v>
      </c>
      <c r="D127" s="23">
        <v>17.989999999999998</v>
      </c>
      <c r="E127" s="3">
        <v>17.989999999999998</v>
      </c>
      <c r="F127" s="2" t="s">
        <v>7456</v>
      </c>
      <c r="G127" s="22"/>
      <c r="H127" s="24" t="s">
        <v>19361</v>
      </c>
      <c r="I127" s="22" t="s">
        <v>19309</v>
      </c>
      <c r="J127" s="22" t="s">
        <v>19908</v>
      </c>
      <c r="K127" s="22" t="s">
        <v>19524</v>
      </c>
      <c r="L127" s="22"/>
      <c r="M127" s="22"/>
      <c r="N127" s="25" t="str">
        <f>HYPERLINK("http://slimages.macys.com/is/image/MCY/19631899 ")</f>
        <v xml:space="preserve">http://slimages.macys.com/is/image/MCY/19631899 </v>
      </c>
    </row>
    <row r="128" spans="1:14" ht="24.75" x14ac:dyDescent="0.25">
      <c r="A128" s="21" t="s">
        <v>7457</v>
      </c>
      <c r="B128" s="22" t="s">
        <v>7458</v>
      </c>
      <c r="C128" s="2">
        <v>1</v>
      </c>
      <c r="D128" s="23">
        <v>19</v>
      </c>
      <c r="E128" s="3">
        <v>19</v>
      </c>
      <c r="F128" s="2" t="s">
        <v>7459</v>
      </c>
      <c r="G128" s="22" t="s">
        <v>11254</v>
      </c>
      <c r="H128" s="24" t="s">
        <v>19364</v>
      </c>
      <c r="I128" s="22" t="s">
        <v>19309</v>
      </c>
      <c r="J128" s="22" t="s">
        <v>19565</v>
      </c>
      <c r="K128" s="22" t="s">
        <v>18548</v>
      </c>
      <c r="L128" s="22"/>
      <c r="M128" s="22"/>
      <c r="N128" s="25" t="str">
        <f>HYPERLINK("http://slimages.macys.com/is/image/MCY/20456846 ")</f>
        <v xml:space="preserve">http://slimages.macys.com/is/image/MCY/20456846 </v>
      </c>
    </row>
    <row r="129" spans="1:14" ht="24.75" x14ac:dyDescent="0.25">
      <c r="A129" s="21" t="s">
        <v>7460</v>
      </c>
      <c r="B129" s="22" t="s">
        <v>7461</v>
      </c>
      <c r="C129" s="2">
        <v>1</v>
      </c>
      <c r="D129" s="23">
        <v>16.989999999999998</v>
      </c>
      <c r="E129" s="3">
        <v>16.989999999999998</v>
      </c>
      <c r="F129" s="2">
        <v>10015239300</v>
      </c>
      <c r="G129" s="22" t="s">
        <v>19315</v>
      </c>
      <c r="H129" s="24" t="s">
        <v>19770</v>
      </c>
      <c r="I129" s="22" t="s">
        <v>19309</v>
      </c>
      <c r="J129" s="22" t="s">
        <v>19573</v>
      </c>
      <c r="K129" s="22" t="s">
        <v>19574</v>
      </c>
      <c r="L129" s="22"/>
      <c r="M129" s="22"/>
      <c r="N129" s="25" t="str">
        <f>HYPERLINK("http://slimages.macys.com/is/image/MCY/1699968 ")</f>
        <v xml:space="preserve">http://slimages.macys.com/is/image/MCY/1699968 </v>
      </c>
    </row>
    <row r="130" spans="1:14" x14ac:dyDescent="0.25">
      <c r="A130" s="21" t="s">
        <v>7462</v>
      </c>
      <c r="B130" s="22" t="s">
        <v>7463</v>
      </c>
      <c r="C130" s="2">
        <v>1</v>
      </c>
      <c r="D130" s="23">
        <v>21.96</v>
      </c>
      <c r="E130" s="3">
        <v>21.96</v>
      </c>
      <c r="F130" s="2" t="s">
        <v>7464</v>
      </c>
      <c r="G130" s="22"/>
      <c r="H130" s="24" t="s">
        <v>20159</v>
      </c>
      <c r="I130" s="22" t="s">
        <v>19309</v>
      </c>
      <c r="J130" s="22" t="s">
        <v>19708</v>
      </c>
      <c r="K130" s="22" t="s">
        <v>19709</v>
      </c>
      <c r="L130" s="22"/>
      <c r="M130" s="22"/>
      <c r="N130" s="25" t="str">
        <f>HYPERLINK("http://slimages.macys.com/is/image/MCY/21422914 ")</f>
        <v xml:space="preserve">http://slimages.macys.com/is/image/MCY/21422914 </v>
      </c>
    </row>
    <row r="131" spans="1:14" ht="24.75" x14ac:dyDescent="0.25">
      <c r="A131" s="21" t="s">
        <v>19915</v>
      </c>
      <c r="B131" s="22" t="s">
        <v>19916</v>
      </c>
      <c r="C131" s="2">
        <v>3</v>
      </c>
      <c r="D131" s="23">
        <v>18.989999999999998</v>
      </c>
      <c r="E131" s="3">
        <v>56.97</v>
      </c>
      <c r="F131" s="2" t="s">
        <v>19914</v>
      </c>
      <c r="G131" s="22" t="s">
        <v>19713</v>
      </c>
      <c r="H131" s="24"/>
      <c r="I131" s="22" t="s">
        <v>19309</v>
      </c>
      <c r="J131" s="22" t="s">
        <v>19573</v>
      </c>
      <c r="K131" s="22" t="s">
        <v>19574</v>
      </c>
      <c r="L131" s="22"/>
      <c r="M131" s="22"/>
      <c r="N131" s="25" t="str">
        <f t="shared" ref="N131:N136" si="0">HYPERLINK("http://slimages.macys.com/is/image/MCY/1322715 ")</f>
        <v xml:space="preserve">http://slimages.macys.com/is/image/MCY/1322715 </v>
      </c>
    </row>
    <row r="132" spans="1:14" ht="24.75" x14ac:dyDescent="0.25">
      <c r="A132" s="21" t="s">
        <v>19921</v>
      </c>
      <c r="B132" s="22" t="s">
        <v>19922</v>
      </c>
      <c r="C132" s="2">
        <v>1</v>
      </c>
      <c r="D132" s="23">
        <v>18.989999999999998</v>
      </c>
      <c r="E132" s="3">
        <v>18.989999999999998</v>
      </c>
      <c r="F132" s="2">
        <v>10015242300</v>
      </c>
      <c r="G132" s="22" t="s">
        <v>19518</v>
      </c>
      <c r="H132" s="24" t="s">
        <v>19538</v>
      </c>
      <c r="I132" s="22" t="s">
        <v>19309</v>
      </c>
      <c r="J132" s="22" t="s">
        <v>19573</v>
      </c>
      <c r="K132" s="22" t="s">
        <v>19574</v>
      </c>
      <c r="L132" s="22"/>
      <c r="M132" s="22"/>
      <c r="N132" s="25" t="str">
        <f t="shared" si="0"/>
        <v xml:space="preserve">http://slimages.macys.com/is/image/MCY/1322715 </v>
      </c>
    </row>
    <row r="133" spans="1:14" ht="24.75" x14ac:dyDescent="0.25">
      <c r="A133" s="21" t="s">
        <v>19925</v>
      </c>
      <c r="B133" s="22" t="s">
        <v>19926</v>
      </c>
      <c r="C133" s="2">
        <v>2</v>
      </c>
      <c r="D133" s="23">
        <v>18.989999999999998</v>
      </c>
      <c r="E133" s="3">
        <v>37.979999999999997</v>
      </c>
      <c r="F133" s="2" t="s">
        <v>19914</v>
      </c>
      <c r="G133" s="22" t="s">
        <v>19713</v>
      </c>
      <c r="H133" s="24" t="s">
        <v>19538</v>
      </c>
      <c r="I133" s="22" t="s">
        <v>19309</v>
      </c>
      <c r="J133" s="22" t="s">
        <v>19573</v>
      </c>
      <c r="K133" s="22" t="s">
        <v>19574</v>
      </c>
      <c r="L133" s="22"/>
      <c r="M133" s="22"/>
      <c r="N133" s="25" t="str">
        <f t="shared" si="0"/>
        <v xml:space="preserve">http://slimages.macys.com/is/image/MCY/1322715 </v>
      </c>
    </row>
    <row r="134" spans="1:14" ht="24.75" x14ac:dyDescent="0.25">
      <c r="A134" s="21" t="s">
        <v>19917</v>
      </c>
      <c r="B134" s="22" t="s">
        <v>19918</v>
      </c>
      <c r="C134" s="2">
        <v>1</v>
      </c>
      <c r="D134" s="23">
        <v>18.989999999999998</v>
      </c>
      <c r="E134" s="3">
        <v>18.989999999999998</v>
      </c>
      <c r="F134" s="2">
        <v>10015242200</v>
      </c>
      <c r="G134" s="22" t="s">
        <v>19315</v>
      </c>
      <c r="H134" s="24"/>
      <c r="I134" s="22" t="s">
        <v>19309</v>
      </c>
      <c r="J134" s="22" t="s">
        <v>19573</v>
      </c>
      <c r="K134" s="22" t="s">
        <v>19574</v>
      </c>
      <c r="L134" s="22"/>
      <c r="M134" s="22"/>
      <c r="N134" s="25" t="str">
        <f t="shared" si="0"/>
        <v xml:space="preserve">http://slimages.macys.com/is/image/MCY/1322715 </v>
      </c>
    </row>
    <row r="135" spans="1:14" ht="24.75" x14ac:dyDescent="0.25">
      <c r="A135" s="21" t="s">
        <v>17967</v>
      </c>
      <c r="B135" s="22" t="s">
        <v>17968</v>
      </c>
      <c r="C135" s="2">
        <v>2</v>
      </c>
      <c r="D135" s="23">
        <v>18.989999999999998</v>
      </c>
      <c r="E135" s="3">
        <v>37.979999999999997</v>
      </c>
      <c r="F135" s="2" t="s">
        <v>19914</v>
      </c>
      <c r="G135" s="22" t="s">
        <v>19713</v>
      </c>
      <c r="H135" s="24" t="s">
        <v>19770</v>
      </c>
      <c r="I135" s="22" t="s">
        <v>19309</v>
      </c>
      <c r="J135" s="22" t="s">
        <v>19573</v>
      </c>
      <c r="K135" s="22" t="s">
        <v>19574</v>
      </c>
      <c r="L135" s="22"/>
      <c r="M135" s="22"/>
      <c r="N135" s="25" t="str">
        <f t="shared" si="0"/>
        <v xml:space="preserve">http://slimages.macys.com/is/image/MCY/1322715 </v>
      </c>
    </row>
    <row r="136" spans="1:14" ht="24.75" x14ac:dyDescent="0.25">
      <c r="A136" s="21" t="s">
        <v>13032</v>
      </c>
      <c r="B136" s="22" t="s">
        <v>13033</v>
      </c>
      <c r="C136" s="2">
        <v>1</v>
      </c>
      <c r="D136" s="23">
        <v>18.989999999999998</v>
      </c>
      <c r="E136" s="3">
        <v>18.989999999999998</v>
      </c>
      <c r="F136" s="2">
        <v>10015242300</v>
      </c>
      <c r="G136" s="22" t="s">
        <v>19518</v>
      </c>
      <c r="H136" s="24" t="s">
        <v>19384</v>
      </c>
      <c r="I136" s="22" t="s">
        <v>19309</v>
      </c>
      <c r="J136" s="22" t="s">
        <v>19573</v>
      </c>
      <c r="K136" s="22" t="s">
        <v>19574</v>
      </c>
      <c r="L136" s="22"/>
      <c r="M136" s="22"/>
      <c r="N136" s="25" t="str">
        <f t="shared" si="0"/>
        <v xml:space="preserve">http://slimages.macys.com/is/image/MCY/1322715 </v>
      </c>
    </row>
    <row r="137" spans="1:14" x14ac:dyDescent="0.25">
      <c r="A137" s="21" t="s">
        <v>7465</v>
      </c>
      <c r="B137" s="22" t="s">
        <v>7466</v>
      </c>
      <c r="C137" s="2">
        <v>1</v>
      </c>
      <c r="D137" s="23">
        <v>17.100000000000001</v>
      </c>
      <c r="E137" s="3">
        <v>17.100000000000001</v>
      </c>
      <c r="F137" s="2" t="s">
        <v>7467</v>
      </c>
      <c r="G137" s="22" t="s">
        <v>19323</v>
      </c>
      <c r="H137" s="24" t="s">
        <v>19367</v>
      </c>
      <c r="I137" s="22" t="s">
        <v>19309</v>
      </c>
      <c r="J137" s="22" t="s">
        <v>19708</v>
      </c>
      <c r="K137" s="22" t="s">
        <v>19709</v>
      </c>
      <c r="L137" s="22"/>
      <c r="M137" s="22"/>
      <c r="N137" s="25" t="str">
        <f>HYPERLINK("http://slimages.macys.com/is/image/MCY/19172006 ")</f>
        <v xml:space="preserve">http://slimages.macys.com/is/image/MCY/19172006 </v>
      </c>
    </row>
    <row r="138" spans="1:14" x14ac:dyDescent="0.25">
      <c r="A138" s="21" t="s">
        <v>7468</v>
      </c>
      <c r="B138" s="22" t="s">
        <v>7469</v>
      </c>
      <c r="C138" s="2">
        <v>1</v>
      </c>
      <c r="D138" s="23">
        <v>17.100000000000001</v>
      </c>
      <c r="E138" s="3">
        <v>17.100000000000001</v>
      </c>
      <c r="F138" s="2" t="s">
        <v>7470</v>
      </c>
      <c r="G138" s="22"/>
      <c r="H138" s="24" t="s">
        <v>19367</v>
      </c>
      <c r="I138" s="22" t="s">
        <v>19309</v>
      </c>
      <c r="J138" s="22" t="s">
        <v>19708</v>
      </c>
      <c r="K138" s="22" t="s">
        <v>19709</v>
      </c>
      <c r="L138" s="22"/>
      <c r="M138" s="22"/>
      <c r="N138" s="25" t="str">
        <f>HYPERLINK("http://slimages.macys.com/is/image/MCY/19060422 ")</f>
        <v xml:space="preserve">http://slimages.macys.com/is/image/MCY/19060422 </v>
      </c>
    </row>
    <row r="139" spans="1:14" x14ac:dyDescent="0.25">
      <c r="A139" s="21" t="s">
        <v>7471</v>
      </c>
      <c r="B139" s="22" t="s">
        <v>7472</v>
      </c>
      <c r="C139" s="2">
        <v>1</v>
      </c>
      <c r="D139" s="23">
        <v>17.100000000000001</v>
      </c>
      <c r="E139" s="3">
        <v>17.100000000000001</v>
      </c>
      <c r="F139" s="2" t="s">
        <v>11536</v>
      </c>
      <c r="G139" s="22" t="s">
        <v>19342</v>
      </c>
      <c r="H139" s="24" t="s">
        <v>19770</v>
      </c>
      <c r="I139" s="22" t="s">
        <v>19309</v>
      </c>
      <c r="J139" s="22" t="s">
        <v>19708</v>
      </c>
      <c r="K139" s="22" t="s">
        <v>19709</v>
      </c>
      <c r="L139" s="22"/>
      <c r="M139" s="22"/>
      <c r="N139" s="25" t="str">
        <f>HYPERLINK("http://slimages.macys.com/is/image/MCY/19847234 ")</f>
        <v xml:space="preserve">http://slimages.macys.com/is/image/MCY/19847234 </v>
      </c>
    </row>
    <row r="140" spans="1:14" ht="24.75" x14ac:dyDescent="0.25">
      <c r="A140" s="21" t="s">
        <v>7473</v>
      </c>
      <c r="B140" s="22" t="s">
        <v>7474</v>
      </c>
      <c r="C140" s="2">
        <v>1</v>
      </c>
      <c r="D140" s="23">
        <v>17.100000000000001</v>
      </c>
      <c r="E140" s="3">
        <v>17.100000000000001</v>
      </c>
      <c r="F140" s="2" t="s">
        <v>7475</v>
      </c>
      <c r="G140" s="22"/>
      <c r="H140" s="24" t="s">
        <v>19367</v>
      </c>
      <c r="I140" s="22" t="s">
        <v>19309</v>
      </c>
      <c r="J140" s="22" t="s">
        <v>19708</v>
      </c>
      <c r="K140" s="22" t="s">
        <v>19709</v>
      </c>
      <c r="L140" s="22"/>
      <c r="M140" s="22"/>
      <c r="N140" s="25" t="str">
        <f>HYPERLINK("http://slimages.macys.com/is/image/MCY/19066449 ")</f>
        <v xml:space="preserve">http://slimages.macys.com/is/image/MCY/19066449 </v>
      </c>
    </row>
    <row r="141" spans="1:14" ht="24.75" x14ac:dyDescent="0.25">
      <c r="A141" s="21" t="s">
        <v>7476</v>
      </c>
      <c r="B141" s="22" t="s">
        <v>7477</v>
      </c>
      <c r="C141" s="2">
        <v>1</v>
      </c>
      <c r="D141" s="23">
        <v>17.100000000000001</v>
      </c>
      <c r="E141" s="3">
        <v>17.100000000000001</v>
      </c>
      <c r="F141" s="2" t="s">
        <v>7478</v>
      </c>
      <c r="G141" s="22" t="s">
        <v>19342</v>
      </c>
      <c r="H141" s="24" t="s">
        <v>19770</v>
      </c>
      <c r="I141" s="22" t="s">
        <v>19309</v>
      </c>
      <c r="J141" s="22" t="s">
        <v>19708</v>
      </c>
      <c r="K141" s="22" t="s">
        <v>19709</v>
      </c>
      <c r="L141" s="22"/>
      <c r="M141" s="22"/>
      <c r="N141" s="25" t="str">
        <f>HYPERLINK("http://slimages.macys.com/is/image/MCY/19847234 ")</f>
        <v xml:space="preserve">http://slimages.macys.com/is/image/MCY/19847234 </v>
      </c>
    </row>
    <row r="142" spans="1:14" x14ac:dyDescent="0.25">
      <c r="A142" s="21" t="s">
        <v>7479</v>
      </c>
      <c r="B142" s="22" t="s">
        <v>7480</v>
      </c>
      <c r="C142" s="2">
        <v>1</v>
      </c>
      <c r="D142" s="23">
        <v>17.100000000000001</v>
      </c>
      <c r="E142" s="3">
        <v>17.100000000000001</v>
      </c>
      <c r="F142" s="2" t="s">
        <v>13042</v>
      </c>
      <c r="G142" s="22"/>
      <c r="H142" s="24" t="s">
        <v>19416</v>
      </c>
      <c r="I142" s="22" t="s">
        <v>19309</v>
      </c>
      <c r="J142" s="22" t="s">
        <v>19708</v>
      </c>
      <c r="K142" s="22" t="s">
        <v>19709</v>
      </c>
      <c r="L142" s="22"/>
      <c r="M142" s="22"/>
      <c r="N142" s="25" t="str">
        <f>HYPERLINK("http://slimages.macys.com/is/image/MCY/19063374 ")</f>
        <v xml:space="preserve">http://slimages.macys.com/is/image/MCY/19063374 </v>
      </c>
    </row>
    <row r="143" spans="1:14" x14ac:dyDescent="0.25">
      <c r="A143" s="21" t="s">
        <v>7481</v>
      </c>
      <c r="B143" s="22" t="s">
        <v>7482</v>
      </c>
      <c r="C143" s="2">
        <v>1</v>
      </c>
      <c r="D143" s="23">
        <v>17.100000000000001</v>
      </c>
      <c r="E143" s="3">
        <v>17.100000000000001</v>
      </c>
      <c r="F143" s="2" t="s">
        <v>7483</v>
      </c>
      <c r="G143" s="22"/>
      <c r="H143" s="24" t="s">
        <v>19416</v>
      </c>
      <c r="I143" s="22" t="s">
        <v>19309</v>
      </c>
      <c r="J143" s="22" t="s">
        <v>19708</v>
      </c>
      <c r="K143" s="22" t="s">
        <v>19709</v>
      </c>
      <c r="L143" s="22"/>
      <c r="M143" s="22"/>
      <c r="N143" s="25" t="str">
        <f>HYPERLINK("http://slimages.macys.com/is/image/MCY/19487598 ")</f>
        <v xml:space="preserve">http://slimages.macys.com/is/image/MCY/19487598 </v>
      </c>
    </row>
    <row r="144" spans="1:14" ht="24.75" x14ac:dyDescent="0.25">
      <c r="A144" s="21" t="s">
        <v>7484</v>
      </c>
      <c r="B144" s="22" t="s">
        <v>7485</v>
      </c>
      <c r="C144" s="2">
        <v>1</v>
      </c>
      <c r="D144" s="23">
        <v>17.100000000000001</v>
      </c>
      <c r="E144" s="3">
        <v>17.100000000000001</v>
      </c>
      <c r="F144" s="2" t="s">
        <v>7475</v>
      </c>
      <c r="G144" s="22"/>
      <c r="H144" s="24" t="s">
        <v>20159</v>
      </c>
      <c r="I144" s="22" t="s">
        <v>19309</v>
      </c>
      <c r="J144" s="22" t="s">
        <v>19708</v>
      </c>
      <c r="K144" s="22" t="s">
        <v>19709</v>
      </c>
      <c r="L144" s="22"/>
      <c r="M144" s="22"/>
      <c r="N144" s="25" t="str">
        <f>HYPERLINK("http://slimages.macys.com/is/image/MCY/19066449 ")</f>
        <v xml:space="preserve">http://slimages.macys.com/is/image/MCY/19066449 </v>
      </c>
    </row>
    <row r="145" spans="1:14" x14ac:dyDescent="0.25">
      <c r="A145" s="21" t="s">
        <v>7486</v>
      </c>
      <c r="B145" s="22" t="s">
        <v>7487</v>
      </c>
      <c r="C145" s="2">
        <v>2</v>
      </c>
      <c r="D145" s="23">
        <v>17.100000000000001</v>
      </c>
      <c r="E145" s="3">
        <v>34.200000000000003</v>
      </c>
      <c r="F145" s="2" t="s">
        <v>7488</v>
      </c>
      <c r="G145" s="22" t="s">
        <v>19342</v>
      </c>
      <c r="H145" s="24" t="s">
        <v>19324</v>
      </c>
      <c r="I145" s="22" t="s">
        <v>19309</v>
      </c>
      <c r="J145" s="22" t="s">
        <v>19708</v>
      </c>
      <c r="K145" s="22" t="s">
        <v>19709</v>
      </c>
      <c r="L145" s="22"/>
      <c r="M145" s="22"/>
      <c r="N145" s="25" t="str">
        <f>HYPERLINK("http://slimages.macys.com/is/image/MCY/19847554 ")</f>
        <v xml:space="preserve">http://slimages.macys.com/is/image/MCY/19847554 </v>
      </c>
    </row>
    <row r="146" spans="1:14" ht="24.75" x14ac:dyDescent="0.25">
      <c r="A146" s="21" t="s">
        <v>19946</v>
      </c>
      <c r="B146" s="22" t="s">
        <v>19947</v>
      </c>
      <c r="C146" s="2">
        <v>1</v>
      </c>
      <c r="D146" s="23">
        <v>14.99</v>
      </c>
      <c r="E146" s="3">
        <v>14.99</v>
      </c>
      <c r="F146" s="2" t="s">
        <v>19948</v>
      </c>
      <c r="G146" s="22" t="s">
        <v>19467</v>
      </c>
      <c r="H146" s="24" t="s">
        <v>19352</v>
      </c>
      <c r="I146" s="22" t="s">
        <v>19309</v>
      </c>
      <c r="J146" s="22" t="s">
        <v>19447</v>
      </c>
      <c r="K146" s="22" t="s">
        <v>19873</v>
      </c>
      <c r="L146" s="22"/>
      <c r="M146" s="22"/>
      <c r="N146" s="25" t="str">
        <f>HYPERLINK("http://slimages.macys.com/is/image/MCY/20391352 ")</f>
        <v xml:space="preserve">http://slimages.macys.com/is/image/MCY/20391352 </v>
      </c>
    </row>
    <row r="147" spans="1:14" x14ac:dyDescent="0.25">
      <c r="A147" s="21" t="s">
        <v>8540</v>
      </c>
      <c r="B147" s="22" t="s">
        <v>8541</v>
      </c>
      <c r="C147" s="2">
        <v>1</v>
      </c>
      <c r="D147" s="23">
        <v>21.99</v>
      </c>
      <c r="E147" s="3">
        <v>21.99</v>
      </c>
      <c r="F147" s="2" t="s">
        <v>18024</v>
      </c>
      <c r="G147" s="22" t="s">
        <v>19342</v>
      </c>
      <c r="H147" s="24" t="s">
        <v>19478</v>
      </c>
      <c r="I147" s="22" t="s">
        <v>19309</v>
      </c>
      <c r="J147" s="22" t="s">
        <v>19696</v>
      </c>
      <c r="K147" s="22" t="s">
        <v>19965</v>
      </c>
      <c r="L147" s="22"/>
      <c r="M147" s="22"/>
      <c r="N147" s="25" t="str">
        <f>HYPERLINK("http://slimages.macys.com/is/image/MCY/21708519 ")</f>
        <v xml:space="preserve">http://slimages.macys.com/is/image/MCY/21708519 </v>
      </c>
    </row>
    <row r="148" spans="1:14" ht="24.75" x14ac:dyDescent="0.25">
      <c r="A148" s="21" t="s">
        <v>18022</v>
      </c>
      <c r="B148" s="22" t="s">
        <v>18023</v>
      </c>
      <c r="C148" s="2">
        <v>1</v>
      </c>
      <c r="D148" s="23">
        <v>21.99</v>
      </c>
      <c r="E148" s="3">
        <v>21.99</v>
      </c>
      <c r="F148" s="2" t="s">
        <v>18024</v>
      </c>
      <c r="G148" s="22" t="s">
        <v>19342</v>
      </c>
      <c r="H148" s="24"/>
      <c r="I148" s="22" t="s">
        <v>19309</v>
      </c>
      <c r="J148" s="22" t="s">
        <v>19696</v>
      </c>
      <c r="K148" s="22" t="s">
        <v>19965</v>
      </c>
      <c r="L148" s="22"/>
      <c r="M148" s="22"/>
      <c r="N148" s="25" t="str">
        <f>HYPERLINK("http://slimages.macys.com/is/image/MCY/21708519 ")</f>
        <v xml:space="preserve">http://slimages.macys.com/is/image/MCY/21708519 </v>
      </c>
    </row>
    <row r="149" spans="1:14" x14ac:dyDescent="0.25">
      <c r="A149" s="21" t="s">
        <v>7489</v>
      </c>
      <c r="B149" s="22" t="s">
        <v>7490</v>
      </c>
      <c r="C149" s="2">
        <v>1</v>
      </c>
      <c r="D149" s="23">
        <v>21.99</v>
      </c>
      <c r="E149" s="3">
        <v>21.99</v>
      </c>
      <c r="F149" s="2" t="s">
        <v>18024</v>
      </c>
      <c r="G149" s="22" t="s">
        <v>19342</v>
      </c>
      <c r="H149" s="24" t="s">
        <v>19542</v>
      </c>
      <c r="I149" s="22" t="s">
        <v>19309</v>
      </c>
      <c r="J149" s="22" t="s">
        <v>19696</v>
      </c>
      <c r="K149" s="22" t="s">
        <v>19965</v>
      </c>
      <c r="L149" s="22"/>
      <c r="M149" s="22"/>
      <c r="N149" s="25" t="str">
        <f>HYPERLINK("http://slimages.macys.com/is/image/MCY/21708518 ")</f>
        <v xml:space="preserve">http://slimages.macys.com/is/image/MCY/21708518 </v>
      </c>
    </row>
    <row r="150" spans="1:14" x14ac:dyDescent="0.25">
      <c r="A150" s="21" t="s">
        <v>18025</v>
      </c>
      <c r="B150" s="22" t="s">
        <v>18026</v>
      </c>
      <c r="C150" s="2">
        <v>1</v>
      </c>
      <c r="D150" s="23">
        <v>24.5</v>
      </c>
      <c r="E150" s="3">
        <v>24.5</v>
      </c>
      <c r="F150" s="2" t="s">
        <v>19972</v>
      </c>
      <c r="G150" s="22" t="s">
        <v>19477</v>
      </c>
      <c r="H150" s="24" t="s">
        <v>19797</v>
      </c>
      <c r="I150" s="22" t="s">
        <v>19309</v>
      </c>
      <c r="J150" s="22" t="s">
        <v>19849</v>
      </c>
      <c r="K150" s="22" t="s">
        <v>19850</v>
      </c>
      <c r="L150" s="22"/>
      <c r="M150" s="22"/>
      <c r="N150" s="25" t="str">
        <f>HYPERLINK("http://slimages.macys.com/is/image/MCY/20549465 ")</f>
        <v xml:space="preserve">http://slimages.macys.com/is/image/MCY/20549465 </v>
      </c>
    </row>
    <row r="151" spans="1:14" x14ac:dyDescent="0.25">
      <c r="A151" s="21" t="s">
        <v>10480</v>
      </c>
      <c r="B151" s="22" t="s">
        <v>10481</v>
      </c>
      <c r="C151" s="2">
        <v>1</v>
      </c>
      <c r="D151" s="23">
        <v>24.5</v>
      </c>
      <c r="E151" s="3">
        <v>24.5</v>
      </c>
      <c r="F151" s="2" t="s">
        <v>19972</v>
      </c>
      <c r="G151" s="22" t="s">
        <v>19477</v>
      </c>
      <c r="H151" s="24" t="s">
        <v>19339</v>
      </c>
      <c r="I151" s="22" t="s">
        <v>19309</v>
      </c>
      <c r="J151" s="22" t="s">
        <v>19849</v>
      </c>
      <c r="K151" s="22" t="s">
        <v>19850</v>
      </c>
      <c r="L151" s="22"/>
      <c r="M151" s="22"/>
      <c r="N151" s="25" t="str">
        <f>HYPERLINK("http://slimages.macys.com/is/image/MCY/20549465 ")</f>
        <v xml:space="preserve">http://slimages.macys.com/is/image/MCY/20549465 </v>
      </c>
    </row>
    <row r="152" spans="1:14" x14ac:dyDescent="0.25">
      <c r="A152" s="21" t="s">
        <v>15355</v>
      </c>
      <c r="B152" s="22" t="s">
        <v>15356</v>
      </c>
      <c r="C152" s="2">
        <v>1</v>
      </c>
      <c r="D152" s="23">
        <v>24.5</v>
      </c>
      <c r="E152" s="3">
        <v>24.5</v>
      </c>
      <c r="F152" s="2" t="s">
        <v>19972</v>
      </c>
      <c r="G152" s="22" t="s">
        <v>19477</v>
      </c>
      <c r="H152" s="24" t="s">
        <v>19364</v>
      </c>
      <c r="I152" s="22" t="s">
        <v>19309</v>
      </c>
      <c r="J152" s="22" t="s">
        <v>19849</v>
      </c>
      <c r="K152" s="22" t="s">
        <v>19850</v>
      </c>
      <c r="L152" s="22"/>
      <c r="M152" s="22"/>
      <c r="N152" s="25" t="str">
        <f>HYPERLINK("http://slimages.macys.com/is/image/MCY/20549465 ")</f>
        <v xml:space="preserve">http://slimages.macys.com/is/image/MCY/20549465 </v>
      </c>
    </row>
    <row r="153" spans="1:14" ht="24.75" x14ac:dyDescent="0.25">
      <c r="A153" s="21" t="s">
        <v>7491</v>
      </c>
      <c r="B153" s="22" t="s">
        <v>7492</v>
      </c>
      <c r="C153" s="2">
        <v>1</v>
      </c>
      <c r="D153" s="23">
        <v>14.99</v>
      </c>
      <c r="E153" s="3">
        <v>14.99</v>
      </c>
      <c r="F153" s="2" t="s">
        <v>11992</v>
      </c>
      <c r="G153" s="22" t="s">
        <v>19467</v>
      </c>
      <c r="H153" s="24" t="s">
        <v>19395</v>
      </c>
      <c r="I153" s="22" t="s">
        <v>19309</v>
      </c>
      <c r="J153" s="22" t="s">
        <v>19447</v>
      </c>
      <c r="K153" s="22" t="s">
        <v>20146</v>
      </c>
      <c r="L153" s="22"/>
      <c r="M153" s="22"/>
      <c r="N153" s="25" t="str">
        <f>HYPERLINK("http://slimages.macys.com/is/image/MCY/17614911 ")</f>
        <v xml:space="preserve">http://slimages.macys.com/is/image/MCY/17614911 </v>
      </c>
    </row>
    <row r="154" spans="1:14" ht="24.75" x14ac:dyDescent="0.25">
      <c r="A154" s="21" t="s">
        <v>7493</v>
      </c>
      <c r="B154" s="22" t="s">
        <v>7494</v>
      </c>
      <c r="C154" s="2">
        <v>1</v>
      </c>
      <c r="D154" s="23">
        <v>17.11</v>
      </c>
      <c r="E154" s="3">
        <v>17.11</v>
      </c>
      <c r="F154" s="2" t="s">
        <v>7495</v>
      </c>
      <c r="G154" s="22" t="s">
        <v>19467</v>
      </c>
      <c r="H154" s="24" t="s">
        <v>19308</v>
      </c>
      <c r="I154" s="22" t="s">
        <v>19309</v>
      </c>
      <c r="J154" s="22" t="s">
        <v>19565</v>
      </c>
      <c r="K154" s="22" t="s">
        <v>13165</v>
      </c>
      <c r="L154" s="22"/>
      <c r="M154" s="22"/>
      <c r="N154" s="25" t="str">
        <f>HYPERLINK("http://slimages.macys.com/is/image/MCY/21560924 ")</f>
        <v xml:space="preserve">http://slimages.macys.com/is/image/MCY/21560924 </v>
      </c>
    </row>
    <row r="155" spans="1:14" ht="24.75" x14ac:dyDescent="0.25">
      <c r="A155" s="21" t="s">
        <v>18048</v>
      </c>
      <c r="B155" s="22" t="s">
        <v>18049</v>
      </c>
      <c r="C155" s="2">
        <v>1</v>
      </c>
      <c r="D155" s="23">
        <v>23.99</v>
      </c>
      <c r="E155" s="3">
        <v>23.99</v>
      </c>
      <c r="F155" s="2" t="s">
        <v>18050</v>
      </c>
      <c r="G155" s="22" t="s">
        <v>19351</v>
      </c>
      <c r="H155" s="24" t="s">
        <v>19324</v>
      </c>
      <c r="I155" s="22" t="s">
        <v>19309</v>
      </c>
      <c r="J155" s="22" t="s">
        <v>19573</v>
      </c>
      <c r="K155" s="22" t="s">
        <v>19574</v>
      </c>
      <c r="L155" s="22"/>
      <c r="M155" s="22"/>
      <c r="N155" s="25" t="str">
        <f>HYPERLINK("http://slimages.macys.com/is/image/MCY/21209532 ")</f>
        <v xml:space="preserve">http://slimages.macys.com/is/image/MCY/21209532 </v>
      </c>
    </row>
    <row r="156" spans="1:14" ht="24.75" x14ac:dyDescent="0.25">
      <c r="A156" s="21" t="s">
        <v>7496</v>
      </c>
      <c r="B156" s="22" t="s">
        <v>7497</v>
      </c>
      <c r="C156" s="2">
        <v>1</v>
      </c>
      <c r="D156" s="23">
        <v>18.22</v>
      </c>
      <c r="E156" s="3">
        <v>18.22</v>
      </c>
      <c r="F156" s="2" t="s">
        <v>7498</v>
      </c>
      <c r="G156" s="22"/>
      <c r="H156" s="24" t="s">
        <v>19478</v>
      </c>
      <c r="I156" s="22" t="s">
        <v>19309</v>
      </c>
      <c r="J156" s="22" t="s">
        <v>19602</v>
      </c>
      <c r="K156" s="22" t="s">
        <v>19603</v>
      </c>
      <c r="L156" s="22"/>
      <c r="M156" s="22"/>
      <c r="N156" s="25" t="str">
        <f>HYPERLINK("http://slimages.macys.com/is/image/MCY/21421117 ")</f>
        <v xml:space="preserve">http://slimages.macys.com/is/image/MCY/21421117 </v>
      </c>
    </row>
    <row r="157" spans="1:14" x14ac:dyDescent="0.25">
      <c r="A157" s="21" t="s">
        <v>20013</v>
      </c>
      <c r="B157" s="22" t="s">
        <v>20014</v>
      </c>
      <c r="C157" s="2">
        <v>1</v>
      </c>
      <c r="D157" s="23">
        <v>19.989999999999998</v>
      </c>
      <c r="E157" s="3">
        <v>19.989999999999998</v>
      </c>
      <c r="F157" s="2" t="s">
        <v>20015</v>
      </c>
      <c r="G157" s="22" t="s">
        <v>19431</v>
      </c>
      <c r="H157" s="24" t="s">
        <v>19352</v>
      </c>
      <c r="I157" s="22" t="s">
        <v>19309</v>
      </c>
      <c r="J157" s="22" t="s">
        <v>19849</v>
      </c>
      <c r="K157" s="22" t="s">
        <v>19850</v>
      </c>
      <c r="L157" s="22"/>
      <c r="M157" s="22"/>
      <c r="N157" s="25" t="str">
        <f>HYPERLINK("http://slimages.macys.com/is/image/MCY/20752046 ")</f>
        <v xml:space="preserve">http://slimages.macys.com/is/image/MCY/20752046 </v>
      </c>
    </row>
    <row r="158" spans="1:14" x14ac:dyDescent="0.25">
      <c r="A158" s="21" t="s">
        <v>20009</v>
      </c>
      <c r="B158" s="22" t="s">
        <v>20010</v>
      </c>
      <c r="C158" s="2">
        <v>1</v>
      </c>
      <c r="D158" s="23">
        <v>16.989999999999998</v>
      </c>
      <c r="E158" s="3">
        <v>16.989999999999998</v>
      </c>
      <c r="F158" s="2" t="s">
        <v>20002</v>
      </c>
      <c r="G158" s="22" t="s">
        <v>19674</v>
      </c>
      <c r="H158" s="24" t="s">
        <v>19339</v>
      </c>
      <c r="I158" s="22" t="s">
        <v>19309</v>
      </c>
      <c r="J158" s="22" t="s">
        <v>19849</v>
      </c>
      <c r="K158" s="22" t="s">
        <v>19850</v>
      </c>
      <c r="L158" s="22"/>
      <c r="M158" s="22"/>
      <c r="N158" s="25" t="str">
        <f>HYPERLINK("http://slimages.macys.com/is/image/MCY/20549392 ")</f>
        <v xml:space="preserve">http://slimages.macys.com/is/image/MCY/20549392 </v>
      </c>
    </row>
    <row r="159" spans="1:14" x14ac:dyDescent="0.25">
      <c r="A159" s="21" t="s">
        <v>15378</v>
      </c>
      <c r="B159" s="22" t="s">
        <v>15379</v>
      </c>
      <c r="C159" s="2">
        <v>1</v>
      </c>
      <c r="D159" s="23">
        <v>19.989999999999998</v>
      </c>
      <c r="E159" s="3">
        <v>19.989999999999998</v>
      </c>
      <c r="F159" s="2" t="s">
        <v>20015</v>
      </c>
      <c r="G159" s="22" t="s">
        <v>19431</v>
      </c>
      <c r="H159" s="24" t="s">
        <v>19797</v>
      </c>
      <c r="I159" s="22" t="s">
        <v>19309</v>
      </c>
      <c r="J159" s="22" t="s">
        <v>19849</v>
      </c>
      <c r="K159" s="22" t="s">
        <v>19850</v>
      </c>
      <c r="L159" s="22"/>
      <c r="M159" s="22"/>
      <c r="N159" s="25" t="str">
        <f>HYPERLINK("http://slimages.macys.com/is/image/MCY/20752046 ")</f>
        <v xml:space="preserve">http://slimages.macys.com/is/image/MCY/20752046 </v>
      </c>
    </row>
    <row r="160" spans="1:14" x14ac:dyDescent="0.25">
      <c r="A160" s="21" t="s">
        <v>15380</v>
      </c>
      <c r="B160" s="22" t="s">
        <v>15381</v>
      </c>
      <c r="C160" s="2">
        <v>2</v>
      </c>
      <c r="D160" s="23">
        <v>16.989999999999998</v>
      </c>
      <c r="E160" s="3">
        <v>33.979999999999997</v>
      </c>
      <c r="F160" s="2" t="s">
        <v>20002</v>
      </c>
      <c r="G160" s="22" t="s">
        <v>19814</v>
      </c>
      <c r="H160" s="24" t="s">
        <v>19352</v>
      </c>
      <c r="I160" s="22" t="s">
        <v>19309</v>
      </c>
      <c r="J160" s="22" t="s">
        <v>19849</v>
      </c>
      <c r="K160" s="22" t="s">
        <v>19850</v>
      </c>
      <c r="L160" s="22"/>
      <c r="M160" s="22"/>
      <c r="N160" s="25" t="str">
        <f>HYPERLINK("http://slimages.macys.com/is/image/MCY/20549392 ")</f>
        <v xml:space="preserve">http://slimages.macys.com/is/image/MCY/20549392 </v>
      </c>
    </row>
    <row r="161" spans="1:14" x14ac:dyDescent="0.25">
      <c r="A161" s="21" t="s">
        <v>15372</v>
      </c>
      <c r="B161" s="22" t="s">
        <v>15373</v>
      </c>
      <c r="C161" s="2">
        <v>1</v>
      </c>
      <c r="D161" s="23">
        <v>16.989999999999998</v>
      </c>
      <c r="E161" s="3">
        <v>16.989999999999998</v>
      </c>
      <c r="F161" s="2" t="s">
        <v>20002</v>
      </c>
      <c r="G161" s="22" t="s">
        <v>19477</v>
      </c>
      <c r="H161" s="24" t="s">
        <v>19352</v>
      </c>
      <c r="I161" s="22" t="s">
        <v>19309</v>
      </c>
      <c r="J161" s="22" t="s">
        <v>19849</v>
      </c>
      <c r="K161" s="22" t="s">
        <v>19850</v>
      </c>
      <c r="L161" s="22"/>
      <c r="M161" s="22"/>
      <c r="N161" s="25" t="str">
        <f>HYPERLINK("http://slimages.macys.com/is/image/MCY/20549392 ")</f>
        <v xml:space="preserve">http://slimages.macys.com/is/image/MCY/20549392 </v>
      </c>
    </row>
    <row r="162" spans="1:14" x14ac:dyDescent="0.25">
      <c r="A162" s="21" t="s">
        <v>15384</v>
      </c>
      <c r="B162" s="22" t="s">
        <v>15385</v>
      </c>
      <c r="C162" s="2">
        <v>1</v>
      </c>
      <c r="D162" s="23">
        <v>16.989999999999998</v>
      </c>
      <c r="E162" s="3">
        <v>16.989999999999998</v>
      </c>
      <c r="F162" s="2" t="s">
        <v>20002</v>
      </c>
      <c r="G162" s="22" t="s">
        <v>19315</v>
      </c>
      <c r="H162" s="24" t="s">
        <v>19364</v>
      </c>
      <c r="I162" s="22" t="s">
        <v>19309</v>
      </c>
      <c r="J162" s="22" t="s">
        <v>19849</v>
      </c>
      <c r="K162" s="22" t="s">
        <v>19850</v>
      </c>
      <c r="L162" s="22"/>
      <c r="M162" s="22"/>
      <c r="N162" s="25" t="str">
        <f>HYPERLINK("http://slimages.macys.com/is/image/MCY/20549392 ")</f>
        <v xml:space="preserve">http://slimages.macys.com/is/image/MCY/20549392 </v>
      </c>
    </row>
    <row r="163" spans="1:14" x14ac:dyDescent="0.25">
      <c r="A163" s="21" t="s">
        <v>20007</v>
      </c>
      <c r="B163" s="22" t="s">
        <v>20008</v>
      </c>
      <c r="C163" s="2">
        <v>1</v>
      </c>
      <c r="D163" s="23">
        <v>16.989999999999998</v>
      </c>
      <c r="E163" s="3">
        <v>16.989999999999998</v>
      </c>
      <c r="F163" s="2" t="s">
        <v>20002</v>
      </c>
      <c r="G163" s="22" t="s">
        <v>19477</v>
      </c>
      <c r="H163" s="24" t="s">
        <v>19797</v>
      </c>
      <c r="I163" s="22" t="s">
        <v>19309</v>
      </c>
      <c r="J163" s="22" t="s">
        <v>19849</v>
      </c>
      <c r="K163" s="22" t="s">
        <v>19850</v>
      </c>
      <c r="L163" s="22"/>
      <c r="M163" s="22"/>
      <c r="N163" s="25" t="str">
        <f>HYPERLINK("http://slimages.macys.com/is/image/MCY/20549392 ")</f>
        <v xml:space="preserve">http://slimages.macys.com/is/image/MCY/20549392 </v>
      </c>
    </row>
    <row r="164" spans="1:14" x14ac:dyDescent="0.25">
      <c r="A164" s="21" t="s">
        <v>18053</v>
      </c>
      <c r="B164" s="22" t="s">
        <v>18054</v>
      </c>
      <c r="C164" s="2">
        <v>1</v>
      </c>
      <c r="D164" s="23">
        <v>19.989999999999998</v>
      </c>
      <c r="E164" s="3">
        <v>19.989999999999998</v>
      </c>
      <c r="F164" s="2" t="s">
        <v>20015</v>
      </c>
      <c r="G164" s="22" t="s">
        <v>19431</v>
      </c>
      <c r="H164" s="24" t="s">
        <v>19364</v>
      </c>
      <c r="I164" s="22" t="s">
        <v>19309</v>
      </c>
      <c r="J164" s="22" t="s">
        <v>19849</v>
      </c>
      <c r="K164" s="22" t="s">
        <v>19850</v>
      </c>
      <c r="L164" s="22"/>
      <c r="M164" s="22"/>
      <c r="N164" s="25" t="str">
        <f>HYPERLINK("http://slimages.macys.com/is/image/MCY/20752046 ")</f>
        <v xml:space="preserve">http://slimages.macys.com/is/image/MCY/20752046 </v>
      </c>
    </row>
    <row r="165" spans="1:14" x14ac:dyDescent="0.25">
      <c r="A165" s="21" t="s">
        <v>15389</v>
      </c>
      <c r="B165" s="22" t="s">
        <v>15390</v>
      </c>
      <c r="C165" s="2">
        <v>1</v>
      </c>
      <c r="D165" s="23">
        <v>19.989999999999998</v>
      </c>
      <c r="E165" s="3">
        <v>19.989999999999998</v>
      </c>
      <c r="F165" s="2" t="s">
        <v>18067</v>
      </c>
      <c r="G165" s="22" t="s">
        <v>19477</v>
      </c>
      <c r="H165" s="24" t="s">
        <v>19364</v>
      </c>
      <c r="I165" s="22" t="s">
        <v>19309</v>
      </c>
      <c r="J165" s="22" t="s">
        <v>19849</v>
      </c>
      <c r="K165" s="22" t="s">
        <v>19850</v>
      </c>
      <c r="L165" s="22"/>
      <c r="M165" s="22"/>
      <c r="N165" s="25" t="str">
        <f>HYPERLINK("http://slimages.macys.com/is/image/MCY/20549359 ")</f>
        <v xml:space="preserve">http://slimages.macys.com/is/image/MCY/20549359 </v>
      </c>
    </row>
    <row r="166" spans="1:14" x14ac:dyDescent="0.25">
      <c r="A166" s="21" t="s">
        <v>15388</v>
      </c>
      <c r="B166" s="22" t="s">
        <v>20129</v>
      </c>
      <c r="C166" s="2">
        <v>1</v>
      </c>
      <c r="D166" s="23">
        <v>19.989999999999998</v>
      </c>
      <c r="E166" s="3">
        <v>19.989999999999998</v>
      </c>
      <c r="F166" s="2" t="s">
        <v>18067</v>
      </c>
      <c r="G166" s="22" t="s">
        <v>19477</v>
      </c>
      <c r="H166" s="24" t="s">
        <v>19797</v>
      </c>
      <c r="I166" s="22" t="s">
        <v>19309</v>
      </c>
      <c r="J166" s="22" t="s">
        <v>19849</v>
      </c>
      <c r="K166" s="22" t="s">
        <v>19850</v>
      </c>
      <c r="L166" s="22"/>
      <c r="M166" s="22"/>
      <c r="N166" s="25" t="str">
        <f>HYPERLINK("http://slimages.macys.com/is/image/MCY/20549359 ")</f>
        <v xml:space="preserve">http://slimages.macys.com/is/image/MCY/20549359 </v>
      </c>
    </row>
    <row r="167" spans="1:14" ht="24.75" x14ac:dyDescent="0.25">
      <c r="A167" s="21" t="s">
        <v>7499</v>
      </c>
      <c r="B167" s="22" t="s">
        <v>7500</v>
      </c>
      <c r="C167" s="2">
        <v>1</v>
      </c>
      <c r="D167" s="23">
        <v>24</v>
      </c>
      <c r="E167" s="3">
        <v>24</v>
      </c>
      <c r="F167" s="2" t="s">
        <v>15953</v>
      </c>
      <c r="G167" s="22" t="s">
        <v>19674</v>
      </c>
      <c r="H167" s="24" t="s">
        <v>19770</v>
      </c>
      <c r="I167" s="22" t="s">
        <v>19309</v>
      </c>
      <c r="J167" s="22" t="s">
        <v>19417</v>
      </c>
      <c r="K167" s="22" t="s">
        <v>20110</v>
      </c>
      <c r="L167" s="22"/>
      <c r="M167" s="22"/>
      <c r="N167" s="25" t="str">
        <f>HYPERLINK("http://slimages.macys.com/is/image/MCY/22296723 ")</f>
        <v xml:space="preserve">http://slimages.macys.com/is/image/MCY/22296723 </v>
      </c>
    </row>
    <row r="168" spans="1:14" ht="24.75" x14ac:dyDescent="0.25">
      <c r="A168" s="21" t="s">
        <v>7501</v>
      </c>
      <c r="B168" s="22" t="s">
        <v>7502</v>
      </c>
      <c r="C168" s="2">
        <v>1</v>
      </c>
      <c r="D168" s="23">
        <v>18.989999999999998</v>
      </c>
      <c r="E168" s="3">
        <v>18.989999999999998</v>
      </c>
      <c r="F168" s="2" t="s">
        <v>7503</v>
      </c>
      <c r="G168" s="22" t="s">
        <v>19670</v>
      </c>
      <c r="H168" s="24" t="s">
        <v>19538</v>
      </c>
      <c r="I168" s="22" t="s">
        <v>19309</v>
      </c>
      <c r="J168" s="22" t="s">
        <v>19573</v>
      </c>
      <c r="K168" s="22" t="s">
        <v>19574</v>
      </c>
      <c r="L168" s="22"/>
      <c r="M168" s="22"/>
      <c r="N168" s="25" t="str">
        <f>HYPERLINK("http://slimages.macys.com/is/image/MCY/20757829 ")</f>
        <v xml:space="preserve">http://slimages.macys.com/is/image/MCY/20757829 </v>
      </c>
    </row>
    <row r="169" spans="1:14" x14ac:dyDescent="0.25">
      <c r="A169" s="21" t="s">
        <v>7504</v>
      </c>
      <c r="B169" s="22" t="s">
        <v>12037</v>
      </c>
      <c r="C169" s="2">
        <v>1</v>
      </c>
      <c r="D169" s="23">
        <v>18.989999999999998</v>
      </c>
      <c r="E169" s="3">
        <v>18.989999999999998</v>
      </c>
      <c r="F169" s="2" t="s">
        <v>18093</v>
      </c>
      <c r="G169" s="22" t="s">
        <v>19467</v>
      </c>
      <c r="H169" s="24"/>
      <c r="I169" s="22" t="s">
        <v>19309</v>
      </c>
      <c r="J169" s="22" t="s">
        <v>19696</v>
      </c>
      <c r="K169" s="22" t="s">
        <v>18094</v>
      </c>
      <c r="L169" s="22"/>
      <c r="M169" s="22"/>
      <c r="N169" s="25" t="str">
        <f>HYPERLINK("http://slimages.macys.com/is/image/MCY/21408521 ")</f>
        <v xml:space="preserve">http://slimages.macys.com/is/image/MCY/21408521 </v>
      </c>
    </row>
    <row r="170" spans="1:14" ht="24.75" x14ac:dyDescent="0.25">
      <c r="A170" s="21" t="s">
        <v>7505</v>
      </c>
      <c r="B170" s="22" t="s">
        <v>7506</v>
      </c>
      <c r="C170" s="2">
        <v>1</v>
      </c>
      <c r="D170" s="23">
        <v>16.329999999999998</v>
      </c>
      <c r="E170" s="3">
        <v>16.329999999999998</v>
      </c>
      <c r="F170" s="2" t="s">
        <v>7507</v>
      </c>
      <c r="G170" s="22" t="s">
        <v>19315</v>
      </c>
      <c r="H170" s="24"/>
      <c r="I170" s="22" t="s">
        <v>19309</v>
      </c>
      <c r="J170" s="22" t="s">
        <v>19565</v>
      </c>
      <c r="K170" s="22" t="s">
        <v>19566</v>
      </c>
      <c r="L170" s="22"/>
      <c r="M170" s="22"/>
      <c r="N170" s="25" t="str">
        <f>HYPERLINK("http://slimages.macys.com/is/image/MCY/21184579 ")</f>
        <v xml:space="preserve">http://slimages.macys.com/is/image/MCY/21184579 </v>
      </c>
    </row>
    <row r="171" spans="1:14" ht="24.75" x14ac:dyDescent="0.25">
      <c r="A171" s="21" t="s">
        <v>7508</v>
      </c>
      <c r="B171" s="22" t="s">
        <v>7509</v>
      </c>
      <c r="C171" s="2">
        <v>1</v>
      </c>
      <c r="D171" s="23">
        <v>20.99</v>
      </c>
      <c r="E171" s="3">
        <v>20.99</v>
      </c>
      <c r="F171" s="2" t="s">
        <v>7510</v>
      </c>
      <c r="G171" s="22" t="s">
        <v>19955</v>
      </c>
      <c r="H171" s="24" t="s">
        <v>11751</v>
      </c>
      <c r="I171" s="22" t="s">
        <v>19309</v>
      </c>
      <c r="J171" s="22" t="s">
        <v>19447</v>
      </c>
      <c r="K171" s="22" t="s">
        <v>18333</v>
      </c>
      <c r="L171" s="22"/>
      <c r="M171" s="22"/>
      <c r="N171" s="25" t="str">
        <f>HYPERLINK("http://slimages.macys.com/is/image/MCY/21000286 ")</f>
        <v xml:space="preserve">http://slimages.macys.com/is/image/MCY/21000286 </v>
      </c>
    </row>
    <row r="172" spans="1:14" x14ac:dyDescent="0.25">
      <c r="A172" s="21" t="s">
        <v>7511</v>
      </c>
      <c r="B172" s="22" t="s">
        <v>7512</v>
      </c>
      <c r="C172" s="2">
        <v>1</v>
      </c>
      <c r="D172" s="23">
        <v>15.99</v>
      </c>
      <c r="E172" s="3">
        <v>15.99</v>
      </c>
      <c r="F172" s="2" t="s">
        <v>18123</v>
      </c>
      <c r="G172" s="22" t="s">
        <v>19351</v>
      </c>
      <c r="H172" s="24" t="s">
        <v>19542</v>
      </c>
      <c r="I172" s="22" t="s">
        <v>19309</v>
      </c>
      <c r="J172" s="22" t="s">
        <v>19310</v>
      </c>
      <c r="K172" s="22" t="s">
        <v>19440</v>
      </c>
      <c r="L172" s="22"/>
      <c r="M172" s="22"/>
      <c r="N172" s="25" t="str">
        <f>HYPERLINK("http://slimages.macys.com/is/image/MCY/20782661 ")</f>
        <v xml:space="preserve">http://slimages.macys.com/is/image/MCY/20782661 </v>
      </c>
    </row>
    <row r="173" spans="1:14" x14ac:dyDescent="0.25">
      <c r="A173" s="21" t="s">
        <v>7513</v>
      </c>
      <c r="B173" s="22" t="s">
        <v>7514</v>
      </c>
      <c r="C173" s="2">
        <v>1</v>
      </c>
      <c r="D173" s="23">
        <v>15.39</v>
      </c>
      <c r="E173" s="3">
        <v>15.39</v>
      </c>
      <c r="F173" s="2" t="s">
        <v>7515</v>
      </c>
      <c r="G173" s="22" t="s">
        <v>19431</v>
      </c>
      <c r="H173" s="24" t="s">
        <v>20152</v>
      </c>
      <c r="I173" s="22" t="s">
        <v>19309</v>
      </c>
      <c r="J173" s="22" t="s">
        <v>19708</v>
      </c>
      <c r="K173" s="22" t="s">
        <v>19709</v>
      </c>
      <c r="L173" s="22"/>
      <c r="M173" s="22"/>
      <c r="N173" s="25" t="str">
        <f>HYPERLINK("http://slimages.macys.com/is/image/MCY/19859743 ")</f>
        <v xml:space="preserve">http://slimages.macys.com/is/image/MCY/19859743 </v>
      </c>
    </row>
    <row r="174" spans="1:14" ht="24.75" x14ac:dyDescent="0.25">
      <c r="A174" s="21" t="s">
        <v>7516</v>
      </c>
      <c r="B174" s="22" t="s">
        <v>7517</v>
      </c>
      <c r="C174" s="2">
        <v>1</v>
      </c>
      <c r="D174" s="23">
        <v>16.989999999999998</v>
      </c>
      <c r="E174" s="3">
        <v>16.989999999999998</v>
      </c>
      <c r="F174" s="2" t="s">
        <v>7518</v>
      </c>
      <c r="G174" s="22" t="s">
        <v>19333</v>
      </c>
      <c r="H174" s="24" t="s">
        <v>19542</v>
      </c>
      <c r="I174" s="22" t="s">
        <v>19309</v>
      </c>
      <c r="J174" s="22" t="s">
        <v>19454</v>
      </c>
      <c r="K174" s="22" t="s">
        <v>19524</v>
      </c>
      <c r="L174" s="22"/>
      <c r="M174" s="22"/>
      <c r="N174" s="25" t="str">
        <f>HYPERLINK("http://slimages.macys.com/is/image/MCY/20669891 ")</f>
        <v xml:space="preserve">http://slimages.macys.com/is/image/MCY/20669891 </v>
      </c>
    </row>
    <row r="175" spans="1:14" x14ac:dyDescent="0.25">
      <c r="A175" s="21" t="s">
        <v>7519</v>
      </c>
      <c r="B175" s="22" t="s">
        <v>7520</v>
      </c>
      <c r="C175" s="2">
        <v>1</v>
      </c>
      <c r="D175" s="23">
        <v>15.39</v>
      </c>
      <c r="E175" s="3">
        <v>15.39</v>
      </c>
      <c r="F175" s="2" t="s">
        <v>7521</v>
      </c>
      <c r="G175" s="22" t="s">
        <v>19323</v>
      </c>
      <c r="H175" s="24" t="s">
        <v>19770</v>
      </c>
      <c r="I175" s="22" t="s">
        <v>19309</v>
      </c>
      <c r="J175" s="22" t="s">
        <v>19708</v>
      </c>
      <c r="K175" s="22" t="s">
        <v>19709</v>
      </c>
      <c r="L175" s="22"/>
      <c r="M175" s="22"/>
      <c r="N175" s="25" t="str">
        <f>HYPERLINK("http://slimages.macys.com/is/image/MCY/19063423 ")</f>
        <v xml:space="preserve">http://slimages.macys.com/is/image/MCY/19063423 </v>
      </c>
    </row>
    <row r="176" spans="1:14" x14ac:dyDescent="0.25">
      <c r="A176" s="21" t="s">
        <v>12066</v>
      </c>
      <c r="B176" s="22" t="s">
        <v>12067</v>
      </c>
      <c r="C176" s="2">
        <v>1</v>
      </c>
      <c r="D176" s="23">
        <v>19.989999999999998</v>
      </c>
      <c r="E176" s="3">
        <v>19.989999999999998</v>
      </c>
      <c r="F176" s="2" t="s">
        <v>12068</v>
      </c>
      <c r="G176" s="22" t="s">
        <v>19342</v>
      </c>
      <c r="H176" s="24" t="s">
        <v>19478</v>
      </c>
      <c r="I176" s="22" t="s">
        <v>19309</v>
      </c>
      <c r="J176" s="22" t="s">
        <v>19696</v>
      </c>
      <c r="K176" s="22" t="s">
        <v>19697</v>
      </c>
      <c r="L176" s="22"/>
      <c r="M176" s="22"/>
      <c r="N176" s="25" t="str">
        <f>HYPERLINK("http://slimages.macys.com/is/image/MCY/20662556 ")</f>
        <v xml:space="preserve">http://slimages.macys.com/is/image/MCY/20662556 </v>
      </c>
    </row>
    <row r="177" spans="1:14" x14ac:dyDescent="0.25">
      <c r="A177" s="21" t="s">
        <v>7522</v>
      </c>
      <c r="B177" s="22" t="s">
        <v>7523</v>
      </c>
      <c r="C177" s="2">
        <v>1</v>
      </c>
      <c r="D177" s="23">
        <v>15.3</v>
      </c>
      <c r="E177" s="3">
        <v>15.3</v>
      </c>
      <c r="F177" s="2" t="s">
        <v>10502</v>
      </c>
      <c r="G177" s="22" t="s">
        <v>19338</v>
      </c>
      <c r="H177" s="24" t="s">
        <v>20159</v>
      </c>
      <c r="I177" s="22" t="s">
        <v>19309</v>
      </c>
      <c r="J177" s="22" t="s">
        <v>19708</v>
      </c>
      <c r="K177" s="22" t="s">
        <v>19709</v>
      </c>
      <c r="L177" s="22"/>
      <c r="M177" s="22"/>
      <c r="N177" s="25" t="str">
        <f>HYPERLINK("http://slimages.macys.com/is/image/MCY/21752286 ")</f>
        <v xml:space="preserve">http://slimages.macys.com/is/image/MCY/21752286 </v>
      </c>
    </row>
    <row r="178" spans="1:14" ht="24.75" x14ac:dyDescent="0.25">
      <c r="A178" s="21" t="s">
        <v>7524</v>
      </c>
      <c r="B178" s="22" t="s">
        <v>7525</v>
      </c>
      <c r="C178" s="2">
        <v>1</v>
      </c>
      <c r="D178" s="23">
        <v>19.989999999999998</v>
      </c>
      <c r="E178" s="3">
        <v>19.989999999999998</v>
      </c>
      <c r="F178" s="2" t="s">
        <v>16012</v>
      </c>
      <c r="G178" s="22" t="s">
        <v>19467</v>
      </c>
      <c r="H178" s="24" t="s">
        <v>19416</v>
      </c>
      <c r="I178" s="22" t="s">
        <v>19309</v>
      </c>
      <c r="J178" s="22" t="s">
        <v>19573</v>
      </c>
      <c r="K178" s="22" t="s">
        <v>19574</v>
      </c>
      <c r="L178" s="22"/>
      <c r="M178" s="22"/>
      <c r="N178" s="25" t="str">
        <f>HYPERLINK("http://slimages.macys.com/is/image/MCY/21361474 ")</f>
        <v xml:space="preserve">http://slimages.macys.com/is/image/MCY/21361474 </v>
      </c>
    </row>
    <row r="179" spans="1:14" x14ac:dyDescent="0.25">
      <c r="A179" s="21" t="s">
        <v>20090</v>
      </c>
      <c r="B179" s="22" t="s">
        <v>20091</v>
      </c>
      <c r="C179" s="2">
        <v>1</v>
      </c>
      <c r="D179" s="23">
        <v>14.99</v>
      </c>
      <c r="E179" s="3">
        <v>14.99</v>
      </c>
      <c r="F179" s="2" t="s">
        <v>20088</v>
      </c>
      <c r="G179" s="22" t="s">
        <v>19674</v>
      </c>
      <c r="H179" s="24" t="s">
        <v>19907</v>
      </c>
      <c r="I179" s="22" t="s">
        <v>19309</v>
      </c>
      <c r="J179" s="22" t="s">
        <v>19849</v>
      </c>
      <c r="K179" s="22" t="s">
        <v>19850</v>
      </c>
      <c r="L179" s="22"/>
      <c r="M179" s="22"/>
      <c r="N179" s="25" t="str">
        <f>HYPERLINK("http://slimages.macys.com/is/image/MCY/20549555 ")</f>
        <v xml:space="preserve">http://slimages.macys.com/is/image/MCY/20549555 </v>
      </c>
    </row>
    <row r="180" spans="1:14" ht="24.75" x14ac:dyDescent="0.25">
      <c r="A180" s="21" t="s">
        <v>7526</v>
      </c>
      <c r="B180" s="22" t="s">
        <v>7527</v>
      </c>
      <c r="C180" s="2">
        <v>2</v>
      </c>
      <c r="D180" s="23">
        <v>14.99</v>
      </c>
      <c r="E180" s="3">
        <v>29.98</v>
      </c>
      <c r="F180" s="2">
        <v>4378</v>
      </c>
      <c r="G180" s="22" t="s">
        <v>19404</v>
      </c>
      <c r="H180" s="24" t="s">
        <v>19339</v>
      </c>
      <c r="I180" s="22" t="s">
        <v>19309</v>
      </c>
      <c r="J180" s="22" t="s">
        <v>20076</v>
      </c>
      <c r="K180" s="22" t="s">
        <v>20077</v>
      </c>
      <c r="L180" s="22"/>
      <c r="M180" s="22"/>
      <c r="N180" s="25" t="str">
        <f>HYPERLINK("http://slimages.macys.com/is/image/MCY/19348122 ")</f>
        <v xml:space="preserve">http://slimages.macys.com/is/image/MCY/19348122 </v>
      </c>
    </row>
    <row r="181" spans="1:14" ht="24.75" x14ac:dyDescent="0.25">
      <c r="A181" s="21" t="s">
        <v>7528</v>
      </c>
      <c r="B181" s="22" t="s">
        <v>7529</v>
      </c>
      <c r="C181" s="2">
        <v>1</v>
      </c>
      <c r="D181" s="23">
        <v>14.99</v>
      </c>
      <c r="E181" s="3">
        <v>14.99</v>
      </c>
      <c r="F181" s="2">
        <v>4378</v>
      </c>
      <c r="G181" s="22" t="s">
        <v>19404</v>
      </c>
      <c r="H181" s="24" t="s">
        <v>19352</v>
      </c>
      <c r="I181" s="22" t="s">
        <v>19309</v>
      </c>
      <c r="J181" s="22" t="s">
        <v>20076</v>
      </c>
      <c r="K181" s="22" t="s">
        <v>20077</v>
      </c>
      <c r="L181" s="22"/>
      <c r="M181" s="22"/>
      <c r="N181" s="25" t="str">
        <f>HYPERLINK("http://slimages.macys.com/is/image/MCY/19348122 ")</f>
        <v xml:space="preserve">http://slimages.macys.com/is/image/MCY/19348122 </v>
      </c>
    </row>
    <row r="182" spans="1:14" x14ac:dyDescent="0.25">
      <c r="A182" s="21" t="s">
        <v>7530</v>
      </c>
      <c r="B182" s="22" t="s">
        <v>7531</v>
      </c>
      <c r="C182" s="2">
        <v>1</v>
      </c>
      <c r="D182" s="23">
        <v>15.99</v>
      </c>
      <c r="E182" s="3">
        <v>15.99</v>
      </c>
      <c r="F182" s="2" t="s">
        <v>7532</v>
      </c>
      <c r="G182" s="22" t="s">
        <v>19670</v>
      </c>
      <c r="H182" s="24" t="s">
        <v>19334</v>
      </c>
      <c r="I182" s="22" t="s">
        <v>19309</v>
      </c>
      <c r="J182" s="22" t="s">
        <v>19310</v>
      </c>
      <c r="K182" s="22" t="s">
        <v>19623</v>
      </c>
      <c r="L182" s="22"/>
      <c r="M182" s="22"/>
      <c r="N182" s="25" t="str">
        <f>HYPERLINK("http://slimages.macys.com/is/image/MCY/21918735 ")</f>
        <v xml:space="preserve">http://slimages.macys.com/is/image/MCY/21918735 </v>
      </c>
    </row>
    <row r="183" spans="1:14" x14ac:dyDescent="0.25">
      <c r="A183" s="21" t="s">
        <v>7533</v>
      </c>
      <c r="B183" s="22" t="s">
        <v>7534</v>
      </c>
      <c r="C183" s="2">
        <v>1</v>
      </c>
      <c r="D183" s="23">
        <v>15.99</v>
      </c>
      <c r="E183" s="3">
        <v>15.99</v>
      </c>
      <c r="F183" s="2" t="s">
        <v>7532</v>
      </c>
      <c r="G183" s="22" t="s">
        <v>19670</v>
      </c>
      <c r="H183" s="24" t="s">
        <v>19395</v>
      </c>
      <c r="I183" s="22" t="s">
        <v>19309</v>
      </c>
      <c r="J183" s="22" t="s">
        <v>19310</v>
      </c>
      <c r="K183" s="22" t="s">
        <v>19623</v>
      </c>
      <c r="L183" s="22"/>
      <c r="M183" s="22"/>
      <c r="N183" s="25" t="str">
        <f>HYPERLINK("http://slimages.macys.com/is/image/MCY/21918732 ")</f>
        <v xml:space="preserve">http://slimages.macys.com/is/image/MCY/21918732 </v>
      </c>
    </row>
    <row r="184" spans="1:14" x14ac:dyDescent="0.25">
      <c r="A184" s="21" t="s">
        <v>7535</v>
      </c>
      <c r="B184" s="22" t="s">
        <v>7536</v>
      </c>
      <c r="C184" s="2">
        <v>1</v>
      </c>
      <c r="D184" s="23">
        <v>15.99</v>
      </c>
      <c r="E184" s="3">
        <v>15.99</v>
      </c>
      <c r="F184" s="2" t="s">
        <v>7532</v>
      </c>
      <c r="G184" s="22" t="s">
        <v>19670</v>
      </c>
      <c r="H184" s="24" t="s">
        <v>19345</v>
      </c>
      <c r="I184" s="22" t="s">
        <v>19309</v>
      </c>
      <c r="J184" s="22" t="s">
        <v>19310</v>
      </c>
      <c r="K184" s="22" t="s">
        <v>19623</v>
      </c>
      <c r="L184" s="22"/>
      <c r="M184" s="22"/>
      <c r="N184" s="25" t="str">
        <f>HYPERLINK("http://slimages.macys.com/is/image/MCY/21918735 ")</f>
        <v xml:space="preserve">http://slimages.macys.com/is/image/MCY/21918735 </v>
      </c>
    </row>
    <row r="185" spans="1:14" ht="24.75" x14ac:dyDescent="0.25">
      <c r="A185" s="21" t="s">
        <v>7537</v>
      </c>
      <c r="B185" s="22" t="s">
        <v>7538</v>
      </c>
      <c r="C185" s="2">
        <v>1</v>
      </c>
      <c r="D185" s="23">
        <v>19.989999999999998</v>
      </c>
      <c r="E185" s="3">
        <v>19.989999999999998</v>
      </c>
      <c r="F185" s="2" t="s">
        <v>18145</v>
      </c>
      <c r="G185" s="22"/>
      <c r="H185" s="24" t="s">
        <v>19542</v>
      </c>
      <c r="I185" s="22" t="s">
        <v>19309</v>
      </c>
      <c r="J185" s="22" t="s">
        <v>19519</v>
      </c>
      <c r="K185" s="22" t="s">
        <v>20028</v>
      </c>
      <c r="L185" s="22"/>
      <c r="M185" s="22"/>
      <c r="N185" s="25" t="str">
        <f>HYPERLINK("http://slimages.macys.com/is/image/MCY/21272042 ")</f>
        <v xml:space="preserve">http://slimages.macys.com/is/image/MCY/21272042 </v>
      </c>
    </row>
    <row r="186" spans="1:14" ht="24.75" x14ac:dyDescent="0.25">
      <c r="A186" s="21" t="s">
        <v>7539</v>
      </c>
      <c r="B186" s="22" t="s">
        <v>7540</v>
      </c>
      <c r="C186" s="2">
        <v>1</v>
      </c>
      <c r="D186" s="23">
        <v>42.5</v>
      </c>
      <c r="E186" s="3">
        <v>42.5</v>
      </c>
      <c r="F186" s="2" t="s">
        <v>7541</v>
      </c>
      <c r="G186" s="22" t="s">
        <v>19383</v>
      </c>
      <c r="H186" s="24" t="s">
        <v>11751</v>
      </c>
      <c r="I186" s="22" t="s">
        <v>19309</v>
      </c>
      <c r="J186" s="22" t="s">
        <v>20104</v>
      </c>
      <c r="K186" s="22" t="s">
        <v>20105</v>
      </c>
      <c r="L186" s="22"/>
      <c r="M186" s="22"/>
      <c r="N186" s="25" t="str">
        <f>HYPERLINK("http://slimages.macys.com/is/image/MCY/22159225 ")</f>
        <v xml:space="preserve">http://slimages.macys.com/is/image/MCY/22159225 </v>
      </c>
    </row>
    <row r="187" spans="1:14" ht="24.75" x14ac:dyDescent="0.25">
      <c r="A187" s="21" t="s">
        <v>7542</v>
      </c>
      <c r="B187" s="22" t="s">
        <v>7543</v>
      </c>
      <c r="C187" s="2">
        <v>1</v>
      </c>
      <c r="D187" s="23">
        <v>19.989999999999998</v>
      </c>
      <c r="E187" s="3">
        <v>19.989999999999998</v>
      </c>
      <c r="F187" s="2" t="s">
        <v>7544</v>
      </c>
      <c r="G187" s="22"/>
      <c r="H187" s="24" t="s">
        <v>19377</v>
      </c>
      <c r="I187" s="22" t="s">
        <v>19309</v>
      </c>
      <c r="J187" s="22" t="s">
        <v>19519</v>
      </c>
      <c r="K187" s="22" t="s">
        <v>20028</v>
      </c>
      <c r="L187" s="22"/>
      <c r="M187" s="22"/>
      <c r="N187" s="25" t="str">
        <f>HYPERLINK("http://slimages.macys.com/is/image/MCY/21271996 ")</f>
        <v xml:space="preserve">http://slimages.macys.com/is/image/MCY/21271996 </v>
      </c>
    </row>
    <row r="188" spans="1:14" ht="24.75" x14ac:dyDescent="0.25">
      <c r="A188" s="21" t="s">
        <v>7545</v>
      </c>
      <c r="B188" s="22" t="s">
        <v>7546</v>
      </c>
      <c r="C188" s="2">
        <v>1</v>
      </c>
      <c r="D188" s="23">
        <v>19.989999999999998</v>
      </c>
      <c r="E188" s="3">
        <v>19.989999999999998</v>
      </c>
      <c r="F188" s="2" t="s">
        <v>7544</v>
      </c>
      <c r="G188" s="22"/>
      <c r="H188" s="24" t="s">
        <v>19345</v>
      </c>
      <c r="I188" s="22" t="s">
        <v>19309</v>
      </c>
      <c r="J188" s="22" t="s">
        <v>19519</v>
      </c>
      <c r="K188" s="22" t="s">
        <v>20028</v>
      </c>
      <c r="L188" s="22"/>
      <c r="M188" s="22"/>
      <c r="N188" s="25" t="str">
        <f>HYPERLINK("http://slimages.macys.com/is/image/MCY/21271996 ")</f>
        <v xml:space="preserve">http://slimages.macys.com/is/image/MCY/21271996 </v>
      </c>
    </row>
    <row r="189" spans="1:14" ht="24.75" x14ac:dyDescent="0.25">
      <c r="A189" s="21" t="s">
        <v>7547</v>
      </c>
      <c r="B189" s="22" t="s">
        <v>7548</v>
      </c>
      <c r="C189" s="2">
        <v>1</v>
      </c>
      <c r="D189" s="23">
        <v>14.99</v>
      </c>
      <c r="E189" s="3">
        <v>14.99</v>
      </c>
      <c r="F189" s="2" t="s">
        <v>7549</v>
      </c>
      <c r="G189" s="22"/>
      <c r="H189" s="24"/>
      <c r="I189" s="22" t="s">
        <v>19309</v>
      </c>
      <c r="J189" s="22" t="s">
        <v>20076</v>
      </c>
      <c r="K189" s="22" t="s">
        <v>18231</v>
      </c>
      <c r="L189" s="22"/>
      <c r="M189" s="22"/>
      <c r="N189" s="25" t="str">
        <f>HYPERLINK("http://slimages.macys.com/is/image/MCY/21541689 ")</f>
        <v xml:space="preserve">http://slimages.macys.com/is/image/MCY/21541689 </v>
      </c>
    </row>
    <row r="190" spans="1:14" ht="24.75" x14ac:dyDescent="0.25">
      <c r="A190" s="21" t="s">
        <v>7550</v>
      </c>
      <c r="B190" s="22" t="s">
        <v>7551</v>
      </c>
      <c r="C190" s="2">
        <v>1</v>
      </c>
      <c r="D190" s="23">
        <v>14.99</v>
      </c>
      <c r="E190" s="3">
        <v>14.99</v>
      </c>
      <c r="F190" s="2" t="s">
        <v>7549</v>
      </c>
      <c r="G190" s="22"/>
      <c r="H190" s="24"/>
      <c r="I190" s="22" t="s">
        <v>19309</v>
      </c>
      <c r="J190" s="22" t="s">
        <v>20076</v>
      </c>
      <c r="K190" s="22" t="s">
        <v>18231</v>
      </c>
      <c r="L190" s="22"/>
      <c r="M190" s="22"/>
      <c r="N190" s="25" t="str">
        <f>HYPERLINK("http://slimages.macys.com/is/image/MCY/21541689 ")</f>
        <v xml:space="preserve">http://slimages.macys.com/is/image/MCY/21541689 </v>
      </c>
    </row>
    <row r="191" spans="1:14" ht="24.75" x14ac:dyDescent="0.25">
      <c r="A191" s="21" t="s">
        <v>7552</v>
      </c>
      <c r="B191" s="22" t="s">
        <v>7553</v>
      </c>
      <c r="C191" s="2">
        <v>1</v>
      </c>
      <c r="D191" s="23">
        <v>19.989999999999998</v>
      </c>
      <c r="E191" s="3">
        <v>19.989999999999998</v>
      </c>
      <c r="F191" s="2" t="s">
        <v>7544</v>
      </c>
      <c r="G191" s="22"/>
      <c r="H191" s="24" t="s">
        <v>19334</v>
      </c>
      <c r="I191" s="22" t="s">
        <v>19309</v>
      </c>
      <c r="J191" s="22" t="s">
        <v>19519</v>
      </c>
      <c r="K191" s="22" t="s">
        <v>20028</v>
      </c>
      <c r="L191" s="22"/>
      <c r="M191" s="22"/>
      <c r="N191" s="25" t="str">
        <f>HYPERLINK("http://slimages.macys.com/is/image/MCY/21271996 ")</f>
        <v xml:space="preserve">http://slimages.macys.com/is/image/MCY/21271996 </v>
      </c>
    </row>
    <row r="192" spans="1:14" ht="24.75" x14ac:dyDescent="0.25">
      <c r="A192" s="21" t="s">
        <v>13093</v>
      </c>
      <c r="B192" s="22" t="s">
        <v>13094</v>
      </c>
      <c r="C192" s="2">
        <v>1</v>
      </c>
      <c r="D192" s="23">
        <v>14.99</v>
      </c>
      <c r="E192" s="3">
        <v>14.99</v>
      </c>
      <c r="F192" s="2" t="s">
        <v>13092</v>
      </c>
      <c r="G192" s="22" t="s">
        <v>19674</v>
      </c>
      <c r="H192" s="24" t="s">
        <v>19538</v>
      </c>
      <c r="I192" s="22" t="s">
        <v>19309</v>
      </c>
      <c r="J192" s="22" t="s">
        <v>19573</v>
      </c>
      <c r="K192" s="22" t="s">
        <v>20256</v>
      </c>
      <c r="L192" s="22" t="s">
        <v>19319</v>
      </c>
      <c r="M192" s="22" t="s">
        <v>19358</v>
      </c>
      <c r="N192" s="25" t="str">
        <f>HYPERLINK("http://slimages.macys.com/is/image/MCY/3931288 ")</f>
        <v xml:space="preserve">http://slimages.macys.com/is/image/MCY/3931288 </v>
      </c>
    </row>
    <row r="193" spans="1:14" x14ac:dyDescent="0.25">
      <c r="A193" s="21" t="s">
        <v>16034</v>
      </c>
      <c r="B193" s="22" t="s">
        <v>16035</v>
      </c>
      <c r="C193" s="2">
        <v>1</v>
      </c>
      <c r="D193" s="23">
        <v>16.989999999999998</v>
      </c>
      <c r="E193" s="3">
        <v>16.989999999999998</v>
      </c>
      <c r="F193" s="2" t="s">
        <v>16036</v>
      </c>
      <c r="G193" s="22" t="s">
        <v>19477</v>
      </c>
      <c r="H193" s="24" t="s">
        <v>19361</v>
      </c>
      <c r="I193" s="22" t="s">
        <v>19309</v>
      </c>
      <c r="J193" s="22" t="s">
        <v>19849</v>
      </c>
      <c r="K193" s="22" t="s">
        <v>19850</v>
      </c>
      <c r="L193" s="22"/>
      <c r="M193" s="22"/>
      <c r="N193" s="25" t="str">
        <f>HYPERLINK("http://slimages.macys.com/is/image/MCY/20751974 ")</f>
        <v xml:space="preserve">http://slimages.macys.com/is/image/MCY/20751974 </v>
      </c>
    </row>
    <row r="194" spans="1:14" ht="24.75" x14ac:dyDescent="0.25">
      <c r="A194" s="21" t="s">
        <v>20147</v>
      </c>
      <c r="B194" s="22" t="s">
        <v>20148</v>
      </c>
      <c r="C194" s="2">
        <v>1</v>
      </c>
      <c r="D194" s="23">
        <v>11.99</v>
      </c>
      <c r="E194" s="3">
        <v>11.99</v>
      </c>
      <c r="F194" s="2" t="s">
        <v>20144</v>
      </c>
      <c r="G194" s="22" t="s">
        <v>20145</v>
      </c>
      <c r="H194" s="24" t="s">
        <v>19361</v>
      </c>
      <c r="I194" s="22" t="s">
        <v>19309</v>
      </c>
      <c r="J194" s="22" t="s">
        <v>19447</v>
      </c>
      <c r="K194" s="22" t="s">
        <v>20146</v>
      </c>
      <c r="L194" s="22"/>
      <c r="M194" s="22"/>
      <c r="N194" s="25" t="str">
        <f>HYPERLINK("http://slimages.macys.com/is/image/MCY/21177840 ")</f>
        <v xml:space="preserve">http://slimages.macys.com/is/image/MCY/21177840 </v>
      </c>
    </row>
    <row r="195" spans="1:14" x14ac:dyDescent="0.25">
      <c r="A195" s="21" t="s">
        <v>7554</v>
      </c>
      <c r="B195" s="22" t="s">
        <v>7555</v>
      </c>
      <c r="C195" s="2">
        <v>1</v>
      </c>
      <c r="D195" s="23">
        <v>18.66</v>
      </c>
      <c r="E195" s="3">
        <v>18.66</v>
      </c>
      <c r="F195" s="2" t="s">
        <v>15454</v>
      </c>
      <c r="G195" s="22"/>
      <c r="H195" s="24" t="s">
        <v>19324</v>
      </c>
      <c r="I195" s="22" t="s">
        <v>19309</v>
      </c>
      <c r="J195" s="22" t="s">
        <v>19708</v>
      </c>
      <c r="K195" s="22" t="s">
        <v>19709</v>
      </c>
      <c r="L195" s="22"/>
      <c r="M195" s="22"/>
      <c r="N195" s="25" t="str">
        <f>HYPERLINK("http://slimages.macys.com/is/image/MCY/21414177 ")</f>
        <v xml:space="preserve">http://slimages.macys.com/is/image/MCY/21414177 </v>
      </c>
    </row>
    <row r="196" spans="1:14" x14ac:dyDescent="0.25">
      <c r="A196" s="21" t="s">
        <v>7556</v>
      </c>
      <c r="B196" s="22" t="s">
        <v>7557</v>
      </c>
      <c r="C196" s="2">
        <v>1</v>
      </c>
      <c r="D196" s="23">
        <v>18.66</v>
      </c>
      <c r="E196" s="3">
        <v>18.66</v>
      </c>
      <c r="F196" s="2" t="s">
        <v>16043</v>
      </c>
      <c r="G196" s="22" t="s">
        <v>19431</v>
      </c>
      <c r="H196" s="24" t="s">
        <v>20159</v>
      </c>
      <c r="I196" s="22" t="s">
        <v>19309</v>
      </c>
      <c r="J196" s="22" t="s">
        <v>19708</v>
      </c>
      <c r="K196" s="22" t="s">
        <v>19709</v>
      </c>
      <c r="L196" s="22"/>
      <c r="M196" s="22"/>
      <c r="N196" s="25" t="str">
        <f>HYPERLINK("http://slimages.macys.com/is/image/MCY/21414270 ")</f>
        <v xml:space="preserve">http://slimages.macys.com/is/image/MCY/21414270 </v>
      </c>
    </row>
    <row r="197" spans="1:14" x14ac:dyDescent="0.25">
      <c r="A197" s="21" t="s">
        <v>7558</v>
      </c>
      <c r="B197" s="22" t="s">
        <v>7559</v>
      </c>
      <c r="C197" s="2">
        <v>1</v>
      </c>
      <c r="D197" s="23">
        <v>18.66</v>
      </c>
      <c r="E197" s="3">
        <v>18.66</v>
      </c>
      <c r="F197" s="2" t="s">
        <v>7560</v>
      </c>
      <c r="G197" s="22" t="s">
        <v>19431</v>
      </c>
      <c r="H197" s="24" t="s">
        <v>20159</v>
      </c>
      <c r="I197" s="22" t="s">
        <v>19309</v>
      </c>
      <c r="J197" s="22" t="s">
        <v>19708</v>
      </c>
      <c r="K197" s="22" t="s">
        <v>19709</v>
      </c>
      <c r="L197" s="22"/>
      <c r="M197" s="22"/>
      <c r="N197" s="25" t="str">
        <f>HYPERLINK("http://slimages.macys.com/is/image/MCY/21413576 ")</f>
        <v xml:space="preserve">http://slimages.macys.com/is/image/MCY/21413576 </v>
      </c>
    </row>
    <row r="198" spans="1:14" x14ac:dyDescent="0.25">
      <c r="A198" s="21" t="s">
        <v>7561</v>
      </c>
      <c r="B198" s="22" t="s">
        <v>7562</v>
      </c>
      <c r="C198" s="2">
        <v>1</v>
      </c>
      <c r="D198" s="23">
        <v>14.67</v>
      </c>
      <c r="E198" s="3">
        <v>14.67</v>
      </c>
      <c r="F198" s="2" t="s">
        <v>11644</v>
      </c>
      <c r="G198" s="22" t="s">
        <v>19431</v>
      </c>
      <c r="H198" s="24" t="s">
        <v>19367</v>
      </c>
      <c r="I198" s="22" t="s">
        <v>19309</v>
      </c>
      <c r="J198" s="22" t="s">
        <v>19708</v>
      </c>
      <c r="K198" s="22" t="s">
        <v>19709</v>
      </c>
      <c r="L198" s="22"/>
      <c r="M198" s="22"/>
      <c r="N198" s="25" t="str">
        <f>HYPERLINK("http://slimages.macys.com/is/image/MCY/19060484 ")</f>
        <v xml:space="preserve">http://slimages.macys.com/is/image/MCY/19060484 </v>
      </c>
    </row>
    <row r="199" spans="1:14" ht="24.75" x14ac:dyDescent="0.25">
      <c r="A199" s="21" t="s">
        <v>7563</v>
      </c>
      <c r="B199" s="22" t="s">
        <v>7564</v>
      </c>
      <c r="C199" s="2">
        <v>1</v>
      </c>
      <c r="D199" s="23">
        <v>12.99</v>
      </c>
      <c r="E199" s="3">
        <v>12.99</v>
      </c>
      <c r="F199" s="2" t="s">
        <v>7565</v>
      </c>
      <c r="G199" s="22" t="s">
        <v>19467</v>
      </c>
      <c r="H199" s="24" t="s">
        <v>19542</v>
      </c>
      <c r="I199" s="22" t="s">
        <v>19309</v>
      </c>
      <c r="J199" s="22" t="s">
        <v>19447</v>
      </c>
      <c r="K199" s="22" t="s">
        <v>20146</v>
      </c>
      <c r="L199" s="22"/>
      <c r="M199" s="22"/>
      <c r="N199" s="25" t="str">
        <f>HYPERLINK("http://slimages.macys.com/is/image/MCY/20016823 ")</f>
        <v xml:space="preserve">http://slimages.macys.com/is/image/MCY/20016823 </v>
      </c>
    </row>
    <row r="200" spans="1:14" x14ac:dyDescent="0.25">
      <c r="A200" s="21" t="s">
        <v>7566</v>
      </c>
      <c r="B200" s="22" t="s">
        <v>7567</v>
      </c>
      <c r="C200" s="2">
        <v>1</v>
      </c>
      <c r="D200" s="23">
        <v>14.67</v>
      </c>
      <c r="E200" s="3">
        <v>14.67</v>
      </c>
      <c r="F200" s="2" t="s">
        <v>7568</v>
      </c>
      <c r="G200" s="22"/>
      <c r="H200" s="24" t="s">
        <v>20159</v>
      </c>
      <c r="I200" s="22" t="s">
        <v>19309</v>
      </c>
      <c r="J200" s="22" t="s">
        <v>19708</v>
      </c>
      <c r="K200" s="22" t="s">
        <v>19709</v>
      </c>
      <c r="L200" s="22"/>
      <c r="M200" s="22"/>
      <c r="N200" s="25" t="str">
        <f>HYPERLINK("http://slimages.macys.com/is/image/MCY/19060606 ")</f>
        <v xml:space="preserve">http://slimages.macys.com/is/image/MCY/19060606 </v>
      </c>
    </row>
    <row r="201" spans="1:14" ht="24.75" x14ac:dyDescent="0.25">
      <c r="A201" s="21" t="s">
        <v>7569</v>
      </c>
      <c r="B201" s="22" t="s">
        <v>7570</v>
      </c>
      <c r="C201" s="2">
        <v>1</v>
      </c>
      <c r="D201" s="23">
        <v>16.21</v>
      </c>
      <c r="E201" s="3">
        <v>16.21</v>
      </c>
      <c r="F201" s="2" t="s">
        <v>13114</v>
      </c>
      <c r="G201" s="22"/>
      <c r="H201" s="24" t="s">
        <v>19334</v>
      </c>
      <c r="I201" s="22" t="s">
        <v>19309</v>
      </c>
      <c r="J201" s="22" t="s">
        <v>19602</v>
      </c>
      <c r="K201" s="22" t="s">
        <v>20041</v>
      </c>
      <c r="L201" s="22"/>
      <c r="M201" s="22"/>
      <c r="N201" s="25" t="str">
        <f>HYPERLINK("http://slimages.macys.com/is/image/MCY/21728915 ")</f>
        <v xml:space="preserve">http://slimages.macys.com/is/image/MCY/21728915 </v>
      </c>
    </row>
    <row r="202" spans="1:14" x14ac:dyDescent="0.25">
      <c r="A202" s="21" t="s">
        <v>7571</v>
      </c>
      <c r="B202" s="22" t="s">
        <v>7572</v>
      </c>
      <c r="C202" s="2">
        <v>1</v>
      </c>
      <c r="D202" s="23">
        <v>14.31</v>
      </c>
      <c r="E202" s="3">
        <v>14.31</v>
      </c>
      <c r="F202" s="2" t="s">
        <v>7573</v>
      </c>
      <c r="G202" s="22" t="s">
        <v>19323</v>
      </c>
      <c r="H202" s="24" t="s">
        <v>19367</v>
      </c>
      <c r="I202" s="22" t="s">
        <v>19309</v>
      </c>
      <c r="J202" s="22" t="s">
        <v>19708</v>
      </c>
      <c r="K202" s="22" t="s">
        <v>19709</v>
      </c>
      <c r="L202" s="22"/>
      <c r="M202" s="22"/>
      <c r="N202" s="25" t="str">
        <f>HYPERLINK("http://slimages.macys.com/is/image/MCY/21409614 ")</f>
        <v xml:space="preserve">http://slimages.macys.com/is/image/MCY/21409614 </v>
      </c>
    </row>
    <row r="203" spans="1:14" x14ac:dyDescent="0.25">
      <c r="A203" s="21" t="s">
        <v>7574</v>
      </c>
      <c r="B203" s="22" t="s">
        <v>7575</v>
      </c>
      <c r="C203" s="2">
        <v>1</v>
      </c>
      <c r="D203" s="23">
        <v>14.31</v>
      </c>
      <c r="E203" s="3">
        <v>14.31</v>
      </c>
      <c r="F203" s="2" t="s">
        <v>7573</v>
      </c>
      <c r="G203" s="22" t="s">
        <v>19323</v>
      </c>
      <c r="H203" s="24" t="s">
        <v>19770</v>
      </c>
      <c r="I203" s="22" t="s">
        <v>19309</v>
      </c>
      <c r="J203" s="22" t="s">
        <v>19708</v>
      </c>
      <c r="K203" s="22" t="s">
        <v>19709</v>
      </c>
      <c r="L203" s="22"/>
      <c r="M203" s="22"/>
      <c r="N203" s="25" t="str">
        <f>HYPERLINK("http://slimages.macys.com/is/image/MCY/21409614 ")</f>
        <v xml:space="preserve">http://slimages.macys.com/is/image/MCY/21409614 </v>
      </c>
    </row>
    <row r="204" spans="1:14" x14ac:dyDescent="0.25">
      <c r="A204" s="21" t="s">
        <v>15467</v>
      </c>
      <c r="B204" s="22" t="s">
        <v>15468</v>
      </c>
      <c r="C204" s="2">
        <v>1</v>
      </c>
      <c r="D204" s="23">
        <v>16.989999999999998</v>
      </c>
      <c r="E204" s="3">
        <v>16.989999999999998</v>
      </c>
      <c r="F204" s="2" t="s">
        <v>20168</v>
      </c>
      <c r="G204" s="22" t="s">
        <v>19431</v>
      </c>
      <c r="H204" s="24" t="s">
        <v>19352</v>
      </c>
      <c r="I204" s="22" t="s">
        <v>19309</v>
      </c>
      <c r="J204" s="22" t="s">
        <v>19849</v>
      </c>
      <c r="K204" s="22" t="s">
        <v>19850</v>
      </c>
      <c r="L204" s="22"/>
      <c r="M204" s="22"/>
      <c r="N204" s="25" t="str">
        <f>HYPERLINK("http://slimages.macys.com/is/image/MCY/20752002 ")</f>
        <v xml:space="preserve">http://slimages.macys.com/is/image/MCY/20752002 </v>
      </c>
    </row>
    <row r="205" spans="1:14" x14ac:dyDescent="0.25">
      <c r="A205" s="21" t="s">
        <v>20166</v>
      </c>
      <c r="B205" s="22" t="s">
        <v>20167</v>
      </c>
      <c r="C205" s="2">
        <v>1</v>
      </c>
      <c r="D205" s="23">
        <v>16.989999999999998</v>
      </c>
      <c r="E205" s="3">
        <v>16.989999999999998</v>
      </c>
      <c r="F205" s="2" t="s">
        <v>20168</v>
      </c>
      <c r="G205" s="22" t="s">
        <v>19618</v>
      </c>
      <c r="H205" s="24" t="s">
        <v>19352</v>
      </c>
      <c r="I205" s="22" t="s">
        <v>19309</v>
      </c>
      <c r="J205" s="22" t="s">
        <v>19849</v>
      </c>
      <c r="K205" s="22" t="s">
        <v>19850</v>
      </c>
      <c r="L205" s="22"/>
      <c r="M205" s="22"/>
      <c r="N205" s="25" t="str">
        <f>HYPERLINK("http://slimages.macys.com/is/image/MCY/20752002 ")</f>
        <v xml:space="preserve">http://slimages.macys.com/is/image/MCY/20752002 </v>
      </c>
    </row>
    <row r="206" spans="1:14" x14ac:dyDescent="0.25">
      <c r="A206" s="21" t="s">
        <v>15469</v>
      </c>
      <c r="B206" s="22" t="s">
        <v>15470</v>
      </c>
      <c r="C206" s="2">
        <v>1</v>
      </c>
      <c r="D206" s="23">
        <v>16.989999999999998</v>
      </c>
      <c r="E206" s="3">
        <v>16.989999999999998</v>
      </c>
      <c r="F206" s="2" t="s">
        <v>20168</v>
      </c>
      <c r="G206" s="22" t="s">
        <v>19618</v>
      </c>
      <c r="H206" s="24" t="s">
        <v>19339</v>
      </c>
      <c r="I206" s="22" t="s">
        <v>19309</v>
      </c>
      <c r="J206" s="22" t="s">
        <v>19849</v>
      </c>
      <c r="K206" s="22" t="s">
        <v>19850</v>
      </c>
      <c r="L206" s="22"/>
      <c r="M206" s="22"/>
      <c r="N206" s="25" t="str">
        <f>HYPERLINK("http://slimages.macys.com/is/image/MCY/20752002 ")</f>
        <v xml:space="preserve">http://slimages.macys.com/is/image/MCY/20752002 </v>
      </c>
    </row>
    <row r="207" spans="1:14" x14ac:dyDescent="0.25">
      <c r="A207" s="21" t="s">
        <v>13133</v>
      </c>
      <c r="B207" s="22" t="s">
        <v>13134</v>
      </c>
      <c r="C207" s="2">
        <v>1</v>
      </c>
      <c r="D207" s="23">
        <v>17.87</v>
      </c>
      <c r="E207" s="3">
        <v>17.87</v>
      </c>
      <c r="F207" s="2" t="s">
        <v>18184</v>
      </c>
      <c r="G207" s="22"/>
      <c r="H207" s="24" t="s">
        <v>19770</v>
      </c>
      <c r="I207" s="22" t="s">
        <v>19309</v>
      </c>
      <c r="J207" s="22" t="s">
        <v>19708</v>
      </c>
      <c r="K207" s="22" t="s">
        <v>19709</v>
      </c>
      <c r="L207" s="22"/>
      <c r="M207" s="22"/>
      <c r="N207" s="25" t="str">
        <f>HYPERLINK("http://slimages.macys.com/is/image/MCY/22595811 ")</f>
        <v xml:space="preserve">http://slimages.macys.com/is/image/MCY/22595811 </v>
      </c>
    </row>
    <row r="208" spans="1:14" x14ac:dyDescent="0.25">
      <c r="A208" s="21" t="s">
        <v>10554</v>
      </c>
      <c r="B208" s="22" t="s">
        <v>10555</v>
      </c>
      <c r="C208" s="2">
        <v>1</v>
      </c>
      <c r="D208" s="23">
        <v>17.87</v>
      </c>
      <c r="E208" s="3">
        <v>17.87</v>
      </c>
      <c r="F208" s="2" t="s">
        <v>20182</v>
      </c>
      <c r="G208" s="22"/>
      <c r="H208" s="24" t="s">
        <v>19324</v>
      </c>
      <c r="I208" s="22" t="s">
        <v>19309</v>
      </c>
      <c r="J208" s="22" t="s">
        <v>19708</v>
      </c>
      <c r="K208" s="22" t="s">
        <v>19709</v>
      </c>
      <c r="L208" s="22"/>
      <c r="M208" s="22"/>
      <c r="N208" s="25" t="str">
        <f>HYPERLINK("http://slimages.macys.com/is/image/MCY/22405971 ")</f>
        <v xml:space="preserve">http://slimages.macys.com/is/image/MCY/22405971 </v>
      </c>
    </row>
    <row r="209" spans="1:14" x14ac:dyDescent="0.25">
      <c r="A209" s="21" t="s">
        <v>20174</v>
      </c>
      <c r="B209" s="22" t="s">
        <v>20175</v>
      </c>
      <c r="C209" s="2">
        <v>1</v>
      </c>
      <c r="D209" s="23">
        <v>17.87</v>
      </c>
      <c r="E209" s="3">
        <v>17.87</v>
      </c>
      <c r="F209" s="2" t="s">
        <v>20176</v>
      </c>
      <c r="G209" s="22"/>
      <c r="H209" s="24" t="s">
        <v>20159</v>
      </c>
      <c r="I209" s="22" t="s">
        <v>19309</v>
      </c>
      <c r="J209" s="22" t="s">
        <v>19708</v>
      </c>
      <c r="K209" s="22" t="s">
        <v>19709</v>
      </c>
      <c r="L209" s="22"/>
      <c r="M209" s="22"/>
      <c r="N209" s="25" t="str">
        <f>HYPERLINK("http://slimages.macys.com/is/image/MCY/22405968 ")</f>
        <v xml:space="preserve">http://slimages.macys.com/is/image/MCY/22405968 </v>
      </c>
    </row>
    <row r="210" spans="1:14" x14ac:dyDescent="0.25">
      <c r="A210" s="21" t="s">
        <v>12117</v>
      </c>
      <c r="B210" s="22" t="s">
        <v>15472</v>
      </c>
      <c r="C210" s="2">
        <v>1</v>
      </c>
      <c r="D210" s="23">
        <v>17.87</v>
      </c>
      <c r="E210" s="3">
        <v>17.87</v>
      </c>
      <c r="F210" s="2" t="s">
        <v>12105</v>
      </c>
      <c r="G210" s="22"/>
      <c r="H210" s="24" t="s">
        <v>20152</v>
      </c>
      <c r="I210" s="22" t="s">
        <v>19309</v>
      </c>
      <c r="J210" s="22" t="s">
        <v>19708</v>
      </c>
      <c r="K210" s="22" t="s">
        <v>19709</v>
      </c>
      <c r="L210" s="22"/>
      <c r="M210" s="22"/>
      <c r="N210" s="25" t="str">
        <f>HYPERLINK("http://slimages.macys.com/is/image/MCY/22405692 ")</f>
        <v xml:space="preserve">http://slimages.macys.com/is/image/MCY/22405692 </v>
      </c>
    </row>
    <row r="211" spans="1:14" x14ac:dyDescent="0.25">
      <c r="A211" s="21" t="s">
        <v>20180</v>
      </c>
      <c r="B211" s="22" t="s">
        <v>20181</v>
      </c>
      <c r="C211" s="2">
        <v>1</v>
      </c>
      <c r="D211" s="23">
        <v>17.87</v>
      </c>
      <c r="E211" s="3">
        <v>17.87</v>
      </c>
      <c r="F211" s="2" t="s">
        <v>20182</v>
      </c>
      <c r="G211" s="22"/>
      <c r="H211" s="24" t="s">
        <v>20159</v>
      </c>
      <c r="I211" s="22" t="s">
        <v>19309</v>
      </c>
      <c r="J211" s="22" t="s">
        <v>19708</v>
      </c>
      <c r="K211" s="22" t="s">
        <v>19709</v>
      </c>
      <c r="L211" s="22"/>
      <c r="M211" s="22"/>
      <c r="N211" s="25" t="str">
        <f>HYPERLINK("http://slimages.macys.com/is/image/MCY/22405971 ")</f>
        <v xml:space="preserve">http://slimages.macys.com/is/image/MCY/22405971 </v>
      </c>
    </row>
    <row r="212" spans="1:14" x14ac:dyDescent="0.25">
      <c r="A212" s="21" t="s">
        <v>12104</v>
      </c>
      <c r="B212" s="22" t="s">
        <v>20186</v>
      </c>
      <c r="C212" s="2">
        <v>1</v>
      </c>
      <c r="D212" s="23">
        <v>17.87</v>
      </c>
      <c r="E212" s="3">
        <v>17.87</v>
      </c>
      <c r="F212" s="2" t="s">
        <v>12105</v>
      </c>
      <c r="G212" s="22"/>
      <c r="H212" s="24" t="s">
        <v>19367</v>
      </c>
      <c r="I212" s="22" t="s">
        <v>19309</v>
      </c>
      <c r="J212" s="22" t="s">
        <v>19708</v>
      </c>
      <c r="K212" s="22" t="s">
        <v>19709</v>
      </c>
      <c r="L212" s="22"/>
      <c r="M212" s="22"/>
      <c r="N212" s="25" t="str">
        <f>HYPERLINK("http://slimages.macys.com/is/image/MCY/22405692 ")</f>
        <v xml:space="preserve">http://slimages.macys.com/is/image/MCY/22405692 </v>
      </c>
    </row>
    <row r="213" spans="1:14" x14ac:dyDescent="0.25">
      <c r="A213" s="21" t="s">
        <v>13137</v>
      </c>
      <c r="B213" s="22" t="s">
        <v>13138</v>
      </c>
      <c r="C213" s="2">
        <v>1</v>
      </c>
      <c r="D213" s="23">
        <v>17.87</v>
      </c>
      <c r="E213" s="3">
        <v>17.87</v>
      </c>
      <c r="F213" s="2" t="s">
        <v>20176</v>
      </c>
      <c r="G213" s="22"/>
      <c r="H213" s="24" t="s">
        <v>20152</v>
      </c>
      <c r="I213" s="22" t="s">
        <v>19309</v>
      </c>
      <c r="J213" s="22" t="s">
        <v>19708</v>
      </c>
      <c r="K213" s="22" t="s">
        <v>19709</v>
      </c>
      <c r="L213" s="22"/>
      <c r="M213" s="22"/>
      <c r="N213" s="25" t="str">
        <f>HYPERLINK("http://slimages.macys.com/is/image/MCY/22405968 ")</f>
        <v xml:space="preserve">http://slimages.macys.com/is/image/MCY/22405968 </v>
      </c>
    </row>
    <row r="214" spans="1:14" ht="24.75" x14ac:dyDescent="0.25">
      <c r="A214" s="21" t="s">
        <v>7576</v>
      </c>
      <c r="B214" s="22" t="s">
        <v>7577</v>
      </c>
      <c r="C214" s="2">
        <v>1</v>
      </c>
      <c r="D214" s="23">
        <v>15.72</v>
      </c>
      <c r="E214" s="3">
        <v>15.72</v>
      </c>
      <c r="F214" s="2" t="s">
        <v>18190</v>
      </c>
      <c r="G214" s="22" t="s">
        <v>19333</v>
      </c>
      <c r="H214" s="24"/>
      <c r="I214" s="22" t="s">
        <v>19309</v>
      </c>
      <c r="J214" s="22" t="s">
        <v>19602</v>
      </c>
      <c r="K214" s="22" t="s">
        <v>20041</v>
      </c>
      <c r="L214" s="22"/>
      <c r="M214" s="22"/>
      <c r="N214" s="25" t="str">
        <f>HYPERLINK("http://slimages.macys.com/is/image/MCY/20529115 ")</f>
        <v xml:space="preserve">http://slimages.macys.com/is/image/MCY/20529115 </v>
      </c>
    </row>
    <row r="215" spans="1:14" x14ac:dyDescent="0.25">
      <c r="A215" s="21" t="s">
        <v>16074</v>
      </c>
      <c r="B215" s="22" t="s">
        <v>16075</v>
      </c>
      <c r="C215" s="2">
        <v>1</v>
      </c>
      <c r="D215" s="23">
        <v>17.739999999999998</v>
      </c>
      <c r="E215" s="3">
        <v>17.739999999999998</v>
      </c>
      <c r="F215" s="2" t="s">
        <v>16076</v>
      </c>
      <c r="G215" s="22" t="s">
        <v>19338</v>
      </c>
      <c r="H215" s="24" t="s">
        <v>19324</v>
      </c>
      <c r="I215" s="22" t="s">
        <v>19309</v>
      </c>
      <c r="J215" s="22" t="s">
        <v>19708</v>
      </c>
      <c r="K215" s="22" t="s">
        <v>19709</v>
      </c>
      <c r="L215" s="22"/>
      <c r="M215" s="22"/>
      <c r="N215" s="25" t="str">
        <f>HYPERLINK("http://slimages.macys.com/is/image/MCY/21726560 ")</f>
        <v xml:space="preserve">http://slimages.macys.com/is/image/MCY/21726560 </v>
      </c>
    </row>
    <row r="216" spans="1:14" ht="24.75" x14ac:dyDescent="0.25">
      <c r="A216" s="21" t="s">
        <v>13679</v>
      </c>
      <c r="B216" s="22" t="s">
        <v>13680</v>
      </c>
      <c r="C216" s="2">
        <v>1</v>
      </c>
      <c r="D216" s="23">
        <v>16.989999999999998</v>
      </c>
      <c r="E216" s="3">
        <v>16.989999999999998</v>
      </c>
      <c r="F216" s="2" t="s">
        <v>13666</v>
      </c>
      <c r="G216" s="22" t="s">
        <v>19315</v>
      </c>
      <c r="H216" s="24" t="s">
        <v>19432</v>
      </c>
      <c r="I216" s="22" t="s">
        <v>19309</v>
      </c>
      <c r="J216" s="22" t="s">
        <v>19815</v>
      </c>
      <c r="K216" s="22" t="s">
        <v>19816</v>
      </c>
      <c r="L216" s="22"/>
      <c r="M216" s="22"/>
      <c r="N216" s="25" t="str">
        <f>HYPERLINK("http://slimages.macys.com/is/image/MCY/1107146 ")</f>
        <v xml:space="preserve">http://slimages.macys.com/is/image/MCY/1107146 </v>
      </c>
    </row>
    <row r="217" spans="1:14" ht="24.75" x14ac:dyDescent="0.25">
      <c r="A217" s="21" t="s">
        <v>13673</v>
      </c>
      <c r="B217" s="22" t="s">
        <v>13674</v>
      </c>
      <c r="C217" s="2">
        <v>1</v>
      </c>
      <c r="D217" s="23">
        <v>16.989999999999998</v>
      </c>
      <c r="E217" s="3">
        <v>16.989999999999998</v>
      </c>
      <c r="F217" s="2" t="s">
        <v>13666</v>
      </c>
      <c r="G217" s="22" t="s">
        <v>19315</v>
      </c>
      <c r="H217" s="24" t="s">
        <v>19907</v>
      </c>
      <c r="I217" s="22" t="s">
        <v>19309</v>
      </c>
      <c r="J217" s="22" t="s">
        <v>19815</v>
      </c>
      <c r="K217" s="22" t="s">
        <v>19816</v>
      </c>
      <c r="L217" s="22"/>
      <c r="M217" s="22"/>
      <c r="N217" s="25" t="str">
        <f>HYPERLINK("http://slimages.macys.com/is/image/MCY/1107146 ")</f>
        <v xml:space="preserve">http://slimages.macys.com/is/image/MCY/1107146 </v>
      </c>
    </row>
    <row r="218" spans="1:14" ht="24.75" x14ac:dyDescent="0.25">
      <c r="A218" s="21" t="s">
        <v>16086</v>
      </c>
      <c r="B218" s="22" t="s">
        <v>16087</v>
      </c>
      <c r="C218" s="2">
        <v>1</v>
      </c>
      <c r="D218" s="23">
        <v>14.99</v>
      </c>
      <c r="E218" s="3">
        <v>14.99</v>
      </c>
      <c r="F218" s="2" t="s">
        <v>16088</v>
      </c>
      <c r="G218" s="22" t="s">
        <v>19674</v>
      </c>
      <c r="H218" s="24" t="s">
        <v>19367</v>
      </c>
      <c r="I218" s="22" t="s">
        <v>19309</v>
      </c>
      <c r="J218" s="22" t="s">
        <v>19385</v>
      </c>
      <c r="K218" s="22" t="s">
        <v>19463</v>
      </c>
      <c r="L218" s="22"/>
      <c r="M218" s="22"/>
      <c r="N218" s="25" t="str">
        <f>HYPERLINK("http://slimages.macys.com/is/image/MCY/21474435 ")</f>
        <v xml:space="preserve">http://slimages.macys.com/is/image/MCY/21474435 </v>
      </c>
    </row>
    <row r="219" spans="1:14" x14ac:dyDescent="0.25">
      <c r="A219" s="21" t="s">
        <v>7578</v>
      </c>
      <c r="B219" s="22" t="s">
        <v>7579</v>
      </c>
      <c r="C219" s="2">
        <v>1</v>
      </c>
      <c r="D219" s="23">
        <v>13.77</v>
      </c>
      <c r="E219" s="3">
        <v>13.77</v>
      </c>
      <c r="F219" s="2" t="s">
        <v>20202</v>
      </c>
      <c r="G219" s="22"/>
      <c r="H219" s="24" t="s">
        <v>19330</v>
      </c>
      <c r="I219" s="22" t="s">
        <v>19309</v>
      </c>
      <c r="J219" s="22" t="s">
        <v>19708</v>
      </c>
      <c r="K219" s="22" t="s">
        <v>19709</v>
      </c>
      <c r="L219" s="22"/>
      <c r="M219" s="22"/>
      <c r="N219" s="25" t="str">
        <f>HYPERLINK("http://slimages.macys.com/is/image/MCY/19067056 ")</f>
        <v xml:space="preserve">http://slimages.macys.com/is/image/MCY/19067056 </v>
      </c>
    </row>
    <row r="220" spans="1:14" x14ac:dyDescent="0.25">
      <c r="A220" s="21" t="s">
        <v>7580</v>
      </c>
      <c r="B220" s="22" t="s">
        <v>7581</v>
      </c>
      <c r="C220" s="2">
        <v>1</v>
      </c>
      <c r="D220" s="23">
        <v>13.77</v>
      </c>
      <c r="E220" s="3">
        <v>13.77</v>
      </c>
      <c r="F220" s="2" t="s">
        <v>7582</v>
      </c>
      <c r="G220" s="22" t="s">
        <v>19357</v>
      </c>
      <c r="H220" s="24" t="s">
        <v>19770</v>
      </c>
      <c r="I220" s="22" t="s">
        <v>19309</v>
      </c>
      <c r="J220" s="22" t="s">
        <v>19708</v>
      </c>
      <c r="K220" s="22" t="s">
        <v>19709</v>
      </c>
      <c r="L220" s="22"/>
      <c r="M220" s="22"/>
      <c r="N220" s="25" t="str">
        <f>HYPERLINK("http://slimages.macys.com/is/image/MCY/19069114 ")</f>
        <v xml:space="preserve">http://slimages.macys.com/is/image/MCY/19069114 </v>
      </c>
    </row>
    <row r="221" spans="1:14" x14ac:dyDescent="0.25">
      <c r="A221" s="21" t="s">
        <v>7583</v>
      </c>
      <c r="B221" s="22" t="s">
        <v>7584</v>
      </c>
      <c r="C221" s="2">
        <v>1</v>
      </c>
      <c r="D221" s="23">
        <v>17.3</v>
      </c>
      <c r="E221" s="3">
        <v>17.3</v>
      </c>
      <c r="F221" s="2" t="s">
        <v>13161</v>
      </c>
      <c r="G221" s="22" t="s">
        <v>19351</v>
      </c>
      <c r="H221" s="24" t="s">
        <v>19416</v>
      </c>
      <c r="I221" s="22" t="s">
        <v>19309</v>
      </c>
      <c r="J221" s="22" t="s">
        <v>19708</v>
      </c>
      <c r="K221" s="22" t="s">
        <v>19709</v>
      </c>
      <c r="L221" s="22"/>
      <c r="M221" s="22"/>
      <c r="N221" s="25" t="str">
        <f>HYPERLINK("http://slimages.macys.com/is/image/MCY/22407523 ")</f>
        <v xml:space="preserve">http://slimages.macys.com/is/image/MCY/22407523 </v>
      </c>
    </row>
    <row r="222" spans="1:14" ht="24.75" x14ac:dyDescent="0.25">
      <c r="A222" s="21" t="s">
        <v>7585</v>
      </c>
      <c r="B222" s="22" t="s">
        <v>7586</v>
      </c>
      <c r="C222" s="2">
        <v>1</v>
      </c>
      <c r="D222" s="23">
        <v>13.77</v>
      </c>
      <c r="E222" s="3">
        <v>13.77</v>
      </c>
      <c r="F222" s="2" t="s">
        <v>20205</v>
      </c>
      <c r="G222" s="22"/>
      <c r="H222" s="24" t="s">
        <v>19416</v>
      </c>
      <c r="I222" s="22" t="s">
        <v>19309</v>
      </c>
      <c r="J222" s="22" t="s">
        <v>19708</v>
      </c>
      <c r="K222" s="22" t="s">
        <v>19709</v>
      </c>
      <c r="L222" s="22"/>
      <c r="M222" s="22"/>
      <c r="N222" s="25" t="str">
        <f>HYPERLINK("http://slimages.macys.com/is/image/MCY/21183992 ")</f>
        <v xml:space="preserve">http://slimages.macys.com/is/image/MCY/21183992 </v>
      </c>
    </row>
    <row r="223" spans="1:14" ht="24.75" x14ac:dyDescent="0.25">
      <c r="A223" s="21" t="s">
        <v>7587</v>
      </c>
      <c r="B223" s="22" t="s">
        <v>7588</v>
      </c>
      <c r="C223" s="2">
        <v>1</v>
      </c>
      <c r="D223" s="23">
        <v>18.989999999999998</v>
      </c>
      <c r="E223" s="3">
        <v>18.989999999999998</v>
      </c>
      <c r="F223" s="2" t="s">
        <v>18212</v>
      </c>
      <c r="G223" s="22" t="s">
        <v>19594</v>
      </c>
      <c r="H223" s="24" t="s">
        <v>19907</v>
      </c>
      <c r="I223" s="22" t="s">
        <v>19309</v>
      </c>
      <c r="J223" s="22" t="s">
        <v>19908</v>
      </c>
      <c r="K223" s="22" t="s">
        <v>19524</v>
      </c>
      <c r="L223" s="22"/>
      <c r="M223" s="22"/>
      <c r="N223" s="25" t="str">
        <f>HYPERLINK("http://slimages.macys.com/is/image/MCY/21570029 ")</f>
        <v xml:space="preserve">http://slimages.macys.com/is/image/MCY/21570029 </v>
      </c>
    </row>
    <row r="224" spans="1:14" ht="24.75" x14ac:dyDescent="0.25">
      <c r="A224" s="21" t="s">
        <v>11675</v>
      </c>
      <c r="B224" s="22" t="s">
        <v>11676</v>
      </c>
      <c r="C224" s="2">
        <v>1</v>
      </c>
      <c r="D224" s="23">
        <v>18.989999999999998</v>
      </c>
      <c r="E224" s="3">
        <v>18.989999999999998</v>
      </c>
      <c r="F224" s="2" t="s">
        <v>18212</v>
      </c>
      <c r="G224" s="22" t="s">
        <v>19594</v>
      </c>
      <c r="H224" s="24" t="s">
        <v>19361</v>
      </c>
      <c r="I224" s="22" t="s">
        <v>19309</v>
      </c>
      <c r="J224" s="22" t="s">
        <v>19908</v>
      </c>
      <c r="K224" s="22" t="s">
        <v>19524</v>
      </c>
      <c r="L224" s="22"/>
      <c r="M224" s="22"/>
      <c r="N224" s="25" t="str">
        <f>HYPERLINK("http://slimages.macys.com/is/image/MCY/21569911 ")</f>
        <v xml:space="preserve">http://slimages.macys.com/is/image/MCY/21569911 </v>
      </c>
    </row>
    <row r="225" spans="1:14" x14ac:dyDescent="0.25">
      <c r="A225" s="21" t="s">
        <v>7589</v>
      </c>
      <c r="B225" s="22" t="s">
        <v>7590</v>
      </c>
      <c r="C225" s="2">
        <v>2</v>
      </c>
      <c r="D225" s="23">
        <v>14.99</v>
      </c>
      <c r="E225" s="3">
        <v>29.98</v>
      </c>
      <c r="F225" s="2" t="s">
        <v>13707</v>
      </c>
      <c r="G225" s="22" t="s">
        <v>19431</v>
      </c>
      <c r="H225" s="24" t="s">
        <v>19542</v>
      </c>
      <c r="I225" s="22" t="s">
        <v>19309</v>
      </c>
      <c r="J225" s="22" t="s">
        <v>19849</v>
      </c>
      <c r="K225" s="22" t="s">
        <v>19850</v>
      </c>
      <c r="L225" s="22"/>
      <c r="M225" s="22"/>
      <c r="N225" s="25" t="str">
        <f>HYPERLINK("http://slimages.macys.com/is/image/MCY/20751925 ")</f>
        <v xml:space="preserve">http://slimages.macys.com/is/image/MCY/20751925 </v>
      </c>
    </row>
    <row r="226" spans="1:14" x14ac:dyDescent="0.25">
      <c r="A226" s="21" t="s">
        <v>7591</v>
      </c>
      <c r="B226" s="22" t="s">
        <v>7592</v>
      </c>
      <c r="C226" s="2">
        <v>1</v>
      </c>
      <c r="D226" s="23">
        <v>14.99</v>
      </c>
      <c r="E226" s="3">
        <v>14.99</v>
      </c>
      <c r="F226" s="2" t="s">
        <v>13707</v>
      </c>
      <c r="G226" s="22" t="s">
        <v>19431</v>
      </c>
      <c r="H226" s="24" t="s">
        <v>20135</v>
      </c>
      <c r="I226" s="22" t="s">
        <v>19309</v>
      </c>
      <c r="J226" s="22" t="s">
        <v>19849</v>
      </c>
      <c r="K226" s="22" t="s">
        <v>19850</v>
      </c>
      <c r="L226" s="22"/>
      <c r="M226" s="22"/>
      <c r="N226" s="25" t="str">
        <f>HYPERLINK("http://slimages.macys.com/is/image/MCY/20751925 ")</f>
        <v xml:space="preserve">http://slimages.macys.com/is/image/MCY/20751925 </v>
      </c>
    </row>
    <row r="227" spans="1:14" x14ac:dyDescent="0.25">
      <c r="A227" s="21" t="s">
        <v>7593</v>
      </c>
      <c r="B227" s="22" t="s">
        <v>7594</v>
      </c>
      <c r="C227" s="2">
        <v>1</v>
      </c>
      <c r="D227" s="23">
        <v>14.99</v>
      </c>
      <c r="E227" s="3">
        <v>14.99</v>
      </c>
      <c r="F227" s="2" t="s">
        <v>13707</v>
      </c>
      <c r="G227" s="22" t="s">
        <v>19431</v>
      </c>
      <c r="H227" s="24" t="s">
        <v>19361</v>
      </c>
      <c r="I227" s="22" t="s">
        <v>19309</v>
      </c>
      <c r="J227" s="22" t="s">
        <v>19849</v>
      </c>
      <c r="K227" s="22" t="s">
        <v>19850</v>
      </c>
      <c r="L227" s="22"/>
      <c r="M227" s="22"/>
      <c r="N227" s="25" t="str">
        <f>HYPERLINK("http://slimages.macys.com/is/image/MCY/20751925 ")</f>
        <v xml:space="preserve">http://slimages.macys.com/is/image/MCY/20751925 </v>
      </c>
    </row>
    <row r="228" spans="1:14" ht="24.75" x14ac:dyDescent="0.25">
      <c r="A228" s="21" t="s">
        <v>7595</v>
      </c>
      <c r="B228" s="22" t="s">
        <v>7596</v>
      </c>
      <c r="C228" s="2">
        <v>1</v>
      </c>
      <c r="D228" s="23">
        <v>15.99</v>
      </c>
      <c r="E228" s="3">
        <v>15.99</v>
      </c>
      <c r="F228" s="2" t="s">
        <v>10573</v>
      </c>
      <c r="G228" s="22" t="s">
        <v>19404</v>
      </c>
      <c r="H228" s="24" t="s">
        <v>20135</v>
      </c>
      <c r="I228" s="22" t="s">
        <v>19309</v>
      </c>
      <c r="J228" s="22" t="s">
        <v>19815</v>
      </c>
      <c r="K228" s="22" t="s">
        <v>19816</v>
      </c>
      <c r="L228" s="22"/>
      <c r="M228" s="22"/>
      <c r="N228" s="25" t="str">
        <f>HYPERLINK("http://slimages.macys.com/is/image/MCY/20815221 ")</f>
        <v xml:space="preserve">http://slimages.macys.com/is/image/MCY/20815221 </v>
      </c>
    </row>
    <row r="229" spans="1:14" x14ac:dyDescent="0.25">
      <c r="A229" s="21" t="s">
        <v>13723</v>
      </c>
      <c r="B229" s="22" t="s">
        <v>13724</v>
      </c>
      <c r="C229" s="2">
        <v>1</v>
      </c>
      <c r="D229" s="23">
        <v>15.99</v>
      </c>
      <c r="E229" s="3">
        <v>15.99</v>
      </c>
      <c r="F229" s="2" t="s">
        <v>20223</v>
      </c>
      <c r="G229" s="22" t="s">
        <v>19674</v>
      </c>
      <c r="H229" s="24" t="s">
        <v>19361</v>
      </c>
      <c r="I229" s="22" t="s">
        <v>19309</v>
      </c>
      <c r="J229" s="22" t="s">
        <v>19849</v>
      </c>
      <c r="K229" s="22" t="s">
        <v>19850</v>
      </c>
      <c r="L229" s="22"/>
      <c r="M229" s="22"/>
      <c r="N229" s="25" t="str">
        <f>HYPERLINK("http://slimages.macys.com/is/image/MCY/20549380 ")</f>
        <v xml:space="preserve">http://slimages.macys.com/is/image/MCY/20549380 </v>
      </c>
    </row>
    <row r="230" spans="1:14" x14ac:dyDescent="0.25">
      <c r="A230" s="21" t="s">
        <v>13713</v>
      </c>
      <c r="B230" s="22" t="s">
        <v>13714</v>
      </c>
      <c r="C230" s="2">
        <v>1</v>
      </c>
      <c r="D230" s="23">
        <v>15.99</v>
      </c>
      <c r="E230" s="3">
        <v>15.99</v>
      </c>
      <c r="F230" s="2" t="s">
        <v>20223</v>
      </c>
      <c r="G230" s="22" t="s">
        <v>19674</v>
      </c>
      <c r="H230" s="24" t="s">
        <v>20089</v>
      </c>
      <c r="I230" s="22" t="s">
        <v>19309</v>
      </c>
      <c r="J230" s="22" t="s">
        <v>19849</v>
      </c>
      <c r="K230" s="22" t="s">
        <v>19850</v>
      </c>
      <c r="L230" s="22"/>
      <c r="M230" s="22"/>
      <c r="N230" s="25" t="str">
        <f>HYPERLINK("http://slimages.macys.com/is/image/MCY/20549380 ")</f>
        <v xml:space="preserve">http://slimages.macys.com/is/image/MCY/20549380 </v>
      </c>
    </row>
    <row r="231" spans="1:14" x14ac:dyDescent="0.25">
      <c r="A231" s="21" t="s">
        <v>13719</v>
      </c>
      <c r="B231" s="22" t="s">
        <v>13720</v>
      </c>
      <c r="C231" s="2">
        <v>2</v>
      </c>
      <c r="D231" s="23">
        <v>15.99</v>
      </c>
      <c r="E231" s="3">
        <v>31.98</v>
      </c>
      <c r="F231" s="2" t="s">
        <v>20223</v>
      </c>
      <c r="G231" s="22" t="s">
        <v>19674</v>
      </c>
      <c r="H231" s="24" t="s">
        <v>19542</v>
      </c>
      <c r="I231" s="22" t="s">
        <v>19309</v>
      </c>
      <c r="J231" s="22" t="s">
        <v>19849</v>
      </c>
      <c r="K231" s="22" t="s">
        <v>19850</v>
      </c>
      <c r="L231" s="22"/>
      <c r="M231" s="22"/>
      <c r="N231" s="25" t="str">
        <f>HYPERLINK("http://slimages.macys.com/is/image/MCY/20549380 ")</f>
        <v xml:space="preserve">http://slimages.macys.com/is/image/MCY/20549380 </v>
      </c>
    </row>
    <row r="232" spans="1:14" x14ac:dyDescent="0.25">
      <c r="A232" s="21" t="s">
        <v>16103</v>
      </c>
      <c r="B232" s="22" t="s">
        <v>16104</v>
      </c>
      <c r="C232" s="2">
        <v>2</v>
      </c>
      <c r="D232" s="23">
        <v>15.99</v>
      </c>
      <c r="E232" s="3">
        <v>31.98</v>
      </c>
      <c r="F232" s="2" t="s">
        <v>18227</v>
      </c>
      <c r="G232" s="22" t="s">
        <v>19670</v>
      </c>
      <c r="H232" s="24" t="s">
        <v>19339</v>
      </c>
      <c r="I232" s="22" t="s">
        <v>19309</v>
      </c>
      <c r="J232" s="22" t="s">
        <v>19849</v>
      </c>
      <c r="K232" s="22" t="s">
        <v>19850</v>
      </c>
      <c r="L232" s="22"/>
      <c r="M232" s="22"/>
      <c r="N232" s="25" t="str">
        <f>HYPERLINK("http://slimages.macys.com/is/image/MCY/1553370 ")</f>
        <v xml:space="preserve">http://slimages.macys.com/is/image/MCY/1553370 </v>
      </c>
    </row>
    <row r="233" spans="1:14" x14ac:dyDescent="0.25">
      <c r="A233" s="21" t="s">
        <v>7597</v>
      </c>
      <c r="B233" s="22" t="s">
        <v>7598</v>
      </c>
      <c r="C233" s="2">
        <v>1</v>
      </c>
      <c r="D233" s="23">
        <v>17.989999999999998</v>
      </c>
      <c r="E233" s="3">
        <v>17.989999999999998</v>
      </c>
      <c r="F233" s="2" t="s">
        <v>10576</v>
      </c>
      <c r="G233" s="22" t="s">
        <v>19342</v>
      </c>
      <c r="H233" s="24" t="s">
        <v>19392</v>
      </c>
      <c r="I233" s="22" t="s">
        <v>19309</v>
      </c>
      <c r="J233" s="22" t="s">
        <v>19696</v>
      </c>
      <c r="K233" s="22" t="s">
        <v>19965</v>
      </c>
      <c r="L233" s="22"/>
      <c r="M233" s="22"/>
      <c r="N233" s="25" t="str">
        <f>HYPERLINK("http://slimages.macys.com/is/image/MCY/20583418 ")</f>
        <v xml:space="preserve">http://slimages.macys.com/is/image/MCY/20583418 </v>
      </c>
    </row>
    <row r="234" spans="1:14" x14ac:dyDescent="0.25">
      <c r="A234" s="21" t="s">
        <v>7599</v>
      </c>
      <c r="B234" s="22" t="s">
        <v>13786</v>
      </c>
      <c r="C234" s="2">
        <v>1</v>
      </c>
      <c r="D234" s="23">
        <v>17.989999999999998</v>
      </c>
      <c r="E234" s="3">
        <v>17.989999999999998</v>
      </c>
      <c r="F234" s="2" t="s">
        <v>7600</v>
      </c>
      <c r="G234" s="22" t="s">
        <v>19342</v>
      </c>
      <c r="H234" s="24" t="s">
        <v>19345</v>
      </c>
      <c r="I234" s="22" t="s">
        <v>19309</v>
      </c>
      <c r="J234" s="22" t="s">
        <v>19696</v>
      </c>
      <c r="K234" s="22" t="s">
        <v>19697</v>
      </c>
      <c r="L234" s="22"/>
      <c r="M234" s="22"/>
      <c r="N234" s="25" t="str">
        <f>HYPERLINK("http://slimages.macys.com/is/image/MCY/20690307 ")</f>
        <v xml:space="preserve">http://slimages.macys.com/is/image/MCY/20690307 </v>
      </c>
    </row>
    <row r="235" spans="1:14" x14ac:dyDescent="0.25">
      <c r="A235" s="21" t="s">
        <v>10574</v>
      </c>
      <c r="B235" s="22" t="s">
        <v>10575</v>
      </c>
      <c r="C235" s="2">
        <v>2</v>
      </c>
      <c r="D235" s="23">
        <v>17.989999999999998</v>
      </c>
      <c r="E235" s="3">
        <v>35.979999999999997</v>
      </c>
      <c r="F235" s="2" t="s">
        <v>10576</v>
      </c>
      <c r="G235" s="22" t="s">
        <v>19342</v>
      </c>
      <c r="H235" s="24" t="s">
        <v>19345</v>
      </c>
      <c r="I235" s="22" t="s">
        <v>19309</v>
      </c>
      <c r="J235" s="22" t="s">
        <v>19696</v>
      </c>
      <c r="K235" s="22" t="s">
        <v>19965</v>
      </c>
      <c r="L235" s="22"/>
      <c r="M235" s="22"/>
      <c r="N235" s="25" t="str">
        <f>HYPERLINK("http://slimages.macys.com/is/image/MCY/20583418 ")</f>
        <v xml:space="preserve">http://slimages.macys.com/is/image/MCY/20583418 </v>
      </c>
    </row>
    <row r="236" spans="1:14" ht="24.75" x14ac:dyDescent="0.25">
      <c r="A236" s="21" t="s">
        <v>7601</v>
      </c>
      <c r="B236" s="22" t="s">
        <v>7602</v>
      </c>
      <c r="C236" s="2">
        <v>1</v>
      </c>
      <c r="D236" s="23">
        <v>18.989999999999998</v>
      </c>
      <c r="E236" s="3">
        <v>18.989999999999998</v>
      </c>
      <c r="F236" s="2" t="s">
        <v>18234</v>
      </c>
      <c r="G236" s="22" t="s">
        <v>19333</v>
      </c>
      <c r="H236" s="24" t="s">
        <v>19361</v>
      </c>
      <c r="I236" s="22" t="s">
        <v>19309</v>
      </c>
      <c r="J236" s="22" t="s">
        <v>19908</v>
      </c>
      <c r="K236" s="22" t="s">
        <v>19524</v>
      </c>
      <c r="L236" s="22"/>
      <c r="M236" s="22"/>
      <c r="N236" s="25" t="str">
        <f>HYPERLINK("http://slimages.macys.com/is/image/MCY/21569906 ")</f>
        <v xml:space="preserve">http://slimages.macys.com/is/image/MCY/21569906 </v>
      </c>
    </row>
    <row r="237" spans="1:14" ht="24.75" x14ac:dyDescent="0.25">
      <c r="A237" s="21" t="s">
        <v>20245</v>
      </c>
      <c r="B237" s="22" t="s">
        <v>20246</v>
      </c>
      <c r="C237" s="2">
        <v>1</v>
      </c>
      <c r="D237" s="23">
        <v>18.989999999999998</v>
      </c>
      <c r="E237" s="3">
        <v>18.989999999999998</v>
      </c>
      <c r="F237" s="2" t="s">
        <v>20244</v>
      </c>
      <c r="G237" s="22" t="s">
        <v>19323</v>
      </c>
      <c r="H237" s="24" t="s">
        <v>19361</v>
      </c>
      <c r="I237" s="22" t="s">
        <v>19309</v>
      </c>
      <c r="J237" s="22" t="s">
        <v>19908</v>
      </c>
      <c r="K237" s="22" t="s">
        <v>19524</v>
      </c>
      <c r="L237" s="22"/>
      <c r="M237" s="22"/>
      <c r="N237" s="25" t="str">
        <f>HYPERLINK("http://slimages.macys.com/is/image/MCY/1308431 ")</f>
        <v xml:space="preserve">http://slimages.macys.com/is/image/MCY/1308431 </v>
      </c>
    </row>
    <row r="238" spans="1:14" ht="24.75" x14ac:dyDescent="0.25">
      <c r="A238" s="21" t="s">
        <v>7603</v>
      </c>
      <c r="B238" s="22" t="s">
        <v>7604</v>
      </c>
      <c r="C238" s="2">
        <v>1</v>
      </c>
      <c r="D238" s="23">
        <v>18.989999999999998</v>
      </c>
      <c r="E238" s="3">
        <v>18.989999999999998</v>
      </c>
      <c r="F238" s="2" t="s">
        <v>18234</v>
      </c>
      <c r="G238" s="22" t="s">
        <v>19333</v>
      </c>
      <c r="H238" s="24" t="s">
        <v>19377</v>
      </c>
      <c r="I238" s="22" t="s">
        <v>19309</v>
      </c>
      <c r="J238" s="22" t="s">
        <v>19908</v>
      </c>
      <c r="K238" s="22" t="s">
        <v>19524</v>
      </c>
      <c r="L238" s="22"/>
      <c r="M238" s="22"/>
      <c r="N238" s="25" t="str">
        <f>HYPERLINK("http://slimages.macys.com/is/image/MCY/21569906 ")</f>
        <v xml:space="preserve">http://slimages.macys.com/is/image/MCY/21569906 </v>
      </c>
    </row>
    <row r="239" spans="1:14" ht="24.75" x14ac:dyDescent="0.25">
      <c r="A239" s="21" t="s">
        <v>18228</v>
      </c>
      <c r="B239" s="22" t="s">
        <v>18229</v>
      </c>
      <c r="C239" s="2">
        <v>1</v>
      </c>
      <c r="D239" s="23">
        <v>14.99</v>
      </c>
      <c r="E239" s="3">
        <v>14.99</v>
      </c>
      <c r="F239" s="2" t="s">
        <v>18230</v>
      </c>
      <c r="G239" s="22"/>
      <c r="H239" s="24"/>
      <c r="I239" s="22" t="s">
        <v>19309</v>
      </c>
      <c r="J239" s="22" t="s">
        <v>20076</v>
      </c>
      <c r="K239" s="22" t="s">
        <v>18231</v>
      </c>
      <c r="L239" s="22"/>
      <c r="M239" s="22"/>
      <c r="N239" s="25" t="str">
        <f>HYPERLINK("http://slimages.macys.com/is/image/MCY/21541701 ")</f>
        <v xml:space="preserve">http://slimages.macys.com/is/image/MCY/21541701 </v>
      </c>
    </row>
    <row r="240" spans="1:14" ht="24.75" x14ac:dyDescent="0.25">
      <c r="A240" s="21" t="s">
        <v>18232</v>
      </c>
      <c r="B240" s="22" t="s">
        <v>18233</v>
      </c>
      <c r="C240" s="2">
        <v>1</v>
      </c>
      <c r="D240" s="23">
        <v>18.989999999999998</v>
      </c>
      <c r="E240" s="3">
        <v>18.989999999999998</v>
      </c>
      <c r="F240" s="2" t="s">
        <v>18234</v>
      </c>
      <c r="G240" s="22" t="s">
        <v>19333</v>
      </c>
      <c r="H240" s="24" t="s">
        <v>20089</v>
      </c>
      <c r="I240" s="22" t="s">
        <v>19309</v>
      </c>
      <c r="J240" s="22" t="s">
        <v>19908</v>
      </c>
      <c r="K240" s="22" t="s">
        <v>19524</v>
      </c>
      <c r="L240" s="22"/>
      <c r="M240" s="22"/>
      <c r="N240" s="25" t="str">
        <f>HYPERLINK("http://slimages.macys.com/is/image/MCY/21570026 ")</f>
        <v xml:space="preserve">http://slimages.macys.com/is/image/MCY/21570026 </v>
      </c>
    </row>
    <row r="241" spans="1:14" ht="24.75" x14ac:dyDescent="0.25">
      <c r="A241" s="21" t="s">
        <v>20242</v>
      </c>
      <c r="B241" s="22" t="s">
        <v>20243</v>
      </c>
      <c r="C241" s="2">
        <v>1</v>
      </c>
      <c r="D241" s="23">
        <v>18.989999999999998</v>
      </c>
      <c r="E241" s="3">
        <v>18.989999999999998</v>
      </c>
      <c r="F241" s="2" t="s">
        <v>20244</v>
      </c>
      <c r="G241" s="22" t="s">
        <v>19323</v>
      </c>
      <c r="H241" s="24" t="s">
        <v>19377</v>
      </c>
      <c r="I241" s="22" t="s">
        <v>19309</v>
      </c>
      <c r="J241" s="22" t="s">
        <v>19908</v>
      </c>
      <c r="K241" s="22" t="s">
        <v>19524</v>
      </c>
      <c r="L241" s="22"/>
      <c r="M241" s="22"/>
      <c r="N241" s="25" t="str">
        <f>HYPERLINK("http://slimages.macys.com/is/image/MCY/21569915 ")</f>
        <v xml:space="preserve">http://slimages.macys.com/is/image/MCY/21569915 </v>
      </c>
    </row>
    <row r="242" spans="1:14" ht="24.75" x14ac:dyDescent="0.25">
      <c r="A242" s="21" t="s">
        <v>7605</v>
      </c>
      <c r="B242" s="22" t="s">
        <v>7606</v>
      </c>
      <c r="C242" s="2">
        <v>1</v>
      </c>
      <c r="D242" s="23">
        <v>18.989999999999998</v>
      </c>
      <c r="E242" s="3">
        <v>18.989999999999998</v>
      </c>
      <c r="F242" s="2" t="s">
        <v>20244</v>
      </c>
      <c r="G242" s="22" t="s">
        <v>19323</v>
      </c>
      <c r="H242" s="24" t="s">
        <v>19542</v>
      </c>
      <c r="I242" s="22" t="s">
        <v>19309</v>
      </c>
      <c r="J242" s="22" t="s">
        <v>19908</v>
      </c>
      <c r="K242" s="22" t="s">
        <v>19524</v>
      </c>
      <c r="L242" s="22"/>
      <c r="M242" s="22"/>
      <c r="N242" s="25" t="str">
        <f>HYPERLINK("http://slimages.macys.com/is/image/MCY/21569915 ")</f>
        <v xml:space="preserve">http://slimages.macys.com/is/image/MCY/21569915 </v>
      </c>
    </row>
    <row r="243" spans="1:14" ht="24.75" x14ac:dyDescent="0.25">
      <c r="A243" s="21" t="s">
        <v>7607</v>
      </c>
      <c r="B243" s="22" t="s">
        <v>7608</v>
      </c>
      <c r="C243" s="2">
        <v>1</v>
      </c>
      <c r="D243" s="23">
        <v>22.5</v>
      </c>
      <c r="E243" s="3">
        <v>22.5</v>
      </c>
      <c r="F243" s="2" t="s">
        <v>7609</v>
      </c>
      <c r="G243" s="22" t="s">
        <v>19415</v>
      </c>
      <c r="H243" s="24" t="s">
        <v>19334</v>
      </c>
      <c r="I243" s="22" t="s">
        <v>19309</v>
      </c>
      <c r="J243" s="22" t="s">
        <v>19688</v>
      </c>
      <c r="K243" s="22" t="s">
        <v>19614</v>
      </c>
      <c r="L243" s="22"/>
      <c r="M243" s="22"/>
      <c r="N243" s="25" t="str">
        <f>HYPERLINK("http://slimages.macys.com/is/image/MCY/21035839 ")</f>
        <v xml:space="preserve">http://slimages.macys.com/is/image/MCY/21035839 </v>
      </c>
    </row>
    <row r="244" spans="1:14" ht="24.75" x14ac:dyDescent="0.25">
      <c r="A244" s="21" t="s">
        <v>7610</v>
      </c>
      <c r="B244" s="22" t="s">
        <v>7611</v>
      </c>
      <c r="C244" s="2">
        <v>1</v>
      </c>
      <c r="D244" s="23">
        <v>35</v>
      </c>
      <c r="E244" s="3">
        <v>35</v>
      </c>
      <c r="F244" s="2" t="s">
        <v>7612</v>
      </c>
      <c r="G244" s="22"/>
      <c r="H244" s="24" t="s">
        <v>19538</v>
      </c>
      <c r="I244" s="22" t="s">
        <v>19309</v>
      </c>
      <c r="J244" s="22" t="s">
        <v>19417</v>
      </c>
      <c r="K244" s="22" t="s">
        <v>7613</v>
      </c>
      <c r="L244" s="22"/>
      <c r="M244" s="22"/>
      <c r="N244" s="25" t="str">
        <f>HYPERLINK("http://slimages.macys.com/is/image/MCY/18304897 ")</f>
        <v xml:space="preserve">http://slimages.macys.com/is/image/MCY/18304897 </v>
      </c>
    </row>
    <row r="245" spans="1:14" ht="24.75" x14ac:dyDescent="0.25">
      <c r="A245" s="21" t="s">
        <v>7614</v>
      </c>
      <c r="B245" s="22" t="s">
        <v>7615</v>
      </c>
      <c r="C245" s="2">
        <v>1</v>
      </c>
      <c r="D245" s="23">
        <v>14.99</v>
      </c>
      <c r="E245" s="3">
        <v>14.99</v>
      </c>
      <c r="F245" s="2" t="s">
        <v>7616</v>
      </c>
      <c r="G245" s="22" t="s">
        <v>17567</v>
      </c>
      <c r="H245" s="24" t="s">
        <v>20109</v>
      </c>
      <c r="I245" s="22" t="s">
        <v>19309</v>
      </c>
      <c r="J245" s="22" t="s">
        <v>19417</v>
      </c>
      <c r="K245" s="22" t="s">
        <v>17976</v>
      </c>
      <c r="L245" s="22"/>
      <c r="M245" s="22"/>
      <c r="N245" s="25" t="str">
        <f>HYPERLINK("http://slimages.macys.com/is/image/MCY/21655548 ")</f>
        <v xml:space="preserve">http://slimages.macys.com/is/image/MCY/21655548 </v>
      </c>
    </row>
    <row r="246" spans="1:14" x14ac:dyDescent="0.25">
      <c r="A246" s="21" t="s">
        <v>20278</v>
      </c>
      <c r="B246" s="22" t="s">
        <v>20279</v>
      </c>
      <c r="C246" s="2">
        <v>1</v>
      </c>
      <c r="D246" s="23">
        <v>13.99</v>
      </c>
      <c r="E246" s="3">
        <v>13.99</v>
      </c>
      <c r="F246" s="2" t="s">
        <v>20280</v>
      </c>
      <c r="G246" s="22" t="s">
        <v>19404</v>
      </c>
      <c r="H246" s="24" t="s">
        <v>19542</v>
      </c>
      <c r="I246" s="22" t="s">
        <v>19309</v>
      </c>
      <c r="J246" s="22" t="s">
        <v>19310</v>
      </c>
      <c r="K246" s="22" t="s">
        <v>19433</v>
      </c>
      <c r="L246" s="22"/>
      <c r="M246" s="22"/>
      <c r="N246" s="25" t="str">
        <f>HYPERLINK("http://slimages.macys.com/is/image/MCY/21964852 ")</f>
        <v xml:space="preserve">http://slimages.macys.com/is/image/MCY/21964852 </v>
      </c>
    </row>
    <row r="247" spans="1:14" x14ac:dyDescent="0.25">
      <c r="A247" s="21" t="s">
        <v>20283</v>
      </c>
      <c r="B247" s="22" t="s">
        <v>20284</v>
      </c>
      <c r="C247" s="2">
        <v>1</v>
      </c>
      <c r="D247" s="23">
        <v>13.99</v>
      </c>
      <c r="E247" s="3">
        <v>13.99</v>
      </c>
      <c r="F247" s="2" t="s">
        <v>20285</v>
      </c>
      <c r="G247" s="22" t="s">
        <v>19307</v>
      </c>
      <c r="H247" s="24" t="s">
        <v>19395</v>
      </c>
      <c r="I247" s="22" t="s">
        <v>19309</v>
      </c>
      <c r="J247" s="22" t="s">
        <v>19310</v>
      </c>
      <c r="K247" s="22" t="s">
        <v>19433</v>
      </c>
      <c r="L247" s="22"/>
      <c r="M247" s="22"/>
      <c r="N247" s="25" t="str">
        <f>HYPERLINK("http://slimages.macys.com/is/image/MCY/22214406 ")</f>
        <v xml:space="preserve">http://slimages.macys.com/is/image/MCY/22214406 </v>
      </c>
    </row>
    <row r="248" spans="1:14" x14ac:dyDescent="0.25">
      <c r="A248" s="21" t="s">
        <v>7617</v>
      </c>
      <c r="B248" s="22" t="s">
        <v>7618</v>
      </c>
      <c r="C248" s="2">
        <v>1</v>
      </c>
      <c r="D248" s="23">
        <v>13.99</v>
      </c>
      <c r="E248" s="3">
        <v>13.99</v>
      </c>
      <c r="F248" s="2" t="s">
        <v>7619</v>
      </c>
      <c r="G248" s="22" t="s">
        <v>19351</v>
      </c>
      <c r="H248" s="24" t="s">
        <v>19395</v>
      </c>
      <c r="I248" s="22" t="s">
        <v>19309</v>
      </c>
      <c r="J248" s="22" t="s">
        <v>19310</v>
      </c>
      <c r="K248" s="22" t="s">
        <v>19433</v>
      </c>
      <c r="L248" s="22"/>
      <c r="M248" s="22"/>
      <c r="N248" s="25" t="str">
        <f>HYPERLINK("http://slimages.macys.com/is/image/MCY/20988722 ")</f>
        <v xml:space="preserve">http://slimages.macys.com/is/image/MCY/20988722 </v>
      </c>
    </row>
    <row r="249" spans="1:14" ht="24.75" x14ac:dyDescent="0.25">
      <c r="A249" s="21" t="s">
        <v>13174</v>
      </c>
      <c r="B249" s="22" t="s">
        <v>13175</v>
      </c>
      <c r="C249" s="2">
        <v>1</v>
      </c>
      <c r="D249" s="23">
        <v>11.99</v>
      </c>
      <c r="E249" s="3">
        <v>11.99</v>
      </c>
      <c r="F249" s="2">
        <v>100007433</v>
      </c>
      <c r="G249" s="22" t="s">
        <v>19338</v>
      </c>
      <c r="H249" s="24" t="s">
        <v>19538</v>
      </c>
      <c r="I249" s="22" t="s">
        <v>19309</v>
      </c>
      <c r="J249" s="22" t="s">
        <v>19573</v>
      </c>
      <c r="K249" s="22" t="s">
        <v>20256</v>
      </c>
      <c r="L249" s="22" t="s">
        <v>19319</v>
      </c>
      <c r="M249" s="22" t="s">
        <v>20257</v>
      </c>
      <c r="N249" s="25" t="str">
        <f>HYPERLINK("http://slimages.macys.com/is/image/MCY/9157891 ")</f>
        <v xml:space="preserve">http://slimages.macys.com/is/image/MCY/9157891 </v>
      </c>
    </row>
    <row r="250" spans="1:14" ht="24.75" x14ac:dyDescent="0.25">
      <c r="A250" s="21" t="s">
        <v>7620</v>
      </c>
      <c r="B250" s="22" t="s">
        <v>7621</v>
      </c>
      <c r="C250" s="2">
        <v>1</v>
      </c>
      <c r="D250" s="23">
        <v>11.99</v>
      </c>
      <c r="E250" s="3">
        <v>11.99</v>
      </c>
      <c r="F250" s="2" t="s">
        <v>20291</v>
      </c>
      <c r="G250" s="22" t="s">
        <v>19357</v>
      </c>
      <c r="H250" s="24" t="s">
        <v>19384</v>
      </c>
      <c r="I250" s="22" t="s">
        <v>19309</v>
      </c>
      <c r="J250" s="22" t="s">
        <v>19573</v>
      </c>
      <c r="K250" s="22" t="s">
        <v>20256</v>
      </c>
      <c r="L250" s="22" t="s">
        <v>19319</v>
      </c>
      <c r="M250" s="22" t="s">
        <v>19358</v>
      </c>
      <c r="N250" s="25" t="str">
        <f>HYPERLINK("http://slimages.macys.com/is/image/MCY/8018016 ")</f>
        <v xml:space="preserve">http://slimages.macys.com/is/image/MCY/8018016 </v>
      </c>
    </row>
    <row r="251" spans="1:14" x14ac:dyDescent="0.25">
      <c r="A251" s="21" t="s">
        <v>11718</v>
      </c>
      <c r="B251" s="22" t="s">
        <v>11719</v>
      </c>
      <c r="C251" s="2">
        <v>1</v>
      </c>
      <c r="D251" s="23">
        <v>15.94</v>
      </c>
      <c r="E251" s="3">
        <v>15.94</v>
      </c>
      <c r="F251" s="2" t="s">
        <v>11720</v>
      </c>
      <c r="G251" s="22" t="s">
        <v>19351</v>
      </c>
      <c r="H251" s="24" t="s">
        <v>19416</v>
      </c>
      <c r="I251" s="22" t="s">
        <v>19309</v>
      </c>
      <c r="J251" s="22" t="s">
        <v>19708</v>
      </c>
      <c r="K251" s="22" t="s">
        <v>19709</v>
      </c>
      <c r="L251" s="22"/>
      <c r="M251" s="22"/>
      <c r="N251" s="25" t="str">
        <f>HYPERLINK("http://slimages.macys.com/is/image/MCY/22296907 ")</f>
        <v xml:space="preserve">http://slimages.macys.com/is/image/MCY/22296907 </v>
      </c>
    </row>
    <row r="252" spans="1:14" x14ac:dyDescent="0.25">
      <c r="A252" s="21" t="s">
        <v>7622</v>
      </c>
      <c r="B252" s="22" t="s">
        <v>7623</v>
      </c>
      <c r="C252" s="2">
        <v>1</v>
      </c>
      <c r="D252" s="23">
        <v>15.93</v>
      </c>
      <c r="E252" s="3">
        <v>15.93</v>
      </c>
      <c r="F252" s="2" t="s">
        <v>7624</v>
      </c>
      <c r="G252" s="22" t="s">
        <v>19338</v>
      </c>
      <c r="H252" s="24" t="s">
        <v>19330</v>
      </c>
      <c r="I252" s="22" t="s">
        <v>19309</v>
      </c>
      <c r="J252" s="22" t="s">
        <v>19708</v>
      </c>
      <c r="K252" s="22" t="s">
        <v>19709</v>
      </c>
      <c r="L252" s="22"/>
      <c r="M252" s="22"/>
      <c r="N252" s="25" t="str">
        <f>HYPERLINK("http://slimages.macys.com/is/image/MCY/21409652 ")</f>
        <v xml:space="preserve">http://slimages.macys.com/is/image/MCY/21409652 </v>
      </c>
    </row>
    <row r="253" spans="1:14" x14ac:dyDescent="0.25">
      <c r="A253" s="21" t="s">
        <v>7625</v>
      </c>
      <c r="B253" s="22" t="s">
        <v>7626</v>
      </c>
      <c r="C253" s="2">
        <v>1</v>
      </c>
      <c r="D253" s="23">
        <v>15.99</v>
      </c>
      <c r="E253" s="3">
        <v>15.99</v>
      </c>
      <c r="F253" s="2" t="s">
        <v>7627</v>
      </c>
      <c r="G253" s="22" t="s">
        <v>19431</v>
      </c>
      <c r="H253" s="24" t="s">
        <v>19352</v>
      </c>
      <c r="I253" s="22" t="s">
        <v>19309</v>
      </c>
      <c r="J253" s="22" t="s">
        <v>19849</v>
      </c>
      <c r="K253" s="22" t="s">
        <v>19850</v>
      </c>
      <c r="L253" s="22"/>
      <c r="M253" s="22"/>
      <c r="N253" s="25" t="str">
        <f>HYPERLINK("http://slimages.macys.com/is/image/MCY/20548986 ")</f>
        <v xml:space="preserve">http://slimages.macys.com/is/image/MCY/20548986 </v>
      </c>
    </row>
    <row r="254" spans="1:14" ht="24.75" x14ac:dyDescent="0.25">
      <c r="A254" s="21" t="s">
        <v>7628</v>
      </c>
      <c r="B254" s="22" t="s">
        <v>7629</v>
      </c>
      <c r="C254" s="2">
        <v>1</v>
      </c>
      <c r="D254" s="23">
        <v>10.99</v>
      </c>
      <c r="E254" s="3">
        <v>10.99</v>
      </c>
      <c r="F254" s="2" t="s">
        <v>7630</v>
      </c>
      <c r="G254" s="22" t="s">
        <v>19323</v>
      </c>
      <c r="H254" s="24" t="s">
        <v>19364</v>
      </c>
      <c r="I254" s="22" t="s">
        <v>19309</v>
      </c>
      <c r="J254" s="22" t="s">
        <v>19447</v>
      </c>
      <c r="K254" s="22" t="s">
        <v>19873</v>
      </c>
      <c r="L254" s="22"/>
      <c r="M254" s="22"/>
      <c r="N254" s="25" t="str">
        <f>HYPERLINK("http://slimages.macys.com/is/image/MCY/21020439 ")</f>
        <v xml:space="preserve">http://slimages.macys.com/is/image/MCY/21020439 </v>
      </c>
    </row>
    <row r="255" spans="1:14" ht="24.75" x14ac:dyDescent="0.25">
      <c r="A255" s="21" t="s">
        <v>20312</v>
      </c>
      <c r="B255" s="22" t="s">
        <v>19916</v>
      </c>
      <c r="C255" s="2">
        <v>2</v>
      </c>
      <c r="D255" s="23">
        <v>16.989999999999998</v>
      </c>
      <c r="E255" s="3">
        <v>33.979999999999997</v>
      </c>
      <c r="F255" s="2" t="s">
        <v>20311</v>
      </c>
      <c r="G255" s="22" t="s">
        <v>19713</v>
      </c>
      <c r="H255" s="24"/>
      <c r="I255" s="22" t="s">
        <v>19309</v>
      </c>
      <c r="J255" s="22" t="s">
        <v>19573</v>
      </c>
      <c r="K255" s="22" t="s">
        <v>19574</v>
      </c>
      <c r="L255" s="22"/>
      <c r="M255" s="22"/>
      <c r="N255" s="25" t="str">
        <f>HYPERLINK("http://slimages.macys.com/is/image/MCY/1597998 ")</f>
        <v xml:space="preserve">http://slimages.macys.com/is/image/MCY/1597998 </v>
      </c>
    </row>
    <row r="256" spans="1:14" ht="24.75" x14ac:dyDescent="0.25">
      <c r="A256" s="21" t="s">
        <v>18275</v>
      </c>
      <c r="B256" s="22" t="s">
        <v>19926</v>
      </c>
      <c r="C256" s="2">
        <v>1</v>
      </c>
      <c r="D256" s="23">
        <v>16.989999999999998</v>
      </c>
      <c r="E256" s="3">
        <v>16.989999999999998</v>
      </c>
      <c r="F256" s="2" t="s">
        <v>20311</v>
      </c>
      <c r="G256" s="22" t="s">
        <v>19713</v>
      </c>
      <c r="H256" s="24" t="s">
        <v>19538</v>
      </c>
      <c r="I256" s="22" t="s">
        <v>19309</v>
      </c>
      <c r="J256" s="22" t="s">
        <v>19573</v>
      </c>
      <c r="K256" s="22" t="s">
        <v>19574</v>
      </c>
      <c r="L256" s="22"/>
      <c r="M256" s="22"/>
      <c r="N256" s="25" t="str">
        <f>HYPERLINK("http://slimages.macys.com/is/image/MCY/1597998 ")</f>
        <v xml:space="preserve">http://slimages.macys.com/is/image/MCY/1597998 </v>
      </c>
    </row>
    <row r="257" spans="1:14" ht="24.75" x14ac:dyDescent="0.25">
      <c r="A257" s="21" t="s">
        <v>20313</v>
      </c>
      <c r="B257" s="22" t="s">
        <v>19913</v>
      </c>
      <c r="C257" s="2">
        <v>1</v>
      </c>
      <c r="D257" s="23">
        <v>16.989999999999998</v>
      </c>
      <c r="E257" s="3">
        <v>16.989999999999998</v>
      </c>
      <c r="F257" s="2" t="s">
        <v>20311</v>
      </c>
      <c r="G257" s="22" t="s">
        <v>19713</v>
      </c>
      <c r="H257" s="24" t="s">
        <v>19384</v>
      </c>
      <c r="I257" s="22" t="s">
        <v>19309</v>
      </c>
      <c r="J257" s="22" t="s">
        <v>19573</v>
      </c>
      <c r="K257" s="22" t="s">
        <v>19574</v>
      </c>
      <c r="L257" s="22"/>
      <c r="M257" s="22"/>
      <c r="N257" s="25" t="str">
        <f>HYPERLINK("http://slimages.macys.com/is/image/MCY/1597998 ")</f>
        <v xml:space="preserve">http://slimages.macys.com/is/image/MCY/1597998 </v>
      </c>
    </row>
    <row r="258" spans="1:14" ht="24.75" x14ac:dyDescent="0.25">
      <c r="A258" s="21" t="s">
        <v>10613</v>
      </c>
      <c r="B258" s="22" t="s">
        <v>10614</v>
      </c>
      <c r="C258" s="2">
        <v>1</v>
      </c>
      <c r="D258" s="23">
        <v>14.99</v>
      </c>
      <c r="E258" s="3">
        <v>14.99</v>
      </c>
      <c r="F258" s="2" t="s">
        <v>11727</v>
      </c>
      <c r="G258" s="22" t="s">
        <v>19315</v>
      </c>
      <c r="H258" s="24" t="s">
        <v>19361</v>
      </c>
      <c r="I258" s="22" t="s">
        <v>19309</v>
      </c>
      <c r="J258" s="22" t="s">
        <v>19815</v>
      </c>
      <c r="K258" s="22" t="s">
        <v>19816</v>
      </c>
      <c r="L258" s="22"/>
      <c r="M258" s="22"/>
      <c r="N258" s="25" t="str">
        <f>HYPERLINK("http://slimages.macys.com/is/image/MCY/1107146 ")</f>
        <v xml:space="preserve">http://slimages.macys.com/is/image/MCY/1107146 </v>
      </c>
    </row>
    <row r="259" spans="1:14" ht="24.75" x14ac:dyDescent="0.25">
      <c r="A259" s="21" t="s">
        <v>20309</v>
      </c>
      <c r="B259" s="22" t="s">
        <v>20310</v>
      </c>
      <c r="C259" s="2">
        <v>1</v>
      </c>
      <c r="D259" s="23">
        <v>16.989999999999998</v>
      </c>
      <c r="E259" s="3">
        <v>16.989999999999998</v>
      </c>
      <c r="F259" s="2" t="s">
        <v>20311</v>
      </c>
      <c r="G259" s="22" t="s">
        <v>19713</v>
      </c>
      <c r="H259" s="24" t="s">
        <v>19330</v>
      </c>
      <c r="I259" s="22" t="s">
        <v>19309</v>
      </c>
      <c r="J259" s="22" t="s">
        <v>19573</v>
      </c>
      <c r="K259" s="22" t="s">
        <v>19574</v>
      </c>
      <c r="L259" s="22"/>
      <c r="M259" s="22"/>
      <c r="N259" s="25" t="str">
        <f>HYPERLINK("http://slimages.macys.com/is/image/MCY/1597998 ")</f>
        <v xml:space="preserve">http://slimages.macys.com/is/image/MCY/1597998 </v>
      </c>
    </row>
    <row r="260" spans="1:14" ht="24.75" x14ac:dyDescent="0.25">
      <c r="A260" s="21" t="s">
        <v>7631</v>
      </c>
      <c r="B260" s="22" t="s">
        <v>7632</v>
      </c>
      <c r="C260" s="2">
        <v>1</v>
      </c>
      <c r="D260" s="23">
        <v>14.99</v>
      </c>
      <c r="E260" s="3">
        <v>14.99</v>
      </c>
      <c r="F260" s="2">
        <v>4489</v>
      </c>
      <c r="G260" s="22"/>
      <c r="H260" s="24" t="s">
        <v>19352</v>
      </c>
      <c r="I260" s="22" t="s">
        <v>19309</v>
      </c>
      <c r="J260" s="22" t="s">
        <v>20076</v>
      </c>
      <c r="K260" s="22" t="s">
        <v>20077</v>
      </c>
      <c r="L260" s="22"/>
      <c r="M260" s="22"/>
      <c r="N260" s="25" t="str">
        <f>HYPERLINK("http://slimages.macys.com/is/image/MCY/19348139 ")</f>
        <v xml:space="preserve">http://slimages.macys.com/is/image/MCY/19348139 </v>
      </c>
    </row>
    <row r="261" spans="1:14" ht="24.75" x14ac:dyDescent="0.25">
      <c r="A261" s="21" t="s">
        <v>7633</v>
      </c>
      <c r="B261" s="22" t="s">
        <v>7634</v>
      </c>
      <c r="C261" s="2">
        <v>2</v>
      </c>
      <c r="D261" s="23">
        <v>15.99</v>
      </c>
      <c r="E261" s="3">
        <v>31.98</v>
      </c>
      <c r="F261" s="2" t="s">
        <v>20323</v>
      </c>
      <c r="G261" s="22" t="s">
        <v>19415</v>
      </c>
      <c r="H261" s="24" t="s">
        <v>19538</v>
      </c>
      <c r="I261" s="22" t="s">
        <v>19309</v>
      </c>
      <c r="J261" s="22" t="s">
        <v>19573</v>
      </c>
      <c r="K261" s="22" t="s">
        <v>19574</v>
      </c>
      <c r="L261" s="22"/>
      <c r="M261" s="22"/>
      <c r="N261" s="25" t="str">
        <f>HYPERLINK("http://slimages.macys.com/is/image/MCY/20757473 ")</f>
        <v xml:space="preserve">http://slimages.macys.com/is/image/MCY/20757473 </v>
      </c>
    </row>
    <row r="262" spans="1:14" ht="24.75" x14ac:dyDescent="0.25">
      <c r="A262" s="21" t="s">
        <v>7635</v>
      </c>
      <c r="B262" s="22" t="s">
        <v>7636</v>
      </c>
      <c r="C262" s="2">
        <v>1</v>
      </c>
      <c r="D262" s="23">
        <v>15.99</v>
      </c>
      <c r="E262" s="3">
        <v>15.99</v>
      </c>
      <c r="F262" s="2" t="s">
        <v>20323</v>
      </c>
      <c r="G262" s="22" t="s">
        <v>19415</v>
      </c>
      <c r="H262" s="24" t="s">
        <v>19324</v>
      </c>
      <c r="I262" s="22" t="s">
        <v>19309</v>
      </c>
      <c r="J262" s="22" t="s">
        <v>19573</v>
      </c>
      <c r="K262" s="22" t="s">
        <v>19574</v>
      </c>
      <c r="L262" s="22"/>
      <c r="M262" s="22"/>
      <c r="N262" s="25" t="str">
        <f>HYPERLINK("http://slimages.macys.com/is/image/MCY/20757473 ")</f>
        <v xml:space="preserve">http://slimages.macys.com/is/image/MCY/20757473 </v>
      </c>
    </row>
    <row r="263" spans="1:14" ht="24.75" x14ac:dyDescent="0.25">
      <c r="A263" s="21" t="s">
        <v>13776</v>
      </c>
      <c r="B263" s="22" t="s">
        <v>13777</v>
      </c>
      <c r="C263" s="2">
        <v>1</v>
      </c>
      <c r="D263" s="23">
        <v>9.99</v>
      </c>
      <c r="E263" s="3">
        <v>9.99</v>
      </c>
      <c r="F263" s="2" t="s">
        <v>18298</v>
      </c>
      <c r="G263" s="22" t="s">
        <v>19906</v>
      </c>
      <c r="H263" s="24" t="s">
        <v>19352</v>
      </c>
      <c r="I263" s="22" t="s">
        <v>19309</v>
      </c>
      <c r="J263" s="22" t="s">
        <v>19353</v>
      </c>
      <c r="K263" s="22" t="s">
        <v>19524</v>
      </c>
      <c r="L263" s="22"/>
      <c r="M263" s="22"/>
      <c r="N263" s="25" t="str">
        <f>HYPERLINK("http://slimages.macys.com/is/image/MCY/1667860 ")</f>
        <v xml:space="preserve">http://slimages.macys.com/is/image/MCY/1667860 </v>
      </c>
    </row>
    <row r="264" spans="1:14" x14ac:dyDescent="0.25">
      <c r="A264" s="21" t="s">
        <v>7637</v>
      </c>
      <c r="B264" s="22" t="s">
        <v>7638</v>
      </c>
      <c r="C264" s="2">
        <v>1</v>
      </c>
      <c r="D264" s="23">
        <v>15.13</v>
      </c>
      <c r="E264" s="3">
        <v>15.13</v>
      </c>
      <c r="F264" s="2" t="s">
        <v>18360</v>
      </c>
      <c r="G264" s="22" t="s">
        <v>18361</v>
      </c>
      <c r="H264" s="24" t="s">
        <v>19770</v>
      </c>
      <c r="I264" s="22" t="s">
        <v>19309</v>
      </c>
      <c r="J264" s="22" t="s">
        <v>19708</v>
      </c>
      <c r="K264" s="22" t="s">
        <v>19709</v>
      </c>
      <c r="L264" s="22"/>
      <c r="M264" s="22"/>
      <c r="N264" s="25" t="str">
        <f>HYPERLINK("http://slimages.macys.com/is/image/MCY/21758813 ")</f>
        <v xml:space="preserve">http://slimages.macys.com/is/image/MCY/21758813 </v>
      </c>
    </row>
    <row r="265" spans="1:14" x14ac:dyDescent="0.25">
      <c r="A265" s="21" t="s">
        <v>7639</v>
      </c>
      <c r="B265" s="22" t="s">
        <v>7640</v>
      </c>
      <c r="C265" s="2">
        <v>1</v>
      </c>
      <c r="D265" s="23">
        <v>15.13</v>
      </c>
      <c r="E265" s="3">
        <v>15.13</v>
      </c>
      <c r="F265" s="2" t="s">
        <v>12206</v>
      </c>
      <c r="G265" s="22" t="s">
        <v>19351</v>
      </c>
      <c r="H265" s="24" t="s">
        <v>20152</v>
      </c>
      <c r="I265" s="22" t="s">
        <v>19309</v>
      </c>
      <c r="J265" s="22" t="s">
        <v>19708</v>
      </c>
      <c r="K265" s="22" t="s">
        <v>19709</v>
      </c>
      <c r="L265" s="22"/>
      <c r="M265" s="22"/>
      <c r="N265" s="25" t="str">
        <f>HYPERLINK("http://slimages.macys.com/is/image/MCY/21751709 ")</f>
        <v xml:space="preserve">http://slimages.macys.com/is/image/MCY/21751709 </v>
      </c>
    </row>
    <row r="266" spans="1:14" ht="24.75" x14ac:dyDescent="0.25">
      <c r="A266" s="21" t="s">
        <v>9562</v>
      </c>
      <c r="B266" s="22" t="s">
        <v>9563</v>
      </c>
      <c r="C266" s="2">
        <v>1</v>
      </c>
      <c r="D266" s="23">
        <v>14.99</v>
      </c>
      <c r="E266" s="3">
        <v>14.99</v>
      </c>
      <c r="F266" s="2" t="s">
        <v>18364</v>
      </c>
      <c r="G266" s="22" t="s">
        <v>19431</v>
      </c>
      <c r="H266" s="24" t="s">
        <v>19538</v>
      </c>
      <c r="I266" s="22" t="s">
        <v>19309</v>
      </c>
      <c r="J266" s="22" t="s">
        <v>19573</v>
      </c>
      <c r="K266" s="22" t="s">
        <v>19574</v>
      </c>
      <c r="L266" s="22"/>
      <c r="M266" s="22"/>
      <c r="N266" s="25" t="str">
        <f>HYPERLINK("http://slimages.macys.com/is/image/MCY/2062457 ")</f>
        <v xml:space="preserve">http://slimages.macys.com/is/image/MCY/2062457 </v>
      </c>
    </row>
    <row r="267" spans="1:14" x14ac:dyDescent="0.25">
      <c r="A267" s="21" t="s">
        <v>7641</v>
      </c>
      <c r="B267" s="22" t="s">
        <v>7642</v>
      </c>
      <c r="C267" s="2">
        <v>1</v>
      </c>
      <c r="D267" s="23">
        <v>15.13</v>
      </c>
      <c r="E267" s="3">
        <v>15.13</v>
      </c>
      <c r="F267" s="2" t="s">
        <v>18360</v>
      </c>
      <c r="G267" s="22" t="s">
        <v>18361</v>
      </c>
      <c r="H267" s="24" t="s">
        <v>19416</v>
      </c>
      <c r="I267" s="22" t="s">
        <v>19309</v>
      </c>
      <c r="J267" s="22" t="s">
        <v>19708</v>
      </c>
      <c r="K267" s="22" t="s">
        <v>19709</v>
      </c>
      <c r="L267" s="22"/>
      <c r="M267" s="22"/>
      <c r="N267" s="25" t="str">
        <f>HYPERLINK("http://slimages.macys.com/is/image/MCY/21758813 ")</f>
        <v xml:space="preserve">http://slimages.macys.com/is/image/MCY/21758813 </v>
      </c>
    </row>
    <row r="268" spans="1:14" x14ac:dyDescent="0.25">
      <c r="A268" s="21" t="s">
        <v>7643</v>
      </c>
      <c r="B268" s="22" t="s">
        <v>7644</v>
      </c>
      <c r="C268" s="2">
        <v>1</v>
      </c>
      <c r="D268" s="23">
        <v>15.13</v>
      </c>
      <c r="E268" s="3">
        <v>15.13</v>
      </c>
      <c r="F268" s="2" t="s">
        <v>12206</v>
      </c>
      <c r="G268" s="22" t="s">
        <v>19351</v>
      </c>
      <c r="H268" s="24" t="s">
        <v>19367</v>
      </c>
      <c r="I268" s="22" t="s">
        <v>19309</v>
      </c>
      <c r="J268" s="22" t="s">
        <v>19708</v>
      </c>
      <c r="K268" s="22" t="s">
        <v>19709</v>
      </c>
      <c r="L268" s="22"/>
      <c r="M268" s="22"/>
      <c r="N268" s="25" t="str">
        <f>HYPERLINK("http://slimages.macys.com/is/image/MCY/21751709 ")</f>
        <v xml:space="preserve">http://slimages.macys.com/is/image/MCY/21751709 </v>
      </c>
    </row>
    <row r="269" spans="1:14" x14ac:dyDescent="0.25">
      <c r="A269" s="21" t="s">
        <v>7645</v>
      </c>
      <c r="B269" s="22" t="s">
        <v>7646</v>
      </c>
      <c r="C269" s="2">
        <v>1</v>
      </c>
      <c r="D269" s="23">
        <v>15.13</v>
      </c>
      <c r="E269" s="3">
        <v>15.13</v>
      </c>
      <c r="F269" s="2" t="s">
        <v>12206</v>
      </c>
      <c r="G269" s="22" t="s">
        <v>19351</v>
      </c>
      <c r="H269" s="24" t="s">
        <v>19330</v>
      </c>
      <c r="I269" s="22" t="s">
        <v>19309</v>
      </c>
      <c r="J269" s="22" t="s">
        <v>19708</v>
      </c>
      <c r="K269" s="22" t="s">
        <v>19709</v>
      </c>
      <c r="L269" s="22"/>
      <c r="M269" s="22"/>
      <c r="N269" s="25" t="str">
        <f>HYPERLINK("http://slimages.macys.com/is/image/MCY/21751709 ")</f>
        <v xml:space="preserve">http://slimages.macys.com/is/image/MCY/21751709 </v>
      </c>
    </row>
    <row r="270" spans="1:14" ht="24.75" x14ac:dyDescent="0.25">
      <c r="A270" s="21" t="s">
        <v>18379</v>
      </c>
      <c r="B270" s="22" t="s">
        <v>18380</v>
      </c>
      <c r="C270" s="2">
        <v>1</v>
      </c>
      <c r="D270" s="23">
        <v>21.99</v>
      </c>
      <c r="E270" s="3">
        <v>21.99</v>
      </c>
      <c r="F270" s="2" t="s">
        <v>18381</v>
      </c>
      <c r="G270" s="22" t="s">
        <v>19674</v>
      </c>
      <c r="H270" s="24" t="s">
        <v>19339</v>
      </c>
      <c r="I270" s="22" t="s">
        <v>19309</v>
      </c>
      <c r="J270" s="22" t="s">
        <v>19849</v>
      </c>
      <c r="K270" s="22" t="s">
        <v>19850</v>
      </c>
      <c r="L270" s="22"/>
      <c r="M270" s="22"/>
      <c r="N270" s="25" t="str">
        <f>HYPERLINK("http://slimages.macys.com/is/image/MCY/1521091 ")</f>
        <v xml:space="preserve">http://slimages.macys.com/is/image/MCY/1521091 </v>
      </c>
    </row>
    <row r="271" spans="1:14" x14ac:dyDescent="0.25">
      <c r="A271" s="21" t="s">
        <v>7647</v>
      </c>
      <c r="B271" s="22" t="s">
        <v>7648</v>
      </c>
      <c r="C271" s="2">
        <v>1</v>
      </c>
      <c r="D271" s="23">
        <v>32</v>
      </c>
      <c r="E271" s="3">
        <v>32</v>
      </c>
      <c r="F271" s="2" t="s">
        <v>7649</v>
      </c>
      <c r="G271" s="22"/>
      <c r="H271" s="24" t="s">
        <v>19384</v>
      </c>
      <c r="I271" s="22" t="s">
        <v>19309</v>
      </c>
      <c r="J271" s="22" t="s">
        <v>19417</v>
      </c>
      <c r="K271" s="22" t="s">
        <v>18317</v>
      </c>
      <c r="L271" s="22"/>
      <c r="M271" s="22"/>
      <c r="N271" s="25" t="str">
        <f>HYPERLINK("http://slimages.macys.com/is/image/MCY/18893505 ")</f>
        <v xml:space="preserve">http://slimages.macys.com/is/image/MCY/18893505 </v>
      </c>
    </row>
    <row r="272" spans="1:14" ht="24.75" x14ac:dyDescent="0.25">
      <c r="A272" s="21" t="s">
        <v>7650</v>
      </c>
      <c r="B272" s="22" t="s">
        <v>7651</v>
      </c>
      <c r="C272" s="2">
        <v>1</v>
      </c>
      <c r="D272" s="23">
        <v>11.79</v>
      </c>
      <c r="E272" s="3">
        <v>11.79</v>
      </c>
      <c r="F272" s="2" t="s">
        <v>7652</v>
      </c>
      <c r="G272" s="22"/>
      <c r="H272" s="24" t="s">
        <v>19330</v>
      </c>
      <c r="I272" s="22" t="s">
        <v>19309</v>
      </c>
      <c r="J272" s="22" t="s">
        <v>19708</v>
      </c>
      <c r="K272" s="22" t="s">
        <v>19709</v>
      </c>
      <c r="L272" s="22"/>
      <c r="M272" s="22"/>
      <c r="N272" s="25" t="str">
        <f>HYPERLINK("http://slimages.macys.com/is/image/MCY/19066765 ")</f>
        <v xml:space="preserve">http://slimages.macys.com/is/image/MCY/19066765 </v>
      </c>
    </row>
    <row r="273" spans="1:14" x14ac:dyDescent="0.25">
      <c r="A273" s="21" t="s">
        <v>7653</v>
      </c>
      <c r="B273" s="22" t="s">
        <v>7654</v>
      </c>
      <c r="C273" s="2">
        <v>1</v>
      </c>
      <c r="D273" s="23">
        <v>11.79</v>
      </c>
      <c r="E273" s="3">
        <v>11.79</v>
      </c>
      <c r="F273" s="2" t="s">
        <v>18326</v>
      </c>
      <c r="G273" s="22"/>
      <c r="H273" s="24" t="s">
        <v>19367</v>
      </c>
      <c r="I273" s="22" t="s">
        <v>19309</v>
      </c>
      <c r="J273" s="22" t="s">
        <v>19708</v>
      </c>
      <c r="K273" s="22" t="s">
        <v>19709</v>
      </c>
      <c r="L273" s="22"/>
      <c r="M273" s="22"/>
      <c r="N273" s="25" t="str">
        <f>HYPERLINK("http://slimages.macys.com/is/image/MCY/19066797 ")</f>
        <v xml:space="preserve">http://slimages.macys.com/is/image/MCY/19066797 </v>
      </c>
    </row>
    <row r="274" spans="1:14" ht="24.75" x14ac:dyDescent="0.25">
      <c r="A274" s="21" t="s">
        <v>7655</v>
      </c>
      <c r="B274" s="22" t="s">
        <v>7656</v>
      </c>
      <c r="C274" s="2">
        <v>1</v>
      </c>
      <c r="D274" s="23">
        <v>13.12</v>
      </c>
      <c r="E274" s="3">
        <v>13.12</v>
      </c>
      <c r="F274" s="2" t="s">
        <v>18399</v>
      </c>
      <c r="G274" s="22" t="s">
        <v>19431</v>
      </c>
      <c r="H274" s="24" t="s">
        <v>19334</v>
      </c>
      <c r="I274" s="22" t="s">
        <v>19309</v>
      </c>
      <c r="J274" s="22" t="s">
        <v>19602</v>
      </c>
      <c r="K274" s="22" t="s">
        <v>20041</v>
      </c>
      <c r="L274" s="22"/>
      <c r="M274" s="22"/>
      <c r="N274" s="25" t="str">
        <f>HYPERLINK("http://slimages.macys.com/is/image/MCY/21728927 ")</f>
        <v xml:space="preserve">http://slimages.macys.com/is/image/MCY/21728927 </v>
      </c>
    </row>
    <row r="275" spans="1:14" x14ac:dyDescent="0.25">
      <c r="A275" s="21" t="s">
        <v>7657</v>
      </c>
      <c r="B275" s="22" t="s">
        <v>7658</v>
      </c>
      <c r="C275" s="2">
        <v>1</v>
      </c>
      <c r="D275" s="23">
        <v>11.79</v>
      </c>
      <c r="E275" s="3">
        <v>11.79</v>
      </c>
      <c r="F275" s="2" t="s">
        <v>18326</v>
      </c>
      <c r="G275" s="22"/>
      <c r="H275" s="24" t="s">
        <v>20152</v>
      </c>
      <c r="I275" s="22" t="s">
        <v>19309</v>
      </c>
      <c r="J275" s="22" t="s">
        <v>19708</v>
      </c>
      <c r="K275" s="22" t="s">
        <v>19709</v>
      </c>
      <c r="L275" s="22"/>
      <c r="M275" s="22"/>
      <c r="N275" s="25" t="str">
        <f>HYPERLINK("http://slimages.macys.com/is/image/MCY/19066797 ")</f>
        <v xml:space="preserve">http://slimages.macys.com/is/image/MCY/19066797 </v>
      </c>
    </row>
    <row r="276" spans="1:14" x14ac:dyDescent="0.25">
      <c r="A276" s="21" t="s">
        <v>7659</v>
      </c>
      <c r="B276" s="22" t="s">
        <v>7660</v>
      </c>
      <c r="C276" s="2">
        <v>1</v>
      </c>
      <c r="D276" s="23">
        <v>11.79</v>
      </c>
      <c r="E276" s="3">
        <v>11.79</v>
      </c>
      <c r="F276" s="2" t="s">
        <v>18329</v>
      </c>
      <c r="G276" s="22"/>
      <c r="H276" s="24" t="s">
        <v>20159</v>
      </c>
      <c r="I276" s="22" t="s">
        <v>19309</v>
      </c>
      <c r="J276" s="22" t="s">
        <v>19708</v>
      </c>
      <c r="K276" s="22" t="s">
        <v>19709</v>
      </c>
      <c r="L276" s="22"/>
      <c r="M276" s="22"/>
      <c r="N276" s="25" t="str">
        <f>HYPERLINK("http://slimages.macys.com/is/image/MCY/19063341 ")</f>
        <v xml:space="preserve">http://slimages.macys.com/is/image/MCY/19063341 </v>
      </c>
    </row>
    <row r="277" spans="1:14" ht="24.75" x14ac:dyDescent="0.25">
      <c r="A277" s="21" t="s">
        <v>7661</v>
      </c>
      <c r="B277" s="22" t="s">
        <v>7662</v>
      </c>
      <c r="C277" s="2">
        <v>1</v>
      </c>
      <c r="D277" s="23">
        <v>19.989999999999998</v>
      </c>
      <c r="E277" s="3">
        <v>19.989999999999998</v>
      </c>
      <c r="F277" s="2" t="s">
        <v>7663</v>
      </c>
      <c r="G277" s="22" t="s">
        <v>19618</v>
      </c>
      <c r="H277" s="24" t="s">
        <v>19432</v>
      </c>
      <c r="I277" s="22" t="s">
        <v>19309</v>
      </c>
      <c r="J277" s="22" t="s">
        <v>19815</v>
      </c>
      <c r="K277" s="22" t="s">
        <v>19816</v>
      </c>
      <c r="L277" s="22"/>
      <c r="M277" s="22"/>
      <c r="N277" s="25" t="str">
        <f>HYPERLINK("http://slimages.macys.com/is/image/MCY/21185910 ")</f>
        <v xml:space="preserve">http://slimages.macys.com/is/image/MCY/21185910 </v>
      </c>
    </row>
    <row r="278" spans="1:14" ht="24.75" x14ac:dyDescent="0.25">
      <c r="A278" s="21" t="s">
        <v>7664</v>
      </c>
      <c r="B278" s="22" t="s">
        <v>7665</v>
      </c>
      <c r="C278" s="2">
        <v>1</v>
      </c>
      <c r="D278" s="23">
        <v>12</v>
      </c>
      <c r="E278" s="3">
        <v>12</v>
      </c>
      <c r="F278" s="2" t="s">
        <v>7666</v>
      </c>
      <c r="G278" s="22" t="s">
        <v>19351</v>
      </c>
      <c r="H278" s="24" t="s">
        <v>19339</v>
      </c>
      <c r="I278" s="22" t="s">
        <v>19309</v>
      </c>
      <c r="J278" s="22" t="s">
        <v>19565</v>
      </c>
      <c r="K278" s="22" t="s">
        <v>13165</v>
      </c>
      <c r="L278" s="22"/>
      <c r="M278" s="22"/>
      <c r="N278" s="25" t="str">
        <f>HYPERLINK("http://slimages.macys.com/is/image/MCY/20544783 ")</f>
        <v xml:space="preserve">http://slimages.macys.com/is/image/MCY/20544783 </v>
      </c>
    </row>
    <row r="279" spans="1:14" x14ac:dyDescent="0.25">
      <c r="A279" s="21" t="s">
        <v>7667</v>
      </c>
      <c r="B279" s="22" t="s">
        <v>7668</v>
      </c>
      <c r="C279" s="2">
        <v>1</v>
      </c>
      <c r="D279" s="23">
        <v>22.5</v>
      </c>
      <c r="E279" s="3">
        <v>22.5</v>
      </c>
      <c r="F279" s="2" t="s">
        <v>18409</v>
      </c>
      <c r="G279" s="22" t="s">
        <v>19630</v>
      </c>
      <c r="H279" s="24" t="s">
        <v>19395</v>
      </c>
      <c r="I279" s="22" t="s">
        <v>19309</v>
      </c>
      <c r="J279" s="22" t="s">
        <v>19688</v>
      </c>
      <c r="K279" s="22" t="s">
        <v>19614</v>
      </c>
      <c r="L279" s="22"/>
      <c r="M279" s="22"/>
      <c r="N279" s="25" t="str">
        <f>HYPERLINK("http://slimages.macys.com/is/image/MCY/21035882 ")</f>
        <v xml:space="preserve">http://slimages.macys.com/is/image/MCY/21035882 </v>
      </c>
    </row>
    <row r="280" spans="1:14" ht="24.75" x14ac:dyDescent="0.25">
      <c r="A280" s="21" t="s">
        <v>16185</v>
      </c>
      <c r="B280" s="22" t="s">
        <v>16186</v>
      </c>
      <c r="C280" s="2">
        <v>1</v>
      </c>
      <c r="D280" s="23">
        <v>13.99</v>
      </c>
      <c r="E280" s="3">
        <v>13.99</v>
      </c>
      <c r="F280" s="2" t="s">
        <v>18412</v>
      </c>
      <c r="G280" s="22" t="s">
        <v>19351</v>
      </c>
      <c r="H280" s="24" t="s">
        <v>19384</v>
      </c>
      <c r="I280" s="22" t="s">
        <v>19309</v>
      </c>
      <c r="J280" s="22" t="s">
        <v>19573</v>
      </c>
      <c r="K280" s="22" t="s">
        <v>19574</v>
      </c>
      <c r="L280" s="22"/>
      <c r="M280" s="22"/>
      <c r="N280" s="25" t="str">
        <f>HYPERLINK("http://slimages.macys.com/is/image/MCY/1554795 ")</f>
        <v xml:space="preserve">http://slimages.macys.com/is/image/MCY/1554795 </v>
      </c>
    </row>
    <row r="281" spans="1:14" ht="24.75" x14ac:dyDescent="0.25">
      <c r="A281" s="21" t="s">
        <v>18415</v>
      </c>
      <c r="B281" s="22" t="s">
        <v>18416</v>
      </c>
      <c r="C281" s="2">
        <v>1</v>
      </c>
      <c r="D281" s="23">
        <v>13.99</v>
      </c>
      <c r="E281" s="3">
        <v>13.99</v>
      </c>
      <c r="F281" s="2" t="s">
        <v>18412</v>
      </c>
      <c r="G281" s="22" t="s">
        <v>19674</v>
      </c>
      <c r="H281" s="24" t="s">
        <v>19324</v>
      </c>
      <c r="I281" s="22" t="s">
        <v>19309</v>
      </c>
      <c r="J281" s="22" t="s">
        <v>19573</v>
      </c>
      <c r="K281" s="22" t="s">
        <v>19574</v>
      </c>
      <c r="L281" s="22"/>
      <c r="M281" s="22"/>
      <c r="N281" s="25" t="str">
        <f>HYPERLINK("http://slimages.macys.com/is/image/MCY/1554795 ")</f>
        <v xml:space="preserve">http://slimages.macys.com/is/image/MCY/1554795 </v>
      </c>
    </row>
    <row r="282" spans="1:14" ht="24.75" x14ac:dyDescent="0.25">
      <c r="A282" s="21" t="s">
        <v>7669</v>
      </c>
      <c r="B282" s="22" t="s">
        <v>7670</v>
      </c>
      <c r="C282" s="2">
        <v>1</v>
      </c>
      <c r="D282" s="23">
        <v>12.82</v>
      </c>
      <c r="E282" s="3">
        <v>12.82</v>
      </c>
      <c r="F282" s="2" t="s">
        <v>7671</v>
      </c>
      <c r="G282" s="22" t="s">
        <v>19333</v>
      </c>
      <c r="H282" s="24" t="s">
        <v>19345</v>
      </c>
      <c r="I282" s="22" t="s">
        <v>19309</v>
      </c>
      <c r="J282" s="22" t="s">
        <v>19602</v>
      </c>
      <c r="K282" s="22" t="s">
        <v>20041</v>
      </c>
      <c r="L282" s="22"/>
      <c r="M282" s="22"/>
      <c r="N282" s="25" t="str">
        <f>HYPERLINK("http://slimages.macys.com/is/image/MCY/21420855 ")</f>
        <v xml:space="preserve">http://slimages.macys.com/is/image/MCY/21420855 </v>
      </c>
    </row>
    <row r="283" spans="1:14" x14ac:dyDescent="0.25">
      <c r="A283" s="21" t="s">
        <v>7672</v>
      </c>
      <c r="B283" s="22" t="s">
        <v>7673</v>
      </c>
      <c r="C283" s="2">
        <v>1</v>
      </c>
      <c r="D283" s="23">
        <v>14.56</v>
      </c>
      <c r="E283" s="3">
        <v>14.56</v>
      </c>
      <c r="F283" s="2" t="s">
        <v>7674</v>
      </c>
      <c r="G283" s="22" t="s">
        <v>19630</v>
      </c>
      <c r="H283" s="24" t="s">
        <v>19416</v>
      </c>
      <c r="I283" s="22" t="s">
        <v>19309</v>
      </c>
      <c r="J283" s="22" t="s">
        <v>19708</v>
      </c>
      <c r="K283" s="22" t="s">
        <v>19709</v>
      </c>
      <c r="L283" s="22"/>
      <c r="M283" s="22"/>
      <c r="N283" s="25" t="str">
        <f>HYPERLINK("http://slimages.macys.com/is/image/MCY/20430238 ")</f>
        <v xml:space="preserve">http://slimages.macys.com/is/image/MCY/20430238 </v>
      </c>
    </row>
    <row r="284" spans="1:14" ht="24.75" x14ac:dyDescent="0.25">
      <c r="A284" s="21" t="s">
        <v>7675</v>
      </c>
      <c r="B284" s="22" t="s">
        <v>7676</v>
      </c>
      <c r="C284" s="2">
        <v>1</v>
      </c>
      <c r="D284" s="23">
        <v>12.99</v>
      </c>
      <c r="E284" s="3">
        <v>12.99</v>
      </c>
      <c r="F284" s="2" t="s">
        <v>10633</v>
      </c>
      <c r="G284" s="22" t="s">
        <v>20145</v>
      </c>
      <c r="H284" s="24" t="s">
        <v>19542</v>
      </c>
      <c r="I284" s="22" t="s">
        <v>19309</v>
      </c>
      <c r="J284" s="22" t="s">
        <v>19454</v>
      </c>
      <c r="K284" s="22" t="s">
        <v>19524</v>
      </c>
      <c r="L284" s="22"/>
      <c r="M284" s="22"/>
      <c r="N284" s="25" t="str">
        <f>HYPERLINK("http://slimages.macys.com/is/image/MCY/21708877 ")</f>
        <v xml:space="preserve">http://slimages.macys.com/is/image/MCY/21708877 </v>
      </c>
    </row>
    <row r="285" spans="1:14" ht="24.75" x14ac:dyDescent="0.25">
      <c r="A285" s="21" t="s">
        <v>7677</v>
      </c>
      <c r="B285" s="22" t="s">
        <v>7678</v>
      </c>
      <c r="C285" s="2">
        <v>1</v>
      </c>
      <c r="D285" s="23">
        <v>12.99</v>
      </c>
      <c r="E285" s="3">
        <v>12.99</v>
      </c>
      <c r="F285" s="2" t="s">
        <v>10633</v>
      </c>
      <c r="G285" s="22" t="s">
        <v>19431</v>
      </c>
      <c r="H285" s="24" t="s">
        <v>20135</v>
      </c>
      <c r="I285" s="22" t="s">
        <v>19309</v>
      </c>
      <c r="J285" s="22" t="s">
        <v>19454</v>
      </c>
      <c r="K285" s="22" t="s">
        <v>19524</v>
      </c>
      <c r="L285" s="22"/>
      <c r="M285" s="22"/>
      <c r="N285" s="25" t="str">
        <f>HYPERLINK("http://slimages.macys.com/is/image/MCY/21708656 ")</f>
        <v xml:space="preserve">http://slimages.macys.com/is/image/MCY/21708656 </v>
      </c>
    </row>
    <row r="286" spans="1:14" ht="24.75" x14ac:dyDescent="0.25">
      <c r="A286" s="21" t="s">
        <v>7679</v>
      </c>
      <c r="B286" s="22" t="s">
        <v>7680</v>
      </c>
      <c r="C286" s="2">
        <v>1</v>
      </c>
      <c r="D286" s="23">
        <v>9.99</v>
      </c>
      <c r="E286" s="3">
        <v>9.99</v>
      </c>
      <c r="F286" s="2" t="s">
        <v>18425</v>
      </c>
      <c r="G286" s="22" t="s">
        <v>20306</v>
      </c>
      <c r="H286" s="24" t="s">
        <v>19339</v>
      </c>
      <c r="I286" s="22" t="s">
        <v>19309</v>
      </c>
      <c r="J286" s="22" t="s">
        <v>19447</v>
      </c>
      <c r="K286" s="22" t="s">
        <v>19873</v>
      </c>
      <c r="L286" s="22"/>
      <c r="M286" s="22"/>
      <c r="N286" s="25" t="str">
        <f>HYPERLINK("http://slimages.macys.com/is/image/MCY/21465717 ")</f>
        <v xml:space="preserve">http://slimages.macys.com/is/image/MCY/21465717 </v>
      </c>
    </row>
    <row r="287" spans="1:14" ht="24.75" x14ac:dyDescent="0.25">
      <c r="A287" s="21" t="s">
        <v>7681</v>
      </c>
      <c r="B287" s="22" t="s">
        <v>7682</v>
      </c>
      <c r="C287" s="2">
        <v>1</v>
      </c>
      <c r="D287" s="23">
        <v>13.99</v>
      </c>
      <c r="E287" s="3">
        <v>13.99</v>
      </c>
      <c r="F287" s="2" t="s">
        <v>7683</v>
      </c>
      <c r="G287" s="22" t="s">
        <v>19323</v>
      </c>
      <c r="H287" s="24" t="s">
        <v>19364</v>
      </c>
      <c r="I287" s="22" t="s">
        <v>19309</v>
      </c>
      <c r="J287" s="22" t="s">
        <v>19353</v>
      </c>
      <c r="K287" s="22" t="s">
        <v>19524</v>
      </c>
      <c r="L287" s="22"/>
      <c r="M287" s="22"/>
      <c r="N287" s="25" t="str">
        <f>HYPERLINK("http://slimages.macys.com/is/image/MCY/20846556 ")</f>
        <v xml:space="preserve">http://slimages.macys.com/is/image/MCY/20846556 </v>
      </c>
    </row>
    <row r="288" spans="1:14" x14ac:dyDescent="0.25">
      <c r="A288" s="21" t="s">
        <v>18460</v>
      </c>
      <c r="B288" s="22" t="s">
        <v>18461</v>
      </c>
      <c r="C288" s="2">
        <v>1</v>
      </c>
      <c r="D288" s="23">
        <v>15.99</v>
      </c>
      <c r="E288" s="3">
        <v>15.99</v>
      </c>
      <c r="F288" s="2" t="s">
        <v>18462</v>
      </c>
      <c r="G288" s="22" t="s">
        <v>19674</v>
      </c>
      <c r="H288" s="24" t="s">
        <v>20135</v>
      </c>
      <c r="I288" s="22" t="s">
        <v>19309</v>
      </c>
      <c r="J288" s="22" t="s">
        <v>19849</v>
      </c>
      <c r="K288" s="22" t="s">
        <v>19850</v>
      </c>
      <c r="L288" s="22"/>
      <c r="M288" s="22"/>
      <c r="N288" s="25" t="str">
        <f>HYPERLINK("http://slimages.macys.com/is/image/MCY/20549437 ")</f>
        <v xml:space="preserve">http://slimages.macys.com/is/image/MCY/20549437 </v>
      </c>
    </row>
    <row r="289" spans="1:14" x14ac:dyDescent="0.25">
      <c r="A289" s="21" t="s">
        <v>16498</v>
      </c>
      <c r="B289" s="22" t="s">
        <v>16499</v>
      </c>
      <c r="C289" s="2">
        <v>1</v>
      </c>
      <c r="D289" s="23">
        <v>13.99</v>
      </c>
      <c r="E289" s="3">
        <v>13.99</v>
      </c>
      <c r="F289" s="2" t="s">
        <v>16497</v>
      </c>
      <c r="G289" s="22" t="s">
        <v>19618</v>
      </c>
      <c r="H289" s="24" t="s">
        <v>19352</v>
      </c>
      <c r="I289" s="22" t="s">
        <v>19309</v>
      </c>
      <c r="J289" s="22" t="s">
        <v>19849</v>
      </c>
      <c r="K289" s="22" t="s">
        <v>19850</v>
      </c>
      <c r="L289" s="22"/>
      <c r="M289" s="22"/>
      <c r="N289" s="25" t="str">
        <f>HYPERLINK("http://slimages.macys.com/is/image/MCY/21270437 ")</f>
        <v xml:space="preserve">http://slimages.macys.com/is/image/MCY/21270437 </v>
      </c>
    </row>
    <row r="290" spans="1:14" ht="24.75" x14ac:dyDescent="0.25">
      <c r="A290" s="21" t="s">
        <v>13242</v>
      </c>
      <c r="B290" s="22" t="s">
        <v>13243</v>
      </c>
      <c r="C290" s="2">
        <v>1</v>
      </c>
      <c r="D290" s="23">
        <v>13.99</v>
      </c>
      <c r="E290" s="3">
        <v>13.99</v>
      </c>
      <c r="F290" s="2" t="s">
        <v>18470</v>
      </c>
      <c r="G290" s="22" t="s">
        <v>19351</v>
      </c>
      <c r="H290" s="24" t="s">
        <v>19330</v>
      </c>
      <c r="I290" s="22" t="s">
        <v>19309</v>
      </c>
      <c r="J290" s="22" t="s">
        <v>19573</v>
      </c>
      <c r="K290" s="22" t="s">
        <v>19574</v>
      </c>
      <c r="L290" s="22"/>
      <c r="M290" s="22"/>
      <c r="N290" s="25" t="str">
        <f>HYPERLINK("http://slimages.macys.com/is/image/MCY/21361742 ")</f>
        <v xml:space="preserve">http://slimages.macys.com/is/image/MCY/21361742 </v>
      </c>
    </row>
    <row r="291" spans="1:14" ht="24.75" x14ac:dyDescent="0.25">
      <c r="A291" s="21" t="s">
        <v>7684</v>
      </c>
      <c r="B291" s="22" t="s">
        <v>7685</v>
      </c>
      <c r="C291" s="2">
        <v>1</v>
      </c>
      <c r="D291" s="23">
        <v>8.99</v>
      </c>
      <c r="E291" s="3">
        <v>8.99</v>
      </c>
      <c r="F291" s="2" t="s">
        <v>12299</v>
      </c>
      <c r="G291" s="22" t="s">
        <v>19338</v>
      </c>
      <c r="H291" s="24" t="s">
        <v>19308</v>
      </c>
      <c r="I291" s="22" t="s">
        <v>19309</v>
      </c>
      <c r="J291" s="22" t="s">
        <v>19310</v>
      </c>
      <c r="K291" s="22" t="s">
        <v>19873</v>
      </c>
      <c r="L291" s="22"/>
      <c r="M291" s="22"/>
      <c r="N291" s="25" t="str">
        <f>HYPERLINK("http://slimages.macys.com/is/image/MCY/19933434 ")</f>
        <v xml:space="preserve">http://slimages.macys.com/is/image/MCY/19933434 </v>
      </c>
    </row>
    <row r="292" spans="1:14" x14ac:dyDescent="0.25">
      <c r="A292" s="21" t="s">
        <v>7686</v>
      </c>
      <c r="B292" s="22" t="s">
        <v>7687</v>
      </c>
      <c r="C292" s="2">
        <v>1</v>
      </c>
      <c r="D292" s="23">
        <v>13.68</v>
      </c>
      <c r="E292" s="3">
        <v>13.68</v>
      </c>
      <c r="F292" s="2" t="s">
        <v>7688</v>
      </c>
      <c r="G292" s="22"/>
      <c r="H292" s="24" t="s">
        <v>20152</v>
      </c>
      <c r="I292" s="22" t="s">
        <v>19309</v>
      </c>
      <c r="J292" s="22" t="s">
        <v>19708</v>
      </c>
      <c r="K292" s="22" t="s">
        <v>19709</v>
      </c>
      <c r="L292" s="22"/>
      <c r="M292" s="22"/>
      <c r="N292" s="25" t="str">
        <f>HYPERLINK("http://slimages.macys.com/is/image/MCY/22405578 ")</f>
        <v xml:space="preserve">http://slimages.macys.com/is/image/MCY/22405578 </v>
      </c>
    </row>
    <row r="293" spans="1:14" x14ac:dyDescent="0.25">
      <c r="A293" s="21" t="s">
        <v>7689</v>
      </c>
      <c r="B293" s="22" t="s">
        <v>7690</v>
      </c>
      <c r="C293" s="2">
        <v>1</v>
      </c>
      <c r="D293" s="23">
        <v>13.77</v>
      </c>
      <c r="E293" s="3">
        <v>13.77</v>
      </c>
      <c r="F293" s="2" t="s">
        <v>10694</v>
      </c>
      <c r="G293" s="22"/>
      <c r="H293" s="24" t="s">
        <v>19330</v>
      </c>
      <c r="I293" s="22" t="s">
        <v>19309</v>
      </c>
      <c r="J293" s="22" t="s">
        <v>19708</v>
      </c>
      <c r="K293" s="22" t="s">
        <v>19709</v>
      </c>
      <c r="L293" s="22"/>
      <c r="M293" s="22"/>
      <c r="N293" s="25" t="str">
        <f>HYPERLINK("http://slimages.macys.com/is/image/MCY/21413961 ")</f>
        <v xml:space="preserve">http://slimages.macys.com/is/image/MCY/21413961 </v>
      </c>
    </row>
    <row r="294" spans="1:14" x14ac:dyDescent="0.25">
      <c r="A294" s="21" t="s">
        <v>7691</v>
      </c>
      <c r="B294" s="22" t="s">
        <v>7463</v>
      </c>
      <c r="C294" s="2">
        <v>1</v>
      </c>
      <c r="D294" s="23">
        <v>13.77</v>
      </c>
      <c r="E294" s="3">
        <v>13.77</v>
      </c>
      <c r="F294" s="2" t="s">
        <v>10694</v>
      </c>
      <c r="G294" s="22"/>
      <c r="H294" s="24" t="s">
        <v>20159</v>
      </c>
      <c r="I294" s="22" t="s">
        <v>19309</v>
      </c>
      <c r="J294" s="22" t="s">
        <v>19708</v>
      </c>
      <c r="K294" s="22" t="s">
        <v>19709</v>
      </c>
      <c r="L294" s="22"/>
      <c r="M294" s="22"/>
      <c r="N294" s="25" t="str">
        <f>HYPERLINK("http://slimages.macys.com/is/image/MCY/21413961 ")</f>
        <v xml:space="preserve">http://slimages.macys.com/is/image/MCY/21413961 </v>
      </c>
    </row>
    <row r="295" spans="1:14" x14ac:dyDescent="0.25">
      <c r="A295" s="21" t="s">
        <v>7692</v>
      </c>
      <c r="B295" s="22" t="s">
        <v>7693</v>
      </c>
      <c r="C295" s="2">
        <v>1</v>
      </c>
      <c r="D295" s="23">
        <v>13.77</v>
      </c>
      <c r="E295" s="3">
        <v>13.77</v>
      </c>
      <c r="F295" s="2" t="s">
        <v>10694</v>
      </c>
      <c r="G295" s="22"/>
      <c r="H295" s="24" t="s">
        <v>19324</v>
      </c>
      <c r="I295" s="22" t="s">
        <v>19309</v>
      </c>
      <c r="J295" s="22" t="s">
        <v>19708</v>
      </c>
      <c r="K295" s="22" t="s">
        <v>19709</v>
      </c>
      <c r="L295" s="22"/>
      <c r="M295" s="22"/>
      <c r="N295" s="25" t="str">
        <f>HYPERLINK("http://slimages.macys.com/is/image/MCY/21413961 ")</f>
        <v xml:space="preserve">http://slimages.macys.com/is/image/MCY/21413961 </v>
      </c>
    </row>
    <row r="296" spans="1:14" x14ac:dyDescent="0.25">
      <c r="A296" s="21" t="s">
        <v>7694</v>
      </c>
      <c r="B296" s="22" t="s">
        <v>7695</v>
      </c>
      <c r="C296" s="2">
        <v>1</v>
      </c>
      <c r="D296" s="23">
        <v>13.68</v>
      </c>
      <c r="E296" s="3">
        <v>13.68</v>
      </c>
      <c r="F296" s="2" t="s">
        <v>7688</v>
      </c>
      <c r="G296" s="22"/>
      <c r="H296" s="24" t="s">
        <v>19367</v>
      </c>
      <c r="I296" s="22" t="s">
        <v>19309</v>
      </c>
      <c r="J296" s="22" t="s">
        <v>19708</v>
      </c>
      <c r="K296" s="22" t="s">
        <v>19709</v>
      </c>
      <c r="L296" s="22"/>
      <c r="M296" s="22"/>
      <c r="N296" s="25" t="str">
        <f>HYPERLINK("http://slimages.macys.com/is/image/MCY/22405578 ")</f>
        <v xml:space="preserve">http://slimages.macys.com/is/image/MCY/22405578 </v>
      </c>
    </row>
    <row r="297" spans="1:14" x14ac:dyDescent="0.25">
      <c r="A297" s="21" t="s">
        <v>7696</v>
      </c>
      <c r="B297" s="22" t="s">
        <v>7697</v>
      </c>
      <c r="C297" s="2">
        <v>1</v>
      </c>
      <c r="D297" s="23">
        <v>10.99</v>
      </c>
      <c r="E297" s="3">
        <v>10.99</v>
      </c>
      <c r="F297" s="2" t="s">
        <v>16624</v>
      </c>
      <c r="G297" s="22" t="s">
        <v>19477</v>
      </c>
      <c r="H297" s="24" t="s">
        <v>19339</v>
      </c>
      <c r="I297" s="22" t="s">
        <v>19309</v>
      </c>
      <c r="J297" s="22" t="s">
        <v>19849</v>
      </c>
      <c r="K297" s="22" t="s">
        <v>19850</v>
      </c>
      <c r="L297" s="22"/>
      <c r="M297" s="22"/>
      <c r="N297" s="25" t="str">
        <f>HYPERLINK("http://slimages.macys.com/is/image/MCY/19965805 ")</f>
        <v xml:space="preserve">http://slimages.macys.com/is/image/MCY/19965805 </v>
      </c>
    </row>
    <row r="298" spans="1:14" x14ac:dyDescent="0.25">
      <c r="A298" s="21" t="s">
        <v>7698</v>
      </c>
      <c r="B298" s="22" t="s">
        <v>7699</v>
      </c>
      <c r="C298" s="2">
        <v>3</v>
      </c>
      <c r="D298" s="23">
        <v>10.99</v>
      </c>
      <c r="E298" s="3">
        <v>32.97</v>
      </c>
      <c r="F298" s="2" t="s">
        <v>16624</v>
      </c>
      <c r="G298" s="22" t="s">
        <v>19674</v>
      </c>
      <c r="H298" s="24" t="s">
        <v>19339</v>
      </c>
      <c r="I298" s="22" t="s">
        <v>19309</v>
      </c>
      <c r="J298" s="22" t="s">
        <v>19849</v>
      </c>
      <c r="K298" s="22" t="s">
        <v>19850</v>
      </c>
      <c r="L298" s="22"/>
      <c r="M298" s="22"/>
      <c r="N298" s="25" t="str">
        <f>HYPERLINK("http://slimages.macys.com/is/image/MCY/1650136 ")</f>
        <v xml:space="preserve">http://slimages.macys.com/is/image/MCY/1650136 </v>
      </c>
    </row>
    <row r="299" spans="1:14" ht="24.75" x14ac:dyDescent="0.25">
      <c r="A299" s="21" t="s">
        <v>16629</v>
      </c>
      <c r="B299" s="22" t="s">
        <v>16630</v>
      </c>
      <c r="C299" s="2">
        <v>2</v>
      </c>
      <c r="D299" s="23">
        <v>10.99</v>
      </c>
      <c r="E299" s="3">
        <v>21.98</v>
      </c>
      <c r="F299" s="2" t="s">
        <v>16624</v>
      </c>
      <c r="G299" s="22" t="s">
        <v>19674</v>
      </c>
      <c r="H299" s="24" t="s">
        <v>19352</v>
      </c>
      <c r="I299" s="22" t="s">
        <v>19309</v>
      </c>
      <c r="J299" s="22" t="s">
        <v>19849</v>
      </c>
      <c r="K299" s="22" t="s">
        <v>19850</v>
      </c>
      <c r="L299" s="22"/>
      <c r="M299" s="22"/>
      <c r="N299" s="25" t="str">
        <f>HYPERLINK("http://slimages.macys.com/is/image/MCY/1650136 ")</f>
        <v xml:space="preserve">http://slimages.macys.com/is/image/MCY/1650136 </v>
      </c>
    </row>
    <row r="300" spans="1:14" ht="24.75" x14ac:dyDescent="0.25">
      <c r="A300" s="21" t="s">
        <v>7700</v>
      </c>
      <c r="B300" s="22" t="s">
        <v>7701</v>
      </c>
      <c r="C300" s="2">
        <v>1</v>
      </c>
      <c r="D300" s="23">
        <v>11.94</v>
      </c>
      <c r="E300" s="3">
        <v>11.94</v>
      </c>
      <c r="F300" s="2" t="s">
        <v>7702</v>
      </c>
      <c r="G300" s="22" t="s">
        <v>18644</v>
      </c>
      <c r="H300" s="24" t="s">
        <v>19334</v>
      </c>
      <c r="I300" s="22" t="s">
        <v>19309</v>
      </c>
      <c r="J300" s="22" t="s">
        <v>19602</v>
      </c>
      <c r="K300" s="22" t="s">
        <v>20041</v>
      </c>
      <c r="L300" s="22"/>
      <c r="M300" s="22"/>
      <c r="N300" s="25" t="str">
        <f>HYPERLINK("http://slimages.macys.com/is/image/MCY/22405999 ")</f>
        <v xml:space="preserve">http://slimages.macys.com/is/image/MCY/22405999 </v>
      </c>
    </row>
    <row r="301" spans="1:14" ht="24.75" x14ac:dyDescent="0.25">
      <c r="A301" s="21" t="s">
        <v>16223</v>
      </c>
      <c r="B301" s="22" t="s">
        <v>18506</v>
      </c>
      <c r="C301" s="2">
        <v>2</v>
      </c>
      <c r="D301" s="23">
        <v>14.99</v>
      </c>
      <c r="E301" s="3">
        <v>29.98</v>
      </c>
      <c r="F301" s="2" t="s">
        <v>18496</v>
      </c>
      <c r="G301" s="22" t="s">
        <v>19415</v>
      </c>
      <c r="H301" s="24" t="s">
        <v>18507</v>
      </c>
      <c r="I301" s="22" t="s">
        <v>19309</v>
      </c>
      <c r="J301" s="22" t="s">
        <v>19595</v>
      </c>
      <c r="K301" s="22" t="s">
        <v>18498</v>
      </c>
      <c r="L301" s="22"/>
      <c r="M301" s="22"/>
      <c r="N301" s="25" t="str">
        <f>HYPERLINK("http://slimages.macys.com/is/image/MCY/21693788 ")</f>
        <v xml:space="preserve">http://slimages.macys.com/is/image/MCY/21693788 </v>
      </c>
    </row>
    <row r="302" spans="1:14" ht="24.75" x14ac:dyDescent="0.25">
      <c r="A302" s="21" t="s">
        <v>18508</v>
      </c>
      <c r="B302" s="22" t="s">
        <v>18495</v>
      </c>
      <c r="C302" s="2">
        <v>2</v>
      </c>
      <c r="D302" s="23">
        <v>14.99</v>
      </c>
      <c r="E302" s="3">
        <v>29.98</v>
      </c>
      <c r="F302" s="2" t="s">
        <v>18501</v>
      </c>
      <c r="G302" s="22" t="s">
        <v>19323</v>
      </c>
      <c r="H302" s="24" t="s">
        <v>18497</v>
      </c>
      <c r="I302" s="22" t="s">
        <v>19309</v>
      </c>
      <c r="J302" s="22" t="s">
        <v>19595</v>
      </c>
      <c r="K302" s="22" t="s">
        <v>18498</v>
      </c>
      <c r="L302" s="22"/>
      <c r="M302" s="22"/>
      <c r="N302" s="25" t="str">
        <f>HYPERLINK("http://slimages.macys.com/is/image/MCY/21365889 ")</f>
        <v xml:space="preserve">http://slimages.macys.com/is/image/MCY/21365889 </v>
      </c>
    </row>
    <row r="303" spans="1:14" ht="24.75" x14ac:dyDescent="0.25">
      <c r="A303" s="21" t="s">
        <v>7703</v>
      </c>
      <c r="B303" s="22" t="s">
        <v>7704</v>
      </c>
      <c r="C303" s="2">
        <v>1</v>
      </c>
      <c r="D303" s="23">
        <v>22</v>
      </c>
      <c r="E303" s="3">
        <v>22</v>
      </c>
      <c r="F303" s="2" t="s">
        <v>7705</v>
      </c>
      <c r="G303" s="22" t="s">
        <v>19594</v>
      </c>
      <c r="H303" s="24"/>
      <c r="I303" s="22" t="s">
        <v>19309</v>
      </c>
      <c r="J303" s="22" t="s">
        <v>19417</v>
      </c>
      <c r="K303" s="22" t="s">
        <v>20110</v>
      </c>
      <c r="L303" s="22"/>
      <c r="M303" s="22"/>
      <c r="N303" s="25" t="str">
        <f>HYPERLINK("http://slimages.macys.com/is/image/MCY/22527716 ")</f>
        <v xml:space="preserve">http://slimages.macys.com/is/image/MCY/22527716 </v>
      </c>
    </row>
    <row r="304" spans="1:14" ht="24.75" x14ac:dyDescent="0.25">
      <c r="A304" s="21" t="s">
        <v>13849</v>
      </c>
      <c r="B304" s="22" t="s">
        <v>13850</v>
      </c>
      <c r="C304" s="2">
        <v>3</v>
      </c>
      <c r="D304" s="23">
        <v>14.99</v>
      </c>
      <c r="E304" s="3">
        <v>44.97</v>
      </c>
      <c r="F304" s="2" t="s">
        <v>18501</v>
      </c>
      <c r="G304" s="22" t="s">
        <v>19323</v>
      </c>
      <c r="H304" s="24" t="s">
        <v>19797</v>
      </c>
      <c r="I304" s="22" t="s">
        <v>19309</v>
      </c>
      <c r="J304" s="22" t="s">
        <v>19595</v>
      </c>
      <c r="K304" s="22" t="s">
        <v>18498</v>
      </c>
      <c r="L304" s="22"/>
      <c r="M304" s="22"/>
      <c r="N304" s="25" t="str">
        <f>HYPERLINK("http://slimages.macys.com/is/image/MCY/21365889 ")</f>
        <v xml:space="preserve">http://slimages.macys.com/is/image/MCY/21365889 </v>
      </c>
    </row>
    <row r="305" spans="1:14" ht="24.75" x14ac:dyDescent="0.25">
      <c r="A305" s="21" t="s">
        <v>16514</v>
      </c>
      <c r="B305" s="22" t="s">
        <v>16515</v>
      </c>
      <c r="C305" s="2">
        <v>1</v>
      </c>
      <c r="D305" s="23">
        <v>14.99</v>
      </c>
      <c r="E305" s="3">
        <v>14.99</v>
      </c>
      <c r="F305" s="2" t="s">
        <v>18496</v>
      </c>
      <c r="G305" s="22" t="s">
        <v>19422</v>
      </c>
      <c r="H305" s="24" t="s">
        <v>19797</v>
      </c>
      <c r="I305" s="22" t="s">
        <v>19309</v>
      </c>
      <c r="J305" s="22" t="s">
        <v>19595</v>
      </c>
      <c r="K305" s="22" t="s">
        <v>18498</v>
      </c>
      <c r="L305" s="22"/>
      <c r="M305" s="22"/>
      <c r="N305" s="25" t="str">
        <f>HYPERLINK("http://slimages.macys.com/is/image/MCY/21366694 ")</f>
        <v xml:space="preserve">http://slimages.macys.com/is/image/MCY/21366694 </v>
      </c>
    </row>
    <row r="306" spans="1:14" ht="24.75" x14ac:dyDescent="0.25">
      <c r="A306" s="21" t="s">
        <v>16234</v>
      </c>
      <c r="B306" s="22" t="s">
        <v>16235</v>
      </c>
      <c r="C306" s="2">
        <v>1</v>
      </c>
      <c r="D306" s="23">
        <v>11.92</v>
      </c>
      <c r="E306" s="3">
        <v>11.92</v>
      </c>
      <c r="F306" s="2" t="s">
        <v>16228</v>
      </c>
      <c r="G306" s="22" t="s">
        <v>19351</v>
      </c>
      <c r="H306" s="24" t="s">
        <v>19334</v>
      </c>
      <c r="I306" s="22" t="s">
        <v>19309</v>
      </c>
      <c r="J306" s="22" t="s">
        <v>19602</v>
      </c>
      <c r="K306" s="22" t="s">
        <v>20041</v>
      </c>
      <c r="L306" s="22"/>
      <c r="M306" s="22"/>
      <c r="N306" s="25" t="str">
        <f>HYPERLINK("http://slimages.macys.com/is/image/MCY/21728874 ")</f>
        <v xml:space="preserve">http://slimages.macys.com/is/image/MCY/21728874 </v>
      </c>
    </row>
    <row r="307" spans="1:14" ht="24.75" x14ac:dyDescent="0.25">
      <c r="A307" s="21" t="s">
        <v>13253</v>
      </c>
      <c r="B307" s="22" t="s">
        <v>16520</v>
      </c>
      <c r="C307" s="2">
        <v>2</v>
      </c>
      <c r="D307" s="23">
        <v>11.91</v>
      </c>
      <c r="E307" s="3">
        <v>23.82</v>
      </c>
      <c r="F307" s="2" t="s">
        <v>18524</v>
      </c>
      <c r="G307" s="22"/>
      <c r="H307" s="24" t="s">
        <v>19392</v>
      </c>
      <c r="I307" s="22" t="s">
        <v>19309</v>
      </c>
      <c r="J307" s="22" t="s">
        <v>19602</v>
      </c>
      <c r="K307" s="22" t="s">
        <v>20041</v>
      </c>
      <c r="L307" s="22"/>
      <c r="M307" s="22"/>
      <c r="N307" s="25" t="str">
        <f>HYPERLINK("http://slimages.macys.com/is/image/MCY/21420574 ")</f>
        <v xml:space="preserve">http://slimages.macys.com/is/image/MCY/21420574 </v>
      </c>
    </row>
    <row r="308" spans="1:14" ht="24.75" x14ac:dyDescent="0.25">
      <c r="A308" s="21" t="s">
        <v>18534</v>
      </c>
      <c r="B308" s="22" t="s">
        <v>18535</v>
      </c>
      <c r="C308" s="2">
        <v>1</v>
      </c>
      <c r="D308" s="23">
        <v>13.99</v>
      </c>
      <c r="E308" s="3">
        <v>13.99</v>
      </c>
      <c r="F308" s="2" t="s">
        <v>18536</v>
      </c>
      <c r="G308" s="22" t="s">
        <v>19674</v>
      </c>
      <c r="H308" s="24" t="s">
        <v>19384</v>
      </c>
      <c r="I308" s="22" t="s">
        <v>19309</v>
      </c>
      <c r="J308" s="22" t="s">
        <v>19573</v>
      </c>
      <c r="K308" s="22" t="s">
        <v>19574</v>
      </c>
      <c r="L308" s="22"/>
      <c r="M308" s="22"/>
      <c r="N308" s="25" t="str">
        <f>HYPERLINK("http://slimages.macys.com/is/image/MCY/22037419 ")</f>
        <v xml:space="preserve">http://slimages.macys.com/is/image/MCY/22037419 </v>
      </c>
    </row>
    <row r="309" spans="1:14" ht="24.75" x14ac:dyDescent="0.25">
      <c r="A309" s="21" t="s">
        <v>7706</v>
      </c>
      <c r="B309" s="22" t="s">
        <v>7707</v>
      </c>
      <c r="C309" s="2">
        <v>1</v>
      </c>
      <c r="D309" s="23">
        <v>13.99</v>
      </c>
      <c r="E309" s="3">
        <v>13.99</v>
      </c>
      <c r="F309" s="2" t="s">
        <v>16245</v>
      </c>
      <c r="G309" s="22" t="s">
        <v>19351</v>
      </c>
      <c r="H309" s="24" t="s">
        <v>19384</v>
      </c>
      <c r="I309" s="22" t="s">
        <v>19309</v>
      </c>
      <c r="J309" s="22" t="s">
        <v>19573</v>
      </c>
      <c r="K309" s="22" t="s">
        <v>19574</v>
      </c>
      <c r="L309" s="22"/>
      <c r="M309" s="22"/>
      <c r="N309" s="25" t="str">
        <f>HYPERLINK("http://slimages.macys.com/is/image/MCY/1554881 ")</f>
        <v xml:space="preserve">http://slimages.macys.com/is/image/MCY/1554881 </v>
      </c>
    </row>
    <row r="310" spans="1:14" ht="24.75" x14ac:dyDescent="0.25">
      <c r="A310" s="21" t="s">
        <v>7708</v>
      </c>
      <c r="B310" s="22" t="s">
        <v>7709</v>
      </c>
      <c r="C310" s="2">
        <v>1</v>
      </c>
      <c r="D310" s="23">
        <v>10.99</v>
      </c>
      <c r="E310" s="3">
        <v>10.99</v>
      </c>
      <c r="F310" s="2" t="s">
        <v>8940</v>
      </c>
      <c r="G310" s="22" t="s">
        <v>19660</v>
      </c>
      <c r="H310" s="24" t="s">
        <v>19339</v>
      </c>
      <c r="I310" s="22" t="s">
        <v>19309</v>
      </c>
      <c r="J310" s="22" t="s">
        <v>19565</v>
      </c>
      <c r="K310" s="22" t="s">
        <v>18548</v>
      </c>
      <c r="L310" s="22"/>
      <c r="M310" s="22"/>
      <c r="N310" s="25" t="str">
        <f>HYPERLINK("http://slimages.macys.com/is/image/MCY/22251693 ")</f>
        <v xml:space="preserve">http://slimages.macys.com/is/image/MCY/22251693 </v>
      </c>
    </row>
    <row r="311" spans="1:14" x14ac:dyDescent="0.25">
      <c r="A311" s="21" t="s">
        <v>7710</v>
      </c>
      <c r="B311" s="22" t="s">
        <v>7711</v>
      </c>
      <c r="C311" s="2">
        <v>1</v>
      </c>
      <c r="D311" s="23">
        <v>11.99</v>
      </c>
      <c r="E311" s="3">
        <v>11.99</v>
      </c>
      <c r="F311" s="2" t="s">
        <v>7712</v>
      </c>
      <c r="G311" s="22" t="s">
        <v>19477</v>
      </c>
      <c r="H311" s="24" t="s">
        <v>19352</v>
      </c>
      <c r="I311" s="22" t="s">
        <v>19309</v>
      </c>
      <c r="J311" s="22" t="s">
        <v>19849</v>
      </c>
      <c r="K311" s="22" t="s">
        <v>19850</v>
      </c>
      <c r="L311" s="22"/>
      <c r="M311" s="22"/>
      <c r="N311" s="25" t="str">
        <f>HYPERLINK("http://slimages.macys.com/is/image/MCY/20940445 ")</f>
        <v xml:space="preserve">http://slimages.macys.com/is/image/MCY/20940445 </v>
      </c>
    </row>
    <row r="312" spans="1:14" ht="24.75" x14ac:dyDescent="0.25">
      <c r="A312" s="21" t="s">
        <v>16533</v>
      </c>
      <c r="B312" s="22" t="s">
        <v>16534</v>
      </c>
      <c r="C312" s="2">
        <v>1</v>
      </c>
      <c r="D312" s="23">
        <v>13.99</v>
      </c>
      <c r="E312" s="3">
        <v>13.99</v>
      </c>
      <c r="F312" s="2" t="s">
        <v>18551</v>
      </c>
      <c r="G312" s="22" t="s">
        <v>19467</v>
      </c>
      <c r="H312" s="24" t="s">
        <v>19416</v>
      </c>
      <c r="I312" s="22" t="s">
        <v>19309</v>
      </c>
      <c r="J312" s="22" t="s">
        <v>19573</v>
      </c>
      <c r="K312" s="22" t="s">
        <v>19574</v>
      </c>
      <c r="L312" s="22"/>
      <c r="M312" s="22"/>
      <c r="N312" s="25" t="str">
        <f>HYPERLINK("http://slimages.macys.com/is/image/MCY/1619637 ")</f>
        <v xml:space="preserve">http://slimages.macys.com/is/image/MCY/1619637 </v>
      </c>
    </row>
    <row r="313" spans="1:14" ht="24.75" x14ac:dyDescent="0.25">
      <c r="A313" s="21" t="s">
        <v>16531</v>
      </c>
      <c r="B313" s="22" t="s">
        <v>16532</v>
      </c>
      <c r="C313" s="2">
        <v>1</v>
      </c>
      <c r="D313" s="23">
        <v>13.99</v>
      </c>
      <c r="E313" s="3">
        <v>13.99</v>
      </c>
      <c r="F313" s="2" t="s">
        <v>18551</v>
      </c>
      <c r="G313" s="22" t="s">
        <v>19467</v>
      </c>
      <c r="H313" s="24" t="s">
        <v>19324</v>
      </c>
      <c r="I313" s="22" t="s">
        <v>19309</v>
      </c>
      <c r="J313" s="22" t="s">
        <v>19573</v>
      </c>
      <c r="K313" s="22" t="s">
        <v>19574</v>
      </c>
      <c r="L313" s="22"/>
      <c r="M313" s="22"/>
      <c r="N313" s="25" t="str">
        <f>HYPERLINK("http://slimages.macys.com/is/image/MCY/21361645 ")</f>
        <v xml:space="preserve">http://slimages.macys.com/is/image/MCY/21361645 </v>
      </c>
    </row>
    <row r="314" spans="1:14" ht="24.75" x14ac:dyDescent="0.25">
      <c r="A314" s="21" t="s">
        <v>7713</v>
      </c>
      <c r="B314" s="22" t="s">
        <v>7714</v>
      </c>
      <c r="C314" s="2">
        <v>1</v>
      </c>
      <c r="D314" s="23">
        <v>8.99</v>
      </c>
      <c r="E314" s="3">
        <v>8.99</v>
      </c>
      <c r="F314" s="2" t="s">
        <v>7715</v>
      </c>
      <c r="G314" s="22" t="s">
        <v>19333</v>
      </c>
      <c r="H314" s="24" t="s">
        <v>19377</v>
      </c>
      <c r="I314" s="22" t="s">
        <v>19309</v>
      </c>
      <c r="J314" s="22" t="s">
        <v>19447</v>
      </c>
      <c r="K314" s="22" t="s">
        <v>20146</v>
      </c>
      <c r="L314" s="22"/>
      <c r="M314" s="22"/>
      <c r="N314" s="25" t="str">
        <f>HYPERLINK("http://slimages.macys.com/is/image/MCY/20676960 ")</f>
        <v xml:space="preserve">http://slimages.macys.com/is/image/MCY/20676960 </v>
      </c>
    </row>
    <row r="315" spans="1:14" ht="24.75" x14ac:dyDescent="0.25">
      <c r="A315" s="21" t="s">
        <v>7716</v>
      </c>
      <c r="B315" s="22" t="s">
        <v>7717</v>
      </c>
      <c r="C315" s="2">
        <v>1</v>
      </c>
      <c r="D315" s="23">
        <v>8.99</v>
      </c>
      <c r="E315" s="3">
        <v>8.99</v>
      </c>
      <c r="F315" s="2" t="s">
        <v>7715</v>
      </c>
      <c r="G315" s="22" t="s">
        <v>19333</v>
      </c>
      <c r="H315" s="24" t="s">
        <v>19542</v>
      </c>
      <c r="I315" s="22" t="s">
        <v>19309</v>
      </c>
      <c r="J315" s="22" t="s">
        <v>19447</v>
      </c>
      <c r="K315" s="22" t="s">
        <v>20146</v>
      </c>
      <c r="L315" s="22"/>
      <c r="M315" s="22"/>
      <c r="N315" s="25" t="str">
        <f>HYPERLINK("http://slimages.macys.com/is/image/MCY/20676960 ")</f>
        <v xml:space="preserve">http://slimages.macys.com/is/image/MCY/20676960 </v>
      </c>
    </row>
    <row r="316" spans="1:14" ht="24.75" x14ac:dyDescent="0.25">
      <c r="A316" s="21" t="s">
        <v>7718</v>
      </c>
      <c r="B316" s="22" t="s">
        <v>7719</v>
      </c>
      <c r="C316" s="2">
        <v>1</v>
      </c>
      <c r="D316" s="23">
        <v>11.99</v>
      </c>
      <c r="E316" s="3">
        <v>11.99</v>
      </c>
      <c r="F316" s="2" t="s">
        <v>7720</v>
      </c>
      <c r="G316" s="22" t="s">
        <v>19351</v>
      </c>
      <c r="H316" s="24" t="s">
        <v>19308</v>
      </c>
      <c r="I316" s="22" t="s">
        <v>19309</v>
      </c>
      <c r="J316" s="22" t="s">
        <v>19454</v>
      </c>
      <c r="K316" s="22" t="s">
        <v>18654</v>
      </c>
      <c r="L316" s="22"/>
      <c r="M316" s="22"/>
      <c r="N316" s="25" t="str">
        <f>HYPERLINK("http://slimages.macys.com/is/image/MCY/1733016 ")</f>
        <v xml:space="preserve">http://slimages.macys.com/is/image/MCY/1733016 </v>
      </c>
    </row>
    <row r="317" spans="1:14" ht="24.75" x14ac:dyDescent="0.25">
      <c r="A317" s="21" t="s">
        <v>7721</v>
      </c>
      <c r="B317" s="22" t="s">
        <v>7722</v>
      </c>
      <c r="C317" s="2">
        <v>1</v>
      </c>
      <c r="D317" s="23">
        <v>11.99</v>
      </c>
      <c r="E317" s="3">
        <v>11.99</v>
      </c>
      <c r="F317" s="2" t="s">
        <v>7723</v>
      </c>
      <c r="G317" s="22" t="s">
        <v>19333</v>
      </c>
      <c r="H317" s="24" t="s">
        <v>19308</v>
      </c>
      <c r="I317" s="22" t="s">
        <v>19309</v>
      </c>
      <c r="J317" s="22" t="s">
        <v>19454</v>
      </c>
      <c r="K317" s="22" t="s">
        <v>18654</v>
      </c>
      <c r="L317" s="22"/>
      <c r="M317" s="22"/>
      <c r="N317" s="25" t="str">
        <f>HYPERLINK("http://slimages.macys.com/is/image/MCY/1666375 ")</f>
        <v xml:space="preserve">http://slimages.macys.com/is/image/MCY/1666375 </v>
      </c>
    </row>
    <row r="318" spans="1:14" ht="24.75" x14ac:dyDescent="0.25">
      <c r="A318" s="21" t="s">
        <v>7724</v>
      </c>
      <c r="B318" s="22" t="s">
        <v>7725</v>
      </c>
      <c r="C318" s="2">
        <v>2</v>
      </c>
      <c r="D318" s="23">
        <v>11.99</v>
      </c>
      <c r="E318" s="3">
        <v>23.98</v>
      </c>
      <c r="F318" s="2" t="s">
        <v>7723</v>
      </c>
      <c r="G318" s="22" t="s">
        <v>19333</v>
      </c>
      <c r="H318" s="24" t="s">
        <v>19352</v>
      </c>
      <c r="I318" s="22" t="s">
        <v>19309</v>
      </c>
      <c r="J318" s="22" t="s">
        <v>19454</v>
      </c>
      <c r="K318" s="22" t="s">
        <v>18654</v>
      </c>
      <c r="L318" s="22"/>
      <c r="M318" s="22"/>
      <c r="N318" s="25" t="str">
        <f>HYPERLINK("http://slimages.macys.com/is/image/MCY/1666375 ")</f>
        <v xml:space="preserve">http://slimages.macys.com/is/image/MCY/1666375 </v>
      </c>
    </row>
    <row r="319" spans="1:14" ht="24.75" x14ac:dyDescent="0.25">
      <c r="A319" s="21" t="s">
        <v>7726</v>
      </c>
      <c r="B319" s="22" t="s">
        <v>7727</v>
      </c>
      <c r="C319" s="2">
        <v>1</v>
      </c>
      <c r="D319" s="23">
        <v>11.99</v>
      </c>
      <c r="E319" s="3">
        <v>11.99</v>
      </c>
      <c r="F319" s="2" t="s">
        <v>7720</v>
      </c>
      <c r="G319" s="22" t="s">
        <v>19351</v>
      </c>
      <c r="H319" s="24" t="s">
        <v>19339</v>
      </c>
      <c r="I319" s="22" t="s">
        <v>19309</v>
      </c>
      <c r="J319" s="22" t="s">
        <v>19454</v>
      </c>
      <c r="K319" s="22" t="s">
        <v>18654</v>
      </c>
      <c r="L319" s="22"/>
      <c r="M319" s="22"/>
      <c r="N319" s="25" t="str">
        <f>HYPERLINK("http://slimages.macys.com/is/image/MCY/1666375 ")</f>
        <v xml:space="preserve">http://slimages.macys.com/is/image/MCY/1666375 </v>
      </c>
    </row>
    <row r="320" spans="1:14" ht="24.75" x14ac:dyDescent="0.25">
      <c r="A320" s="21" t="s">
        <v>7728</v>
      </c>
      <c r="B320" s="22" t="s">
        <v>7729</v>
      </c>
      <c r="C320" s="2">
        <v>1</v>
      </c>
      <c r="D320" s="23">
        <v>9.99</v>
      </c>
      <c r="E320" s="3">
        <v>9.99</v>
      </c>
      <c r="F320" s="2" t="s">
        <v>8958</v>
      </c>
      <c r="G320" s="22" t="s">
        <v>19323</v>
      </c>
      <c r="H320" s="24" t="s">
        <v>19339</v>
      </c>
      <c r="I320" s="22" t="s">
        <v>19309</v>
      </c>
      <c r="J320" s="22" t="s">
        <v>20076</v>
      </c>
      <c r="K320" s="22" t="s">
        <v>12080</v>
      </c>
      <c r="L320" s="22" t="s">
        <v>19319</v>
      </c>
      <c r="M320" s="22" t="s">
        <v>19209</v>
      </c>
      <c r="N320" s="25" t="str">
        <f>HYPERLINK("http://slimages.macys.com/is/image/MCY/2568982 ")</f>
        <v xml:space="preserve">http://slimages.macys.com/is/image/MCY/2568982 </v>
      </c>
    </row>
    <row r="321" spans="1:14" ht="24.75" x14ac:dyDescent="0.25">
      <c r="A321" s="21" t="s">
        <v>7730</v>
      </c>
      <c r="B321" s="22" t="s">
        <v>7731</v>
      </c>
      <c r="C321" s="2">
        <v>1</v>
      </c>
      <c r="D321" s="23">
        <v>8.99</v>
      </c>
      <c r="E321" s="3">
        <v>8.99</v>
      </c>
      <c r="F321" s="2" t="s">
        <v>16559</v>
      </c>
      <c r="G321" s="22" t="s">
        <v>19585</v>
      </c>
      <c r="H321" s="24" t="s">
        <v>19364</v>
      </c>
      <c r="I321" s="22" t="s">
        <v>19309</v>
      </c>
      <c r="J321" s="22" t="s">
        <v>19310</v>
      </c>
      <c r="K321" s="22" t="s">
        <v>19873</v>
      </c>
      <c r="L321" s="22"/>
      <c r="M321" s="22"/>
      <c r="N321" s="25" t="str">
        <f>HYPERLINK("http://slimages.macys.com/is/image/MCY/21551570 ")</f>
        <v xml:space="preserve">http://slimages.macys.com/is/image/MCY/21551570 </v>
      </c>
    </row>
    <row r="322" spans="1:14" ht="24.75" x14ac:dyDescent="0.25">
      <c r="A322" s="21" t="s">
        <v>7732</v>
      </c>
      <c r="B322" s="22" t="s">
        <v>7733</v>
      </c>
      <c r="C322" s="2">
        <v>1</v>
      </c>
      <c r="D322" s="23">
        <v>8.31</v>
      </c>
      <c r="E322" s="3">
        <v>8.31</v>
      </c>
      <c r="F322" s="2" t="s">
        <v>12330</v>
      </c>
      <c r="G322" s="22" t="s">
        <v>19351</v>
      </c>
      <c r="H322" s="24" t="s">
        <v>20232</v>
      </c>
      <c r="I322" s="22" t="s">
        <v>19309</v>
      </c>
      <c r="J322" s="22" t="s">
        <v>19514</v>
      </c>
      <c r="K322" s="22" t="s">
        <v>18514</v>
      </c>
      <c r="L322" s="22"/>
      <c r="M322" s="22"/>
      <c r="N322" s="25" t="str">
        <f>HYPERLINK("http://slimages.macys.com/is/image/MCY/20876641 ")</f>
        <v xml:space="preserve">http://slimages.macys.com/is/image/MCY/20876641 </v>
      </c>
    </row>
    <row r="323" spans="1:14" ht="24.75" x14ac:dyDescent="0.25">
      <c r="A323" s="21" t="s">
        <v>7734</v>
      </c>
      <c r="B323" s="22" t="s">
        <v>7735</v>
      </c>
      <c r="C323" s="2">
        <v>1</v>
      </c>
      <c r="D323" s="23">
        <v>11.99</v>
      </c>
      <c r="E323" s="3">
        <v>11.99</v>
      </c>
      <c r="F323" s="2" t="s">
        <v>18611</v>
      </c>
      <c r="G323" s="22" t="s">
        <v>19431</v>
      </c>
      <c r="H323" s="24" t="s">
        <v>19538</v>
      </c>
      <c r="I323" s="22" t="s">
        <v>19309</v>
      </c>
      <c r="J323" s="22" t="s">
        <v>19573</v>
      </c>
      <c r="K323" s="22" t="s">
        <v>19574</v>
      </c>
      <c r="L323" s="22"/>
      <c r="M323" s="22"/>
      <c r="N323" s="25" t="str">
        <f>HYPERLINK("http://slimages.macys.com/is/image/MCY/21361512 ")</f>
        <v xml:space="preserve">http://slimages.macys.com/is/image/MCY/21361512 </v>
      </c>
    </row>
    <row r="324" spans="1:14" ht="24.75" x14ac:dyDescent="0.25">
      <c r="A324" s="21" t="s">
        <v>7736</v>
      </c>
      <c r="B324" s="22" t="s">
        <v>7737</v>
      </c>
      <c r="C324" s="2">
        <v>1</v>
      </c>
      <c r="D324" s="23">
        <v>8.99</v>
      </c>
      <c r="E324" s="3">
        <v>8.99</v>
      </c>
      <c r="F324" s="2" t="s">
        <v>16637</v>
      </c>
      <c r="G324" s="22" t="s">
        <v>19585</v>
      </c>
      <c r="H324" s="24" t="s">
        <v>19308</v>
      </c>
      <c r="I324" s="22" t="s">
        <v>19309</v>
      </c>
      <c r="J324" s="22" t="s">
        <v>19815</v>
      </c>
      <c r="K324" s="22" t="s">
        <v>19816</v>
      </c>
      <c r="L324" s="22"/>
      <c r="M324" s="22"/>
      <c r="N324" s="25" t="str">
        <f>HYPERLINK("http://slimages.macys.com/is/image/MCY/1585526 ")</f>
        <v xml:space="preserve">http://slimages.macys.com/is/image/MCY/1585526 </v>
      </c>
    </row>
    <row r="325" spans="1:14" ht="24.75" x14ac:dyDescent="0.25">
      <c r="A325" s="21" t="s">
        <v>16594</v>
      </c>
      <c r="B325" s="22" t="s">
        <v>16595</v>
      </c>
      <c r="C325" s="2">
        <v>1</v>
      </c>
      <c r="D325" s="23">
        <v>8.25</v>
      </c>
      <c r="E325" s="3">
        <v>8.25</v>
      </c>
      <c r="F325" s="2" t="s">
        <v>16596</v>
      </c>
      <c r="G325" s="22" t="s">
        <v>19351</v>
      </c>
      <c r="H325" s="24" t="s">
        <v>19361</v>
      </c>
      <c r="I325" s="22" t="s">
        <v>19309</v>
      </c>
      <c r="J325" s="22" t="s">
        <v>19447</v>
      </c>
      <c r="K325" s="22" t="s">
        <v>20146</v>
      </c>
      <c r="L325" s="22"/>
      <c r="M325" s="22"/>
      <c r="N325" s="25" t="str">
        <f>HYPERLINK("http://slimages.macys.com/is/image/MCY/19941191 ")</f>
        <v xml:space="preserve">http://slimages.macys.com/is/image/MCY/19941191 </v>
      </c>
    </row>
    <row r="326" spans="1:14" x14ac:dyDescent="0.25">
      <c r="A326" s="21" t="s">
        <v>16612</v>
      </c>
      <c r="B326" s="22" t="s">
        <v>16613</v>
      </c>
      <c r="C326" s="2">
        <v>1</v>
      </c>
      <c r="D326" s="23">
        <v>13.27</v>
      </c>
      <c r="E326" s="3">
        <v>13.27</v>
      </c>
      <c r="F326" s="2" t="s">
        <v>16614</v>
      </c>
      <c r="G326" s="22"/>
      <c r="H326" s="24" t="s">
        <v>19416</v>
      </c>
      <c r="I326" s="22" t="s">
        <v>19309</v>
      </c>
      <c r="J326" s="22" t="s">
        <v>19708</v>
      </c>
      <c r="K326" s="22" t="s">
        <v>19754</v>
      </c>
      <c r="L326" s="22"/>
      <c r="M326" s="22"/>
      <c r="N326" s="25" t="str">
        <f>HYPERLINK("http://slimages.macys.com/is/image/MCY/21758696 ")</f>
        <v xml:space="preserve">http://slimages.macys.com/is/image/MCY/21758696 </v>
      </c>
    </row>
    <row r="327" spans="1:14" x14ac:dyDescent="0.25">
      <c r="A327" s="21" t="s">
        <v>16606</v>
      </c>
      <c r="B327" s="22" t="s">
        <v>16607</v>
      </c>
      <c r="C327" s="2">
        <v>1</v>
      </c>
      <c r="D327" s="23">
        <v>13.27</v>
      </c>
      <c r="E327" s="3">
        <v>13.27</v>
      </c>
      <c r="F327" s="2" t="s">
        <v>16608</v>
      </c>
      <c r="G327" s="22"/>
      <c r="H327" s="24" t="s">
        <v>19324</v>
      </c>
      <c r="I327" s="22" t="s">
        <v>19309</v>
      </c>
      <c r="J327" s="22" t="s">
        <v>19708</v>
      </c>
      <c r="K327" s="22" t="s">
        <v>19754</v>
      </c>
      <c r="L327" s="22"/>
      <c r="M327" s="22"/>
      <c r="N327" s="25" t="str">
        <f>HYPERLINK("http://slimages.macys.com/is/image/MCY/21414680 ")</f>
        <v xml:space="preserve">http://slimages.macys.com/is/image/MCY/21414680 </v>
      </c>
    </row>
    <row r="328" spans="1:14" x14ac:dyDescent="0.25">
      <c r="A328" s="21" t="s">
        <v>16299</v>
      </c>
      <c r="B328" s="22" t="s">
        <v>16300</v>
      </c>
      <c r="C328" s="2">
        <v>1</v>
      </c>
      <c r="D328" s="23">
        <v>13.27</v>
      </c>
      <c r="E328" s="3">
        <v>13.27</v>
      </c>
      <c r="F328" s="2" t="s">
        <v>16614</v>
      </c>
      <c r="G328" s="22"/>
      <c r="H328" s="24" t="s">
        <v>19330</v>
      </c>
      <c r="I328" s="22" t="s">
        <v>19309</v>
      </c>
      <c r="J328" s="22" t="s">
        <v>19708</v>
      </c>
      <c r="K328" s="22" t="s">
        <v>19754</v>
      </c>
      <c r="L328" s="22"/>
      <c r="M328" s="22"/>
      <c r="N328" s="25" t="str">
        <f>HYPERLINK("http://slimages.macys.com/is/image/MCY/21758696 ")</f>
        <v xml:space="preserve">http://slimages.macys.com/is/image/MCY/21758696 </v>
      </c>
    </row>
    <row r="329" spans="1:14" x14ac:dyDescent="0.25">
      <c r="A329" s="21" t="s">
        <v>13895</v>
      </c>
      <c r="B329" s="22" t="s">
        <v>13896</v>
      </c>
      <c r="C329" s="2">
        <v>1</v>
      </c>
      <c r="D329" s="23">
        <v>13.27</v>
      </c>
      <c r="E329" s="3">
        <v>13.27</v>
      </c>
      <c r="F329" s="2" t="s">
        <v>13897</v>
      </c>
      <c r="G329" s="22"/>
      <c r="H329" s="24" t="s">
        <v>19330</v>
      </c>
      <c r="I329" s="22" t="s">
        <v>19309</v>
      </c>
      <c r="J329" s="22" t="s">
        <v>19708</v>
      </c>
      <c r="K329" s="22" t="s">
        <v>19754</v>
      </c>
      <c r="L329" s="22"/>
      <c r="M329" s="22"/>
      <c r="N329" s="25" t="str">
        <f>HYPERLINK("http://slimages.macys.com/is/image/MCY/21414718 ")</f>
        <v xml:space="preserve">http://slimages.macys.com/is/image/MCY/21414718 </v>
      </c>
    </row>
    <row r="330" spans="1:14" x14ac:dyDescent="0.25">
      <c r="A330" s="21" t="s">
        <v>12354</v>
      </c>
      <c r="B330" s="22" t="s">
        <v>12355</v>
      </c>
      <c r="C330" s="2">
        <v>1</v>
      </c>
      <c r="D330" s="23">
        <v>13.27</v>
      </c>
      <c r="E330" s="3">
        <v>13.27</v>
      </c>
      <c r="F330" s="2" t="s">
        <v>13897</v>
      </c>
      <c r="G330" s="22"/>
      <c r="H330" s="24" t="s">
        <v>19416</v>
      </c>
      <c r="I330" s="22" t="s">
        <v>19309</v>
      </c>
      <c r="J330" s="22" t="s">
        <v>19708</v>
      </c>
      <c r="K330" s="22" t="s">
        <v>19754</v>
      </c>
      <c r="L330" s="22"/>
      <c r="M330" s="22"/>
      <c r="N330" s="25" t="str">
        <f>HYPERLINK("http://slimages.macys.com/is/image/MCY/21414718 ")</f>
        <v xml:space="preserve">http://slimages.macys.com/is/image/MCY/21414718 </v>
      </c>
    </row>
    <row r="331" spans="1:14" ht="24.75" x14ac:dyDescent="0.25">
      <c r="A331" s="21" t="s">
        <v>18645</v>
      </c>
      <c r="B331" s="22" t="s">
        <v>18646</v>
      </c>
      <c r="C331" s="2">
        <v>1</v>
      </c>
      <c r="D331" s="23">
        <v>10.91</v>
      </c>
      <c r="E331" s="3">
        <v>10.91</v>
      </c>
      <c r="F331" s="2" t="s">
        <v>18647</v>
      </c>
      <c r="G331" s="22"/>
      <c r="H331" s="24" t="s">
        <v>19345</v>
      </c>
      <c r="I331" s="22" t="s">
        <v>19309</v>
      </c>
      <c r="J331" s="22" t="s">
        <v>19602</v>
      </c>
      <c r="K331" s="22" t="s">
        <v>19603</v>
      </c>
      <c r="L331" s="22"/>
      <c r="M331" s="22"/>
      <c r="N331" s="25" t="str">
        <f>HYPERLINK("http://slimages.macys.com/is/image/MCY/21421177 ")</f>
        <v xml:space="preserve">http://slimages.macys.com/is/image/MCY/21421177 </v>
      </c>
    </row>
    <row r="332" spans="1:14" x14ac:dyDescent="0.25">
      <c r="A332" s="21" t="s">
        <v>7738</v>
      </c>
      <c r="B332" s="22" t="s">
        <v>7739</v>
      </c>
      <c r="C332" s="2">
        <v>1</v>
      </c>
      <c r="D332" s="23">
        <v>9.81</v>
      </c>
      <c r="E332" s="3">
        <v>9.81</v>
      </c>
      <c r="F332" s="2" t="s">
        <v>12361</v>
      </c>
      <c r="G332" s="22" t="s">
        <v>19431</v>
      </c>
      <c r="H332" s="24" t="s">
        <v>19367</v>
      </c>
      <c r="I332" s="22" t="s">
        <v>19309</v>
      </c>
      <c r="J332" s="22" t="s">
        <v>19708</v>
      </c>
      <c r="K332" s="22" t="s">
        <v>19709</v>
      </c>
      <c r="L332" s="22"/>
      <c r="M332" s="22"/>
      <c r="N332" s="25" t="str">
        <f>HYPERLINK("http://slimages.macys.com/is/image/MCY/21409823 ")</f>
        <v xml:space="preserve">http://slimages.macys.com/is/image/MCY/21409823 </v>
      </c>
    </row>
    <row r="333" spans="1:14" x14ac:dyDescent="0.25">
      <c r="A333" s="21" t="s">
        <v>7740</v>
      </c>
      <c r="B333" s="22" t="s">
        <v>7741</v>
      </c>
      <c r="C333" s="2">
        <v>1</v>
      </c>
      <c r="D333" s="23">
        <v>9.7200000000000006</v>
      </c>
      <c r="E333" s="3">
        <v>9.7200000000000006</v>
      </c>
      <c r="F333" s="2" t="s">
        <v>7742</v>
      </c>
      <c r="G333" s="22" t="s">
        <v>19323</v>
      </c>
      <c r="H333" s="24" t="s">
        <v>20152</v>
      </c>
      <c r="I333" s="22" t="s">
        <v>19309</v>
      </c>
      <c r="J333" s="22" t="s">
        <v>19708</v>
      </c>
      <c r="K333" s="22" t="s">
        <v>19709</v>
      </c>
      <c r="L333" s="22"/>
      <c r="M333" s="22"/>
      <c r="N333" s="25" t="str">
        <f>HYPERLINK("http://slimages.macys.com/is/image/MCY/19060676 ")</f>
        <v xml:space="preserve">http://slimages.macys.com/is/image/MCY/19060676 </v>
      </c>
    </row>
    <row r="334" spans="1:14" x14ac:dyDescent="0.25">
      <c r="A334" s="21" t="s">
        <v>7743</v>
      </c>
      <c r="B334" s="22" t="s">
        <v>7744</v>
      </c>
      <c r="C334" s="2">
        <v>1</v>
      </c>
      <c r="D334" s="23">
        <v>12.17</v>
      </c>
      <c r="E334" s="3">
        <v>12.17</v>
      </c>
      <c r="F334" s="2" t="s">
        <v>7745</v>
      </c>
      <c r="G334" s="22"/>
      <c r="H334" s="24" t="s">
        <v>19770</v>
      </c>
      <c r="I334" s="22" t="s">
        <v>19309</v>
      </c>
      <c r="J334" s="22" t="s">
        <v>19708</v>
      </c>
      <c r="K334" s="22" t="s">
        <v>19709</v>
      </c>
      <c r="L334" s="22"/>
      <c r="M334" s="22"/>
      <c r="N334" s="25" t="str">
        <f>HYPERLINK("http://slimages.macys.com/is/image/MCY/19836255 ")</f>
        <v xml:space="preserve">http://slimages.macys.com/is/image/MCY/19836255 </v>
      </c>
    </row>
    <row r="335" spans="1:14" ht="24.75" x14ac:dyDescent="0.25">
      <c r="A335" s="21" t="s">
        <v>13914</v>
      </c>
      <c r="B335" s="22" t="s">
        <v>13915</v>
      </c>
      <c r="C335" s="2">
        <v>1</v>
      </c>
      <c r="D335" s="23">
        <v>11.99</v>
      </c>
      <c r="E335" s="3">
        <v>11.99</v>
      </c>
      <c r="F335" s="2" t="s">
        <v>16646</v>
      </c>
      <c r="G335" s="22" t="s">
        <v>19794</v>
      </c>
      <c r="H335" s="24" t="s">
        <v>19324</v>
      </c>
      <c r="I335" s="22" t="s">
        <v>19309</v>
      </c>
      <c r="J335" s="22" t="s">
        <v>19573</v>
      </c>
      <c r="K335" s="22" t="s">
        <v>19574</v>
      </c>
      <c r="L335" s="22"/>
      <c r="M335" s="22"/>
      <c r="N335" s="25" t="str">
        <f>HYPERLINK("http://slimages.macys.com/is/image/MCY/21209521 ")</f>
        <v xml:space="preserve">http://slimages.macys.com/is/image/MCY/21209521 </v>
      </c>
    </row>
    <row r="336" spans="1:14" x14ac:dyDescent="0.25">
      <c r="A336" s="21" t="s">
        <v>16328</v>
      </c>
      <c r="B336" s="22" t="s">
        <v>16329</v>
      </c>
      <c r="C336" s="2">
        <v>1</v>
      </c>
      <c r="D336" s="23">
        <v>11.99</v>
      </c>
      <c r="E336" s="3">
        <v>11.99</v>
      </c>
      <c r="F336" s="2" t="s">
        <v>16330</v>
      </c>
      <c r="G336" s="22" t="s">
        <v>19315</v>
      </c>
      <c r="H336" s="24" t="s">
        <v>19361</v>
      </c>
      <c r="I336" s="22" t="s">
        <v>19309</v>
      </c>
      <c r="J336" s="22" t="s">
        <v>19849</v>
      </c>
      <c r="K336" s="22" t="s">
        <v>19850</v>
      </c>
      <c r="L336" s="22"/>
      <c r="M336" s="22"/>
      <c r="N336" s="25" t="str">
        <f>HYPERLINK("http://slimages.macys.com/is/image/MCY/21251264 ")</f>
        <v xml:space="preserve">http://slimages.macys.com/is/image/MCY/21251264 </v>
      </c>
    </row>
    <row r="337" spans="1:14" x14ac:dyDescent="0.25">
      <c r="A337" s="21" t="s">
        <v>7746</v>
      </c>
      <c r="B337" s="22" t="s">
        <v>7747</v>
      </c>
      <c r="C337" s="2">
        <v>1</v>
      </c>
      <c r="D337" s="23">
        <v>11.99</v>
      </c>
      <c r="E337" s="3">
        <v>11.99</v>
      </c>
      <c r="F337" s="2" t="s">
        <v>16330</v>
      </c>
      <c r="G337" s="22" t="s">
        <v>19315</v>
      </c>
      <c r="H337" s="24" t="s">
        <v>19907</v>
      </c>
      <c r="I337" s="22" t="s">
        <v>19309</v>
      </c>
      <c r="J337" s="22" t="s">
        <v>19849</v>
      </c>
      <c r="K337" s="22" t="s">
        <v>19850</v>
      </c>
      <c r="L337" s="22"/>
      <c r="M337" s="22"/>
      <c r="N337" s="25" t="str">
        <f>HYPERLINK("http://slimages.macys.com/is/image/MCY/21251264 ")</f>
        <v xml:space="preserve">http://slimages.macys.com/is/image/MCY/21251264 </v>
      </c>
    </row>
    <row r="338" spans="1:14" ht="24.75" x14ac:dyDescent="0.25">
      <c r="A338" s="21" t="s">
        <v>18670</v>
      </c>
      <c r="B338" s="22" t="s">
        <v>18671</v>
      </c>
      <c r="C338" s="2">
        <v>1</v>
      </c>
      <c r="D338" s="23">
        <v>11.99</v>
      </c>
      <c r="E338" s="3">
        <v>11.99</v>
      </c>
      <c r="F338" s="2" t="s">
        <v>18672</v>
      </c>
      <c r="G338" s="22" t="s">
        <v>19670</v>
      </c>
      <c r="H338" s="24" t="s">
        <v>19384</v>
      </c>
      <c r="I338" s="22" t="s">
        <v>19309</v>
      </c>
      <c r="J338" s="22" t="s">
        <v>19573</v>
      </c>
      <c r="K338" s="22" t="s">
        <v>19574</v>
      </c>
      <c r="L338" s="22"/>
      <c r="M338" s="22"/>
      <c r="N338" s="25" t="str">
        <f>HYPERLINK("http://slimages.macys.com/is/image/MCY/21209478 ")</f>
        <v xml:space="preserve">http://slimages.macys.com/is/image/MCY/21209478 </v>
      </c>
    </row>
    <row r="339" spans="1:14" ht="24.75" x14ac:dyDescent="0.25">
      <c r="A339" s="21" t="s">
        <v>16657</v>
      </c>
      <c r="B339" s="22" t="s">
        <v>16658</v>
      </c>
      <c r="C339" s="2">
        <v>1</v>
      </c>
      <c r="D339" s="23">
        <v>11.99</v>
      </c>
      <c r="E339" s="3">
        <v>11.99</v>
      </c>
      <c r="F339" s="2" t="s">
        <v>16646</v>
      </c>
      <c r="G339" s="22" t="s">
        <v>19794</v>
      </c>
      <c r="H339" s="24" t="s">
        <v>19330</v>
      </c>
      <c r="I339" s="22" t="s">
        <v>19309</v>
      </c>
      <c r="J339" s="22" t="s">
        <v>19573</v>
      </c>
      <c r="K339" s="22" t="s">
        <v>19574</v>
      </c>
      <c r="L339" s="22"/>
      <c r="M339" s="22"/>
      <c r="N339" s="25" t="str">
        <f>HYPERLINK("http://slimages.macys.com/is/image/MCY/1956290 ")</f>
        <v xml:space="preserve">http://slimages.macys.com/is/image/MCY/1956290 </v>
      </c>
    </row>
    <row r="340" spans="1:14" ht="24.75" x14ac:dyDescent="0.25">
      <c r="A340" s="21" t="s">
        <v>12370</v>
      </c>
      <c r="B340" s="22" t="s">
        <v>12371</v>
      </c>
      <c r="C340" s="2">
        <v>1</v>
      </c>
      <c r="D340" s="23">
        <v>11.99</v>
      </c>
      <c r="E340" s="3">
        <v>11.99</v>
      </c>
      <c r="F340" s="2" t="s">
        <v>18672</v>
      </c>
      <c r="G340" s="22" t="s">
        <v>19670</v>
      </c>
      <c r="H340" s="24" t="s">
        <v>19330</v>
      </c>
      <c r="I340" s="22" t="s">
        <v>19309</v>
      </c>
      <c r="J340" s="22" t="s">
        <v>19573</v>
      </c>
      <c r="K340" s="22" t="s">
        <v>19574</v>
      </c>
      <c r="L340" s="22"/>
      <c r="M340" s="22"/>
      <c r="N340" s="25" t="str">
        <f>HYPERLINK("http://slimages.macys.com/is/image/MCY/21209478 ")</f>
        <v xml:space="preserve">http://slimages.macys.com/is/image/MCY/21209478 </v>
      </c>
    </row>
    <row r="341" spans="1:14" ht="24.75" x14ac:dyDescent="0.25">
      <c r="A341" s="21" t="s">
        <v>16647</v>
      </c>
      <c r="B341" s="22" t="s">
        <v>16648</v>
      </c>
      <c r="C341" s="2">
        <v>1</v>
      </c>
      <c r="D341" s="23">
        <v>11.99</v>
      </c>
      <c r="E341" s="3">
        <v>11.99</v>
      </c>
      <c r="F341" s="2" t="s">
        <v>16646</v>
      </c>
      <c r="G341" s="22" t="s">
        <v>19794</v>
      </c>
      <c r="H341" s="24" t="s">
        <v>19384</v>
      </c>
      <c r="I341" s="22" t="s">
        <v>19309</v>
      </c>
      <c r="J341" s="22" t="s">
        <v>19573</v>
      </c>
      <c r="K341" s="22" t="s">
        <v>19574</v>
      </c>
      <c r="L341" s="22"/>
      <c r="M341" s="22"/>
      <c r="N341" s="25" t="str">
        <f>HYPERLINK("http://slimages.macys.com/is/image/MCY/1956290 ")</f>
        <v xml:space="preserve">http://slimages.macys.com/is/image/MCY/1956290 </v>
      </c>
    </row>
    <row r="342" spans="1:14" x14ac:dyDescent="0.25">
      <c r="A342" s="21" t="s">
        <v>7748</v>
      </c>
      <c r="B342" s="22" t="s">
        <v>7749</v>
      </c>
      <c r="C342" s="2">
        <v>1</v>
      </c>
      <c r="D342" s="23">
        <v>11.99</v>
      </c>
      <c r="E342" s="3">
        <v>11.99</v>
      </c>
      <c r="F342" s="2" t="s">
        <v>16330</v>
      </c>
      <c r="G342" s="22" t="s">
        <v>19315</v>
      </c>
      <c r="H342" s="24" t="s">
        <v>19377</v>
      </c>
      <c r="I342" s="22" t="s">
        <v>19309</v>
      </c>
      <c r="J342" s="22" t="s">
        <v>19849</v>
      </c>
      <c r="K342" s="22" t="s">
        <v>19850</v>
      </c>
      <c r="L342" s="22"/>
      <c r="M342" s="22"/>
      <c r="N342" s="25" t="str">
        <f>HYPERLINK("http://slimages.macys.com/is/image/MCY/21251264 ")</f>
        <v xml:space="preserve">http://slimages.macys.com/is/image/MCY/21251264 </v>
      </c>
    </row>
    <row r="343" spans="1:14" ht="24.75" x14ac:dyDescent="0.25">
      <c r="A343" s="21" t="s">
        <v>7750</v>
      </c>
      <c r="B343" s="22" t="s">
        <v>7751</v>
      </c>
      <c r="C343" s="2">
        <v>1</v>
      </c>
      <c r="D343" s="23">
        <v>10.99</v>
      </c>
      <c r="E343" s="3">
        <v>10.99</v>
      </c>
      <c r="F343" s="2" t="s">
        <v>12379</v>
      </c>
      <c r="G343" s="22" t="s">
        <v>19585</v>
      </c>
      <c r="H343" s="24" t="s">
        <v>19538</v>
      </c>
      <c r="I343" s="22" t="s">
        <v>19309</v>
      </c>
      <c r="J343" s="22" t="s">
        <v>19573</v>
      </c>
      <c r="K343" s="22" t="s">
        <v>19574</v>
      </c>
      <c r="L343" s="22"/>
      <c r="M343" s="22"/>
      <c r="N343" s="25" t="str">
        <f>HYPERLINK("http://slimages.macys.com/is/image/MCY/20757685 ")</f>
        <v xml:space="preserve">http://slimages.macys.com/is/image/MCY/20757685 </v>
      </c>
    </row>
    <row r="344" spans="1:14" ht="24.75" x14ac:dyDescent="0.25">
      <c r="A344" s="21" t="s">
        <v>18677</v>
      </c>
      <c r="B344" s="22" t="s">
        <v>18678</v>
      </c>
      <c r="C344" s="2">
        <v>1</v>
      </c>
      <c r="D344" s="23">
        <v>9.99</v>
      </c>
      <c r="E344" s="3">
        <v>9.99</v>
      </c>
      <c r="F344" s="2">
        <v>10015240800</v>
      </c>
      <c r="G344" s="22" t="s">
        <v>19351</v>
      </c>
      <c r="H344" s="24" t="s">
        <v>19770</v>
      </c>
      <c r="I344" s="22" t="s">
        <v>19309</v>
      </c>
      <c r="J344" s="22" t="s">
        <v>19573</v>
      </c>
      <c r="K344" s="22" t="s">
        <v>19574</v>
      </c>
      <c r="L344" s="22"/>
      <c r="M344" s="22"/>
      <c r="N344" s="25" t="str">
        <f>HYPERLINK("http://slimages.macys.com/is/image/MCY/2023449 ")</f>
        <v xml:space="preserve">http://slimages.macys.com/is/image/MCY/2023449 </v>
      </c>
    </row>
    <row r="345" spans="1:14" ht="24.75" x14ac:dyDescent="0.25">
      <c r="A345" s="21" t="s">
        <v>7752</v>
      </c>
      <c r="B345" s="22" t="s">
        <v>7753</v>
      </c>
      <c r="C345" s="2">
        <v>1</v>
      </c>
      <c r="D345" s="23">
        <v>11.99</v>
      </c>
      <c r="E345" s="3">
        <v>11.99</v>
      </c>
      <c r="F345" s="2" t="s">
        <v>18699</v>
      </c>
      <c r="G345" s="22" t="s">
        <v>19906</v>
      </c>
      <c r="H345" s="24" t="s">
        <v>19339</v>
      </c>
      <c r="I345" s="22" t="s">
        <v>19309</v>
      </c>
      <c r="J345" s="22" t="s">
        <v>19454</v>
      </c>
      <c r="K345" s="22" t="s">
        <v>18654</v>
      </c>
      <c r="L345" s="22"/>
      <c r="M345" s="22"/>
      <c r="N345" s="25" t="str">
        <f>HYPERLINK("http://slimages.macys.com/is/image/MCY/22163513 ")</f>
        <v xml:space="preserve">http://slimages.macys.com/is/image/MCY/22163513 </v>
      </c>
    </row>
    <row r="346" spans="1:14" ht="24.75" x14ac:dyDescent="0.25">
      <c r="A346" s="21" t="s">
        <v>13937</v>
      </c>
      <c r="B346" s="22" t="s">
        <v>13938</v>
      </c>
      <c r="C346" s="2">
        <v>1</v>
      </c>
      <c r="D346" s="23">
        <v>10.99</v>
      </c>
      <c r="E346" s="3">
        <v>10.99</v>
      </c>
      <c r="F346" s="2" t="s">
        <v>18702</v>
      </c>
      <c r="G346" s="22" t="s">
        <v>19670</v>
      </c>
      <c r="H346" s="24" t="s">
        <v>19364</v>
      </c>
      <c r="I346" s="22" t="s">
        <v>19309</v>
      </c>
      <c r="J346" s="22" t="s">
        <v>19353</v>
      </c>
      <c r="K346" s="22" t="s">
        <v>19524</v>
      </c>
      <c r="L346" s="22"/>
      <c r="M346" s="22"/>
      <c r="N346" s="25" t="str">
        <f>HYPERLINK("http://slimages.macys.com/is/image/MCY/1484637 ")</f>
        <v xml:space="preserve">http://slimages.macys.com/is/image/MCY/1484637 </v>
      </c>
    </row>
    <row r="347" spans="1:14" ht="24.75" x14ac:dyDescent="0.25">
      <c r="A347" s="21" t="s">
        <v>7754</v>
      </c>
      <c r="B347" s="22" t="s">
        <v>7755</v>
      </c>
      <c r="C347" s="2">
        <v>1</v>
      </c>
      <c r="D347" s="23">
        <v>10.99</v>
      </c>
      <c r="E347" s="3">
        <v>10.99</v>
      </c>
      <c r="F347" s="2" t="s">
        <v>7756</v>
      </c>
      <c r="G347" s="22" t="s">
        <v>19906</v>
      </c>
      <c r="H347" s="24" t="s">
        <v>19797</v>
      </c>
      <c r="I347" s="22" t="s">
        <v>19309</v>
      </c>
      <c r="J347" s="22" t="s">
        <v>19353</v>
      </c>
      <c r="K347" s="22" t="s">
        <v>19524</v>
      </c>
      <c r="L347" s="22"/>
      <c r="M347" s="22"/>
      <c r="N347" s="25" t="str">
        <f>HYPERLINK("http://slimages.macys.com/is/image/MCY/1472570 ")</f>
        <v xml:space="preserve">http://slimages.macys.com/is/image/MCY/1472570 </v>
      </c>
    </row>
    <row r="348" spans="1:14" ht="24.75" x14ac:dyDescent="0.25">
      <c r="A348" s="21" t="s">
        <v>18706</v>
      </c>
      <c r="B348" s="22" t="s">
        <v>18707</v>
      </c>
      <c r="C348" s="2">
        <v>2</v>
      </c>
      <c r="D348" s="23">
        <v>10.41</v>
      </c>
      <c r="E348" s="3">
        <v>20.82</v>
      </c>
      <c r="F348" s="2" t="s">
        <v>18708</v>
      </c>
      <c r="G348" s="22"/>
      <c r="H348" s="24" t="s">
        <v>19392</v>
      </c>
      <c r="I348" s="22" t="s">
        <v>19309</v>
      </c>
      <c r="J348" s="22" t="s">
        <v>19602</v>
      </c>
      <c r="K348" s="22" t="s">
        <v>20041</v>
      </c>
      <c r="L348" s="22"/>
      <c r="M348" s="22"/>
      <c r="N348" s="25" t="str">
        <f>HYPERLINK("http://slimages.macys.com/is/image/MCY/21723875 ")</f>
        <v xml:space="preserve">http://slimages.macys.com/is/image/MCY/21723875 </v>
      </c>
    </row>
    <row r="349" spans="1:14" ht="24.75" x14ac:dyDescent="0.25">
      <c r="A349" s="21" t="s">
        <v>7757</v>
      </c>
      <c r="B349" s="22" t="s">
        <v>7758</v>
      </c>
      <c r="C349" s="2">
        <v>1</v>
      </c>
      <c r="D349" s="23">
        <v>7.99</v>
      </c>
      <c r="E349" s="3">
        <v>7.99</v>
      </c>
      <c r="F349" s="2" t="s">
        <v>7759</v>
      </c>
      <c r="G349" s="22" t="s">
        <v>19351</v>
      </c>
      <c r="H349" s="24" t="s">
        <v>19377</v>
      </c>
      <c r="I349" s="22" t="s">
        <v>19309</v>
      </c>
      <c r="J349" s="22" t="s">
        <v>19447</v>
      </c>
      <c r="K349" s="22" t="s">
        <v>20146</v>
      </c>
      <c r="L349" s="22"/>
      <c r="M349" s="22"/>
      <c r="N349" s="25" t="str">
        <f>HYPERLINK("http://slimages.macys.com/is/image/MCY/19091743 ")</f>
        <v xml:space="preserve">http://slimages.macys.com/is/image/MCY/19091743 </v>
      </c>
    </row>
    <row r="350" spans="1:14" ht="24.75" x14ac:dyDescent="0.25">
      <c r="A350" s="21" t="s">
        <v>7760</v>
      </c>
      <c r="B350" s="22" t="s">
        <v>7761</v>
      </c>
      <c r="C350" s="2">
        <v>1</v>
      </c>
      <c r="D350" s="23">
        <v>7.99</v>
      </c>
      <c r="E350" s="3">
        <v>7.99</v>
      </c>
      <c r="F350" s="2" t="s">
        <v>18723</v>
      </c>
      <c r="G350" s="22" t="s">
        <v>19467</v>
      </c>
      <c r="H350" s="24" t="s">
        <v>19395</v>
      </c>
      <c r="I350" s="22" t="s">
        <v>19309</v>
      </c>
      <c r="J350" s="22" t="s">
        <v>19447</v>
      </c>
      <c r="K350" s="22" t="s">
        <v>20146</v>
      </c>
      <c r="L350" s="22"/>
      <c r="M350" s="22"/>
      <c r="N350" s="25" t="str">
        <f>HYPERLINK("http://slimages.macys.com/is/image/MCY/21008517 ")</f>
        <v xml:space="preserve">http://slimages.macys.com/is/image/MCY/21008517 </v>
      </c>
    </row>
    <row r="351" spans="1:14" ht="24.75" x14ac:dyDescent="0.25">
      <c r="A351" s="21" t="s">
        <v>7762</v>
      </c>
      <c r="B351" s="22" t="s">
        <v>7763</v>
      </c>
      <c r="C351" s="2">
        <v>1</v>
      </c>
      <c r="D351" s="23">
        <v>10.99</v>
      </c>
      <c r="E351" s="3">
        <v>10.99</v>
      </c>
      <c r="F351" s="2" t="s">
        <v>7764</v>
      </c>
      <c r="G351" s="22" t="s">
        <v>19431</v>
      </c>
      <c r="H351" s="24" t="s">
        <v>19797</v>
      </c>
      <c r="I351" s="22" t="s">
        <v>19309</v>
      </c>
      <c r="J351" s="22" t="s">
        <v>19353</v>
      </c>
      <c r="K351" s="22" t="s">
        <v>19524</v>
      </c>
      <c r="L351" s="22"/>
      <c r="M351" s="22"/>
      <c r="N351" s="25" t="str">
        <f>HYPERLINK("http://slimages.macys.com/is/image/MCY/1571040 ")</f>
        <v xml:space="preserve">http://slimages.macys.com/is/image/MCY/1571040 </v>
      </c>
    </row>
    <row r="352" spans="1:14" ht="24.75" x14ac:dyDescent="0.25">
      <c r="A352" s="21" t="s">
        <v>7765</v>
      </c>
      <c r="B352" s="22" t="s">
        <v>7766</v>
      </c>
      <c r="C352" s="2">
        <v>1</v>
      </c>
      <c r="D352" s="23">
        <v>10.99</v>
      </c>
      <c r="E352" s="3">
        <v>10.99</v>
      </c>
      <c r="F352" s="2" t="s">
        <v>7767</v>
      </c>
      <c r="G352" s="22" t="s">
        <v>19338</v>
      </c>
      <c r="H352" s="24" t="s">
        <v>19339</v>
      </c>
      <c r="I352" s="22" t="s">
        <v>19309</v>
      </c>
      <c r="J352" s="22" t="s">
        <v>19353</v>
      </c>
      <c r="K352" s="22" t="s">
        <v>19524</v>
      </c>
      <c r="L352" s="22"/>
      <c r="M352" s="22"/>
      <c r="N352" s="25" t="str">
        <f>HYPERLINK("http://slimages.macys.com/is/image/MCY/21083379 ")</f>
        <v xml:space="preserve">http://slimages.macys.com/is/image/MCY/21083379 </v>
      </c>
    </row>
    <row r="353" spans="1:14" ht="24.75" x14ac:dyDescent="0.25">
      <c r="A353" s="21" t="s">
        <v>16689</v>
      </c>
      <c r="B353" s="22" t="s">
        <v>16690</v>
      </c>
      <c r="C353" s="2">
        <v>1</v>
      </c>
      <c r="D353" s="23">
        <v>7.99</v>
      </c>
      <c r="E353" s="3">
        <v>7.99</v>
      </c>
      <c r="F353" s="2" t="s">
        <v>18723</v>
      </c>
      <c r="G353" s="22" t="s">
        <v>19467</v>
      </c>
      <c r="H353" s="24" t="s">
        <v>19542</v>
      </c>
      <c r="I353" s="22" t="s">
        <v>19309</v>
      </c>
      <c r="J353" s="22" t="s">
        <v>19447</v>
      </c>
      <c r="K353" s="22" t="s">
        <v>20146</v>
      </c>
      <c r="L353" s="22"/>
      <c r="M353" s="22"/>
      <c r="N353" s="25" t="str">
        <f>HYPERLINK("http://slimages.macys.com/is/image/MCY/21008517 ")</f>
        <v xml:space="preserve">http://slimages.macys.com/is/image/MCY/21008517 </v>
      </c>
    </row>
    <row r="354" spans="1:14" ht="24.75" x14ac:dyDescent="0.25">
      <c r="A354" s="21" t="s">
        <v>7768</v>
      </c>
      <c r="B354" s="22" t="s">
        <v>7769</v>
      </c>
      <c r="C354" s="2">
        <v>1</v>
      </c>
      <c r="D354" s="23">
        <v>11.99</v>
      </c>
      <c r="E354" s="3">
        <v>11.99</v>
      </c>
      <c r="F354" s="2" t="s">
        <v>18726</v>
      </c>
      <c r="G354" s="22" t="s">
        <v>19670</v>
      </c>
      <c r="H354" s="24" t="s">
        <v>19339</v>
      </c>
      <c r="I354" s="22" t="s">
        <v>19309</v>
      </c>
      <c r="J354" s="22" t="s">
        <v>19849</v>
      </c>
      <c r="K354" s="22" t="s">
        <v>19850</v>
      </c>
      <c r="L354" s="22"/>
      <c r="M354" s="22"/>
      <c r="N354" s="25" t="str">
        <f>HYPERLINK("http://slimages.macys.com/is/image/MCY/20786301 ")</f>
        <v xml:space="preserve">http://slimages.macys.com/is/image/MCY/20786301 </v>
      </c>
    </row>
    <row r="355" spans="1:14" ht="24.75" x14ac:dyDescent="0.25">
      <c r="A355" s="21" t="s">
        <v>16703</v>
      </c>
      <c r="B355" s="22" t="s">
        <v>16704</v>
      </c>
      <c r="C355" s="2">
        <v>1</v>
      </c>
      <c r="D355" s="23">
        <v>13.99</v>
      </c>
      <c r="E355" s="3">
        <v>13.99</v>
      </c>
      <c r="F355" s="2" t="s">
        <v>18729</v>
      </c>
      <c r="G355" s="22" t="s">
        <v>19415</v>
      </c>
      <c r="H355" s="24" t="s">
        <v>19330</v>
      </c>
      <c r="I355" s="22" t="s">
        <v>19309</v>
      </c>
      <c r="J355" s="22" t="s">
        <v>19573</v>
      </c>
      <c r="K355" s="22" t="s">
        <v>19574</v>
      </c>
      <c r="L355" s="22"/>
      <c r="M355" s="22"/>
      <c r="N355" s="25" t="str">
        <f>HYPERLINK("http://slimages.macys.com/is/image/MCY/1956290 ")</f>
        <v xml:space="preserve">http://slimages.macys.com/is/image/MCY/1956290 </v>
      </c>
    </row>
    <row r="356" spans="1:14" ht="24.75" x14ac:dyDescent="0.25">
      <c r="A356" s="21" t="s">
        <v>16705</v>
      </c>
      <c r="B356" s="22" t="s">
        <v>16706</v>
      </c>
      <c r="C356" s="2">
        <v>1</v>
      </c>
      <c r="D356" s="23">
        <v>13.99</v>
      </c>
      <c r="E356" s="3">
        <v>13.99</v>
      </c>
      <c r="F356" s="2" t="s">
        <v>18729</v>
      </c>
      <c r="G356" s="22" t="s">
        <v>19415</v>
      </c>
      <c r="H356" s="24"/>
      <c r="I356" s="22" t="s">
        <v>19309</v>
      </c>
      <c r="J356" s="22" t="s">
        <v>19573</v>
      </c>
      <c r="K356" s="22" t="s">
        <v>19574</v>
      </c>
      <c r="L356" s="22"/>
      <c r="M356" s="22"/>
      <c r="N356" s="25" t="str">
        <f>HYPERLINK("http://slimages.macys.com/is/image/MCY/1956290 ")</f>
        <v xml:space="preserve">http://slimages.macys.com/is/image/MCY/1956290 </v>
      </c>
    </row>
    <row r="357" spans="1:14" ht="24.75" x14ac:dyDescent="0.25">
      <c r="A357" s="21" t="s">
        <v>18727</v>
      </c>
      <c r="B357" s="22" t="s">
        <v>18728</v>
      </c>
      <c r="C357" s="2">
        <v>1</v>
      </c>
      <c r="D357" s="23">
        <v>13.99</v>
      </c>
      <c r="E357" s="3">
        <v>13.99</v>
      </c>
      <c r="F357" s="2" t="s">
        <v>18729</v>
      </c>
      <c r="G357" s="22" t="s">
        <v>19415</v>
      </c>
      <c r="H357" s="24" t="s">
        <v>19384</v>
      </c>
      <c r="I357" s="22" t="s">
        <v>19309</v>
      </c>
      <c r="J357" s="22" t="s">
        <v>19573</v>
      </c>
      <c r="K357" s="22" t="s">
        <v>19574</v>
      </c>
      <c r="L357" s="22"/>
      <c r="M357" s="22"/>
      <c r="N357" s="25" t="str">
        <f>HYPERLINK("http://slimages.macys.com/is/image/MCY/1956290 ")</f>
        <v xml:space="preserve">http://slimages.macys.com/is/image/MCY/1956290 </v>
      </c>
    </row>
    <row r="358" spans="1:14" ht="24.75" x14ac:dyDescent="0.25">
      <c r="A358" s="21" t="s">
        <v>7770</v>
      </c>
      <c r="B358" s="22" t="s">
        <v>7771</v>
      </c>
      <c r="C358" s="2">
        <v>2</v>
      </c>
      <c r="D358" s="23">
        <v>9.99</v>
      </c>
      <c r="E358" s="3">
        <v>19.98</v>
      </c>
      <c r="F358" s="2" t="s">
        <v>18735</v>
      </c>
      <c r="G358" s="22" t="s">
        <v>19431</v>
      </c>
      <c r="H358" s="24" t="s">
        <v>19352</v>
      </c>
      <c r="I358" s="22" t="s">
        <v>19309</v>
      </c>
      <c r="J358" s="22" t="s">
        <v>19815</v>
      </c>
      <c r="K358" s="22" t="s">
        <v>19816</v>
      </c>
      <c r="L358" s="22"/>
      <c r="M358" s="22"/>
      <c r="N358" s="25" t="str">
        <f>HYPERLINK("http://slimages.macys.com/is/image/MCY/21769961 ")</f>
        <v xml:space="preserve">http://slimages.macys.com/is/image/MCY/21769961 </v>
      </c>
    </row>
    <row r="359" spans="1:14" ht="24.75" x14ac:dyDescent="0.25">
      <c r="A359" s="21" t="s">
        <v>18733</v>
      </c>
      <c r="B359" s="22" t="s">
        <v>18734</v>
      </c>
      <c r="C359" s="2">
        <v>1</v>
      </c>
      <c r="D359" s="23">
        <v>9.99</v>
      </c>
      <c r="E359" s="3">
        <v>9.99</v>
      </c>
      <c r="F359" s="2" t="s">
        <v>18735</v>
      </c>
      <c r="G359" s="22" t="s">
        <v>19431</v>
      </c>
      <c r="H359" s="24" t="s">
        <v>19364</v>
      </c>
      <c r="I359" s="22" t="s">
        <v>19309</v>
      </c>
      <c r="J359" s="22" t="s">
        <v>19815</v>
      </c>
      <c r="K359" s="22" t="s">
        <v>19816</v>
      </c>
      <c r="L359" s="22"/>
      <c r="M359" s="22"/>
      <c r="N359" s="25" t="str">
        <f>HYPERLINK("http://slimages.macys.com/is/image/MCY/1968633 ")</f>
        <v xml:space="preserve">http://slimages.macys.com/is/image/MCY/1968633 </v>
      </c>
    </row>
    <row r="360" spans="1:14" ht="24.75" x14ac:dyDescent="0.25">
      <c r="A360" s="21" t="s">
        <v>7772</v>
      </c>
      <c r="B360" s="22" t="s">
        <v>7773</v>
      </c>
      <c r="C360" s="2">
        <v>1</v>
      </c>
      <c r="D360" s="23">
        <v>10.99</v>
      </c>
      <c r="E360" s="3">
        <v>10.99</v>
      </c>
      <c r="F360" s="2" t="s">
        <v>16709</v>
      </c>
      <c r="G360" s="22" t="s">
        <v>19431</v>
      </c>
      <c r="H360" s="24" t="s">
        <v>19364</v>
      </c>
      <c r="I360" s="22" t="s">
        <v>19309</v>
      </c>
      <c r="J360" s="22" t="s">
        <v>19353</v>
      </c>
      <c r="K360" s="22" t="s">
        <v>19524</v>
      </c>
      <c r="L360" s="22"/>
      <c r="M360" s="22"/>
      <c r="N360" s="25" t="str">
        <f>HYPERLINK("http://slimages.macys.com/is/image/MCY/1472533 ")</f>
        <v xml:space="preserve">http://slimages.macys.com/is/image/MCY/1472533 </v>
      </c>
    </row>
    <row r="361" spans="1:14" ht="24.75" x14ac:dyDescent="0.25">
      <c r="A361" s="21" t="s">
        <v>16725</v>
      </c>
      <c r="B361" s="22" t="s">
        <v>16726</v>
      </c>
      <c r="C361" s="2">
        <v>1</v>
      </c>
      <c r="D361" s="23">
        <v>10.99</v>
      </c>
      <c r="E361" s="3">
        <v>10.99</v>
      </c>
      <c r="F361" s="2" t="s">
        <v>18738</v>
      </c>
      <c r="G361" s="22" t="s">
        <v>19462</v>
      </c>
      <c r="H361" s="24" t="s">
        <v>19339</v>
      </c>
      <c r="I361" s="22" t="s">
        <v>19309</v>
      </c>
      <c r="J361" s="22" t="s">
        <v>19353</v>
      </c>
      <c r="K361" s="22" t="s">
        <v>19524</v>
      </c>
      <c r="L361" s="22"/>
      <c r="M361" s="22"/>
      <c r="N361" s="25" t="str">
        <f>HYPERLINK("http://slimages.macys.com/is/image/MCY/1472546 ")</f>
        <v xml:space="preserve">http://slimages.macys.com/is/image/MCY/1472546 </v>
      </c>
    </row>
    <row r="362" spans="1:14" ht="24.75" x14ac:dyDescent="0.25">
      <c r="A362" s="21" t="s">
        <v>9975</v>
      </c>
      <c r="B362" s="22" t="s">
        <v>9976</v>
      </c>
      <c r="C362" s="2">
        <v>1</v>
      </c>
      <c r="D362" s="23">
        <v>10.99</v>
      </c>
      <c r="E362" s="3">
        <v>10.99</v>
      </c>
      <c r="F362" s="2" t="s">
        <v>18732</v>
      </c>
      <c r="G362" s="22" t="s">
        <v>18439</v>
      </c>
      <c r="H362" s="24" t="s">
        <v>19797</v>
      </c>
      <c r="I362" s="22" t="s">
        <v>19309</v>
      </c>
      <c r="J362" s="22" t="s">
        <v>19353</v>
      </c>
      <c r="K362" s="22" t="s">
        <v>19524</v>
      </c>
      <c r="L362" s="22"/>
      <c r="M362" s="22"/>
      <c r="N362" s="25" t="str">
        <f>HYPERLINK("http://slimages.macys.com/is/image/MCY/1472546 ")</f>
        <v xml:space="preserve">http://slimages.macys.com/is/image/MCY/1472546 </v>
      </c>
    </row>
    <row r="363" spans="1:14" ht="24.75" x14ac:dyDescent="0.25">
      <c r="A363" s="21" t="s">
        <v>9973</v>
      </c>
      <c r="B363" s="22" t="s">
        <v>9974</v>
      </c>
      <c r="C363" s="2">
        <v>2</v>
      </c>
      <c r="D363" s="23">
        <v>10.99</v>
      </c>
      <c r="E363" s="3">
        <v>21.98</v>
      </c>
      <c r="F363" s="2" t="s">
        <v>18732</v>
      </c>
      <c r="G363" s="22" t="s">
        <v>18439</v>
      </c>
      <c r="H363" s="24" t="s">
        <v>19364</v>
      </c>
      <c r="I363" s="22" t="s">
        <v>19309</v>
      </c>
      <c r="J363" s="22" t="s">
        <v>19353</v>
      </c>
      <c r="K363" s="22" t="s">
        <v>19524</v>
      </c>
      <c r="L363" s="22"/>
      <c r="M363" s="22"/>
      <c r="N363" s="25" t="str">
        <f>HYPERLINK("http://slimages.macys.com/is/image/MCY/1472546 ")</f>
        <v xml:space="preserve">http://slimages.macys.com/is/image/MCY/1472546 </v>
      </c>
    </row>
    <row r="364" spans="1:14" ht="24.75" x14ac:dyDescent="0.25">
      <c r="A364" s="21" t="s">
        <v>18736</v>
      </c>
      <c r="B364" s="22" t="s">
        <v>18737</v>
      </c>
      <c r="C364" s="2">
        <v>1</v>
      </c>
      <c r="D364" s="23">
        <v>10.99</v>
      </c>
      <c r="E364" s="3">
        <v>10.99</v>
      </c>
      <c r="F364" s="2" t="s">
        <v>18738</v>
      </c>
      <c r="G364" s="22" t="s">
        <v>19462</v>
      </c>
      <c r="H364" s="24" t="s">
        <v>19797</v>
      </c>
      <c r="I364" s="22" t="s">
        <v>19309</v>
      </c>
      <c r="J364" s="22" t="s">
        <v>19353</v>
      </c>
      <c r="K364" s="22" t="s">
        <v>19524</v>
      </c>
      <c r="L364" s="22"/>
      <c r="M364" s="22"/>
      <c r="N364" s="25" t="str">
        <f>HYPERLINK("http://slimages.macys.com/is/image/MCY/1472528 ")</f>
        <v xml:space="preserve">http://slimages.macys.com/is/image/MCY/1472528 </v>
      </c>
    </row>
    <row r="365" spans="1:14" ht="24.75" x14ac:dyDescent="0.25">
      <c r="A365" s="21" t="s">
        <v>7774</v>
      </c>
      <c r="B365" s="22" t="s">
        <v>7775</v>
      </c>
      <c r="C365" s="2">
        <v>1</v>
      </c>
      <c r="D365" s="23">
        <v>12.99</v>
      </c>
      <c r="E365" s="3">
        <v>12.99</v>
      </c>
      <c r="F365" s="2" t="s">
        <v>7776</v>
      </c>
      <c r="G365" s="22" t="s">
        <v>19338</v>
      </c>
      <c r="H365" s="24" t="s">
        <v>14485</v>
      </c>
      <c r="I365" s="22" t="s">
        <v>19309</v>
      </c>
      <c r="J365" s="22" t="s">
        <v>20076</v>
      </c>
      <c r="K365" s="22" t="s">
        <v>18822</v>
      </c>
      <c r="L365" s="22"/>
      <c r="M365" s="22"/>
      <c r="N365" s="25" t="str">
        <f>HYPERLINK("http://slimages.macys.com/is/image/MCY/20052304 ")</f>
        <v xml:space="preserve">http://slimages.macys.com/is/image/MCY/20052304 </v>
      </c>
    </row>
    <row r="366" spans="1:14" x14ac:dyDescent="0.25">
      <c r="A366" s="21" t="s">
        <v>9032</v>
      </c>
      <c r="B366" s="22" t="s">
        <v>9033</v>
      </c>
      <c r="C366" s="2">
        <v>1</v>
      </c>
      <c r="D366" s="23">
        <v>11.38</v>
      </c>
      <c r="E366" s="3">
        <v>11.38</v>
      </c>
      <c r="F366" s="2" t="s">
        <v>18749</v>
      </c>
      <c r="G366" s="22"/>
      <c r="H366" s="24" t="s">
        <v>19367</v>
      </c>
      <c r="I366" s="22" t="s">
        <v>19309</v>
      </c>
      <c r="J366" s="22" t="s">
        <v>19708</v>
      </c>
      <c r="K366" s="22" t="s">
        <v>19709</v>
      </c>
      <c r="L366" s="22"/>
      <c r="M366" s="22"/>
      <c r="N366" s="25" t="str">
        <f>HYPERLINK("http://slimages.macys.com/is/image/MCY/21414119 ")</f>
        <v xml:space="preserve">http://slimages.macys.com/is/image/MCY/21414119 </v>
      </c>
    </row>
    <row r="367" spans="1:14" x14ac:dyDescent="0.25">
      <c r="A367" s="21" t="s">
        <v>16742</v>
      </c>
      <c r="B367" s="22" t="s">
        <v>16743</v>
      </c>
      <c r="C367" s="2">
        <v>1</v>
      </c>
      <c r="D367" s="23">
        <v>11.38</v>
      </c>
      <c r="E367" s="3">
        <v>11.38</v>
      </c>
      <c r="F367" s="2" t="s">
        <v>18749</v>
      </c>
      <c r="G367" s="22"/>
      <c r="H367" s="24" t="s">
        <v>20152</v>
      </c>
      <c r="I367" s="22" t="s">
        <v>19309</v>
      </c>
      <c r="J367" s="22" t="s">
        <v>19708</v>
      </c>
      <c r="K367" s="22" t="s">
        <v>19709</v>
      </c>
      <c r="L367" s="22"/>
      <c r="M367" s="22"/>
      <c r="N367" s="25" t="str">
        <f>HYPERLINK("http://slimages.macys.com/is/image/MCY/21414119 ")</f>
        <v xml:space="preserve">http://slimages.macys.com/is/image/MCY/21414119 </v>
      </c>
    </row>
    <row r="368" spans="1:14" ht="24.75" x14ac:dyDescent="0.25">
      <c r="A368" s="21" t="s">
        <v>13330</v>
      </c>
      <c r="B368" s="22" t="s">
        <v>13331</v>
      </c>
      <c r="C368" s="2">
        <v>1</v>
      </c>
      <c r="D368" s="23">
        <v>10.99</v>
      </c>
      <c r="E368" s="3">
        <v>10.99</v>
      </c>
      <c r="F368" s="2" t="s">
        <v>18763</v>
      </c>
      <c r="G368" s="22" t="s">
        <v>18764</v>
      </c>
      <c r="H368" s="24" t="s">
        <v>19330</v>
      </c>
      <c r="I368" s="22" t="s">
        <v>19309</v>
      </c>
      <c r="J368" s="22" t="s">
        <v>19573</v>
      </c>
      <c r="K368" s="22" t="s">
        <v>19574</v>
      </c>
      <c r="L368" s="22"/>
      <c r="M368" s="22"/>
      <c r="N368" s="25" t="str">
        <f>HYPERLINK("http://slimages.macys.com/is/image/MCY/17720840 ")</f>
        <v xml:space="preserve">http://slimages.macys.com/is/image/MCY/17720840 </v>
      </c>
    </row>
    <row r="369" spans="1:14" ht="24.75" x14ac:dyDescent="0.25">
      <c r="A369" s="21" t="s">
        <v>7777</v>
      </c>
      <c r="B369" s="22" t="s">
        <v>7778</v>
      </c>
      <c r="C369" s="2">
        <v>1</v>
      </c>
      <c r="D369" s="23">
        <v>10.99</v>
      </c>
      <c r="E369" s="3">
        <v>10.99</v>
      </c>
      <c r="F369" s="2" t="s">
        <v>18767</v>
      </c>
      <c r="G369" s="22" t="s">
        <v>19467</v>
      </c>
      <c r="H369" s="24" t="s">
        <v>19352</v>
      </c>
      <c r="I369" s="22" t="s">
        <v>19309</v>
      </c>
      <c r="J369" s="22" t="s">
        <v>19353</v>
      </c>
      <c r="K369" s="22" t="s">
        <v>19524</v>
      </c>
      <c r="L369" s="22"/>
      <c r="M369" s="22"/>
      <c r="N369" s="25" t="str">
        <f>HYPERLINK("http://slimages.macys.com/is/image/MCY/1426558 ")</f>
        <v xml:space="preserve">http://slimages.macys.com/is/image/MCY/1426558 </v>
      </c>
    </row>
    <row r="370" spans="1:14" ht="24.75" x14ac:dyDescent="0.25">
      <c r="A370" s="21" t="s">
        <v>7779</v>
      </c>
      <c r="B370" s="22" t="s">
        <v>7780</v>
      </c>
      <c r="C370" s="2">
        <v>1</v>
      </c>
      <c r="D370" s="23">
        <v>10.99</v>
      </c>
      <c r="E370" s="3">
        <v>10.99</v>
      </c>
      <c r="F370" s="2" t="s">
        <v>9986</v>
      </c>
      <c r="G370" s="22" t="s">
        <v>19323</v>
      </c>
      <c r="H370" s="24" t="s">
        <v>19797</v>
      </c>
      <c r="I370" s="22" t="s">
        <v>19309</v>
      </c>
      <c r="J370" s="22" t="s">
        <v>19353</v>
      </c>
      <c r="K370" s="22" t="s">
        <v>19524</v>
      </c>
      <c r="L370" s="22"/>
      <c r="M370" s="22"/>
      <c r="N370" s="25" t="str">
        <f>HYPERLINK("http://slimages.macys.com/is/image/MCY/20440807 ")</f>
        <v xml:space="preserve">http://slimages.macys.com/is/image/MCY/20440807 </v>
      </c>
    </row>
    <row r="371" spans="1:14" ht="24.75" x14ac:dyDescent="0.25">
      <c r="A371" s="21" t="s">
        <v>18771</v>
      </c>
      <c r="B371" s="22" t="s">
        <v>18772</v>
      </c>
      <c r="C371" s="2">
        <v>1</v>
      </c>
      <c r="D371" s="23">
        <v>9.99</v>
      </c>
      <c r="E371" s="3">
        <v>9.99</v>
      </c>
      <c r="F371" s="2" t="s">
        <v>18773</v>
      </c>
      <c r="G371" s="22" t="s">
        <v>19422</v>
      </c>
      <c r="H371" s="24" t="s">
        <v>19538</v>
      </c>
      <c r="I371" s="22" t="s">
        <v>19309</v>
      </c>
      <c r="J371" s="22" t="s">
        <v>19573</v>
      </c>
      <c r="K371" s="22" t="s">
        <v>19574</v>
      </c>
      <c r="L371" s="22"/>
      <c r="M371" s="22"/>
      <c r="N371" s="25" t="str">
        <f>HYPERLINK("http://slimages.macys.com/is/image/MCY/1322715 ")</f>
        <v xml:space="preserve">http://slimages.macys.com/is/image/MCY/1322715 </v>
      </c>
    </row>
    <row r="372" spans="1:14" ht="24.75" x14ac:dyDescent="0.25">
      <c r="A372" s="21" t="s">
        <v>18776</v>
      </c>
      <c r="B372" s="22" t="s">
        <v>18777</v>
      </c>
      <c r="C372" s="2">
        <v>3</v>
      </c>
      <c r="D372" s="23">
        <v>9.99</v>
      </c>
      <c r="E372" s="3">
        <v>29.97</v>
      </c>
      <c r="F372" s="2" t="s">
        <v>18773</v>
      </c>
      <c r="G372" s="22" t="s">
        <v>19422</v>
      </c>
      <c r="H372" s="24"/>
      <c r="I372" s="22" t="s">
        <v>19309</v>
      </c>
      <c r="J372" s="22" t="s">
        <v>19573</v>
      </c>
      <c r="K372" s="22" t="s">
        <v>19574</v>
      </c>
      <c r="L372" s="22"/>
      <c r="M372" s="22"/>
      <c r="N372" s="25" t="str">
        <f>HYPERLINK("http://slimages.macys.com/is/image/MCY/1322715 ")</f>
        <v xml:space="preserve">http://slimages.macys.com/is/image/MCY/1322715 </v>
      </c>
    </row>
    <row r="373" spans="1:14" ht="24.75" x14ac:dyDescent="0.25">
      <c r="A373" s="21" t="s">
        <v>18774</v>
      </c>
      <c r="B373" s="22" t="s">
        <v>18775</v>
      </c>
      <c r="C373" s="2">
        <v>1</v>
      </c>
      <c r="D373" s="23">
        <v>9.99</v>
      </c>
      <c r="E373" s="3">
        <v>9.99</v>
      </c>
      <c r="F373" s="2" t="s">
        <v>18773</v>
      </c>
      <c r="G373" s="22" t="s">
        <v>19422</v>
      </c>
      <c r="H373" s="24" t="s">
        <v>19770</v>
      </c>
      <c r="I373" s="22" t="s">
        <v>19309</v>
      </c>
      <c r="J373" s="22" t="s">
        <v>19573</v>
      </c>
      <c r="K373" s="22" t="s">
        <v>19574</v>
      </c>
      <c r="L373" s="22"/>
      <c r="M373" s="22"/>
      <c r="N373" s="25" t="str">
        <f>HYPERLINK("http://slimages.macys.com/is/image/MCY/1646328 ")</f>
        <v xml:space="preserve">http://slimages.macys.com/is/image/MCY/1646328 </v>
      </c>
    </row>
    <row r="374" spans="1:14" ht="24.75" x14ac:dyDescent="0.25">
      <c r="A374" s="21" t="s">
        <v>7781</v>
      </c>
      <c r="B374" s="22" t="s">
        <v>7782</v>
      </c>
      <c r="C374" s="2">
        <v>1</v>
      </c>
      <c r="D374" s="23">
        <v>10.99</v>
      </c>
      <c r="E374" s="3">
        <v>10.99</v>
      </c>
      <c r="F374" s="2" t="s">
        <v>12424</v>
      </c>
      <c r="G374" s="22" t="s">
        <v>19674</v>
      </c>
      <c r="H374" s="24" t="s">
        <v>19770</v>
      </c>
      <c r="I374" s="22" t="s">
        <v>19309</v>
      </c>
      <c r="J374" s="22" t="s">
        <v>19573</v>
      </c>
      <c r="K374" s="22" t="s">
        <v>19574</v>
      </c>
      <c r="L374" s="22"/>
      <c r="M374" s="22"/>
      <c r="N374" s="25" t="str">
        <f>HYPERLINK("http://slimages.macys.com/is/image/MCY/1312560 ")</f>
        <v xml:space="preserve">http://slimages.macys.com/is/image/MCY/1312560 </v>
      </c>
    </row>
    <row r="375" spans="1:14" ht="24.75" x14ac:dyDescent="0.25">
      <c r="A375" s="21" t="s">
        <v>16761</v>
      </c>
      <c r="B375" s="22" t="s">
        <v>16762</v>
      </c>
      <c r="C375" s="2">
        <v>1</v>
      </c>
      <c r="D375" s="23">
        <v>10.99</v>
      </c>
      <c r="E375" s="3">
        <v>10.99</v>
      </c>
      <c r="F375" s="2" t="s">
        <v>18782</v>
      </c>
      <c r="G375" s="22" t="s">
        <v>19670</v>
      </c>
      <c r="H375" s="24"/>
      <c r="I375" s="22" t="s">
        <v>19309</v>
      </c>
      <c r="J375" s="22" t="s">
        <v>19573</v>
      </c>
      <c r="K375" s="22" t="s">
        <v>19574</v>
      </c>
      <c r="L375" s="22"/>
      <c r="M375" s="22"/>
      <c r="N375" s="25" t="str">
        <f>HYPERLINK("http://slimages.macys.com/is/image/MCY/20757762 ")</f>
        <v xml:space="preserve">http://slimages.macys.com/is/image/MCY/20757762 </v>
      </c>
    </row>
    <row r="376" spans="1:14" ht="24.75" x14ac:dyDescent="0.25">
      <c r="A376" s="21" t="s">
        <v>12422</v>
      </c>
      <c r="B376" s="22" t="s">
        <v>12423</v>
      </c>
      <c r="C376" s="2">
        <v>1</v>
      </c>
      <c r="D376" s="23">
        <v>10.99</v>
      </c>
      <c r="E376" s="3">
        <v>10.99</v>
      </c>
      <c r="F376" s="2" t="s">
        <v>12424</v>
      </c>
      <c r="G376" s="22" t="s">
        <v>19674</v>
      </c>
      <c r="H376" s="24"/>
      <c r="I376" s="22" t="s">
        <v>19309</v>
      </c>
      <c r="J376" s="22" t="s">
        <v>19573</v>
      </c>
      <c r="K376" s="22" t="s">
        <v>19574</v>
      </c>
      <c r="L376" s="22"/>
      <c r="M376" s="22"/>
      <c r="N376" s="25" t="str">
        <f>HYPERLINK("http://slimages.macys.com/is/image/MCY/1312560 ")</f>
        <v xml:space="preserve">http://slimages.macys.com/is/image/MCY/1312560 </v>
      </c>
    </row>
    <row r="377" spans="1:14" x14ac:dyDescent="0.25">
      <c r="A377" s="21" t="s">
        <v>7783</v>
      </c>
      <c r="B377" s="22" t="s">
        <v>7784</v>
      </c>
      <c r="C377" s="2">
        <v>1</v>
      </c>
      <c r="D377" s="23">
        <v>8.64</v>
      </c>
      <c r="E377" s="3">
        <v>8.64</v>
      </c>
      <c r="F377" s="2" t="s">
        <v>7785</v>
      </c>
      <c r="G377" s="22"/>
      <c r="H377" s="24" t="s">
        <v>19367</v>
      </c>
      <c r="I377" s="22" t="s">
        <v>19309</v>
      </c>
      <c r="J377" s="22" t="s">
        <v>19708</v>
      </c>
      <c r="K377" s="22" t="s">
        <v>19709</v>
      </c>
      <c r="L377" s="22"/>
      <c r="M377" s="22"/>
      <c r="N377" s="25" t="str">
        <f>HYPERLINK("http://slimages.macys.com/is/image/MCY/19146324 ")</f>
        <v xml:space="preserve">http://slimages.macys.com/is/image/MCY/19146324 </v>
      </c>
    </row>
    <row r="378" spans="1:14" ht="24.75" x14ac:dyDescent="0.25">
      <c r="A378" s="21" t="s">
        <v>7786</v>
      </c>
      <c r="B378" s="22" t="s">
        <v>7787</v>
      </c>
      <c r="C378" s="2">
        <v>1</v>
      </c>
      <c r="D378" s="23">
        <v>8.31</v>
      </c>
      <c r="E378" s="3">
        <v>8.31</v>
      </c>
      <c r="F378" s="2" t="s">
        <v>7788</v>
      </c>
      <c r="G378" s="22" t="s">
        <v>19794</v>
      </c>
      <c r="H378" s="24" t="s">
        <v>19352</v>
      </c>
      <c r="I378" s="22" t="s">
        <v>19309</v>
      </c>
      <c r="J378" s="22" t="s">
        <v>19565</v>
      </c>
      <c r="K378" s="22" t="s">
        <v>18514</v>
      </c>
      <c r="L378" s="22"/>
      <c r="M378" s="22"/>
      <c r="N378" s="25" t="str">
        <f>HYPERLINK("http://slimages.macys.com/is/image/MCY/20726395 ")</f>
        <v xml:space="preserve">http://slimages.macys.com/is/image/MCY/20726395 </v>
      </c>
    </row>
    <row r="379" spans="1:14" ht="24.75" x14ac:dyDescent="0.25">
      <c r="A379" s="21" t="s">
        <v>7789</v>
      </c>
      <c r="B379" s="22" t="s">
        <v>7790</v>
      </c>
      <c r="C379" s="2">
        <v>1</v>
      </c>
      <c r="D379" s="23">
        <v>9.99</v>
      </c>
      <c r="E379" s="3">
        <v>9.99</v>
      </c>
      <c r="F379" s="2" t="s">
        <v>7791</v>
      </c>
      <c r="G379" s="22" t="s">
        <v>19323</v>
      </c>
      <c r="H379" s="24" t="s">
        <v>19395</v>
      </c>
      <c r="I379" s="22" t="s">
        <v>19309</v>
      </c>
      <c r="J379" s="22" t="s">
        <v>19595</v>
      </c>
      <c r="K379" s="22" t="s">
        <v>19596</v>
      </c>
      <c r="L379" s="22"/>
      <c r="M379" s="22"/>
      <c r="N379" s="25" t="str">
        <f>HYPERLINK("http://slimages.macys.com/is/image/MCY/21056932 ")</f>
        <v xml:space="preserve">http://slimages.macys.com/is/image/MCY/21056932 </v>
      </c>
    </row>
    <row r="380" spans="1:14" ht="24.75" x14ac:dyDescent="0.25">
      <c r="A380" s="21" t="s">
        <v>7792</v>
      </c>
      <c r="B380" s="22" t="s">
        <v>7793</v>
      </c>
      <c r="C380" s="2">
        <v>1</v>
      </c>
      <c r="D380" s="23">
        <v>11.99</v>
      </c>
      <c r="E380" s="3">
        <v>11.99</v>
      </c>
      <c r="F380" s="2" t="s">
        <v>13986</v>
      </c>
      <c r="G380" s="22" t="s">
        <v>19431</v>
      </c>
      <c r="H380" s="24" t="s">
        <v>19538</v>
      </c>
      <c r="I380" s="22" t="s">
        <v>19309</v>
      </c>
      <c r="J380" s="22" t="s">
        <v>19573</v>
      </c>
      <c r="K380" s="22" t="s">
        <v>19574</v>
      </c>
      <c r="L380" s="22"/>
      <c r="M380" s="22"/>
      <c r="N380" s="25" t="str">
        <f>HYPERLINK("http://slimages.macys.com/is/image/MCY/1439098 ")</f>
        <v xml:space="preserve">http://slimages.macys.com/is/image/MCY/1439098 </v>
      </c>
    </row>
    <row r="381" spans="1:14" ht="24.75" x14ac:dyDescent="0.25">
      <c r="A381" s="21" t="s">
        <v>7794</v>
      </c>
      <c r="B381" s="22" t="s">
        <v>7795</v>
      </c>
      <c r="C381" s="2">
        <v>1</v>
      </c>
      <c r="D381" s="23">
        <v>11.99</v>
      </c>
      <c r="E381" s="3">
        <v>11.99</v>
      </c>
      <c r="F381" s="2" t="s">
        <v>7796</v>
      </c>
      <c r="G381" s="22" t="s">
        <v>19415</v>
      </c>
      <c r="H381" s="24" t="s">
        <v>19384</v>
      </c>
      <c r="I381" s="22" t="s">
        <v>19309</v>
      </c>
      <c r="J381" s="22" t="s">
        <v>19573</v>
      </c>
      <c r="K381" s="22" t="s">
        <v>19574</v>
      </c>
      <c r="L381" s="22"/>
      <c r="M381" s="22"/>
      <c r="N381" s="25" t="str">
        <f>HYPERLINK("http://slimages.macys.com/is/image/MCY/21209173 ")</f>
        <v xml:space="preserve">http://slimages.macys.com/is/image/MCY/21209173 </v>
      </c>
    </row>
    <row r="382" spans="1:14" ht="24.75" x14ac:dyDescent="0.25">
      <c r="A382" s="21" t="s">
        <v>13984</v>
      </c>
      <c r="B382" s="22" t="s">
        <v>13985</v>
      </c>
      <c r="C382" s="2">
        <v>1</v>
      </c>
      <c r="D382" s="23">
        <v>11.99</v>
      </c>
      <c r="E382" s="3">
        <v>11.99</v>
      </c>
      <c r="F382" s="2" t="s">
        <v>13986</v>
      </c>
      <c r="G382" s="22" t="s">
        <v>19431</v>
      </c>
      <c r="H382" s="24" t="s">
        <v>19324</v>
      </c>
      <c r="I382" s="22" t="s">
        <v>19309</v>
      </c>
      <c r="J382" s="22" t="s">
        <v>19573</v>
      </c>
      <c r="K382" s="22" t="s">
        <v>19574</v>
      </c>
      <c r="L382" s="22"/>
      <c r="M382" s="22"/>
      <c r="N382" s="25" t="str">
        <f>HYPERLINK("http://slimages.macys.com/is/image/MCY/1439098 ")</f>
        <v xml:space="preserve">http://slimages.macys.com/is/image/MCY/1439098 </v>
      </c>
    </row>
    <row r="383" spans="1:14" ht="24.75" x14ac:dyDescent="0.25">
      <c r="A383" s="21" t="s">
        <v>16818</v>
      </c>
      <c r="B383" s="22" t="s">
        <v>16819</v>
      </c>
      <c r="C383" s="2">
        <v>1</v>
      </c>
      <c r="D383" s="23">
        <v>11.99</v>
      </c>
      <c r="E383" s="3">
        <v>11.99</v>
      </c>
      <c r="F383" s="2" t="s">
        <v>16803</v>
      </c>
      <c r="G383" s="22" t="s">
        <v>19670</v>
      </c>
      <c r="H383" s="24" t="s">
        <v>19797</v>
      </c>
      <c r="I383" s="22" t="s">
        <v>19309</v>
      </c>
      <c r="J383" s="22" t="s">
        <v>19849</v>
      </c>
      <c r="K383" s="22" t="s">
        <v>19850</v>
      </c>
      <c r="L383" s="22"/>
      <c r="M383" s="22"/>
      <c r="N383" s="25" t="str">
        <f>HYPERLINK("http://slimages.macys.com/is/image/MCY/20752030 ")</f>
        <v xml:space="preserve">http://slimages.macys.com/is/image/MCY/20752030 </v>
      </c>
    </row>
    <row r="384" spans="1:14" ht="24.75" x14ac:dyDescent="0.25">
      <c r="A384" s="21" t="s">
        <v>7797</v>
      </c>
      <c r="B384" s="22" t="s">
        <v>7798</v>
      </c>
      <c r="C384" s="2">
        <v>1</v>
      </c>
      <c r="D384" s="23">
        <v>9.99</v>
      </c>
      <c r="E384" s="3">
        <v>9.99</v>
      </c>
      <c r="F384" s="2" t="s">
        <v>7799</v>
      </c>
      <c r="G384" s="22" t="s">
        <v>19513</v>
      </c>
      <c r="H384" s="24" t="s">
        <v>19361</v>
      </c>
      <c r="I384" s="22" t="s">
        <v>19309</v>
      </c>
      <c r="J384" s="22" t="s">
        <v>19595</v>
      </c>
      <c r="K384" s="22" t="s">
        <v>19596</v>
      </c>
      <c r="L384" s="22" t="s">
        <v>19319</v>
      </c>
      <c r="M384" s="22" t="s">
        <v>16844</v>
      </c>
      <c r="N384" s="25" t="str">
        <f>HYPERLINK("http://slimages.macys.com/is/image/MCY/16444063 ")</f>
        <v xml:space="preserve">http://slimages.macys.com/is/image/MCY/16444063 </v>
      </c>
    </row>
    <row r="385" spans="1:14" ht="24.75" x14ac:dyDescent="0.25">
      <c r="A385" s="21" t="s">
        <v>7800</v>
      </c>
      <c r="B385" s="22" t="s">
        <v>7801</v>
      </c>
      <c r="C385" s="2">
        <v>1</v>
      </c>
      <c r="D385" s="23">
        <v>9.99</v>
      </c>
      <c r="E385" s="3">
        <v>9.99</v>
      </c>
      <c r="F385" s="2" t="s">
        <v>12471</v>
      </c>
      <c r="G385" s="22" t="s">
        <v>19351</v>
      </c>
      <c r="H385" s="24" t="s">
        <v>19345</v>
      </c>
      <c r="I385" s="22" t="s">
        <v>19309</v>
      </c>
      <c r="J385" s="22" t="s">
        <v>19595</v>
      </c>
      <c r="K385" s="22" t="s">
        <v>19596</v>
      </c>
      <c r="L385" s="22"/>
      <c r="M385" s="22"/>
      <c r="N385" s="25" t="str">
        <f>HYPERLINK("http://slimages.macys.com/is/image/MCY/17787741 ")</f>
        <v xml:space="preserve">http://slimages.macys.com/is/image/MCY/17787741 </v>
      </c>
    </row>
    <row r="386" spans="1:14" ht="24.75" x14ac:dyDescent="0.25">
      <c r="A386" s="21" t="s">
        <v>7802</v>
      </c>
      <c r="B386" s="22" t="s">
        <v>7803</v>
      </c>
      <c r="C386" s="2">
        <v>1</v>
      </c>
      <c r="D386" s="23">
        <v>11.99</v>
      </c>
      <c r="E386" s="3">
        <v>11.99</v>
      </c>
      <c r="F386" s="2" t="s">
        <v>14006</v>
      </c>
      <c r="G386" s="22" t="s">
        <v>19431</v>
      </c>
      <c r="H386" s="24" t="s">
        <v>19542</v>
      </c>
      <c r="I386" s="22" t="s">
        <v>19309</v>
      </c>
      <c r="J386" s="22" t="s">
        <v>19815</v>
      </c>
      <c r="K386" s="22" t="s">
        <v>19816</v>
      </c>
      <c r="L386" s="22"/>
      <c r="M386" s="22"/>
      <c r="N386" s="25" t="str">
        <f>HYPERLINK("http://slimages.macys.com/is/image/MCY/21341654 ")</f>
        <v xml:space="preserve">http://slimages.macys.com/is/image/MCY/21341654 </v>
      </c>
    </row>
    <row r="387" spans="1:14" ht="24.75" x14ac:dyDescent="0.25">
      <c r="A387" s="21" t="s">
        <v>7804</v>
      </c>
      <c r="B387" s="22" t="s">
        <v>14011</v>
      </c>
      <c r="C387" s="2">
        <v>1</v>
      </c>
      <c r="D387" s="23">
        <v>7.99</v>
      </c>
      <c r="E387" s="3">
        <v>7.99</v>
      </c>
      <c r="F387" s="2" t="s">
        <v>14012</v>
      </c>
      <c r="G387" s="22" t="s">
        <v>19431</v>
      </c>
      <c r="H387" s="24" t="s">
        <v>20135</v>
      </c>
      <c r="I387" s="22" t="s">
        <v>19309</v>
      </c>
      <c r="J387" s="22" t="s">
        <v>19815</v>
      </c>
      <c r="K387" s="22" t="s">
        <v>19816</v>
      </c>
      <c r="L387" s="22"/>
      <c r="M387" s="22"/>
      <c r="N387" s="25" t="str">
        <f>HYPERLINK("http://slimages.macys.com/is/image/MCY/20752798 ")</f>
        <v xml:space="preserve">http://slimages.macys.com/is/image/MCY/20752798 </v>
      </c>
    </row>
    <row r="388" spans="1:14" ht="24.75" x14ac:dyDescent="0.25">
      <c r="A388" s="21" t="s">
        <v>14029</v>
      </c>
      <c r="B388" s="22" t="s">
        <v>14011</v>
      </c>
      <c r="C388" s="2">
        <v>1</v>
      </c>
      <c r="D388" s="23">
        <v>7.99</v>
      </c>
      <c r="E388" s="3">
        <v>7.99</v>
      </c>
      <c r="F388" s="2" t="s">
        <v>14012</v>
      </c>
      <c r="G388" s="22" t="s">
        <v>19431</v>
      </c>
      <c r="H388" s="24" t="s">
        <v>19907</v>
      </c>
      <c r="I388" s="22" t="s">
        <v>19309</v>
      </c>
      <c r="J388" s="22" t="s">
        <v>19815</v>
      </c>
      <c r="K388" s="22" t="s">
        <v>19816</v>
      </c>
      <c r="L388" s="22"/>
      <c r="M388" s="22"/>
      <c r="N388" s="25" t="str">
        <f>HYPERLINK("http://slimages.macys.com/is/image/MCY/20752798 ")</f>
        <v xml:space="preserve">http://slimages.macys.com/is/image/MCY/20752798 </v>
      </c>
    </row>
    <row r="389" spans="1:14" ht="24.75" x14ac:dyDescent="0.25">
      <c r="A389" s="21" t="s">
        <v>7805</v>
      </c>
      <c r="B389" s="22" t="s">
        <v>7806</v>
      </c>
      <c r="C389" s="2">
        <v>1</v>
      </c>
      <c r="D389" s="23">
        <v>11.99</v>
      </c>
      <c r="E389" s="3">
        <v>11.99</v>
      </c>
      <c r="F389" s="2" t="s">
        <v>14006</v>
      </c>
      <c r="G389" s="22" t="s">
        <v>19431</v>
      </c>
      <c r="H389" s="24" t="s">
        <v>19432</v>
      </c>
      <c r="I389" s="22" t="s">
        <v>19309</v>
      </c>
      <c r="J389" s="22" t="s">
        <v>19815</v>
      </c>
      <c r="K389" s="22" t="s">
        <v>19816</v>
      </c>
      <c r="L389" s="22"/>
      <c r="M389" s="22"/>
      <c r="N389" s="25" t="str">
        <f>HYPERLINK("http://slimages.macys.com/is/image/MCY/21341654 ")</f>
        <v xml:space="preserve">http://slimages.macys.com/is/image/MCY/21341654 </v>
      </c>
    </row>
    <row r="390" spans="1:14" ht="24.75" x14ac:dyDescent="0.25">
      <c r="A390" s="21" t="s">
        <v>7807</v>
      </c>
      <c r="B390" s="22" t="s">
        <v>7808</v>
      </c>
      <c r="C390" s="2">
        <v>1</v>
      </c>
      <c r="D390" s="23">
        <v>11.99</v>
      </c>
      <c r="E390" s="3">
        <v>11.99</v>
      </c>
      <c r="F390" s="2" t="s">
        <v>14006</v>
      </c>
      <c r="G390" s="22" t="s">
        <v>19431</v>
      </c>
      <c r="H390" s="24" t="s">
        <v>19392</v>
      </c>
      <c r="I390" s="22" t="s">
        <v>19309</v>
      </c>
      <c r="J390" s="22" t="s">
        <v>19815</v>
      </c>
      <c r="K390" s="22" t="s">
        <v>19816</v>
      </c>
      <c r="L390" s="22"/>
      <c r="M390" s="22"/>
      <c r="N390" s="25" t="str">
        <f>HYPERLINK("http://slimages.macys.com/is/image/MCY/21341654 ")</f>
        <v xml:space="preserve">http://slimages.macys.com/is/image/MCY/21341654 </v>
      </c>
    </row>
    <row r="391" spans="1:14" ht="24.75" x14ac:dyDescent="0.25">
      <c r="A391" s="21" t="s">
        <v>14018</v>
      </c>
      <c r="B391" s="22" t="s">
        <v>14019</v>
      </c>
      <c r="C391" s="2">
        <v>1</v>
      </c>
      <c r="D391" s="23">
        <v>7.99</v>
      </c>
      <c r="E391" s="3">
        <v>7.99</v>
      </c>
      <c r="F391" s="2" t="s">
        <v>14012</v>
      </c>
      <c r="G391" s="22" t="s">
        <v>19404</v>
      </c>
      <c r="H391" s="24" t="s">
        <v>19432</v>
      </c>
      <c r="I391" s="22" t="s">
        <v>19309</v>
      </c>
      <c r="J391" s="22" t="s">
        <v>19815</v>
      </c>
      <c r="K391" s="22" t="s">
        <v>19816</v>
      </c>
      <c r="L391" s="22"/>
      <c r="M391" s="22"/>
      <c r="N391" s="25" t="str">
        <f>HYPERLINK("http://slimages.macys.com/is/image/MCY/20752798 ")</f>
        <v xml:space="preserve">http://slimages.macys.com/is/image/MCY/20752798 </v>
      </c>
    </row>
    <row r="392" spans="1:14" ht="24.75" x14ac:dyDescent="0.25">
      <c r="A392" s="21" t="s">
        <v>7809</v>
      </c>
      <c r="B392" s="22" t="s">
        <v>7810</v>
      </c>
      <c r="C392" s="2">
        <v>1</v>
      </c>
      <c r="D392" s="23">
        <v>11.99</v>
      </c>
      <c r="E392" s="3">
        <v>11.99</v>
      </c>
      <c r="F392" s="2" t="s">
        <v>14006</v>
      </c>
      <c r="G392" s="22" t="s">
        <v>19431</v>
      </c>
      <c r="H392" s="24" t="s">
        <v>19907</v>
      </c>
      <c r="I392" s="22" t="s">
        <v>19309</v>
      </c>
      <c r="J392" s="22" t="s">
        <v>19815</v>
      </c>
      <c r="K392" s="22" t="s">
        <v>19816</v>
      </c>
      <c r="L392" s="22"/>
      <c r="M392" s="22"/>
      <c r="N392" s="25" t="str">
        <f>HYPERLINK("http://slimages.macys.com/is/image/MCY/21341654 ")</f>
        <v xml:space="preserve">http://slimages.macys.com/is/image/MCY/21341654 </v>
      </c>
    </row>
    <row r="393" spans="1:14" ht="24.75" x14ac:dyDescent="0.25">
      <c r="A393" s="21" t="s">
        <v>11119</v>
      </c>
      <c r="B393" s="22" t="s">
        <v>14011</v>
      </c>
      <c r="C393" s="2">
        <v>1</v>
      </c>
      <c r="D393" s="23">
        <v>7.99</v>
      </c>
      <c r="E393" s="3">
        <v>7.99</v>
      </c>
      <c r="F393" s="2" t="s">
        <v>14012</v>
      </c>
      <c r="G393" s="22" t="s">
        <v>19431</v>
      </c>
      <c r="H393" s="24" t="s">
        <v>19432</v>
      </c>
      <c r="I393" s="22" t="s">
        <v>19309</v>
      </c>
      <c r="J393" s="22" t="s">
        <v>19815</v>
      </c>
      <c r="K393" s="22" t="s">
        <v>19816</v>
      </c>
      <c r="L393" s="22"/>
      <c r="M393" s="22"/>
      <c r="N393" s="25" t="str">
        <f>HYPERLINK("http://slimages.macys.com/is/image/MCY/20752798 ")</f>
        <v xml:space="preserve">http://slimages.macys.com/is/image/MCY/20752798 </v>
      </c>
    </row>
    <row r="394" spans="1:14" ht="24.75" x14ac:dyDescent="0.25">
      <c r="A394" s="21" t="s">
        <v>14013</v>
      </c>
      <c r="B394" s="22" t="s">
        <v>14011</v>
      </c>
      <c r="C394" s="2">
        <v>1</v>
      </c>
      <c r="D394" s="23">
        <v>7.99</v>
      </c>
      <c r="E394" s="3">
        <v>7.99</v>
      </c>
      <c r="F394" s="2" t="s">
        <v>14012</v>
      </c>
      <c r="G394" s="22" t="s">
        <v>19431</v>
      </c>
      <c r="H394" s="24" t="s">
        <v>19542</v>
      </c>
      <c r="I394" s="22" t="s">
        <v>19309</v>
      </c>
      <c r="J394" s="22" t="s">
        <v>19815</v>
      </c>
      <c r="K394" s="22" t="s">
        <v>19816</v>
      </c>
      <c r="L394" s="22"/>
      <c r="M394" s="22"/>
      <c r="N394" s="25" t="str">
        <f>HYPERLINK("http://slimages.macys.com/is/image/MCY/20752798 ")</f>
        <v xml:space="preserve">http://slimages.macys.com/is/image/MCY/20752798 </v>
      </c>
    </row>
    <row r="395" spans="1:14" ht="24.75" x14ac:dyDescent="0.25">
      <c r="A395" s="21" t="s">
        <v>7811</v>
      </c>
      <c r="B395" s="22" t="s">
        <v>7812</v>
      </c>
      <c r="C395" s="2">
        <v>1</v>
      </c>
      <c r="D395" s="23">
        <v>7.99</v>
      </c>
      <c r="E395" s="3">
        <v>7.99</v>
      </c>
      <c r="F395" s="2" t="s">
        <v>14012</v>
      </c>
      <c r="G395" s="22" t="s">
        <v>19404</v>
      </c>
      <c r="H395" s="24" t="s">
        <v>19361</v>
      </c>
      <c r="I395" s="22" t="s">
        <v>19309</v>
      </c>
      <c r="J395" s="22" t="s">
        <v>19815</v>
      </c>
      <c r="K395" s="22" t="s">
        <v>19816</v>
      </c>
      <c r="L395" s="22"/>
      <c r="M395" s="22"/>
      <c r="N395" s="25" t="str">
        <f>HYPERLINK("http://slimages.macys.com/is/image/MCY/20752798 ")</f>
        <v xml:space="preserve">http://slimages.macys.com/is/image/MCY/20752798 </v>
      </c>
    </row>
    <row r="396" spans="1:14" ht="24.75" x14ac:dyDescent="0.25">
      <c r="A396" s="21" t="s">
        <v>14004</v>
      </c>
      <c r="B396" s="22" t="s">
        <v>14005</v>
      </c>
      <c r="C396" s="2">
        <v>1</v>
      </c>
      <c r="D396" s="23">
        <v>11.99</v>
      </c>
      <c r="E396" s="3">
        <v>11.99</v>
      </c>
      <c r="F396" s="2" t="s">
        <v>14006</v>
      </c>
      <c r="G396" s="22" t="s">
        <v>19431</v>
      </c>
      <c r="H396" s="24" t="s">
        <v>20135</v>
      </c>
      <c r="I396" s="22" t="s">
        <v>19309</v>
      </c>
      <c r="J396" s="22" t="s">
        <v>19815</v>
      </c>
      <c r="K396" s="22" t="s">
        <v>19816</v>
      </c>
      <c r="L396" s="22"/>
      <c r="M396" s="22"/>
      <c r="N396" s="25" t="str">
        <f>HYPERLINK("http://slimages.macys.com/is/image/MCY/21341654 ")</f>
        <v xml:space="preserve">http://slimages.macys.com/is/image/MCY/21341654 </v>
      </c>
    </row>
    <row r="397" spans="1:14" ht="24.75" x14ac:dyDescent="0.25">
      <c r="A397" s="21" t="s">
        <v>7813</v>
      </c>
      <c r="B397" s="22" t="s">
        <v>7814</v>
      </c>
      <c r="C397" s="2">
        <v>1</v>
      </c>
      <c r="D397" s="23">
        <v>11.99</v>
      </c>
      <c r="E397" s="3">
        <v>11.99</v>
      </c>
      <c r="F397" s="2" t="s">
        <v>14006</v>
      </c>
      <c r="G397" s="22" t="s">
        <v>19431</v>
      </c>
      <c r="H397" s="24" t="s">
        <v>19361</v>
      </c>
      <c r="I397" s="22" t="s">
        <v>19309</v>
      </c>
      <c r="J397" s="22" t="s">
        <v>19815</v>
      </c>
      <c r="K397" s="22" t="s">
        <v>19816</v>
      </c>
      <c r="L397" s="22"/>
      <c r="M397" s="22"/>
      <c r="N397" s="25" t="str">
        <f>HYPERLINK("http://slimages.macys.com/is/image/MCY/21341654 ")</f>
        <v xml:space="preserve">http://slimages.macys.com/is/image/MCY/21341654 </v>
      </c>
    </row>
    <row r="398" spans="1:14" ht="24.75" x14ac:dyDescent="0.25">
      <c r="A398" s="21" t="s">
        <v>7815</v>
      </c>
      <c r="B398" s="22" t="s">
        <v>7816</v>
      </c>
      <c r="C398" s="2">
        <v>1</v>
      </c>
      <c r="D398" s="23">
        <v>10.99</v>
      </c>
      <c r="E398" s="3">
        <v>10.99</v>
      </c>
      <c r="F398" s="2" t="s">
        <v>16825</v>
      </c>
      <c r="G398" s="22" t="s">
        <v>19518</v>
      </c>
      <c r="H398" s="24" t="s">
        <v>19324</v>
      </c>
      <c r="I398" s="22" t="s">
        <v>19309</v>
      </c>
      <c r="J398" s="22" t="s">
        <v>19573</v>
      </c>
      <c r="K398" s="22" t="s">
        <v>19574</v>
      </c>
      <c r="L398" s="22"/>
      <c r="M398" s="22"/>
      <c r="N398" s="25" t="str">
        <f>HYPERLINK("http://slimages.macys.com/is/image/MCY/21089280 ")</f>
        <v xml:space="preserve">http://slimages.macys.com/is/image/MCY/21089280 </v>
      </c>
    </row>
    <row r="399" spans="1:14" x14ac:dyDescent="0.25">
      <c r="A399" s="21" t="s">
        <v>10032</v>
      </c>
      <c r="B399" s="22" t="s">
        <v>10033</v>
      </c>
      <c r="C399" s="2">
        <v>1</v>
      </c>
      <c r="D399" s="23">
        <v>7.99</v>
      </c>
      <c r="E399" s="3">
        <v>7.99</v>
      </c>
      <c r="F399" s="2" t="s">
        <v>16840</v>
      </c>
      <c r="G399" s="22" t="s">
        <v>19431</v>
      </c>
      <c r="H399" s="24" t="s">
        <v>19377</v>
      </c>
      <c r="I399" s="22" t="s">
        <v>19309</v>
      </c>
      <c r="J399" s="22" t="s">
        <v>19849</v>
      </c>
      <c r="K399" s="22" t="s">
        <v>19850</v>
      </c>
      <c r="L399" s="22"/>
      <c r="M399" s="22"/>
      <c r="N399" s="25" t="str">
        <f>HYPERLINK("http://slimages.macys.com/is/image/MCY/19068277 ")</f>
        <v xml:space="preserve">http://slimages.macys.com/is/image/MCY/19068277 </v>
      </c>
    </row>
    <row r="400" spans="1:14" x14ac:dyDescent="0.25">
      <c r="A400" s="21" t="s">
        <v>9095</v>
      </c>
      <c r="B400" s="22" t="s">
        <v>9096</v>
      </c>
      <c r="C400" s="2">
        <v>1</v>
      </c>
      <c r="D400" s="23">
        <v>7.99</v>
      </c>
      <c r="E400" s="3">
        <v>7.99</v>
      </c>
      <c r="F400" s="2" t="s">
        <v>16840</v>
      </c>
      <c r="G400" s="22" t="s">
        <v>19431</v>
      </c>
      <c r="H400" s="24" t="s">
        <v>19907</v>
      </c>
      <c r="I400" s="22" t="s">
        <v>19309</v>
      </c>
      <c r="J400" s="22" t="s">
        <v>19849</v>
      </c>
      <c r="K400" s="22" t="s">
        <v>19850</v>
      </c>
      <c r="L400" s="22"/>
      <c r="M400" s="22"/>
      <c r="N400" s="25" t="str">
        <f>HYPERLINK("http://slimages.macys.com/is/image/MCY/19068277 ")</f>
        <v xml:space="preserve">http://slimages.macys.com/is/image/MCY/19068277 </v>
      </c>
    </row>
    <row r="401" spans="1:14" x14ac:dyDescent="0.25">
      <c r="A401" s="21" t="s">
        <v>16426</v>
      </c>
      <c r="B401" s="22" t="s">
        <v>16427</v>
      </c>
      <c r="C401" s="2">
        <v>3</v>
      </c>
      <c r="D401" s="23">
        <v>7.99</v>
      </c>
      <c r="E401" s="3">
        <v>23.97</v>
      </c>
      <c r="F401" s="2" t="s">
        <v>16840</v>
      </c>
      <c r="G401" s="22" t="s">
        <v>19431</v>
      </c>
      <c r="H401" s="24" t="s">
        <v>20089</v>
      </c>
      <c r="I401" s="22" t="s">
        <v>19309</v>
      </c>
      <c r="J401" s="22" t="s">
        <v>19849</v>
      </c>
      <c r="K401" s="22" t="s">
        <v>19850</v>
      </c>
      <c r="L401" s="22"/>
      <c r="M401" s="22"/>
      <c r="N401" s="25" t="str">
        <f>HYPERLINK("http://slimages.macys.com/is/image/MCY/19068277 ")</f>
        <v xml:space="preserve">http://slimages.macys.com/is/image/MCY/19068277 </v>
      </c>
    </row>
    <row r="402" spans="1:14" x14ac:dyDescent="0.25">
      <c r="A402" s="21" t="s">
        <v>16428</v>
      </c>
      <c r="B402" s="22" t="s">
        <v>16429</v>
      </c>
      <c r="C402" s="2">
        <v>4</v>
      </c>
      <c r="D402" s="23">
        <v>7.99</v>
      </c>
      <c r="E402" s="3">
        <v>31.96</v>
      </c>
      <c r="F402" s="2" t="s">
        <v>16840</v>
      </c>
      <c r="G402" s="22" t="s">
        <v>19431</v>
      </c>
      <c r="H402" s="24" t="s">
        <v>19361</v>
      </c>
      <c r="I402" s="22" t="s">
        <v>19309</v>
      </c>
      <c r="J402" s="22" t="s">
        <v>19849</v>
      </c>
      <c r="K402" s="22" t="s">
        <v>19850</v>
      </c>
      <c r="L402" s="22"/>
      <c r="M402" s="22"/>
      <c r="N402" s="25" t="str">
        <f>HYPERLINK("http://slimages.macys.com/is/image/MCY/19068277 ")</f>
        <v xml:space="preserve">http://slimages.macys.com/is/image/MCY/19068277 </v>
      </c>
    </row>
    <row r="403" spans="1:14" ht="24.75" x14ac:dyDescent="0.25">
      <c r="A403" s="21" t="s">
        <v>7817</v>
      </c>
      <c r="B403" s="22" t="s">
        <v>7818</v>
      </c>
      <c r="C403" s="2">
        <v>1</v>
      </c>
      <c r="D403" s="23">
        <v>7.99</v>
      </c>
      <c r="E403" s="3">
        <v>7.99</v>
      </c>
      <c r="F403" s="2" t="s">
        <v>12480</v>
      </c>
      <c r="G403" s="22" t="s">
        <v>19338</v>
      </c>
      <c r="H403" s="24" t="s">
        <v>19392</v>
      </c>
      <c r="I403" s="22" t="s">
        <v>19309</v>
      </c>
      <c r="J403" s="22" t="s">
        <v>19454</v>
      </c>
      <c r="K403" s="22" t="s">
        <v>19524</v>
      </c>
      <c r="L403" s="22"/>
      <c r="M403" s="22"/>
      <c r="N403" s="25" t="str">
        <f>HYPERLINK("http://slimages.macys.com/is/image/MCY/21708702 ")</f>
        <v xml:space="preserve">http://slimages.macys.com/is/image/MCY/21708702 </v>
      </c>
    </row>
    <row r="404" spans="1:14" ht="24.75" x14ac:dyDescent="0.25">
      <c r="A404" s="21" t="s">
        <v>12478</v>
      </c>
      <c r="B404" s="22" t="s">
        <v>12479</v>
      </c>
      <c r="C404" s="2">
        <v>1</v>
      </c>
      <c r="D404" s="23">
        <v>7.99</v>
      </c>
      <c r="E404" s="3">
        <v>7.99</v>
      </c>
      <c r="F404" s="2" t="s">
        <v>12480</v>
      </c>
      <c r="G404" s="22" t="s">
        <v>19338</v>
      </c>
      <c r="H404" s="24" t="s">
        <v>19542</v>
      </c>
      <c r="I404" s="22" t="s">
        <v>19309</v>
      </c>
      <c r="J404" s="22" t="s">
        <v>19454</v>
      </c>
      <c r="K404" s="22" t="s">
        <v>19524</v>
      </c>
      <c r="L404" s="22"/>
      <c r="M404" s="22"/>
      <c r="N404" s="25" t="str">
        <f>HYPERLINK("http://slimages.macys.com/is/image/MCY/1418021 ")</f>
        <v xml:space="preserve">http://slimages.macys.com/is/image/MCY/1418021 </v>
      </c>
    </row>
    <row r="405" spans="1:14" ht="24.75" x14ac:dyDescent="0.25">
      <c r="A405" s="21" t="s">
        <v>7819</v>
      </c>
      <c r="B405" s="22" t="s">
        <v>7820</v>
      </c>
      <c r="C405" s="2">
        <v>1</v>
      </c>
      <c r="D405" s="23">
        <v>13.99</v>
      </c>
      <c r="E405" s="3">
        <v>13.99</v>
      </c>
      <c r="F405" s="2" t="s">
        <v>16432</v>
      </c>
      <c r="G405" s="22" t="s">
        <v>19814</v>
      </c>
      <c r="H405" s="24" t="s">
        <v>20135</v>
      </c>
      <c r="I405" s="22" t="s">
        <v>19309</v>
      </c>
      <c r="J405" s="22" t="s">
        <v>19815</v>
      </c>
      <c r="K405" s="22" t="s">
        <v>19816</v>
      </c>
      <c r="L405" s="22"/>
      <c r="M405" s="22"/>
      <c r="N405" s="25" t="str">
        <f>HYPERLINK("http://slimages.macys.com/is/image/MCY/21278560 ")</f>
        <v xml:space="preserve">http://slimages.macys.com/is/image/MCY/21278560 </v>
      </c>
    </row>
    <row r="406" spans="1:14" x14ac:dyDescent="0.25">
      <c r="A406" s="21" t="s">
        <v>18823</v>
      </c>
      <c r="B406" s="22" t="s">
        <v>18824</v>
      </c>
      <c r="C406" s="2">
        <v>1</v>
      </c>
      <c r="D406" s="23">
        <v>9.99</v>
      </c>
      <c r="E406" s="3">
        <v>9.99</v>
      </c>
      <c r="F406" s="2" t="s">
        <v>18825</v>
      </c>
      <c r="G406" s="22" t="s">
        <v>19351</v>
      </c>
      <c r="H406" s="24" t="s">
        <v>19361</v>
      </c>
      <c r="I406" s="22" t="s">
        <v>19309</v>
      </c>
      <c r="J406" s="22" t="s">
        <v>19849</v>
      </c>
      <c r="K406" s="22" t="s">
        <v>19850</v>
      </c>
      <c r="L406" s="22"/>
      <c r="M406" s="22"/>
      <c r="N406" s="25" t="str">
        <f>HYPERLINK("http://slimages.macys.com/is/image/MCY/20752457 ")</f>
        <v xml:space="preserve">http://slimages.macys.com/is/image/MCY/20752457 </v>
      </c>
    </row>
    <row r="407" spans="1:14" x14ac:dyDescent="0.25">
      <c r="A407" s="21" t="s">
        <v>7821</v>
      </c>
      <c r="B407" s="22" t="s">
        <v>7822</v>
      </c>
      <c r="C407" s="2">
        <v>1</v>
      </c>
      <c r="D407" s="23">
        <v>9.99</v>
      </c>
      <c r="E407" s="3">
        <v>9.99</v>
      </c>
      <c r="F407" s="2" t="s">
        <v>18825</v>
      </c>
      <c r="G407" s="22" t="s">
        <v>19351</v>
      </c>
      <c r="H407" s="24" t="s">
        <v>20135</v>
      </c>
      <c r="I407" s="22" t="s">
        <v>19309</v>
      </c>
      <c r="J407" s="22" t="s">
        <v>19849</v>
      </c>
      <c r="K407" s="22" t="s">
        <v>19850</v>
      </c>
      <c r="L407" s="22"/>
      <c r="M407" s="22"/>
      <c r="N407" s="25" t="str">
        <f>HYPERLINK("http://slimages.macys.com/is/image/MCY/20752457 ")</f>
        <v xml:space="preserve">http://slimages.macys.com/is/image/MCY/20752457 </v>
      </c>
    </row>
    <row r="408" spans="1:14" x14ac:dyDescent="0.25">
      <c r="A408" s="21" t="s">
        <v>7823</v>
      </c>
      <c r="B408" s="22" t="s">
        <v>7824</v>
      </c>
      <c r="C408" s="2">
        <v>1</v>
      </c>
      <c r="D408" s="23">
        <v>8.33</v>
      </c>
      <c r="E408" s="3">
        <v>8.33</v>
      </c>
      <c r="F408" s="2" t="s">
        <v>14054</v>
      </c>
      <c r="G408" s="22" t="s">
        <v>19618</v>
      </c>
      <c r="H408" s="24" t="s">
        <v>20232</v>
      </c>
      <c r="I408" s="22" t="s">
        <v>19309</v>
      </c>
      <c r="J408" s="22" t="s">
        <v>19514</v>
      </c>
      <c r="K408" s="22" t="s">
        <v>18514</v>
      </c>
      <c r="L408" s="22"/>
      <c r="M408" s="22"/>
      <c r="N408" s="25" t="str">
        <f>HYPERLINK("http://slimages.macys.com/is/image/MCY/21511189 ")</f>
        <v xml:space="preserve">http://slimages.macys.com/is/image/MCY/21511189 </v>
      </c>
    </row>
    <row r="409" spans="1:14" ht="24.75" x14ac:dyDescent="0.25">
      <c r="A409" s="21" t="s">
        <v>7825</v>
      </c>
      <c r="B409" s="22" t="s">
        <v>7826</v>
      </c>
      <c r="C409" s="2">
        <v>1</v>
      </c>
      <c r="D409" s="23">
        <v>9.99</v>
      </c>
      <c r="E409" s="3">
        <v>9.99</v>
      </c>
      <c r="F409" s="2" t="s">
        <v>16843</v>
      </c>
      <c r="G409" s="22" t="s">
        <v>19323</v>
      </c>
      <c r="H409" s="24" t="s">
        <v>19395</v>
      </c>
      <c r="I409" s="22" t="s">
        <v>19309</v>
      </c>
      <c r="J409" s="22" t="s">
        <v>19595</v>
      </c>
      <c r="K409" s="22" t="s">
        <v>19596</v>
      </c>
      <c r="L409" s="22" t="s">
        <v>19319</v>
      </c>
      <c r="M409" s="22" t="s">
        <v>16844</v>
      </c>
      <c r="N409" s="25" t="str">
        <f>HYPERLINK("http://slimages.macys.com/is/image/MCY/16384561 ")</f>
        <v xml:space="preserve">http://slimages.macys.com/is/image/MCY/16384561 </v>
      </c>
    </row>
    <row r="410" spans="1:14" ht="24.75" x14ac:dyDescent="0.25">
      <c r="A410" s="21" t="s">
        <v>16440</v>
      </c>
      <c r="B410" s="22" t="s">
        <v>16441</v>
      </c>
      <c r="C410" s="2">
        <v>1</v>
      </c>
      <c r="D410" s="23">
        <v>11.99</v>
      </c>
      <c r="E410" s="3">
        <v>11.99</v>
      </c>
      <c r="F410" s="2" t="s">
        <v>16849</v>
      </c>
      <c r="G410" s="22" t="s">
        <v>19674</v>
      </c>
      <c r="H410" s="24" t="s">
        <v>19352</v>
      </c>
      <c r="I410" s="22" t="s">
        <v>19309</v>
      </c>
      <c r="J410" s="22" t="s">
        <v>19849</v>
      </c>
      <c r="K410" s="22" t="s">
        <v>19850</v>
      </c>
      <c r="L410" s="22"/>
      <c r="M410" s="22"/>
      <c r="N410" s="25" t="str">
        <f>HYPERLINK("http://slimages.macys.com/is/image/MCY/1523123 ")</f>
        <v xml:space="preserve">http://slimages.macys.com/is/image/MCY/1523123 </v>
      </c>
    </row>
    <row r="411" spans="1:14" ht="24.75" x14ac:dyDescent="0.25">
      <c r="A411" s="21" t="s">
        <v>7827</v>
      </c>
      <c r="B411" s="22" t="s">
        <v>7828</v>
      </c>
      <c r="C411" s="2">
        <v>1</v>
      </c>
      <c r="D411" s="23">
        <v>11.99</v>
      </c>
      <c r="E411" s="3">
        <v>11.99</v>
      </c>
      <c r="F411" s="2" t="s">
        <v>16849</v>
      </c>
      <c r="G411" s="22" t="s">
        <v>19674</v>
      </c>
      <c r="H411" s="24"/>
      <c r="I411" s="22" t="s">
        <v>19309</v>
      </c>
      <c r="J411" s="22" t="s">
        <v>19849</v>
      </c>
      <c r="K411" s="22" t="s">
        <v>19850</v>
      </c>
      <c r="L411" s="22"/>
      <c r="M411" s="22"/>
      <c r="N411" s="25" t="str">
        <f>HYPERLINK("http://slimages.macys.com/is/image/MCY/1523123 ")</f>
        <v xml:space="preserve">http://slimages.macys.com/is/image/MCY/1523123 </v>
      </c>
    </row>
    <row r="412" spans="1:14" x14ac:dyDescent="0.25">
      <c r="A412" s="21" t="s">
        <v>7829</v>
      </c>
      <c r="B412" s="22" t="s">
        <v>7830</v>
      </c>
      <c r="C412" s="2">
        <v>1</v>
      </c>
      <c r="D412" s="23">
        <v>9.99</v>
      </c>
      <c r="E412" s="3">
        <v>9.99</v>
      </c>
      <c r="F412" s="2" t="s">
        <v>16446</v>
      </c>
      <c r="G412" s="22" t="s">
        <v>19315</v>
      </c>
      <c r="H412" s="24" t="s">
        <v>20135</v>
      </c>
      <c r="I412" s="22" t="s">
        <v>19309</v>
      </c>
      <c r="J412" s="22" t="s">
        <v>19849</v>
      </c>
      <c r="K412" s="22" t="s">
        <v>19850</v>
      </c>
      <c r="L412" s="22"/>
      <c r="M412" s="22"/>
      <c r="N412" s="25" t="str">
        <f>HYPERLINK("http://slimages.macys.com/is/image/MCY/21251285 ")</f>
        <v xml:space="preserve">http://slimages.macys.com/is/image/MCY/21251285 </v>
      </c>
    </row>
    <row r="413" spans="1:14" x14ac:dyDescent="0.25">
      <c r="A413" s="21" t="s">
        <v>14060</v>
      </c>
      <c r="B413" s="22" t="s">
        <v>14061</v>
      </c>
      <c r="C413" s="2">
        <v>1</v>
      </c>
      <c r="D413" s="23">
        <v>9.99</v>
      </c>
      <c r="E413" s="3">
        <v>9.99</v>
      </c>
      <c r="F413" s="2" t="s">
        <v>16446</v>
      </c>
      <c r="G413" s="22" t="s">
        <v>19315</v>
      </c>
      <c r="H413" s="24" t="s">
        <v>19907</v>
      </c>
      <c r="I413" s="22" t="s">
        <v>19309</v>
      </c>
      <c r="J413" s="22" t="s">
        <v>19849</v>
      </c>
      <c r="K413" s="22" t="s">
        <v>19850</v>
      </c>
      <c r="L413" s="22"/>
      <c r="M413" s="22"/>
      <c r="N413" s="25" t="str">
        <f>HYPERLINK("http://slimages.macys.com/is/image/MCY/21251285 ")</f>
        <v xml:space="preserve">http://slimages.macys.com/is/image/MCY/21251285 </v>
      </c>
    </row>
    <row r="414" spans="1:14" x14ac:dyDescent="0.25">
      <c r="A414" s="21" t="s">
        <v>18849</v>
      </c>
      <c r="B414" s="22" t="s">
        <v>18850</v>
      </c>
      <c r="C414" s="2">
        <v>2</v>
      </c>
      <c r="D414" s="23">
        <v>11.99</v>
      </c>
      <c r="E414" s="3">
        <v>23.98</v>
      </c>
      <c r="F414" s="2" t="s">
        <v>18851</v>
      </c>
      <c r="G414" s="22" t="s">
        <v>19674</v>
      </c>
      <c r="H414" s="24" t="s">
        <v>19339</v>
      </c>
      <c r="I414" s="22" t="s">
        <v>19309</v>
      </c>
      <c r="J414" s="22" t="s">
        <v>19849</v>
      </c>
      <c r="K414" s="22" t="s">
        <v>19850</v>
      </c>
      <c r="L414" s="22"/>
      <c r="M414" s="22"/>
      <c r="N414" s="25" t="str">
        <f>HYPERLINK("http://slimages.macys.com/is/image/MCY/21251022 ")</f>
        <v xml:space="preserve">http://slimages.macys.com/is/image/MCY/21251022 </v>
      </c>
    </row>
    <row r="415" spans="1:14" x14ac:dyDescent="0.25">
      <c r="A415" s="21" t="s">
        <v>16447</v>
      </c>
      <c r="B415" s="22" t="s">
        <v>16448</v>
      </c>
      <c r="C415" s="2">
        <v>1</v>
      </c>
      <c r="D415" s="23">
        <v>9.99</v>
      </c>
      <c r="E415" s="3">
        <v>9.99</v>
      </c>
      <c r="F415" s="2" t="s">
        <v>16446</v>
      </c>
      <c r="G415" s="22" t="s">
        <v>19315</v>
      </c>
      <c r="H415" s="24" t="s">
        <v>19377</v>
      </c>
      <c r="I415" s="22" t="s">
        <v>19309</v>
      </c>
      <c r="J415" s="22" t="s">
        <v>19849</v>
      </c>
      <c r="K415" s="22" t="s">
        <v>19850</v>
      </c>
      <c r="L415" s="22"/>
      <c r="M415" s="22"/>
      <c r="N415" s="25" t="str">
        <f>HYPERLINK("http://slimages.macys.com/is/image/MCY/21251285 ")</f>
        <v xml:space="preserve">http://slimages.macys.com/is/image/MCY/21251285 </v>
      </c>
    </row>
    <row r="416" spans="1:14" x14ac:dyDescent="0.25">
      <c r="A416" s="21" t="s">
        <v>7831</v>
      </c>
      <c r="B416" s="22" t="s">
        <v>7832</v>
      </c>
      <c r="C416" s="2">
        <v>1</v>
      </c>
      <c r="D416" s="23">
        <v>9.99</v>
      </c>
      <c r="E416" s="3">
        <v>9.99</v>
      </c>
      <c r="F416" s="2" t="s">
        <v>10040</v>
      </c>
      <c r="G416" s="22" t="s">
        <v>19351</v>
      </c>
      <c r="H416" s="24" t="s">
        <v>20135</v>
      </c>
      <c r="I416" s="22" t="s">
        <v>19309</v>
      </c>
      <c r="J416" s="22" t="s">
        <v>19849</v>
      </c>
      <c r="K416" s="22" t="s">
        <v>19850</v>
      </c>
      <c r="L416" s="22"/>
      <c r="M416" s="22"/>
      <c r="N416" s="25" t="str">
        <f>HYPERLINK("http://slimages.macys.com/is/image/MCY/20530718 ")</f>
        <v xml:space="preserve">http://slimages.macys.com/is/image/MCY/20530718 </v>
      </c>
    </row>
    <row r="417" spans="1:14" ht="24.75" x14ac:dyDescent="0.25">
      <c r="A417" s="21" t="s">
        <v>7833</v>
      </c>
      <c r="B417" s="22" t="s">
        <v>7834</v>
      </c>
      <c r="C417" s="2">
        <v>1</v>
      </c>
      <c r="D417" s="23">
        <v>7.99</v>
      </c>
      <c r="E417" s="3">
        <v>7.99</v>
      </c>
      <c r="F417" s="2" t="s">
        <v>14064</v>
      </c>
      <c r="G417" s="22" t="s">
        <v>19462</v>
      </c>
      <c r="H417" s="24" t="s">
        <v>20089</v>
      </c>
      <c r="I417" s="22" t="s">
        <v>19309</v>
      </c>
      <c r="J417" s="22" t="s">
        <v>19908</v>
      </c>
      <c r="K417" s="22" t="s">
        <v>19524</v>
      </c>
      <c r="L417" s="22"/>
      <c r="M417" s="22"/>
      <c r="N417" s="25" t="str">
        <f>HYPERLINK("http://slimages.macys.com/is/image/MCY/21727287 ")</f>
        <v xml:space="preserve">http://slimages.macys.com/is/image/MCY/21727287 </v>
      </c>
    </row>
    <row r="418" spans="1:14" ht="24.75" x14ac:dyDescent="0.25">
      <c r="A418" s="21" t="s">
        <v>7835</v>
      </c>
      <c r="B418" s="22" t="s">
        <v>7836</v>
      </c>
      <c r="C418" s="2">
        <v>2</v>
      </c>
      <c r="D418" s="23">
        <v>7.99</v>
      </c>
      <c r="E418" s="3">
        <v>15.98</v>
      </c>
      <c r="F418" s="2" t="s">
        <v>14064</v>
      </c>
      <c r="G418" s="22" t="s">
        <v>19462</v>
      </c>
      <c r="H418" s="24" t="s">
        <v>19907</v>
      </c>
      <c r="I418" s="22" t="s">
        <v>19309</v>
      </c>
      <c r="J418" s="22" t="s">
        <v>19908</v>
      </c>
      <c r="K418" s="22" t="s">
        <v>19524</v>
      </c>
      <c r="L418" s="22"/>
      <c r="M418" s="22"/>
      <c r="N418" s="25" t="str">
        <f>HYPERLINK("http://slimages.macys.com/is/image/MCY/21727287 ")</f>
        <v xml:space="preserve">http://slimages.macys.com/is/image/MCY/21727287 </v>
      </c>
    </row>
    <row r="419" spans="1:14" ht="24.75" x14ac:dyDescent="0.25">
      <c r="A419" s="21" t="s">
        <v>14067</v>
      </c>
      <c r="B419" s="22" t="s">
        <v>14068</v>
      </c>
      <c r="C419" s="2">
        <v>1</v>
      </c>
      <c r="D419" s="23">
        <v>7.99</v>
      </c>
      <c r="E419" s="3">
        <v>7.99</v>
      </c>
      <c r="F419" s="2" t="s">
        <v>16858</v>
      </c>
      <c r="G419" s="22" t="s">
        <v>19351</v>
      </c>
      <c r="H419" s="24" t="s">
        <v>20135</v>
      </c>
      <c r="I419" s="22" t="s">
        <v>19309</v>
      </c>
      <c r="J419" s="22" t="s">
        <v>19908</v>
      </c>
      <c r="K419" s="22" t="s">
        <v>19524</v>
      </c>
      <c r="L419" s="22"/>
      <c r="M419" s="22"/>
      <c r="N419" s="25" t="str">
        <f>HYPERLINK("http://slimages.macys.com/is/image/MCY/21727281 ")</f>
        <v xml:space="preserve">http://slimages.macys.com/is/image/MCY/21727281 </v>
      </c>
    </row>
    <row r="420" spans="1:14" ht="24.75" x14ac:dyDescent="0.25">
      <c r="A420" s="21" t="s">
        <v>18858</v>
      </c>
      <c r="B420" s="22" t="s">
        <v>18859</v>
      </c>
      <c r="C420" s="2">
        <v>1</v>
      </c>
      <c r="D420" s="23">
        <v>7.99</v>
      </c>
      <c r="E420" s="3">
        <v>7.99</v>
      </c>
      <c r="F420" s="2" t="s">
        <v>18860</v>
      </c>
      <c r="G420" s="22" t="s">
        <v>19906</v>
      </c>
      <c r="H420" s="24" t="s">
        <v>19907</v>
      </c>
      <c r="I420" s="22" t="s">
        <v>19309</v>
      </c>
      <c r="J420" s="22" t="s">
        <v>19908</v>
      </c>
      <c r="K420" s="22" t="s">
        <v>19524</v>
      </c>
      <c r="L420" s="22"/>
      <c r="M420" s="22"/>
      <c r="N420" s="25" t="str">
        <f>HYPERLINK("http://slimages.macys.com/is/image/MCY/21727292 ")</f>
        <v xml:space="preserve">http://slimages.macys.com/is/image/MCY/21727292 </v>
      </c>
    </row>
    <row r="421" spans="1:14" ht="24.75" x14ac:dyDescent="0.25">
      <c r="A421" s="21" t="s">
        <v>7837</v>
      </c>
      <c r="B421" s="22" t="s">
        <v>7838</v>
      </c>
      <c r="C421" s="2">
        <v>1</v>
      </c>
      <c r="D421" s="23">
        <v>7.99</v>
      </c>
      <c r="E421" s="3">
        <v>7.99</v>
      </c>
      <c r="F421" s="2" t="s">
        <v>14064</v>
      </c>
      <c r="G421" s="22" t="s">
        <v>19462</v>
      </c>
      <c r="H421" s="24" t="s">
        <v>19377</v>
      </c>
      <c r="I421" s="22" t="s">
        <v>19309</v>
      </c>
      <c r="J421" s="22" t="s">
        <v>19908</v>
      </c>
      <c r="K421" s="22" t="s">
        <v>19524</v>
      </c>
      <c r="L421" s="22"/>
      <c r="M421" s="22"/>
      <c r="N421" s="25" t="str">
        <f>HYPERLINK("http://slimages.macys.com/is/image/MCY/21727287 ")</f>
        <v xml:space="preserve">http://slimages.macys.com/is/image/MCY/21727287 </v>
      </c>
    </row>
    <row r="422" spans="1:14" ht="24.75" x14ac:dyDescent="0.25">
      <c r="A422" s="21" t="s">
        <v>7839</v>
      </c>
      <c r="B422" s="22" t="s">
        <v>7840</v>
      </c>
      <c r="C422" s="2">
        <v>1</v>
      </c>
      <c r="D422" s="23">
        <v>7.99</v>
      </c>
      <c r="E422" s="3">
        <v>7.99</v>
      </c>
      <c r="F422" s="2" t="s">
        <v>14064</v>
      </c>
      <c r="G422" s="22" t="s">
        <v>19462</v>
      </c>
      <c r="H422" s="24" t="s">
        <v>20135</v>
      </c>
      <c r="I422" s="22" t="s">
        <v>19309</v>
      </c>
      <c r="J422" s="22" t="s">
        <v>19908</v>
      </c>
      <c r="K422" s="22" t="s">
        <v>19524</v>
      </c>
      <c r="L422" s="22"/>
      <c r="M422" s="22"/>
      <c r="N422" s="25" t="str">
        <f>HYPERLINK("http://slimages.macys.com/is/image/MCY/21727287 ")</f>
        <v xml:space="preserve">http://slimages.macys.com/is/image/MCY/21727287 </v>
      </c>
    </row>
    <row r="423" spans="1:14" x14ac:dyDescent="0.25">
      <c r="A423" s="21" t="s">
        <v>7841</v>
      </c>
      <c r="B423" s="22" t="s">
        <v>7842</v>
      </c>
      <c r="C423" s="2">
        <v>1</v>
      </c>
      <c r="D423" s="23">
        <v>9.99</v>
      </c>
      <c r="E423" s="3">
        <v>9.99</v>
      </c>
      <c r="F423" s="2" t="s">
        <v>18869</v>
      </c>
      <c r="G423" s="22" t="s">
        <v>19351</v>
      </c>
      <c r="H423" s="24" t="s">
        <v>20089</v>
      </c>
      <c r="I423" s="22" t="s">
        <v>19309</v>
      </c>
      <c r="J423" s="22" t="s">
        <v>19849</v>
      </c>
      <c r="K423" s="22" t="s">
        <v>19850</v>
      </c>
      <c r="L423" s="22"/>
      <c r="M423" s="22"/>
      <c r="N423" s="25" t="str">
        <f>HYPERLINK("http://slimages.macys.com/is/image/MCY/21351556 ")</f>
        <v xml:space="preserve">http://slimages.macys.com/is/image/MCY/21351556 </v>
      </c>
    </row>
    <row r="424" spans="1:14" x14ac:dyDescent="0.25">
      <c r="A424" s="21" t="s">
        <v>7843</v>
      </c>
      <c r="B424" s="22" t="s">
        <v>7844</v>
      </c>
      <c r="C424" s="2">
        <v>1</v>
      </c>
      <c r="D424" s="23">
        <v>9.99</v>
      </c>
      <c r="E424" s="3">
        <v>9.99</v>
      </c>
      <c r="F424" s="2" t="s">
        <v>18869</v>
      </c>
      <c r="G424" s="22" t="s">
        <v>19351</v>
      </c>
      <c r="H424" s="24" t="s">
        <v>19542</v>
      </c>
      <c r="I424" s="22" t="s">
        <v>19309</v>
      </c>
      <c r="J424" s="22" t="s">
        <v>19849</v>
      </c>
      <c r="K424" s="22" t="s">
        <v>19850</v>
      </c>
      <c r="L424" s="22"/>
      <c r="M424" s="22"/>
      <c r="N424" s="25" t="str">
        <f>HYPERLINK("http://slimages.macys.com/is/image/MCY/21351556 ")</f>
        <v xml:space="preserve">http://slimages.macys.com/is/image/MCY/21351556 </v>
      </c>
    </row>
    <row r="425" spans="1:14" x14ac:dyDescent="0.25">
      <c r="A425" s="21" t="s">
        <v>10045</v>
      </c>
      <c r="B425" s="22" t="s">
        <v>10046</v>
      </c>
      <c r="C425" s="2">
        <v>1</v>
      </c>
      <c r="D425" s="23">
        <v>9.99</v>
      </c>
      <c r="E425" s="3">
        <v>9.99</v>
      </c>
      <c r="F425" s="2" t="s">
        <v>18869</v>
      </c>
      <c r="G425" s="22" t="s">
        <v>19351</v>
      </c>
      <c r="H425" s="24" t="s">
        <v>19361</v>
      </c>
      <c r="I425" s="22" t="s">
        <v>19309</v>
      </c>
      <c r="J425" s="22" t="s">
        <v>19849</v>
      </c>
      <c r="K425" s="22" t="s">
        <v>19850</v>
      </c>
      <c r="L425" s="22"/>
      <c r="M425" s="22"/>
      <c r="N425" s="25" t="str">
        <f>HYPERLINK("http://slimages.macys.com/is/image/MCY/21351556 ")</f>
        <v xml:space="preserve">http://slimages.macys.com/is/image/MCY/21351556 </v>
      </c>
    </row>
    <row r="426" spans="1:14" ht="24.75" x14ac:dyDescent="0.25">
      <c r="A426" s="21" t="s">
        <v>12495</v>
      </c>
      <c r="B426" s="22" t="s">
        <v>12496</v>
      </c>
      <c r="C426" s="2">
        <v>1</v>
      </c>
      <c r="D426" s="23">
        <v>8.41</v>
      </c>
      <c r="E426" s="3">
        <v>8.41</v>
      </c>
      <c r="F426" s="2" t="s">
        <v>12497</v>
      </c>
      <c r="G426" s="22"/>
      <c r="H426" s="24"/>
      <c r="I426" s="22" t="s">
        <v>19309</v>
      </c>
      <c r="J426" s="22" t="s">
        <v>19602</v>
      </c>
      <c r="K426" s="22" t="s">
        <v>20041</v>
      </c>
      <c r="L426" s="22"/>
      <c r="M426" s="22"/>
      <c r="N426" s="25" t="str">
        <f>HYPERLINK("http://slimages.macys.com/is/image/MCY/21421589 ")</f>
        <v xml:space="preserve">http://slimages.macys.com/is/image/MCY/21421589 </v>
      </c>
    </row>
    <row r="427" spans="1:14" ht="24.75" x14ac:dyDescent="0.25">
      <c r="A427" s="21" t="s">
        <v>16882</v>
      </c>
      <c r="B427" s="22" t="s">
        <v>16883</v>
      </c>
      <c r="C427" s="2">
        <v>1</v>
      </c>
      <c r="D427" s="23">
        <v>9.99</v>
      </c>
      <c r="E427" s="3">
        <v>9.99</v>
      </c>
      <c r="F427" s="2" t="s">
        <v>18881</v>
      </c>
      <c r="G427" s="22" t="s">
        <v>19422</v>
      </c>
      <c r="H427" s="24" t="s">
        <v>19339</v>
      </c>
      <c r="I427" s="22" t="s">
        <v>19309</v>
      </c>
      <c r="J427" s="22" t="s">
        <v>19353</v>
      </c>
      <c r="K427" s="22" t="s">
        <v>19524</v>
      </c>
      <c r="L427" s="22"/>
      <c r="M427" s="22"/>
      <c r="N427" s="25" t="str">
        <f>HYPERLINK("http://slimages.macys.com/is/image/MCY/1472542 ")</f>
        <v xml:space="preserve">http://slimages.macys.com/is/image/MCY/1472542 </v>
      </c>
    </row>
    <row r="428" spans="1:14" ht="24.75" x14ac:dyDescent="0.25">
      <c r="A428" s="21" t="s">
        <v>16886</v>
      </c>
      <c r="B428" s="22" t="s">
        <v>16887</v>
      </c>
      <c r="C428" s="2">
        <v>1</v>
      </c>
      <c r="D428" s="23">
        <v>9.99</v>
      </c>
      <c r="E428" s="3">
        <v>9.99</v>
      </c>
      <c r="F428" s="2" t="s">
        <v>18881</v>
      </c>
      <c r="G428" s="22" t="s">
        <v>19415</v>
      </c>
      <c r="H428" s="24" t="s">
        <v>19797</v>
      </c>
      <c r="I428" s="22" t="s">
        <v>19309</v>
      </c>
      <c r="J428" s="22" t="s">
        <v>19353</v>
      </c>
      <c r="K428" s="22" t="s">
        <v>19524</v>
      </c>
      <c r="L428" s="22"/>
      <c r="M428" s="22"/>
      <c r="N428" s="25" t="str">
        <f>HYPERLINK("http://slimages.macys.com/is/image/MCY/21083388 ")</f>
        <v xml:space="preserve">http://slimages.macys.com/is/image/MCY/21083388 </v>
      </c>
    </row>
    <row r="429" spans="1:14" ht="24.75" x14ac:dyDescent="0.25">
      <c r="A429" s="21" t="s">
        <v>18882</v>
      </c>
      <c r="B429" s="22" t="s">
        <v>18883</v>
      </c>
      <c r="C429" s="2">
        <v>1</v>
      </c>
      <c r="D429" s="23">
        <v>9.99</v>
      </c>
      <c r="E429" s="3">
        <v>9.99</v>
      </c>
      <c r="F429" s="2" t="s">
        <v>18881</v>
      </c>
      <c r="G429" s="22" t="s">
        <v>19333</v>
      </c>
      <c r="H429" s="24" t="s">
        <v>19339</v>
      </c>
      <c r="I429" s="22" t="s">
        <v>19309</v>
      </c>
      <c r="J429" s="22" t="s">
        <v>19353</v>
      </c>
      <c r="K429" s="22" t="s">
        <v>19524</v>
      </c>
      <c r="L429" s="22"/>
      <c r="M429" s="22"/>
      <c r="N429" s="25" t="str">
        <f>HYPERLINK("http://slimages.macys.com/is/image/MCY/1484637 ")</f>
        <v xml:space="preserve">http://slimages.macys.com/is/image/MCY/1484637 </v>
      </c>
    </row>
    <row r="430" spans="1:14" ht="24.75" x14ac:dyDescent="0.25">
      <c r="A430" s="21" t="s">
        <v>18884</v>
      </c>
      <c r="B430" s="22" t="s">
        <v>18885</v>
      </c>
      <c r="C430" s="2">
        <v>1</v>
      </c>
      <c r="D430" s="23">
        <v>8.99</v>
      </c>
      <c r="E430" s="3">
        <v>8.99</v>
      </c>
      <c r="F430" s="2" t="s">
        <v>18886</v>
      </c>
      <c r="G430" s="22" t="s">
        <v>19415</v>
      </c>
      <c r="H430" s="24" t="s">
        <v>19907</v>
      </c>
      <c r="I430" s="22" t="s">
        <v>19309</v>
      </c>
      <c r="J430" s="22" t="s">
        <v>19573</v>
      </c>
      <c r="K430" s="22" t="s">
        <v>19574</v>
      </c>
      <c r="L430" s="22"/>
      <c r="M430" s="22"/>
      <c r="N430" s="25" t="str">
        <f>HYPERLINK("http://slimages.macys.com/is/image/MCY/21361541 ")</f>
        <v xml:space="preserve">http://slimages.macys.com/is/image/MCY/21361541 </v>
      </c>
    </row>
    <row r="431" spans="1:14" ht="24.75" x14ac:dyDescent="0.25">
      <c r="A431" s="21" t="s">
        <v>16467</v>
      </c>
      <c r="B431" s="22" t="s">
        <v>14620</v>
      </c>
      <c r="C431" s="2">
        <v>1</v>
      </c>
      <c r="D431" s="23">
        <v>7.99</v>
      </c>
      <c r="E431" s="3">
        <v>7.99</v>
      </c>
      <c r="F431" s="2" t="s">
        <v>16892</v>
      </c>
      <c r="G431" s="22" t="s">
        <v>19814</v>
      </c>
      <c r="H431" s="24" t="s">
        <v>19542</v>
      </c>
      <c r="I431" s="22" t="s">
        <v>19309</v>
      </c>
      <c r="J431" s="22" t="s">
        <v>19815</v>
      </c>
      <c r="K431" s="22" t="s">
        <v>19816</v>
      </c>
      <c r="L431" s="22"/>
      <c r="M431" s="22"/>
      <c r="N431" s="25" t="str">
        <f>HYPERLINK("http://slimages.macys.com/is/image/MCY/1695984 ")</f>
        <v xml:space="preserve">http://slimages.macys.com/is/image/MCY/1695984 </v>
      </c>
    </row>
    <row r="432" spans="1:14" x14ac:dyDescent="0.25">
      <c r="A432" s="21" t="s">
        <v>7845</v>
      </c>
      <c r="B432" s="22" t="s">
        <v>7846</v>
      </c>
      <c r="C432" s="2">
        <v>2</v>
      </c>
      <c r="D432" s="23">
        <v>9.39</v>
      </c>
      <c r="E432" s="3">
        <v>18.78</v>
      </c>
      <c r="F432" s="2" t="s">
        <v>7847</v>
      </c>
      <c r="G432" s="22" t="s">
        <v>19333</v>
      </c>
      <c r="H432" s="24" t="s">
        <v>19770</v>
      </c>
      <c r="I432" s="22" t="s">
        <v>19309</v>
      </c>
      <c r="J432" s="22" t="s">
        <v>19708</v>
      </c>
      <c r="K432" s="22" t="s">
        <v>19709</v>
      </c>
      <c r="L432" s="22"/>
      <c r="M432" s="22"/>
      <c r="N432" s="25" t="str">
        <f>HYPERLINK("http://slimages.macys.com/is/image/MCY/22596400 ")</f>
        <v xml:space="preserve">http://slimages.macys.com/is/image/MCY/22596400 </v>
      </c>
    </row>
    <row r="433" spans="1:14" ht="24.75" x14ac:dyDescent="0.25">
      <c r="A433" s="21" t="s">
        <v>16896</v>
      </c>
      <c r="B433" s="22" t="s">
        <v>16897</v>
      </c>
      <c r="C433" s="2">
        <v>1</v>
      </c>
      <c r="D433" s="23">
        <v>7.99</v>
      </c>
      <c r="E433" s="3">
        <v>7.99</v>
      </c>
      <c r="F433" s="2" t="s">
        <v>16898</v>
      </c>
      <c r="G433" s="22" t="s">
        <v>19670</v>
      </c>
      <c r="H433" s="24" t="s">
        <v>20089</v>
      </c>
      <c r="I433" s="22" t="s">
        <v>19309</v>
      </c>
      <c r="J433" s="22" t="s">
        <v>19908</v>
      </c>
      <c r="K433" s="22" t="s">
        <v>19524</v>
      </c>
      <c r="L433" s="22"/>
      <c r="M433" s="22"/>
      <c r="N433" s="25" t="str">
        <f>HYPERLINK("http://slimages.macys.com/is/image/MCY/21727297 ")</f>
        <v xml:space="preserve">http://slimages.macys.com/is/image/MCY/21727297 </v>
      </c>
    </row>
    <row r="434" spans="1:14" ht="24.75" x14ac:dyDescent="0.25">
      <c r="A434" s="21" t="s">
        <v>7848</v>
      </c>
      <c r="B434" s="22" t="s">
        <v>7849</v>
      </c>
      <c r="C434" s="2">
        <v>1</v>
      </c>
      <c r="D434" s="23">
        <v>7.99</v>
      </c>
      <c r="E434" s="3">
        <v>7.99</v>
      </c>
      <c r="F434" s="2" t="s">
        <v>7850</v>
      </c>
      <c r="G434" s="22" t="s">
        <v>19794</v>
      </c>
      <c r="H434" s="24" t="s">
        <v>19907</v>
      </c>
      <c r="I434" s="22" t="s">
        <v>19309</v>
      </c>
      <c r="J434" s="22" t="s">
        <v>19454</v>
      </c>
      <c r="K434" s="22" t="s">
        <v>19524</v>
      </c>
      <c r="L434" s="22"/>
      <c r="M434" s="22"/>
      <c r="N434" s="25" t="str">
        <f>HYPERLINK("http://slimages.macys.com/is/image/MCY/1472529 ")</f>
        <v xml:space="preserve">http://slimages.macys.com/is/image/MCY/1472529 </v>
      </c>
    </row>
    <row r="435" spans="1:14" ht="24.75" x14ac:dyDescent="0.25">
      <c r="A435" s="21" t="s">
        <v>7851</v>
      </c>
      <c r="B435" s="22" t="s">
        <v>7852</v>
      </c>
      <c r="C435" s="2">
        <v>1</v>
      </c>
      <c r="D435" s="23">
        <v>7.99</v>
      </c>
      <c r="E435" s="3">
        <v>7.99</v>
      </c>
      <c r="F435" s="2" t="s">
        <v>7850</v>
      </c>
      <c r="G435" s="22" t="s">
        <v>19794</v>
      </c>
      <c r="H435" s="24" t="s">
        <v>20135</v>
      </c>
      <c r="I435" s="22" t="s">
        <v>19309</v>
      </c>
      <c r="J435" s="22" t="s">
        <v>19454</v>
      </c>
      <c r="K435" s="22" t="s">
        <v>19524</v>
      </c>
      <c r="L435" s="22"/>
      <c r="M435" s="22"/>
      <c r="N435" s="25" t="str">
        <f>HYPERLINK("http://slimages.macys.com/is/image/MCY/1472529 ")</f>
        <v xml:space="preserve">http://slimages.macys.com/is/image/MCY/1472529 </v>
      </c>
    </row>
    <row r="436" spans="1:14" ht="24.75" x14ac:dyDescent="0.25">
      <c r="A436" s="21" t="s">
        <v>7853</v>
      </c>
      <c r="B436" s="22" t="s">
        <v>7854</v>
      </c>
      <c r="C436" s="2">
        <v>1</v>
      </c>
      <c r="D436" s="23">
        <v>7.99</v>
      </c>
      <c r="E436" s="3">
        <v>7.99</v>
      </c>
      <c r="F436" s="2" t="s">
        <v>7850</v>
      </c>
      <c r="G436" s="22" t="s">
        <v>19794</v>
      </c>
      <c r="H436" s="24" t="s">
        <v>19542</v>
      </c>
      <c r="I436" s="22" t="s">
        <v>19309</v>
      </c>
      <c r="J436" s="22" t="s">
        <v>19454</v>
      </c>
      <c r="K436" s="22" t="s">
        <v>19524</v>
      </c>
      <c r="L436" s="22"/>
      <c r="M436" s="22"/>
      <c r="N436" s="25" t="str">
        <f>HYPERLINK("http://slimages.macys.com/is/image/MCY/1472529 ")</f>
        <v xml:space="preserve">http://slimages.macys.com/is/image/MCY/1472529 </v>
      </c>
    </row>
    <row r="437" spans="1:14" ht="24.75" x14ac:dyDescent="0.25">
      <c r="A437" s="21" t="s">
        <v>7855</v>
      </c>
      <c r="B437" s="22" t="s">
        <v>7856</v>
      </c>
      <c r="C437" s="2">
        <v>1</v>
      </c>
      <c r="D437" s="23">
        <v>7.99</v>
      </c>
      <c r="E437" s="3">
        <v>7.99</v>
      </c>
      <c r="F437" s="2" t="s">
        <v>7857</v>
      </c>
      <c r="G437" s="22" t="s">
        <v>19585</v>
      </c>
      <c r="H437" s="24" t="s">
        <v>20089</v>
      </c>
      <c r="I437" s="22" t="s">
        <v>19309</v>
      </c>
      <c r="J437" s="22" t="s">
        <v>19908</v>
      </c>
      <c r="K437" s="22" t="s">
        <v>19524</v>
      </c>
      <c r="L437" s="22"/>
      <c r="M437" s="22"/>
      <c r="N437" s="25" t="str">
        <f>HYPERLINK("http://slimages.macys.com/is/image/MCY/21070314 ")</f>
        <v xml:space="preserve">http://slimages.macys.com/is/image/MCY/21070314 </v>
      </c>
    </row>
    <row r="438" spans="1:14" x14ac:dyDescent="0.25">
      <c r="A438" s="21" t="s">
        <v>14637</v>
      </c>
      <c r="B438" s="22" t="s">
        <v>14638</v>
      </c>
      <c r="C438" s="2">
        <v>1</v>
      </c>
      <c r="D438" s="23">
        <v>9.99</v>
      </c>
      <c r="E438" s="3">
        <v>9.99</v>
      </c>
      <c r="F438" s="2" t="s">
        <v>18892</v>
      </c>
      <c r="G438" s="22" t="s">
        <v>19670</v>
      </c>
      <c r="H438" s="24" t="s">
        <v>19361</v>
      </c>
      <c r="I438" s="22" t="s">
        <v>19309</v>
      </c>
      <c r="J438" s="22" t="s">
        <v>19849</v>
      </c>
      <c r="K438" s="22" t="s">
        <v>19850</v>
      </c>
      <c r="L438" s="22"/>
      <c r="M438" s="22"/>
      <c r="N438" s="25" t="str">
        <f>HYPERLINK("http://slimages.macys.com/is/image/MCY/1521210 ")</f>
        <v xml:space="preserve">http://slimages.macys.com/is/image/MCY/1521210 </v>
      </c>
    </row>
    <row r="439" spans="1:14" ht="24.75" x14ac:dyDescent="0.25">
      <c r="A439" s="21" t="s">
        <v>7858</v>
      </c>
      <c r="B439" s="22" t="s">
        <v>7859</v>
      </c>
      <c r="C439" s="2">
        <v>1</v>
      </c>
      <c r="D439" s="23">
        <v>6.99</v>
      </c>
      <c r="E439" s="3">
        <v>6.99</v>
      </c>
      <c r="F439" s="2" t="s">
        <v>7860</v>
      </c>
      <c r="G439" s="22" t="s">
        <v>19351</v>
      </c>
      <c r="H439" s="24" t="s">
        <v>19352</v>
      </c>
      <c r="I439" s="22" t="s">
        <v>19309</v>
      </c>
      <c r="J439" s="22" t="s">
        <v>19353</v>
      </c>
      <c r="K439" s="22" t="s">
        <v>19354</v>
      </c>
      <c r="L439" s="22"/>
      <c r="M439" s="22"/>
      <c r="N439" s="25" t="str">
        <f>HYPERLINK("http://slimages.macys.com/is/image/MCY/20721659 ")</f>
        <v xml:space="preserve">http://slimages.macys.com/is/image/MCY/20721659 </v>
      </c>
    </row>
    <row r="440" spans="1:14" x14ac:dyDescent="0.25">
      <c r="A440" s="21" t="s">
        <v>9647</v>
      </c>
      <c r="B440" s="22" t="s">
        <v>9648</v>
      </c>
      <c r="C440" s="2">
        <v>1</v>
      </c>
      <c r="D440" s="23">
        <v>9.99</v>
      </c>
      <c r="E440" s="3">
        <v>9.99</v>
      </c>
      <c r="F440" s="2" t="s">
        <v>18895</v>
      </c>
      <c r="G440" s="22" t="s">
        <v>19462</v>
      </c>
      <c r="H440" s="24" t="s">
        <v>19542</v>
      </c>
      <c r="I440" s="22" t="s">
        <v>19309</v>
      </c>
      <c r="J440" s="22" t="s">
        <v>19849</v>
      </c>
      <c r="K440" s="22" t="s">
        <v>19850</v>
      </c>
      <c r="L440" s="22"/>
      <c r="M440" s="22"/>
      <c r="N440" s="25" t="str">
        <f>HYPERLINK("http://slimages.macys.com/is/image/MCY/21251249 ")</f>
        <v xml:space="preserve">http://slimages.macys.com/is/image/MCY/21251249 </v>
      </c>
    </row>
    <row r="441" spans="1:14" ht="24.75" x14ac:dyDescent="0.25">
      <c r="A441" s="21" t="s">
        <v>16918</v>
      </c>
      <c r="B441" s="22" t="s">
        <v>16919</v>
      </c>
      <c r="C441" s="2">
        <v>2</v>
      </c>
      <c r="D441" s="23">
        <v>7.99</v>
      </c>
      <c r="E441" s="3">
        <v>15.98</v>
      </c>
      <c r="F441" s="2" t="s">
        <v>16920</v>
      </c>
      <c r="G441" s="22" t="s">
        <v>19351</v>
      </c>
      <c r="H441" s="24" t="s">
        <v>20089</v>
      </c>
      <c r="I441" s="22" t="s">
        <v>19309</v>
      </c>
      <c r="J441" s="22" t="s">
        <v>19908</v>
      </c>
      <c r="K441" s="22" t="s">
        <v>19524</v>
      </c>
      <c r="L441" s="22"/>
      <c r="M441" s="22"/>
      <c r="N441" s="25" t="str">
        <f>HYPERLINK("http://slimages.macys.com/is/image/MCY/1521980 ")</f>
        <v xml:space="preserve">http://slimages.macys.com/is/image/MCY/1521980 </v>
      </c>
    </row>
    <row r="442" spans="1:14" ht="24.75" x14ac:dyDescent="0.25">
      <c r="A442" s="21" t="s">
        <v>7861</v>
      </c>
      <c r="B442" s="22" t="s">
        <v>7862</v>
      </c>
      <c r="C442" s="2">
        <v>1</v>
      </c>
      <c r="D442" s="23">
        <v>7.99</v>
      </c>
      <c r="E442" s="3">
        <v>7.99</v>
      </c>
      <c r="F442" s="2" t="s">
        <v>16920</v>
      </c>
      <c r="G442" s="22" t="s">
        <v>19351</v>
      </c>
      <c r="H442" s="24" t="s">
        <v>19542</v>
      </c>
      <c r="I442" s="22" t="s">
        <v>19309</v>
      </c>
      <c r="J442" s="22" t="s">
        <v>19908</v>
      </c>
      <c r="K442" s="22" t="s">
        <v>19524</v>
      </c>
      <c r="L442" s="22"/>
      <c r="M442" s="22"/>
      <c r="N442" s="25" t="str">
        <f>HYPERLINK("http://slimages.macys.com/is/image/MCY/1521980 ")</f>
        <v xml:space="preserve">http://slimages.macys.com/is/image/MCY/1521980 </v>
      </c>
    </row>
    <row r="443" spans="1:14" ht="24.75" x14ac:dyDescent="0.25">
      <c r="A443" s="21" t="s">
        <v>7863</v>
      </c>
      <c r="B443" s="22" t="s">
        <v>7864</v>
      </c>
      <c r="C443" s="2">
        <v>1</v>
      </c>
      <c r="D443" s="23">
        <v>7.99</v>
      </c>
      <c r="E443" s="3">
        <v>7.99</v>
      </c>
      <c r="F443" s="2" t="s">
        <v>7865</v>
      </c>
      <c r="G443" s="22" t="s">
        <v>19713</v>
      </c>
      <c r="H443" s="24" t="s">
        <v>19907</v>
      </c>
      <c r="I443" s="22" t="s">
        <v>19309</v>
      </c>
      <c r="J443" s="22" t="s">
        <v>19573</v>
      </c>
      <c r="K443" s="22" t="s">
        <v>19574</v>
      </c>
      <c r="L443" s="22"/>
      <c r="M443" s="22"/>
      <c r="N443" s="25" t="str">
        <f>HYPERLINK("http://slimages.macys.com/is/image/MCY/19746502 ")</f>
        <v xml:space="preserve">http://slimages.macys.com/is/image/MCY/19746502 </v>
      </c>
    </row>
    <row r="444" spans="1:14" ht="24.75" x14ac:dyDescent="0.25">
      <c r="A444" s="21" t="s">
        <v>16931</v>
      </c>
      <c r="B444" s="22" t="s">
        <v>16932</v>
      </c>
      <c r="C444" s="2">
        <v>1</v>
      </c>
      <c r="D444" s="23">
        <v>8.99</v>
      </c>
      <c r="E444" s="3">
        <v>8.99</v>
      </c>
      <c r="F444" s="2" t="s">
        <v>18909</v>
      </c>
      <c r="G444" s="22" t="s">
        <v>19518</v>
      </c>
      <c r="H444" s="24" t="s">
        <v>19352</v>
      </c>
      <c r="I444" s="22" t="s">
        <v>19309</v>
      </c>
      <c r="J444" s="22" t="s">
        <v>19815</v>
      </c>
      <c r="K444" s="22" t="s">
        <v>19816</v>
      </c>
      <c r="L444" s="22"/>
      <c r="M444" s="22"/>
      <c r="N444" s="25" t="str">
        <f>HYPERLINK("http://slimages.macys.com/is/image/MCY/21769938 ")</f>
        <v xml:space="preserve">http://slimages.macys.com/is/image/MCY/21769938 </v>
      </c>
    </row>
    <row r="445" spans="1:14" ht="24.75" x14ac:dyDescent="0.25">
      <c r="A445" s="21" t="s">
        <v>12501</v>
      </c>
      <c r="B445" s="22" t="s">
        <v>12502</v>
      </c>
      <c r="C445" s="2">
        <v>2</v>
      </c>
      <c r="D445" s="23">
        <v>7.99</v>
      </c>
      <c r="E445" s="3">
        <v>15.98</v>
      </c>
      <c r="F445" s="2" t="s">
        <v>12503</v>
      </c>
      <c r="G445" s="22" t="s">
        <v>19618</v>
      </c>
      <c r="H445" s="24" t="s">
        <v>20135</v>
      </c>
      <c r="I445" s="22" t="s">
        <v>19309</v>
      </c>
      <c r="J445" s="22" t="s">
        <v>19573</v>
      </c>
      <c r="K445" s="22" t="s">
        <v>19574</v>
      </c>
      <c r="L445" s="22"/>
      <c r="M445" s="22"/>
      <c r="N445" s="25" t="str">
        <f>HYPERLINK("http://slimages.macys.com/is/image/MCY/21361690 ")</f>
        <v xml:space="preserve">http://slimages.macys.com/is/image/MCY/21361690 </v>
      </c>
    </row>
    <row r="446" spans="1:14" ht="24.75" x14ac:dyDescent="0.25">
      <c r="A446" s="21" t="s">
        <v>7866</v>
      </c>
      <c r="B446" s="22" t="s">
        <v>7867</v>
      </c>
      <c r="C446" s="2">
        <v>1</v>
      </c>
      <c r="D446" s="23">
        <v>7.99</v>
      </c>
      <c r="E446" s="3">
        <v>7.99</v>
      </c>
      <c r="F446" s="2" t="s">
        <v>12503</v>
      </c>
      <c r="G446" s="22" t="s">
        <v>19618</v>
      </c>
      <c r="H446" s="24" t="s">
        <v>20089</v>
      </c>
      <c r="I446" s="22" t="s">
        <v>19309</v>
      </c>
      <c r="J446" s="22" t="s">
        <v>19573</v>
      </c>
      <c r="K446" s="22" t="s">
        <v>19574</v>
      </c>
      <c r="L446" s="22"/>
      <c r="M446" s="22"/>
      <c r="N446" s="25" t="str">
        <f>HYPERLINK("http://slimages.macys.com/is/image/MCY/1610400 ")</f>
        <v xml:space="preserve">http://slimages.macys.com/is/image/MCY/1610400 </v>
      </c>
    </row>
    <row r="447" spans="1:14" ht="24.75" x14ac:dyDescent="0.25">
      <c r="A447" s="21" t="s">
        <v>11120</v>
      </c>
      <c r="B447" s="22" t="s">
        <v>11121</v>
      </c>
      <c r="C447" s="2">
        <v>1</v>
      </c>
      <c r="D447" s="23">
        <v>7.99</v>
      </c>
      <c r="E447" s="3">
        <v>7.99</v>
      </c>
      <c r="F447" s="2" t="s">
        <v>11122</v>
      </c>
      <c r="G447" s="22"/>
      <c r="H447" s="24"/>
      <c r="I447" s="22" t="s">
        <v>19309</v>
      </c>
      <c r="J447" s="22" t="s">
        <v>20076</v>
      </c>
      <c r="K447" s="22" t="s">
        <v>11123</v>
      </c>
      <c r="L447" s="22" t="s">
        <v>19319</v>
      </c>
      <c r="M447" s="22" t="s">
        <v>19764</v>
      </c>
      <c r="N447" s="25" t="str">
        <f>HYPERLINK("http://slimages.macys.com/is/image/MCY/9998193 ")</f>
        <v xml:space="preserve">http://slimages.macys.com/is/image/MCY/9998193 </v>
      </c>
    </row>
    <row r="448" spans="1:14" ht="24.75" x14ac:dyDescent="0.25">
      <c r="A448" s="21" t="s">
        <v>7868</v>
      </c>
      <c r="B448" s="22" t="s">
        <v>7869</v>
      </c>
      <c r="C448" s="2">
        <v>1</v>
      </c>
      <c r="D448" s="23">
        <v>7.99</v>
      </c>
      <c r="E448" s="3">
        <v>7.99</v>
      </c>
      <c r="F448" s="2" t="s">
        <v>7870</v>
      </c>
      <c r="G448" s="22" t="s">
        <v>19315</v>
      </c>
      <c r="H448" s="24" t="s">
        <v>19907</v>
      </c>
      <c r="I448" s="22" t="s">
        <v>19309</v>
      </c>
      <c r="J448" s="22" t="s">
        <v>19454</v>
      </c>
      <c r="K448" s="22" t="s">
        <v>19524</v>
      </c>
      <c r="L448" s="22"/>
      <c r="M448" s="22"/>
      <c r="N448" s="25" t="str">
        <f>HYPERLINK("http://slimages.macys.com/is/image/MCY/20665867 ")</f>
        <v xml:space="preserve">http://slimages.macys.com/is/image/MCY/20665867 </v>
      </c>
    </row>
    <row r="449" spans="1:14" ht="24.75" x14ac:dyDescent="0.25">
      <c r="A449" s="21" t="s">
        <v>10064</v>
      </c>
      <c r="B449" s="22" t="s">
        <v>10065</v>
      </c>
      <c r="C449" s="2">
        <v>1</v>
      </c>
      <c r="D449" s="23">
        <v>7.99</v>
      </c>
      <c r="E449" s="3">
        <v>7.99</v>
      </c>
      <c r="F449" s="2" t="s">
        <v>14661</v>
      </c>
      <c r="G449" s="22" t="s">
        <v>19794</v>
      </c>
      <c r="H449" s="24" t="s">
        <v>20089</v>
      </c>
      <c r="I449" s="22" t="s">
        <v>19309</v>
      </c>
      <c r="J449" s="22" t="s">
        <v>19573</v>
      </c>
      <c r="K449" s="22" t="s">
        <v>19574</v>
      </c>
      <c r="L449" s="22"/>
      <c r="M449" s="22"/>
      <c r="N449" s="25" t="str">
        <f>HYPERLINK("http://slimages.macys.com/is/image/MCY/21209113 ")</f>
        <v xml:space="preserve">http://slimages.macys.com/is/image/MCY/21209113 </v>
      </c>
    </row>
    <row r="450" spans="1:14" ht="24.75" x14ac:dyDescent="0.25">
      <c r="A450" s="21" t="s">
        <v>16938</v>
      </c>
      <c r="B450" s="22" t="s">
        <v>16939</v>
      </c>
      <c r="C450" s="2">
        <v>1</v>
      </c>
      <c r="D450" s="23">
        <v>7.99</v>
      </c>
      <c r="E450" s="3">
        <v>7.99</v>
      </c>
      <c r="F450" s="2" t="s">
        <v>16935</v>
      </c>
      <c r="G450" s="22" t="s">
        <v>19415</v>
      </c>
      <c r="H450" s="24" t="s">
        <v>20089</v>
      </c>
      <c r="I450" s="22" t="s">
        <v>19309</v>
      </c>
      <c r="J450" s="22" t="s">
        <v>19573</v>
      </c>
      <c r="K450" s="22" t="s">
        <v>19574</v>
      </c>
      <c r="L450" s="22"/>
      <c r="M450" s="22"/>
      <c r="N450" s="25" t="str">
        <f>HYPERLINK("http://slimages.macys.com/is/image/MCY/21209612 ")</f>
        <v xml:space="preserve">http://slimages.macys.com/is/image/MCY/21209612 </v>
      </c>
    </row>
    <row r="451" spans="1:14" ht="24.75" x14ac:dyDescent="0.25">
      <c r="A451" s="21" t="s">
        <v>16933</v>
      </c>
      <c r="B451" s="22" t="s">
        <v>16934</v>
      </c>
      <c r="C451" s="2">
        <v>2</v>
      </c>
      <c r="D451" s="23">
        <v>7.99</v>
      </c>
      <c r="E451" s="3">
        <v>15.98</v>
      </c>
      <c r="F451" s="2" t="s">
        <v>16935</v>
      </c>
      <c r="G451" s="22" t="s">
        <v>19415</v>
      </c>
      <c r="H451" s="24" t="s">
        <v>19907</v>
      </c>
      <c r="I451" s="22" t="s">
        <v>19309</v>
      </c>
      <c r="J451" s="22" t="s">
        <v>19573</v>
      </c>
      <c r="K451" s="22" t="s">
        <v>19574</v>
      </c>
      <c r="L451" s="22"/>
      <c r="M451" s="22"/>
      <c r="N451" s="25" t="str">
        <f>HYPERLINK("http://slimages.macys.com/is/image/MCY/21209612 ")</f>
        <v xml:space="preserve">http://slimages.macys.com/is/image/MCY/21209612 </v>
      </c>
    </row>
    <row r="452" spans="1:14" ht="24.75" x14ac:dyDescent="0.25">
      <c r="A452" s="21" t="s">
        <v>7871</v>
      </c>
      <c r="B452" s="22" t="s">
        <v>7872</v>
      </c>
      <c r="C452" s="2">
        <v>2</v>
      </c>
      <c r="D452" s="23">
        <v>7.99</v>
      </c>
      <c r="E452" s="3">
        <v>15.98</v>
      </c>
      <c r="F452" s="2" t="s">
        <v>14664</v>
      </c>
      <c r="G452" s="22" t="s">
        <v>19585</v>
      </c>
      <c r="H452" s="24" t="s">
        <v>19361</v>
      </c>
      <c r="I452" s="22" t="s">
        <v>19309</v>
      </c>
      <c r="J452" s="22" t="s">
        <v>19908</v>
      </c>
      <c r="K452" s="22" t="s">
        <v>19524</v>
      </c>
      <c r="L452" s="22"/>
      <c r="M452" s="22"/>
      <c r="N452" s="25" t="str">
        <f>HYPERLINK("http://slimages.macys.com/is/image/MCY/21569869 ")</f>
        <v xml:space="preserve">http://slimages.macys.com/is/image/MCY/21569869 </v>
      </c>
    </row>
    <row r="453" spans="1:14" ht="24.75" x14ac:dyDescent="0.25">
      <c r="A453" s="21" t="s">
        <v>7873</v>
      </c>
      <c r="B453" s="22" t="s">
        <v>7874</v>
      </c>
      <c r="C453" s="2">
        <v>1</v>
      </c>
      <c r="D453" s="23">
        <v>7.99</v>
      </c>
      <c r="E453" s="3">
        <v>7.99</v>
      </c>
      <c r="F453" s="2" t="s">
        <v>7875</v>
      </c>
      <c r="G453" s="22" t="s">
        <v>19315</v>
      </c>
      <c r="H453" s="24" t="s">
        <v>19361</v>
      </c>
      <c r="I453" s="22" t="s">
        <v>19309</v>
      </c>
      <c r="J453" s="22" t="s">
        <v>19908</v>
      </c>
      <c r="K453" s="22" t="s">
        <v>19524</v>
      </c>
      <c r="L453" s="22"/>
      <c r="M453" s="22"/>
      <c r="N453" s="25" t="str">
        <f>HYPERLINK("http://slimages.macys.com/is/image/MCY/1121698 ")</f>
        <v xml:space="preserve">http://slimages.macys.com/is/image/MCY/1121698 </v>
      </c>
    </row>
    <row r="454" spans="1:14" ht="24.75" x14ac:dyDescent="0.25">
      <c r="A454" s="21" t="s">
        <v>7876</v>
      </c>
      <c r="B454" s="22" t="s">
        <v>7877</v>
      </c>
      <c r="C454" s="2">
        <v>1</v>
      </c>
      <c r="D454" s="23">
        <v>7.99</v>
      </c>
      <c r="E454" s="3">
        <v>7.99</v>
      </c>
      <c r="F454" s="2" t="s">
        <v>18930</v>
      </c>
      <c r="G454" s="22" t="s">
        <v>19462</v>
      </c>
      <c r="H454" s="24" t="s">
        <v>19377</v>
      </c>
      <c r="I454" s="22" t="s">
        <v>19309</v>
      </c>
      <c r="J454" s="22" t="s">
        <v>19908</v>
      </c>
      <c r="K454" s="22" t="s">
        <v>19524</v>
      </c>
      <c r="L454" s="22"/>
      <c r="M454" s="22"/>
      <c r="N454" s="25" t="str">
        <f>HYPERLINK("http://slimages.macys.com/is/image/MCY/22159011 ")</f>
        <v xml:space="preserve">http://slimages.macys.com/is/image/MCY/22159011 </v>
      </c>
    </row>
    <row r="455" spans="1:14" ht="24.75" x14ac:dyDescent="0.25">
      <c r="A455" s="21" t="s">
        <v>7878</v>
      </c>
      <c r="B455" s="22" t="s">
        <v>7879</v>
      </c>
      <c r="C455" s="2">
        <v>2</v>
      </c>
      <c r="D455" s="23">
        <v>7.99</v>
      </c>
      <c r="E455" s="3">
        <v>15.98</v>
      </c>
      <c r="F455" s="2" t="s">
        <v>18930</v>
      </c>
      <c r="G455" s="22" t="s">
        <v>19462</v>
      </c>
      <c r="H455" s="24" t="s">
        <v>19907</v>
      </c>
      <c r="I455" s="22" t="s">
        <v>19309</v>
      </c>
      <c r="J455" s="22" t="s">
        <v>19908</v>
      </c>
      <c r="K455" s="22" t="s">
        <v>19524</v>
      </c>
      <c r="L455" s="22"/>
      <c r="M455" s="22"/>
      <c r="N455" s="25" t="str">
        <f>HYPERLINK("http://slimages.macys.com/is/image/MCY/22159423 ")</f>
        <v xml:space="preserve">http://slimages.macys.com/is/image/MCY/22159423 </v>
      </c>
    </row>
    <row r="456" spans="1:14" ht="24.75" x14ac:dyDescent="0.25">
      <c r="A456" s="21" t="s">
        <v>18928</v>
      </c>
      <c r="B456" s="22" t="s">
        <v>18929</v>
      </c>
      <c r="C456" s="2">
        <v>1</v>
      </c>
      <c r="D456" s="23">
        <v>7.99</v>
      </c>
      <c r="E456" s="3">
        <v>7.99</v>
      </c>
      <c r="F456" s="2" t="s">
        <v>18930</v>
      </c>
      <c r="G456" s="22" t="s">
        <v>19462</v>
      </c>
      <c r="H456" s="24" t="s">
        <v>20135</v>
      </c>
      <c r="I456" s="22" t="s">
        <v>19309</v>
      </c>
      <c r="J456" s="22" t="s">
        <v>19908</v>
      </c>
      <c r="K456" s="22" t="s">
        <v>19524</v>
      </c>
      <c r="L456" s="22"/>
      <c r="M456" s="22"/>
      <c r="N456" s="25" t="str">
        <f>HYPERLINK("http://slimages.macys.com/is/image/MCY/22159423 ")</f>
        <v xml:space="preserve">http://slimages.macys.com/is/image/MCY/22159423 </v>
      </c>
    </row>
    <row r="457" spans="1:14" ht="24.75" x14ac:dyDescent="0.25">
      <c r="A457" s="21" t="s">
        <v>7880</v>
      </c>
      <c r="B457" s="22" t="s">
        <v>7881</v>
      </c>
      <c r="C457" s="2">
        <v>2</v>
      </c>
      <c r="D457" s="23">
        <v>7.99</v>
      </c>
      <c r="E457" s="3">
        <v>15.98</v>
      </c>
      <c r="F457" s="2" t="s">
        <v>18930</v>
      </c>
      <c r="G457" s="22" t="s">
        <v>19462</v>
      </c>
      <c r="H457" s="24" t="s">
        <v>20089</v>
      </c>
      <c r="I457" s="22" t="s">
        <v>19309</v>
      </c>
      <c r="J457" s="22" t="s">
        <v>19908</v>
      </c>
      <c r="K457" s="22" t="s">
        <v>19524</v>
      </c>
      <c r="L457" s="22"/>
      <c r="M457" s="22"/>
      <c r="N457" s="25" t="str">
        <f>HYPERLINK("http://slimages.macys.com/is/image/MCY/22159423 ")</f>
        <v xml:space="preserve">http://slimages.macys.com/is/image/MCY/22159423 </v>
      </c>
    </row>
    <row r="458" spans="1:14" ht="24.75" x14ac:dyDescent="0.25">
      <c r="A458" s="21" t="s">
        <v>7882</v>
      </c>
      <c r="B458" s="22" t="s">
        <v>7883</v>
      </c>
      <c r="C458" s="2">
        <v>2</v>
      </c>
      <c r="D458" s="23">
        <v>7.99</v>
      </c>
      <c r="E458" s="3">
        <v>15.98</v>
      </c>
      <c r="F458" s="2" t="s">
        <v>18930</v>
      </c>
      <c r="G458" s="22" t="s">
        <v>19462</v>
      </c>
      <c r="H458" s="24" t="s">
        <v>19361</v>
      </c>
      <c r="I458" s="22" t="s">
        <v>19309</v>
      </c>
      <c r="J458" s="22" t="s">
        <v>19908</v>
      </c>
      <c r="K458" s="22" t="s">
        <v>19524</v>
      </c>
      <c r="L458" s="22"/>
      <c r="M458" s="22"/>
      <c r="N458" s="25" t="str">
        <f>HYPERLINK("http://slimages.macys.com/is/image/MCY/22159011 ")</f>
        <v xml:space="preserve">http://slimages.macys.com/is/image/MCY/22159011 </v>
      </c>
    </row>
    <row r="459" spans="1:14" ht="24.75" x14ac:dyDescent="0.25">
      <c r="A459" s="21" t="s">
        <v>13416</v>
      </c>
      <c r="B459" s="22" t="s">
        <v>13417</v>
      </c>
      <c r="C459" s="2">
        <v>2</v>
      </c>
      <c r="D459" s="23">
        <v>7.99</v>
      </c>
      <c r="E459" s="3">
        <v>15.98</v>
      </c>
      <c r="F459" s="2" t="s">
        <v>16952</v>
      </c>
      <c r="G459" s="22" t="s">
        <v>18439</v>
      </c>
      <c r="H459" s="24" t="s">
        <v>20089</v>
      </c>
      <c r="I459" s="22" t="s">
        <v>19309</v>
      </c>
      <c r="J459" s="22" t="s">
        <v>19908</v>
      </c>
      <c r="K459" s="22" t="s">
        <v>19524</v>
      </c>
      <c r="L459" s="22"/>
      <c r="M459" s="22"/>
      <c r="N459" s="25" t="str">
        <f>HYPERLINK("http://slimages.macys.com/is/image/MCY/1555084 ")</f>
        <v xml:space="preserve">http://slimages.macys.com/is/image/MCY/1555084 </v>
      </c>
    </row>
    <row r="460" spans="1:14" ht="24.75" x14ac:dyDescent="0.25">
      <c r="A460" s="21" t="s">
        <v>7884</v>
      </c>
      <c r="B460" s="22" t="s">
        <v>7885</v>
      </c>
      <c r="C460" s="2">
        <v>1</v>
      </c>
      <c r="D460" s="23">
        <v>7.99</v>
      </c>
      <c r="E460" s="3">
        <v>7.99</v>
      </c>
      <c r="F460" s="2" t="s">
        <v>7886</v>
      </c>
      <c r="G460" s="22" t="s">
        <v>19338</v>
      </c>
      <c r="H460" s="24" t="s">
        <v>19907</v>
      </c>
      <c r="I460" s="22" t="s">
        <v>19309</v>
      </c>
      <c r="J460" s="22" t="s">
        <v>19908</v>
      </c>
      <c r="K460" s="22" t="s">
        <v>19524</v>
      </c>
      <c r="L460" s="22"/>
      <c r="M460" s="22"/>
      <c r="N460" s="25" t="str">
        <f>HYPERLINK("http://slimages.macys.com/is/image/MCY/1092107 ")</f>
        <v xml:space="preserve">http://slimages.macys.com/is/image/MCY/1092107 </v>
      </c>
    </row>
    <row r="461" spans="1:14" ht="24.75" x14ac:dyDescent="0.25">
      <c r="A461" s="21" t="s">
        <v>7887</v>
      </c>
      <c r="B461" s="22" t="s">
        <v>7888</v>
      </c>
      <c r="C461" s="2">
        <v>1</v>
      </c>
      <c r="D461" s="23">
        <v>7.99</v>
      </c>
      <c r="E461" s="3">
        <v>7.99</v>
      </c>
      <c r="F461" s="2" t="s">
        <v>7889</v>
      </c>
      <c r="G461" s="22" t="s">
        <v>19674</v>
      </c>
      <c r="H461" s="24" t="s">
        <v>19907</v>
      </c>
      <c r="I461" s="22" t="s">
        <v>19309</v>
      </c>
      <c r="J461" s="22" t="s">
        <v>19908</v>
      </c>
      <c r="K461" s="22" t="s">
        <v>19524</v>
      </c>
      <c r="L461" s="22"/>
      <c r="M461" s="22"/>
      <c r="N461" s="25" t="str">
        <f>HYPERLINK("http://slimages.macys.com/is/image/MCY/20450191 ")</f>
        <v xml:space="preserve">http://slimages.macys.com/is/image/MCY/20450191 </v>
      </c>
    </row>
    <row r="462" spans="1:14" ht="24.75" x14ac:dyDescent="0.25">
      <c r="A462" s="21" t="s">
        <v>7890</v>
      </c>
      <c r="B462" s="22" t="s">
        <v>7891</v>
      </c>
      <c r="C462" s="2">
        <v>2</v>
      </c>
      <c r="D462" s="23">
        <v>7.99</v>
      </c>
      <c r="E462" s="3">
        <v>15.98</v>
      </c>
      <c r="F462" s="2" t="s">
        <v>7889</v>
      </c>
      <c r="G462" s="22" t="s">
        <v>19674</v>
      </c>
      <c r="H462" s="24" t="s">
        <v>20089</v>
      </c>
      <c r="I462" s="22" t="s">
        <v>19309</v>
      </c>
      <c r="J462" s="22" t="s">
        <v>19908</v>
      </c>
      <c r="K462" s="22" t="s">
        <v>19524</v>
      </c>
      <c r="L462" s="22"/>
      <c r="M462" s="22"/>
      <c r="N462" s="25" t="str">
        <f>HYPERLINK("http://slimages.macys.com/is/image/MCY/20450191 ")</f>
        <v xml:space="preserve">http://slimages.macys.com/is/image/MCY/20450191 </v>
      </c>
    </row>
    <row r="463" spans="1:14" ht="24.75" x14ac:dyDescent="0.25">
      <c r="A463" s="21" t="s">
        <v>7892</v>
      </c>
      <c r="B463" s="22" t="s">
        <v>7893</v>
      </c>
      <c r="C463" s="2">
        <v>1</v>
      </c>
      <c r="D463" s="23">
        <v>7.99</v>
      </c>
      <c r="E463" s="3">
        <v>7.99</v>
      </c>
      <c r="F463" s="2" t="s">
        <v>7894</v>
      </c>
      <c r="G463" s="22" t="s">
        <v>19477</v>
      </c>
      <c r="H463" s="24" t="s">
        <v>20089</v>
      </c>
      <c r="I463" s="22" t="s">
        <v>19309</v>
      </c>
      <c r="J463" s="22" t="s">
        <v>19908</v>
      </c>
      <c r="K463" s="22" t="s">
        <v>19524</v>
      </c>
      <c r="L463" s="22"/>
      <c r="M463" s="22"/>
      <c r="N463" s="25" t="str">
        <f>HYPERLINK("http://slimages.macys.com/is/image/MCY/1122580 ")</f>
        <v xml:space="preserve">http://slimages.macys.com/is/image/MCY/1122580 </v>
      </c>
    </row>
    <row r="464" spans="1:14" ht="24.75" x14ac:dyDescent="0.25">
      <c r="A464" s="21" t="s">
        <v>7895</v>
      </c>
      <c r="B464" s="22" t="s">
        <v>7896</v>
      </c>
      <c r="C464" s="2">
        <v>1</v>
      </c>
      <c r="D464" s="23">
        <v>7.99</v>
      </c>
      <c r="E464" s="3">
        <v>7.99</v>
      </c>
      <c r="F464" s="2" t="s">
        <v>7897</v>
      </c>
      <c r="G464" s="22" t="s">
        <v>19674</v>
      </c>
      <c r="H464" s="24" t="s">
        <v>19907</v>
      </c>
      <c r="I464" s="22" t="s">
        <v>19309</v>
      </c>
      <c r="J464" s="22" t="s">
        <v>19908</v>
      </c>
      <c r="K464" s="22" t="s">
        <v>19524</v>
      </c>
      <c r="L464" s="22"/>
      <c r="M464" s="22"/>
      <c r="N464" s="25" t="str">
        <f>HYPERLINK("http://slimages.macys.com/is/image/MCY/20450194 ")</f>
        <v xml:space="preserve">http://slimages.macys.com/is/image/MCY/20450194 </v>
      </c>
    </row>
    <row r="465" spans="1:14" ht="24.75" x14ac:dyDescent="0.25">
      <c r="A465" s="21" t="s">
        <v>7898</v>
      </c>
      <c r="B465" s="22" t="s">
        <v>7899</v>
      </c>
      <c r="C465" s="2">
        <v>1</v>
      </c>
      <c r="D465" s="23">
        <v>7.99</v>
      </c>
      <c r="E465" s="3">
        <v>7.99</v>
      </c>
      <c r="F465" s="2" t="s">
        <v>7900</v>
      </c>
      <c r="G465" s="22" t="s">
        <v>19315</v>
      </c>
      <c r="H465" s="24" t="s">
        <v>19907</v>
      </c>
      <c r="I465" s="22" t="s">
        <v>19309</v>
      </c>
      <c r="J465" s="22" t="s">
        <v>19908</v>
      </c>
      <c r="K465" s="22" t="s">
        <v>19524</v>
      </c>
      <c r="L465" s="22"/>
      <c r="M465" s="22"/>
      <c r="N465" s="25" t="str">
        <f>HYPERLINK("http://slimages.macys.com/is/image/MCY/20691825 ")</f>
        <v xml:space="preserve">http://slimages.macys.com/is/image/MCY/20691825 </v>
      </c>
    </row>
    <row r="466" spans="1:14" ht="24.75" x14ac:dyDescent="0.25">
      <c r="A466" s="21" t="s">
        <v>7901</v>
      </c>
      <c r="B466" s="22" t="s">
        <v>7902</v>
      </c>
      <c r="C466" s="2">
        <v>1</v>
      </c>
      <c r="D466" s="23">
        <v>7.99</v>
      </c>
      <c r="E466" s="3">
        <v>7.99</v>
      </c>
      <c r="F466" s="2" t="s">
        <v>7903</v>
      </c>
      <c r="G466" s="22"/>
      <c r="H466" s="24" t="s">
        <v>19907</v>
      </c>
      <c r="I466" s="22" t="s">
        <v>19309</v>
      </c>
      <c r="J466" s="22" t="s">
        <v>19908</v>
      </c>
      <c r="K466" s="22" t="s">
        <v>19524</v>
      </c>
      <c r="L466" s="22"/>
      <c r="M466" s="22"/>
      <c r="N466" s="25" t="str">
        <f>HYPERLINK("http://slimages.macys.com/is/image/MCY/20691813 ")</f>
        <v xml:space="preserve">http://slimages.macys.com/is/image/MCY/20691813 </v>
      </c>
    </row>
    <row r="467" spans="1:14" ht="24.75" x14ac:dyDescent="0.25">
      <c r="A467" s="21" t="s">
        <v>7904</v>
      </c>
      <c r="B467" s="22" t="s">
        <v>7905</v>
      </c>
      <c r="C467" s="2">
        <v>1</v>
      </c>
      <c r="D467" s="23">
        <v>7.99</v>
      </c>
      <c r="E467" s="3">
        <v>7.99</v>
      </c>
      <c r="F467" s="2" t="s">
        <v>7889</v>
      </c>
      <c r="G467" s="22" t="s">
        <v>19674</v>
      </c>
      <c r="H467" s="24" t="s">
        <v>19542</v>
      </c>
      <c r="I467" s="22" t="s">
        <v>19309</v>
      </c>
      <c r="J467" s="22" t="s">
        <v>19908</v>
      </c>
      <c r="K467" s="22" t="s">
        <v>19524</v>
      </c>
      <c r="L467" s="22"/>
      <c r="M467" s="22"/>
      <c r="N467" s="25" t="str">
        <f>HYPERLINK("http://slimages.macys.com/is/image/MCY/20450191 ")</f>
        <v xml:space="preserve">http://slimages.macys.com/is/image/MCY/20450191 </v>
      </c>
    </row>
    <row r="468" spans="1:14" ht="24.75" x14ac:dyDescent="0.25">
      <c r="A468" s="21" t="s">
        <v>7906</v>
      </c>
      <c r="B468" s="22" t="s">
        <v>7907</v>
      </c>
      <c r="C468" s="2">
        <v>1</v>
      </c>
      <c r="D468" s="23">
        <v>7.99</v>
      </c>
      <c r="E468" s="3">
        <v>7.99</v>
      </c>
      <c r="F468" s="2" t="s">
        <v>7908</v>
      </c>
      <c r="G468" s="22" t="s">
        <v>19415</v>
      </c>
      <c r="H468" s="24" t="s">
        <v>19907</v>
      </c>
      <c r="I468" s="22" t="s">
        <v>19309</v>
      </c>
      <c r="J468" s="22" t="s">
        <v>19908</v>
      </c>
      <c r="K468" s="22" t="s">
        <v>19524</v>
      </c>
      <c r="L468" s="22"/>
      <c r="M468" s="22"/>
      <c r="N468" s="25" t="str">
        <f>HYPERLINK("http://slimages.macys.com/is/image/MCY/21070273 ")</f>
        <v xml:space="preserve">http://slimages.macys.com/is/image/MCY/21070273 </v>
      </c>
    </row>
    <row r="469" spans="1:14" ht="24.75" x14ac:dyDescent="0.25">
      <c r="A469" s="21" t="s">
        <v>7909</v>
      </c>
      <c r="B469" s="22" t="s">
        <v>7910</v>
      </c>
      <c r="C469" s="2">
        <v>3</v>
      </c>
      <c r="D469" s="23">
        <v>7.99</v>
      </c>
      <c r="E469" s="3">
        <v>23.97</v>
      </c>
      <c r="F469" s="2" t="s">
        <v>18930</v>
      </c>
      <c r="G469" s="22" t="s">
        <v>19462</v>
      </c>
      <c r="H469" s="24" t="s">
        <v>19542</v>
      </c>
      <c r="I469" s="22" t="s">
        <v>19309</v>
      </c>
      <c r="J469" s="22" t="s">
        <v>19908</v>
      </c>
      <c r="K469" s="22" t="s">
        <v>19524</v>
      </c>
      <c r="L469" s="22"/>
      <c r="M469" s="22"/>
      <c r="N469" s="25" t="str">
        <f>HYPERLINK("http://slimages.macys.com/is/image/MCY/22159011 ")</f>
        <v xml:space="preserve">http://slimages.macys.com/is/image/MCY/22159011 </v>
      </c>
    </row>
    <row r="470" spans="1:14" ht="24.75" x14ac:dyDescent="0.25">
      <c r="A470" s="21" t="s">
        <v>7911</v>
      </c>
      <c r="B470" s="22" t="s">
        <v>7912</v>
      </c>
      <c r="C470" s="2">
        <v>1</v>
      </c>
      <c r="D470" s="23">
        <v>7.99</v>
      </c>
      <c r="E470" s="3">
        <v>7.99</v>
      </c>
      <c r="F470" s="2" t="s">
        <v>7913</v>
      </c>
      <c r="G470" s="22" t="s">
        <v>19670</v>
      </c>
      <c r="H470" s="24" t="s">
        <v>19392</v>
      </c>
      <c r="I470" s="22" t="s">
        <v>19309</v>
      </c>
      <c r="J470" s="22" t="s">
        <v>19454</v>
      </c>
      <c r="K470" s="22" t="s">
        <v>19524</v>
      </c>
      <c r="L470" s="22"/>
      <c r="M470" s="22"/>
      <c r="N470" s="25" t="str">
        <f>HYPERLINK("http://slimages.macys.com/is/image/MCY/1472540 ")</f>
        <v xml:space="preserve">http://slimages.macys.com/is/image/MCY/1472540 </v>
      </c>
    </row>
    <row r="471" spans="1:14" ht="24.75" x14ac:dyDescent="0.25">
      <c r="A471" s="21" t="s">
        <v>7914</v>
      </c>
      <c r="B471" s="22" t="s">
        <v>7915</v>
      </c>
      <c r="C471" s="2">
        <v>1</v>
      </c>
      <c r="D471" s="23">
        <v>7.99</v>
      </c>
      <c r="E471" s="3">
        <v>7.99</v>
      </c>
      <c r="F471" s="2" t="s">
        <v>16958</v>
      </c>
      <c r="G471" s="22" t="s">
        <v>19338</v>
      </c>
      <c r="H471" s="24" t="s">
        <v>19361</v>
      </c>
      <c r="I471" s="22" t="s">
        <v>19309</v>
      </c>
      <c r="J471" s="22" t="s">
        <v>19454</v>
      </c>
      <c r="K471" s="22" t="s">
        <v>19524</v>
      </c>
      <c r="L471" s="22"/>
      <c r="M471" s="22"/>
      <c r="N471" s="25" t="str">
        <f>HYPERLINK("http://slimages.macys.com/is/image/MCY/20669887 ")</f>
        <v xml:space="preserve">http://slimages.macys.com/is/image/MCY/20669887 </v>
      </c>
    </row>
    <row r="472" spans="1:14" ht="24.75" x14ac:dyDescent="0.25">
      <c r="A472" s="21" t="s">
        <v>7916</v>
      </c>
      <c r="B472" s="22" t="s">
        <v>7917</v>
      </c>
      <c r="C472" s="2">
        <v>2</v>
      </c>
      <c r="D472" s="23">
        <v>7.99</v>
      </c>
      <c r="E472" s="3">
        <v>15.98</v>
      </c>
      <c r="F472" s="2" t="s">
        <v>12528</v>
      </c>
      <c r="G472" s="22" t="s">
        <v>19333</v>
      </c>
      <c r="H472" s="24" t="s">
        <v>19907</v>
      </c>
      <c r="I472" s="22" t="s">
        <v>19309</v>
      </c>
      <c r="J472" s="22" t="s">
        <v>19454</v>
      </c>
      <c r="K472" s="22" t="s">
        <v>19524</v>
      </c>
      <c r="L472" s="22"/>
      <c r="M472" s="22"/>
      <c r="N472" s="25" t="str">
        <f>HYPERLINK("http://slimages.macys.com/is/image/MCY/21048680 ")</f>
        <v xml:space="preserve">http://slimages.macys.com/is/image/MCY/21048680 </v>
      </c>
    </row>
    <row r="473" spans="1:14" ht="24.75" x14ac:dyDescent="0.25">
      <c r="A473" s="21" t="s">
        <v>12522</v>
      </c>
      <c r="B473" s="22" t="s">
        <v>12523</v>
      </c>
      <c r="C473" s="2">
        <v>2</v>
      </c>
      <c r="D473" s="23">
        <v>7.99</v>
      </c>
      <c r="E473" s="3">
        <v>15.98</v>
      </c>
      <c r="F473" s="2" t="s">
        <v>18948</v>
      </c>
      <c r="G473" s="22" t="s">
        <v>19351</v>
      </c>
      <c r="H473" s="24" t="s">
        <v>19361</v>
      </c>
      <c r="I473" s="22" t="s">
        <v>19309</v>
      </c>
      <c r="J473" s="22" t="s">
        <v>19454</v>
      </c>
      <c r="K473" s="22" t="s">
        <v>19524</v>
      </c>
      <c r="L473" s="22"/>
      <c r="M473" s="22"/>
      <c r="N473" s="25" t="str">
        <f>HYPERLINK("http://slimages.macys.com/is/image/MCY/21048858 ")</f>
        <v xml:space="preserve">http://slimages.macys.com/is/image/MCY/21048858 </v>
      </c>
    </row>
    <row r="474" spans="1:14" ht="24.75" x14ac:dyDescent="0.25">
      <c r="A474" s="21" t="s">
        <v>7918</v>
      </c>
      <c r="B474" s="22" t="s">
        <v>7919</v>
      </c>
      <c r="C474" s="2">
        <v>1</v>
      </c>
      <c r="D474" s="23">
        <v>7.99</v>
      </c>
      <c r="E474" s="3">
        <v>7.99</v>
      </c>
      <c r="F474" s="2" t="s">
        <v>14095</v>
      </c>
      <c r="G474" s="22" t="s">
        <v>19431</v>
      </c>
      <c r="H474" s="24" t="s">
        <v>19907</v>
      </c>
      <c r="I474" s="22" t="s">
        <v>19309</v>
      </c>
      <c r="J474" s="22" t="s">
        <v>19454</v>
      </c>
      <c r="K474" s="22" t="s">
        <v>19524</v>
      </c>
      <c r="L474" s="22"/>
      <c r="M474" s="22"/>
      <c r="N474" s="25" t="str">
        <f>HYPERLINK("http://slimages.macys.com/is/image/MCY/1418021 ")</f>
        <v xml:space="preserve">http://slimages.macys.com/is/image/MCY/1418021 </v>
      </c>
    </row>
    <row r="475" spans="1:14" ht="24.75" x14ac:dyDescent="0.25">
      <c r="A475" s="21" t="s">
        <v>7920</v>
      </c>
      <c r="B475" s="22" t="s">
        <v>7921</v>
      </c>
      <c r="C475" s="2">
        <v>1</v>
      </c>
      <c r="D475" s="23">
        <v>7.99</v>
      </c>
      <c r="E475" s="3">
        <v>7.99</v>
      </c>
      <c r="F475" s="2" t="s">
        <v>13420</v>
      </c>
      <c r="G475" s="22" t="s">
        <v>19794</v>
      </c>
      <c r="H475" s="24" t="s">
        <v>20135</v>
      </c>
      <c r="I475" s="22" t="s">
        <v>19309</v>
      </c>
      <c r="J475" s="22" t="s">
        <v>19454</v>
      </c>
      <c r="K475" s="22" t="s">
        <v>19524</v>
      </c>
      <c r="L475" s="22"/>
      <c r="M475" s="22"/>
      <c r="N475" s="25" t="str">
        <f>HYPERLINK("http://slimages.macys.com/is/image/MCY/1472538 ")</f>
        <v xml:space="preserve">http://slimages.macys.com/is/image/MCY/1472538 </v>
      </c>
    </row>
    <row r="476" spans="1:14" ht="24.75" x14ac:dyDescent="0.25">
      <c r="A476" s="21" t="s">
        <v>7922</v>
      </c>
      <c r="B476" s="22" t="s">
        <v>7923</v>
      </c>
      <c r="C476" s="2">
        <v>1</v>
      </c>
      <c r="D476" s="23">
        <v>7.99</v>
      </c>
      <c r="E476" s="3">
        <v>7.99</v>
      </c>
      <c r="F476" s="2" t="s">
        <v>7924</v>
      </c>
      <c r="G476" s="22" t="s">
        <v>19338</v>
      </c>
      <c r="H476" s="24" t="s">
        <v>19907</v>
      </c>
      <c r="I476" s="22" t="s">
        <v>19309</v>
      </c>
      <c r="J476" s="22" t="s">
        <v>19454</v>
      </c>
      <c r="K476" s="22" t="s">
        <v>19524</v>
      </c>
      <c r="L476" s="22"/>
      <c r="M476" s="22"/>
      <c r="N476" s="25" t="str">
        <f>HYPERLINK("http://slimages.macys.com/is/image/MCY/21048698 ")</f>
        <v xml:space="preserve">http://slimages.macys.com/is/image/MCY/21048698 </v>
      </c>
    </row>
    <row r="477" spans="1:14" ht="24.75" x14ac:dyDescent="0.25">
      <c r="A477" s="21" t="s">
        <v>7925</v>
      </c>
      <c r="B477" s="22" t="s">
        <v>7926</v>
      </c>
      <c r="C477" s="2">
        <v>1</v>
      </c>
      <c r="D477" s="23">
        <v>7.99</v>
      </c>
      <c r="E477" s="3">
        <v>7.99</v>
      </c>
      <c r="F477" s="2" t="s">
        <v>7913</v>
      </c>
      <c r="G477" s="22" t="s">
        <v>19670</v>
      </c>
      <c r="H477" s="24" t="s">
        <v>19907</v>
      </c>
      <c r="I477" s="22" t="s">
        <v>19309</v>
      </c>
      <c r="J477" s="22" t="s">
        <v>19454</v>
      </c>
      <c r="K477" s="22" t="s">
        <v>19524</v>
      </c>
      <c r="L477" s="22"/>
      <c r="M477" s="22"/>
      <c r="N477" s="25" t="str">
        <f>HYPERLINK("http://slimages.macys.com/is/image/MCY/1472540 ")</f>
        <v xml:space="preserve">http://slimages.macys.com/is/image/MCY/1472540 </v>
      </c>
    </row>
    <row r="478" spans="1:14" ht="24.75" x14ac:dyDescent="0.25">
      <c r="A478" s="21" t="s">
        <v>14093</v>
      </c>
      <c r="B478" s="22" t="s">
        <v>14094</v>
      </c>
      <c r="C478" s="2">
        <v>1</v>
      </c>
      <c r="D478" s="23">
        <v>7.99</v>
      </c>
      <c r="E478" s="3">
        <v>7.99</v>
      </c>
      <c r="F478" s="2" t="s">
        <v>14095</v>
      </c>
      <c r="G478" s="22" t="s">
        <v>19431</v>
      </c>
      <c r="H478" s="24" t="s">
        <v>20135</v>
      </c>
      <c r="I478" s="22" t="s">
        <v>19309</v>
      </c>
      <c r="J478" s="22" t="s">
        <v>19454</v>
      </c>
      <c r="K478" s="22" t="s">
        <v>19524</v>
      </c>
      <c r="L478" s="22"/>
      <c r="M478" s="22"/>
      <c r="N478" s="25" t="str">
        <f>HYPERLINK("http://slimages.macys.com/is/image/MCY/21708693 ")</f>
        <v xml:space="preserve">http://slimages.macys.com/is/image/MCY/21708693 </v>
      </c>
    </row>
    <row r="479" spans="1:14" ht="24.75" x14ac:dyDescent="0.25">
      <c r="A479" s="21" t="s">
        <v>7927</v>
      </c>
      <c r="B479" s="22" t="s">
        <v>7928</v>
      </c>
      <c r="C479" s="2">
        <v>1</v>
      </c>
      <c r="D479" s="23">
        <v>7.99</v>
      </c>
      <c r="E479" s="3">
        <v>7.99</v>
      </c>
      <c r="F479" s="2" t="s">
        <v>18948</v>
      </c>
      <c r="G479" s="22" t="s">
        <v>19351</v>
      </c>
      <c r="H479" s="24" t="s">
        <v>19392</v>
      </c>
      <c r="I479" s="22" t="s">
        <v>19309</v>
      </c>
      <c r="J479" s="22" t="s">
        <v>19454</v>
      </c>
      <c r="K479" s="22" t="s">
        <v>19524</v>
      </c>
      <c r="L479" s="22"/>
      <c r="M479" s="22"/>
      <c r="N479" s="25" t="str">
        <f>HYPERLINK("http://slimages.macys.com/is/image/MCY/21048860 ")</f>
        <v xml:space="preserve">http://slimages.macys.com/is/image/MCY/21048860 </v>
      </c>
    </row>
    <row r="480" spans="1:14" x14ac:dyDescent="0.25">
      <c r="A480" s="21" t="s">
        <v>14104</v>
      </c>
      <c r="B480" s="22" t="s">
        <v>14105</v>
      </c>
      <c r="C480" s="2">
        <v>1</v>
      </c>
      <c r="D480" s="23">
        <v>7.99</v>
      </c>
      <c r="E480" s="3">
        <v>7.99</v>
      </c>
      <c r="F480" s="2" t="s">
        <v>16840</v>
      </c>
      <c r="G480" s="22" t="s">
        <v>19467</v>
      </c>
      <c r="H480" s="24" t="s">
        <v>19542</v>
      </c>
      <c r="I480" s="22" t="s">
        <v>19309</v>
      </c>
      <c r="J480" s="22" t="s">
        <v>19849</v>
      </c>
      <c r="K480" s="22" t="s">
        <v>19850</v>
      </c>
      <c r="L480" s="22"/>
      <c r="M480" s="22"/>
      <c r="N480" s="25" t="str">
        <f>HYPERLINK("http://slimages.macys.com/is/image/MCY/19068277 ")</f>
        <v xml:space="preserve">http://slimages.macys.com/is/image/MCY/19068277 </v>
      </c>
    </row>
    <row r="481" spans="1:14" x14ac:dyDescent="0.25">
      <c r="A481" s="21" t="s">
        <v>16967</v>
      </c>
      <c r="B481" s="22" t="s">
        <v>16968</v>
      </c>
      <c r="C481" s="2">
        <v>2</v>
      </c>
      <c r="D481" s="23">
        <v>7.99</v>
      </c>
      <c r="E481" s="3">
        <v>15.98</v>
      </c>
      <c r="F481" s="2" t="s">
        <v>16840</v>
      </c>
      <c r="G481" s="22" t="s">
        <v>19467</v>
      </c>
      <c r="H481" s="24" t="s">
        <v>19361</v>
      </c>
      <c r="I481" s="22" t="s">
        <v>19309</v>
      </c>
      <c r="J481" s="22" t="s">
        <v>19849</v>
      </c>
      <c r="K481" s="22" t="s">
        <v>19850</v>
      </c>
      <c r="L481" s="22"/>
      <c r="M481" s="22"/>
      <c r="N481" s="25" t="str">
        <f>HYPERLINK("http://slimages.macys.com/is/image/MCY/19068277 ")</f>
        <v xml:space="preserve">http://slimages.macys.com/is/image/MCY/19068277 </v>
      </c>
    </row>
    <row r="482" spans="1:14" x14ac:dyDescent="0.25">
      <c r="A482" s="21" t="s">
        <v>14674</v>
      </c>
      <c r="B482" s="22" t="s">
        <v>14675</v>
      </c>
      <c r="C482" s="2">
        <v>1</v>
      </c>
      <c r="D482" s="23">
        <v>7.99</v>
      </c>
      <c r="E482" s="3">
        <v>7.99</v>
      </c>
      <c r="F482" s="2" t="s">
        <v>16840</v>
      </c>
      <c r="G482" s="22" t="s">
        <v>19618</v>
      </c>
      <c r="H482" s="24" t="s">
        <v>20135</v>
      </c>
      <c r="I482" s="22" t="s">
        <v>19309</v>
      </c>
      <c r="J482" s="22" t="s">
        <v>19849</v>
      </c>
      <c r="K482" s="22" t="s">
        <v>19850</v>
      </c>
      <c r="L482" s="22"/>
      <c r="M482" s="22"/>
      <c r="N482" s="25" t="str">
        <f>HYPERLINK("http://slimages.macys.com/is/image/MCY/19068277 ")</f>
        <v xml:space="preserve">http://slimages.macys.com/is/image/MCY/19068277 </v>
      </c>
    </row>
    <row r="483" spans="1:14" x14ac:dyDescent="0.25">
      <c r="A483" s="21" t="s">
        <v>16971</v>
      </c>
      <c r="B483" s="22" t="s">
        <v>16972</v>
      </c>
      <c r="C483" s="2">
        <v>2</v>
      </c>
      <c r="D483" s="23">
        <v>7.99</v>
      </c>
      <c r="E483" s="3">
        <v>15.98</v>
      </c>
      <c r="F483" s="2" t="s">
        <v>16840</v>
      </c>
      <c r="G483" s="22" t="s">
        <v>19618</v>
      </c>
      <c r="H483" s="24" t="s">
        <v>19907</v>
      </c>
      <c r="I483" s="22" t="s">
        <v>19309</v>
      </c>
      <c r="J483" s="22" t="s">
        <v>19849</v>
      </c>
      <c r="K483" s="22" t="s">
        <v>19850</v>
      </c>
      <c r="L483" s="22"/>
      <c r="M483" s="22"/>
      <c r="N483" s="25" t="str">
        <f>HYPERLINK("http://slimages.macys.com/is/image/MCY/19068277 ")</f>
        <v xml:space="preserve">http://slimages.macys.com/is/image/MCY/19068277 </v>
      </c>
    </row>
    <row r="484" spans="1:14" ht="24.75" x14ac:dyDescent="0.25">
      <c r="A484" s="21" t="s">
        <v>7929</v>
      </c>
      <c r="B484" s="22" t="s">
        <v>7930</v>
      </c>
      <c r="C484" s="2">
        <v>1</v>
      </c>
      <c r="D484" s="23">
        <v>7.99</v>
      </c>
      <c r="E484" s="3">
        <v>7.99</v>
      </c>
      <c r="F484" s="2" t="s">
        <v>7931</v>
      </c>
      <c r="G484" s="22" t="s">
        <v>19670</v>
      </c>
      <c r="H484" s="24" t="s">
        <v>19907</v>
      </c>
      <c r="I484" s="22" t="s">
        <v>19309</v>
      </c>
      <c r="J484" s="22" t="s">
        <v>19908</v>
      </c>
      <c r="K484" s="22" t="s">
        <v>19524</v>
      </c>
      <c r="L484" s="22"/>
      <c r="M484" s="22"/>
      <c r="N484" s="25" t="str">
        <f>HYPERLINK("http://slimages.macys.com/is/image/MCY/21243356 ")</f>
        <v xml:space="preserve">http://slimages.macys.com/is/image/MCY/21243356 </v>
      </c>
    </row>
    <row r="485" spans="1:14" ht="24.75" x14ac:dyDescent="0.25">
      <c r="A485" s="21" t="s">
        <v>7932</v>
      </c>
      <c r="B485" s="22" t="s">
        <v>7933</v>
      </c>
      <c r="C485" s="2">
        <v>1</v>
      </c>
      <c r="D485" s="23">
        <v>7.99</v>
      </c>
      <c r="E485" s="3">
        <v>7.99</v>
      </c>
      <c r="F485" s="2" t="s">
        <v>7934</v>
      </c>
      <c r="G485" s="22" t="s">
        <v>19674</v>
      </c>
      <c r="H485" s="24" t="s">
        <v>20135</v>
      </c>
      <c r="I485" s="22" t="s">
        <v>19309</v>
      </c>
      <c r="J485" s="22" t="s">
        <v>19908</v>
      </c>
      <c r="K485" s="22" t="s">
        <v>19524</v>
      </c>
      <c r="L485" s="22"/>
      <c r="M485" s="22"/>
      <c r="N485" s="25" t="str">
        <f>HYPERLINK("http://slimages.macys.com/is/image/MCY/21433880 ")</f>
        <v xml:space="preserve">http://slimages.macys.com/is/image/MCY/21433880 </v>
      </c>
    </row>
    <row r="486" spans="1:14" ht="24.75" x14ac:dyDescent="0.25">
      <c r="A486" s="21" t="s">
        <v>7935</v>
      </c>
      <c r="B486" s="22" t="s">
        <v>7936</v>
      </c>
      <c r="C486" s="2">
        <v>1</v>
      </c>
      <c r="D486" s="23">
        <v>7.99</v>
      </c>
      <c r="E486" s="3">
        <v>7.99</v>
      </c>
      <c r="F486" s="2" t="s">
        <v>7937</v>
      </c>
      <c r="G486" s="22" t="s">
        <v>19351</v>
      </c>
      <c r="H486" s="24" t="s">
        <v>20089</v>
      </c>
      <c r="I486" s="22" t="s">
        <v>19309</v>
      </c>
      <c r="J486" s="22" t="s">
        <v>19908</v>
      </c>
      <c r="K486" s="22" t="s">
        <v>19524</v>
      </c>
      <c r="L486" s="22"/>
      <c r="M486" s="22"/>
      <c r="N486" s="25" t="str">
        <f>HYPERLINK("http://slimages.macys.com/is/image/MCY/21243363 ")</f>
        <v xml:space="preserve">http://slimages.macys.com/is/image/MCY/21243363 </v>
      </c>
    </row>
    <row r="487" spans="1:14" ht="24.75" x14ac:dyDescent="0.25">
      <c r="A487" s="21" t="s">
        <v>7938</v>
      </c>
      <c r="B487" s="22" t="s">
        <v>7939</v>
      </c>
      <c r="C487" s="2">
        <v>1</v>
      </c>
      <c r="D487" s="23">
        <v>7.99</v>
      </c>
      <c r="E487" s="3">
        <v>7.99</v>
      </c>
      <c r="F487" s="2" t="s">
        <v>17003</v>
      </c>
      <c r="G487" s="22" t="s">
        <v>19333</v>
      </c>
      <c r="H487" s="24" t="s">
        <v>20135</v>
      </c>
      <c r="I487" s="22" t="s">
        <v>19309</v>
      </c>
      <c r="J487" s="22" t="s">
        <v>19908</v>
      </c>
      <c r="K487" s="22" t="s">
        <v>19524</v>
      </c>
      <c r="L487" s="22"/>
      <c r="M487" s="22"/>
      <c r="N487" s="25" t="str">
        <f>HYPERLINK("http://slimages.macys.com/is/image/MCY/21070268 ")</f>
        <v xml:space="preserve">http://slimages.macys.com/is/image/MCY/21070268 </v>
      </c>
    </row>
    <row r="488" spans="1:14" ht="24.75" x14ac:dyDescent="0.25">
      <c r="A488" s="21" t="s">
        <v>7940</v>
      </c>
      <c r="B488" s="22" t="s">
        <v>7941</v>
      </c>
      <c r="C488" s="2">
        <v>1</v>
      </c>
      <c r="D488" s="23">
        <v>7.99</v>
      </c>
      <c r="E488" s="3">
        <v>7.99</v>
      </c>
      <c r="F488" s="2" t="s">
        <v>7942</v>
      </c>
      <c r="G488" s="22" t="s">
        <v>19351</v>
      </c>
      <c r="H488" s="24" t="s">
        <v>20135</v>
      </c>
      <c r="I488" s="22" t="s">
        <v>19309</v>
      </c>
      <c r="J488" s="22" t="s">
        <v>19908</v>
      </c>
      <c r="K488" s="22" t="s">
        <v>19524</v>
      </c>
      <c r="L488" s="22"/>
      <c r="M488" s="22"/>
      <c r="N488" s="25" t="str">
        <f>HYPERLINK("http://slimages.macys.com/is/image/MCY/21433885 ")</f>
        <v xml:space="preserve">http://slimages.macys.com/is/image/MCY/21433885 </v>
      </c>
    </row>
    <row r="489" spans="1:14" ht="24.75" x14ac:dyDescent="0.25">
      <c r="A489" s="21" t="s">
        <v>7943</v>
      </c>
      <c r="B489" s="22" t="s">
        <v>7944</v>
      </c>
      <c r="C489" s="2">
        <v>1</v>
      </c>
      <c r="D489" s="23">
        <v>7.99</v>
      </c>
      <c r="E489" s="3">
        <v>7.99</v>
      </c>
      <c r="F489" s="2" t="s">
        <v>7945</v>
      </c>
      <c r="G489" s="22" t="s">
        <v>19351</v>
      </c>
      <c r="H489" s="24" t="s">
        <v>20135</v>
      </c>
      <c r="I489" s="22" t="s">
        <v>19309</v>
      </c>
      <c r="J489" s="22" t="s">
        <v>19908</v>
      </c>
      <c r="K489" s="22" t="s">
        <v>19524</v>
      </c>
      <c r="L489" s="22"/>
      <c r="M489" s="22"/>
      <c r="N489" s="25" t="str">
        <f>HYPERLINK("http://slimages.macys.com/is/image/MCY/21070259 ")</f>
        <v xml:space="preserve">http://slimages.macys.com/is/image/MCY/21070259 </v>
      </c>
    </row>
    <row r="490" spans="1:14" ht="24.75" x14ac:dyDescent="0.25">
      <c r="A490" s="21" t="s">
        <v>16994</v>
      </c>
      <c r="B490" s="22" t="s">
        <v>16995</v>
      </c>
      <c r="C490" s="2">
        <v>1</v>
      </c>
      <c r="D490" s="23">
        <v>7.99</v>
      </c>
      <c r="E490" s="3">
        <v>7.99</v>
      </c>
      <c r="F490" s="2" t="s">
        <v>16996</v>
      </c>
      <c r="G490" s="22" t="s">
        <v>19431</v>
      </c>
      <c r="H490" s="24" t="s">
        <v>19907</v>
      </c>
      <c r="I490" s="22" t="s">
        <v>19309</v>
      </c>
      <c r="J490" s="22" t="s">
        <v>19908</v>
      </c>
      <c r="K490" s="22" t="s">
        <v>19524</v>
      </c>
      <c r="L490" s="22"/>
      <c r="M490" s="22"/>
      <c r="N490" s="25" t="str">
        <f>HYPERLINK("http://slimages.macys.com/is/image/MCY/21727268 ")</f>
        <v xml:space="preserve">http://slimages.macys.com/is/image/MCY/21727268 </v>
      </c>
    </row>
    <row r="491" spans="1:14" ht="24.75" x14ac:dyDescent="0.25">
      <c r="A491" s="21" t="s">
        <v>7946</v>
      </c>
      <c r="B491" s="22" t="s">
        <v>7947</v>
      </c>
      <c r="C491" s="2">
        <v>1</v>
      </c>
      <c r="D491" s="23">
        <v>7.99</v>
      </c>
      <c r="E491" s="3">
        <v>7.99</v>
      </c>
      <c r="F491" s="2" t="s">
        <v>16975</v>
      </c>
      <c r="G491" s="22" t="s">
        <v>19351</v>
      </c>
      <c r="H491" s="24" t="s">
        <v>20089</v>
      </c>
      <c r="I491" s="22" t="s">
        <v>19309</v>
      </c>
      <c r="J491" s="22" t="s">
        <v>19908</v>
      </c>
      <c r="K491" s="22" t="s">
        <v>19524</v>
      </c>
      <c r="L491" s="22"/>
      <c r="M491" s="22"/>
      <c r="N491" s="25" t="str">
        <f>HYPERLINK("http://slimages.macys.com/is/image/MCY/1554688 ")</f>
        <v xml:space="preserve">http://slimages.macys.com/is/image/MCY/1554688 </v>
      </c>
    </row>
    <row r="492" spans="1:14" ht="24.75" x14ac:dyDescent="0.25">
      <c r="A492" s="21" t="s">
        <v>7948</v>
      </c>
      <c r="B492" s="22" t="s">
        <v>7949</v>
      </c>
      <c r="C492" s="2">
        <v>1</v>
      </c>
      <c r="D492" s="23">
        <v>7.99</v>
      </c>
      <c r="E492" s="3">
        <v>7.99</v>
      </c>
      <c r="F492" s="2" t="s">
        <v>16987</v>
      </c>
      <c r="G492" s="22" t="s">
        <v>19351</v>
      </c>
      <c r="H492" s="24" t="s">
        <v>19542</v>
      </c>
      <c r="I492" s="22" t="s">
        <v>19309</v>
      </c>
      <c r="J492" s="22" t="s">
        <v>19908</v>
      </c>
      <c r="K492" s="22" t="s">
        <v>19524</v>
      </c>
      <c r="L492" s="22"/>
      <c r="M492" s="22"/>
      <c r="N492" s="25" t="str">
        <f>HYPERLINK("http://slimages.macys.com/is/image/MCY/1472593 ")</f>
        <v xml:space="preserve">http://slimages.macys.com/is/image/MCY/1472593 </v>
      </c>
    </row>
    <row r="493" spans="1:14" ht="24.75" x14ac:dyDescent="0.25">
      <c r="A493" s="21" t="s">
        <v>7950</v>
      </c>
      <c r="B493" s="22" t="s">
        <v>7951</v>
      </c>
      <c r="C493" s="2">
        <v>1</v>
      </c>
      <c r="D493" s="23">
        <v>7.99</v>
      </c>
      <c r="E493" s="3">
        <v>7.99</v>
      </c>
      <c r="F493" s="2" t="s">
        <v>16975</v>
      </c>
      <c r="G493" s="22" t="s">
        <v>19351</v>
      </c>
      <c r="H493" s="24" t="s">
        <v>19907</v>
      </c>
      <c r="I493" s="22" t="s">
        <v>19309</v>
      </c>
      <c r="J493" s="22" t="s">
        <v>19908</v>
      </c>
      <c r="K493" s="22" t="s">
        <v>19524</v>
      </c>
      <c r="L493" s="22"/>
      <c r="M493" s="22"/>
      <c r="N493" s="25" t="str">
        <f>HYPERLINK("http://slimages.macys.com/is/image/MCY/1554688 ")</f>
        <v xml:space="preserve">http://slimages.macys.com/is/image/MCY/1554688 </v>
      </c>
    </row>
    <row r="494" spans="1:14" ht="24.75" x14ac:dyDescent="0.25">
      <c r="A494" s="21" t="s">
        <v>7952</v>
      </c>
      <c r="B494" s="22" t="s">
        <v>7953</v>
      </c>
      <c r="C494" s="2">
        <v>1</v>
      </c>
      <c r="D494" s="23">
        <v>7.99</v>
      </c>
      <c r="E494" s="3">
        <v>7.99</v>
      </c>
      <c r="F494" s="2" t="s">
        <v>16975</v>
      </c>
      <c r="G494" s="22" t="s">
        <v>19351</v>
      </c>
      <c r="H494" s="24" t="s">
        <v>20135</v>
      </c>
      <c r="I494" s="22" t="s">
        <v>19309</v>
      </c>
      <c r="J494" s="22" t="s">
        <v>19908</v>
      </c>
      <c r="K494" s="22" t="s">
        <v>19524</v>
      </c>
      <c r="L494" s="22"/>
      <c r="M494" s="22"/>
      <c r="N494" s="25" t="str">
        <f>HYPERLINK("http://slimages.macys.com/is/image/MCY/1554908 ")</f>
        <v xml:space="preserve">http://slimages.macys.com/is/image/MCY/1554908 </v>
      </c>
    </row>
    <row r="495" spans="1:14" ht="24.75" x14ac:dyDescent="0.25">
      <c r="A495" s="21" t="s">
        <v>7954</v>
      </c>
      <c r="B495" s="22" t="s">
        <v>7955</v>
      </c>
      <c r="C495" s="2">
        <v>1</v>
      </c>
      <c r="D495" s="23">
        <v>7.99</v>
      </c>
      <c r="E495" s="3">
        <v>7.99</v>
      </c>
      <c r="F495" s="2" t="s">
        <v>17003</v>
      </c>
      <c r="G495" s="22" t="s">
        <v>19333</v>
      </c>
      <c r="H495" s="24" t="s">
        <v>19542</v>
      </c>
      <c r="I495" s="22" t="s">
        <v>19309</v>
      </c>
      <c r="J495" s="22" t="s">
        <v>19908</v>
      </c>
      <c r="K495" s="22" t="s">
        <v>19524</v>
      </c>
      <c r="L495" s="22"/>
      <c r="M495" s="22"/>
      <c r="N495" s="25" t="str">
        <f>HYPERLINK("http://slimages.macys.com/is/image/MCY/21070268 ")</f>
        <v xml:space="preserve">http://slimages.macys.com/is/image/MCY/21070268 </v>
      </c>
    </row>
    <row r="496" spans="1:14" ht="24.75" x14ac:dyDescent="0.25">
      <c r="A496" s="21" t="s">
        <v>7956</v>
      </c>
      <c r="B496" s="22" t="s">
        <v>7957</v>
      </c>
      <c r="C496" s="2">
        <v>1</v>
      </c>
      <c r="D496" s="23">
        <v>7.99</v>
      </c>
      <c r="E496" s="3">
        <v>7.99</v>
      </c>
      <c r="F496" s="2" t="s">
        <v>7958</v>
      </c>
      <c r="G496" s="22" t="s">
        <v>19351</v>
      </c>
      <c r="H496" s="24" t="s">
        <v>19542</v>
      </c>
      <c r="I496" s="22" t="s">
        <v>19309</v>
      </c>
      <c r="J496" s="22" t="s">
        <v>19908</v>
      </c>
      <c r="K496" s="22" t="s">
        <v>19524</v>
      </c>
      <c r="L496" s="22"/>
      <c r="M496" s="22"/>
      <c r="N496" s="25" t="str">
        <f>HYPERLINK("http://slimages.macys.com/is/image/MCY/19072800 ")</f>
        <v xml:space="preserve">http://slimages.macys.com/is/image/MCY/19072800 </v>
      </c>
    </row>
    <row r="497" spans="1:14" ht="24.75" x14ac:dyDescent="0.25">
      <c r="A497" s="21" t="s">
        <v>7959</v>
      </c>
      <c r="B497" s="22" t="s">
        <v>7960</v>
      </c>
      <c r="C497" s="2">
        <v>1</v>
      </c>
      <c r="D497" s="23">
        <v>7.99</v>
      </c>
      <c r="E497" s="3">
        <v>7.99</v>
      </c>
      <c r="F497" s="2" t="s">
        <v>16975</v>
      </c>
      <c r="G497" s="22" t="s">
        <v>19351</v>
      </c>
      <c r="H497" s="24" t="s">
        <v>19542</v>
      </c>
      <c r="I497" s="22" t="s">
        <v>19309</v>
      </c>
      <c r="J497" s="22" t="s">
        <v>19908</v>
      </c>
      <c r="K497" s="22" t="s">
        <v>19524</v>
      </c>
      <c r="L497" s="22"/>
      <c r="M497" s="22"/>
      <c r="N497" s="25" t="str">
        <f>HYPERLINK("http://slimages.macys.com/is/image/MCY/1554908 ")</f>
        <v xml:space="preserve">http://slimages.macys.com/is/image/MCY/1554908 </v>
      </c>
    </row>
    <row r="498" spans="1:14" ht="24.75" x14ac:dyDescent="0.25">
      <c r="A498" s="21" t="s">
        <v>7961</v>
      </c>
      <c r="B498" s="22" t="s">
        <v>7962</v>
      </c>
      <c r="C498" s="2">
        <v>1</v>
      </c>
      <c r="D498" s="23">
        <v>7.99</v>
      </c>
      <c r="E498" s="3">
        <v>7.99</v>
      </c>
      <c r="F498" s="2" t="s">
        <v>18969</v>
      </c>
      <c r="G498" s="22" t="s">
        <v>18439</v>
      </c>
      <c r="H498" s="24" t="s">
        <v>19542</v>
      </c>
      <c r="I498" s="22" t="s">
        <v>19309</v>
      </c>
      <c r="J498" s="22" t="s">
        <v>19908</v>
      </c>
      <c r="K498" s="22" t="s">
        <v>19524</v>
      </c>
      <c r="L498" s="22"/>
      <c r="M498" s="22"/>
      <c r="N498" s="25" t="str">
        <f>HYPERLINK("http://slimages.macys.com/is/image/MCY/22158981 ")</f>
        <v xml:space="preserve">http://slimages.macys.com/is/image/MCY/22158981 </v>
      </c>
    </row>
    <row r="499" spans="1:14" ht="24.75" x14ac:dyDescent="0.25">
      <c r="A499" s="21" t="s">
        <v>7963</v>
      </c>
      <c r="B499" s="22" t="s">
        <v>7964</v>
      </c>
      <c r="C499" s="2">
        <v>1</v>
      </c>
      <c r="D499" s="23">
        <v>7.99</v>
      </c>
      <c r="E499" s="3">
        <v>7.99</v>
      </c>
      <c r="F499" s="2" t="s">
        <v>18969</v>
      </c>
      <c r="G499" s="22" t="s">
        <v>18439</v>
      </c>
      <c r="H499" s="24" t="s">
        <v>20089</v>
      </c>
      <c r="I499" s="22" t="s">
        <v>19309</v>
      </c>
      <c r="J499" s="22" t="s">
        <v>19908</v>
      </c>
      <c r="K499" s="22" t="s">
        <v>19524</v>
      </c>
      <c r="L499" s="22"/>
      <c r="M499" s="22"/>
      <c r="N499" s="25" t="str">
        <f>HYPERLINK("http://slimages.macys.com/is/image/MCY/22159414 ")</f>
        <v xml:space="preserve">http://slimages.macys.com/is/image/MCY/22159414 </v>
      </c>
    </row>
    <row r="500" spans="1:14" ht="24.75" x14ac:dyDescent="0.25">
      <c r="A500" s="21" t="s">
        <v>7965</v>
      </c>
      <c r="B500" s="22" t="s">
        <v>7966</v>
      </c>
      <c r="C500" s="2">
        <v>1</v>
      </c>
      <c r="D500" s="23">
        <v>7.99</v>
      </c>
      <c r="E500" s="3">
        <v>7.99</v>
      </c>
      <c r="F500" s="2" t="s">
        <v>7967</v>
      </c>
      <c r="G500" s="22"/>
      <c r="H500" s="24" t="s">
        <v>19907</v>
      </c>
      <c r="I500" s="22" t="s">
        <v>19309</v>
      </c>
      <c r="J500" s="22" t="s">
        <v>19908</v>
      </c>
      <c r="K500" s="22" t="s">
        <v>19524</v>
      </c>
      <c r="L500" s="22"/>
      <c r="M500" s="22"/>
      <c r="N500" s="25" t="str">
        <f>HYPERLINK("http://slimages.macys.com/is/image/MCY/21570010 ")</f>
        <v xml:space="preserve">http://slimages.macys.com/is/image/MCY/21570010 </v>
      </c>
    </row>
    <row r="501" spans="1:14" ht="24.75" x14ac:dyDescent="0.25">
      <c r="A501" s="21" t="s">
        <v>7968</v>
      </c>
      <c r="B501" s="22" t="s">
        <v>7969</v>
      </c>
      <c r="C501" s="2">
        <v>1</v>
      </c>
      <c r="D501" s="23">
        <v>7.99</v>
      </c>
      <c r="E501" s="3">
        <v>7.99</v>
      </c>
      <c r="F501" s="2" t="s">
        <v>7970</v>
      </c>
      <c r="G501" s="22" t="s">
        <v>19674</v>
      </c>
      <c r="H501" s="24" t="s">
        <v>19542</v>
      </c>
      <c r="I501" s="22" t="s">
        <v>19309</v>
      </c>
      <c r="J501" s="22" t="s">
        <v>19908</v>
      </c>
      <c r="K501" s="22" t="s">
        <v>19524</v>
      </c>
      <c r="L501" s="22"/>
      <c r="M501" s="22"/>
      <c r="N501" s="25" t="str">
        <f>HYPERLINK("http://slimages.macys.com/is/image/MCY/1308257 ")</f>
        <v xml:space="preserve">http://slimages.macys.com/is/image/MCY/1308257 </v>
      </c>
    </row>
    <row r="502" spans="1:14" ht="24.75" x14ac:dyDescent="0.25">
      <c r="A502" s="21" t="s">
        <v>14109</v>
      </c>
      <c r="B502" s="22" t="s">
        <v>14110</v>
      </c>
      <c r="C502" s="2">
        <v>1</v>
      </c>
      <c r="D502" s="23">
        <v>7.99</v>
      </c>
      <c r="E502" s="3">
        <v>7.99</v>
      </c>
      <c r="F502" s="2" t="s">
        <v>16987</v>
      </c>
      <c r="G502" s="22" t="s">
        <v>19351</v>
      </c>
      <c r="H502" s="24" t="s">
        <v>20135</v>
      </c>
      <c r="I502" s="22" t="s">
        <v>19309</v>
      </c>
      <c r="J502" s="22" t="s">
        <v>19908</v>
      </c>
      <c r="K502" s="22" t="s">
        <v>19524</v>
      </c>
      <c r="L502" s="22"/>
      <c r="M502" s="22"/>
      <c r="N502" s="25" t="str">
        <f>HYPERLINK("http://slimages.macys.com/is/image/MCY/1472593 ")</f>
        <v xml:space="preserve">http://slimages.macys.com/is/image/MCY/1472593 </v>
      </c>
    </row>
    <row r="503" spans="1:14" ht="24.75" x14ac:dyDescent="0.25">
      <c r="A503" s="21" t="s">
        <v>7971</v>
      </c>
      <c r="B503" s="22" t="s">
        <v>7972</v>
      </c>
      <c r="C503" s="2">
        <v>1</v>
      </c>
      <c r="D503" s="23">
        <v>7.99</v>
      </c>
      <c r="E503" s="3">
        <v>7.99</v>
      </c>
      <c r="F503" s="2" t="s">
        <v>7973</v>
      </c>
      <c r="G503" s="22" t="s">
        <v>19338</v>
      </c>
      <c r="H503" s="24" t="s">
        <v>20089</v>
      </c>
      <c r="I503" s="22" t="s">
        <v>19309</v>
      </c>
      <c r="J503" s="22" t="s">
        <v>19908</v>
      </c>
      <c r="K503" s="22" t="s">
        <v>19524</v>
      </c>
      <c r="L503" s="22"/>
      <c r="M503" s="22"/>
      <c r="N503" s="25" t="str">
        <f>HYPERLINK("http://slimages.macys.com/is/image/MCY/21243366 ")</f>
        <v xml:space="preserve">http://slimages.macys.com/is/image/MCY/21243366 </v>
      </c>
    </row>
    <row r="504" spans="1:14" ht="24.75" x14ac:dyDescent="0.25">
      <c r="A504" s="21" t="s">
        <v>7974</v>
      </c>
      <c r="B504" s="22" t="s">
        <v>7975</v>
      </c>
      <c r="C504" s="2">
        <v>1</v>
      </c>
      <c r="D504" s="23">
        <v>7.99</v>
      </c>
      <c r="E504" s="3">
        <v>7.99</v>
      </c>
      <c r="F504" s="2" t="s">
        <v>7934</v>
      </c>
      <c r="G504" s="22" t="s">
        <v>19674</v>
      </c>
      <c r="H504" s="24" t="s">
        <v>19907</v>
      </c>
      <c r="I504" s="22" t="s">
        <v>19309</v>
      </c>
      <c r="J504" s="22" t="s">
        <v>19908</v>
      </c>
      <c r="K504" s="22" t="s">
        <v>19524</v>
      </c>
      <c r="L504" s="22"/>
      <c r="M504" s="22"/>
      <c r="N504" s="25" t="str">
        <f>HYPERLINK("http://slimages.macys.com/is/image/MCY/21433880 ")</f>
        <v xml:space="preserve">http://slimages.macys.com/is/image/MCY/21433880 </v>
      </c>
    </row>
    <row r="505" spans="1:14" ht="24.75" x14ac:dyDescent="0.25">
      <c r="A505" s="21" t="s">
        <v>7976</v>
      </c>
      <c r="B505" s="22" t="s">
        <v>7977</v>
      </c>
      <c r="C505" s="2">
        <v>1</v>
      </c>
      <c r="D505" s="23">
        <v>7.99</v>
      </c>
      <c r="E505" s="3">
        <v>7.99</v>
      </c>
      <c r="F505" s="2" t="s">
        <v>7978</v>
      </c>
      <c r="G505" s="22" t="s">
        <v>19674</v>
      </c>
      <c r="H505" s="24" t="s">
        <v>20135</v>
      </c>
      <c r="I505" s="22" t="s">
        <v>19309</v>
      </c>
      <c r="J505" s="22" t="s">
        <v>19908</v>
      </c>
      <c r="K505" s="22" t="s">
        <v>19524</v>
      </c>
      <c r="L505" s="22"/>
      <c r="M505" s="22"/>
      <c r="N505" s="25" t="str">
        <f>HYPERLINK("http://slimages.macys.com/is/image/MCY/21433858 ")</f>
        <v xml:space="preserve">http://slimages.macys.com/is/image/MCY/21433858 </v>
      </c>
    </row>
    <row r="506" spans="1:14" ht="24.75" x14ac:dyDescent="0.25">
      <c r="A506" s="21" t="s">
        <v>17085</v>
      </c>
      <c r="B506" s="22" t="s">
        <v>17086</v>
      </c>
      <c r="C506" s="2">
        <v>1</v>
      </c>
      <c r="D506" s="23">
        <v>7.99</v>
      </c>
      <c r="E506" s="3">
        <v>7.99</v>
      </c>
      <c r="F506" s="2" t="s">
        <v>18975</v>
      </c>
      <c r="G506" s="22" t="s">
        <v>19431</v>
      </c>
      <c r="H506" s="24" t="s">
        <v>19361</v>
      </c>
      <c r="I506" s="22" t="s">
        <v>19309</v>
      </c>
      <c r="J506" s="22" t="s">
        <v>19815</v>
      </c>
      <c r="K506" s="22" t="s">
        <v>19816</v>
      </c>
      <c r="L506" s="22"/>
      <c r="M506" s="22"/>
      <c r="N506" s="25" t="str">
        <f>HYPERLINK("http://slimages.macys.com/is/image/MCY/1499389 ")</f>
        <v xml:space="preserve">http://slimages.macys.com/is/image/MCY/1499389 </v>
      </c>
    </row>
    <row r="507" spans="1:14" ht="24.75" x14ac:dyDescent="0.25">
      <c r="A507" s="21" t="s">
        <v>7979</v>
      </c>
      <c r="B507" s="22" t="s">
        <v>7980</v>
      </c>
      <c r="C507" s="2">
        <v>1</v>
      </c>
      <c r="D507" s="23">
        <v>7.99</v>
      </c>
      <c r="E507" s="3">
        <v>7.99</v>
      </c>
      <c r="F507" s="2" t="s">
        <v>7981</v>
      </c>
      <c r="G507" s="22" t="s">
        <v>19351</v>
      </c>
      <c r="H507" s="24" t="s">
        <v>20089</v>
      </c>
      <c r="I507" s="22" t="s">
        <v>19309</v>
      </c>
      <c r="J507" s="22" t="s">
        <v>19573</v>
      </c>
      <c r="K507" s="22" t="s">
        <v>19574</v>
      </c>
      <c r="L507" s="22"/>
      <c r="M507" s="22"/>
      <c r="N507" s="25" t="str">
        <f>HYPERLINK("http://slimages.macys.com/is/image/MCY/21970201 ")</f>
        <v xml:space="preserve">http://slimages.macys.com/is/image/MCY/21970201 </v>
      </c>
    </row>
    <row r="508" spans="1:14" ht="24.75" x14ac:dyDescent="0.25">
      <c r="A508" s="21" t="s">
        <v>7982</v>
      </c>
      <c r="B508" s="22" t="s">
        <v>7983</v>
      </c>
      <c r="C508" s="2">
        <v>1</v>
      </c>
      <c r="D508" s="23">
        <v>7.99</v>
      </c>
      <c r="E508" s="3">
        <v>7.99</v>
      </c>
      <c r="F508" s="2" t="s">
        <v>7984</v>
      </c>
      <c r="G508" s="22" t="s">
        <v>19467</v>
      </c>
      <c r="H508" s="24" t="s">
        <v>19907</v>
      </c>
      <c r="I508" s="22" t="s">
        <v>19309</v>
      </c>
      <c r="J508" s="22" t="s">
        <v>19573</v>
      </c>
      <c r="K508" s="22" t="s">
        <v>19574</v>
      </c>
      <c r="L508" s="22"/>
      <c r="M508" s="22"/>
      <c r="N508" s="25" t="str">
        <f>HYPERLINK("http://slimages.macys.com/is/image/MCY/20385747 ")</f>
        <v xml:space="preserve">http://slimages.macys.com/is/image/MCY/20385747 </v>
      </c>
    </row>
    <row r="509" spans="1:14" ht="24.75" x14ac:dyDescent="0.25">
      <c r="A509" s="21" t="s">
        <v>7985</v>
      </c>
      <c r="B509" s="22" t="s">
        <v>7986</v>
      </c>
      <c r="C509" s="2">
        <v>1</v>
      </c>
      <c r="D509" s="23">
        <v>8.99</v>
      </c>
      <c r="E509" s="3">
        <v>8.99</v>
      </c>
      <c r="F509" s="2" t="s">
        <v>18981</v>
      </c>
      <c r="G509" s="22" t="s">
        <v>19422</v>
      </c>
      <c r="H509" s="24" t="s">
        <v>19384</v>
      </c>
      <c r="I509" s="22" t="s">
        <v>19309</v>
      </c>
      <c r="J509" s="22" t="s">
        <v>19573</v>
      </c>
      <c r="K509" s="22" t="s">
        <v>19574</v>
      </c>
      <c r="L509" s="22"/>
      <c r="M509" s="22"/>
      <c r="N509" s="25" t="str">
        <f>HYPERLINK("http://slimages.macys.com/is/image/MCY/1537013 ")</f>
        <v xml:space="preserve">http://slimages.macys.com/is/image/MCY/1537013 </v>
      </c>
    </row>
    <row r="510" spans="1:14" x14ac:dyDescent="0.25">
      <c r="A510" s="21" t="s">
        <v>7987</v>
      </c>
      <c r="B510" s="22" t="s">
        <v>7988</v>
      </c>
      <c r="C510" s="2">
        <v>1</v>
      </c>
      <c r="D510" s="23">
        <v>8.3000000000000007</v>
      </c>
      <c r="E510" s="3">
        <v>8.3000000000000007</v>
      </c>
      <c r="F510" s="2" t="s">
        <v>7989</v>
      </c>
      <c r="G510" s="22" t="s">
        <v>19431</v>
      </c>
      <c r="H510" s="24" t="s">
        <v>19416</v>
      </c>
      <c r="I510" s="22" t="s">
        <v>19309</v>
      </c>
      <c r="J510" s="22" t="s">
        <v>19708</v>
      </c>
      <c r="K510" s="22" t="s">
        <v>19709</v>
      </c>
      <c r="L510" s="22"/>
      <c r="M510" s="22"/>
      <c r="N510" s="25" t="str">
        <f>HYPERLINK("http://slimages.macys.com/is/image/MCY/21414178 ")</f>
        <v xml:space="preserve">http://slimages.macys.com/is/image/MCY/21414178 </v>
      </c>
    </row>
    <row r="511" spans="1:14" x14ac:dyDescent="0.25">
      <c r="A511" s="21" t="s">
        <v>7990</v>
      </c>
      <c r="B511" s="22" t="s">
        <v>7991</v>
      </c>
      <c r="C511" s="2">
        <v>1</v>
      </c>
      <c r="D511" s="23">
        <v>8.3000000000000007</v>
      </c>
      <c r="E511" s="3">
        <v>8.3000000000000007</v>
      </c>
      <c r="F511" s="2" t="s">
        <v>7992</v>
      </c>
      <c r="G511" s="22" t="s">
        <v>19323</v>
      </c>
      <c r="H511" s="24" t="s">
        <v>20152</v>
      </c>
      <c r="I511" s="22" t="s">
        <v>19309</v>
      </c>
      <c r="J511" s="22" t="s">
        <v>19708</v>
      </c>
      <c r="K511" s="22" t="s">
        <v>19709</v>
      </c>
      <c r="L511" s="22"/>
      <c r="M511" s="22"/>
      <c r="N511" s="25" t="str">
        <f>HYPERLINK("http://slimages.macys.com/is/image/MCY/21414224 ")</f>
        <v xml:space="preserve">http://slimages.macys.com/is/image/MCY/21414224 </v>
      </c>
    </row>
    <row r="512" spans="1:14" x14ac:dyDescent="0.25">
      <c r="A512" s="21" t="s">
        <v>7993</v>
      </c>
      <c r="B512" s="22" t="s">
        <v>11722</v>
      </c>
      <c r="C512" s="2">
        <v>1</v>
      </c>
      <c r="D512" s="23">
        <v>8.3000000000000007</v>
      </c>
      <c r="E512" s="3">
        <v>8.3000000000000007</v>
      </c>
      <c r="F512" s="2" t="s">
        <v>7994</v>
      </c>
      <c r="G512" s="22" t="s">
        <v>19635</v>
      </c>
      <c r="H512" s="24" t="s">
        <v>20159</v>
      </c>
      <c r="I512" s="22" t="s">
        <v>19309</v>
      </c>
      <c r="J512" s="22" t="s">
        <v>19708</v>
      </c>
      <c r="K512" s="22" t="s">
        <v>19709</v>
      </c>
      <c r="L512" s="22"/>
      <c r="M512" s="22"/>
      <c r="N512" s="25" t="str">
        <f>HYPERLINK("http://slimages.macys.com/is/image/MCY/21726389 ")</f>
        <v xml:space="preserve">http://slimages.macys.com/is/image/MCY/21726389 </v>
      </c>
    </row>
    <row r="513" spans="1:14" ht="24.75" x14ac:dyDescent="0.25">
      <c r="A513" s="21" t="s">
        <v>12547</v>
      </c>
      <c r="B513" s="22" t="s">
        <v>12548</v>
      </c>
      <c r="C513" s="2">
        <v>2</v>
      </c>
      <c r="D513" s="23">
        <v>7.99</v>
      </c>
      <c r="E513" s="3">
        <v>15.98</v>
      </c>
      <c r="F513" s="2" t="s">
        <v>19003</v>
      </c>
      <c r="G513" s="22" t="s">
        <v>19674</v>
      </c>
      <c r="H513" s="24" t="s">
        <v>19907</v>
      </c>
      <c r="I513" s="22" t="s">
        <v>19309</v>
      </c>
      <c r="J513" s="22" t="s">
        <v>19573</v>
      </c>
      <c r="K513" s="22" t="s">
        <v>19574</v>
      </c>
      <c r="L513" s="22"/>
      <c r="M513" s="22"/>
      <c r="N513" s="25" t="str">
        <f>HYPERLINK("http://slimages.macys.com/is/image/MCY/1505231 ")</f>
        <v xml:space="preserve">http://slimages.macys.com/is/image/MCY/1505231 </v>
      </c>
    </row>
    <row r="514" spans="1:14" ht="24.75" x14ac:dyDescent="0.25">
      <c r="A514" s="21" t="s">
        <v>14135</v>
      </c>
      <c r="B514" s="22" t="s">
        <v>14136</v>
      </c>
      <c r="C514" s="2">
        <v>1</v>
      </c>
      <c r="D514" s="23">
        <v>6.99</v>
      </c>
      <c r="E514" s="3">
        <v>6.99</v>
      </c>
      <c r="F514" s="2" t="s">
        <v>14137</v>
      </c>
      <c r="G514" s="22" t="s">
        <v>19906</v>
      </c>
      <c r="H514" s="24" t="s">
        <v>19384</v>
      </c>
      <c r="I514" s="22" t="s">
        <v>19309</v>
      </c>
      <c r="J514" s="22" t="s">
        <v>19573</v>
      </c>
      <c r="K514" s="22" t="s">
        <v>19574</v>
      </c>
      <c r="L514" s="22"/>
      <c r="M514" s="22"/>
      <c r="N514" s="25" t="str">
        <f>HYPERLINK("http://slimages.macys.com/is/image/MCY/1586967 ")</f>
        <v xml:space="preserve">http://slimages.macys.com/is/image/MCY/1586967 </v>
      </c>
    </row>
    <row r="515" spans="1:14" ht="24.75" x14ac:dyDescent="0.25">
      <c r="A515" s="21" t="s">
        <v>7995</v>
      </c>
      <c r="B515" s="22" t="s">
        <v>7996</v>
      </c>
      <c r="C515" s="2">
        <v>4</v>
      </c>
      <c r="D515" s="23">
        <v>7.99</v>
      </c>
      <c r="E515" s="3">
        <v>31.96</v>
      </c>
      <c r="F515" s="2" t="s">
        <v>19003</v>
      </c>
      <c r="G515" s="22" t="s">
        <v>19670</v>
      </c>
      <c r="H515" s="24" t="s">
        <v>20089</v>
      </c>
      <c r="I515" s="22" t="s">
        <v>19309</v>
      </c>
      <c r="J515" s="22" t="s">
        <v>19573</v>
      </c>
      <c r="K515" s="22" t="s">
        <v>19574</v>
      </c>
      <c r="L515" s="22"/>
      <c r="M515" s="22"/>
      <c r="N515" s="25" t="str">
        <f>HYPERLINK("http://slimages.macys.com/is/image/MCY/21209382 ")</f>
        <v xml:space="preserve">http://slimages.macys.com/is/image/MCY/21209382 </v>
      </c>
    </row>
    <row r="516" spans="1:14" ht="24.75" x14ac:dyDescent="0.25">
      <c r="A516" s="21" t="s">
        <v>7997</v>
      </c>
      <c r="B516" s="22" t="s">
        <v>7998</v>
      </c>
      <c r="C516" s="2">
        <v>3</v>
      </c>
      <c r="D516" s="23">
        <v>7.99</v>
      </c>
      <c r="E516" s="3">
        <v>23.97</v>
      </c>
      <c r="F516" s="2" t="s">
        <v>19003</v>
      </c>
      <c r="G516" s="22" t="s">
        <v>19670</v>
      </c>
      <c r="H516" s="24" t="s">
        <v>20135</v>
      </c>
      <c r="I516" s="22" t="s">
        <v>19309</v>
      </c>
      <c r="J516" s="22" t="s">
        <v>19573</v>
      </c>
      <c r="K516" s="22" t="s">
        <v>19574</v>
      </c>
      <c r="L516" s="22"/>
      <c r="M516" s="22"/>
      <c r="N516" s="25" t="str">
        <f>HYPERLINK("http://slimages.macys.com/is/image/MCY/21209382 ")</f>
        <v xml:space="preserve">http://slimages.macys.com/is/image/MCY/21209382 </v>
      </c>
    </row>
    <row r="517" spans="1:14" ht="24.75" x14ac:dyDescent="0.25">
      <c r="A517" s="21" t="s">
        <v>7999</v>
      </c>
      <c r="B517" s="22" t="s">
        <v>8000</v>
      </c>
      <c r="C517" s="2">
        <v>1</v>
      </c>
      <c r="D517" s="23">
        <v>7.99</v>
      </c>
      <c r="E517" s="3">
        <v>7.99</v>
      </c>
      <c r="F517" s="2" t="s">
        <v>19003</v>
      </c>
      <c r="G517" s="22" t="s">
        <v>19670</v>
      </c>
      <c r="H517" s="24" t="s">
        <v>19907</v>
      </c>
      <c r="I517" s="22" t="s">
        <v>19309</v>
      </c>
      <c r="J517" s="22" t="s">
        <v>19573</v>
      </c>
      <c r="K517" s="22" t="s">
        <v>19574</v>
      </c>
      <c r="L517" s="22"/>
      <c r="M517" s="22"/>
      <c r="N517" s="25" t="str">
        <f>HYPERLINK("http://slimages.macys.com/is/image/MCY/21209382 ")</f>
        <v xml:space="preserve">http://slimages.macys.com/is/image/MCY/21209382 </v>
      </c>
    </row>
    <row r="518" spans="1:14" ht="24.75" x14ac:dyDescent="0.25">
      <c r="A518" s="21" t="s">
        <v>8001</v>
      </c>
      <c r="B518" s="22" t="s">
        <v>8002</v>
      </c>
      <c r="C518" s="2">
        <v>2</v>
      </c>
      <c r="D518" s="23">
        <v>6.99</v>
      </c>
      <c r="E518" s="3">
        <v>13.98</v>
      </c>
      <c r="F518" s="2" t="s">
        <v>14137</v>
      </c>
      <c r="G518" s="22" t="s">
        <v>19906</v>
      </c>
      <c r="H518" s="24" t="s">
        <v>19330</v>
      </c>
      <c r="I518" s="22" t="s">
        <v>19309</v>
      </c>
      <c r="J518" s="22" t="s">
        <v>19573</v>
      </c>
      <c r="K518" s="22" t="s">
        <v>19574</v>
      </c>
      <c r="L518" s="22"/>
      <c r="M518" s="22"/>
      <c r="N518" s="25" t="str">
        <f>HYPERLINK("http://slimages.macys.com/is/image/MCY/1586967 ")</f>
        <v xml:space="preserve">http://slimages.macys.com/is/image/MCY/1586967 </v>
      </c>
    </row>
    <row r="519" spans="1:14" ht="24.75" x14ac:dyDescent="0.25">
      <c r="A519" s="21" t="s">
        <v>8003</v>
      </c>
      <c r="B519" s="22" t="s">
        <v>8004</v>
      </c>
      <c r="C519" s="2">
        <v>2</v>
      </c>
      <c r="D519" s="23">
        <v>7.99</v>
      </c>
      <c r="E519" s="3">
        <v>15.98</v>
      </c>
      <c r="F519" s="2" t="s">
        <v>10078</v>
      </c>
      <c r="G519" s="22" t="s">
        <v>19315</v>
      </c>
      <c r="H519" s="24" t="s">
        <v>20089</v>
      </c>
      <c r="I519" s="22" t="s">
        <v>19309</v>
      </c>
      <c r="J519" s="22" t="s">
        <v>19573</v>
      </c>
      <c r="K519" s="22" t="s">
        <v>19574</v>
      </c>
      <c r="L519" s="22"/>
      <c r="M519" s="22"/>
      <c r="N519" s="25" t="str">
        <f>HYPERLINK("http://slimages.macys.com/is/image/MCY/21209570 ")</f>
        <v xml:space="preserve">http://slimages.macys.com/is/image/MCY/21209570 </v>
      </c>
    </row>
    <row r="520" spans="1:14" ht="24.75" x14ac:dyDescent="0.25">
      <c r="A520" s="21" t="s">
        <v>10076</v>
      </c>
      <c r="B520" s="22" t="s">
        <v>10077</v>
      </c>
      <c r="C520" s="2">
        <v>1</v>
      </c>
      <c r="D520" s="23">
        <v>7.99</v>
      </c>
      <c r="E520" s="3">
        <v>7.99</v>
      </c>
      <c r="F520" s="2" t="s">
        <v>10078</v>
      </c>
      <c r="G520" s="22" t="s">
        <v>19315</v>
      </c>
      <c r="H520" s="24" t="s">
        <v>20135</v>
      </c>
      <c r="I520" s="22" t="s">
        <v>19309</v>
      </c>
      <c r="J520" s="22" t="s">
        <v>19573</v>
      </c>
      <c r="K520" s="22" t="s">
        <v>19574</v>
      </c>
      <c r="L520" s="22"/>
      <c r="M520" s="22"/>
      <c r="N520" s="25" t="str">
        <f>HYPERLINK("http://slimages.macys.com/is/image/MCY/21209570 ")</f>
        <v xml:space="preserve">http://slimages.macys.com/is/image/MCY/21209570 </v>
      </c>
    </row>
    <row r="521" spans="1:14" ht="24.75" x14ac:dyDescent="0.25">
      <c r="A521" s="21" t="s">
        <v>8005</v>
      </c>
      <c r="B521" s="22" t="s">
        <v>8006</v>
      </c>
      <c r="C521" s="2">
        <v>1</v>
      </c>
      <c r="D521" s="23">
        <v>7.99</v>
      </c>
      <c r="E521" s="3">
        <v>7.99</v>
      </c>
      <c r="F521" s="2" t="s">
        <v>10078</v>
      </c>
      <c r="G521" s="22" t="s">
        <v>19315</v>
      </c>
      <c r="H521" s="24" t="s">
        <v>19907</v>
      </c>
      <c r="I521" s="22" t="s">
        <v>19309</v>
      </c>
      <c r="J521" s="22" t="s">
        <v>19573</v>
      </c>
      <c r="K521" s="22" t="s">
        <v>19574</v>
      </c>
      <c r="L521" s="22"/>
      <c r="M521" s="22"/>
      <c r="N521" s="25" t="str">
        <f>HYPERLINK("http://slimages.macys.com/is/image/MCY/21209570 ")</f>
        <v xml:space="preserve">http://slimages.macys.com/is/image/MCY/21209570 </v>
      </c>
    </row>
    <row r="522" spans="1:14" ht="24.75" x14ac:dyDescent="0.25">
      <c r="A522" s="21" t="s">
        <v>8007</v>
      </c>
      <c r="B522" s="22" t="s">
        <v>8008</v>
      </c>
      <c r="C522" s="2">
        <v>1</v>
      </c>
      <c r="D522" s="23">
        <v>7.99</v>
      </c>
      <c r="E522" s="3">
        <v>7.99</v>
      </c>
      <c r="F522" s="2" t="s">
        <v>8009</v>
      </c>
      <c r="G522" s="22" t="s">
        <v>19351</v>
      </c>
      <c r="H522" s="24" t="s">
        <v>19907</v>
      </c>
      <c r="I522" s="22" t="s">
        <v>19309</v>
      </c>
      <c r="J522" s="22" t="s">
        <v>19573</v>
      </c>
      <c r="K522" s="22" t="s">
        <v>19574</v>
      </c>
      <c r="L522" s="22"/>
      <c r="M522" s="22"/>
      <c r="N522" s="25" t="str">
        <f>HYPERLINK("http://slimages.macys.com/is/image/MCY/1077389 ")</f>
        <v xml:space="preserve">http://slimages.macys.com/is/image/MCY/1077389 </v>
      </c>
    </row>
    <row r="523" spans="1:14" ht="24.75" x14ac:dyDescent="0.25">
      <c r="A523" s="21" t="s">
        <v>8010</v>
      </c>
      <c r="B523" s="22" t="s">
        <v>8011</v>
      </c>
      <c r="C523" s="2">
        <v>1</v>
      </c>
      <c r="D523" s="23">
        <v>7.99</v>
      </c>
      <c r="E523" s="3">
        <v>7.99</v>
      </c>
      <c r="F523" s="2" t="s">
        <v>8012</v>
      </c>
      <c r="G523" s="22" t="s">
        <v>19351</v>
      </c>
      <c r="H523" s="24" t="s">
        <v>19907</v>
      </c>
      <c r="I523" s="22" t="s">
        <v>19309</v>
      </c>
      <c r="J523" s="22" t="s">
        <v>19573</v>
      </c>
      <c r="K523" s="22" t="s">
        <v>19574</v>
      </c>
      <c r="L523" s="22"/>
      <c r="M523" s="22"/>
      <c r="N523" s="25" t="str">
        <f>HYPERLINK("http://slimages.macys.com/is/image/MCY/21209038 ")</f>
        <v xml:space="preserve">http://slimages.macys.com/is/image/MCY/21209038 </v>
      </c>
    </row>
    <row r="524" spans="1:14" ht="24.75" x14ac:dyDescent="0.25">
      <c r="A524" s="21" t="s">
        <v>8013</v>
      </c>
      <c r="B524" s="22" t="s">
        <v>8014</v>
      </c>
      <c r="C524" s="2">
        <v>3</v>
      </c>
      <c r="D524" s="23">
        <v>7.99</v>
      </c>
      <c r="E524" s="3">
        <v>23.97</v>
      </c>
      <c r="F524" s="2" t="s">
        <v>8012</v>
      </c>
      <c r="G524" s="22" t="s">
        <v>19351</v>
      </c>
      <c r="H524" s="24" t="s">
        <v>20089</v>
      </c>
      <c r="I524" s="22" t="s">
        <v>19309</v>
      </c>
      <c r="J524" s="22" t="s">
        <v>19573</v>
      </c>
      <c r="K524" s="22" t="s">
        <v>19574</v>
      </c>
      <c r="L524" s="22"/>
      <c r="M524" s="22"/>
      <c r="N524" s="25" t="str">
        <f>HYPERLINK("http://slimages.macys.com/is/image/MCY/21209038 ")</f>
        <v xml:space="preserve">http://slimages.macys.com/is/image/MCY/21209038 </v>
      </c>
    </row>
    <row r="525" spans="1:14" ht="24.75" x14ac:dyDescent="0.25">
      <c r="A525" s="21" t="s">
        <v>10084</v>
      </c>
      <c r="B525" s="22" t="s">
        <v>10085</v>
      </c>
      <c r="C525" s="2">
        <v>3</v>
      </c>
      <c r="D525" s="23">
        <v>7.99</v>
      </c>
      <c r="E525" s="3">
        <v>23.97</v>
      </c>
      <c r="F525" s="2" t="s">
        <v>10086</v>
      </c>
      <c r="G525" s="22" t="s">
        <v>19415</v>
      </c>
      <c r="H525" s="24" t="s">
        <v>20089</v>
      </c>
      <c r="I525" s="22" t="s">
        <v>19309</v>
      </c>
      <c r="J525" s="22" t="s">
        <v>19573</v>
      </c>
      <c r="K525" s="22" t="s">
        <v>19574</v>
      </c>
      <c r="L525" s="22"/>
      <c r="M525" s="22"/>
      <c r="N525" s="25" t="str">
        <f>HYPERLINK("http://slimages.macys.com/is/image/MCY/1610409 ")</f>
        <v xml:space="preserve">http://slimages.macys.com/is/image/MCY/1610409 </v>
      </c>
    </row>
    <row r="526" spans="1:14" ht="24.75" x14ac:dyDescent="0.25">
      <c r="A526" s="21" t="s">
        <v>8015</v>
      </c>
      <c r="B526" s="22" t="s">
        <v>8016</v>
      </c>
      <c r="C526" s="2">
        <v>4</v>
      </c>
      <c r="D526" s="23">
        <v>7.99</v>
      </c>
      <c r="E526" s="3">
        <v>31.96</v>
      </c>
      <c r="F526" s="2" t="s">
        <v>10086</v>
      </c>
      <c r="G526" s="22" t="s">
        <v>19415</v>
      </c>
      <c r="H526" s="24" t="s">
        <v>19907</v>
      </c>
      <c r="I526" s="22" t="s">
        <v>19309</v>
      </c>
      <c r="J526" s="22" t="s">
        <v>19573</v>
      </c>
      <c r="K526" s="22" t="s">
        <v>19574</v>
      </c>
      <c r="L526" s="22"/>
      <c r="M526" s="22"/>
      <c r="N526" s="25" t="str">
        <f>HYPERLINK("http://slimages.macys.com/is/image/MCY/1610409 ")</f>
        <v xml:space="preserve">http://slimages.macys.com/is/image/MCY/1610409 </v>
      </c>
    </row>
    <row r="527" spans="1:14" ht="24.75" x14ac:dyDescent="0.25">
      <c r="A527" s="21" t="s">
        <v>8341</v>
      </c>
      <c r="B527" s="22" t="s">
        <v>8342</v>
      </c>
      <c r="C527" s="2">
        <v>1</v>
      </c>
      <c r="D527" s="23">
        <v>7.99</v>
      </c>
      <c r="E527" s="3">
        <v>7.99</v>
      </c>
      <c r="F527" s="2" t="s">
        <v>11129</v>
      </c>
      <c r="G527" s="22" t="s">
        <v>19351</v>
      </c>
      <c r="H527" s="24" t="s">
        <v>19907</v>
      </c>
      <c r="I527" s="22" t="s">
        <v>19309</v>
      </c>
      <c r="J527" s="22" t="s">
        <v>19573</v>
      </c>
      <c r="K527" s="22" t="s">
        <v>19574</v>
      </c>
      <c r="L527" s="22"/>
      <c r="M527" s="22"/>
      <c r="N527" s="25" t="str">
        <f>HYPERLINK("http://slimages.macys.com/is/image/MCY/1610409 ")</f>
        <v xml:space="preserve">http://slimages.macys.com/is/image/MCY/1610409 </v>
      </c>
    </row>
    <row r="528" spans="1:14" ht="24.75" x14ac:dyDescent="0.25">
      <c r="A528" s="21" t="s">
        <v>8017</v>
      </c>
      <c r="B528" s="22" t="s">
        <v>8018</v>
      </c>
      <c r="C528" s="2">
        <v>1</v>
      </c>
      <c r="D528" s="23">
        <v>7.99</v>
      </c>
      <c r="E528" s="3">
        <v>7.99</v>
      </c>
      <c r="F528" s="2" t="s">
        <v>8019</v>
      </c>
      <c r="G528" s="22" t="s">
        <v>19674</v>
      </c>
      <c r="H528" s="24" t="s">
        <v>19907</v>
      </c>
      <c r="I528" s="22" t="s">
        <v>19309</v>
      </c>
      <c r="J528" s="22" t="s">
        <v>19573</v>
      </c>
      <c r="K528" s="22" t="s">
        <v>19574</v>
      </c>
      <c r="L528" s="22"/>
      <c r="M528" s="22"/>
      <c r="N528" s="25" t="str">
        <f>HYPERLINK("http://slimages.macys.com/is/image/MCY/20385993 ")</f>
        <v xml:space="preserve">http://slimages.macys.com/is/image/MCY/20385993 </v>
      </c>
    </row>
    <row r="529" spans="1:14" ht="24.75" x14ac:dyDescent="0.25">
      <c r="A529" s="21" t="s">
        <v>8020</v>
      </c>
      <c r="B529" s="22" t="s">
        <v>8591</v>
      </c>
      <c r="C529" s="2">
        <v>1</v>
      </c>
      <c r="D529" s="23">
        <v>7.99</v>
      </c>
      <c r="E529" s="3">
        <v>7.99</v>
      </c>
      <c r="F529" s="2" t="s">
        <v>7151</v>
      </c>
      <c r="G529" s="22" t="s">
        <v>19674</v>
      </c>
      <c r="H529" s="24" t="s">
        <v>20135</v>
      </c>
      <c r="I529" s="22" t="s">
        <v>19309</v>
      </c>
      <c r="J529" s="22" t="s">
        <v>19573</v>
      </c>
      <c r="K529" s="22" t="s">
        <v>19574</v>
      </c>
      <c r="L529" s="22"/>
      <c r="M529" s="22"/>
      <c r="N529" s="25" t="str">
        <f>HYPERLINK("http://slimages.macys.com/is/image/MCY/21970109 ")</f>
        <v xml:space="preserve">http://slimages.macys.com/is/image/MCY/21970109 </v>
      </c>
    </row>
    <row r="530" spans="1:14" ht="24.75" x14ac:dyDescent="0.25">
      <c r="A530" s="21" t="s">
        <v>8021</v>
      </c>
      <c r="B530" s="22" t="s">
        <v>8022</v>
      </c>
      <c r="C530" s="2">
        <v>1</v>
      </c>
      <c r="D530" s="23">
        <v>7.99</v>
      </c>
      <c r="E530" s="3">
        <v>7.99</v>
      </c>
      <c r="F530" s="2" t="s">
        <v>11129</v>
      </c>
      <c r="G530" s="22" t="s">
        <v>19351</v>
      </c>
      <c r="H530" s="24" t="s">
        <v>20089</v>
      </c>
      <c r="I530" s="22" t="s">
        <v>19309</v>
      </c>
      <c r="J530" s="22" t="s">
        <v>19573</v>
      </c>
      <c r="K530" s="22" t="s">
        <v>19574</v>
      </c>
      <c r="L530" s="22"/>
      <c r="M530" s="22"/>
      <c r="N530" s="25" t="str">
        <f>HYPERLINK("http://slimages.macys.com/is/image/MCY/1610409 ")</f>
        <v xml:space="preserve">http://slimages.macys.com/is/image/MCY/1610409 </v>
      </c>
    </row>
    <row r="531" spans="1:14" ht="24.75" x14ac:dyDescent="0.25">
      <c r="A531" s="21" t="s">
        <v>8023</v>
      </c>
      <c r="B531" s="22" t="s">
        <v>8024</v>
      </c>
      <c r="C531" s="2">
        <v>2</v>
      </c>
      <c r="D531" s="23">
        <v>5.99</v>
      </c>
      <c r="E531" s="3">
        <v>11.98</v>
      </c>
      <c r="F531" s="2" t="s">
        <v>19020</v>
      </c>
      <c r="G531" s="22" t="s">
        <v>19618</v>
      </c>
      <c r="H531" s="24" t="s">
        <v>19324</v>
      </c>
      <c r="I531" s="22" t="s">
        <v>19309</v>
      </c>
      <c r="J531" s="22" t="s">
        <v>19573</v>
      </c>
      <c r="K531" s="22" t="s">
        <v>19574</v>
      </c>
      <c r="L531" s="22"/>
      <c r="M531" s="22"/>
      <c r="N531" s="25" t="str">
        <f>HYPERLINK("http://slimages.macys.com/is/image/MCY/1599621 ")</f>
        <v xml:space="preserve">http://slimages.macys.com/is/image/MCY/1599621 </v>
      </c>
    </row>
    <row r="532" spans="1:14" ht="24.75" x14ac:dyDescent="0.25">
      <c r="A532" s="21" t="s">
        <v>14721</v>
      </c>
      <c r="B532" s="22" t="s">
        <v>14722</v>
      </c>
      <c r="C532" s="2">
        <v>2</v>
      </c>
      <c r="D532" s="23">
        <v>5.99</v>
      </c>
      <c r="E532" s="3">
        <v>11.98</v>
      </c>
      <c r="F532" s="2" t="s">
        <v>19020</v>
      </c>
      <c r="G532" s="22" t="s">
        <v>19618</v>
      </c>
      <c r="H532" s="24" t="s">
        <v>19384</v>
      </c>
      <c r="I532" s="22" t="s">
        <v>19309</v>
      </c>
      <c r="J532" s="22" t="s">
        <v>19573</v>
      </c>
      <c r="K532" s="22" t="s">
        <v>19574</v>
      </c>
      <c r="L532" s="22"/>
      <c r="M532" s="22"/>
      <c r="N532" s="25" t="str">
        <f>HYPERLINK("http://slimages.macys.com/is/image/MCY/1554928 ")</f>
        <v xml:space="preserve">http://slimages.macys.com/is/image/MCY/1554928 </v>
      </c>
    </row>
    <row r="533" spans="1:14" ht="24.75" x14ac:dyDescent="0.25">
      <c r="A533" s="21" t="s">
        <v>6202</v>
      </c>
      <c r="B533" s="22" t="s">
        <v>6203</v>
      </c>
      <c r="C533" s="2">
        <v>1</v>
      </c>
      <c r="D533" s="23">
        <v>5.99</v>
      </c>
      <c r="E533" s="3">
        <v>5.99</v>
      </c>
      <c r="F533" s="2" t="s">
        <v>19020</v>
      </c>
      <c r="G533" s="22" t="s">
        <v>19618</v>
      </c>
      <c r="H533" s="24" t="s">
        <v>19330</v>
      </c>
      <c r="I533" s="22" t="s">
        <v>19309</v>
      </c>
      <c r="J533" s="22" t="s">
        <v>19573</v>
      </c>
      <c r="K533" s="22" t="s">
        <v>19574</v>
      </c>
      <c r="L533" s="22"/>
      <c r="M533" s="22"/>
      <c r="N533" s="25" t="str">
        <f>HYPERLINK("http://slimages.macys.com/is/image/MCY/1554928 ")</f>
        <v xml:space="preserve">http://slimages.macys.com/is/image/MCY/1554928 </v>
      </c>
    </row>
    <row r="534" spans="1:14" ht="24.75" x14ac:dyDescent="0.25">
      <c r="A534" s="21" t="s">
        <v>6204</v>
      </c>
      <c r="B534" s="22" t="s">
        <v>6205</v>
      </c>
      <c r="C534" s="2">
        <v>1</v>
      </c>
      <c r="D534" s="23">
        <v>7.99</v>
      </c>
      <c r="E534" s="3">
        <v>7.99</v>
      </c>
      <c r="F534" s="2" t="s">
        <v>6206</v>
      </c>
      <c r="G534" s="22" t="s">
        <v>19351</v>
      </c>
      <c r="H534" s="24" t="s">
        <v>20089</v>
      </c>
      <c r="I534" s="22" t="s">
        <v>19309</v>
      </c>
      <c r="J534" s="22" t="s">
        <v>19573</v>
      </c>
      <c r="K534" s="22" t="s">
        <v>19574</v>
      </c>
      <c r="L534" s="22"/>
      <c r="M534" s="22"/>
      <c r="N534" s="25" t="str">
        <f>HYPERLINK("http://slimages.macys.com/is/image/MCY/1122116 ")</f>
        <v xml:space="preserve">http://slimages.macys.com/is/image/MCY/1122116 </v>
      </c>
    </row>
    <row r="535" spans="1:14" ht="24.75" x14ac:dyDescent="0.25">
      <c r="A535" s="21" t="s">
        <v>6207</v>
      </c>
      <c r="B535" s="22" t="s">
        <v>6208</v>
      </c>
      <c r="C535" s="2">
        <v>1</v>
      </c>
      <c r="D535" s="23">
        <v>7.99</v>
      </c>
      <c r="E535" s="3">
        <v>7.99</v>
      </c>
      <c r="F535" s="2" t="s">
        <v>6206</v>
      </c>
      <c r="G535" s="22" t="s">
        <v>19351</v>
      </c>
      <c r="H535" s="24" t="s">
        <v>19907</v>
      </c>
      <c r="I535" s="22" t="s">
        <v>19309</v>
      </c>
      <c r="J535" s="22" t="s">
        <v>19573</v>
      </c>
      <c r="K535" s="22" t="s">
        <v>19574</v>
      </c>
      <c r="L535" s="22"/>
      <c r="M535" s="22"/>
      <c r="N535" s="25" t="str">
        <f>HYPERLINK("http://slimages.macys.com/is/image/MCY/1122116 ")</f>
        <v xml:space="preserve">http://slimages.macys.com/is/image/MCY/1122116 </v>
      </c>
    </row>
    <row r="536" spans="1:14" ht="24.75" x14ac:dyDescent="0.25">
      <c r="A536" s="21" t="s">
        <v>19018</v>
      </c>
      <c r="B536" s="22" t="s">
        <v>19019</v>
      </c>
      <c r="C536" s="2">
        <v>1</v>
      </c>
      <c r="D536" s="23">
        <v>5.99</v>
      </c>
      <c r="E536" s="3">
        <v>5.99</v>
      </c>
      <c r="F536" s="2" t="s">
        <v>19020</v>
      </c>
      <c r="G536" s="22" t="s">
        <v>19618</v>
      </c>
      <c r="H536" s="24" t="s">
        <v>19538</v>
      </c>
      <c r="I536" s="22" t="s">
        <v>19309</v>
      </c>
      <c r="J536" s="22" t="s">
        <v>19573</v>
      </c>
      <c r="K536" s="22" t="s">
        <v>19574</v>
      </c>
      <c r="L536" s="22"/>
      <c r="M536" s="22"/>
      <c r="N536" s="25" t="str">
        <f>HYPERLINK("http://slimages.macys.com/is/image/MCY/21361690 ")</f>
        <v xml:space="preserve">http://slimages.macys.com/is/image/MCY/21361690 </v>
      </c>
    </row>
    <row r="537" spans="1:14" ht="24.75" x14ac:dyDescent="0.25">
      <c r="A537" s="21" t="s">
        <v>6209</v>
      </c>
      <c r="B537" s="22" t="s">
        <v>6210</v>
      </c>
      <c r="C537" s="2">
        <v>1</v>
      </c>
      <c r="D537" s="23">
        <v>6.99</v>
      </c>
      <c r="E537" s="3">
        <v>6.99</v>
      </c>
      <c r="F537" s="2" t="s">
        <v>6211</v>
      </c>
      <c r="G537" s="22" t="s">
        <v>19357</v>
      </c>
      <c r="H537" s="24" t="s">
        <v>20089</v>
      </c>
      <c r="I537" s="22" t="s">
        <v>19309</v>
      </c>
      <c r="J537" s="22" t="s">
        <v>19908</v>
      </c>
      <c r="K537" s="22" t="s">
        <v>19524</v>
      </c>
      <c r="L537" s="22"/>
      <c r="M537" s="22"/>
      <c r="N537" s="25" t="str">
        <f>HYPERLINK("http://slimages.macys.com/is/image/MCY/19263845 ")</f>
        <v xml:space="preserve">http://slimages.macys.com/is/image/MCY/19263845 </v>
      </c>
    </row>
    <row r="538" spans="1:14" ht="24.75" x14ac:dyDescent="0.25">
      <c r="A538" s="21" t="s">
        <v>6212</v>
      </c>
      <c r="B538" s="22" t="s">
        <v>6213</v>
      </c>
      <c r="C538" s="2">
        <v>1</v>
      </c>
      <c r="D538" s="23">
        <v>7.99</v>
      </c>
      <c r="E538" s="3">
        <v>7.99</v>
      </c>
      <c r="F538" s="2" t="s">
        <v>6214</v>
      </c>
      <c r="G538" s="22" t="s">
        <v>19618</v>
      </c>
      <c r="H538" s="24" t="s">
        <v>20135</v>
      </c>
      <c r="I538" s="22" t="s">
        <v>19309</v>
      </c>
      <c r="J538" s="22" t="s">
        <v>19573</v>
      </c>
      <c r="K538" s="22" t="s">
        <v>19574</v>
      </c>
      <c r="L538" s="22"/>
      <c r="M538" s="22"/>
      <c r="N538" s="25" t="str">
        <f>HYPERLINK("http://slimages.macys.com/is/image/MCY/20760521 ")</f>
        <v xml:space="preserve">http://slimages.macys.com/is/image/MCY/20760521 </v>
      </c>
    </row>
    <row r="539" spans="1:14" ht="24.75" x14ac:dyDescent="0.25">
      <c r="A539" s="21" t="s">
        <v>8353</v>
      </c>
      <c r="B539" s="22" t="s">
        <v>8354</v>
      </c>
      <c r="C539" s="2">
        <v>1</v>
      </c>
      <c r="D539" s="23">
        <v>7.99</v>
      </c>
      <c r="E539" s="3">
        <v>7.99</v>
      </c>
      <c r="F539" s="2" t="s">
        <v>17068</v>
      </c>
      <c r="G539" s="22" t="s">
        <v>19906</v>
      </c>
      <c r="H539" s="24" t="s">
        <v>19907</v>
      </c>
      <c r="I539" s="22" t="s">
        <v>19309</v>
      </c>
      <c r="J539" s="22" t="s">
        <v>19573</v>
      </c>
      <c r="K539" s="22" t="s">
        <v>19574</v>
      </c>
      <c r="L539" s="22"/>
      <c r="M539" s="22"/>
      <c r="N539" s="25" t="str">
        <f>HYPERLINK("http://slimages.macys.com/is/image/MCY/1554809 ")</f>
        <v xml:space="preserve">http://slimages.macys.com/is/image/MCY/1554809 </v>
      </c>
    </row>
    <row r="540" spans="1:14" ht="24.75" x14ac:dyDescent="0.25">
      <c r="A540" s="21" t="s">
        <v>14158</v>
      </c>
      <c r="B540" s="22" t="s">
        <v>14159</v>
      </c>
      <c r="C540" s="2">
        <v>1</v>
      </c>
      <c r="D540" s="23">
        <v>6.99</v>
      </c>
      <c r="E540" s="3">
        <v>6.99</v>
      </c>
      <c r="F540" s="2" t="s">
        <v>17073</v>
      </c>
      <c r="G540" s="22" t="s">
        <v>19351</v>
      </c>
      <c r="H540" s="24" t="s">
        <v>19538</v>
      </c>
      <c r="I540" s="22" t="s">
        <v>19309</v>
      </c>
      <c r="J540" s="22" t="s">
        <v>19573</v>
      </c>
      <c r="K540" s="22" t="s">
        <v>19574</v>
      </c>
      <c r="L540" s="22"/>
      <c r="M540" s="22"/>
      <c r="N540" s="25" t="str">
        <f>HYPERLINK("http://slimages.macys.com/is/image/MCY/19507834 ")</f>
        <v xml:space="preserve">http://slimages.macys.com/is/image/MCY/19507834 </v>
      </c>
    </row>
    <row r="541" spans="1:14" ht="24.75" x14ac:dyDescent="0.25">
      <c r="A541" s="21" t="s">
        <v>6215</v>
      </c>
      <c r="B541" s="22" t="s">
        <v>6216</v>
      </c>
      <c r="C541" s="2">
        <v>1</v>
      </c>
      <c r="D541" s="23">
        <v>6.99</v>
      </c>
      <c r="E541" s="3">
        <v>6.99</v>
      </c>
      <c r="F541" s="2" t="s">
        <v>6217</v>
      </c>
      <c r="G541" s="22" t="s">
        <v>19618</v>
      </c>
      <c r="H541" s="24" t="s">
        <v>19330</v>
      </c>
      <c r="I541" s="22" t="s">
        <v>19309</v>
      </c>
      <c r="J541" s="22" t="s">
        <v>19573</v>
      </c>
      <c r="K541" s="22" t="s">
        <v>19574</v>
      </c>
      <c r="L541" s="22"/>
      <c r="M541" s="22"/>
      <c r="N541" s="25" t="str">
        <f>HYPERLINK("http://slimages.macys.com/is/image/MCY/19977728 ")</f>
        <v xml:space="preserve">http://slimages.macys.com/is/image/MCY/19977728 </v>
      </c>
    </row>
    <row r="542" spans="1:14" ht="24.75" x14ac:dyDescent="0.25">
      <c r="A542" s="21" t="s">
        <v>9214</v>
      </c>
      <c r="B542" s="22" t="s">
        <v>9215</v>
      </c>
      <c r="C542" s="2">
        <v>1</v>
      </c>
      <c r="D542" s="23">
        <v>7.99</v>
      </c>
      <c r="E542" s="3">
        <v>7.99</v>
      </c>
      <c r="F542" s="2" t="s">
        <v>9216</v>
      </c>
      <c r="G542" s="22" t="s">
        <v>19618</v>
      </c>
      <c r="H542" s="24" t="s">
        <v>19907</v>
      </c>
      <c r="I542" s="22" t="s">
        <v>19309</v>
      </c>
      <c r="J542" s="22" t="s">
        <v>19573</v>
      </c>
      <c r="K542" s="22" t="s">
        <v>19574</v>
      </c>
      <c r="L542" s="22"/>
      <c r="M542" s="22"/>
      <c r="N542" s="25" t="str">
        <f>HYPERLINK("http://slimages.macys.com/is/image/MCY/21088469 ")</f>
        <v xml:space="preserve">http://slimages.macys.com/is/image/MCY/21088469 </v>
      </c>
    </row>
    <row r="543" spans="1:14" ht="24.75" x14ac:dyDescent="0.25">
      <c r="A543" s="21" t="s">
        <v>19044</v>
      </c>
      <c r="B543" s="22" t="s">
        <v>19045</v>
      </c>
      <c r="C543" s="2">
        <v>2</v>
      </c>
      <c r="D543" s="23">
        <v>5.99</v>
      </c>
      <c r="E543" s="3">
        <v>11.98</v>
      </c>
      <c r="F543" s="2" t="s">
        <v>19043</v>
      </c>
      <c r="G543" s="22" t="s">
        <v>19415</v>
      </c>
      <c r="H543" s="24" t="s">
        <v>19384</v>
      </c>
      <c r="I543" s="22" t="s">
        <v>19309</v>
      </c>
      <c r="J543" s="22" t="s">
        <v>19573</v>
      </c>
      <c r="K543" s="22" t="s">
        <v>19574</v>
      </c>
      <c r="L543" s="22"/>
      <c r="M543" s="22"/>
      <c r="N543" s="25" t="str">
        <f>HYPERLINK("http://slimages.macys.com/is/image/MCY/21209612 ")</f>
        <v xml:space="preserve">http://slimages.macys.com/is/image/MCY/21209612 </v>
      </c>
    </row>
    <row r="544" spans="1:14" ht="24.75" x14ac:dyDescent="0.25">
      <c r="A544" s="21" t="s">
        <v>19041</v>
      </c>
      <c r="B544" s="22" t="s">
        <v>19042</v>
      </c>
      <c r="C544" s="2">
        <v>2</v>
      </c>
      <c r="D544" s="23">
        <v>5.99</v>
      </c>
      <c r="E544" s="3">
        <v>11.98</v>
      </c>
      <c r="F544" s="2" t="s">
        <v>19043</v>
      </c>
      <c r="G544" s="22" t="s">
        <v>19415</v>
      </c>
      <c r="H544" s="24" t="s">
        <v>19538</v>
      </c>
      <c r="I544" s="22" t="s">
        <v>19309</v>
      </c>
      <c r="J544" s="22" t="s">
        <v>19573</v>
      </c>
      <c r="K544" s="22" t="s">
        <v>19574</v>
      </c>
      <c r="L544" s="22"/>
      <c r="M544" s="22"/>
      <c r="N544" s="25" t="str">
        <f>HYPERLINK("http://slimages.macys.com/is/image/MCY/21209612 ")</f>
        <v xml:space="preserve">http://slimages.macys.com/is/image/MCY/21209612 </v>
      </c>
    </row>
    <row r="545" spans="1:14" ht="24.75" x14ac:dyDescent="0.25">
      <c r="A545" s="21" t="s">
        <v>6218</v>
      </c>
      <c r="B545" s="22" t="s">
        <v>6219</v>
      </c>
      <c r="C545" s="2">
        <v>1</v>
      </c>
      <c r="D545" s="23">
        <v>5.99</v>
      </c>
      <c r="E545" s="3">
        <v>5.99</v>
      </c>
      <c r="F545" s="2" t="s">
        <v>17080</v>
      </c>
      <c r="G545" s="22" t="s">
        <v>19467</v>
      </c>
      <c r="H545" s="24" t="s">
        <v>19330</v>
      </c>
      <c r="I545" s="22" t="s">
        <v>19309</v>
      </c>
      <c r="J545" s="22" t="s">
        <v>19573</v>
      </c>
      <c r="K545" s="22" t="s">
        <v>19574</v>
      </c>
      <c r="L545" s="22"/>
      <c r="M545" s="22"/>
      <c r="N545" s="25" t="str">
        <f>HYPERLINK("http://slimages.macys.com/is/image/MCY/21209062 ")</f>
        <v xml:space="preserve">http://slimages.macys.com/is/image/MCY/21209062 </v>
      </c>
    </row>
    <row r="546" spans="1:14" ht="24.75" x14ac:dyDescent="0.25">
      <c r="A546" s="21" t="s">
        <v>6220</v>
      </c>
      <c r="B546" s="22" t="s">
        <v>6221</v>
      </c>
      <c r="C546" s="2">
        <v>1</v>
      </c>
      <c r="D546" s="23">
        <v>6.99</v>
      </c>
      <c r="E546" s="3">
        <v>6.99</v>
      </c>
      <c r="F546" s="2" t="s">
        <v>6222</v>
      </c>
      <c r="G546" s="22" t="s">
        <v>19618</v>
      </c>
      <c r="H546" s="24" t="s">
        <v>20135</v>
      </c>
      <c r="I546" s="22" t="s">
        <v>19309</v>
      </c>
      <c r="J546" s="22" t="s">
        <v>19908</v>
      </c>
      <c r="K546" s="22" t="s">
        <v>19524</v>
      </c>
      <c r="L546" s="22"/>
      <c r="M546" s="22"/>
      <c r="N546" s="25" t="str">
        <f>HYPERLINK("http://slimages.macys.com/is/image/MCY/19263817 ")</f>
        <v xml:space="preserve">http://slimages.macys.com/is/image/MCY/19263817 </v>
      </c>
    </row>
    <row r="547" spans="1:14" ht="24.75" x14ac:dyDescent="0.25">
      <c r="A547" s="21" t="s">
        <v>6223</v>
      </c>
      <c r="B547" s="22" t="s">
        <v>6224</v>
      </c>
      <c r="C547" s="2">
        <v>1</v>
      </c>
      <c r="D547" s="23">
        <v>5.99</v>
      </c>
      <c r="E547" s="3">
        <v>5.99</v>
      </c>
      <c r="F547" s="2" t="s">
        <v>17097</v>
      </c>
      <c r="G547" s="22" t="s">
        <v>19713</v>
      </c>
      <c r="H547" s="24" t="s">
        <v>19324</v>
      </c>
      <c r="I547" s="22" t="s">
        <v>19309</v>
      </c>
      <c r="J547" s="22" t="s">
        <v>19573</v>
      </c>
      <c r="K547" s="22" t="s">
        <v>19574</v>
      </c>
      <c r="L547" s="22"/>
      <c r="M547" s="22"/>
      <c r="N547" s="25" t="str">
        <f>HYPERLINK("http://slimages.macys.com/is/image/MCY/21730765 ")</f>
        <v xml:space="preserve">http://slimages.macys.com/is/image/MCY/21730765 </v>
      </c>
    </row>
    <row r="548" spans="1:14" ht="24.75" x14ac:dyDescent="0.25">
      <c r="A548" s="21" t="s">
        <v>6225</v>
      </c>
      <c r="B548" s="22" t="s">
        <v>6226</v>
      </c>
      <c r="C548" s="2">
        <v>2</v>
      </c>
      <c r="D548" s="23">
        <v>5.99</v>
      </c>
      <c r="E548" s="3">
        <v>11.98</v>
      </c>
      <c r="F548" s="2" t="s">
        <v>17097</v>
      </c>
      <c r="G548" s="22" t="s">
        <v>19713</v>
      </c>
      <c r="H548" s="24" t="s">
        <v>19538</v>
      </c>
      <c r="I548" s="22" t="s">
        <v>19309</v>
      </c>
      <c r="J548" s="22" t="s">
        <v>19573</v>
      </c>
      <c r="K548" s="22" t="s">
        <v>19574</v>
      </c>
      <c r="L548" s="22"/>
      <c r="M548" s="22"/>
      <c r="N548" s="25" t="str">
        <f>HYPERLINK("http://slimages.macys.com/is/image/MCY/21730765 ")</f>
        <v xml:space="preserve">http://slimages.macys.com/is/image/MCY/21730765 </v>
      </c>
    </row>
    <row r="549" spans="1:14" ht="24.75" x14ac:dyDescent="0.25">
      <c r="A549" s="21" t="s">
        <v>6227</v>
      </c>
      <c r="B549" s="22" t="s">
        <v>6228</v>
      </c>
      <c r="C549" s="2">
        <v>1</v>
      </c>
      <c r="D549" s="23">
        <v>7.99</v>
      </c>
      <c r="E549" s="3">
        <v>7.99</v>
      </c>
      <c r="F549" s="2" t="s">
        <v>6229</v>
      </c>
      <c r="G549" s="22" t="s">
        <v>19585</v>
      </c>
      <c r="H549" s="24" t="s">
        <v>19907</v>
      </c>
      <c r="I549" s="22" t="s">
        <v>19309</v>
      </c>
      <c r="J549" s="22" t="s">
        <v>19573</v>
      </c>
      <c r="K549" s="22" t="s">
        <v>19574</v>
      </c>
      <c r="L549" s="22"/>
      <c r="M549" s="22"/>
      <c r="N549" s="25" t="str">
        <f>HYPERLINK("http://slimages.macys.com/is/image/MCY/20757535 ")</f>
        <v xml:space="preserve">http://slimages.macys.com/is/image/MCY/20757535 </v>
      </c>
    </row>
    <row r="550" spans="1:14" ht="24.75" x14ac:dyDescent="0.25">
      <c r="A550" s="21" t="s">
        <v>6230</v>
      </c>
      <c r="B550" s="22" t="s">
        <v>6231</v>
      </c>
      <c r="C550" s="2">
        <v>2</v>
      </c>
      <c r="D550" s="23">
        <v>7.99</v>
      </c>
      <c r="E550" s="3">
        <v>15.98</v>
      </c>
      <c r="F550" s="2" t="s">
        <v>6232</v>
      </c>
      <c r="G550" s="22" t="s">
        <v>19351</v>
      </c>
      <c r="H550" s="24" t="s">
        <v>20135</v>
      </c>
      <c r="I550" s="22" t="s">
        <v>19309</v>
      </c>
      <c r="J550" s="22" t="s">
        <v>19573</v>
      </c>
      <c r="K550" s="22" t="s">
        <v>19574</v>
      </c>
      <c r="L550" s="22"/>
      <c r="M550" s="22"/>
      <c r="N550" s="25" t="str">
        <f>HYPERLINK("http://slimages.macys.com/is/image/MCY/1610403 ")</f>
        <v xml:space="preserve">http://slimages.macys.com/is/image/MCY/1610403 </v>
      </c>
    </row>
    <row r="551" spans="1:14" ht="24.75" x14ac:dyDescent="0.25">
      <c r="A551" s="21" t="s">
        <v>14750</v>
      </c>
      <c r="B551" s="22" t="s">
        <v>14751</v>
      </c>
      <c r="C551" s="2">
        <v>1</v>
      </c>
      <c r="D551" s="23">
        <v>5.99</v>
      </c>
      <c r="E551" s="3">
        <v>5.99</v>
      </c>
      <c r="F551" s="2" t="s">
        <v>14752</v>
      </c>
      <c r="G551" s="22" t="s">
        <v>19713</v>
      </c>
      <c r="H551" s="24" t="s">
        <v>19384</v>
      </c>
      <c r="I551" s="22" t="s">
        <v>19309</v>
      </c>
      <c r="J551" s="22" t="s">
        <v>19573</v>
      </c>
      <c r="K551" s="22" t="s">
        <v>19574</v>
      </c>
      <c r="L551" s="22"/>
      <c r="M551" s="22"/>
      <c r="N551" s="25" t="str">
        <f>HYPERLINK("http://slimages.macys.com/is/image/MCY/21730849 ")</f>
        <v xml:space="preserve">http://slimages.macys.com/is/image/MCY/21730849 </v>
      </c>
    </row>
    <row r="552" spans="1:14" ht="24.75" x14ac:dyDescent="0.25">
      <c r="A552" s="21" t="s">
        <v>12578</v>
      </c>
      <c r="B552" s="22" t="s">
        <v>12579</v>
      </c>
      <c r="C552" s="2">
        <v>1</v>
      </c>
      <c r="D552" s="23">
        <v>5.99</v>
      </c>
      <c r="E552" s="3">
        <v>5.99</v>
      </c>
      <c r="F552" s="2" t="s">
        <v>14752</v>
      </c>
      <c r="G552" s="22" t="s">
        <v>19713</v>
      </c>
      <c r="H552" s="24" t="s">
        <v>19416</v>
      </c>
      <c r="I552" s="22" t="s">
        <v>19309</v>
      </c>
      <c r="J552" s="22" t="s">
        <v>19573</v>
      </c>
      <c r="K552" s="22" t="s">
        <v>19574</v>
      </c>
      <c r="L552" s="22"/>
      <c r="M552" s="22"/>
      <c r="N552" s="25" t="str">
        <f>HYPERLINK("http://slimages.macys.com/is/image/MCY/21730849 ")</f>
        <v xml:space="preserve">http://slimages.macys.com/is/image/MCY/21730849 </v>
      </c>
    </row>
    <row r="553" spans="1:14" ht="24.75" x14ac:dyDescent="0.25">
      <c r="A553" s="21" t="s">
        <v>19066</v>
      </c>
      <c r="B553" s="22" t="s">
        <v>19067</v>
      </c>
      <c r="C553" s="2">
        <v>1</v>
      </c>
      <c r="D553" s="23">
        <v>5.99</v>
      </c>
      <c r="E553" s="3">
        <v>5.99</v>
      </c>
      <c r="F553" s="2" t="s">
        <v>19065</v>
      </c>
      <c r="G553" s="22" t="s">
        <v>19618</v>
      </c>
      <c r="H553" s="24" t="s">
        <v>19324</v>
      </c>
      <c r="I553" s="22" t="s">
        <v>19309</v>
      </c>
      <c r="J553" s="22" t="s">
        <v>19573</v>
      </c>
      <c r="K553" s="22" t="s">
        <v>19574</v>
      </c>
      <c r="L553" s="22"/>
      <c r="M553" s="22"/>
      <c r="N553" s="25" t="str">
        <f>HYPERLINK("http://slimages.macys.com/is/image/MCY/1520629 ")</f>
        <v xml:space="preserve">http://slimages.macys.com/is/image/MCY/1520629 </v>
      </c>
    </row>
    <row r="554" spans="1:14" ht="24.75" x14ac:dyDescent="0.25">
      <c r="A554" s="21" t="s">
        <v>19068</v>
      </c>
      <c r="B554" s="22" t="s">
        <v>19069</v>
      </c>
      <c r="C554" s="2">
        <v>3</v>
      </c>
      <c r="D554" s="23">
        <v>5.99</v>
      </c>
      <c r="E554" s="3">
        <v>17.97</v>
      </c>
      <c r="F554" s="2" t="s">
        <v>19065</v>
      </c>
      <c r="G554" s="22" t="s">
        <v>19618</v>
      </c>
      <c r="H554" s="24" t="s">
        <v>19384</v>
      </c>
      <c r="I554" s="22" t="s">
        <v>19309</v>
      </c>
      <c r="J554" s="22" t="s">
        <v>19573</v>
      </c>
      <c r="K554" s="22" t="s">
        <v>19574</v>
      </c>
      <c r="L554" s="22"/>
      <c r="M554" s="22"/>
      <c r="N554" s="25" t="str">
        <f>HYPERLINK("http://slimages.macys.com/is/image/MCY/1554870 ")</f>
        <v xml:space="preserve">http://slimages.macys.com/is/image/MCY/1554870 </v>
      </c>
    </row>
    <row r="555" spans="1:14" ht="24.75" x14ac:dyDescent="0.25">
      <c r="A555" s="21" t="s">
        <v>6233</v>
      </c>
      <c r="B555" s="22" t="s">
        <v>6234</v>
      </c>
      <c r="C555" s="2">
        <v>1</v>
      </c>
      <c r="D555" s="23">
        <v>6.99</v>
      </c>
      <c r="E555" s="3">
        <v>6.99</v>
      </c>
      <c r="F555" s="2">
        <v>10014307800</v>
      </c>
      <c r="G555" s="22" t="s">
        <v>19713</v>
      </c>
      <c r="H555" s="24" t="s">
        <v>19324</v>
      </c>
      <c r="I555" s="22" t="s">
        <v>19309</v>
      </c>
      <c r="J555" s="22" t="s">
        <v>19573</v>
      </c>
      <c r="K555" s="22" t="s">
        <v>19574</v>
      </c>
      <c r="L555" s="22"/>
      <c r="M555" s="22"/>
      <c r="N555" s="25" t="str">
        <f>HYPERLINK("http://slimages.macys.com/is/image/MCY/20753580 ")</f>
        <v xml:space="preserve">http://slimages.macys.com/is/image/MCY/20753580 </v>
      </c>
    </row>
    <row r="556" spans="1:14" ht="24.75" x14ac:dyDescent="0.25">
      <c r="A556" s="21" t="s">
        <v>19063</v>
      </c>
      <c r="B556" s="22" t="s">
        <v>19064</v>
      </c>
      <c r="C556" s="2">
        <v>1</v>
      </c>
      <c r="D556" s="23">
        <v>5.99</v>
      </c>
      <c r="E556" s="3">
        <v>5.99</v>
      </c>
      <c r="F556" s="2" t="s">
        <v>19065</v>
      </c>
      <c r="G556" s="22" t="s">
        <v>19618</v>
      </c>
      <c r="H556" s="24" t="s">
        <v>19538</v>
      </c>
      <c r="I556" s="22" t="s">
        <v>19309</v>
      </c>
      <c r="J556" s="22" t="s">
        <v>19573</v>
      </c>
      <c r="K556" s="22" t="s">
        <v>19574</v>
      </c>
      <c r="L556" s="22"/>
      <c r="M556" s="22"/>
      <c r="N556" s="25" t="str">
        <f>HYPERLINK("http://slimages.macys.com/is/image/MCY/1554870 ")</f>
        <v xml:space="preserve">http://slimages.macys.com/is/image/MCY/1554870 </v>
      </c>
    </row>
    <row r="557" spans="1:14" ht="24.75" x14ac:dyDescent="0.25">
      <c r="A557" s="21" t="s">
        <v>9224</v>
      </c>
      <c r="B557" s="22" t="s">
        <v>9225</v>
      </c>
      <c r="C557" s="2">
        <v>1</v>
      </c>
      <c r="D557" s="23">
        <v>7.99</v>
      </c>
      <c r="E557" s="3">
        <v>7.99</v>
      </c>
      <c r="F557" s="2" t="s">
        <v>9219</v>
      </c>
      <c r="G557" s="22" t="s">
        <v>19794</v>
      </c>
      <c r="H557" s="24" t="s">
        <v>20089</v>
      </c>
      <c r="I557" s="22" t="s">
        <v>19309</v>
      </c>
      <c r="J557" s="22" t="s">
        <v>19573</v>
      </c>
      <c r="K557" s="22" t="s">
        <v>19574</v>
      </c>
      <c r="L557" s="22"/>
      <c r="M557" s="22"/>
      <c r="N557" s="25" t="str">
        <f>HYPERLINK("http://slimages.macys.com/is/image/MCY/21209342 ")</f>
        <v xml:space="preserve">http://slimages.macys.com/is/image/MCY/21209342 </v>
      </c>
    </row>
    <row r="558" spans="1:14" ht="24.75" x14ac:dyDescent="0.25">
      <c r="A558" s="21" t="s">
        <v>6235</v>
      </c>
      <c r="B558" s="22" t="s">
        <v>6236</v>
      </c>
      <c r="C558" s="2">
        <v>2</v>
      </c>
      <c r="D558" s="23">
        <v>7.99</v>
      </c>
      <c r="E558" s="3">
        <v>15.98</v>
      </c>
      <c r="F558" s="2" t="s">
        <v>9219</v>
      </c>
      <c r="G558" s="22" t="s">
        <v>19431</v>
      </c>
      <c r="H558" s="24" t="s">
        <v>20089</v>
      </c>
      <c r="I558" s="22" t="s">
        <v>19309</v>
      </c>
      <c r="J558" s="22" t="s">
        <v>19573</v>
      </c>
      <c r="K558" s="22" t="s">
        <v>19574</v>
      </c>
      <c r="L558" s="22"/>
      <c r="M558" s="22"/>
      <c r="N558" s="25" t="str">
        <f>HYPERLINK("http://slimages.macys.com/is/image/MCY/21209342 ")</f>
        <v xml:space="preserve">http://slimages.macys.com/is/image/MCY/21209342 </v>
      </c>
    </row>
    <row r="559" spans="1:14" ht="24.75" x14ac:dyDescent="0.25">
      <c r="A559" s="21" t="s">
        <v>6237</v>
      </c>
      <c r="B559" s="22" t="s">
        <v>6238</v>
      </c>
      <c r="C559" s="2">
        <v>1</v>
      </c>
      <c r="D559" s="23">
        <v>7.99</v>
      </c>
      <c r="E559" s="3">
        <v>7.99</v>
      </c>
      <c r="F559" s="2" t="s">
        <v>6239</v>
      </c>
      <c r="G559" s="22" t="s">
        <v>19351</v>
      </c>
      <c r="H559" s="24" t="s">
        <v>20135</v>
      </c>
      <c r="I559" s="22" t="s">
        <v>19309</v>
      </c>
      <c r="J559" s="22" t="s">
        <v>19573</v>
      </c>
      <c r="K559" s="22" t="s">
        <v>19574</v>
      </c>
      <c r="L559" s="22"/>
      <c r="M559" s="22"/>
      <c r="N559" s="25" t="str">
        <f>HYPERLINK("http://slimages.macys.com/is/image/MCY/21088629 ")</f>
        <v xml:space="preserve">http://slimages.macys.com/is/image/MCY/21088629 </v>
      </c>
    </row>
    <row r="560" spans="1:14" ht="24.75" x14ac:dyDescent="0.25">
      <c r="A560" s="21" t="s">
        <v>6240</v>
      </c>
      <c r="B560" s="22" t="s">
        <v>10077</v>
      </c>
      <c r="C560" s="2">
        <v>2</v>
      </c>
      <c r="D560" s="23">
        <v>7.99</v>
      </c>
      <c r="E560" s="3">
        <v>15.98</v>
      </c>
      <c r="F560" s="2" t="s">
        <v>6241</v>
      </c>
      <c r="G560" s="22" t="s">
        <v>19315</v>
      </c>
      <c r="H560" s="24" t="s">
        <v>20135</v>
      </c>
      <c r="I560" s="22" t="s">
        <v>19309</v>
      </c>
      <c r="J560" s="22" t="s">
        <v>19573</v>
      </c>
      <c r="K560" s="22" t="s">
        <v>19574</v>
      </c>
      <c r="L560" s="22"/>
      <c r="M560" s="22"/>
      <c r="N560" s="25" t="str">
        <f>HYPERLINK("http://slimages.macys.com/is/image/MCY/1494940 ")</f>
        <v xml:space="preserve">http://slimages.macys.com/is/image/MCY/1494940 </v>
      </c>
    </row>
    <row r="561" spans="1:14" ht="24.75" x14ac:dyDescent="0.25">
      <c r="A561" s="21" t="s">
        <v>13465</v>
      </c>
      <c r="B561" s="22" t="s">
        <v>13466</v>
      </c>
      <c r="C561" s="2">
        <v>1</v>
      </c>
      <c r="D561" s="23">
        <v>7.99</v>
      </c>
      <c r="E561" s="3">
        <v>7.99</v>
      </c>
      <c r="F561" s="2" t="s">
        <v>13467</v>
      </c>
      <c r="G561" s="22" t="s">
        <v>19422</v>
      </c>
      <c r="H561" s="24" t="s">
        <v>20135</v>
      </c>
      <c r="I561" s="22" t="s">
        <v>19309</v>
      </c>
      <c r="J561" s="22" t="s">
        <v>19573</v>
      </c>
      <c r="K561" s="22" t="s">
        <v>19574</v>
      </c>
      <c r="L561" s="22"/>
      <c r="M561" s="22"/>
      <c r="N561" s="25" t="str">
        <f>HYPERLINK("http://slimages.macys.com/is/image/MCY/21905243 ")</f>
        <v xml:space="preserve">http://slimages.macys.com/is/image/MCY/21905243 </v>
      </c>
    </row>
    <row r="562" spans="1:14" ht="24.75" x14ac:dyDescent="0.25">
      <c r="A562" s="21" t="s">
        <v>6242</v>
      </c>
      <c r="B562" s="22" t="s">
        <v>6243</v>
      </c>
      <c r="C562" s="2">
        <v>1</v>
      </c>
      <c r="D562" s="23">
        <v>7.99</v>
      </c>
      <c r="E562" s="3">
        <v>7.99</v>
      </c>
      <c r="F562" s="2" t="s">
        <v>13467</v>
      </c>
      <c r="G562" s="22" t="s">
        <v>19422</v>
      </c>
      <c r="H562" s="24" t="s">
        <v>20089</v>
      </c>
      <c r="I562" s="22" t="s">
        <v>19309</v>
      </c>
      <c r="J562" s="22" t="s">
        <v>19573</v>
      </c>
      <c r="K562" s="22" t="s">
        <v>19574</v>
      </c>
      <c r="L562" s="22"/>
      <c r="M562" s="22"/>
      <c r="N562" s="25" t="str">
        <f>HYPERLINK("http://slimages.macys.com/is/image/MCY/21905243 ")</f>
        <v xml:space="preserve">http://slimages.macys.com/is/image/MCY/21905243 </v>
      </c>
    </row>
    <row r="563" spans="1:14" ht="24.75" x14ac:dyDescent="0.25">
      <c r="A563" s="21" t="s">
        <v>6244</v>
      </c>
      <c r="B563" s="22" t="s">
        <v>6245</v>
      </c>
      <c r="C563" s="2">
        <v>1</v>
      </c>
      <c r="D563" s="23">
        <v>5.99</v>
      </c>
      <c r="E563" s="3">
        <v>5.99</v>
      </c>
      <c r="F563" s="2" t="s">
        <v>17110</v>
      </c>
      <c r="G563" s="22" t="s">
        <v>19670</v>
      </c>
      <c r="H563" s="24" t="s">
        <v>19324</v>
      </c>
      <c r="I563" s="22" t="s">
        <v>19309</v>
      </c>
      <c r="J563" s="22" t="s">
        <v>19573</v>
      </c>
      <c r="K563" s="22" t="s">
        <v>19574</v>
      </c>
      <c r="L563" s="22"/>
      <c r="M563" s="22"/>
      <c r="N563" s="25" t="str">
        <f>HYPERLINK("http://slimages.macys.com/is/image/MCY/21209050 ")</f>
        <v xml:space="preserve">http://slimages.macys.com/is/image/MCY/21209050 </v>
      </c>
    </row>
    <row r="564" spans="1:14" ht="24.75" x14ac:dyDescent="0.25">
      <c r="A564" s="21" t="s">
        <v>14767</v>
      </c>
      <c r="B564" s="22" t="s">
        <v>14768</v>
      </c>
      <c r="C564" s="2">
        <v>2</v>
      </c>
      <c r="D564" s="23">
        <v>5.99</v>
      </c>
      <c r="E564" s="3">
        <v>11.98</v>
      </c>
      <c r="F564" s="2" t="s">
        <v>17110</v>
      </c>
      <c r="G564" s="22" t="s">
        <v>19670</v>
      </c>
      <c r="H564" s="24" t="s">
        <v>19330</v>
      </c>
      <c r="I564" s="22" t="s">
        <v>19309</v>
      </c>
      <c r="J564" s="22" t="s">
        <v>19573</v>
      </c>
      <c r="K564" s="22" t="s">
        <v>19574</v>
      </c>
      <c r="L564" s="22"/>
      <c r="M564" s="22"/>
      <c r="N564" s="25" t="str">
        <f>HYPERLINK("http://slimages.macys.com/is/image/MCY/21209585 ")</f>
        <v xml:space="preserve">http://slimages.macys.com/is/image/MCY/21209585 </v>
      </c>
    </row>
    <row r="565" spans="1:14" ht="24.75" x14ac:dyDescent="0.25">
      <c r="A565" s="21" t="s">
        <v>6246</v>
      </c>
      <c r="B565" s="22" t="s">
        <v>6247</v>
      </c>
      <c r="C565" s="2">
        <v>1</v>
      </c>
      <c r="D565" s="23">
        <v>5.99</v>
      </c>
      <c r="E565" s="3">
        <v>5.99</v>
      </c>
      <c r="F565" s="2" t="s">
        <v>6248</v>
      </c>
      <c r="G565" s="22" t="s">
        <v>19351</v>
      </c>
      <c r="H565" s="24" t="s">
        <v>19416</v>
      </c>
      <c r="I565" s="22" t="s">
        <v>19309</v>
      </c>
      <c r="J565" s="22" t="s">
        <v>19573</v>
      </c>
      <c r="K565" s="22" t="s">
        <v>19574</v>
      </c>
      <c r="L565" s="22"/>
      <c r="M565" s="22"/>
      <c r="N565" s="25" t="str">
        <f>HYPERLINK("http://slimages.macys.com/is/image/MCY/1520629 ")</f>
        <v xml:space="preserve">http://slimages.macys.com/is/image/MCY/1520629 </v>
      </c>
    </row>
    <row r="566" spans="1:14" ht="24.75" x14ac:dyDescent="0.25">
      <c r="A566" s="21" t="s">
        <v>6249</v>
      </c>
      <c r="B566" s="22" t="s">
        <v>6250</v>
      </c>
      <c r="C566" s="2">
        <v>1</v>
      </c>
      <c r="D566" s="23">
        <v>5.99</v>
      </c>
      <c r="E566" s="3">
        <v>5.99</v>
      </c>
      <c r="F566" s="2" t="s">
        <v>6248</v>
      </c>
      <c r="G566" s="22" t="s">
        <v>19351</v>
      </c>
      <c r="H566" s="24" t="s">
        <v>19538</v>
      </c>
      <c r="I566" s="22" t="s">
        <v>19309</v>
      </c>
      <c r="J566" s="22" t="s">
        <v>19573</v>
      </c>
      <c r="K566" s="22" t="s">
        <v>19574</v>
      </c>
      <c r="L566" s="22"/>
      <c r="M566" s="22"/>
      <c r="N566" s="25" t="str">
        <f>HYPERLINK("http://slimages.macys.com/is/image/MCY/1520629 ")</f>
        <v xml:space="preserve">http://slimages.macys.com/is/image/MCY/1520629 </v>
      </c>
    </row>
    <row r="567" spans="1:14" ht="24.75" x14ac:dyDescent="0.25">
      <c r="A567" s="21" t="s">
        <v>6251</v>
      </c>
      <c r="B567" s="22" t="s">
        <v>6252</v>
      </c>
      <c r="C567" s="2">
        <v>1</v>
      </c>
      <c r="D567" s="23">
        <v>5.99</v>
      </c>
      <c r="E567" s="3">
        <v>5.99</v>
      </c>
      <c r="F567" s="2" t="s">
        <v>17113</v>
      </c>
      <c r="G567" s="22" t="s">
        <v>19618</v>
      </c>
      <c r="H567" s="24" t="s">
        <v>19330</v>
      </c>
      <c r="I567" s="22" t="s">
        <v>19309</v>
      </c>
      <c r="J567" s="22" t="s">
        <v>19573</v>
      </c>
      <c r="K567" s="22" t="s">
        <v>19574</v>
      </c>
      <c r="L567" s="22"/>
      <c r="M567" s="22"/>
      <c r="N567" s="25" t="str">
        <f>HYPERLINK("http://slimages.macys.com/is/image/MCY/21209585 ")</f>
        <v xml:space="preserve">http://slimages.macys.com/is/image/MCY/21209585 </v>
      </c>
    </row>
    <row r="568" spans="1:14" ht="24.75" x14ac:dyDescent="0.25">
      <c r="A568" s="21" t="s">
        <v>6253</v>
      </c>
      <c r="B568" s="22" t="s">
        <v>6254</v>
      </c>
      <c r="C568" s="2">
        <v>1</v>
      </c>
      <c r="D568" s="23">
        <v>5.99</v>
      </c>
      <c r="E568" s="3">
        <v>5.99</v>
      </c>
      <c r="F568" s="2" t="s">
        <v>14250</v>
      </c>
      <c r="G568" s="22" t="s">
        <v>19618</v>
      </c>
      <c r="H568" s="24" t="s">
        <v>19538</v>
      </c>
      <c r="I568" s="22" t="s">
        <v>19309</v>
      </c>
      <c r="J568" s="22" t="s">
        <v>19573</v>
      </c>
      <c r="K568" s="22" t="s">
        <v>19574</v>
      </c>
      <c r="L568" s="22"/>
      <c r="M568" s="22"/>
      <c r="N568" s="25" t="str">
        <f>HYPERLINK("http://slimages.macys.com/is/image/MCY/20547866 ")</f>
        <v xml:space="preserve">http://slimages.macys.com/is/image/MCY/20547866 </v>
      </c>
    </row>
    <row r="569" spans="1:14" ht="24.75" x14ac:dyDescent="0.25">
      <c r="A569" s="21" t="s">
        <v>9690</v>
      </c>
      <c r="B569" s="22" t="s">
        <v>9691</v>
      </c>
      <c r="C569" s="2">
        <v>1</v>
      </c>
      <c r="D569" s="23">
        <v>7.99</v>
      </c>
      <c r="E569" s="3">
        <v>7.99</v>
      </c>
      <c r="F569" s="2" t="s">
        <v>11143</v>
      </c>
      <c r="G569" s="22" t="s">
        <v>19670</v>
      </c>
      <c r="H569" s="24" t="s">
        <v>19907</v>
      </c>
      <c r="I569" s="22" t="s">
        <v>19309</v>
      </c>
      <c r="J569" s="22" t="s">
        <v>19573</v>
      </c>
      <c r="K569" s="22" t="s">
        <v>19574</v>
      </c>
      <c r="L569" s="22"/>
      <c r="M569" s="22"/>
      <c r="N569" s="25" t="str">
        <f>HYPERLINK("http://slimages.macys.com/is/image/MCY/21209533 ")</f>
        <v xml:space="preserve">http://slimages.macys.com/is/image/MCY/21209533 </v>
      </c>
    </row>
    <row r="570" spans="1:14" ht="24.75" x14ac:dyDescent="0.25">
      <c r="A570" s="21" t="s">
        <v>11141</v>
      </c>
      <c r="B570" s="22" t="s">
        <v>11142</v>
      </c>
      <c r="C570" s="2">
        <v>1</v>
      </c>
      <c r="D570" s="23">
        <v>7.99</v>
      </c>
      <c r="E570" s="3">
        <v>7.99</v>
      </c>
      <c r="F570" s="2" t="s">
        <v>11143</v>
      </c>
      <c r="G570" s="22" t="s">
        <v>19670</v>
      </c>
      <c r="H570" s="24" t="s">
        <v>20135</v>
      </c>
      <c r="I570" s="22" t="s">
        <v>19309</v>
      </c>
      <c r="J570" s="22" t="s">
        <v>19573</v>
      </c>
      <c r="K570" s="22" t="s">
        <v>19574</v>
      </c>
      <c r="L570" s="22"/>
      <c r="M570" s="22"/>
      <c r="N570" s="25" t="str">
        <f>HYPERLINK("http://slimages.macys.com/is/image/MCY/21209533 ")</f>
        <v xml:space="preserve">http://slimages.macys.com/is/image/MCY/21209533 </v>
      </c>
    </row>
    <row r="571" spans="1:14" ht="24.75" x14ac:dyDescent="0.25">
      <c r="A571" s="21" t="s">
        <v>9246</v>
      </c>
      <c r="B571" s="22" t="s">
        <v>9247</v>
      </c>
      <c r="C571" s="2">
        <v>2</v>
      </c>
      <c r="D571" s="23">
        <v>7.99</v>
      </c>
      <c r="E571" s="3">
        <v>15.98</v>
      </c>
      <c r="F571" s="2" t="s">
        <v>11143</v>
      </c>
      <c r="G571" s="22" t="s">
        <v>19670</v>
      </c>
      <c r="H571" s="24" t="s">
        <v>20089</v>
      </c>
      <c r="I571" s="22" t="s">
        <v>19309</v>
      </c>
      <c r="J571" s="22" t="s">
        <v>19573</v>
      </c>
      <c r="K571" s="22" t="s">
        <v>19574</v>
      </c>
      <c r="L571" s="22"/>
      <c r="M571" s="22"/>
      <c r="N571" s="25" t="str">
        <f>HYPERLINK("http://slimages.macys.com/is/image/MCY/21209533 ")</f>
        <v xml:space="preserve">http://slimages.macys.com/is/image/MCY/21209533 </v>
      </c>
    </row>
    <row r="572" spans="1:14" ht="24.75" x14ac:dyDescent="0.25">
      <c r="A572" s="21" t="s">
        <v>14777</v>
      </c>
      <c r="B572" s="22" t="s">
        <v>14778</v>
      </c>
      <c r="C572" s="2">
        <v>1</v>
      </c>
      <c r="D572" s="23">
        <v>7.99</v>
      </c>
      <c r="E572" s="3">
        <v>7.99</v>
      </c>
      <c r="F572" s="2" t="s">
        <v>14779</v>
      </c>
      <c r="G572" s="22" t="s">
        <v>19351</v>
      </c>
      <c r="H572" s="24" t="s">
        <v>19538</v>
      </c>
      <c r="I572" s="22" t="s">
        <v>19309</v>
      </c>
      <c r="J572" s="22" t="s">
        <v>19573</v>
      </c>
      <c r="K572" s="22" t="s">
        <v>19574</v>
      </c>
      <c r="L572" s="22"/>
      <c r="M572" s="22"/>
      <c r="N572" s="25" t="str">
        <f>HYPERLINK("http://slimages.macys.com/is/image/MCY/1439034 ")</f>
        <v xml:space="preserve">http://slimages.macys.com/is/image/MCY/1439034 </v>
      </c>
    </row>
    <row r="573" spans="1:14" ht="24.75" x14ac:dyDescent="0.25">
      <c r="A573" s="21" t="s">
        <v>19102</v>
      </c>
      <c r="B573" s="22" t="s">
        <v>19103</v>
      </c>
      <c r="C573" s="2">
        <v>2</v>
      </c>
      <c r="D573" s="23">
        <v>6.99</v>
      </c>
      <c r="E573" s="3">
        <v>13.98</v>
      </c>
      <c r="F573" s="2" t="s">
        <v>19104</v>
      </c>
      <c r="G573" s="22" t="s">
        <v>19351</v>
      </c>
      <c r="H573" s="24" t="s">
        <v>20135</v>
      </c>
      <c r="I573" s="22" t="s">
        <v>19309</v>
      </c>
      <c r="J573" s="22" t="s">
        <v>19908</v>
      </c>
      <c r="K573" s="22" t="s">
        <v>19354</v>
      </c>
      <c r="L573" s="22"/>
      <c r="M573" s="22"/>
      <c r="N573" s="25" t="str">
        <f>HYPERLINK("http://slimages.macys.com/is/image/MCY/20708617 ")</f>
        <v xml:space="preserve">http://slimages.macys.com/is/image/MCY/20708617 </v>
      </c>
    </row>
    <row r="574" spans="1:14" ht="24.75" x14ac:dyDescent="0.25">
      <c r="A574" s="21" t="s">
        <v>6255</v>
      </c>
      <c r="B574" s="22" t="s">
        <v>6256</v>
      </c>
      <c r="C574" s="2">
        <v>1</v>
      </c>
      <c r="D574" s="23">
        <v>7.99</v>
      </c>
      <c r="E574" s="3">
        <v>7.99</v>
      </c>
      <c r="F574" s="2" t="s">
        <v>6257</v>
      </c>
      <c r="G574" s="22" t="s">
        <v>18764</v>
      </c>
      <c r="H574" s="24" t="s">
        <v>19907</v>
      </c>
      <c r="I574" s="22" t="s">
        <v>19309</v>
      </c>
      <c r="J574" s="22" t="s">
        <v>19573</v>
      </c>
      <c r="K574" s="22" t="s">
        <v>19574</v>
      </c>
      <c r="L574" s="22"/>
      <c r="M574" s="22"/>
      <c r="N574" s="25" t="str">
        <f>HYPERLINK("http://slimages.macys.com/is/image/MCY/21088470 ")</f>
        <v xml:space="preserve">http://slimages.macys.com/is/image/MCY/21088470 </v>
      </c>
    </row>
    <row r="575" spans="1:14" ht="24.75" x14ac:dyDescent="0.25">
      <c r="A575" s="21" t="s">
        <v>6258</v>
      </c>
      <c r="B575" s="22" t="s">
        <v>6259</v>
      </c>
      <c r="C575" s="2">
        <v>3</v>
      </c>
      <c r="D575" s="23">
        <v>6.99</v>
      </c>
      <c r="E575" s="3">
        <v>20.97</v>
      </c>
      <c r="F575" s="2" t="s">
        <v>19104</v>
      </c>
      <c r="G575" s="22" t="s">
        <v>19351</v>
      </c>
      <c r="H575" s="24" t="s">
        <v>20089</v>
      </c>
      <c r="I575" s="22" t="s">
        <v>19309</v>
      </c>
      <c r="J575" s="22" t="s">
        <v>19908</v>
      </c>
      <c r="K575" s="22" t="s">
        <v>19354</v>
      </c>
      <c r="L575" s="22"/>
      <c r="M575" s="22"/>
      <c r="N575" s="25" t="str">
        <f>HYPERLINK("http://slimages.macys.com/is/image/MCY/20708668 ")</f>
        <v xml:space="preserve">http://slimages.macys.com/is/image/MCY/20708668 </v>
      </c>
    </row>
    <row r="576" spans="1:14" ht="24.75" x14ac:dyDescent="0.25">
      <c r="A576" s="21" t="s">
        <v>19105</v>
      </c>
      <c r="B576" s="22" t="s">
        <v>19106</v>
      </c>
      <c r="C576" s="2">
        <v>2</v>
      </c>
      <c r="D576" s="23">
        <v>6.99</v>
      </c>
      <c r="E576" s="3">
        <v>13.98</v>
      </c>
      <c r="F576" s="2" t="s">
        <v>19104</v>
      </c>
      <c r="G576" s="22" t="s">
        <v>19351</v>
      </c>
      <c r="H576" s="24" t="s">
        <v>19361</v>
      </c>
      <c r="I576" s="22" t="s">
        <v>19309</v>
      </c>
      <c r="J576" s="22" t="s">
        <v>19908</v>
      </c>
      <c r="K576" s="22" t="s">
        <v>19354</v>
      </c>
      <c r="L576" s="22"/>
      <c r="M576" s="22"/>
      <c r="N576" s="25" t="str">
        <f>HYPERLINK("http://slimages.macys.com/is/image/MCY/20708617 ")</f>
        <v xml:space="preserve">http://slimages.macys.com/is/image/MCY/20708617 </v>
      </c>
    </row>
    <row r="577" spans="1:14" ht="24.75" x14ac:dyDescent="0.25">
      <c r="A577" s="21" t="s">
        <v>6260</v>
      </c>
      <c r="B577" s="22" t="s">
        <v>6261</v>
      </c>
      <c r="C577" s="2">
        <v>2</v>
      </c>
      <c r="D577" s="23">
        <v>6.99</v>
      </c>
      <c r="E577" s="3">
        <v>13.98</v>
      </c>
      <c r="F577" s="2" t="s">
        <v>19104</v>
      </c>
      <c r="G577" s="22" t="s">
        <v>19351</v>
      </c>
      <c r="H577" s="24" t="s">
        <v>19542</v>
      </c>
      <c r="I577" s="22" t="s">
        <v>19309</v>
      </c>
      <c r="J577" s="22" t="s">
        <v>19908</v>
      </c>
      <c r="K577" s="22" t="s">
        <v>19354</v>
      </c>
      <c r="L577" s="22"/>
      <c r="M577" s="22"/>
      <c r="N577" s="25" t="str">
        <f>HYPERLINK("http://slimages.macys.com/is/image/MCY/20708668 ")</f>
        <v xml:space="preserve">http://slimages.macys.com/is/image/MCY/20708668 </v>
      </c>
    </row>
    <row r="578" spans="1:14" ht="24.75" x14ac:dyDescent="0.25">
      <c r="A578" s="21" t="s">
        <v>6262</v>
      </c>
      <c r="B578" s="22" t="s">
        <v>6263</v>
      </c>
      <c r="C578" s="2">
        <v>1</v>
      </c>
      <c r="D578" s="23">
        <v>6.99</v>
      </c>
      <c r="E578" s="3">
        <v>6.99</v>
      </c>
      <c r="F578" s="2" t="s">
        <v>19104</v>
      </c>
      <c r="G578" s="22" t="s">
        <v>19351</v>
      </c>
      <c r="H578" s="24" t="s">
        <v>19377</v>
      </c>
      <c r="I578" s="22" t="s">
        <v>19309</v>
      </c>
      <c r="J578" s="22" t="s">
        <v>19908</v>
      </c>
      <c r="K578" s="22" t="s">
        <v>19354</v>
      </c>
      <c r="L578" s="22"/>
      <c r="M578" s="22"/>
      <c r="N578" s="25" t="str">
        <f>HYPERLINK("http://slimages.macys.com/is/image/MCY/20708668 ")</f>
        <v xml:space="preserve">http://slimages.macys.com/is/image/MCY/20708668 </v>
      </c>
    </row>
    <row r="579" spans="1:14" ht="24.75" x14ac:dyDescent="0.25">
      <c r="A579" s="21" t="s">
        <v>6264</v>
      </c>
      <c r="B579" s="22" t="s">
        <v>6265</v>
      </c>
      <c r="C579" s="2">
        <v>1</v>
      </c>
      <c r="D579" s="23">
        <v>6.99</v>
      </c>
      <c r="E579" s="3">
        <v>6.99</v>
      </c>
      <c r="F579" s="2" t="s">
        <v>19104</v>
      </c>
      <c r="G579" s="22" t="s">
        <v>19351</v>
      </c>
      <c r="H579" s="24" t="s">
        <v>19907</v>
      </c>
      <c r="I579" s="22" t="s">
        <v>19309</v>
      </c>
      <c r="J579" s="22" t="s">
        <v>19908</v>
      </c>
      <c r="K579" s="22" t="s">
        <v>19354</v>
      </c>
      <c r="L579" s="22"/>
      <c r="M579" s="22"/>
      <c r="N579" s="25" t="str">
        <f>HYPERLINK("http://slimages.macys.com/is/image/MCY/20708617 ")</f>
        <v xml:space="preserve">http://slimages.macys.com/is/image/MCY/20708617 </v>
      </c>
    </row>
    <row r="580" spans="1:14" ht="24.75" x14ac:dyDescent="0.25">
      <c r="A580" s="21" t="s">
        <v>19112</v>
      </c>
      <c r="B580" s="22" t="s">
        <v>19113</v>
      </c>
      <c r="C580" s="2">
        <v>1</v>
      </c>
      <c r="D580" s="23">
        <v>5.99</v>
      </c>
      <c r="E580" s="3">
        <v>5.99</v>
      </c>
      <c r="F580" s="2" t="s">
        <v>19109</v>
      </c>
      <c r="G580" s="22" t="s">
        <v>19670</v>
      </c>
      <c r="H580" s="24" t="s">
        <v>19324</v>
      </c>
      <c r="I580" s="22" t="s">
        <v>19309</v>
      </c>
      <c r="J580" s="22" t="s">
        <v>19573</v>
      </c>
      <c r="K580" s="22" t="s">
        <v>19574</v>
      </c>
      <c r="L580" s="22"/>
      <c r="M580" s="22"/>
      <c r="N580" s="25" t="str">
        <f>HYPERLINK("http://slimages.macys.com/is/image/MCY/21209381 ")</f>
        <v xml:space="preserve">http://slimages.macys.com/is/image/MCY/21209381 </v>
      </c>
    </row>
    <row r="581" spans="1:14" ht="24.75" x14ac:dyDescent="0.25">
      <c r="A581" s="21" t="s">
        <v>19107</v>
      </c>
      <c r="B581" s="22" t="s">
        <v>19108</v>
      </c>
      <c r="C581" s="2">
        <v>1</v>
      </c>
      <c r="D581" s="23">
        <v>5.99</v>
      </c>
      <c r="E581" s="3">
        <v>5.99</v>
      </c>
      <c r="F581" s="2" t="s">
        <v>19109</v>
      </c>
      <c r="G581" s="22" t="s">
        <v>19670</v>
      </c>
      <c r="H581" s="24" t="s">
        <v>19384</v>
      </c>
      <c r="I581" s="22" t="s">
        <v>19309</v>
      </c>
      <c r="J581" s="22" t="s">
        <v>19573</v>
      </c>
      <c r="K581" s="22" t="s">
        <v>19574</v>
      </c>
      <c r="L581" s="22"/>
      <c r="M581" s="22"/>
      <c r="N581" s="25" t="str">
        <f>HYPERLINK("http://slimages.macys.com/is/image/MCY/1734374 ")</f>
        <v xml:space="preserve">http://slimages.macys.com/is/image/MCY/1734374 </v>
      </c>
    </row>
    <row r="582" spans="1:14" ht="24.75" x14ac:dyDescent="0.25">
      <c r="A582" s="21" t="s">
        <v>19110</v>
      </c>
      <c r="B582" s="22" t="s">
        <v>19111</v>
      </c>
      <c r="C582" s="2">
        <v>1</v>
      </c>
      <c r="D582" s="23">
        <v>5.99</v>
      </c>
      <c r="E582" s="3">
        <v>5.99</v>
      </c>
      <c r="F582" s="2" t="s">
        <v>19109</v>
      </c>
      <c r="G582" s="22" t="s">
        <v>19674</v>
      </c>
      <c r="H582" s="24" t="s">
        <v>19538</v>
      </c>
      <c r="I582" s="22" t="s">
        <v>19309</v>
      </c>
      <c r="J582" s="22" t="s">
        <v>19573</v>
      </c>
      <c r="K582" s="22" t="s">
        <v>19574</v>
      </c>
      <c r="L582" s="22"/>
      <c r="M582" s="22"/>
      <c r="N582" s="25" t="str">
        <f>HYPERLINK("http://slimages.macys.com/is/image/MCY/1734374 ")</f>
        <v xml:space="preserve">http://slimages.macys.com/is/image/MCY/1734374 </v>
      </c>
    </row>
    <row r="583" spans="1:14" ht="24.75" x14ac:dyDescent="0.25">
      <c r="A583" s="21" t="s">
        <v>19121</v>
      </c>
      <c r="B583" s="22" t="s">
        <v>19122</v>
      </c>
      <c r="C583" s="2">
        <v>2</v>
      </c>
      <c r="D583" s="23">
        <v>5.99</v>
      </c>
      <c r="E583" s="3">
        <v>11.98</v>
      </c>
      <c r="F583" s="2" t="s">
        <v>19109</v>
      </c>
      <c r="G583" s="22" t="s">
        <v>19670</v>
      </c>
      <c r="H583" s="24" t="s">
        <v>19330</v>
      </c>
      <c r="I583" s="22" t="s">
        <v>19309</v>
      </c>
      <c r="J583" s="22" t="s">
        <v>19573</v>
      </c>
      <c r="K583" s="22" t="s">
        <v>19574</v>
      </c>
      <c r="L583" s="22"/>
      <c r="M583" s="22"/>
      <c r="N583" s="25" t="str">
        <f>HYPERLINK("http://slimages.macys.com/is/image/MCY/1734374 ")</f>
        <v xml:space="preserve">http://slimages.macys.com/is/image/MCY/1734374 </v>
      </c>
    </row>
    <row r="584" spans="1:14" ht="24.75" x14ac:dyDescent="0.25">
      <c r="A584" s="21" t="s">
        <v>19119</v>
      </c>
      <c r="B584" s="22" t="s">
        <v>19120</v>
      </c>
      <c r="C584" s="2">
        <v>1</v>
      </c>
      <c r="D584" s="23">
        <v>5.99</v>
      </c>
      <c r="E584" s="3">
        <v>5.99</v>
      </c>
      <c r="F584" s="2" t="s">
        <v>19109</v>
      </c>
      <c r="G584" s="22" t="s">
        <v>19670</v>
      </c>
      <c r="H584" s="24" t="s">
        <v>19416</v>
      </c>
      <c r="I584" s="22" t="s">
        <v>19309</v>
      </c>
      <c r="J584" s="22" t="s">
        <v>19573</v>
      </c>
      <c r="K584" s="22" t="s">
        <v>19574</v>
      </c>
      <c r="L584" s="22"/>
      <c r="M584" s="22"/>
      <c r="N584" s="25" t="str">
        <f>HYPERLINK("http://slimages.macys.com/is/image/MCY/1734374 ")</f>
        <v xml:space="preserve">http://slimages.macys.com/is/image/MCY/1734374 </v>
      </c>
    </row>
    <row r="585" spans="1:14" ht="24.75" x14ac:dyDescent="0.25">
      <c r="A585" s="21" t="s">
        <v>10110</v>
      </c>
      <c r="B585" s="22" t="s">
        <v>10111</v>
      </c>
      <c r="C585" s="2">
        <v>1</v>
      </c>
      <c r="D585" s="23">
        <v>5.99</v>
      </c>
      <c r="E585" s="3">
        <v>5.99</v>
      </c>
      <c r="F585" s="2" t="s">
        <v>19129</v>
      </c>
      <c r="G585" s="22" t="s">
        <v>19467</v>
      </c>
      <c r="H585" s="24" t="s">
        <v>19330</v>
      </c>
      <c r="I585" s="22" t="s">
        <v>19309</v>
      </c>
      <c r="J585" s="22" t="s">
        <v>19573</v>
      </c>
      <c r="K585" s="22" t="s">
        <v>19574</v>
      </c>
      <c r="L585" s="22"/>
      <c r="M585" s="22"/>
      <c r="N585" s="25" t="str">
        <f>HYPERLINK("http://slimages.macys.com/is/image/MCY/1905756 ")</f>
        <v xml:space="preserve">http://slimages.macys.com/is/image/MCY/1905756 </v>
      </c>
    </row>
    <row r="586" spans="1:14" ht="24.75" x14ac:dyDescent="0.25">
      <c r="A586" s="21" t="s">
        <v>6266</v>
      </c>
      <c r="B586" s="22" t="s">
        <v>6267</v>
      </c>
      <c r="C586" s="2">
        <v>2</v>
      </c>
      <c r="D586" s="23">
        <v>7.99</v>
      </c>
      <c r="E586" s="3">
        <v>15.98</v>
      </c>
      <c r="F586" s="2" t="s">
        <v>14802</v>
      </c>
      <c r="G586" s="22" t="s">
        <v>19431</v>
      </c>
      <c r="H586" s="24" t="s">
        <v>19907</v>
      </c>
      <c r="I586" s="22" t="s">
        <v>19309</v>
      </c>
      <c r="J586" s="22" t="s">
        <v>19573</v>
      </c>
      <c r="K586" s="22" t="s">
        <v>19574</v>
      </c>
      <c r="L586" s="22"/>
      <c r="M586" s="22"/>
      <c r="N586" s="25" t="str">
        <f>HYPERLINK("http://slimages.macys.com/is/image/MCY/21209617 ")</f>
        <v xml:space="preserve">http://slimages.macys.com/is/image/MCY/21209617 </v>
      </c>
    </row>
    <row r="587" spans="1:14" ht="24.75" x14ac:dyDescent="0.25">
      <c r="A587" s="21" t="s">
        <v>14800</v>
      </c>
      <c r="B587" s="22" t="s">
        <v>14801</v>
      </c>
      <c r="C587" s="2">
        <v>1</v>
      </c>
      <c r="D587" s="23">
        <v>7.99</v>
      </c>
      <c r="E587" s="3">
        <v>7.99</v>
      </c>
      <c r="F587" s="2" t="s">
        <v>14802</v>
      </c>
      <c r="G587" s="22" t="s">
        <v>19431</v>
      </c>
      <c r="H587" s="24" t="s">
        <v>20089</v>
      </c>
      <c r="I587" s="22" t="s">
        <v>19309</v>
      </c>
      <c r="J587" s="22" t="s">
        <v>19573</v>
      </c>
      <c r="K587" s="22" t="s">
        <v>19574</v>
      </c>
      <c r="L587" s="22"/>
      <c r="M587" s="22"/>
      <c r="N587" s="25" t="str">
        <f>HYPERLINK("http://slimages.macys.com/is/image/MCY/21209617 ")</f>
        <v xml:space="preserve">http://slimages.macys.com/is/image/MCY/21209617 </v>
      </c>
    </row>
    <row r="588" spans="1:14" ht="24.75" x14ac:dyDescent="0.25">
      <c r="A588" s="21" t="s">
        <v>6268</v>
      </c>
      <c r="B588" s="22" t="s">
        <v>6269</v>
      </c>
      <c r="C588" s="2">
        <v>1</v>
      </c>
      <c r="D588" s="23">
        <v>7.99</v>
      </c>
      <c r="E588" s="3">
        <v>7.99</v>
      </c>
      <c r="F588" s="2" t="s">
        <v>6270</v>
      </c>
      <c r="G588" s="22" t="s">
        <v>19467</v>
      </c>
      <c r="H588" s="24" t="s">
        <v>20135</v>
      </c>
      <c r="I588" s="22" t="s">
        <v>19309</v>
      </c>
      <c r="J588" s="22" t="s">
        <v>19573</v>
      </c>
      <c r="K588" s="22" t="s">
        <v>19574</v>
      </c>
      <c r="L588" s="22"/>
      <c r="M588" s="22"/>
      <c r="N588" s="25" t="str">
        <f>HYPERLINK("http://slimages.macys.com/is/image/MCY/21970244 ")</f>
        <v xml:space="preserve">http://slimages.macys.com/is/image/MCY/21970244 </v>
      </c>
    </row>
    <row r="589" spans="1:14" ht="24.75" x14ac:dyDescent="0.25">
      <c r="A589" s="21" t="s">
        <v>6271</v>
      </c>
      <c r="B589" s="22" t="s">
        <v>6272</v>
      </c>
      <c r="C589" s="2">
        <v>1</v>
      </c>
      <c r="D589" s="23">
        <v>6.99</v>
      </c>
      <c r="E589" s="3">
        <v>6.99</v>
      </c>
      <c r="F589" s="2" t="s">
        <v>6273</v>
      </c>
      <c r="G589" s="22" t="s">
        <v>19879</v>
      </c>
      <c r="H589" s="24" t="s">
        <v>19797</v>
      </c>
      <c r="I589" s="22" t="s">
        <v>19309</v>
      </c>
      <c r="J589" s="22" t="s">
        <v>19353</v>
      </c>
      <c r="K589" s="22" t="s">
        <v>19524</v>
      </c>
      <c r="L589" s="22"/>
      <c r="M589" s="22"/>
      <c r="N589" s="25" t="str">
        <f>HYPERLINK("http://slimages.macys.com/is/image/MCY/17688402 ")</f>
        <v xml:space="preserve">http://slimages.macys.com/is/image/MCY/17688402 </v>
      </c>
    </row>
    <row r="590" spans="1:14" ht="24.75" x14ac:dyDescent="0.25">
      <c r="A590" s="21" t="s">
        <v>14793</v>
      </c>
      <c r="B590" s="22" t="s">
        <v>14794</v>
      </c>
      <c r="C590" s="2">
        <v>3</v>
      </c>
      <c r="D590" s="23">
        <v>5.99</v>
      </c>
      <c r="E590" s="3">
        <v>17.97</v>
      </c>
      <c r="F590" s="2" t="s">
        <v>19129</v>
      </c>
      <c r="G590" s="22" t="s">
        <v>19467</v>
      </c>
      <c r="H590" s="24" t="s">
        <v>19324</v>
      </c>
      <c r="I590" s="22" t="s">
        <v>19309</v>
      </c>
      <c r="J590" s="22" t="s">
        <v>19573</v>
      </c>
      <c r="K590" s="22" t="s">
        <v>19574</v>
      </c>
      <c r="L590" s="22"/>
      <c r="M590" s="22"/>
      <c r="N590" s="25" t="str">
        <f>HYPERLINK("http://slimages.macys.com/is/image/MCY/1905756 ")</f>
        <v xml:space="preserve">http://slimages.macys.com/is/image/MCY/1905756 </v>
      </c>
    </row>
    <row r="591" spans="1:14" ht="24.75" x14ac:dyDescent="0.25">
      <c r="A591" s="21" t="s">
        <v>19127</v>
      </c>
      <c r="B591" s="22" t="s">
        <v>19128</v>
      </c>
      <c r="C591" s="2">
        <v>1</v>
      </c>
      <c r="D591" s="23">
        <v>5.99</v>
      </c>
      <c r="E591" s="3">
        <v>5.99</v>
      </c>
      <c r="F591" s="2" t="s">
        <v>19129</v>
      </c>
      <c r="G591" s="22" t="s">
        <v>19467</v>
      </c>
      <c r="H591" s="24" t="s">
        <v>19538</v>
      </c>
      <c r="I591" s="22" t="s">
        <v>19309</v>
      </c>
      <c r="J591" s="22" t="s">
        <v>19573</v>
      </c>
      <c r="K591" s="22" t="s">
        <v>19574</v>
      </c>
      <c r="L591" s="22"/>
      <c r="M591" s="22"/>
      <c r="N591" s="25" t="str">
        <f>HYPERLINK("http://slimages.macys.com/is/image/MCY/1905756 ")</f>
        <v xml:space="preserve">http://slimages.macys.com/is/image/MCY/1905756 </v>
      </c>
    </row>
    <row r="592" spans="1:14" ht="24.75" x14ac:dyDescent="0.25">
      <c r="A592" s="21" t="s">
        <v>14795</v>
      </c>
      <c r="B592" s="22" t="s">
        <v>14796</v>
      </c>
      <c r="C592" s="2">
        <v>3</v>
      </c>
      <c r="D592" s="23">
        <v>5.99</v>
      </c>
      <c r="E592" s="3">
        <v>17.97</v>
      </c>
      <c r="F592" s="2" t="s">
        <v>19129</v>
      </c>
      <c r="G592" s="22" t="s">
        <v>19467</v>
      </c>
      <c r="H592" s="24" t="s">
        <v>19416</v>
      </c>
      <c r="I592" s="22" t="s">
        <v>19309</v>
      </c>
      <c r="J592" s="22" t="s">
        <v>19573</v>
      </c>
      <c r="K592" s="22" t="s">
        <v>19574</v>
      </c>
      <c r="L592" s="22"/>
      <c r="M592" s="22"/>
      <c r="N592" s="25" t="str">
        <f>HYPERLINK("http://slimages.macys.com/is/image/MCY/1905756 ")</f>
        <v xml:space="preserve">http://slimages.macys.com/is/image/MCY/1905756 </v>
      </c>
    </row>
    <row r="593" spans="1:14" ht="24.75" x14ac:dyDescent="0.25">
      <c r="A593" s="21" t="s">
        <v>11149</v>
      </c>
      <c r="B593" s="22" t="s">
        <v>11150</v>
      </c>
      <c r="C593" s="2">
        <v>3</v>
      </c>
      <c r="D593" s="23">
        <v>7.99</v>
      </c>
      <c r="E593" s="3">
        <v>23.97</v>
      </c>
      <c r="F593" s="2" t="s">
        <v>11146</v>
      </c>
      <c r="G593" s="22" t="s">
        <v>19351</v>
      </c>
      <c r="H593" s="24" t="s">
        <v>19907</v>
      </c>
      <c r="I593" s="22" t="s">
        <v>19309</v>
      </c>
      <c r="J593" s="22" t="s">
        <v>19573</v>
      </c>
      <c r="K593" s="22" t="s">
        <v>19574</v>
      </c>
      <c r="L593" s="22"/>
      <c r="M593" s="22"/>
      <c r="N593" s="25" t="str">
        <f>HYPERLINK("http://slimages.macys.com/is/image/MCY/21209295 ")</f>
        <v xml:space="preserve">http://slimages.macys.com/is/image/MCY/21209295 </v>
      </c>
    </row>
    <row r="594" spans="1:14" ht="24.75" x14ac:dyDescent="0.25">
      <c r="A594" s="21" t="s">
        <v>17141</v>
      </c>
      <c r="B594" s="22" t="s">
        <v>17142</v>
      </c>
      <c r="C594" s="2">
        <v>1</v>
      </c>
      <c r="D594" s="23">
        <v>5.99</v>
      </c>
      <c r="E594" s="3">
        <v>5.99</v>
      </c>
      <c r="F594" s="2" t="s">
        <v>17140</v>
      </c>
      <c r="G594" s="22" t="s">
        <v>19467</v>
      </c>
      <c r="H594" s="24" t="s">
        <v>19324</v>
      </c>
      <c r="I594" s="22" t="s">
        <v>19309</v>
      </c>
      <c r="J594" s="22" t="s">
        <v>19573</v>
      </c>
      <c r="K594" s="22" t="s">
        <v>19574</v>
      </c>
      <c r="L594" s="22"/>
      <c r="M594" s="22"/>
      <c r="N594" s="25" t="str">
        <f>HYPERLINK("http://slimages.macys.com/is/image/MCY/21209516 ")</f>
        <v xml:space="preserve">http://slimages.macys.com/is/image/MCY/21209516 </v>
      </c>
    </row>
    <row r="595" spans="1:14" ht="24.75" x14ac:dyDescent="0.25">
      <c r="A595" s="21" t="s">
        <v>17143</v>
      </c>
      <c r="B595" s="22" t="s">
        <v>17144</v>
      </c>
      <c r="C595" s="2">
        <v>1</v>
      </c>
      <c r="D595" s="23">
        <v>5.99</v>
      </c>
      <c r="E595" s="3">
        <v>5.99</v>
      </c>
      <c r="F595" s="2" t="s">
        <v>17140</v>
      </c>
      <c r="G595" s="22" t="s">
        <v>19467</v>
      </c>
      <c r="H595" s="24" t="s">
        <v>19384</v>
      </c>
      <c r="I595" s="22" t="s">
        <v>19309</v>
      </c>
      <c r="J595" s="22" t="s">
        <v>19573</v>
      </c>
      <c r="K595" s="22" t="s">
        <v>19574</v>
      </c>
      <c r="L595" s="22"/>
      <c r="M595" s="22"/>
      <c r="N595" s="25" t="str">
        <f>HYPERLINK("http://slimages.macys.com/is/image/MCY/21209516 ")</f>
        <v xml:space="preserve">http://slimages.macys.com/is/image/MCY/21209516 </v>
      </c>
    </row>
    <row r="596" spans="1:14" ht="24.75" x14ac:dyDescent="0.25">
      <c r="A596" s="21" t="s">
        <v>17145</v>
      </c>
      <c r="B596" s="22" t="s">
        <v>17146</v>
      </c>
      <c r="C596" s="2">
        <v>2</v>
      </c>
      <c r="D596" s="23">
        <v>5.99</v>
      </c>
      <c r="E596" s="3">
        <v>11.98</v>
      </c>
      <c r="F596" s="2" t="s">
        <v>17147</v>
      </c>
      <c r="G596" s="22" t="s">
        <v>19431</v>
      </c>
      <c r="H596" s="24" t="s">
        <v>19538</v>
      </c>
      <c r="I596" s="22" t="s">
        <v>19309</v>
      </c>
      <c r="J596" s="22" t="s">
        <v>19573</v>
      </c>
      <c r="K596" s="22" t="s">
        <v>19574</v>
      </c>
      <c r="L596" s="22"/>
      <c r="M596" s="22"/>
      <c r="N596" s="25" t="str">
        <f>HYPERLINK("http://slimages.macys.com/is/image/MCY/21209149 ")</f>
        <v xml:space="preserve">http://slimages.macys.com/is/image/MCY/21209149 </v>
      </c>
    </row>
    <row r="597" spans="1:14" ht="24.75" x14ac:dyDescent="0.25">
      <c r="A597" s="21" t="s">
        <v>6274</v>
      </c>
      <c r="B597" s="22" t="s">
        <v>6275</v>
      </c>
      <c r="C597" s="2">
        <v>1</v>
      </c>
      <c r="D597" s="23">
        <v>5.99</v>
      </c>
      <c r="E597" s="3">
        <v>5.99</v>
      </c>
      <c r="F597" s="2" t="s">
        <v>17150</v>
      </c>
      <c r="G597" s="22" t="s">
        <v>19315</v>
      </c>
      <c r="H597" s="24" t="s">
        <v>19538</v>
      </c>
      <c r="I597" s="22" t="s">
        <v>19309</v>
      </c>
      <c r="J597" s="22" t="s">
        <v>19573</v>
      </c>
      <c r="K597" s="22" t="s">
        <v>19574</v>
      </c>
      <c r="L597" s="22"/>
      <c r="M597" s="22"/>
      <c r="N597" s="25" t="str">
        <f>HYPERLINK("http://slimages.macys.com/is/image/MCY/21209570 ")</f>
        <v xml:space="preserve">http://slimages.macys.com/is/image/MCY/21209570 </v>
      </c>
    </row>
    <row r="598" spans="1:14" ht="24.75" x14ac:dyDescent="0.25">
      <c r="A598" s="21" t="s">
        <v>17148</v>
      </c>
      <c r="B598" s="22" t="s">
        <v>17149</v>
      </c>
      <c r="C598" s="2">
        <v>2</v>
      </c>
      <c r="D598" s="23">
        <v>5.99</v>
      </c>
      <c r="E598" s="3">
        <v>11.98</v>
      </c>
      <c r="F598" s="2" t="s">
        <v>17150</v>
      </c>
      <c r="G598" s="22" t="s">
        <v>19315</v>
      </c>
      <c r="H598" s="24" t="s">
        <v>19384</v>
      </c>
      <c r="I598" s="22" t="s">
        <v>19309</v>
      </c>
      <c r="J598" s="22" t="s">
        <v>19573</v>
      </c>
      <c r="K598" s="22" t="s">
        <v>19574</v>
      </c>
      <c r="L598" s="22"/>
      <c r="M598" s="22"/>
      <c r="N598" s="25" t="str">
        <f>HYPERLINK("http://slimages.macys.com/is/image/MCY/21209570 ")</f>
        <v xml:space="preserve">http://slimages.macys.com/is/image/MCY/21209570 </v>
      </c>
    </row>
    <row r="599" spans="1:14" ht="24.75" x14ac:dyDescent="0.25">
      <c r="A599" s="21" t="s">
        <v>6276</v>
      </c>
      <c r="B599" s="22" t="s">
        <v>6277</v>
      </c>
      <c r="C599" s="2">
        <v>1</v>
      </c>
      <c r="D599" s="23">
        <v>5.99</v>
      </c>
      <c r="E599" s="3">
        <v>5.99</v>
      </c>
      <c r="F599" s="2" t="s">
        <v>17168</v>
      </c>
      <c r="G599" s="22" t="s">
        <v>19618</v>
      </c>
      <c r="H599" s="24" t="s">
        <v>19416</v>
      </c>
      <c r="I599" s="22" t="s">
        <v>19309</v>
      </c>
      <c r="J599" s="22" t="s">
        <v>19573</v>
      </c>
      <c r="K599" s="22" t="s">
        <v>19574</v>
      </c>
      <c r="L599" s="22"/>
      <c r="M599" s="22"/>
      <c r="N599" s="25" t="str">
        <f>HYPERLINK("http://slimages.macys.com/is/image/MCY/21088377 ")</f>
        <v xml:space="preserve">http://slimages.macys.com/is/image/MCY/21088377 </v>
      </c>
    </row>
    <row r="600" spans="1:14" ht="24.75" x14ac:dyDescent="0.25">
      <c r="A600" s="21" t="s">
        <v>9271</v>
      </c>
      <c r="B600" s="22" t="s">
        <v>9272</v>
      </c>
      <c r="C600" s="2">
        <v>2</v>
      </c>
      <c r="D600" s="23">
        <v>5.99</v>
      </c>
      <c r="E600" s="3">
        <v>11.98</v>
      </c>
      <c r="F600" s="2" t="s">
        <v>17168</v>
      </c>
      <c r="G600" s="22" t="s">
        <v>19618</v>
      </c>
      <c r="H600" s="24" t="s">
        <v>19330</v>
      </c>
      <c r="I600" s="22" t="s">
        <v>19309</v>
      </c>
      <c r="J600" s="22" t="s">
        <v>19573</v>
      </c>
      <c r="K600" s="22" t="s">
        <v>19574</v>
      </c>
      <c r="L600" s="22"/>
      <c r="M600" s="22"/>
      <c r="N600" s="25" t="str">
        <f>HYPERLINK("http://slimages.macys.com/is/image/MCY/21088377 ")</f>
        <v xml:space="preserve">http://slimages.macys.com/is/image/MCY/21088377 </v>
      </c>
    </row>
    <row r="601" spans="1:14" ht="24.75" x14ac:dyDescent="0.25">
      <c r="A601" s="21" t="s">
        <v>14833</v>
      </c>
      <c r="B601" s="22" t="s">
        <v>14834</v>
      </c>
      <c r="C601" s="2">
        <v>1</v>
      </c>
      <c r="D601" s="23">
        <v>5.99</v>
      </c>
      <c r="E601" s="3">
        <v>5.99</v>
      </c>
      <c r="F601" s="2" t="s">
        <v>19145</v>
      </c>
      <c r="G601" s="22" t="s">
        <v>19618</v>
      </c>
      <c r="H601" s="24" t="s">
        <v>19324</v>
      </c>
      <c r="I601" s="22" t="s">
        <v>19309</v>
      </c>
      <c r="J601" s="22" t="s">
        <v>19573</v>
      </c>
      <c r="K601" s="22" t="s">
        <v>19574</v>
      </c>
      <c r="L601" s="22"/>
      <c r="M601" s="22"/>
      <c r="N601" s="25" t="str">
        <f>HYPERLINK("http://slimages.macys.com/is/image/MCY/21970089 ")</f>
        <v xml:space="preserve">http://slimages.macys.com/is/image/MCY/21970089 </v>
      </c>
    </row>
    <row r="602" spans="1:14" ht="24.75" x14ac:dyDescent="0.25">
      <c r="A602" s="21" t="s">
        <v>19150</v>
      </c>
      <c r="B602" s="22" t="s">
        <v>19151</v>
      </c>
      <c r="C602" s="2">
        <v>1</v>
      </c>
      <c r="D602" s="23">
        <v>5.99</v>
      </c>
      <c r="E602" s="3">
        <v>5.99</v>
      </c>
      <c r="F602" s="2" t="s">
        <v>19145</v>
      </c>
      <c r="G602" s="22" t="s">
        <v>19618</v>
      </c>
      <c r="H602" s="24" t="s">
        <v>19384</v>
      </c>
      <c r="I602" s="22" t="s">
        <v>19309</v>
      </c>
      <c r="J602" s="22" t="s">
        <v>19573</v>
      </c>
      <c r="K602" s="22" t="s">
        <v>19574</v>
      </c>
      <c r="L602" s="22"/>
      <c r="M602" s="22"/>
      <c r="N602" s="25" t="str">
        <f>HYPERLINK("http://slimages.macys.com/is/image/MCY/21970089 ")</f>
        <v xml:space="preserve">http://slimages.macys.com/is/image/MCY/21970089 </v>
      </c>
    </row>
    <row r="603" spans="1:14" ht="24.75" x14ac:dyDescent="0.25">
      <c r="A603" s="21" t="s">
        <v>19146</v>
      </c>
      <c r="B603" s="22" t="s">
        <v>19147</v>
      </c>
      <c r="C603" s="2">
        <v>1</v>
      </c>
      <c r="D603" s="23">
        <v>6.99</v>
      </c>
      <c r="E603" s="3">
        <v>6.99</v>
      </c>
      <c r="F603" s="2" t="s">
        <v>19137</v>
      </c>
      <c r="G603" s="22" t="s">
        <v>19518</v>
      </c>
      <c r="H603" s="24" t="s">
        <v>19330</v>
      </c>
      <c r="I603" s="22" t="s">
        <v>19309</v>
      </c>
      <c r="J603" s="22" t="s">
        <v>19573</v>
      </c>
      <c r="K603" s="22" t="s">
        <v>19574</v>
      </c>
      <c r="L603" s="22"/>
      <c r="M603" s="22"/>
      <c r="N603" s="25" t="str">
        <f>HYPERLINK("http://slimages.macys.com/is/image/MCY/19737450 ")</f>
        <v xml:space="preserve">http://slimages.macys.com/is/image/MCY/19737450 </v>
      </c>
    </row>
    <row r="604" spans="1:14" ht="24.75" x14ac:dyDescent="0.25">
      <c r="A604" s="21" t="s">
        <v>19143</v>
      </c>
      <c r="B604" s="22" t="s">
        <v>19144</v>
      </c>
      <c r="C604" s="2">
        <v>1</v>
      </c>
      <c r="D604" s="23">
        <v>5.99</v>
      </c>
      <c r="E604" s="3">
        <v>5.99</v>
      </c>
      <c r="F604" s="2" t="s">
        <v>19145</v>
      </c>
      <c r="G604" s="22" t="s">
        <v>19618</v>
      </c>
      <c r="H604" s="24" t="s">
        <v>19538</v>
      </c>
      <c r="I604" s="22" t="s">
        <v>19309</v>
      </c>
      <c r="J604" s="22" t="s">
        <v>19573</v>
      </c>
      <c r="K604" s="22" t="s">
        <v>19574</v>
      </c>
      <c r="L604" s="22"/>
      <c r="M604" s="22"/>
      <c r="N604" s="25" t="str">
        <f>HYPERLINK("http://slimages.macys.com/is/image/MCY/21970089 ")</f>
        <v xml:space="preserve">http://slimages.macys.com/is/image/MCY/21970089 </v>
      </c>
    </row>
    <row r="605" spans="1:14" ht="24.75" x14ac:dyDescent="0.25">
      <c r="A605" s="21" t="s">
        <v>19148</v>
      </c>
      <c r="B605" s="22" t="s">
        <v>19149</v>
      </c>
      <c r="C605" s="2">
        <v>1</v>
      </c>
      <c r="D605" s="23">
        <v>6.99</v>
      </c>
      <c r="E605" s="3">
        <v>6.99</v>
      </c>
      <c r="F605" s="2" t="s">
        <v>19137</v>
      </c>
      <c r="G605" s="22" t="s">
        <v>19518</v>
      </c>
      <c r="H605" s="24" t="s">
        <v>19384</v>
      </c>
      <c r="I605" s="22" t="s">
        <v>19309</v>
      </c>
      <c r="J605" s="22" t="s">
        <v>19573</v>
      </c>
      <c r="K605" s="22" t="s">
        <v>19574</v>
      </c>
      <c r="L605" s="22"/>
      <c r="M605" s="22"/>
      <c r="N605" s="25" t="str">
        <f>HYPERLINK("http://slimages.macys.com/is/image/MCY/19737450 ")</f>
        <v xml:space="preserve">http://slimages.macys.com/is/image/MCY/19737450 </v>
      </c>
    </row>
    <row r="606" spans="1:14" ht="24.75" x14ac:dyDescent="0.25">
      <c r="A606" s="21" t="s">
        <v>6278</v>
      </c>
      <c r="B606" s="22" t="s">
        <v>6279</v>
      </c>
      <c r="C606" s="2">
        <v>1</v>
      </c>
      <c r="D606" s="23">
        <v>5.99</v>
      </c>
      <c r="E606" s="3">
        <v>5.99</v>
      </c>
      <c r="F606" s="2" t="s">
        <v>6280</v>
      </c>
      <c r="G606" s="22" t="s">
        <v>19618</v>
      </c>
      <c r="H606" s="24" t="s">
        <v>19538</v>
      </c>
      <c r="I606" s="22" t="s">
        <v>19309</v>
      </c>
      <c r="J606" s="22" t="s">
        <v>19573</v>
      </c>
      <c r="K606" s="22" t="s">
        <v>19574</v>
      </c>
      <c r="L606" s="22"/>
      <c r="M606" s="22"/>
      <c r="N606" s="25" t="str">
        <f>HYPERLINK("http://slimages.macys.com/is/image/MCY/21089251 ")</f>
        <v xml:space="preserve">http://slimages.macys.com/is/image/MCY/21089251 </v>
      </c>
    </row>
    <row r="607" spans="1:14" ht="24.75" x14ac:dyDescent="0.25">
      <c r="A607" s="21" t="s">
        <v>14835</v>
      </c>
      <c r="B607" s="22" t="s">
        <v>14836</v>
      </c>
      <c r="C607" s="2">
        <v>1</v>
      </c>
      <c r="D607" s="23">
        <v>5.99</v>
      </c>
      <c r="E607" s="3">
        <v>5.99</v>
      </c>
      <c r="F607" s="2" t="s">
        <v>19145</v>
      </c>
      <c r="G607" s="22" t="s">
        <v>19618</v>
      </c>
      <c r="H607" s="24" t="s">
        <v>19416</v>
      </c>
      <c r="I607" s="22" t="s">
        <v>19309</v>
      </c>
      <c r="J607" s="22" t="s">
        <v>19573</v>
      </c>
      <c r="K607" s="22" t="s">
        <v>19574</v>
      </c>
      <c r="L607" s="22"/>
      <c r="M607" s="22"/>
      <c r="N607" s="25" t="str">
        <f>HYPERLINK("http://slimages.macys.com/is/image/MCY/21970089 ")</f>
        <v xml:space="preserve">http://slimages.macys.com/is/image/MCY/21970089 </v>
      </c>
    </row>
    <row r="608" spans="1:14" ht="24.75" x14ac:dyDescent="0.25">
      <c r="A608" s="21" t="s">
        <v>6281</v>
      </c>
      <c r="B608" s="22" t="s">
        <v>6282</v>
      </c>
      <c r="C608" s="2">
        <v>2</v>
      </c>
      <c r="D608" s="23">
        <v>7.99</v>
      </c>
      <c r="E608" s="3">
        <v>15.98</v>
      </c>
      <c r="F608" s="2" t="s">
        <v>6283</v>
      </c>
      <c r="G608" s="22" t="s">
        <v>19462</v>
      </c>
      <c r="H608" s="24" t="s">
        <v>19907</v>
      </c>
      <c r="I608" s="22" t="s">
        <v>19309</v>
      </c>
      <c r="J608" s="22" t="s">
        <v>19573</v>
      </c>
      <c r="K608" s="22" t="s">
        <v>19574</v>
      </c>
      <c r="L608" s="22"/>
      <c r="M608" s="22"/>
      <c r="N608" s="25" t="str">
        <f>HYPERLINK("http://slimages.macys.com/is/image/MCY/21209187 ")</f>
        <v xml:space="preserve">http://slimages.macys.com/is/image/MCY/21209187 </v>
      </c>
    </row>
    <row r="609" spans="1:14" ht="24.75" x14ac:dyDescent="0.25">
      <c r="A609" s="21" t="s">
        <v>6284</v>
      </c>
      <c r="B609" s="22" t="s">
        <v>6285</v>
      </c>
      <c r="C609" s="2">
        <v>2</v>
      </c>
      <c r="D609" s="23">
        <v>7.99</v>
      </c>
      <c r="E609" s="3">
        <v>15.98</v>
      </c>
      <c r="F609" s="2" t="s">
        <v>6283</v>
      </c>
      <c r="G609" s="22" t="s">
        <v>19462</v>
      </c>
      <c r="H609" s="24" t="s">
        <v>20089</v>
      </c>
      <c r="I609" s="22" t="s">
        <v>19309</v>
      </c>
      <c r="J609" s="22" t="s">
        <v>19573</v>
      </c>
      <c r="K609" s="22" t="s">
        <v>19574</v>
      </c>
      <c r="L609" s="22"/>
      <c r="M609" s="22"/>
      <c r="N609" s="25" t="str">
        <f>HYPERLINK("http://slimages.macys.com/is/image/MCY/21209187 ")</f>
        <v xml:space="preserve">http://slimages.macys.com/is/image/MCY/21209187 </v>
      </c>
    </row>
    <row r="610" spans="1:14" ht="24.75" x14ac:dyDescent="0.25">
      <c r="A610" s="21" t="s">
        <v>6286</v>
      </c>
      <c r="B610" s="22" t="s">
        <v>6287</v>
      </c>
      <c r="C610" s="2">
        <v>1</v>
      </c>
      <c r="D610" s="23">
        <v>6.99</v>
      </c>
      <c r="E610" s="3">
        <v>6.99</v>
      </c>
      <c r="F610" s="2" t="s">
        <v>6288</v>
      </c>
      <c r="G610" s="22" t="s">
        <v>19351</v>
      </c>
      <c r="H610" s="24" t="s">
        <v>19907</v>
      </c>
      <c r="I610" s="22" t="s">
        <v>19309</v>
      </c>
      <c r="J610" s="22" t="s">
        <v>19908</v>
      </c>
      <c r="K610" s="22" t="s">
        <v>19354</v>
      </c>
      <c r="L610" s="22"/>
      <c r="M610" s="22"/>
      <c r="N610" s="25" t="str">
        <f>HYPERLINK("http://slimages.macys.com/is/image/MCY/1597991 ")</f>
        <v xml:space="preserve">http://slimages.macys.com/is/image/MCY/1597991 </v>
      </c>
    </row>
    <row r="611" spans="1:14" ht="24.75" x14ac:dyDescent="0.25">
      <c r="A611" s="21" t="s">
        <v>12624</v>
      </c>
      <c r="B611" s="22" t="s">
        <v>12625</v>
      </c>
      <c r="C611" s="2">
        <v>1</v>
      </c>
      <c r="D611" s="23">
        <v>7.99</v>
      </c>
      <c r="E611" s="3">
        <v>7.99</v>
      </c>
      <c r="F611" s="2" t="s">
        <v>17171</v>
      </c>
      <c r="G611" s="22" t="s">
        <v>19670</v>
      </c>
      <c r="H611" s="24" t="s">
        <v>19907</v>
      </c>
      <c r="I611" s="22" t="s">
        <v>19309</v>
      </c>
      <c r="J611" s="22" t="s">
        <v>19573</v>
      </c>
      <c r="K611" s="22" t="s">
        <v>19574</v>
      </c>
      <c r="L611" s="22"/>
      <c r="M611" s="22"/>
      <c r="N611" s="25" t="str">
        <f>HYPERLINK("http://slimages.macys.com/is/image/MCY/21209595 ")</f>
        <v xml:space="preserve">http://slimages.macys.com/is/image/MCY/21209595 </v>
      </c>
    </row>
    <row r="612" spans="1:14" ht="24.75" x14ac:dyDescent="0.25">
      <c r="A612" s="21" t="s">
        <v>14854</v>
      </c>
      <c r="B612" s="22" t="s">
        <v>14855</v>
      </c>
      <c r="C612" s="2">
        <v>1</v>
      </c>
      <c r="D612" s="23">
        <v>7.99</v>
      </c>
      <c r="E612" s="3">
        <v>7.99</v>
      </c>
      <c r="F612" s="2" t="s">
        <v>14851</v>
      </c>
      <c r="G612" s="22" t="s">
        <v>19351</v>
      </c>
      <c r="H612" s="24" t="s">
        <v>20135</v>
      </c>
      <c r="I612" s="22" t="s">
        <v>19309</v>
      </c>
      <c r="J612" s="22" t="s">
        <v>19573</v>
      </c>
      <c r="K612" s="22" t="s">
        <v>19574</v>
      </c>
      <c r="L612" s="22"/>
      <c r="M612" s="22"/>
      <c r="N612" s="25" t="str">
        <f>HYPERLINK("http://slimages.macys.com/is/image/MCY/21209626 ")</f>
        <v xml:space="preserve">http://slimages.macys.com/is/image/MCY/21209626 </v>
      </c>
    </row>
    <row r="613" spans="1:14" ht="24.75" x14ac:dyDescent="0.25">
      <c r="A613" s="21" t="s">
        <v>6289</v>
      </c>
      <c r="B613" s="22" t="s">
        <v>6290</v>
      </c>
      <c r="C613" s="2">
        <v>4</v>
      </c>
      <c r="D613" s="23">
        <v>7.99</v>
      </c>
      <c r="E613" s="3">
        <v>31.96</v>
      </c>
      <c r="F613" s="2" t="s">
        <v>14851</v>
      </c>
      <c r="G613" s="22" t="s">
        <v>19351</v>
      </c>
      <c r="H613" s="24" t="s">
        <v>19907</v>
      </c>
      <c r="I613" s="22" t="s">
        <v>19309</v>
      </c>
      <c r="J613" s="22" t="s">
        <v>19573</v>
      </c>
      <c r="K613" s="22" t="s">
        <v>19574</v>
      </c>
      <c r="L613" s="22"/>
      <c r="M613" s="22"/>
      <c r="N613" s="25" t="str">
        <f>HYPERLINK("http://slimages.macys.com/is/image/MCY/21209295 ")</f>
        <v xml:space="preserve">http://slimages.macys.com/is/image/MCY/21209295 </v>
      </c>
    </row>
    <row r="614" spans="1:14" ht="24.75" x14ac:dyDescent="0.25">
      <c r="A614" s="21" t="s">
        <v>14849</v>
      </c>
      <c r="B614" s="22" t="s">
        <v>14850</v>
      </c>
      <c r="C614" s="2">
        <v>1</v>
      </c>
      <c r="D614" s="23">
        <v>7.99</v>
      </c>
      <c r="E614" s="3">
        <v>7.99</v>
      </c>
      <c r="F614" s="2" t="s">
        <v>14851</v>
      </c>
      <c r="G614" s="22" t="s">
        <v>19351</v>
      </c>
      <c r="H614" s="24" t="s">
        <v>20089</v>
      </c>
      <c r="I614" s="22" t="s">
        <v>19309</v>
      </c>
      <c r="J614" s="22" t="s">
        <v>19573</v>
      </c>
      <c r="K614" s="22" t="s">
        <v>19574</v>
      </c>
      <c r="L614" s="22"/>
      <c r="M614" s="22"/>
      <c r="N614" s="25" t="str">
        <f>HYPERLINK("http://slimages.macys.com/is/image/MCY/21209295 ")</f>
        <v xml:space="preserve">http://slimages.macys.com/is/image/MCY/21209295 </v>
      </c>
    </row>
    <row r="615" spans="1:14" ht="24.75" x14ac:dyDescent="0.25">
      <c r="A615" s="21" t="s">
        <v>6291</v>
      </c>
      <c r="B615" s="22" t="s">
        <v>6292</v>
      </c>
      <c r="C615" s="2">
        <v>2</v>
      </c>
      <c r="D615" s="23">
        <v>6.99</v>
      </c>
      <c r="E615" s="3">
        <v>13.98</v>
      </c>
      <c r="F615" s="2" t="s">
        <v>6288</v>
      </c>
      <c r="G615" s="22" t="s">
        <v>19351</v>
      </c>
      <c r="H615" s="24" t="s">
        <v>19542</v>
      </c>
      <c r="I615" s="22" t="s">
        <v>19309</v>
      </c>
      <c r="J615" s="22" t="s">
        <v>19908</v>
      </c>
      <c r="K615" s="22" t="s">
        <v>19354</v>
      </c>
      <c r="L615" s="22"/>
      <c r="M615" s="22"/>
      <c r="N615" s="25" t="str">
        <f>HYPERLINK("http://slimages.macys.com/is/image/MCY/1597991 ")</f>
        <v xml:space="preserve">http://slimages.macys.com/is/image/MCY/1597991 </v>
      </c>
    </row>
    <row r="616" spans="1:14" ht="24.75" x14ac:dyDescent="0.25">
      <c r="A616" s="21" t="s">
        <v>6293</v>
      </c>
      <c r="B616" s="22" t="s">
        <v>6294</v>
      </c>
      <c r="C616" s="2">
        <v>1</v>
      </c>
      <c r="D616" s="23">
        <v>6.99</v>
      </c>
      <c r="E616" s="3">
        <v>6.99</v>
      </c>
      <c r="F616" s="2" t="s">
        <v>6288</v>
      </c>
      <c r="G616" s="22" t="s">
        <v>19351</v>
      </c>
      <c r="H616" s="24" t="s">
        <v>19377</v>
      </c>
      <c r="I616" s="22" t="s">
        <v>19309</v>
      </c>
      <c r="J616" s="22" t="s">
        <v>19908</v>
      </c>
      <c r="K616" s="22" t="s">
        <v>19354</v>
      </c>
      <c r="L616" s="22"/>
      <c r="M616" s="22"/>
      <c r="N616" s="25" t="str">
        <f>HYPERLINK("http://slimages.macys.com/is/image/MCY/1597991 ")</f>
        <v xml:space="preserve">http://slimages.macys.com/is/image/MCY/1597991 </v>
      </c>
    </row>
    <row r="617" spans="1:14" ht="24.75" x14ac:dyDescent="0.25">
      <c r="A617" s="21" t="s">
        <v>17169</v>
      </c>
      <c r="B617" s="22" t="s">
        <v>17170</v>
      </c>
      <c r="C617" s="2">
        <v>2</v>
      </c>
      <c r="D617" s="23">
        <v>7.99</v>
      </c>
      <c r="E617" s="3">
        <v>15.98</v>
      </c>
      <c r="F617" s="2" t="s">
        <v>17171</v>
      </c>
      <c r="G617" s="22" t="s">
        <v>19670</v>
      </c>
      <c r="H617" s="24" t="s">
        <v>20089</v>
      </c>
      <c r="I617" s="22" t="s">
        <v>19309</v>
      </c>
      <c r="J617" s="22" t="s">
        <v>19573</v>
      </c>
      <c r="K617" s="22" t="s">
        <v>19574</v>
      </c>
      <c r="L617" s="22"/>
      <c r="M617" s="22"/>
      <c r="N617" s="25" t="str">
        <f>HYPERLINK("http://slimages.macys.com/is/image/MCY/21209595 ")</f>
        <v xml:space="preserve">http://slimages.macys.com/is/image/MCY/21209595 </v>
      </c>
    </row>
    <row r="618" spans="1:14" ht="24.75" x14ac:dyDescent="0.25">
      <c r="A618" s="21" t="s">
        <v>17174</v>
      </c>
      <c r="B618" s="22" t="s">
        <v>17175</v>
      </c>
      <c r="C618" s="2">
        <v>1</v>
      </c>
      <c r="D618" s="23">
        <v>5.99</v>
      </c>
      <c r="E618" s="3">
        <v>5.99</v>
      </c>
      <c r="F618" s="2" t="s">
        <v>19173</v>
      </c>
      <c r="G618" s="22" t="s">
        <v>19906</v>
      </c>
      <c r="H618" s="24" t="s">
        <v>19324</v>
      </c>
      <c r="I618" s="22" t="s">
        <v>19309</v>
      </c>
      <c r="J618" s="22" t="s">
        <v>19573</v>
      </c>
      <c r="K618" s="22" t="s">
        <v>19574</v>
      </c>
      <c r="L618" s="22"/>
      <c r="M618" s="22"/>
      <c r="N618" s="25" t="str">
        <f>HYPERLINK("http://slimages.macys.com/is/image/MCY/1522011 ")</f>
        <v xml:space="preserve">http://slimages.macys.com/is/image/MCY/1522011 </v>
      </c>
    </row>
    <row r="619" spans="1:14" ht="24.75" x14ac:dyDescent="0.25">
      <c r="A619" s="21" t="s">
        <v>19165</v>
      </c>
      <c r="B619" s="22" t="s">
        <v>19166</v>
      </c>
      <c r="C619" s="2">
        <v>1</v>
      </c>
      <c r="D619" s="23">
        <v>5.99</v>
      </c>
      <c r="E619" s="3">
        <v>5.99</v>
      </c>
      <c r="F619" s="2" t="s">
        <v>19167</v>
      </c>
      <c r="G619" s="22" t="s">
        <v>19618</v>
      </c>
      <c r="H619" s="24" t="s">
        <v>19538</v>
      </c>
      <c r="I619" s="22" t="s">
        <v>19309</v>
      </c>
      <c r="J619" s="22" t="s">
        <v>19573</v>
      </c>
      <c r="K619" s="22" t="s">
        <v>19574</v>
      </c>
      <c r="L619" s="22"/>
      <c r="M619" s="22"/>
      <c r="N619" s="25" t="str">
        <f>HYPERLINK("http://slimages.macys.com/is/image/MCY/20736377 ")</f>
        <v xml:space="preserve">http://slimages.macys.com/is/image/MCY/20736377 </v>
      </c>
    </row>
    <row r="620" spans="1:14" ht="24.75" x14ac:dyDescent="0.25">
      <c r="A620" s="21" t="s">
        <v>12643</v>
      </c>
      <c r="B620" s="22" t="s">
        <v>12644</v>
      </c>
      <c r="C620" s="2">
        <v>1</v>
      </c>
      <c r="D620" s="23">
        <v>5.99</v>
      </c>
      <c r="E620" s="3">
        <v>5.99</v>
      </c>
      <c r="F620" s="2" t="s">
        <v>19170</v>
      </c>
      <c r="G620" s="22" t="s">
        <v>19906</v>
      </c>
      <c r="H620" s="24" t="s">
        <v>19538</v>
      </c>
      <c r="I620" s="22" t="s">
        <v>19309</v>
      </c>
      <c r="J620" s="22" t="s">
        <v>19573</v>
      </c>
      <c r="K620" s="22" t="s">
        <v>19574</v>
      </c>
      <c r="L620" s="22"/>
      <c r="M620" s="22"/>
      <c r="N620" s="25" t="str">
        <f>HYPERLINK("http://slimages.macys.com/is/image/MCY/21361119 ")</f>
        <v xml:space="preserve">http://slimages.macys.com/is/image/MCY/21361119 </v>
      </c>
    </row>
    <row r="621" spans="1:14" ht="24.75" x14ac:dyDescent="0.25">
      <c r="A621" s="21" t="s">
        <v>6295</v>
      </c>
      <c r="B621" s="22" t="s">
        <v>6296</v>
      </c>
      <c r="C621" s="2">
        <v>1</v>
      </c>
      <c r="D621" s="23">
        <v>5.99</v>
      </c>
      <c r="E621" s="3">
        <v>5.99</v>
      </c>
      <c r="F621" s="2" t="s">
        <v>19167</v>
      </c>
      <c r="G621" s="22" t="s">
        <v>19618</v>
      </c>
      <c r="H621" s="24" t="s">
        <v>19330</v>
      </c>
      <c r="I621" s="22" t="s">
        <v>19309</v>
      </c>
      <c r="J621" s="22" t="s">
        <v>19573</v>
      </c>
      <c r="K621" s="22" t="s">
        <v>19574</v>
      </c>
      <c r="L621" s="22"/>
      <c r="M621" s="22"/>
      <c r="N621" s="25" t="str">
        <f>HYPERLINK("http://slimages.macys.com/is/image/MCY/20736377 ")</f>
        <v xml:space="preserve">http://slimages.macys.com/is/image/MCY/20736377 </v>
      </c>
    </row>
    <row r="622" spans="1:14" ht="24.75" x14ac:dyDescent="0.25">
      <c r="A622" s="21" t="s">
        <v>17181</v>
      </c>
      <c r="B622" s="22" t="s">
        <v>17182</v>
      </c>
      <c r="C622" s="2">
        <v>1</v>
      </c>
      <c r="D622" s="23">
        <v>5.99</v>
      </c>
      <c r="E622" s="3">
        <v>5.99</v>
      </c>
      <c r="F622" s="2" t="s">
        <v>19173</v>
      </c>
      <c r="G622" s="22" t="s">
        <v>19906</v>
      </c>
      <c r="H622" s="24" t="s">
        <v>19384</v>
      </c>
      <c r="I622" s="22" t="s">
        <v>19309</v>
      </c>
      <c r="J622" s="22" t="s">
        <v>19573</v>
      </c>
      <c r="K622" s="22" t="s">
        <v>19574</v>
      </c>
      <c r="L622" s="22"/>
      <c r="M622" s="22"/>
      <c r="N622" s="25" t="str">
        <f>HYPERLINK("http://slimages.macys.com/is/image/MCY/1522011 ")</f>
        <v xml:space="preserve">http://slimages.macys.com/is/image/MCY/1522011 </v>
      </c>
    </row>
    <row r="623" spans="1:14" ht="24.75" x14ac:dyDescent="0.25">
      <c r="A623" s="21" t="s">
        <v>17179</v>
      </c>
      <c r="B623" s="22" t="s">
        <v>17180</v>
      </c>
      <c r="C623" s="2">
        <v>1</v>
      </c>
      <c r="D623" s="23">
        <v>5.99</v>
      </c>
      <c r="E623" s="3">
        <v>5.99</v>
      </c>
      <c r="F623" s="2" t="s">
        <v>19167</v>
      </c>
      <c r="G623" s="22" t="s">
        <v>19618</v>
      </c>
      <c r="H623" s="24" t="s">
        <v>19384</v>
      </c>
      <c r="I623" s="22" t="s">
        <v>19309</v>
      </c>
      <c r="J623" s="22" t="s">
        <v>19573</v>
      </c>
      <c r="K623" s="22" t="s">
        <v>19574</v>
      </c>
      <c r="L623" s="22"/>
      <c r="M623" s="22"/>
      <c r="N623" s="25" t="str">
        <f>HYPERLINK("http://slimages.macys.com/is/image/MCY/20736377 ")</f>
        <v xml:space="preserve">http://slimages.macys.com/is/image/MCY/20736377 </v>
      </c>
    </row>
    <row r="624" spans="1:14" ht="24.75" x14ac:dyDescent="0.25">
      <c r="A624" s="21" t="s">
        <v>6297</v>
      </c>
      <c r="B624" s="22" t="s">
        <v>6298</v>
      </c>
      <c r="C624" s="2">
        <v>1</v>
      </c>
      <c r="D624" s="23">
        <v>6.99</v>
      </c>
      <c r="E624" s="3">
        <v>6.99</v>
      </c>
      <c r="F624" s="2" t="s">
        <v>17155</v>
      </c>
      <c r="G624" s="22" t="s">
        <v>19674</v>
      </c>
      <c r="H624" s="24" t="s">
        <v>19384</v>
      </c>
      <c r="I624" s="22" t="s">
        <v>19309</v>
      </c>
      <c r="J624" s="22" t="s">
        <v>19573</v>
      </c>
      <c r="K624" s="22" t="s">
        <v>19574</v>
      </c>
      <c r="L624" s="22"/>
      <c r="M624" s="22"/>
      <c r="N624" s="25" t="str">
        <f>HYPERLINK("http://slimages.macys.com/is/image/MCY/19762874 ")</f>
        <v xml:space="preserve">http://slimages.macys.com/is/image/MCY/19762874 </v>
      </c>
    </row>
    <row r="625" spans="1:14" ht="24.75" x14ac:dyDescent="0.25">
      <c r="A625" s="21" t="s">
        <v>19178</v>
      </c>
      <c r="B625" s="22" t="s">
        <v>19179</v>
      </c>
      <c r="C625" s="2">
        <v>1</v>
      </c>
      <c r="D625" s="23">
        <v>5.99</v>
      </c>
      <c r="E625" s="3">
        <v>5.99</v>
      </c>
      <c r="F625" s="2" t="s">
        <v>19180</v>
      </c>
      <c r="G625" s="22" t="s">
        <v>19477</v>
      </c>
      <c r="H625" s="24" t="s">
        <v>19384</v>
      </c>
      <c r="I625" s="22" t="s">
        <v>19309</v>
      </c>
      <c r="J625" s="22" t="s">
        <v>19573</v>
      </c>
      <c r="K625" s="22" t="s">
        <v>19574</v>
      </c>
      <c r="L625" s="22"/>
      <c r="M625" s="22"/>
      <c r="N625" s="25" t="str">
        <f>HYPERLINK("http://slimages.macys.com/is/image/MCY/1521974 ")</f>
        <v xml:space="preserve">http://slimages.macys.com/is/image/MCY/1521974 </v>
      </c>
    </row>
    <row r="626" spans="1:14" ht="24.75" x14ac:dyDescent="0.25">
      <c r="A626" s="21" t="s">
        <v>19185</v>
      </c>
      <c r="B626" s="22" t="s">
        <v>19186</v>
      </c>
      <c r="C626" s="2">
        <v>1</v>
      </c>
      <c r="D626" s="23">
        <v>5.99</v>
      </c>
      <c r="E626" s="3">
        <v>5.99</v>
      </c>
      <c r="F626" s="2" t="s">
        <v>19180</v>
      </c>
      <c r="G626" s="22" t="s">
        <v>19477</v>
      </c>
      <c r="H626" s="24" t="s">
        <v>19538</v>
      </c>
      <c r="I626" s="22" t="s">
        <v>19309</v>
      </c>
      <c r="J626" s="22" t="s">
        <v>19573</v>
      </c>
      <c r="K626" s="22" t="s">
        <v>19574</v>
      </c>
      <c r="L626" s="22"/>
      <c r="M626" s="22"/>
      <c r="N626" s="25" t="str">
        <f>HYPERLINK("http://slimages.macys.com/is/image/MCY/1521974 ")</f>
        <v xml:space="preserve">http://slimages.macys.com/is/image/MCY/1521974 </v>
      </c>
    </row>
    <row r="627" spans="1:14" ht="24.75" x14ac:dyDescent="0.25">
      <c r="A627" s="21" t="s">
        <v>17186</v>
      </c>
      <c r="B627" s="22" t="s">
        <v>17187</v>
      </c>
      <c r="C627" s="2">
        <v>3</v>
      </c>
      <c r="D627" s="23">
        <v>5.99</v>
      </c>
      <c r="E627" s="3">
        <v>17.97</v>
      </c>
      <c r="F627" s="2" t="s">
        <v>19180</v>
      </c>
      <c r="G627" s="22" t="s">
        <v>19477</v>
      </c>
      <c r="H627" s="24" t="s">
        <v>19330</v>
      </c>
      <c r="I627" s="22" t="s">
        <v>19309</v>
      </c>
      <c r="J627" s="22" t="s">
        <v>19573</v>
      </c>
      <c r="K627" s="22" t="s">
        <v>19574</v>
      </c>
      <c r="L627" s="22"/>
      <c r="M627" s="22"/>
      <c r="N627" s="25" t="str">
        <f>HYPERLINK("http://slimages.macys.com/is/image/MCY/1521972 ")</f>
        <v xml:space="preserve">http://slimages.macys.com/is/image/MCY/1521972 </v>
      </c>
    </row>
    <row r="628" spans="1:14" ht="24.75" x14ac:dyDescent="0.25">
      <c r="A628" s="21" t="s">
        <v>6299</v>
      </c>
      <c r="B628" s="22" t="s">
        <v>6300</v>
      </c>
      <c r="C628" s="2">
        <v>1</v>
      </c>
      <c r="D628" s="23">
        <v>5.99</v>
      </c>
      <c r="E628" s="3">
        <v>5.99</v>
      </c>
      <c r="F628" s="2" t="s">
        <v>6301</v>
      </c>
      <c r="G628" s="22" t="s">
        <v>19431</v>
      </c>
      <c r="H628" s="24" t="s">
        <v>19538</v>
      </c>
      <c r="I628" s="22" t="s">
        <v>19309</v>
      </c>
      <c r="J628" s="22" t="s">
        <v>19573</v>
      </c>
      <c r="K628" s="22" t="s">
        <v>19574</v>
      </c>
      <c r="L628" s="22"/>
      <c r="M628" s="22"/>
      <c r="N628" s="25" t="str">
        <f>HYPERLINK("http://slimages.macys.com/is/image/MCY/18421939 ")</f>
        <v xml:space="preserve">http://slimages.macys.com/is/image/MCY/18421939 </v>
      </c>
    </row>
    <row r="629" spans="1:14" ht="24.75" x14ac:dyDescent="0.25">
      <c r="A629" s="21" t="s">
        <v>19183</v>
      </c>
      <c r="B629" s="22" t="s">
        <v>19184</v>
      </c>
      <c r="C629" s="2">
        <v>3</v>
      </c>
      <c r="D629" s="23">
        <v>5.99</v>
      </c>
      <c r="E629" s="3">
        <v>17.97</v>
      </c>
      <c r="F629" s="2" t="s">
        <v>19180</v>
      </c>
      <c r="G629" s="22" t="s">
        <v>19477</v>
      </c>
      <c r="H629" s="24" t="s">
        <v>19324</v>
      </c>
      <c r="I629" s="22" t="s">
        <v>19309</v>
      </c>
      <c r="J629" s="22" t="s">
        <v>19573</v>
      </c>
      <c r="K629" s="22" t="s">
        <v>19574</v>
      </c>
      <c r="L629" s="22"/>
      <c r="M629" s="22"/>
      <c r="N629" s="25" t="str">
        <f>HYPERLINK("http://slimages.macys.com/is/image/MCY/1521974 ")</f>
        <v xml:space="preserve">http://slimages.macys.com/is/image/MCY/1521974 </v>
      </c>
    </row>
    <row r="630" spans="1:14" ht="24.75" x14ac:dyDescent="0.25">
      <c r="A630" s="21" t="s">
        <v>7183</v>
      </c>
      <c r="B630" s="22" t="s">
        <v>7184</v>
      </c>
      <c r="C630" s="2">
        <v>2</v>
      </c>
      <c r="D630" s="23">
        <v>5.99</v>
      </c>
      <c r="E630" s="3">
        <v>11.98</v>
      </c>
      <c r="F630" s="2" t="s">
        <v>17203</v>
      </c>
      <c r="G630" s="22" t="s">
        <v>19415</v>
      </c>
      <c r="H630" s="24" t="s">
        <v>19324</v>
      </c>
      <c r="I630" s="22" t="s">
        <v>19309</v>
      </c>
      <c r="J630" s="22" t="s">
        <v>19573</v>
      </c>
      <c r="K630" s="22" t="s">
        <v>19574</v>
      </c>
      <c r="L630" s="22"/>
      <c r="M630" s="22"/>
      <c r="N630" s="25" t="str">
        <f>HYPERLINK("http://slimages.macys.com/is/image/MCY/20757989 ")</f>
        <v xml:space="preserve">http://slimages.macys.com/is/image/MCY/20757989 </v>
      </c>
    </row>
    <row r="631" spans="1:14" ht="24.75" x14ac:dyDescent="0.25">
      <c r="A631" s="21" t="s">
        <v>14873</v>
      </c>
      <c r="B631" s="22" t="s">
        <v>14874</v>
      </c>
      <c r="C631" s="2">
        <v>1</v>
      </c>
      <c r="D631" s="23">
        <v>5.99</v>
      </c>
      <c r="E631" s="3">
        <v>5.99</v>
      </c>
      <c r="F631" s="2" t="s">
        <v>19195</v>
      </c>
      <c r="G631" s="22" t="s">
        <v>19351</v>
      </c>
      <c r="H631" s="24" t="s">
        <v>19538</v>
      </c>
      <c r="I631" s="22" t="s">
        <v>19309</v>
      </c>
      <c r="J631" s="22" t="s">
        <v>19573</v>
      </c>
      <c r="K631" s="22" t="s">
        <v>19574</v>
      </c>
      <c r="L631" s="22"/>
      <c r="M631" s="22"/>
      <c r="N631" s="25" t="str">
        <f>HYPERLINK("http://slimages.macys.com/is/image/MCY/21905250 ")</f>
        <v xml:space="preserve">http://slimages.macys.com/is/image/MCY/21905250 </v>
      </c>
    </row>
    <row r="632" spans="1:14" ht="24.75" x14ac:dyDescent="0.25">
      <c r="A632" s="21" t="s">
        <v>6302</v>
      </c>
      <c r="B632" s="22" t="s">
        <v>6303</v>
      </c>
      <c r="C632" s="2">
        <v>1</v>
      </c>
      <c r="D632" s="23">
        <v>5.99</v>
      </c>
      <c r="E632" s="3">
        <v>5.99</v>
      </c>
      <c r="F632" s="2" t="s">
        <v>17203</v>
      </c>
      <c r="G632" s="22" t="s">
        <v>19415</v>
      </c>
      <c r="H632" s="24" t="s">
        <v>19416</v>
      </c>
      <c r="I632" s="22" t="s">
        <v>19309</v>
      </c>
      <c r="J632" s="22" t="s">
        <v>19573</v>
      </c>
      <c r="K632" s="22" t="s">
        <v>19574</v>
      </c>
      <c r="L632" s="22"/>
      <c r="M632" s="22"/>
      <c r="N632" s="25" t="str">
        <f>HYPERLINK("http://slimages.macys.com/is/image/MCY/20757989 ")</f>
        <v xml:space="preserve">http://slimages.macys.com/is/image/MCY/20757989 </v>
      </c>
    </row>
    <row r="633" spans="1:14" ht="24.75" x14ac:dyDescent="0.25">
      <c r="A633" s="21" t="s">
        <v>13491</v>
      </c>
      <c r="B633" s="22" t="s">
        <v>13492</v>
      </c>
      <c r="C633" s="2">
        <v>2</v>
      </c>
      <c r="D633" s="23">
        <v>5.99</v>
      </c>
      <c r="E633" s="3">
        <v>11.98</v>
      </c>
      <c r="F633" s="2" t="s">
        <v>19195</v>
      </c>
      <c r="G633" s="22" t="s">
        <v>19351</v>
      </c>
      <c r="H633" s="24" t="s">
        <v>19384</v>
      </c>
      <c r="I633" s="22" t="s">
        <v>19309</v>
      </c>
      <c r="J633" s="22" t="s">
        <v>19573</v>
      </c>
      <c r="K633" s="22" t="s">
        <v>19574</v>
      </c>
      <c r="L633" s="22"/>
      <c r="M633" s="22"/>
      <c r="N633" s="25" t="str">
        <f>HYPERLINK("http://slimages.macys.com/is/image/MCY/21905250 ")</f>
        <v xml:space="preserve">http://slimages.macys.com/is/image/MCY/21905250 </v>
      </c>
    </row>
    <row r="634" spans="1:14" ht="24.75" x14ac:dyDescent="0.25">
      <c r="A634" s="21" t="s">
        <v>6304</v>
      </c>
      <c r="B634" s="22" t="s">
        <v>6305</v>
      </c>
      <c r="C634" s="2">
        <v>1</v>
      </c>
      <c r="D634" s="23">
        <v>6.99</v>
      </c>
      <c r="E634" s="3">
        <v>6.99</v>
      </c>
      <c r="F634" s="2" t="s">
        <v>6306</v>
      </c>
      <c r="G634" s="22" t="s">
        <v>19351</v>
      </c>
      <c r="H634" s="24" t="s">
        <v>20135</v>
      </c>
      <c r="I634" s="22" t="s">
        <v>19309</v>
      </c>
      <c r="J634" s="22" t="s">
        <v>19908</v>
      </c>
      <c r="K634" s="22" t="s">
        <v>19354</v>
      </c>
      <c r="L634" s="22"/>
      <c r="M634" s="22"/>
      <c r="N634" s="25" t="str">
        <f>HYPERLINK("http://slimages.macys.com/is/image/MCY/20737533 ")</f>
        <v xml:space="preserve">http://slimages.macys.com/is/image/MCY/20737533 </v>
      </c>
    </row>
    <row r="635" spans="1:14" ht="24.75" x14ac:dyDescent="0.25">
      <c r="A635" s="21" t="s">
        <v>6307</v>
      </c>
      <c r="B635" s="22" t="s">
        <v>6308</v>
      </c>
      <c r="C635" s="2">
        <v>1</v>
      </c>
      <c r="D635" s="23">
        <v>5.99</v>
      </c>
      <c r="E635" s="3">
        <v>5.99</v>
      </c>
      <c r="F635" s="2" t="s">
        <v>19204</v>
      </c>
      <c r="G635" s="22" t="s">
        <v>19431</v>
      </c>
      <c r="H635" s="24" t="s">
        <v>19324</v>
      </c>
      <c r="I635" s="22" t="s">
        <v>19309</v>
      </c>
      <c r="J635" s="22" t="s">
        <v>19573</v>
      </c>
      <c r="K635" s="22" t="s">
        <v>19574</v>
      </c>
      <c r="L635" s="22"/>
      <c r="M635" s="22"/>
      <c r="N635" s="25" t="str">
        <f>HYPERLINK("http://slimages.macys.com/is/image/MCY/1537013 ")</f>
        <v xml:space="preserve">http://slimages.macys.com/is/image/MCY/1537013 </v>
      </c>
    </row>
    <row r="636" spans="1:14" ht="24.75" x14ac:dyDescent="0.25">
      <c r="A636" s="21" t="s">
        <v>6309</v>
      </c>
      <c r="B636" s="22" t="s">
        <v>6310</v>
      </c>
      <c r="C636" s="2">
        <v>2</v>
      </c>
      <c r="D636" s="23">
        <v>5.99</v>
      </c>
      <c r="E636" s="3">
        <v>11.98</v>
      </c>
      <c r="F636" s="2" t="s">
        <v>17195</v>
      </c>
      <c r="G636" s="22" t="s">
        <v>19618</v>
      </c>
      <c r="H636" s="24" t="s">
        <v>19384</v>
      </c>
      <c r="I636" s="22" t="s">
        <v>19309</v>
      </c>
      <c r="J636" s="22" t="s">
        <v>19573</v>
      </c>
      <c r="K636" s="22" t="s">
        <v>19574</v>
      </c>
      <c r="L636" s="22"/>
      <c r="M636" s="22"/>
      <c r="N636" s="25" t="str">
        <f>HYPERLINK("http://slimages.macys.com/is/image/MCY/21371429 ")</f>
        <v xml:space="preserve">http://slimages.macys.com/is/image/MCY/21371429 </v>
      </c>
    </row>
    <row r="637" spans="1:14" ht="24.75" x14ac:dyDescent="0.25">
      <c r="A637" s="21" t="s">
        <v>6311</v>
      </c>
      <c r="B637" s="22" t="s">
        <v>6312</v>
      </c>
      <c r="C637" s="2">
        <v>1</v>
      </c>
      <c r="D637" s="23">
        <v>5.99</v>
      </c>
      <c r="E637" s="3">
        <v>5.99</v>
      </c>
      <c r="F637" s="2" t="s">
        <v>17195</v>
      </c>
      <c r="G637" s="22" t="s">
        <v>19618</v>
      </c>
      <c r="H637" s="24" t="s">
        <v>19538</v>
      </c>
      <c r="I637" s="22" t="s">
        <v>19309</v>
      </c>
      <c r="J637" s="22" t="s">
        <v>19573</v>
      </c>
      <c r="K637" s="22" t="s">
        <v>19574</v>
      </c>
      <c r="L637" s="22"/>
      <c r="M637" s="22"/>
      <c r="N637" s="25" t="str">
        <f>HYPERLINK("http://slimages.macys.com/is/image/MCY/21371429 ")</f>
        <v xml:space="preserve">http://slimages.macys.com/is/image/MCY/21371429 </v>
      </c>
    </row>
    <row r="638" spans="1:14" ht="24.75" x14ac:dyDescent="0.25">
      <c r="A638" s="21" t="s">
        <v>17196</v>
      </c>
      <c r="B638" s="22" t="s">
        <v>17197</v>
      </c>
      <c r="C638" s="2">
        <v>1</v>
      </c>
      <c r="D638" s="23">
        <v>5.99</v>
      </c>
      <c r="E638" s="3">
        <v>5.99</v>
      </c>
      <c r="F638" s="2" t="s">
        <v>17198</v>
      </c>
      <c r="G638" s="22" t="s">
        <v>19467</v>
      </c>
      <c r="H638" s="24" t="s">
        <v>19330</v>
      </c>
      <c r="I638" s="22" t="s">
        <v>19309</v>
      </c>
      <c r="J638" s="22" t="s">
        <v>19573</v>
      </c>
      <c r="K638" s="22" t="s">
        <v>19574</v>
      </c>
      <c r="L638" s="22"/>
      <c r="M638" s="22"/>
      <c r="N638" s="25" t="str">
        <f>HYPERLINK("http://slimages.macys.com/is/image/MCY/21209066 ")</f>
        <v xml:space="preserve">http://slimages.macys.com/is/image/MCY/21209066 </v>
      </c>
    </row>
    <row r="639" spans="1:14" ht="24.75" x14ac:dyDescent="0.25">
      <c r="A639" s="21" t="s">
        <v>6313</v>
      </c>
      <c r="B639" s="22" t="s">
        <v>6314</v>
      </c>
      <c r="C639" s="2">
        <v>1</v>
      </c>
      <c r="D639" s="23">
        <v>5.99</v>
      </c>
      <c r="E639" s="3">
        <v>5.99</v>
      </c>
      <c r="F639" s="2" t="s">
        <v>14295</v>
      </c>
      <c r="G639" s="22" t="s">
        <v>19323</v>
      </c>
      <c r="H639" s="24" t="s">
        <v>20135</v>
      </c>
      <c r="I639" s="22" t="s">
        <v>19309</v>
      </c>
      <c r="J639" s="22" t="s">
        <v>19908</v>
      </c>
      <c r="K639" s="22" t="s">
        <v>19524</v>
      </c>
      <c r="L639" s="22"/>
      <c r="M639" s="22"/>
      <c r="N639" s="25" t="str">
        <f>HYPERLINK("http://slimages.macys.com/is/image/MCY/17716850 ")</f>
        <v xml:space="preserve">http://slimages.macys.com/is/image/MCY/17716850 </v>
      </c>
    </row>
    <row r="640" spans="1:14" ht="24.75" x14ac:dyDescent="0.25">
      <c r="A640" s="21" t="s">
        <v>14899</v>
      </c>
      <c r="B640" s="22" t="s">
        <v>14900</v>
      </c>
      <c r="C640" s="2">
        <v>1</v>
      </c>
      <c r="D640" s="23">
        <v>5.99</v>
      </c>
      <c r="E640" s="3">
        <v>5.99</v>
      </c>
      <c r="F640" s="2" t="s">
        <v>19214</v>
      </c>
      <c r="G640" s="22" t="s">
        <v>19674</v>
      </c>
      <c r="H640" s="24" t="s">
        <v>19324</v>
      </c>
      <c r="I640" s="22" t="s">
        <v>19309</v>
      </c>
      <c r="J640" s="22" t="s">
        <v>19573</v>
      </c>
      <c r="K640" s="22" t="s">
        <v>19574</v>
      </c>
      <c r="L640" s="22"/>
      <c r="M640" s="22"/>
      <c r="N640" s="25" t="str">
        <f>HYPERLINK("http://slimages.macys.com/is/image/MCY/1570641 ")</f>
        <v xml:space="preserve">http://slimages.macys.com/is/image/MCY/1570641 </v>
      </c>
    </row>
    <row r="641" spans="1:14" ht="24.75" x14ac:dyDescent="0.25">
      <c r="A641" s="21" t="s">
        <v>10150</v>
      </c>
      <c r="B641" s="22" t="s">
        <v>10151</v>
      </c>
      <c r="C641" s="2">
        <v>1</v>
      </c>
      <c r="D641" s="23">
        <v>5.99</v>
      </c>
      <c r="E641" s="3">
        <v>5.99</v>
      </c>
      <c r="F641" s="2" t="s">
        <v>19214</v>
      </c>
      <c r="G641" s="22" t="s">
        <v>19674</v>
      </c>
      <c r="H641" s="24" t="s">
        <v>19384</v>
      </c>
      <c r="I641" s="22" t="s">
        <v>19309</v>
      </c>
      <c r="J641" s="22" t="s">
        <v>19573</v>
      </c>
      <c r="K641" s="22" t="s">
        <v>19574</v>
      </c>
      <c r="L641" s="22"/>
      <c r="M641" s="22"/>
      <c r="N641" s="25" t="str">
        <f>HYPERLINK("http://slimages.macys.com/is/image/MCY/1570641 ")</f>
        <v xml:space="preserve">http://slimages.macys.com/is/image/MCY/1570641 </v>
      </c>
    </row>
    <row r="642" spans="1:14" ht="24.75" x14ac:dyDescent="0.25">
      <c r="A642" s="21" t="s">
        <v>19225</v>
      </c>
      <c r="B642" s="22" t="s">
        <v>19226</v>
      </c>
      <c r="C642" s="2">
        <v>2</v>
      </c>
      <c r="D642" s="23">
        <v>5.99</v>
      </c>
      <c r="E642" s="3">
        <v>11.98</v>
      </c>
      <c r="F642" s="2" t="s">
        <v>19224</v>
      </c>
      <c r="G642" s="22" t="s">
        <v>18821</v>
      </c>
      <c r="H642" s="24" t="s">
        <v>19384</v>
      </c>
      <c r="I642" s="22" t="s">
        <v>19309</v>
      </c>
      <c r="J642" s="22" t="s">
        <v>19573</v>
      </c>
      <c r="K642" s="22" t="s">
        <v>19574</v>
      </c>
      <c r="L642" s="22"/>
      <c r="M642" s="22"/>
      <c r="N642" s="25" t="str">
        <f>HYPERLINK("http://slimages.macys.com/is/image/MCY/21905230 ")</f>
        <v xml:space="preserve">http://slimages.macys.com/is/image/MCY/21905230 </v>
      </c>
    </row>
    <row r="643" spans="1:14" ht="24.75" x14ac:dyDescent="0.25">
      <c r="A643" s="21" t="s">
        <v>6315</v>
      </c>
      <c r="B643" s="22" t="s">
        <v>6316</v>
      </c>
      <c r="C643" s="2">
        <v>1</v>
      </c>
      <c r="D643" s="23">
        <v>5.99</v>
      </c>
      <c r="E643" s="3">
        <v>5.99</v>
      </c>
      <c r="F643" s="2" t="s">
        <v>13509</v>
      </c>
      <c r="G643" s="22" t="s">
        <v>19415</v>
      </c>
      <c r="H643" s="24" t="s">
        <v>19384</v>
      </c>
      <c r="I643" s="22" t="s">
        <v>19309</v>
      </c>
      <c r="J643" s="22" t="s">
        <v>19573</v>
      </c>
      <c r="K643" s="22" t="s">
        <v>19574</v>
      </c>
      <c r="L643" s="22"/>
      <c r="M643" s="22"/>
      <c r="N643" s="25" t="str">
        <f>HYPERLINK("http://slimages.macys.com/is/image/MCY/21088469 ")</f>
        <v xml:space="preserve">http://slimages.macys.com/is/image/MCY/21088469 </v>
      </c>
    </row>
    <row r="644" spans="1:14" ht="24.75" x14ac:dyDescent="0.25">
      <c r="A644" s="21" t="s">
        <v>19222</v>
      </c>
      <c r="B644" s="22" t="s">
        <v>19223</v>
      </c>
      <c r="C644" s="2">
        <v>1</v>
      </c>
      <c r="D644" s="23">
        <v>5.99</v>
      </c>
      <c r="E644" s="3">
        <v>5.99</v>
      </c>
      <c r="F644" s="2" t="s">
        <v>19224</v>
      </c>
      <c r="G644" s="22" t="s">
        <v>18821</v>
      </c>
      <c r="H644" s="24" t="s">
        <v>19538</v>
      </c>
      <c r="I644" s="22" t="s">
        <v>19309</v>
      </c>
      <c r="J644" s="22" t="s">
        <v>19573</v>
      </c>
      <c r="K644" s="22" t="s">
        <v>19574</v>
      </c>
      <c r="L644" s="22"/>
      <c r="M644" s="22"/>
      <c r="N644" s="25" t="str">
        <f>HYPERLINK("http://slimages.macys.com/is/image/MCY/21905230 ")</f>
        <v xml:space="preserve">http://slimages.macys.com/is/image/MCY/21905230 </v>
      </c>
    </row>
    <row r="645" spans="1:14" ht="24.75" x14ac:dyDescent="0.25">
      <c r="A645" s="21" t="s">
        <v>9304</v>
      </c>
      <c r="B645" s="22" t="s">
        <v>9305</v>
      </c>
      <c r="C645" s="2">
        <v>3</v>
      </c>
      <c r="D645" s="23">
        <v>5.99</v>
      </c>
      <c r="E645" s="3">
        <v>17.97</v>
      </c>
      <c r="F645" s="2" t="s">
        <v>19224</v>
      </c>
      <c r="G645" s="22" t="s">
        <v>18821</v>
      </c>
      <c r="H645" s="24" t="s">
        <v>19330</v>
      </c>
      <c r="I645" s="22" t="s">
        <v>19309</v>
      </c>
      <c r="J645" s="22" t="s">
        <v>19573</v>
      </c>
      <c r="K645" s="22" t="s">
        <v>19574</v>
      </c>
      <c r="L645" s="22"/>
      <c r="M645" s="22"/>
      <c r="N645" s="25" t="str">
        <f>HYPERLINK("http://slimages.macys.com/is/image/MCY/21905230 ")</f>
        <v xml:space="preserve">http://slimages.macys.com/is/image/MCY/21905230 </v>
      </c>
    </row>
    <row r="646" spans="1:14" ht="24.75" x14ac:dyDescent="0.25">
      <c r="A646" s="21" t="s">
        <v>14905</v>
      </c>
      <c r="B646" s="22" t="s">
        <v>14906</v>
      </c>
      <c r="C646" s="2">
        <v>3</v>
      </c>
      <c r="D646" s="23">
        <v>5.99</v>
      </c>
      <c r="E646" s="3">
        <v>17.97</v>
      </c>
      <c r="F646" s="2" t="s">
        <v>19224</v>
      </c>
      <c r="G646" s="22" t="s">
        <v>18821</v>
      </c>
      <c r="H646" s="24" t="s">
        <v>19324</v>
      </c>
      <c r="I646" s="22" t="s">
        <v>19309</v>
      </c>
      <c r="J646" s="22" t="s">
        <v>19573</v>
      </c>
      <c r="K646" s="22" t="s">
        <v>19574</v>
      </c>
      <c r="L646" s="22"/>
      <c r="M646" s="22"/>
      <c r="N646" s="25" t="str">
        <f>HYPERLINK("http://slimages.macys.com/is/image/MCY/21905230 ")</f>
        <v xml:space="preserve">http://slimages.macys.com/is/image/MCY/21905230 </v>
      </c>
    </row>
    <row r="647" spans="1:14" ht="24.75" x14ac:dyDescent="0.25">
      <c r="A647" s="21" t="s">
        <v>6317</v>
      </c>
      <c r="B647" s="22" t="s">
        <v>6318</v>
      </c>
      <c r="C647" s="2">
        <v>1</v>
      </c>
      <c r="D647" s="23">
        <v>5.99</v>
      </c>
      <c r="E647" s="3">
        <v>5.99</v>
      </c>
      <c r="F647" s="2" t="s">
        <v>17203</v>
      </c>
      <c r="G647" s="22" t="s">
        <v>19462</v>
      </c>
      <c r="H647" s="24" t="s">
        <v>19384</v>
      </c>
      <c r="I647" s="22" t="s">
        <v>19309</v>
      </c>
      <c r="J647" s="22" t="s">
        <v>19573</v>
      </c>
      <c r="K647" s="22" t="s">
        <v>19574</v>
      </c>
      <c r="L647" s="22"/>
      <c r="M647" s="22"/>
      <c r="N647" s="25" t="str">
        <f>HYPERLINK("http://slimages.macys.com/is/image/MCY/20757991 ")</f>
        <v xml:space="preserve">http://slimages.macys.com/is/image/MCY/20757991 </v>
      </c>
    </row>
    <row r="648" spans="1:14" ht="24.75" x14ac:dyDescent="0.25">
      <c r="A648" s="21" t="s">
        <v>6319</v>
      </c>
      <c r="B648" s="22" t="s">
        <v>6320</v>
      </c>
      <c r="C648" s="2">
        <v>1</v>
      </c>
      <c r="D648" s="23">
        <v>5.99</v>
      </c>
      <c r="E648" s="3">
        <v>5.99</v>
      </c>
      <c r="F648" s="2" t="s">
        <v>17203</v>
      </c>
      <c r="G648" s="22" t="s">
        <v>19674</v>
      </c>
      <c r="H648" s="24" t="s">
        <v>19416</v>
      </c>
      <c r="I648" s="22" t="s">
        <v>19309</v>
      </c>
      <c r="J648" s="22" t="s">
        <v>19573</v>
      </c>
      <c r="K648" s="22" t="s">
        <v>19574</v>
      </c>
      <c r="L648" s="22"/>
      <c r="M648" s="22"/>
      <c r="N648" s="25" t="str">
        <f>HYPERLINK("http://slimages.macys.com/is/image/MCY/20757989 ")</f>
        <v xml:space="preserve">http://slimages.macys.com/is/image/MCY/20757989 </v>
      </c>
    </row>
    <row r="649" spans="1:14" ht="24.75" x14ac:dyDescent="0.25">
      <c r="A649" s="21" t="s">
        <v>14907</v>
      </c>
      <c r="B649" s="22" t="s">
        <v>14908</v>
      </c>
      <c r="C649" s="2">
        <v>1</v>
      </c>
      <c r="D649" s="23">
        <v>5.99</v>
      </c>
      <c r="E649" s="3">
        <v>5.99</v>
      </c>
      <c r="F649" s="2" t="s">
        <v>19224</v>
      </c>
      <c r="G649" s="22" t="s">
        <v>18821</v>
      </c>
      <c r="H649" s="24" t="s">
        <v>19416</v>
      </c>
      <c r="I649" s="22" t="s">
        <v>19309</v>
      </c>
      <c r="J649" s="22" t="s">
        <v>19573</v>
      </c>
      <c r="K649" s="22" t="s">
        <v>19574</v>
      </c>
      <c r="L649" s="22"/>
      <c r="M649" s="22"/>
      <c r="N649" s="25" t="str">
        <f>HYPERLINK("http://slimages.macys.com/is/image/MCY/21905230 ")</f>
        <v xml:space="preserve">http://slimages.macys.com/is/image/MCY/21905230 </v>
      </c>
    </row>
    <row r="650" spans="1:14" ht="24.75" x14ac:dyDescent="0.25">
      <c r="A650" s="21" t="s">
        <v>19227</v>
      </c>
      <c r="B650" s="22" t="s">
        <v>19228</v>
      </c>
      <c r="C650" s="2">
        <v>1</v>
      </c>
      <c r="D650" s="23">
        <v>6.99</v>
      </c>
      <c r="E650" s="3">
        <v>6.99</v>
      </c>
      <c r="F650" s="2" t="s">
        <v>19229</v>
      </c>
      <c r="G650" s="22" t="s">
        <v>19462</v>
      </c>
      <c r="H650" s="24" t="s">
        <v>19361</v>
      </c>
      <c r="I650" s="22" t="s">
        <v>19309</v>
      </c>
      <c r="J650" s="22" t="s">
        <v>19908</v>
      </c>
      <c r="K650" s="22" t="s">
        <v>19354</v>
      </c>
      <c r="L650" s="22"/>
      <c r="M650" s="22"/>
      <c r="N650" s="25" t="str">
        <f>HYPERLINK("http://slimages.macys.com/is/image/MCY/20708625 ")</f>
        <v xml:space="preserve">http://slimages.macys.com/is/image/MCY/20708625 </v>
      </c>
    </row>
    <row r="651" spans="1:14" ht="24.75" x14ac:dyDescent="0.25">
      <c r="A651" s="21" t="s">
        <v>14909</v>
      </c>
      <c r="B651" s="22" t="s">
        <v>14910</v>
      </c>
      <c r="C651" s="2">
        <v>1</v>
      </c>
      <c r="D651" s="23">
        <v>5.99</v>
      </c>
      <c r="E651" s="3">
        <v>5.99</v>
      </c>
      <c r="F651" s="2" t="s">
        <v>14911</v>
      </c>
      <c r="G651" s="22" t="s">
        <v>19415</v>
      </c>
      <c r="H651" s="24" t="s">
        <v>19324</v>
      </c>
      <c r="I651" s="22" t="s">
        <v>19309</v>
      </c>
      <c r="J651" s="22" t="s">
        <v>19573</v>
      </c>
      <c r="K651" s="22" t="s">
        <v>19574</v>
      </c>
      <c r="L651" s="22"/>
      <c r="M651" s="22"/>
      <c r="N651" s="25" t="str">
        <f>HYPERLINK("http://slimages.macys.com/is/image/MCY/21371388 ")</f>
        <v xml:space="preserve">http://slimages.macys.com/is/image/MCY/21371388 </v>
      </c>
    </row>
    <row r="652" spans="1:14" ht="24.75" x14ac:dyDescent="0.25">
      <c r="A652" s="21" t="s">
        <v>17206</v>
      </c>
      <c r="B652" s="22" t="s">
        <v>17207</v>
      </c>
      <c r="C652" s="2">
        <v>2</v>
      </c>
      <c r="D652" s="23">
        <v>6.99</v>
      </c>
      <c r="E652" s="3">
        <v>13.98</v>
      </c>
      <c r="F652" s="2" t="s">
        <v>19229</v>
      </c>
      <c r="G652" s="22" t="s">
        <v>19585</v>
      </c>
      <c r="H652" s="24" t="s">
        <v>20089</v>
      </c>
      <c r="I652" s="22" t="s">
        <v>19309</v>
      </c>
      <c r="J652" s="22" t="s">
        <v>19908</v>
      </c>
      <c r="K652" s="22" t="s">
        <v>19354</v>
      </c>
      <c r="L652" s="22"/>
      <c r="M652" s="22"/>
      <c r="N652" s="25" t="str">
        <f>HYPERLINK("http://slimages.macys.com/is/image/MCY/20708622 ")</f>
        <v xml:space="preserve">http://slimages.macys.com/is/image/MCY/20708622 </v>
      </c>
    </row>
    <row r="653" spans="1:14" ht="24.75" x14ac:dyDescent="0.25">
      <c r="A653" s="21" t="s">
        <v>17204</v>
      </c>
      <c r="B653" s="22" t="s">
        <v>17205</v>
      </c>
      <c r="C653" s="2">
        <v>1</v>
      </c>
      <c r="D653" s="23">
        <v>6.99</v>
      </c>
      <c r="E653" s="3">
        <v>6.99</v>
      </c>
      <c r="F653" s="2" t="s">
        <v>19229</v>
      </c>
      <c r="G653" s="22" t="s">
        <v>19585</v>
      </c>
      <c r="H653" s="24" t="s">
        <v>20135</v>
      </c>
      <c r="I653" s="22" t="s">
        <v>19309</v>
      </c>
      <c r="J653" s="22" t="s">
        <v>19908</v>
      </c>
      <c r="K653" s="22" t="s">
        <v>19354</v>
      </c>
      <c r="L653" s="22"/>
      <c r="M653" s="22"/>
      <c r="N653" s="25" t="str">
        <f>HYPERLINK("http://slimages.macys.com/is/image/MCY/20708622 ")</f>
        <v xml:space="preserve">http://slimages.macys.com/is/image/MCY/20708622 </v>
      </c>
    </row>
    <row r="654" spans="1:14" ht="24.75" x14ac:dyDescent="0.25">
      <c r="A654" s="21" t="s">
        <v>6321</v>
      </c>
      <c r="B654" s="22" t="s">
        <v>6322</v>
      </c>
      <c r="C654" s="2">
        <v>1</v>
      </c>
      <c r="D654" s="23">
        <v>6.99</v>
      </c>
      <c r="E654" s="3">
        <v>6.99</v>
      </c>
      <c r="F654" s="2" t="s">
        <v>19229</v>
      </c>
      <c r="G654" s="22" t="s">
        <v>19585</v>
      </c>
      <c r="H654" s="24" t="s">
        <v>19377</v>
      </c>
      <c r="I654" s="22" t="s">
        <v>19309</v>
      </c>
      <c r="J654" s="22" t="s">
        <v>19908</v>
      </c>
      <c r="K654" s="22" t="s">
        <v>19354</v>
      </c>
      <c r="L654" s="22"/>
      <c r="M654" s="22"/>
      <c r="N654" s="25" t="str">
        <f>HYPERLINK("http://slimages.macys.com/is/image/MCY/20708622 ")</f>
        <v xml:space="preserve">http://slimages.macys.com/is/image/MCY/20708622 </v>
      </c>
    </row>
    <row r="655" spans="1:14" ht="24.75" x14ac:dyDescent="0.25">
      <c r="A655" s="21" t="s">
        <v>17210</v>
      </c>
      <c r="B655" s="22" t="s">
        <v>17211</v>
      </c>
      <c r="C655" s="2">
        <v>2</v>
      </c>
      <c r="D655" s="23">
        <v>6.99</v>
      </c>
      <c r="E655" s="3">
        <v>13.98</v>
      </c>
      <c r="F655" s="2" t="s">
        <v>19229</v>
      </c>
      <c r="G655" s="22" t="s">
        <v>19585</v>
      </c>
      <c r="H655" s="24" t="s">
        <v>19361</v>
      </c>
      <c r="I655" s="22" t="s">
        <v>19309</v>
      </c>
      <c r="J655" s="22" t="s">
        <v>19908</v>
      </c>
      <c r="K655" s="22" t="s">
        <v>19354</v>
      </c>
      <c r="L655" s="22"/>
      <c r="M655" s="22"/>
      <c r="N655" s="25" t="str">
        <f>HYPERLINK("http://slimages.macys.com/is/image/MCY/20708625 ")</f>
        <v xml:space="preserve">http://slimages.macys.com/is/image/MCY/20708625 </v>
      </c>
    </row>
    <row r="656" spans="1:14" ht="24.75" x14ac:dyDescent="0.25">
      <c r="A656" s="21" t="s">
        <v>6323</v>
      </c>
      <c r="B656" s="22" t="s">
        <v>6324</v>
      </c>
      <c r="C656" s="2">
        <v>2</v>
      </c>
      <c r="D656" s="23">
        <v>6.99</v>
      </c>
      <c r="E656" s="3">
        <v>13.98</v>
      </c>
      <c r="F656" s="2" t="s">
        <v>19229</v>
      </c>
      <c r="G656" s="22" t="s">
        <v>19585</v>
      </c>
      <c r="H656" s="24" t="s">
        <v>19542</v>
      </c>
      <c r="I656" s="22" t="s">
        <v>19309</v>
      </c>
      <c r="J656" s="22" t="s">
        <v>19908</v>
      </c>
      <c r="K656" s="22" t="s">
        <v>19354</v>
      </c>
      <c r="L656" s="22"/>
      <c r="M656" s="22"/>
      <c r="N656" s="25" t="str">
        <f>HYPERLINK("http://slimages.macys.com/is/image/MCY/20708625 ")</f>
        <v xml:space="preserve">http://slimages.macys.com/is/image/MCY/20708625 </v>
      </c>
    </row>
    <row r="657" spans="1:14" ht="24.75" x14ac:dyDescent="0.25">
      <c r="A657" s="21" t="s">
        <v>14305</v>
      </c>
      <c r="B657" s="22" t="s">
        <v>14306</v>
      </c>
      <c r="C657" s="2">
        <v>1</v>
      </c>
      <c r="D657" s="23">
        <v>5.99</v>
      </c>
      <c r="E657" s="3">
        <v>5.99</v>
      </c>
      <c r="F657" s="2" t="s">
        <v>14911</v>
      </c>
      <c r="G657" s="22" t="s">
        <v>19415</v>
      </c>
      <c r="H657" s="24" t="s">
        <v>19416</v>
      </c>
      <c r="I657" s="22" t="s">
        <v>19309</v>
      </c>
      <c r="J657" s="22" t="s">
        <v>19573</v>
      </c>
      <c r="K657" s="22" t="s">
        <v>19574</v>
      </c>
      <c r="L657" s="22"/>
      <c r="M657" s="22"/>
      <c r="N657" s="25" t="str">
        <f>HYPERLINK("http://slimages.macys.com/is/image/MCY/21371388 ")</f>
        <v xml:space="preserve">http://slimages.macys.com/is/image/MCY/21371388 </v>
      </c>
    </row>
    <row r="658" spans="1:14" ht="24.75" x14ac:dyDescent="0.25">
      <c r="A658" s="21" t="s">
        <v>14307</v>
      </c>
      <c r="B658" s="22" t="s">
        <v>14308</v>
      </c>
      <c r="C658" s="2">
        <v>1</v>
      </c>
      <c r="D658" s="23">
        <v>5.99</v>
      </c>
      <c r="E658" s="3">
        <v>5.99</v>
      </c>
      <c r="F658" s="2" t="s">
        <v>14911</v>
      </c>
      <c r="G658" s="22" t="s">
        <v>19415</v>
      </c>
      <c r="H658" s="24" t="s">
        <v>19384</v>
      </c>
      <c r="I658" s="22" t="s">
        <v>19309</v>
      </c>
      <c r="J658" s="22" t="s">
        <v>19573</v>
      </c>
      <c r="K658" s="22" t="s">
        <v>19574</v>
      </c>
      <c r="L658" s="22"/>
      <c r="M658" s="22"/>
      <c r="N658" s="25" t="str">
        <f>HYPERLINK("http://slimages.macys.com/is/image/MCY/21371388 ")</f>
        <v xml:space="preserve">http://slimages.macys.com/is/image/MCY/21371388 </v>
      </c>
    </row>
    <row r="659" spans="1:14" ht="24.75" x14ac:dyDescent="0.25">
      <c r="A659" s="21" t="s">
        <v>11167</v>
      </c>
      <c r="B659" s="22" t="s">
        <v>11168</v>
      </c>
      <c r="C659" s="2">
        <v>1</v>
      </c>
      <c r="D659" s="23">
        <v>5.99</v>
      </c>
      <c r="E659" s="3">
        <v>5.99</v>
      </c>
      <c r="F659" s="2" t="s">
        <v>14302</v>
      </c>
      <c r="G659" s="22" t="s">
        <v>19351</v>
      </c>
      <c r="H659" s="24" t="s">
        <v>19416</v>
      </c>
      <c r="I659" s="22" t="s">
        <v>19309</v>
      </c>
      <c r="J659" s="22" t="s">
        <v>19573</v>
      </c>
      <c r="K659" s="22" t="s">
        <v>19574</v>
      </c>
      <c r="L659" s="22"/>
      <c r="M659" s="22"/>
      <c r="N659" s="25" t="str">
        <f>HYPERLINK("http://slimages.macys.com/is/image/MCY/21371433 ")</f>
        <v xml:space="preserve">http://slimages.macys.com/is/image/MCY/21371433 </v>
      </c>
    </row>
    <row r="660" spans="1:14" ht="24.75" x14ac:dyDescent="0.25">
      <c r="A660" s="21" t="s">
        <v>17208</v>
      </c>
      <c r="B660" s="22" t="s">
        <v>17209</v>
      </c>
      <c r="C660" s="2">
        <v>2</v>
      </c>
      <c r="D660" s="23">
        <v>6.99</v>
      </c>
      <c r="E660" s="3">
        <v>13.98</v>
      </c>
      <c r="F660" s="2" t="s">
        <v>19229</v>
      </c>
      <c r="G660" s="22" t="s">
        <v>19585</v>
      </c>
      <c r="H660" s="24" t="s">
        <v>19907</v>
      </c>
      <c r="I660" s="22" t="s">
        <v>19309</v>
      </c>
      <c r="J660" s="22" t="s">
        <v>19908</v>
      </c>
      <c r="K660" s="22" t="s">
        <v>19354</v>
      </c>
      <c r="L660" s="22"/>
      <c r="M660" s="22"/>
      <c r="N660" s="25" t="str">
        <f>HYPERLINK("http://slimages.macys.com/is/image/MCY/20708622 ")</f>
        <v xml:space="preserve">http://slimages.macys.com/is/image/MCY/20708622 </v>
      </c>
    </row>
    <row r="661" spans="1:14" ht="24.75" x14ac:dyDescent="0.25">
      <c r="A661" s="21" t="s">
        <v>19237</v>
      </c>
      <c r="B661" s="22" t="s">
        <v>19238</v>
      </c>
      <c r="C661" s="2">
        <v>2</v>
      </c>
      <c r="D661" s="23">
        <v>5.99</v>
      </c>
      <c r="E661" s="3">
        <v>11.98</v>
      </c>
      <c r="F661" s="2" t="s">
        <v>19232</v>
      </c>
      <c r="G661" s="22" t="s">
        <v>19467</v>
      </c>
      <c r="H661" s="24" t="s">
        <v>19330</v>
      </c>
      <c r="I661" s="22" t="s">
        <v>19309</v>
      </c>
      <c r="J661" s="22" t="s">
        <v>19573</v>
      </c>
      <c r="K661" s="22" t="s">
        <v>19574</v>
      </c>
      <c r="L661" s="22"/>
      <c r="M661" s="22"/>
      <c r="N661" s="25" t="str">
        <f>HYPERLINK("http://slimages.macys.com/is/image/MCY/21209505 ")</f>
        <v xml:space="preserve">http://slimages.macys.com/is/image/MCY/21209505 </v>
      </c>
    </row>
    <row r="662" spans="1:14" ht="24.75" x14ac:dyDescent="0.25">
      <c r="A662" s="21" t="s">
        <v>14296</v>
      </c>
      <c r="B662" s="22" t="s">
        <v>14297</v>
      </c>
      <c r="C662" s="2">
        <v>4</v>
      </c>
      <c r="D662" s="23">
        <v>5.99</v>
      </c>
      <c r="E662" s="3">
        <v>23.96</v>
      </c>
      <c r="F662" s="2" t="s">
        <v>14911</v>
      </c>
      <c r="G662" s="22" t="s">
        <v>19415</v>
      </c>
      <c r="H662" s="24" t="s">
        <v>19330</v>
      </c>
      <c r="I662" s="22" t="s">
        <v>19309</v>
      </c>
      <c r="J662" s="22" t="s">
        <v>19573</v>
      </c>
      <c r="K662" s="22" t="s">
        <v>19574</v>
      </c>
      <c r="L662" s="22"/>
      <c r="M662" s="22"/>
      <c r="N662" s="25" t="str">
        <f>HYPERLINK("http://slimages.macys.com/is/image/MCY/21371388 ")</f>
        <v xml:space="preserve">http://slimages.macys.com/is/image/MCY/21371388 </v>
      </c>
    </row>
    <row r="663" spans="1:14" ht="24.75" x14ac:dyDescent="0.25">
      <c r="A663" s="21" t="s">
        <v>14309</v>
      </c>
      <c r="B663" s="22" t="s">
        <v>14310</v>
      </c>
      <c r="C663" s="2">
        <v>1</v>
      </c>
      <c r="D663" s="23">
        <v>5.99</v>
      </c>
      <c r="E663" s="3">
        <v>5.99</v>
      </c>
      <c r="F663" s="2" t="s">
        <v>14302</v>
      </c>
      <c r="G663" s="22" t="s">
        <v>19351</v>
      </c>
      <c r="H663" s="24" t="s">
        <v>19384</v>
      </c>
      <c r="I663" s="22" t="s">
        <v>19309</v>
      </c>
      <c r="J663" s="22" t="s">
        <v>19573</v>
      </c>
      <c r="K663" s="22" t="s">
        <v>19574</v>
      </c>
      <c r="L663" s="22"/>
      <c r="M663" s="22"/>
      <c r="N663" s="25" t="str">
        <f>HYPERLINK("http://slimages.macys.com/is/image/MCY/21371433 ")</f>
        <v xml:space="preserve">http://slimages.macys.com/is/image/MCY/21371433 </v>
      </c>
    </row>
    <row r="664" spans="1:14" ht="24.75" x14ac:dyDescent="0.25">
      <c r="A664" s="21" t="s">
        <v>6325</v>
      </c>
      <c r="B664" s="22" t="s">
        <v>6326</v>
      </c>
      <c r="C664" s="2">
        <v>1</v>
      </c>
      <c r="D664" s="23">
        <v>6.99</v>
      </c>
      <c r="E664" s="3">
        <v>6.99</v>
      </c>
      <c r="F664" s="2" t="s">
        <v>14924</v>
      </c>
      <c r="G664" s="22" t="s">
        <v>19763</v>
      </c>
      <c r="H664" s="24" t="s">
        <v>19330</v>
      </c>
      <c r="I664" s="22" t="s">
        <v>19309</v>
      </c>
      <c r="J664" s="22" t="s">
        <v>19573</v>
      </c>
      <c r="K664" s="22" t="s">
        <v>19574</v>
      </c>
      <c r="L664" s="22"/>
      <c r="M664" s="22"/>
      <c r="N664" s="25" t="str">
        <f>HYPERLINK("http://slimages.macys.com/is/image/MCY/19507666 ")</f>
        <v xml:space="preserve">http://slimages.macys.com/is/image/MCY/19507666 </v>
      </c>
    </row>
    <row r="665" spans="1:14" ht="24.75" x14ac:dyDescent="0.25">
      <c r="A665" s="21" t="s">
        <v>9311</v>
      </c>
      <c r="B665" s="22" t="s">
        <v>9312</v>
      </c>
      <c r="C665" s="2">
        <v>1</v>
      </c>
      <c r="D665" s="23">
        <v>5.99</v>
      </c>
      <c r="E665" s="3">
        <v>5.99</v>
      </c>
      <c r="F665" s="2" t="s">
        <v>14927</v>
      </c>
      <c r="G665" s="22" t="s">
        <v>19618</v>
      </c>
      <c r="H665" s="24" t="s">
        <v>19416</v>
      </c>
      <c r="I665" s="22" t="s">
        <v>19309</v>
      </c>
      <c r="J665" s="22" t="s">
        <v>19573</v>
      </c>
      <c r="K665" s="22" t="s">
        <v>19574</v>
      </c>
      <c r="L665" s="22"/>
      <c r="M665" s="22"/>
      <c r="N665" s="25" t="str">
        <f>HYPERLINK("http://slimages.macys.com/is/image/MCY/21088408 ")</f>
        <v xml:space="preserve">http://slimages.macys.com/is/image/MCY/21088408 </v>
      </c>
    </row>
    <row r="666" spans="1:14" ht="24.75" x14ac:dyDescent="0.25">
      <c r="A666" s="21" t="s">
        <v>6327</v>
      </c>
      <c r="B666" s="22" t="s">
        <v>6328</v>
      </c>
      <c r="C666" s="2">
        <v>1</v>
      </c>
      <c r="D666" s="23">
        <v>5.99</v>
      </c>
      <c r="E666" s="3">
        <v>5.99</v>
      </c>
      <c r="F666" s="2" t="s">
        <v>9727</v>
      </c>
      <c r="G666" s="22" t="s">
        <v>19618</v>
      </c>
      <c r="H666" s="24" t="s">
        <v>19538</v>
      </c>
      <c r="I666" s="22" t="s">
        <v>19309</v>
      </c>
      <c r="J666" s="22" t="s">
        <v>19573</v>
      </c>
      <c r="K666" s="22" t="s">
        <v>19574</v>
      </c>
      <c r="L666" s="22"/>
      <c r="M666" s="22"/>
      <c r="N666" s="25" t="str">
        <f>HYPERLINK("http://slimages.macys.com/is/image/MCY/21361762 ")</f>
        <v xml:space="preserve">http://slimages.macys.com/is/image/MCY/21361762 </v>
      </c>
    </row>
    <row r="667" spans="1:14" ht="24.75" x14ac:dyDescent="0.25">
      <c r="A667" s="21" t="s">
        <v>14957</v>
      </c>
      <c r="B667" s="22" t="s">
        <v>14958</v>
      </c>
      <c r="C667" s="2">
        <v>3</v>
      </c>
      <c r="D667" s="23">
        <v>7.99</v>
      </c>
      <c r="E667" s="3">
        <v>23.97</v>
      </c>
      <c r="F667" s="2" t="s">
        <v>14959</v>
      </c>
      <c r="G667" s="22" t="s">
        <v>19415</v>
      </c>
      <c r="H667" s="24" t="s">
        <v>19907</v>
      </c>
      <c r="I667" s="22" t="s">
        <v>19309</v>
      </c>
      <c r="J667" s="22" t="s">
        <v>19573</v>
      </c>
      <c r="K667" s="22" t="s">
        <v>19574</v>
      </c>
      <c r="L667" s="22"/>
      <c r="M667" s="22"/>
      <c r="N667" s="25" t="str">
        <f>HYPERLINK("http://slimages.macys.com/is/image/MCY/21209562 ")</f>
        <v xml:space="preserve">http://slimages.macys.com/is/image/MCY/21209562 </v>
      </c>
    </row>
    <row r="668" spans="1:14" ht="24.75" x14ac:dyDescent="0.25">
      <c r="A668" s="21" t="s">
        <v>10182</v>
      </c>
      <c r="B668" s="22" t="s">
        <v>10183</v>
      </c>
      <c r="C668" s="2">
        <v>4</v>
      </c>
      <c r="D668" s="23">
        <v>7.99</v>
      </c>
      <c r="E668" s="3">
        <v>31.96</v>
      </c>
      <c r="F668" s="2" t="s">
        <v>10744</v>
      </c>
      <c r="G668" s="22" t="s">
        <v>19431</v>
      </c>
      <c r="H668" s="24" t="s">
        <v>19907</v>
      </c>
      <c r="I668" s="22" t="s">
        <v>19309</v>
      </c>
      <c r="J668" s="22" t="s">
        <v>19573</v>
      </c>
      <c r="K668" s="22" t="s">
        <v>19574</v>
      </c>
      <c r="L668" s="22"/>
      <c r="M668" s="22"/>
      <c r="N668" s="25" t="str">
        <f>HYPERLINK("http://slimages.macys.com/is/image/MCY/21209287 ")</f>
        <v xml:space="preserve">http://slimages.macys.com/is/image/MCY/21209287 </v>
      </c>
    </row>
    <row r="669" spans="1:14" ht="24.75" x14ac:dyDescent="0.25">
      <c r="A669" s="21" t="s">
        <v>10742</v>
      </c>
      <c r="B669" s="22" t="s">
        <v>10743</v>
      </c>
      <c r="C669" s="2">
        <v>3</v>
      </c>
      <c r="D669" s="23">
        <v>7.99</v>
      </c>
      <c r="E669" s="3">
        <v>23.97</v>
      </c>
      <c r="F669" s="2" t="s">
        <v>10744</v>
      </c>
      <c r="G669" s="22" t="s">
        <v>19431</v>
      </c>
      <c r="H669" s="24" t="s">
        <v>20135</v>
      </c>
      <c r="I669" s="22" t="s">
        <v>19309</v>
      </c>
      <c r="J669" s="22" t="s">
        <v>19573</v>
      </c>
      <c r="K669" s="22" t="s">
        <v>19574</v>
      </c>
      <c r="L669" s="22"/>
      <c r="M669" s="22"/>
      <c r="N669" s="25" t="str">
        <f>HYPERLINK("http://slimages.macys.com/is/image/MCY/21209287 ")</f>
        <v xml:space="preserve">http://slimages.macys.com/is/image/MCY/21209287 </v>
      </c>
    </row>
    <row r="670" spans="1:14" ht="24.75" x14ac:dyDescent="0.25">
      <c r="A670" s="21" t="s">
        <v>6329</v>
      </c>
      <c r="B670" s="22" t="s">
        <v>6330</v>
      </c>
      <c r="C670" s="2">
        <v>1</v>
      </c>
      <c r="D670" s="23">
        <v>5.99</v>
      </c>
      <c r="E670" s="3">
        <v>5.99</v>
      </c>
      <c r="F670" s="2" t="s">
        <v>9727</v>
      </c>
      <c r="G670" s="22" t="s">
        <v>19618</v>
      </c>
      <c r="H670" s="24" t="s">
        <v>19330</v>
      </c>
      <c r="I670" s="22" t="s">
        <v>19309</v>
      </c>
      <c r="J670" s="22" t="s">
        <v>19573</v>
      </c>
      <c r="K670" s="22" t="s">
        <v>19574</v>
      </c>
      <c r="L670" s="22"/>
      <c r="M670" s="22"/>
      <c r="N670" s="25" t="str">
        <f>HYPERLINK("http://slimages.macys.com/is/image/MCY/1586084 ")</f>
        <v xml:space="preserve">http://slimages.macys.com/is/image/MCY/1586084 </v>
      </c>
    </row>
    <row r="671" spans="1:14" ht="24.75" x14ac:dyDescent="0.25">
      <c r="A671" s="21" t="s">
        <v>14962</v>
      </c>
      <c r="B671" s="22" t="s">
        <v>14963</v>
      </c>
      <c r="C671" s="2">
        <v>1</v>
      </c>
      <c r="D671" s="23">
        <v>5.99</v>
      </c>
      <c r="E671" s="3">
        <v>5.99</v>
      </c>
      <c r="F671" s="2" t="s">
        <v>14949</v>
      </c>
      <c r="G671" s="22" t="s">
        <v>18764</v>
      </c>
      <c r="H671" s="24" t="s">
        <v>19384</v>
      </c>
      <c r="I671" s="22" t="s">
        <v>19309</v>
      </c>
      <c r="J671" s="22" t="s">
        <v>19573</v>
      </c>
      <c r="K671" s="22" t="s">
        <v>19574</v>
      </c>
      <c r="L671" s="22"/>
      <c r="M671" s="22"/>
      <c r="N671" s="25" t="str">
        <f>HYPERLINK("http://slimages.macys.com/is/image/MCY/21155761 ")</f>
        <v xml:space="preserve">http://slimages.macys.com/is/image/MCY/21155761 </v>
      </c>
    </row>
    <row r="672" spans="1:14" ht="24.75" x14ac:dyDescent="0.25">
      <c r="A672" s="21" t="s">
        <v>6331</v>
      </c>
      <c r="B672" s="22" t="s">
        <v>6332</v>
      </c>
      <c r="C672" s="2">
        <v>1</v>
      </c>
      <c r="D672" s="23">
        <v>5.99</v>
      </c>
      <c r="E672" s="3">
        <v>5.99</v>
      </c>
      <c r="F672" s="2" t="s">
        <v>14949</v>
      </c>
      <c r="G672" s="22" t="s">
        <v>18764</v>
      </c>
      <c r="H672" s="24" t="s">
        <v>19538</v>
      </c>
      <c r="I672" s="22" t="s">
        <v>19309</v>
      </c>
      <c r="J672" s="22" t="s">
        <v>19573</v>
      </c>
      <c r="K672" s="22" t="s">
        <v>19574</v>
      </c>
      <c r="L672" s="22"/>
      <c r="M672" s="22"/>
      <c r="N672" s="25" t="str">
        <f>HYPERLINK("http://slimages.macys.com/is/image/MCY/20555230 ")</f>
        <v xml:space="preserve">http://slimages.macys.com/is/image/MCY/20555230 </v>
      </c>
    </row>
    <row r="673" spans="1:14" ht="24.75" x14ac:dyDescent="0.25">
      <c r="A673" s="21" t="s">
        <v>19266</v>
      </c>
      <c r="B673" s="22" t="s">
        <v>19267</v>
      </c>
      <c r="C673" s="2">
        <v>1</v>
      </c>
      <c r="D673" s="23">
        <v>5.99</v>
      </c>
      <c r="E673" s="3">
        <v>5.99</v>
      </c>
      <c r="F673" s="2" t="s">
        <v>19261</v>
      </c>
      <c r="G673" s="22" t="s">
        <v>19674</v>
      </c>
      <c r="H673" s="24" t="s">
        <v>19330</v>
      </c>
      <c r="I673" s="22" t="s">
        <v>19309</v>
      </c>
      <c r="J673" s="22" t="s">
        <v>19573</v>
      </c>
      <c r="K673" s="22" t="s">
        <v>19574</v>
      </c>
      <c r="L673" s="22"/>
      <c r="M673" s="22"/>
      <c r="N673" s="25" t="str">
        <f>HYPERLINK("http://slimages.macys.com/is/image/MCY/21209261 ")</f>
        <v xml:space="preserve">http://slimages.macys.com/is/image/MCY/21209261 </v>
      </c>
    </row>
    <row r="674" spans="1:14" ht="24.75" x14ac:dyDescent="0.25">
      <c r="A674" s="21" t="s">
        <v>10184</v>
      </c>
      <c r="B674" s="22" t="s">
        <v>10185</v>
      </c>
      <c r="C674" s="2">
        <v>1</v>
      </c>
      <c r="D674" s="23">
        <v>5.99</v>
      </c>
      <c r="E674" s="3">
        <v>5.99</v>
      </c>
      <c r="F674" s="2" t="s">
        <v>17229</v>
      </c>
      <c r="G674" s="22" t="s">
        <v>19351</v>
      </c>
      <c r="H674" s="24" t="s">
        <v>19330</v>
      </c>
      <c r="I674" s="22" t="s">
        <v>19309</v>
      </c>
      <c r="J674" s="22" t="s">
        <v>19573</v>
      </c>
      <c r="K674" s="22" t="s">
        <v>19574</v>
      </c>
      <c r="L674" s="22"/>
      <c r="M674" s="22"/>
      <c r="N674" s="25" t="str">
        <f>HYPERLINK("http://slimages.macys.com/is/image/MCY/21361199 ")</f>
        <v xml:space="preserve">http://slimages.macys.com/is/image/MCY/21361199 </v>
      </c>
    </row>
    <row r="675" spans="1:14" ht="24.75" x14ac:dyDescent="0.25">
      <c r="A675" s="21" t="s">
        <v>9730</v>
      </c>
      <c r="B675" s="22" t="s">
        <v>9731</v>
      </c>
      <c r="C675" s="2">
        <v>2</v>
      </c>
      <c r="D675" s="23">
        <v>7.99</v>
      </c>
      <c r="E675" s="3">
        <v>15.98</v>
      </c>
      <c r="F675" s="2" t="s">
        <v>10744</v>
      </c>
      <c r="G675" s="22" t="s">
        <v>19431</v>
      </c>
      <c r="H675" s="24" t="s">
        <v>20089</v>
      </c>
      <c r="I675" s="22" t="s">
        <v>19309</v>
      </c>
      <c r="J675" s="22" t="s">
        <v>19573</v>
      </c>
      <c r="K675" s="22" t="s">
        <v>19574</v>
      </c>
      <c r="L675" s="22"/>
      <c r="M675" s="22"/>
      <c r="N675" s="25" t="str">
        <f>HYPERLINK("http://slimages.macys.com/is/image/MCY/21209287 ")</f>
        <v xml:space="preserve">http://slimages.macys.com/is/image/MCY/21209287 </v>
      </c>
    </row>
    <row r="676" spans="1:14" ht="24.75" x14ac:dyDescent="0.25">
      <c r="A676" s="21" t="s">
        <v>17241</v>
      </c>
      <c r="B676" s="22" t="s">
        <v>17242</v>
      </c>
      <c r="C676" s="2">
        <v>1</v>
      </c>
      <c r="D676" s="23">
        <v>5.99</v>
      </c>
      <c r="E676" s="3">
        <v>5.99</v>
      </c>
      <c r="F676" s="2" t="s">
        <v>17240</v>
      </c>
      <c r="G676" s="22" t="s">
        <v>19315</v>
      </c>
      <c r="H676" s="24" t="s">
        <v>19416</v>
      </c>
      <c r="I676" s="22" t="s">
        <v>19309</v>
      </c>
      <c r="J676" s="22" t="s">
        <v>19573</v>
      </c>
      <c r="K676" s="22" t="s">
        <v>19574</v>
      </c>
      <c r="L676" s="22"/>
      <c r="M676" s="22"/>
      <c r="N676" s="25" t="str">
        <f>HYPERLINK("http://slimages.macys.com/is/image/MCY/21209554 ")</f>
        <v xml:space="preserve">http://slimages.macys.com/is/image/MCY/21209554 </v>
      </c>
    </row>
    <row r="677" spans="1:14" ht="24.75" x14ac:dyDescent="0.25">
      <c r="A677" s="21" t="s">
        <v>6333</v>
      </c>
      <c r="B677" s="22" t="s">
        <v>6334</v>
      </c>
      <c r="C677" s="2">
        <v>1</v>
      </c>
      <c r="D677" s="23">
        <v>6.99</v>
      </c>
      <c r="E677" s="3">
        <v>6.99</v>
      </c>
      <c r="F677" s="2" t="s">
        <v>6335</v>
      </c>
      <c r="G677" s="22" t="s">
        <v>19422</v>
      </c>
      <c r="H677" s="24" t="s">
        <v>19907</v>
      </c>
      <c r="I677" s="22" t="s">
        <v>19309</v>
      </c>
      <c r="J677" s="22" t="s">
        <v>19908</v>
      </c>
      <c r="K677" s="22" t="s">
        <v>19354</v>
      </c>
      <c r="L677" s="22"/>
      <c r="M677" s="22"/>
      <c r="N677" s="25" t="str">
        <f>HYPERLINK("http://slimages.macys.com/is/image/MCY/20708654 ")</f>
        <v xml:space="preserve">http://slimages.macys.com/is/image/MCY/20708654 </v>
      </c>
    </row>
    <row r="678" spans="1:14" ht="24.75" x14ac:dyDescent="0.25">
      <c r="A678" s="21" t="s">
        <v>17255</v>
      </c>
      <c r="B678" s="22" t="s">
        <v>17256</v>
      </c>
      <c r="C678" s="2">
        <v>1</v>
      </c>
      <c r="D678" s="23">
        <v>5.99</v>
      </c>
      <c r="E678" s="3">
        <v>5.99</v>
      </c>
      <c r="F678" s="2" t="s">
        <v>17257</v>
      </c>
      <c r="G678" s="22" t="s">
        <v>19431</v>
      </c>
      <c r="H678" s="24" t="s">
        <v>19538</v>
      </c>
      <c r="I678" s="22" t="s">
        <v>19309</v>
      </c>
      <c r="J678" s="22" t="s">
        <v>19573</v>
      </c>
      <c r="K678" s="22" t="s">
        <v>19574</v>
      </c>
      <c r="L678" s="22"/>
      <c r="M678" s="22"/>
      <c r="N678" s="25" t="str">
        <f>HYPERLINK("http://slimages.macys.com/is/image/MCY/21209617 ")</f>
        <v xml:space="preserve">http://slimages.macys.com/is/image/MCY/21209617 </v>
      </c>
    </row>
    <row r="679" spans="1:14" ht="24.75" x14ac:dyDescent="0.25">
      <c r="A679" s="21" t="s">
        <v>19271</v>
      </c>
      <c r="B679" s="22" t="s">
        <v>19272</v>
      </c>
      <c r="C679" s="2">
        <v>2</v>
      </c>
      <c r="D679" s="23">
        <v>5.99</v>
      </c>
      <c r="E679" s="3">
        <v>11.98</v>
      </c>
      <c r="F679" s="2" t="s">
        <v>19273</v>
      </c>
      <c r="G679" s="22" t="s">
        <v>19794</v>
      </c>
      <c r="H679" s="24" t="s">
        <v>19538</v>
      </c>
      <c r="I679" s="22" t="s">
        <v>19309</v>
      </c>
      <c r="J679" s="22" t="s">
        <v>19573</v>
      </c>
      <c r="K679" s="22" t="s">
        <v>19574</v>
      </c>
      <c r="L679" s="22"/>
      <c r="M679" s="22"/>
      <c r="N679" s="25" t="str">
        <f>HYPERLINK("http://slimages.macys.com/is/image/MCY/21209112 ")</f>
        <v xml:space="preserve">http://slimages.macys.com/is/image/MCY/21209112 </v>
      </c>
    </row>
    <row r="680" spans="1:14" ht="24.75" x14ac:dyDescent="0.25">
      <c r="A680" s="21" t="s">
        <v>14974</v>
      </c>
      <c r="B680" s="22" t="s">
        <v>14975</v>
      </c>
      <c r="C680" s="2">
        <v>2</v>
      </c>
      <c r="D680" s="23">
        <v>5.99</v>
      </c>
      <c r="E680" s="3">
        <v>11.98</v>
      </c>
      <c r="F680" s="2" t="s">
        <v>19273</v>
      </c>
      <c r="G680" s="22" t="s">
        <v>19794</v>
      </c>
      <c r="H680" s="24" t="s">
        <v>19384</v>
      </c>
      <c r="I680" s="22" t="s">
        <v>19309</v>
      </c>
      <c r="J680" s="22" t="s">
        <v>19573</v>
      </c>
      <c r="K680" s="22" t="s">
        <v>19574</v>
      </c>
      <c r="L680" s="22"/>
      <c r="M680" s="22"/>
      <c r="N680" s="25" t="str">
        <f>HYPERLINK("http://slimages.macys.com/is/image/MCY/21209112 ")</f>
        <v xml:space="preserve">http://slimages.macys.com/is/image/MCY/21209112 </v>
      </c>
    </row>
    <row r="681" spans="1:14" ht="24.75" x14ac:dyDescent="0.25">
      <c r="A681" s="21" t="s">
        <v>14978</v>
      </c>
      <c r="B681" s="22" t="s">
        <v>14979</v>
      </c>
      <c r="C681" s="2">
        <v>1</v>
      </c>
      <c r="D681" s="23">
        <v>5.99</v>
      </c>
      <c r="E681" s="3">
        <v>5.99</v>
      </c>
      <c r="F681" s="2" t="s">
        <v>19273</v>
      </c>
      <c r="G681" s="22" t="s">
        <v>19794</v>
      </c>
      <c r="H681" s="24" t="s">
        <v>19330</v>
      </c>
      <c r="I681" s="22" t="s">
        <v>19309</v>
      </c>
      <c r="J681" s="22" t="s">
        <v>19573</v>
      </c>
      <c r="K681" s="22" t="s">
        <v>19574</v>
      </c>
      <c r="L681" s="22"/>
      <c r="M681" s="22"/>
      <c r="N681" s="25" t="str">
        <f>HYPERLINK("http://slimages.macys.com/is/image/MCY/21209112 ")</f>
        <v xml:space="preserve">http://slimages.macys.com/is/image/MCY/21209112 </v>
      </c>
    </row>
    <row r="682" spans="1:14" ht="24.75" x14ac:dyDescent="0.25">
      <c r="A682" s="21" t="s">
        <v>6336</v>
      </c>
      <c r="B682" s="22" t="s">
        <v>6337</v>
      </c>
      <c r="C682" s="2">
        <v>1</v>
      </c>
      <c r="D682" s="23">
        <v>6.99</v>
      </c>
      <c r="E682" s="3">
        <v>6.99</v>
      </c>
      <c r="F682" s="2" t="s">
        <v>6335</v>
      </c>
      <c r="G682" s="22" t="s">
        <v>19462</v>
      </c>
      <c r="H682" s="24" t="s">
        <v>20089</v>
      </c>
      <c r="I682" s="22" t="s">
        <v>19309</v>
      </c>
      <c r="J682" s="22" t="s">
        <v>19908</v>
      </c>
      <c r="K682" s="22" t="s">
        <v>19354</v>
      </c>
      <c r="L682" s="22"/>
      <c r="M682" s="22"/>
      <c r="N682" s="25" t="str">
        <f>HYPERLINK("http://slimages.macys.com/is/image/MCY/20708654 ")</f>
        <v xml:space="preserve">http://slimages.macys.com/is/image/MCY/20708654 </v>
      </c>
    </row>
    <row r="683" spans="1:14" ht="24.75" x14ac:dyDescent="0.25">
      <c r="A683" s="21" t="s">
        <v>14972</v>
      </c>
      <c r="B683" s="22" t="s">
        <v>14973</v>
      </c>
      <c r="C683" s="2">
        <v>2</v>
      </c>
      <c r="D683" s="23">
        <v>5.99</v>
      </c>
      <c r="E683" s="3">
        <v>11.98</v>
      </c>
      <c r="F683" s="2" t="s">
        <v>19273</v>
      </c>
      <c r="G683" s="22" t="s">
        <v>19794</v>
      </c>
      <c r="H683" s="24" t="s">
        <v>19324</v>
      </c>
      <c r="I683" s="22" t="s">
        <v>19309</v>
      </c>
      <c r="J683" s="22" t="s">
        <v>19573</v>
      </c>
      <c r="K683" s="22" t="s">
        <v>19574</v>
      </c>
      <c r="L683" s="22"/>
      <c r="M683" s="22"/>
      <c r="N683" s="25" t="str">
        <f>HYPERLINK("http://slimages.macys.com/is/image/MCY/21209112 ")</f>
        <v xml:space="preserve">http://slimages.macys.com/is/image/MCY/21209112 </v>
      </c>
    </row>
    <row r="684" spans="1:14" ht="24.75" x14ac:dyDescent="0.25">
      <c r="A684" s="21" t="s">
        <v>6338</v>
      </c>
      <c r="B684" s="22" t="s">
        <v>6339</v>
      </c>
      <c r="C684" s="2">
        <v>1</v>
      </c>
      <c r="D684" s="23">
        <v>5.99</v>
      </c>
      <c r="E684" s="3">
        <v>5.99</v>
      </c>
      <c r="F684" s="2" t="s">
        <v>19278</v>
      </c>
      <c r="G684" s="22" t="s">
        <v>19351</v>
      </c>
      <c r="H684" s="24" t="s">
        <v>19330</v>
      </c>
      <c r="I684" s="22" t="s">
        <v>19309</v>
      </c>
      <c r="J684" s="22" t="s">
        <v>19573</v>
      </c>
      <c r="K684" s="22" t="s">
        <v>19574</v>
      </c>
      <c r="L684" s="22"/>
      <c r="M684" s="22"/>
      <c r="N684" s="25" t="str">
        <f>HYPERLINK("http://slimages.macys.com/is/image/MCY/21088629 ")</f>
        <v xml:space="preserve">http://slimages.macys.com/is/image/MCY/21088629 </v>
      </c>
    </row>
    <row r="685" spans="1:14" ht="24.75" x14ac:dyDescent="0.25">
      <c r="A685" s="21" t="s">
        <v>17387</v>
      </c>
      <c r="B685" s="22" t="s">
        <v>17388</v>
      </c>
      <c r="C685" s="2">
        <v>2</v>
      </c>
      <c r="D685" s="23">
        <v>5.99</v>
      </c>
      <c r="E685" s="3">
        <v>11.98</v>
      </c>
      <c r="F685" s="2" t="s">
        <v>17384</v>
      </c>
      <c r="G685" s="22" t="s">
        <v>18439</v>
      </c>
      <c r="H685" s="24" t="s">
        <v>19538</v>
      </c>
      <c r="I685" s="22" t="s">
        <v>19309</v>
      </c>
      <c r="J685" s="22" t="s">
        <v>19573</v>
      </c>
      <c r="K685" s="22" t="s">
        <v>19574</v>
      </c>
      <c r="L685" s="22"/>
      <c r="M685" s="22"/>
      <c r="N685" s="25" t="str">
        <f>HYPERLINK("http://slimages.macys.com/is/image/MCY/1905756 ")</f>
        <v xml:space="preserve">http://slimages.macys.com/is/image/MCY/1905756 </v>
      </c>
    </row>
    <row r="686" spans="1:14" ht="24.75" x14ac:dyDescent="0.25">
      <c r="A686" s="21" t="s">
        <v>17391</v>
      </c>
      <c r="B686" s="22" t="s">
        <v>17392</v>
      </c>
      <c r="C686" s="2">
        <v>1</v>
      </c>
      <c r="D686" s="23">
        <v>5.99</v>
      </c>
      <c r="E686" s="3">
        <v>5.99</v>
      </c>
      <c r="F686" s="2" t="s">
        <v>17384</v>
      </c>
      <c r="G686" s="22" t="s">
        <v>18439</v>
      </c>
      <c r="H686" s="24" t="s">
        <v>19324</v>
      </c>
      <c r="I686" s="22" t="s">
        <v>19309</v>
      </c>
      <c r="J686" s="22" t="s">
        <v>19573</v>
      </c>
      <c r="K686" s="22" t="s">
        <v>19574</v>
      </c>
      <c r="L686" s="22"/>
      <c r="M686" s="22"/>
      <c r="N686" s="25" t="str">
        <f>HYPERLINK("http://slimages.macys.com/is/image/MCY/1905756 ")</f>
        <v xml:space="preserve">http://slimages.macys.com/is/image/MCY/1905756 </v>
      </c>
    </row>
    <row r="687" spans="1:14" ht="24.75" x14ac:dyDescent="0.25">
      <c r="A687" s="21" t="s">
        <v>17385</v>
      </c>
      <c r="B687" s="22" t="s">
        <v>17386</v>
      </c>
      <c r="C687" s="2">
        <v>3</v>
      </c>
      <c r="D687" s="23">
        <v>5.99</v>
      </c>
      <c r="E687" s="3">
        <v>17.97</v>
      </c>
      <c r="F687" s="2" t="s">
        <v>17384</v>
      </c>
      <c r="G687" s="22" t="s">
        <v>18439</v>
      </c>
      <c r="H687" s="24" t="s">
        <v>19330</v>
      </c>
      <c r="I687" s="22" t="s">
        <v>19309</v>
      </c>
      <c r="J687" s="22" t="s">
        <v>19573</v>
      </c>
      <c r="K687" s="22" t="s">
        <v>19574</v>
      </c>
      <c r="L687" s="22"/>
      <c r="M687" s="22"/>
      <c r="N687" s="25" t="str">
        <f>HYPERLINK("http://slimages.macys.com/is/image/MCY/1905756 ")</f>
        <v xml:space="preserve">http://slimages.macys.com/is/image/MCY/1905756 </v>
      </c>
    </row>
    <row r="688" spans="1:14" ht="24.75" x14ac:dyDescent="0.25">
      <c r="A688" s="21" t="s">
        <v>6340</v>
      </c>
      <c r="B688" s="22" t="s">
        <v>6341</v>
      </c>
      <c r="C688" s="2">
        <v>1</v>
      </c>
      <c r="D688" s="23">
        <v>5.99</v>
      </c>
      <c r="E688" s="3">
        <v>5.99</v>
      </c>
      <c r="F688" s="2" t="s">
        <v>17265</v>
      </c>
      <c r="G688" s="22" t="s">
        <v>19670</v>
      </c>
      <c r="H688" s="24" t="s">
        <v>19538</v>
      </c>
      <c r="I688" s="22" t="s">
        <v>19309</v>
      </c>
      <c r="J688" s="22" t="s">
        <v>19573</v>
      </c>
      <c r="K688" s="22" t="s">
        <v>19574</v>
      </c>
      <c r="L688" s="22"/>
      <c r="M688" s="22"/>
      <c r="N688" s="25" t="str">
        <f>HYPERLINK("http://slimages.macys.com/is/image/MCY/1537013 ")</f>
        <v xml:space="preserve">http://slimages.macys.com/is/image/MCY/1537013 </v>
      </c>
    </row>
    <row r="689" spans="1:14" ht="24.75" x14ac:dyDescent="0.25">
      <c r="A689" s="21" t="s">
        <v>6342</v>
      </c>
      <c r="B689" s="22" t="s">
        <v>6343</v>
      </c>
      <c r="C689" s="2">
        <v>1</v>
      </c>
      <c r="D689" s="23">
        <v>5.99</v>
      </c>
      <c r="E689" s="3">
        <v>5.99</v>
      </c>
      <c r="F689" s="2" t="s">
        <v>17395</v>
      </c>
      <c r="G689" s="22" t="s">
        <v>19670</v>
      </c>
      <c r="H689" s="24" t="s">
        <v>19416</v>
      </c>
      <c r="I689" s="22" t="s">
        <v>19309</v>
      </c>
      <c r="J689" s="22" t="s">
        <v>19573</v>
      </c>
      <c r="K689" s="22" t="s">
        <v>19574</v>
      </c>
      <c r="L689" s="22"/>
      <c r="M689" s="22"/>
      <c r="N689" s="25" t="str">
        <f>HYPERLINK("http://slimages.macys.com/is/image/MCY/1521976 ")</f>
        <v xml:space="preserve">http://slimages.macys.com/is/image/MCY/1521976 </v>
      </c>
    </row>
    <row r="690" spans="1:14" ht="24.75" x14ac:dyDescent="0.25">
      <c r="A690" s="21" t="s">
        <v>17400</v>
      </c>
      <c r="B690" s="22" t="s">
        <v>17401</v>
      </c>
      <c r="C690" s="2">
        <v>1</v>
      </c>
      <c r="D690" s="23">
        <v>5.99</v>
      </c>
      <c r="E690" s="3">
        <v>5.99</v>
      </c>
      <c r="F690" s="2" t="s">
        <v>17402</v>
      </c>
      <c r="G690" s="22" t="s">
        <v>19415</v>
      </c>
      <c r="H690" s="24" t="s">
        <v>19538</v>
      </c>
      <c r="I690" s="22" t="s">
        <v>19309</v>
      </c>
      <c r="J690" s="22" t="s">
        <v>19573</v>
      </c>
      <c r="K690" s="22" t="s">
        <v>19574</v>
      </c>
      <c r="L690" s="22"/>
      <c r="M690" s="22"/>
      <c r="N690" s="25" t="str">
        <f>HYPERLINK("http://slimages.macys.com/is/image/MCY/20736365 ")</f>
        <v xml:space="preserve">http://slimages.macys.com/is/image/MCY/20736365 </v>
      </c>
    </row>
    <row r="691" spans="1:14" ht="24.75" x14ac:dyDescent="0.25">
      <c r="A691" s="21" t="s">
        <v>17269</v>
      </c>
      <c r="B691" s="22" t="s">
        <v>17270</v>
      </c>
      <c r="C691" s="2">
        <v>1</v>
      </c>
      <c r="D691" s="23">
        <v>5.99</v>
      </c>
      <c r="E691" s="3">
        <v>5.99</v>
      </c>
      <c r="F691" s="2" t="s">
        <v>17395</v>
      </c>
      <c r="G691" s="22" t="s">
        <v>19670</v>
      </c>
      <c r="H691" s="24" t="s">
        <v>19330</v>
      </c>
      <c r="I691" s="22" t="s">
        <v>19309</v>
      </c>
      <c r="J691" s="22" t="s">
        <v>19573</v>
      </c>
      <c r="K691" s="22" t="s">
        <v>19574</v>
      </c>
      <c r="L691" s="22"/>
      <c r="M691" s="22"/>
      <c r="N691" s="25" t="str">
        <f>HYPERLINK("http://slimages.macys.com/is/image/MCY/1521976 ")</f>
        <v xml:space="preserve">http://slimages.macys.com/is/image/MCY/1521976 </v>
      </c>
    </row>
    <row r="692" spans="1:14" ht="24.75" x14ac:dyDescent="0.25">
      <c r="A692" s="21" t="s">
        <v>6344</v>
      </c>
      <c r="B692" s="22" t="s">
        <v>6345</v>
      </c>
      <c r="C692" s="2">
        <v>1</v>
      </c>
      <c r="D692" s="23">
        <v>5.99</v>
      </c>
      <c r="E692" s="3">
        <v>5.99</v>
      </c>
      <c r="F692" s="2" t="s">
        <v>13522</v>
      </c>
      <c r="G692" s="22" t="s">
        <v>19763</v>
      </c>
      <c r="H692" s="24" t="s">
        <v>19330</v>
      </c>
      <c r="I692" s="22" t="s">
        <v>19309</v>
      </c>
      <c r="J692" s="22" t="s">
        <v>19573</v>
      </c>
      <c r="K692" s="22" t="s">
        <v>19574</v>
      </c>
      <c r="L692" s="22"/>
      <c r="M692" s="22"/>
      <c r="N692" s="25" t="str">
        <f>HYPERLINK("http://slimages.macys.com/is/image/MCY/19521011 ")</f>
        <v xml:space="preserve">http://slimages.macys.com/is/image/MCY/19521011 </v>
      </c>
    </row>
    <row r="693" spans="1:14" ht="24.75" x14ac:dyDescent="0.25">
      <c r="A693" s="21" t="s">
        <v>13527</v>
      </c>
      <c r="B693" s="22" t="s">
        <v>13528</v>
      </c>
      <c r="C693" s="2">
        <v>1</v>
      </c>
      <c r="D693" s="23">
        <v>5.99</v>
      </c>
      <c r="E693" s="3">
        <v>5.99</v>
      </c>
      <c r="F693" s="2" t="s">
        <v>17408</v>
      </c>
      <c r="G693" s="22" t="s">
        <v>19467</v>
      </c>
      <c r="H693" s="24" t="s">
        <v>19324</v>
      </c>
      <c r="I693" s="22" t="s">
        <v>19309</v>
      </c>
      <c r="J693" s="22" t="s">
        <v>19573</v>
      </c>
      <c r="K693" s="22" t="s">
        <v>19574</v>
      </c>
      <c r="L693" s="22"/>
      <c r="M693" s="22"/>
      <c r="N693" s="25" t="str">
        <f>HYPERLINK("http://slimages.macys.com/is/image/MCY/21970244 ")</f>
        <v xml:space="preserve">http://slimages.macys.com/is/image/MCY/21970244 </v>
      </c>
    </row>
    <row r="694" spans="1:14" ht="24.75" x14ac:dyDescent="0.25">
      <c r="A694" s="21" t="s">
        <v>17271</v>
      </c>
      <c r="B694" s="22" t="s">
        <v>17272</v>
      </c>
      <c r="C694" s="2">
        <v>1</v>
      </c>
      <c r="D694" s="23">
        <v>5.99</v>
      </c>
      <c r="E694" s="3">
        <v>5.99</v>
      </c>
      <c r="F694" s="2" t="s">
        <v>17408</v>
      </c>
      <c r="G694" s="22" t="s">
        <v>19467</v>
      </c>
      <c r="H694" s="24" t="s">
        <v>19384</v>
      </c>
      <c r="I694" s="22" t="s">
        <v>19309</v>
      </c>
      <c r="J694" s="22" t="s">
        <v>19573</v>
      </c>
      <c r="K694" s="22" t="s">
        <v>19574</v>
      </c>
      <c r="L694" s="22"/>
      <c r="M694" s="22"/>
      <c r="N694" s="25" t="str">
        <f>HYPERLINK("http://slimages.macys.com/is/image/MCY/21970244 ")</f>
        <v xml:space="preserve">http://slimages.macys.com/is/image/MCY/21970244 </v>
      </c>
    </row>
    <row r="695" spans="1:14" ht="24.75" x14ac:dyDescent="0.25">
      <c r="A695" s="21" t="s">
        <v>10759</v>
      </c>
      <c r="B695" s="22" t="s">
        <v>10760</v>
      </c>
      <c r="C695" s="2">
        <v>1</v>
      </c>
      <c r="D695" s="23">
        <v>5.99</v>
      </c>
      <c r="E695" s="3">
        <v>5.99</v>
      </c>
      <c r="F695" s="2" t="s">
        <v>17405</v>
      </c>
      <c r="G695" s="22" t="s">
        <v>19351</v>
      </c>
      <c r="H695" s="24" t="s">
        <v>19416</v>
      </c>
      <c r="I695" s="22" t="s">
        <v>19309</v>
      </c>
      <c r="J695" s="22" t="s">
        <v>19573</v>
      </c>
      <c r="K695" s="22" t="s">
        <v>19574</v>
      </c>
      <c r="L695" s="22"/>
      <c r="M695" s="22"/>
      <c r="N695" s="25" t="str">
        <f>HYPERLINK("http://slimages.macys.com/is/image/MCY/1570641 ")</f>
        <v xml:space="preserve">http://slimages.macys.com/is/image/MCY/1570641 </v>
      </c>
    </row>
    <row r="696" spans="1:14" ht="24.75" x14ac:dyDescent="0.25">
      <c r="A696" s="21" t="s">
        <v>17273</v>
      </c>
      <c r="B696" s="22" t="s">
        <v>17274</v>
      </c>
      <c r="C696" s="2">
        <v>2</v>
      </c>
      <c r="D696" s="23">
        <v>5.99</v>
      </c>
      <c r="E696" s="3">
        <v>11.98</v>
      </c>
      <c r="F696" s="2" t="s">
        <v>17408</v>
      </c>
      <c r="G696" s="22" t="s">
        <v>19467</v>
      </c>
      <c r="H696" s="24" t="s">
        <v>19330</v>
      </c>
      <c r="I696" s="22" t="s">
        <v>19309</v>
      </c>
      <c r="J696" s="22" t="s">
        <v>19573</v>
      </c>
      <c r="K696" s="22" t="s">
        <v>19574</v>
      </c>
      <c r="L696" s="22"/>
      <c r="M696" s="22"/>
      <c r="N696" s="25" t="str">
        <f>HYPERLINK("http://slimages.macys.com/is/image/MCY/21970244 ")</f>
        <v xml:space="preserve">http://slimages.macys.com/is/image/MCY/21970244 </v>
      </c>
    </row>
    <row r="697" spans="1:14" ht="24.75" x14ac:dyDescent="0.25">
      <c r="A697" s="21" t="s">
        <v>14340</v>
      </c>
      <c r="B697" s="22" t="s">
        <v>17308</v>
      </c>
      <c r="C697" s="2">
        <v>1</v>
      </c>
      <c r="D697" s="23">
        <v>5.99</v>
      </c>
      <c r="E697" s="3">
        <v>5.99</v>
      </c>
      <c r="F697" s="2" t="s">
        <v>17405</v>
      </c>
      <c r="G697" s="22" t="s">
        <v>19351</v>
      </c>
      <c r="H697" s="24" t="s">
        <v>19330</v>
      </c>
      <c r="I697" s="22" t="s">
        <v>19309</v>
      </c>
      <c r="J697" s="22" t="s">
        <v>19573</v>
      </c>
      <c r="K697" s="22" t="s">
        <v>19574</v>
      </c>
      <c r="L697" s="22"/>
      <c r="M697" s="22"/>
      <c r="N697" s="25" t="str">
        <f>HYPERLINK("http://slimages.macys.com/is/image/MCY/1570641 ")</f>
        <v xml:space="preserve">http://slimages.macys.com/is/image/MCY/1570641 </v>
      </c>
    </row>
    <row r="698" spans="1:14" ht="24.75" x14ac:dyDescent="0.25">
      <c r="A698" s="21" t="s">
        <v>6346</v>
      </c>
      <c r="B698" s="22" t="s">
        <v>6347</v>
      </c>
      <c r="C698" s="2">
        <v>1</v>
      </c>
      <c r="D698" s="23">
        <v>5.99</v>
      </c>
      <c r="E698" s="3">
        <v>5.99</v>
      </c>
      <c r="F698" s="2" t="s">
        <v>17408</v>
      </c>
      <c r="G698" s="22" t="s">
        <v>19467</v>
      </c>
      <c r="H698" s="24" t="s">
        <v>19416</v>
      </c>
      <c r="I698" s="22" t="s">
        <v>19309</v>
      </c>
      <c r="J698" s="22" t="s">
        <v>19573</v>
      </c>
      <c r="K698" s="22" t="s">
        <v>19574</v>
      </c>
      <c r="L698" s="22"/>
      <c r="M698" s="22"/>
      <c r="N698" s="25" t="str">
        <f>HYPERLINK("http://slimages.macys.com/is/image/MCY/21970244 ")</f>
        <v xml:space="preserve">http://slimages.macys.com/is/image/MCY/21970244 </v>
      </c>
    </row>
    <row r="699" spans="1:14" ht="24.75" x14ac:dyDescent="0.25">
      <c r="A699" s="21" t="s">
        <v>17406</v>
      </c>
      <c r="B699" s="22" t="s">
        <v>17407</v>
      </c>
      <c r="C699" s="2">
        <v>1</v>
      </c>
      <c r="D699" s="23">
        <v>5.99</v>
      </c>
      <c r="E699" s="3">
        <v>5.99</v>
      </c>
      <c r="F699" s="2" t="s">
        <v>17408</v>
      </c>
      <c r="G699" s="22" t="s">
        <v>19467</v>
      </c>
      <c r="H699" s="24" t="s">
        <v>19538</v>
      </c>
      <c r="I699" s="22" t="s">
        <v>19309</v>
      </c>
      <c r="J699" s="22" t="s">
        <v>19573</v>
      </c>
      <c r="K699" s="22" t="s">
        <v>19574</v>
      </c>
      <c r="L699" s="22"/>
      <c r="M699" s="22"/>
      <c r="N699" s="25" t="str">
        <f>HYPERLINK("http://slimages.macys.com/is/image/MCY/21970244 ")</f>
        <v xml:space="preserve">http://slimages.macys.com/is/image/MCY/21970244 </v>
      </c>
    </row>
    <row r="700" spans="1:14" ht="24.75" x14ac:dyDescent="0.25">
      <c r="A700" s="21" t="s">
        <v>14993</v>
      </c>
      <c r="B700" s="22" t="s">
        <v>14994</v>
      </c>
      <c r="C700" s="2">
        <v>1</v>
      </c>
      <c r="D700" s="23">
        <v>5.99</v>
      </c>
      <c r="E700" s="3">
        <v>5.99</v>
      </c>
      <c r="F700" s="2" t="s">
        <v>17280</v>
      </c>
      <c r="G700" s="22" t="s">
        <v>19618</v>
      </c>
      <c r="H700" s="24" t="s">
        <v>19324</v>
      </c>
      <c r="I700" s="22" t="s">
        <v>19309</v>
      </c>
      <c r="J700" s="22" t="s">
        <v>19573</v>
      </c>
      <c r="K700" s="22" t="s">
        <v>19574</v>
      </c>
      <c r="L700" s="22"/>
      <c r="M700" s="22"/>
      <c r="N700" s="25" t="str">
        <f>HYPERLINK("http://slimages.macys.com/is/image/MCY/20839692 ")</f>
        <v xml:space="preserve">http://slimages.macys.com/is/image/MCY/20839692 </v>
      </c>
    </row>
    <row r="701" spans="1:14" ht="24.75" x14ac:dyDescent="0.25">
      <c r="A701" s="21" t="s">
        <v>17421</v>
      </c>
      <c r="B701" s="22" t="s">
        <v>17422</v>
      </c>
      <c r="C701" s="2">
        <v>1</v>
      </c>
      <c r="D701" s="23">
        <v>5.99</v>
      </c>
      <c r="E701" s="3">
        <v>5.99</v>
      </c>
      <c r="F701" s="2" t="s">
        <v>17417</v>
      </c>
      <c r="G701" s="22" t="s">
        <v>19351</v>
      </c>
      <c r="H701" s="24" t="s">
        <v>19538</v>
      </c>
      <c r="I701" s="22" t="s">
        <v>19309</v>
      </c>
      <c r="J701" s="22" t="s">
        <v>19573</v>
      </c>
      <c r="K701" s="22" t="s">
        <v>19574</v>
      </c>
      <c r="L701" s="22"/>
      <c r="M701" s="22"/>
      <c r="N701" s="25" t="str">
        <f>HYPERLINK("http://slimages.macys.com/is/image/MCY/21209473 ")</f>
        <v xml:space="preserve">http://slimages.macys.com/is/image/MCY/21209473 </v>
      </c>
    </row>
    <row r="702" spans="1:14" ht="24.75" x14ac:dyDescent="0.25">
      <c r="A702" s="21" t="s">
        <v>6348</v>
      </c>
      <c r="B702" s="22" t="s">
        <v>6349</v>
      </c>
      <c r="C702" s="2">
        <v>1</v>
      </c>
      <c r="D702" s="23">
        <v>5.99</v>
      </c>
      <c r="E702" s="3">
        <v>5.99</v>
      </c>
      <c r="F702" s="2" t="s">
        <v>17417</v>
      </c>
      <c r="G702" s="22" t="s">
        <v>19351</v>
      </c>
      <c r="H702" s="24" t="s">
        <v>19416</v>
      </c>
      <c r="I702" s="22" t="s">
        <v>19309</v>
      </c>
      <c r="J702" s="22" t="s">
        <v>19573</v>
      </c>
      <c r="K702" s="22" t="s">
        <v>19574</v>
      </c>
      <c r="L702" s="22"/>
      <c r="M702" s="22"/>
      <c r="N702" s="25" t="str">
        <f>HYPERLINK("http://slimages.macys.com/is/image/MCY/21209473 ")</f>
        <v xml:space="preserve">http://slimages.macys.com/is/image/MCY/21209473 </v>
      </c>
    </row>
    <row r="703" spans="1:14" ht="24.75" x14ac:dyDescent="0.25">
      <c r="A703" s="21" t="s">
        <v>13531</v>
      </c>
      <c r="B703" s="22" t="s">
        <v>13532</v>
      </c>
      <c r="C703" s="2">
        <v>2</v>
      </c>
      <c r="D703" s="23">
        <v>5.99</v>
      </c>
      <c r="E703" s="3">
        <v>11.98</v>
      </c>
      <c r="F703" s="2" t="s">
        <v>17417</v>
      </c>
      <c r="G703" s="22" t="s">
        <v>19351</v>
      </c>
      <c r="H703" s="24" t="s">
        <v>19330</v>
      </c>
      <c r="I703" s="22" t="s">
        <v>19309</v>
      </c>
      <c r="J703" s="22" t="s">
        <v>19573</v>
      </c>
      <c r="K703" s="22" t="s">
        <v>19574</v>
      </c>
      <c r="L703" s="22"/>
      <c r="M703" s="22"/>
      <c r="N703" s="25" t="str">
        <f>HYPERLINK("http://slimages.macys.com/is/image/MCY/21209473 ")</f>
        <v xml:space="preserve">http://slimages.macys.com/is/image/MCY/21209473 </v>
      </c>
    </row>
    <row r="704" spans="1:14" ht="24.75" x14ac:dyDescent="0.25">
      <c r="A704" s="21" t="s">
        <v>14995</v>
      </c>
      <c r="B704" s="22" t="s">
        <v>14996</v>
      </c>
      <c r="C704" s="2">
        <v>3</v>
      </c>
      <c r="D704" s="23">
        <v>5.99</v>
      </c>
      <c r="E704" s="3">
        <v>17.97</v>
      </c>
      <c r="F704" s="2" t="s">
        <v>17417</v>
      </c>
      <c r="G704" s="22" t="s">
        <v>19351</v>
      </c>
      <c r="H704" s="24" t="s">
        <v>19324</v>
      </c>
      <c r="I704" s="22" t="s">
        <v>19309</v>
      </c>
      <c r="J704" s="22" t="s">
        <v>19573</v>
      </c>
      <c r="K704" s="22" t="s">
        <v>19574</v>
      </c>
      <c r="L704" s="22"/>
      <c r="M704" s="22"/>
      <c r="N704" s="25" t="str">
        <f>HYPERLINK("http://slimages.macys.com/is/image/MCY/21209473 ")</f>
        <v xml:space="preserve">http://slimages.macys.com/is/image/MCY/21209473 </v>
      </c>
    </row>
    <row r="705" spans="1:14" ht="24.75" x14ac:dyDescent="0.25">
      <c r="A705" s="21" t="s">
        <v>6350</v>
      </c>
      <c r="B705" s="22" t="s">
        <v>6351</v>
      </c>
      <c r="C705" s="2">
        <v>1</v>
      </c>
      <c r="D705" s="23">
        <v>5.99</v>
      </c>
      <c r="E705" s="3">
        <v>5.99</v>
      </c>
      <c r="F705" s="2" t="s">
        <v>17433</v>
      </c>
      <c r="G705" s="22" t="s">
        <v>19467</v>
      </c>
      <c r="H705" s="24" t="s">
        <v>19538</v>
      </c>
      <c r="I705" s="22" t="s">
        <v>19309</v>
      </c>
      <c r="J705" s="22" t="s">
        <v>19573</v>
      </c>
      <c r="K705" s="22" t="s">
        <v>19574</v>
      </c>
      <c r="L705" s="22"/>
      <c r="M705" s="22"/>
      <c r="N705" s="25" t="str">
        <f>HYPERLINK("http://slimages.macys.com/is/image/MCY/21209307 ")</f>
        <v xml:space="preserve">http://slimages.macys.com/is/image/MCY/21209307 </v>
      </c>
    </row>
    <row r="706" spans="1:14" ht="24.75" x14ac:dyDescent="0.25">
      <c r="A706" s="21" t="s">
        <v>17428</v>
      </c>
      <c r="B706" s="22" t="s">
        <v>17429</v>
      </c>
      <c r="C706" s="2">
        <v>1</v>
      </c>
      <c r="D706" s="23">
        <v>5.99</v>
      </c>
      <c r="E706" s="3">
        <v>5.99</v>
      </c>
      <c r="F706" s="2" t="s">
        <v>17430</v>
      </c>
      <c r="G706" s="22" t="s">
        <v>19351</v>
      </c>
      <c r="H706" s="24" t="s">
        <v>19416</v>
      </c>
      <c r="I706" s="22" t="s">
        <v>19309</v>
      </c>
      <c r="J706" s="22" t="s">
        <v>19573</v>
      </c>
      <c r="K706" s="22" t="s">
        <v>19574</v>
      </c>
      <c r="L706" s="22"/>
      <c r="M706" s="22"/>
      <c r="N706" s="25" t="str">
        <f>HYPERLINK("http://slimages.macys.com/is/image/MCY/1537013 ")</f>
        <v xml:space="preserve">http://slimages.macys.com/is/image/MCY/1537013 </v>
      </c>
    </row>
    <row r="707" spans="1:14" ht="24.75" x14ac:dyDescent="0.25">
      <c r="A707" s="21" t="s">
        <v>6352</v>
      </c>
      <c r="B707" s="22" t="s">
        <v>6353</v>
      </c>
      <c r="C707" s="2">
        <v>1</v>
      </c>
      <c r="D707" s="23">
        <v>5.99</v>
      </c>
      <c r="E707" s="3">
        <v>5.99</v>
      </c>
      <c r="F707" s="2" t="s">
        <v>17430</v>
      </c>
      <c r="G707" s="22" t="s">
        <v>19351</v>
      </c>
      <c r="H707" s="24" t="s">
        <v>19384</v>
      </c>
      <c r="I707" s="22" t="s">
        <v>19309</v>
      </c>
      <c r="J707" s="22" t="s">
        <v>19573</v>
      </c>
      <c r="K707" s="22" t="s">
        <v>19574</v>
      </c>
      <c r="L707" s="22"/>
      <c r="M707" s="22"/>
      <c r="N707" s="25" t="str">
        <f>HYPERLINK("http://slimages.macys.com/is/image/MCY/1537013 ")</f>
        <v xml:space="preserve">http://slimages.macys.com/is/image/MCY/1537013 </v>
      </c>
    </row>
    <row r="708" spans="1:14" ht="24.75" x14ac:dyDescent="0.25">
      <c r="A708" s="21" t="s">
        <v>15005</v>
      </c>
      <c r="B708" s="22" t="s">
        <v>15006</v>
      </c>
      <c r="C708" s="2">
        <v>1</v>
      </c>
      <c r="D708" s="23">
        <v>5.99</v>
      </c>
      <c r="E708" s="3">
        <v>5.99</v>
      </c>
      <c r="F708" s="2" t="s">
        <v>17430</v>
      </c>
      <c r="G708" s="22" t="s">
        <v>19351</v>
      </c>
      <c r="H708" s="24" t="s">
        <v>19330</v>
      </c>
      <c r="I708" s="22" t="s">
        <v>19309</v>
      </c>
      <c r="J708" s="22" t="s">
        <v>19573</v>
      </c>
      <c r="K708" s="22" t="s">
        <v>19574</v>
      </c>
      <c r="L708" s="22"/>
      <c r="M708" s="22"/>
      <c r="N708" s="25" t="str">
        <f>HYPERLINK("http://slimages.macys.com/is/image/MCY/1537013 ")</f>
        <v xml:space="preserve">http://slimages.macys.com/is/image/MCY/1537013 </v>
      </c>
    </row>
    <row r="709" spans="1:14" ht="24.75" x14ac:dyDescent="0.25">
      <c r="A709" s="21" t="s">
        <v>17445</v>
      </c>
      <c r="B709" s="22" t="s">
        <v>17446</v>
      </c>
      <c r="C709" s="2">
        <v>1</v>
      </c>
      <c r="D709" s="23">
        <v>5.99</v>
      </c>
      <c r="E709" s="3">
        <v>5.99</v>
      </c>
      <c r="F709" s="2" t="s">
        <v>17440</v>
      </c>
      <c r="G709" s="22" t="s">
        <v>19906</v>
      </c>
      <c r="H709" s="24" t="s">
        <v>19538</v>
      </c>
      <c r="I709" s="22" t="s">
        <v>19309</v>
      </c>
      <c r="J709" s="22" t="s">
        <v>19573</v>
      </c>
      <c r="K709" s="22" t="s">
        <v>19574</v>
      </c>
      <c r="L709" s="22"/>
      <c r="M709" s="22"/>
      <c r="N709" s="25" t="str">
        <f t="shared" ref="N709:N715" si="1">HYPERLINK("http://slimages.macys.com/is/image/MCY/21209026 ")</f>
        <v xml:space="preserve">http://slimages.macys.com/is/image/MCY/21209026 </v>
      </c>
    </row>
    <row r="710" spans="1:14" ht="24.75" x14ac:dyDescent="0.25">
      <c r="A710" s="21" t="s">
        <v>10769</v>
      </c>
      <c r="B710" s="22" t="s">
        <v>10770</v>
      </c>
      <c r="C710" s="2">
        <v>1</v>
      </c>
      <c r="D710" s="23">
        <v>5.99</v>
      </c>
      <c r="E710" s="3">
        <v>5.99</v>
      </c>
      <c r="F710" s="2" t="s">
        <v>17440</v>
      </c>
      <c r="G710" s="22" t="s">
        <v>19906</v>
      </c>
      <c r="H710" s="24" t="s">
        <v>19416</v>
      </c>
      <c r="I710" s="22" t="s">
        <v>19309</v>
      </c>
      <c r="J710" s="22" t="s">
        <v>19573</v>
      </c>
      <c r="K710" s="22" t="s">
        <v>19574</v>
      </c>
      <c r="L710" s="22"/>
      <c r="M710" s="22"/>
      <c r="N710" s="25" t="str">
        <f t="shared" si="1"/>
        <v xml:space="preserve">http://slimages.macys.com/is/image/MCY/21209026 </v>
      </c>
    </row>
    <row r="711" spans="1:14" ht="24.75" x14ac:dyDescent="0.25">
      <c r="A711" s="21" t="s">
        <v>17443</v>
      </c>
      <c r="B711" s="22" t="s">
        <v>17444</v>
      </c>
      <c r="C711" s="2">
        <v>1</v>
      </c>
      <c r="D711" s="23">
        <v>5.99</v>
      </c>
      <c r="E711" s="3">
        <v>5.99</v>
      </c>
      <c r="F711" s="2" t="s">
        <v>17440</v>
      </c>
      <c r="G711" s="22" t="s">
        <v>19906</v>
      </c>
      <c r="H711" s="24" t="s">
        <v>19330</v>
      </c>
      <c r="I711" s="22" t="s">
        <v>19309</v>
      </c>
      <c r="J711" s="22" t="s">
        <v>19573</v>
      </c>
      <c r="K711" s="22" t="s">
        <v>19574</v>
      </c>
      <c r="L711" s="22"/>
      <c r="M711" s="22"/>
      <c r="N711" s="25" t="str">
        <f t="shared" si="1"/>
        <v xml:space="preserve">http://slimages.macys.com/is/image/MCY/21209026 </v>
      </c>
    </row>
    <row r="712" spans="1:14" ht="24.75" x14ac:dyDescent="0.25">
      <c r="A712" s="21" t="s">
        <v>15009</v>
      </c>
      <c r="B712" s="22" t="s">
        <v>15010</v>
      </c>
      <c r="C712" s="2">
        <v>3</v>
      </c>
      <c r="D712" s="23">
        <v>5.99</v>
      </c>
      <c r="E712" s="3">
        <v>17.97</v>
      </c>
      <c r="F712" s="2" t="s">
        <v>17440</v>
      </c>
      <c r="G712" s="22" t="s">
        <v>19415</v>
      </c>
      <c r="H712" s="24" t="s">
        <v>19330</v>
      </c>
      <c r="I712" s="22" t="s">
        <v>19309</v>
      </c>
      <c r="J712" s="22" t="s">
        <v>19573</v>
      </c>
      <c r="K712" s="22" t="s">
        <v>19574</v>
      </c>
      <c r="L712" s="22"/>
      <c r="M712" s="22"/>
      <c r="N712" s="25" t="str">
        <f t="shared" si="1"/>
        <v xml:space="preserve">http://slimages.macys.com/is/image/MCY/21209026 </v>
      </c>
    </row>
    <row r="713" spans="1:14" ht="24.75" x14ac:dyDescent="0.25">
      <c r="A713" s="21" t="s">
        <v>17288</v>
      </c>
      <c r="B713" s="22" t="s">
        <v>17289</v>
      </c>
      <c r="C713" s="2">
        <v>2</v>
      </c>
      <c r="D713" s="23">
        <v>5.99</v>
      </c>
      <c r="E713" s="3">
        <v>11.98</v>
      </c>
      <c r="F713" s="2" t="s">
        <v>17440</v>
      </c>
      <c r="G713" s="22" t="s">
        <v>19415</v>
      </c>
      <c r="H713" s="24" t="s">
        <v>19324</v>
      </c>
      <c r="I713" s="22" t="s">
        <v>19309</v>
      </c>
      <c r="J713" s="22" t="s">
        <v>19573</v>
      </c>
      <c r="K713" s="22" t="s">
        <v>19574</v>
      </c>
      <c r="L713" s="22"/>
      <c r="M713" s="22"/>
      <c r="N713" s="25" t="str">
        <f t="shared" si="1"/>
        <v xml:space="preserve">http://slimages.macys.com/is/image/MCY/21209026 </v>
      </c>
    </row>
    <row r="714" spans="1:14" ht="24.75" x14ac:dyDescent="0.25">
      <c r="A714" s="21" t="s">
        <v>17290</v>
      </c>
      <c r="B714" s="22" t="s">
        <v>17291</v>
      </c>
      <c r="C714" s="2">
        <v>2</v>
      </c>
      <c r="D714" s="23">
        <v>5.99</v>
      </c>
      <c r="E714" s="3">
        <v>11.98</v>
      </c>
      <c r="F714" s="2" t="s">
        <v>17440</v>
      </c>
      <c r="G714" s="22" t="s">
        <v>19415</v>
      </c>
      <c r="H714" s="24" t="s">
        <v>19416</v>
      </c>
      <c r="I714" s="22" t="s">
        <v>19309</v>
      </c>
      <c r="J714" s="22" t="s">
        <v>19573</v>
      </c>
      <c r="K714" s="22" t="s">
        <v>19574</v>
      </c>
      <c r="L714" s="22"/>
      <c r="M714" s="22"/>
      <c r="N714" s="25" t="str">
        <f t="shared" si="1"/>
        <v xml:space="preserve">http://slimages.macys.com/is/image/MCY/21209026 </v>
      </c>
    </row>
    <row r="715" spans="1:14" ht="24.75" x14ac:dyDescent="0.25">
      <c r="A715" s="21" t="s">
        <v>17441</v>
      </c>
      <c r="B715" s="22" t="s">
        <v>17442</v>
      </c>
      <c r="C715" s="2">
        <v>2</v>
      </c>
      <c r="D715" s="23">
        <v>5.99</v>
      </c>
      <c r="E715" s="3">
        <v>11.98</v>
      </c>
      <c r="F715" s="2" t="s">
        <v>17440</v>
      </c>
      <c r="G715" s="22" t="s">
        <v>19415</v>
      </c>
      <c r="H715" s="24" t="s">
        <v>19384</v>
      </c>
      <c r="I715" s="22" t="s">
        <v>19309</v>
      </c>
      <c r="J715" s="22" t="s">
        <v>19573</v>
      </c>
      <c r="K715" s="22" t="s">
        <v>19574</v>
      </c>
      <c r="L715" s="22"/>
      <c r="M715" s="22"/>
      <c r="N715" s="25" t="str">
        <f t="shared" si="1"/>
        <v xml:space="preserve">http://slimages.macys.com/is/image/MCY/21209026 </v>
      </c>
    </row>
    <row r="716" spans="1:14" ht="24.75" x14ac:dyDescent="0.25">
      <c r="A716" s="21" t="s">
        <v>15013</v>
      </c>
      <c r="B716" s="22" t="s">
        <v>15014</v>
      </c>
      <c r="C716" s="2">
        <v>1</v>
      </c>
      <c r="D716" s="23">
        <v>5.99</v>
      </c>
      <c r="E716" s="3">
        <v>5.99</v>
      </c>
      <c r="F716" s="2" t="s">
        <v>17449</v>
      </c>
      <c r="G716" s="22" t="s">
        <v>19415</v>
      </c>
      <c r="H716" s="24" t="s">
        <v>19416</v>
      </c>
      <c r="I716" s="22" t="s">
        <v>19309</v>
      </c>
      <c r="J716" s="22" t="s">
        <v>19573</v>
      </c>
      <c r="K716" s="22" t="s">
        <v>19574</v>
      </c>
      <c r="L716" s="22"/>
      <c r="M716" s="22"/>
      <c r="N716" s="25" t="str">
        <f>HYPERLINK("http://slimages.macys.com/is/image/MCY/21209295 ")</f>
        <v xml:space="preserve">http://slimages.macys.com/is/image/MCY/21209295 </v>
      </c>
    </row>
    <row r="717" spans="1:14" ht="24.75" x14ac:dyDescent="0.25">
      <c r="A717" s="21" t="s">
        <v>17292</v>
      </c>
      <c r="B717" s="22" t="s">
        <v>17293</v>
      </c>
      <c r="C717" s="2">
        <v>1</v>
      </c>
      <c r="D717" s="23">
        <v>5.99</v>
      </c>
      <c r="E717" s="3">
        <v>5.99</v>
      </c>
      <c r="F717" s="2" t="s">
        <v>17449</v>
      </c>
      <c r="G717" s="22" t="s">
        <v>19415</v>
      </c>
      <c r="H717" s="24" t="s">
        <v>19538</v>
      </c>
      <c r="I717" s="22" t="s">
        <v>19309</v>
      </c>
      <c r="J717" s="22" t="s">
        <v>19573</v>
      </c>
      <c r="K717" s="22" t="s">
        <v>19574</v>
      </c>
      <c r="L717" s="22"/>
      <c r="M717" s="22"/>
      <c r="N717" s="25" t="str">
        <f>HYPERLINK("http://slimages.macys.com/is/image/MCY/21209295 ")</f>
        <v xml:space="preserve">http://slimages.macys.com/is/image/MCY/21209295 </v>
      </c>
    </row>
    <row r="718" spans="1:14" ht="24.75" x14ac:dyDescent="0.25">
      <c r="A718" s="21" t="s">
        <v>17310</v>
      </c>
      <c r="B718" s="22" t="s">
        <v>17311</v>
      </c>
      <c r="C718" s="2">
        <v>1</v>
      </c>
      <c r="D718" s="23">
        <v>5.99</v>
      </c>
      <c r="E718" s="3">
        <v>5.99</v>
      </c>
      <c r="F718" s="2" t="s">
        <v>17452</v>
      </c>
      <c r="G718" s="22" t="s">
        <v>19467</v>
      </c>
      <c r="H718" s="24" t="s">
        <v>19330</v>
      </c>
      <c r="I718" s="22" t="s">
        <v>19309</v>
      </c>
      <c r="J718" s="22" t="s">
        <v>19573</v>
      </c>
      <c r="K718" s="22" t="s">
        <v>19574</v>
      </c>
      <c r="L718" s="22"/>
      <c r="M718" s="22"/>
      <c r="N718" s="25" t="str">
        <f>HYPERLINK("http://slimages.macys.com/is/image/MCY/21209018 ")</f>
        <v xml:space="preserve">http://slimages.macys.com/is/image/MCY/21209018 </v>
      </c>
    </row>
    <row r="719" spans="1:14" ht="24.75" x14ac:dyDescent="0.25">
      <c r="A719" s="21" t="s">
        <v>17296</v>
      </c>
      <c r="B719" s="22" t="s">
        <v>17297</v>
      </c>
      <c r="C719" s="2">
        <v>4</v>
      </c>
      <c r="D719" s="23">
        <v>5.99</v>
      </c>
      <c r="E719" s="3">
        <v>23.96</v>
      </c>
      <c r="F719" s="2" t="s">
        <v>17452</v>
      </c>
      <c r="G719" s="22" t="s">
        <v>19467</v>
      </c>
      <c r="H719" s="24" t="s">
        <v>19384</v>
      </c>
      <c r="I719" s="22" t="s">
        <v>19309</v>
      </c>
      <c r="J719" s="22" t="s">
        <v>19573</v>
      </c>
      <c r="K719" s="22" t="s">
        <v>19574</v>
      </c>
      <c r="L719" s="22"/>
      <c r="M719" s="22"/>
      <c r="N719" s="25" t="str">
        <f>HYPERLINK("http://slimages.macys.com/is/image/MCY/21209018 ")</f>
        <v xml:space="preserve">http://slimages.macys.com/is/image/MCY/21209018 </v>
      </c>
    </row>
    <row r="720" spans="1:14" ht="24.75" x14ac:dyDescent="0.25">
      <c r="A720" s="21" t="s">
        <v>17305</v>
      </c>
      <c r="B720" s="22" t="s">
        <v>17306</v>
      </c>
      <c r="C720" s="2">
        <v>1</v>
      </c>
      <c r="D720" s="23">
        <v>5.99</v>
      </c>
      <c r="E720" s="3">
        <v>5.99</v>
      </c>
      <c r="F720" s="2" t="s">
        <v>17452</v>
      </c>
      <c r="G720" s="22" t="s">
        <v>19467</v>
      </c>
      <c r="H720" s="24" t="s">
        <v>19538</v>
      </c>
      <c r="I720" s="22" t="s">
        <v>19309</v>
      </c>
      <c r="J720" s="22" t="s">
        <v>19573</v>
      </c>
      <c r="K720" s="22" t="s">
        <v>19574</v>
      </c>
      <c r="L720" s="22"/>
      <c r="M720" s="22"/>
      <c r="N720" s="25" t="str">
        <f>HYPERLINK("http://slimages.macys.com/is/image/MCY/21209018 ")</f>
        <v xml:space="preserve">http://slimages.macys.com/is/image/MCY/21209018 </v>
      </c>
    </row>
    <row r="721" spans="1:14" ht="24.75" x14ac:dyDescent="0.25">
      <c r="A721" s="21" t="s">
        <v>6354</v>
      </c>
      <c r="B721" s="22" t="s">
        <v>6355</v>
      </c>
      <c r="C721" s="2">
        <v>1</v>
      </c>
      <c r="D721" s="23">
        <v>54.99</v>
      </c>
      <c r="E721" s="3">
        <v>54.99</v>
      </c>
      <c r="F721" s="2" t="s">
        <v>6356</v>
      </c>
      <c r="G721" s="22" t="s">
        <v>19323</v>
      </c>
      <c r="H721" s="24" t="s">
        <v>19334</v>
      </c>
      <c r="I721" s="22" t="s">
        <v>19309</v>
      </c>
      <c r="J721" s="22" t="s">
        <v>19378</v>
      </c>
      <c r="K721" s="22" t="s">
        <v>19386</v>
      </c>
      <c r="L721" s="22"/>
      <c r="M721" s="22"/>
      <c r="N721" s="25"/>
    </row>
    <row r="722" spans="1:14" ht="24.75" x14ac:dyDescent="0.25">
      <c r="A722" s="21" t="s">
        <v>6357</v>
      </c>
      <c r="B722" s="22" t="s">
        <v>6358</v>
      </c>
      <c r="C722" s="2">
        <v>1</v>
      </c>
      <c r="D722" s="23">
        <v>39.99</v>
      </c>
      <c r="E722" s="3">
        <v>39.99</v>
      </c>
      <c r="F722" s="2" t="s">
        <v>17319</v>
      </c>
      <c r="G722" s="22" t="s">
        <v>19630</v>
      </c>
      <c r="H722" s="24" t="s">
        <v>19324</v>
      </c>
      <c r="I722" s="22" t="s">
        <v>19309</v>
      </c>
      <c r="J722" s="22" t="s">
        <v>19385</v>
      </c>
      <c r="K722" s="22" t="s">
        <v>19487</v>
      </c>
      <c r="L722" s="22"/>
      <c r="M722" s="22"/>
      <c r="N722" s="25"/>
    </row>
    <row r="723" spans="1:14" ht="24.75" x14ac:dyDescent="0.25">
      <c r="A723" s="21" t="s">
        <v>13542</v>
      </c>
      <c r="B723" s="22" t="s">
        <v>13543</v>
      </c>
      <c r="C723" s="2">
        <v>1</v>
      </c>
      <c r="D723" s="23">
        <v>33.99</v>
      </c>
      <c r="E723" s="3">
        <v>33.99</v>
      </c>
      <c r="F723" s="2" t="s">
        <v>17595</v>
      </c>
      <c r="G723" s="22" t="s">
        <v>19498</v>
      </c>
      <c r="H723" s="24" t="s">
        <v>19416</v>
      </c>
      <c r="I723" s="22" t="s">
        <v>19309</v>
      </c>
      <c r="J723" s="22" t="s">
        <v>19385</v>
      </c>
      <c r="K723" s="22" t="s">
        <v>19386</v>
      </c>
      <c r="L723" s="22"/>
      <c r="M723" s="22"/>
      <c r="N723" s="25"/>
    </row>
    <row r="724" spans="1:14" ht="24.75" x14ac:dyDescent="0.25">
      <c r="A724" s="21" t="s">
        <v>6359</v>
      </c>
      <c r="B724" s="22" t="s">
        <v>6360</v>
      </c>
      <c r="C724" s="2">
        <v>1</v>
      </c>
      <c r="D724" s="23">
        <v>35.99</v>
      </c>
      <c r="E724" s="3">
        <v>35.99</v>
      </c>
      <c r="F724" s="2" t="s">
        <v>17475</v>
      </c>
      <c r="G724" s="22" t="s">
        <v>19674</v>
      </c>
      <c r="H724" s="24" t="s">
        <v>19384</v>
      </c>
      <c r="I724" s="22" t="s">
        <v>19309</v>
      </c>
      <c r="J724" s="22" t="s">
        <v>19385</v>
      </c>
      <c r="K724" s="22" t="s">
        <v>19487</v>
      </c>
      <c r="L724" s="22"/>
      <c r="M724" s="22"/>
      <c r="N724" s="25"/>
    </row>
    <row r="725" spans="1:14" ht="24.75" x14ac:dyDescent="0.25">
      <c r="A725" s="21" t="s">
        <v>17320</v>
      </c>
      <c r="B725" s="22" t="s">
        <v>17321</v>
      </c>
      <c r="C725" s="2">
        <v>1</v>
      </c>
      <c r="D725" s="23">
        <v>33.99</v>
      </c>
      <c r="E725" s="3">
        <v>33.99</v>
      </c>
      <c r="F725" s="2" t="s">
        <v>17595</v>
      </c>
      <c r="G725" s="22" t="s">
        <v>19498</v>
      </c>
      <c r="H725" s="24" t="s">
        <v>19324</v>
      </c>
      <c r="I725" s="22" t="s">
        <v>19309</v>
      </c>
      <c r="J725" s="22" t="s">
        <v>19385</v>
      </c>
      <c r="K725" s="22" t="s">
        <v>19386</v>
      </c>
      <c r="L725" s="22"/>
      <c r="M725" s="22"/>
      <c r="N725" s="25"/>
    </row>
    <row r="726" spans="1:14" ht="24.75" x14ac:dyDescent="0.25">
      <c r="A726" s="21" t="s">
        <v>6361</v>
      </c>
      <c r="B726" s="22" t="s">
        <v>6362</v>
      </c>
      <c r="C726" s="2">
        <v>1</v>
      </c>
      <c r="D726" s="23">
        <v>33.99</v>
      </c>
      <c r="E726" s="3">
        <v>33.99</v>
      </c>
      <c r="F726" s="2" t="s">
        <v>6363</v>
      </c>
      <c r="G726" s="22"/>
      <c r="H726" s="24" t="s">
        <v>19330</v>
      </c>
      <c r="I726" s="22" t="s">
        <v>19309</v>
      </c>
      <c r="J726" s="22" t="s">
        <v>19385</v>
      </c>
      <c r="K726" s="22" t="s">
        <v>19487</v>
      </c>
      <c r="L726" s="22"/>
      <c r="M726" s="22"/>
      <c r="N726" s="25"/>
    </row>
    <row r="727" spans="1:14" ht="24.75" x14ac:dyDescent="0.25">
      <c r="A727" s="21" t="s">
        <v>13544</v>
      </c>
      <c r="B727" s="22" t="s">
        <v>13545</v>
      </c>
      <c r="C727" s="2">
        <v>1</v>
      </c>
      <c r="D727" s="23">
        <v>34.99</v>
      </c>
      <c r="E727" s="3">
        <v>34.99</v>
      </c>
      <c r="F727" s="2" t="s">
        <v>17478</v>
      </c>
      <c r="G727" s="22" t="s">
        <v>19333</v>
      </c>
      <c r="H727" s="24" t="s">
        <v>19416</v>
      </c>
      <c r="I727" s="22" t="s">
        <v>19309</v>
      </c>
      <c r="J727" s="22" t="s">
        <v>19385</v>
      </c>
      <c r="K727" s="22" t="s">
        <v>19487</v>
      </c>
      <c r="L727" s="22"/>
      <c r="M727" s="22"/>
      <c r="N727" s="25"/>
    </row>
    <row r="728" spans="1:14" x14ac:dyDescent="0.25">
      <c r="A728" s="21" t="s">
        <v>6364</v>
      </c>
      <c r="B728" s="22" t="s">
        <v>17352</v>
      </c>
      <c r="C728" s="2">
        <v>1</v>
      </c>
      <c r="D728" s="23">
        <v>36</v>
      </c>
      <c r="E728" s="3">
        <v>36</v>
      </c>
      <c r="F728" s="2" t="s">
        <v>17353</v>
      </c>
      <c r="G728" s="22" t="s">
        <v>19342</v>
      </c>
      <c r="H728" s="24" t="s">
        <v>19361</v>
      </c>
      <c r="I728" s="22" t="s">
        <v>19309</v>
      </c>
      <c r="J728" s="22" t="s">
        <v>17328</v>
      </c>
      <c r="K728" s="22" t="s">
        <v>17329</v>
      </c>
      <c r="L728" s="22"/>
      <c r="M728" s="22"/>
      <c r="N728" s="25"/>
    </row>
    <row r="729" spans="1:14" ht="24.75" x14ac:dyDescent="0.25">
      <c r="A729" s="21" t="s">
        <v>6365</v>
      </c>
      <c r="B729" s="22" t="s">
        <v>6366</v>
      </c>
      <c r="C729" s="2">
        <v>1</v>
      </c>
      <c r="D729" s="23">
        <v>23.99</v>
      </c>
      <c r="E729" s="3">
        <v>23.99</v>
      </c>
      <c r="F729" s="2" t="s">
        <v>6367</v>
      </c>
      <c r="G729" s="22" t="s">
        <v>19342</v>
      </c>
      <c r="H729" s="24" t="s">
        <v>19538</v>
      </c>
      <c r="I729" s="22" t="s">
        <v>19309</v>
      </c>
      <c r="J729" s="22" t="s">
        <v>19491</v>
      </c>
      <c r="K729" s="22" t="s">
        <v>19554</v>
      </c>
      <c r="L729" s="22"/>
      <c r="M729" s="22"/>
      <c r="N729" s="25"/>
    </row>
    <row r="730" spans="1:14" ht="24.75" x14ac:dyDescent="0.25">
      <c r="A730" s="21" t="s">
        <v>6368</v>
      </c>
      <c r="B730" s="22" t="s">
        <v>6366</v>
      </c>
      <c r="C730" s="2">
        <v>1</v>
      </c>
      <c r="D730" s="23">
        <v>23.99</v>
      </c>
      <c r="E730" s="3">
        <v>23.99</v>
      </c>
      <c r="F730" s="2" t="s">
        <v>6367</v>
      </c>
      <c r="G730" s="22" t="s">
        <v>19342</v>
      </c>
      <c r="H730" s="24" t="s">
        <v>19384</v>
      </c>
      <c r="I730" s="22" t="s">
        <v>19309</v>
      </c>
      <c r="J730" s="22" t="s">
        <v>19491</v>
      </c>
      <c r="K730" s="22" t="s">
        <v>19554</v>
      </c>
      <c r="L730" s="22"/>
      <c r="M730" s="22"/>
      <c r="N730" s="25"/>
    </row>
    <row r="731" spans="1:14" ht="24.75" x14ac:dyDescent="0.25">
      <c r="A731" s="21" t="s">
        <v>6369</v>
      </c>
      <c r="B731" s="22" t="s">
        <v>6370</v>
      </c>
      <c r="C731" s="2">
        <v>1</v>
      </c>
      <c r="D731" s="23">
        <v>16.82</v>
      </c>
      <c r="E731" s="3">
        <v>16.82</v>
      </c>
      <c r="F731" s="2" t="s">
        <v>20100</v>
      </c>
      <c r="G731" s="22"/>
      <c r="H731" s="24" t="s">
        <v>19334</v>
      </c>
      <c r="I731" s="22" t="s">
        <v>19309</v>
      </c>
      <c r="J731" s="22" t="s">
        <v>19602</v>
      </c>
      <c r="K731" s="22" t="s">
        <v>20041</v>
      </c>
      <c r="L731" s="22"/>
      <c r="M731" s="22"/>
      <c r="N731" s="25"/>
    </row>
    <row r="732" spans="1:14" x14ac:dyDescent="0.25">
      <c r="A732" s="21" t="s">
        <v>6371</v>
      </c>
      <c r="B732" s="22" t="s">
        <v>6372</v>
      </c>
      <c r="C732" s="2">
        <v>1</v>
      </c>
      <c r="D732" s="23">
        <v>14.93</v>
      </c>
      <c r="E732" s="3">
        <v>14.93</v>
      </c>
      <c r="F732" s="2" t="s">
        <v>13210</v>
      </c>
      <c r="G732" s="22" t="s">
        <v>18361</v>
      </c>
      <c r="H732" s="24" t="s">
        <v>19770</v>
      </c>
      <c r="I732" s="22" t="s">
        <v>19309</v>
      </c>
      <c r="J732" s="22" t="s">
        <v>19708</v>
      </c>
      <c r="K732" s="22" t="s">
        <v>19709</v>
      </c>
      <c r="L732" s="22"/>
      <c r="M732" s="22"/>
      <c r="N732" s="25"/>
    </row>
    <row r="733" spans="1:14" ht="24.75" x14ac:dyDescent="0.25">
      <c r="A733" s="21" t="s">
        <v>8185</v>
      </c>
      <c r="B733" s="22" t="s">
        <v>8186</v>
      </c>
      <c r="C733" s="2">
        <v>1</v>
      </c>
      <c r="D733" s="23">
        <v>11.55</v>
      </c>
      <c r="E733" s="3">
        <v>11.55</v>
      </c>
      <c r="F733" s="2" t="s">
        <v>17372</v>
      </c>
      <c r="G733" s="22" t="s">
        <v>19618</v>
      </c>
      <c r="H733" s="24" t="s">
        <v>19339</v>
      </c>
      <c r="I733" s="22" t="s">
        <v>19309</v>
      </c>
      <c r="J733" s="22" t="s">
        <v>19565</v>
      </c>
      <c r="K733" s="22" t="s">
        <v>18548</v>
      </c>
      <c r="L733" s="22"/>
      <c r="M733" s="22"/>
      <c r="N733" s="25"/>
    </row>
    <row r="734" spans="1:14" ht="24.75" x14ac:dyDescent="0.25">
      <c r="A734" s="21" t="s">
        <v>9377</v>
      </c>
      <c r="B734" s="22" t="s">
        <v>9378</v>
      </c>
      <c r="C734" s="2">
        <v>1</v>
      </c>
      <c r="D734" s="23">
        <v>11.55</v>
      </c>
      <c r="E734" s="3">
        <v>11.55</v>
      </c>
      <c r="F734" s="2" t="s">
        <v>17372</v>
      </c>
      <c r="G734" s="22" t="s">
        <v>19618</v>
      </c>
      <c r="H734" s="24" t="s">
        <v>19364</v>
      </c>
      <c r="I734" s="22" t="s">
        <v>19309</v>
      </c>
      <c r="J734" s="22" t="s">
        <v>19565</v>
      </c>
      <c r="K734" s="22" t="s">
        <v>18548</v>
      </c>
      <c r="L734" s="22"/>
      <c r="M734" s="22"/>
      <c r="N734" s="25"/>
    </row>
    <row r="735" spans="1:14" ht="24.75" x14ac:dyDescent="0.25">
      <c r="A735" s="21" t="s">
        <v>6373</v>
      </c>
      <c r="B735" s="22" t="s">
        <v>6374</v>
      </c>
      <c r="C735" s="2">
        <v>1</v>
      </c>
      <c r="D735" s="23">
        <v>8.1</v>
      </c>
      <c r="E735" s="3">
        <v>8.1</v>
      </c>
      <c r="F735" s="2" t="s">
        <v>6375</v>
      </c>
      <c r="G735" s="22"/>
      <c r="H735" s="24"/>
      <c r="I735" s="22" t="s">
        <v>19309</v>
      </c>
      <c r="J735" s="22" t="s">
        <v>19602</v>
      </c>
      <c r="K735" s="22" t="s">
        <v>20041</v>
      </c>
      <c r="L735" s="22"/>
      <c r="M735" s="22"/>
      <c r="N735" s="25"/>
    </row>
  </sheetData>
  <phoneticPr fontId="0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72"/>
  <sheetViews>
    <sheetView workbookViewId="0">
      <selection activeCell="F16" sqref="F16"/>
    </sheetView>
  </sheetViews>
  <sheetFormatPr defaultRowHeight="15" x14ac:dyDescent="0.25"/>
  <cols>
    <col min="1" max="1" width="14.42578125" customWidth="1"/>
    <col min="2" max="2" width="52" customWidth="1"/>
    <col min="3" max="4" width="15" customWidth="1"/>
    <col min="5" max="5" width="10.42578125" customWidth="1"/>
    <col min="6" max="6" width="14.42578125" customWidth="1"/>
    <col min="7" max="8" width="11.42578125" customWidth="1"/>
    <col min="9" max="9" width="10.85546875" customWidth="1"/>
    <col min="10" max="10" width="12.140625" customWidth="1"/>
    <col min="11" max="11" width="36.5703125" bestFit="1" customWidth="1"/>
    <col min="12" max="13" width="20.5703125" customWidth="1"/>
    <col min="14" max="14" width="64.42578125" customWidth="1"/>
  </cols>
  <sheetData>
    <row r="1" spans="1:14" ht="36" x14ac:dyDescent="0.25">
      <c r="A1" s="1" t="s">
        <v>19291</v>
      </c>
      <c r="B1" s="1" t="s">
        <v>19292</v>
      </c>
      <c r="C1" s="1" t="s">
        <v>19293</v>
      </c>
      <c r="D1" s="1" t="s">
        <v>19284</v>
      </c>
      <c r="E1" s="1" t="s">
        <v>19294</v>
      </c>
      <c r="F1" s="1" t="s">
        <v>19295</v>
      </c>
      <c r="G1" s="1" t="s">
        <v>19296</v>
      </c>
      <c r="H1" s="1" t="s">
        <v>19297</v>
      </c>
      <c r="I1" s="1" t="s">
        <v>19298</v>
      </c>
      <c r="J1" s="1" t="s">
        <v>19299</v>
      </c>
      <c r="K1" s="1" t="s">
        <v>19300</v>
      </c>
      <c r="L1" s="1" t="s">
        <v>19301</v>
      </c>
      <c r="M1" s="1" t="s">
        <v>19302</v>
      </c>
      <c r="N1" s="1" t="s">
        <v>19303</v>
      </c>
    </row>
    <row r="2" spans="1:14" ht="24.75" x14ac:dyDescent="0.25">
      <c r="A2" s="21" t="s">
        <v>6376</v>
      </c>
      <c r="B2" s="22" t="s">
        <v>6377</v>
      </c>
      <c r="C2" s="2">
        <v>1</v>
      </c>
      <c r="D2" s="23">
        <v>55</v>
      </c>
      <c r="E2" s="3">
        <v>55</v>
      </c>
      <c r="F2" s="2" t="s">
        <v>6378</v>
      </c>
      <c r="G2" s="22" t="s">
        <v>19351</v>
      </c>
      <c r="H2" s="24" t="s">
        <v>13630</v>
      </c>
      <c r="I2" s="22" t="s">
        <v>19309</v>
      </c>
      <c r="J2" s="22" t="s">
        <v>17328</v>
      </c>
      <c r="K2" s="22" t="s">
        <v>10252</v>
      </c>
      <c r="L2" s="22" t="s">
        <v>19319</v>
      </c>
      <c r="M2" s="22" t="s">
        <v>6379</v>
      </c>
      <c r="N2" s="25" t="str">
        <f>HYPERLINK("http://slimages.macys.com/is/image/MCY/2037925 ")</f>
        <v xml:space="preserve">http://slimages.macys.com/is/image/MCY/2037925 </v>
      </c>
    </row>
    <row r="3" spans="1:14" ht="24.75" x14ac:dyDescent="0.25">
      <c r="A3" s="21" t="s">
        <v>6380</v>
      </c>
      <c r="B3" s="22" t="s">
        <v>6381</v>
      </c>
      <c r="C3" s="2">
        <v>1</v>
      </c>
      <c r="D3" s="23">
        <v>49.95</v>
      </c>
      <c r="E3" s="3">
        <v>49.95</v>
      </c>
      <c r="F3" s="2" t="s">
        <v>6382</v>
      </c>
      <c r="G3" s="22" t="s">
        <v>19333</v>
      </c>
      <c r="H3" s="24" t="s">
        <v>6383</v>
      </c>
      <c r="I3" s="22" t="s">
        <v>19309</v>
      </c>
      <c r="J3" s="22" t="s">
        <v>17328</v>
      </c>
      <c r="K3" s="22" t="s">
        <v>6384</v>
      </c>
      <c r="L3" s="22" t="s">
        <v>19319</v>
      </c>
      <c r="M3" s="22" t="s">
        <v>6385</v>
      </c>
      <c r="N3" s="25" t="str">
        <f>HYPERLINK("http://slimages.macys.com/is/image/MCY/3520348 ")</f>
        <v xml:space="preserve">http://slimages.macys.com/is/image/MCY/3520348 </v>
      </c>
    </row>
    <row r="4" spans="1:14" ht="24.75" x14ac:dyDescent="0.25">
      <c r="A4" s="21" t="s">
        <v>6386</v>
      </c>
      <c r="B4" s="22" t="s">
        <v>6387</v>
      </c>
      <c r="C4" s="2">
        <v>1</v>
      </c>
      <c r="D4" s="23">
        <v>49.5</v>
      </c>
      <c r="E4" s="3">
        <v>49.5</v>
      </c>
      <c r="F4" s="2">
        <v>323864092001</v>
      </c>
      <c r="G4" s="22" t="s">
        <v>19351</v>
      </c>
      <c r="H4" s="24" t="s">
        <v>19478</v>
      </c>
      <c r="I4" s="22" t="s">
        <v>19309</v>
      </c>
      <c r="J4" s="22" t="s">
        <v>19335</v>
      </c>
      <c r="K4" s="22" t="s">
        <v>19326</v>
      </c>
      <c r="L4" s="22"/>
      <c r="M4" s="22"/>
      <c r="N4" s="25" t="str">
        <f>HYPERLINK("http://slimages.macys.com/is/image/MCY/21850603 ")</f>
        <v xml:space="preserve">http://slimages.macys.com/is/image/MCY/21850603 </v>
      </c>
    </row>
    <row r="5" spans="1:14" ht="24.75" x14ac:dyDescent="0.25">
      <c r="A5" s="21" t="s">
        <v>14561</v>
      </c>
      <c r="B5" s="22" t="s">
        <v>14562</v>
      </c>
      <c r="C5" s="2">
        <v>1</v>
      </c>
      <c r="D5" s="23">
        <v>49.5</v>
      </c>
      <c r="E5" s="3">
        <v>49.5</v>
      </c>
      <c r="F5" s="2">
        <v>323870759001</v>
      </c>
      <c r="G5" s="22" t="s">
        <v>19342</v>
      </c>
      <c r="H5" s="24" t="s">
        <v>19364</v>
      </c>
      <c r="I5" s="22" t="s">
        <v>19309</v>
      </c>
      <c r="J5" s="22" t="s">
        <v>19335</v>
      </c>
      <c r="K5" s="22" t="s">
        <v>19326</v>
      </c>
      <c r="L5" s="22"/>
      <c r="M5" s="22"/>
      <c r="N5" s="25" t="str">
        <f>HYPERLINK("http://slimages.macys.com/is/image/MCY/21990658 ")</f>
        <v xml:space="preserve">http://slimages.macys.com/is/image/MCY/21990658 </v>
      </c>
    </row>
    <row r="6" spans="1:14" ht="24.75" x14ac:dyDescent="0.25">
      <c r="A6" s="21" t="s">
        <v>6388</v>
      </c>
      <c r="B6" s="22" t="s">
        <v>6389</v>
      </c>
      <c r="C6" s="2">
        <v>1</v>
      </c>
      <c r="D6" s="23">
        <v>54.99</v>
      </c>
      <c r="E6" s="3">
        <v>54.99</v>
      </c>
      <c r="F6" s="2" t="s">
        <v>6390</v>
      </c>
      <c r="G6" s="22" t="s">
        <v>19333</v>
      </c>
      <c r="H6" s="24" t="s">
        <v>19392</v>
      </c>
      <c r="I6" s="22" t="s">
        <v>19309</v>
      </c>
      <c r="J6" s="22" t="s">
        <v>19378</v>
      </c>
      <c r="K6" s="22" t="s">
        <v>19386</v>
      </c>
      <c r="L6" s="22"/>
      <c r="M6" s="22"/>
      <c r="N6" s="25" t="str">
        <f>HYPERLINK("http://slimages.macys.com/is/image/MCY/21256878 ")</f>
        <v xml:space="preserve">http://slimages.macys.com/is/image/MCY/21256878 </v>
      </c>
    </row>
    <row r="7" spans="1:14" ht="24.75" x14ac:dyDescent="0.25">
      <c r="A7" s="21" t="s">
        <v>6391</v>
      </c>
      <c r="B7" s="22" t="s">
        <v>6392</v>
      </c>
      <c r="C7" s="2">
        <v>1</v>
      </c>
      <c r="D7" s="23">
        <v>39.5</v>
      </c>
      <c r="E7" s="3">
        <v>39.5</v>
      </c>
      <c r="F7" s="2">
        <v>323842275002</v>
      </c>
      <c r="G7" s="22" t="s">
        <v>19333</v>
      </c>
      <c r="H7" s="24" t="s">
        <v>19339</v>
      </c>
      <c r="I7" s="22" t="s">
        <v>19309</v>
      </c>
      <c r="J7" s="22" t="s">
        <v>19335</v>
      </c>
      <c r="K7" s="22" t="s">
        <v>19326</v>
      </c>
      <c r="L7" s="22"/>
      <c r="M7" s="22"/>
      <c r="N7" s="25" t="str">
        <f>HYPERLINK("http://slimages.macys.com/is/image/MCY/19469113 ")</f>
        <v xml:space="preserve">http://slimages.macys.com/is/image/MCY/19469113 </v>
      </c>
    </row>
    <row r="8" spans="1:14" ht="24.75" x14ac:dyDescent="0.25">
      <c r="A8" s="21" t="s">
        <v>6393</v>
      </c>
      <c r="B8" s="22" t="s">
        <v>6394</v>
      </c>
      <c r="C8" s="2">
        <v>1</v>
      </c>
      <c r="D8" s="23">
        <v>39.5</v>
      </c>
      <c r="E8" s="3">
        <v>39.5</v>
      </c>
      <c r="F8" s="2">
        <v>323842275003</v>
      </c>
      <c r="G8" s="22" t="s">
        <v>19351</v>
      </c>
      <c r="H8" s="24" t="s">
        <v>19308</v>
      </c>
      <c r="I8" s="22" t="s">
        <v>19309</v>
      </c>
      <c r="J8" s="22" t="s">
        <v>19335</v>
      </c>
      <c r="K8" s="22" t="s">
        <v>19326</v>
      </c>
      <c r="L8" s="22"/>
      <c r="M8" s="22"/>
      <c r="N8" s="25" t="str">
        <f>HYPERLINK("http://slimages.macys.com/is/image/MCY/19469113 ")</f>
        <v xml:space="preserve">http://slimages.macys.com/is/image/MCY/19469113 </v>
      </c>
    </row>
    <row r="9" spans="1:14" ht="24.75" x14ac:dyDescent="0.25">
      <c r="A9" s="21" t="s">
        <v>6395</v>
      </c>
      <c r="B9" s="22" t="s">
        <v>6396</v>
      </c>
      <c r="C9" s="2">
        <v>1</v>
      </c>
      <c r="D9" s="23">
        <v>45</v>
      </c>
      <c r="E9" s="3">
        <v>45</v>
      </c>
      <c r="F9" s="2">
        <v>320701545010</v>
      </c>
      <c r="G9" s="22" t="s">
        <v>19333</v>
      </c>
      <c r="H9" s="24" t="s">
        <v>20152</v>
      </c>
      <c r="I9" s="22" t="s">
        <v>19309</v>
      </c>
      <c r="J9" s="22" t="s">
        <v>19325</v>
      </c>
      <c r="K9" s="22" t="s">
        <v>19326</v>
      </c>
      <c r="L9" s="22" t="s">
        <v>19319</v>
      </c>
      <c r="M9" s="22" t="s">
        <v>19358</v>
      </c>
      <c r="N9" s="25" t="str">
        <f>HYPERLINK("http://images.bloomingdales.com/is/image/BLM/11733844 ")</f>
        <v xml:space="preserve">http://images.bloomingdales.com/is/image/BLM/11733844 </v>
      </c>
    </row>
    <row r="10" spans="1:14" ht="24.75" x14ac:dyDescent="0.25">
      <c r="A10" s="21" t="s">
        <v>19346</v>
      </c>
      <c r="B10" s="22" t="s">
        <v>19347</v>
      </c>
      <c r="C10" s="2">
        <v>2</v>
      </c>
      <c r="D10" s="23">
        <v>45</v>
      </c>
      <c r="E10" s="3">
        <v>90</v>
      </c>
      <c r="F10" s="2">
        <v>321870933001</v>
      </c>
      <c r="G10" s="22" t="s">
        <v>19338</v>
      </c>
      <c r="H10" s="24" t="s">
        <v>19345</v>
      </c>
      <c r="I10" s="22" t="s">
        <v>19309</v>
      </c>
      <c r="J10" s="22" t="s">
        <v>19335</v>
      </c>
      <c r="K10" s="22" t="s">
        <v>19326</v>
      </c>
      <c r="L10" s="22"/>
      <c r="M10" s="22"/>
      <c r="N10" s="25" t="str">
        <f>HYPERLINK("http://slimages.macys.com/is/image/MCY/21850336 ")</f>
        <v xml:space="preserve">http://slimages.macys.com/is/image/MCY/21850336 </v>
      </c>
    </row>
    <row r="11" spans="1:14" ht="24.75" x14ac:dyDescent="0.25">
      <c r="A11" s="21" t="s">
        <v>6397</v>
      </c>
      <c r="B11" s="22" t="s">
        <v>6398</v>
      </c>
      <c r="C11" s="2">
        <v>1</v>
      </c>
      <c r="D11" s="23">
        <v>54.99</v>
      </c>
      <c r="E11" s="3">
        <v>54.99</v>
      </c>
      <c r="F11" s="2" t="s">
        <v>6399</v>
      </c>
      <c r="G11" s="22" t="s">
        <v>19794</v>
      </c>
      <c r="H11" s="24" t="s">
        <v>19361</v>
      </c>
      <c r="I11" s="22" t="s">
        <v>19309</v>
      </c>
      <c r="J11" s="22" t="s">
        <v>19378</v>
      </c>
      <c r="K11" s="22" t="s">
        <v>19386</v>
      </c>
      <c r="L11" s="22"/>
      <c r="M11" s="22"/>
      <c r="N11" s="25" t="str">
        <f>HYPERLINK("http://slimages.macys.com/is/image/MCY/21256924 ")</f>
        <v xml:space="preserve">http://slimages.macys.com/is/image/MCY/21256924 </v>
      </c>
    </row>
    <row r="12" spans="1:14" ht="24.75" x14ac:dyDescent="0.25">
      <c r="A12" s="21" t="s">
        <v>6400</v>
      </c>
      <c r="B12" s="22" t="s">
        <v>6401</v>
      </c>
      <c r="C12" s="2">
        <v>1</v>
      </c>
      <c r="D12" s="23">
        <v>51.99</v>
      </c>
      <c r="E12" s="3">
        <v>51.99</v>
      </c>
      <c r="F12" s="2" t="s">
        <v>6402</v>
      </c>
      <c r="G12" s="22" t="s">
        <v>19351</v>
      </c>
      <c r="H12" s="24" t="s">
        <v>19399</v>
      </c>
      <c r="I12" s="22" t="s">
        <v>19309</v>
      </c>
      <c r="J12" s="22" t="s">
        <v>19550</v>
      </c>
      <c r="K12" s="22" t="s">
        <v>15106</v>
      </c>
      <c r="L12" s="22"/>
      <c r="M12" s="22"/>
      <c r="N12" s="25" t="str">
        <f>HYPERLINK("http://slimages.macys.com/is/image/MCY/18762614 ")</f>
        <v xml:space="preserve">http://slimages.macys.com/is/image/MCY/18762614 </v>
      </c>
    </row>
    <row r="13" spans="1:14" ht="24.75" x14ac:dyDescent="0.25">
      <c r="A13" s="21" t="s">
        <v>6403</v>
      </c>
      <c r="B13" s="22" t="s">
        <v>6404</v>
      </c>
      <c r="C13" s="2">
        <v>1</v>
      </c>
      <c r="D13" s="23">
        <v>49.99</v>
      </c>
      <c r="E13" s="3">
        <v>49.99</v>
      </c>
      <c r="F13" s="2" t="s">
        <v>6405</v>
      </c>
      <c r="G13" s="22" t="s">
        <v>19351</v>
      </c>
      <c r="H13" s="24" t="s">
        <v>19345</v>
      </c>
      <c r="I13" s="22" t="s">
        <v>19309</v>
      </c>
      <c r="J13" s="22" t="s">
        <v>19378</v>
      </c>
      <c r="K13" s="22" t="s">
        <v>19386</v>
      </c>
      <c r="L13" s="22"/>
      <c r="M13" s="22"/>
      <c r="N13" s="25" t="str">
        <f>HYPERLINK("http://slimages.macys.com/is/image/MCY/21193645 ")</f>
        <v xml:space="preserve">http://slimages.macys.com/is/image/MCY/21193645 </v>
      </c>
    </row>
    <row r="14" spans="1:14" ht="24.75" x14ac:dyDescent="0.25">
      <c r="A14" s="21" t="s">
        <v>6406</v>
      </c>
      <c r="B14" s="22" t="s">
        <v>6407</v>
      </c>
      <c r="C14" s="2">
        <v>1</v>
      </c>
      <c r="D14" s="23">
        <v>48.99</v>
      </c>
      <c r="E14" s="3">
        <v>48.99</v>
      </c>
      <c r="F14" s="2" t="s">
        <v>6408</v>
      </c>
      <c r="G14" s="22" t="s">
        <v>19630</v>
      </c>
      <c r="H14" s="24" t="s">
        <v>19330</v>
      </c>
      <c r="I14" s="22" t="s">
        <v>19309</v>
      </c>
      <c r="J14" s="22" t="s">
        <v>19491</v>
      </c>
      <c r="K14" s="22" t="s">
        <v>15106</v>
      </c>
      <c r="L14" s="22"/>
      <c r="M14" s="22"/>
      <c r="N14" s="25" t="str">
        <f>HYPERLINK("http://slimages.macys.com/is/image/MCY/20122160 ")</f>
        <v xml:space="preserve">http://slimages.macys.com/is/image/MCY/20122160 </v>
      </c>
    </row>
    <row r="15" spans="1:14" x14ac:dyDescent="0.25">
      <c r="A15" s="21" t="s">
        <v>6409</v>
      </c>
      <c r="B15" s="22" t="s">
        <v>6410</v>
      </c>
      <c r="C15" s="2">
        <v>1</v>
      </c>
      <c r="D15" s="23">
        <v>52</v>
      </c>
      <c r="E15" s="3">
        <v>52</v>
      </c>
      <c r="F15" s="2" t="s">
        <v>6411</v>
      </c>
      <c r="G15" s="22" t="s">
        <v>19315</v>
      </c>
      <c r="H15" s="24" t="s">
        <v>11850</v>
      </c>
      <c r="I15" s="22" t="s">
        <v>19309</v>
      </c>
      <c r="J15" s="22" t="s">
        <v>17328</v>
      </c>
      <c r="K15" s="22" t="s">
        <v>13631</v>
      </c>
      <c r="L15" s="22"/>
      <c r="M15" s="22"/>
      <c r="N15" s="25" t="str">
        <f>HYPERLINK("http://slimages.macys.com/is/image/MCY/19589312 ")</f>
        <v xml:space="preserve">http://slimages.macys.com/is/image/MCY/19589312 </v>
      </c>
    </row>
    <row r="16" spans="1:14" ht="24.75" x14ac:dyDescent="0.25">
      <c r="A16" s="21" t="s">
        <v>6412</v>
      </c>
      <c r="B16" s="22" t="s">
        <v>6413</v>
      </c>
      <c r="C16" s="2">
        <v>1</v>
      </c>
      <c r="D16" s="23">
        <v>39.99</v>
      </c>
      <c r="E16" s="3">
        <v>39.99</v>
      </c>
      <c r="F16" s="2" t="s">
        <v>6414</v>
      </c>
      <c r="G16" s="22" t="s">
        <v>18429</v>
      </c>
      <c r="H16" s="24" t="s">
        <v>19339</v>
      </c>
      <c r="I16" s="22" t="s">
        <v>19309</v>
      </c>
      <c r="J16" s="22" t="s">
        <v>19310</v>
      </c>
      <c r="K16" s="22" t="s">
        <v>19529</v>
      </c>
      <c r="L16" s="22"/>
      <c r="M16" s="22"/>
      <c r="N16" s="25" t="str">
        <f>HYPERLINK("http://slimages.macys.com/is/image/MCY/20229000 ")</f>
        <v xml:space="preserve">http://slimages.macys.com/is/image/MCY/20229000 </v>
      </c>
    </row>
    <row r="17" spans="1:14" ht="24.75" x14ac:dyDescent="0.25">
      <c r="A17" s="21" t="s">
        <v>6415</v>
      </c>
      <c r="B17" s="22" t="s">
        <v>6416</v>
      </c>
      <c r="C17" s="2">
        <v>1</v>
      </c>
      <c r="D17" s="23">
        <v>35</v>
      </c>
      <c r="E17" s="3">
        <v>35</v>
      </c>
      <c r="F17" s="2">
        <v>321842275003</v>
      </c>
      <c r="G17" s="22" t="s">
        <v>19351</v>
      </c>
      <c r="H17" s="24" t="s">
        <v>19334</v>
      </c>
      <c r="I17" s="22" t="s">
        <v>19309</v>
      </c>
      <c r="J17" s="22" t="s">
        <v>19335</v>
      </c>
      <c r="K17" s="22" t="s">
        <v>19326</v>
      </c>
      <c r="L17" s="22"/>
      <c r="M17" s="22"/>
      <c r="N17" s="25" t="str">
        <f>HYPERLINK("http://slimages.macys.com/is/image/MCY/19469095 ")</f>
        <v xml:space="preserve">http://slimages.macys.com/is/image/MCY/19469095 </v>
      </c>
    </row>
    <row r="18" spans="1:14" ht="24.75" x14ac:dyDescent="0.25">
      <c r="A18" s="21" t="s">
        <v>12731</v>
      </c>
      <c r="B18" s="22" t="s">
        <v>12732</v>
      </c>
      <c r="C18" s="2">
        <v>1</v>
      </c>
      <c r="D18" s="23">
        <v>39.5</v>
      </c>
      <c r="E18" s="3">
        <v>39.5</v>
      </c>
      <c r="F18" s="2">
        <v>323867158073</v>
      </c>
      <c r="G18" s="22" t="s">
        <v>19338</v>
      </c>
      <c r="H18" s="24" t="s">
        <v>19352</v>
      </c>
      <c r="I18" s="22" t="s">
        <v>19309</v>
      </c>
      <c r="J18" s="22" t="s">
        <v>19335</v>
      </c>
      <c r="K18" s="22" t="s">
        <v>19326</v>
      </c>
      <c r="L18" s="22"/>
      <c r="M18" s="22"/>
      <c r="N18" s="25" t="str">
        <f>HYPERLINK("http://slimages.macys.com/is/image/MCY/22268943 ")</f>
        <v xml:space="preserve">http://slimages.macys.com/is/image/MCY/22268943 </v>
      </c>
    </row>
    <row r="19" spans="1:14" ht="24.75" x14ac:dyDescent="0.25">
      <c r="A19" s="21" t="s">
        <v>6417</v>
      </c>
      <c r="B19" s="22" t="s">
        <v>6418</v>
      </c>
      <c r="C19" s="2">
        <v>1</v>
      </c>
      <c r="D19" s="23">
        <v>39.5</v>
      </c>
      <c r="E19" s="3">
        <v>39.5</v>
      </c>
      <c r="F19" s="2">
        <v>323867158067</v>
      </c>
      <c r="G19" s="22" t="s">
        <v>19351</v>
      </c>
      <c r="H19" s="24" t="s">
        <v>19352</v>
      </c>
      <c r="I19" s="22" t="s">
        <v>19309</v>
      </c>
      <c r="J19" s="22" t="s">
        <v>19335</v>
      </c>
      <c r="K19" s="22" t="s">
        <v>19326</v>
      </c>
      <c r="L19" s="22"/>
      <c r="M19" s="22"/>
      <c r="N19" s="25" t="str">
        <f>HYPERLINK("http://slimages.macys.com/is/image/MCY/22268933 ")</f>
        <v xml:space="preserve">http://slimages.macys.com/is/image/MCY/22268933 </v>
      </c>
    </row>
    <row r="20" spans="1:14" ht="24.75" x14ac:dyDescent="0.25">
      <c r="A20" s="21" t="s">
        <v>19359</v>
      </c>
      <c r="B20" s="22" t="s">
        <v>19360</v>
      </c>
      <c r="C20" s="2">
        <v>1</v>
      </c>
      <c r="D20" s="23">
        <v>39.5</v>
      </c>
      <c r="E20" s="3">
        <v>39.5</v>
      </c>
      <c r="F20" s="2">
        <v>322866776015</v>
      </c>
      <c r="G20" s="22" t="s">
        <v>19351</v>
      </c>
      <c r="H20" s="24" t="s">
        <v>19361</v>
      </c>
      <c r="I20" s="22" t="s">
        <v>19309</v>
      </c>
      <c r="J20" s="22" t="s">
        <v>19335</v>
      </c>
      <c r="K20" s="22" t="s">
        <v>19326</v>
      </c>
      <c r="L20" s="22"/>
      <c r="M20" s="22"/>
      <c r="N20" s="25" t="str">
        <f>HYPERLINK("http://slimages.macys.com/is/image/MCY/22268722 ")</f>
        <v xml:space="preserve">http://slimages.macys.com/is/image/MCY/22268722 </v>
      </c>
    </row>
    <row r="21" spans="1:14" ht="24.75" x14ac:dyDescent="0.25">
      <c r="A21" s="21" t="s">
        <v>6419</v>
      </c>
      <c r="B21" s="22" t="s">
        <v>6420</v>
      </c>
      <c r="C21" s="2">
        <v>1</v>
      </c>
      <c r="D21" s="23">
        <v>39.5</v>
      </c>
      <c r="E21" s="3">
        <v>39.5</v>
      </c>
      <c r="F21" s="2">
        <v>320853914001</v>
      </c>
      <c r="G21" s="22" t="s">
        <v>19333</v>
      </c>
      <c r="H21" s="24" t="s">
        <v>19367</v>
      </c>
      <c r="I21" s="22" t="s">
        <v>19309</v>
      </c>
      <c r="J21" s="22" t="s">
        <v>19325</v>
      </c>
      <c r="K21" s="22" t="s">
        <v>19326</v>
      </c>
      <c r="L21" s="22"/>
      <c r="M21" s="22"/>
      <c r="N21" s="25" t="str">
        <f>HYPERLINK("http://slimages.macys.com/is/image/MCY/20057714 ")</f>
        <v xml:space="preserve">http://slimages.macys.com/is/image/MCY/20057714 </v>
      </c>
    </row>
    <row r="22" spans="1:14" ht="24.75" x14ac:dyDescent="0.25">
      <c r="A22" s="21" t="s">
        <v>6421</v>
      </c>
      <c r="B22" s="22" t="s">
        <v>6422</v>
      </c>
      <c r="C22" s="2">
        <v>1</v>
      </c>
      <c r="D22" s="23">
        <v>40</v>
      </c>
      <c r="E22" s="3">
        <v>40</v>
      </c>
      <c r="F22" s="2" t="s">
        <v>6423</v>
      </c>
      <c r="G22" s="22" t="s">
        <v>20306</v>
      </c>
      <c r="H22" s="24"/>
      <c r="I22" s="22" t="s">
        <v>19309</v>
      </c>
      <c r="J22" s="22" t="s">
        <v>15506</v>
      </c>
      <c r="K22" s="22" t="s">
        <v>11740</v>
      </c>
      <c r="L22" s="22"/>
      <c r="M22" s="22"/>
      <c r="N22" s="25" t="str">
        <f>HYPERLINK("http://slimages.macys.com/is/image/MCY/21685080 ")</f>
        <v xml:space="preserve">http://slimages.macys.com/is/image/MCY/21685080 </v>
      </c>
    </row>
    <row r="23" spans="1:14" ht="24.75" x14ac:dyDescent="0.25">
      <c r="A23" s="21" t="s">
        <v>6424</v>
      </c>
      <c r="B23" s="22" t="s">
        <v>6425</v>
      </c>
      <c r="C23" s="2">
        <v>1</v>
      </c>
      <c r="D23" s="23">
        <v>49.99</v>
      </c>
      <c r="E23" s="3">
        <v>49.99</v>
      </c>
      <c r="F23" s="2" t="s">
        <v>6426</v>
      </c>
      <c r="G23" s="22" t="s">
        <v>19383</v>
      </c>
      <c r="H23" s="24" t="s">
        <v>19334</v>
      </c>
      <c r="I23" s="22" t="s">
        <v>19309</v>
      </c>
      <c r="J23" s="22" t="s">
        <v>19378</v>
      </c>
      <c r="K23" s="22" t="s">
        <v>19386</v>
      </c>
      <c r="L23" s="22"/>
      <c r="M23" s="22"/>
      <c r="N23" s="25" t="str">
        <f>HYPERLINK("http://slimages.macys.com/is/image/MCY/20703737 ")</f>
        <v xml:space="preserve">http://slimages.macys.com/is/image/MCY/20703737 </v>
      </c>
    </row>
    <row r="24" spans="1:14" ht="24.75" x14ac:dyDescent="0.25">
      <c r="A24" s="21" t="s">
        <v>6427</v>
      </c>
      <c r="B24" s="22" t="s">
        <v>6428</v>
      </c>
      <c r="C24" s="2">
        <v>1</v>
      </c>
      <c r="D24" s="23">
        <v>39.99</v>
      </c>
      <c r="E24" s="3">
        <v>39.99</v>
      </c>
      <c r="F24" s="2" t="s">
        <v>13625</v>
      </c>
      <c r="G24" s="22" t="s">
        <v>19333</v>
      </c>
      <c r="H24" s="24" t="s">
        <v>15803</v>
      </c>
      <c r="I24" s="22" t="s">
        <v>19309</v>
      </c>
      <c r="J24" s="22" t="s">
        <v>19405</v>
      </c>
      <c r="K24" s="22" t="s">
        <v>19406</v>
      </c>
      <c r="L24" s="22" t="s">
        <v>19319</v>
      </c>
      <c r="M24" s="22" t="s">
        <v>13626</v>
      </c>
      <c r="N24" s="25" t="str">
        <f>HYPERLINK("http://slimages.macys.com/is/image/MCY/3696437 ")</f>
        <v xml:space="preserve">http://slimages.macys.com/is/image/MCY/3696437 </v>
      </c>
    </row>
    <row r="25" spans="1:14" ht="36.75" x14ac:dyDescent="0.25">
      <c r="A25" s="21" t="s">
        <v>6429</v>
      </c>
      <c r="B25" s="22" t="s">
        <v>6430</v>
      </c>
      <c r="C25" s="2">
        <v>1</v>
      </c>
      <c r="D25" s="23">
        <v>40</v>
      </c>
      <c r="E25" s="3">
        <v>40</v>
      </c>
      <c r="F25" s="2">
        <v>1361608</v>
      </c>
      <c r="G25" s="22" t="s">
        <v>19528</v>
      </c>
      <c r="H25" s="24" t="s">
        <v>19352</v>
      </c>
      <c r="I25" s="22" t="s">
        <v>19309</v>
      </c>
      <c r="J25" s="22" t="s">
        <v>19310</v>
      </c>
      <c r="K25" s="22" t="s">
        <v>17686</v>
      </c>
      <c r="L25" s="22" t="s">
        <v>6431</v>
      </c>
      <c r="M25" s="22" t="s">
        <v>6432</v>
      </c>
      <c r="N25" s="25" t="str">
        <f>HYPERLINK("http://images.bloomingdales.com/is/image/BLM/11658092 ")</f>
        <v xml:space="preserve">http://images.bloomingdales.com/is/image/BLM/11658092 </v>
      </c>
    </row>
    <row r="26" spans="1:14" ht="24.75" x14ac:dyDescent="0.25">
      <c r="A26" s="21" t="s">
        <v>6433</v>
      </c>
      <c r="B26" s="22" t="s">
        <v>6434</v>
      </c>
      <c r="C26" s="2">
        <v>1</v>
      </c>
      <c r="D26" s="23">
        <v>40</v>
      </c>
      <c r="E26" s="3">
        <v>40</v>
      </c>
      <c r="F26" s="2">
        <v>1356487</v>
      </c>
      <c r="G26" s="22" t="s">
        <v>19315</v>
      </c>
      <c r="H26" s="24" t="s">
        <v>19339</v>
      </c>
      <c r="I26" s="22" t="s">
        <v>19309</v>
      </c>
      <c r="J26" s="22" t="s">
        <v>19447</v>
      </c>
      <c r="K26" s="22" t="s">
        <v>17686</v>
      </c>
      <c r="L26" s="22"/>
      <c r="M26" s="22"/>
      <c r="N26" s="25" t="str">
        <f>HYPERLINK("http://slimages.macys.com/is/image/MCY/18086512 ")</f>
        <v xml:space="preserve">http://slimages.macys.com/is/image/MCY/18086512 </v>
      </c>
    </row>
    <row r="27" spans="1:14" ht="24.75" x14ac:dyDescent="0.25">
      <c r="A27" s="21" t="s">
        <v>7274</v>
      </c>
      <c r="B27" s="22" t="s">
        <v>7275</v>
      </c>
      <c r="C27" s="2">
        <v>1</v>
      </c>
      <c r="D27" s="23">
        <v>35</v>
      </c>
      <c r="E27" s="3">
        <v>35</v>
      </c>
      <c r="F27" s="2">
        <v>321867158051</v>
      </c>
      <c r="G27" s="22" t="s">
        <v>19338</v>
      </c>
      <c r="H27" s="24" t="s">
        <v>19345</v>
      </c>
      <c r="I27" s="22" t="s">
        <v>19309</v>
      </c>
      <c r="J27" s="22" t="s">
        <v>19335</v>
      </c>
      <c r="K27" s="22" t="s">
        <v>19326</v>
      </c>
      <c r="L27" s="22"/>
      <c r="M27" s="22"/>
      <c r="N27" s="25" t="str">
        <f>HYPERLINK("http://slimages.macys.com/is/image/MCY/21997344 ")</f>
        <v xml:space="preserve">http://slimages.macys.com/is/image/MCY/21997344 </v>
      </c>
    </row>
    <row r="28" spans="1:14" ht="24.75" x14ac:dyDescent="0.25">
      <c r="A28" s="21" t="s">
        <v>6435</v>
      </c>
      <c r="B28" s="22" t="s">
        <v>6436</v>
      </c>
      <c r="C28" s="2">
        <v>1</v>
      </c>
      <c r="D28" s="23">
        <v>35</v>
      </c>
      <c r="E28" s="3">
        <v>35</v>
      </c>
      <c r="F28" s="2">
        <v>322861436001</v>
      </c>
      <c r="G28" s="22" t="s">
        <v>19333</v>
      </c>
      <c r="H28" s="24" t="s">
        <v>19432</v>
      </c>
      <c r="I28" s="22" t="s">
        <v>19309</v>
      </c>
      <c r="J28" s="22" t="s">
        <v>19335</v>
      </c>
      <c r="K28" s="22" t="s">
        <v>19326</v>
      </c>
      <c r="L28" s="22" t="s">
        <v>14488</v>
      </c>
      <c r="M28" s="22" t="s">
        <v>17531</v>
      </c>
      <c r="N28" s="25" t="str">
        <f>HYPERLINK("http://images.bloomingdales.com/is/image/BLM/12075796 ")</f>
        <v xml:space="preserve">http://images.bloomingdales.com/is/image/BLM/12075796 </v>
      </c>
    </row>
    <row r="29" spans="1:14" ht="24.75" x14ac:dyDescent="0.25">
      <c r="A29" s="21" t="s">
        <v>6437</v>
      </c>
      <c r="B29" s="22" t="s">
        <v>6438</v>
      </c>
      <c r="C29" s="2">
        <v>1</v>
      </c>
      <c r="D29" s="23">
        <v>35</v>
      </c>
      <c r="E29" s="3">
        <v>35</v>
      </c>
      <c r="F29" s="2">
        <v>322867158067</v>
      </c>
      <c r="G29" s="22" t="s">
        <v>19351</v>
      </c>
      <c r="H29" s="24" t="s">
        <v>19361</v>
      </c>
      <c r="I29" s="22" t="s">
        <v>19309</v>
      </c>
      <c r="J29" s="22" t="s">
        <v>19335</v>
      </c>
      <c r="K29" s="22" t="s">
        <v>19326</v>
      </c>
      <c r="L29" s="22"/>
      <c r="M29" s="22"/>
      <c r="N29" s="25" t="str">
        <f>HYPERLINK("http://slimages.macys.com/is/image/MCY/22268725 ")</f>
        <v xml:space="preserve">http://slimages.macys.com/is/image/MCY/22268725 </v>
      </c>
    </row>
    <row r="30" spans="1:14" ht="24.75" x14ac:dyDescent="0.25">
      <c r="A30" s="21" t="s">
        <v>6439</v>
      </c>
      <c r="B30" s="22" t="s">
        <v>6440</v>
      </c>
      <c r="C30" s="2">
        <v>1</v>
      </c>
      <c r="D30" s="23">
        <v>35</v>
      </c>
      <c r="E30" s="3">
        <v>35</v>
      </c>
      <c r="F30" s="2">
        <v>323873960002</v>
      </c>
      <c r="G30" s="22" t="s">
        <v>19333</v>
      </c>
      <c r="H30" s="24" t="s">
        <v>19339</v>
      </c>
      <c r="I30" s="22" t="s">
        <v>19309</v>
      </c>
      <c r="J30" s="22" t="s">
        <v>19335</v>
      </c>
      <c r="K30" s="22" t="s">
        <v>19326</v>
      </c>
      <c r="L30" s="22"/>
      <c r="M30" s="22"/>
      <c r="N30" s="25" t="str">
        <f>HYPERLINK("http://slimages.macys.com/is/image/MCY/22155986 ")</f>
        <v xml:space="preserve">http://slimages.macys.com/is/image/MCY/22155986 </v>
      </c>
    </row>
    <row r="31" spans="1:14" x14ac:dyDescent="0.25">
      <c r="A31" s="21" t="s">
        <v>6441</v>
      </c>
      <c r="B31" s="22" t="s">
        <v>6442</v>
      </c>
      <c r="C31" s="2">
        <v>1</v>
      </c>
      <c r="D31" s="23">
        <v>49</v>
      </c>
      <c r="E31" s="3">
        <v>49</v>
      </c>
      <c r="F31" s="2" t="s">
        <v>6443</v>
      </c>
      <c r="G31" s="22" t="s">
        <v>19338</v>
      </c>
      <c r="H31" s="24" t="s">
        <v>6444</v>
      </c>
      <c r="I31" s="22" t="s">
        <v>19309</v>
      </c>
      <c r="J31" s="22" t="s">
        <v>17328</v>
      </c>
      <c r="K31" s="22" t="s">
        <v>13631</v>
      </c>
      <c r="L31" s="22"/>
      <c r="M31" s="22"/>
      <c r="N31" s="25" t="str">
        <f>HYPERLINK("http://slimages.macys.com/is/image/MCY/19575961 ")</f>
        <v xml:space="preserve">http://slimages.macys.com/is/image/MCY/19575961 </v>
      </c>
    </row>
    <row r="32" spans="1:14" ht="24.75" x14ac:dyDescent="0.25">
      <c r="A32" s="21" t="s">
        <v>6445</v>
      </c>
      <c r="B32" s="22" t="s">
        <v>6446</v>
      </c>
      <c r="C32" s="2">
        <v>1</v>
      </c>
      <c r="D32" s="23">
        <v>50</v>
      </c>
      <c r="E32" s="3">
        <v>50</v>
      </c>
      <c r="F32" s="2" t="s">
        <v>6447</v>
      </c>
      <c r="G32" s="22" t="s">
        <v>15203</v>
      </c>
      <c r="H32" s="24" t="s">
        <v>19416</v>
      </c>
      <c r="I32" s="22" t="s">
        <v>19309</v>
      </c>
      <c r="J32" s="22" t="s">
        <v>19417</v>
      </c>
      <c r="K32" s="22" t="s">
        <v>6448</v>
      </c>
      <c r="L32" s="22"/>
      <c r="M32" s="22"/>
      <c r="N32" s="25" t="str">
        <f>HYPERLINK("http://slimages.macys.com/is/image/MCY/18833327 ")</f>
        <v xml:space="preserve">http://slimages.macys.com/is/image/MCY/18833327 </v>
      </c>
    </row>
    <row r="33" spans="1:14" ht="24.75" x14ac:dyDescent="0.25">
      <c r="A33" s="21" t="s">
        <v>11338</v>
      </c>
      <c r="B33" s="22" t="s">
        <v>11339</v>
      </c>
      <c r="C33" s="2">
        <v>1</v>
      </c>
      <c r="D33" s="23">
        <v>39.99</v>
      </c>
      <c r="E33" s="3">
        <v>39.99</v>
      </c>
      <c r="F33" s="2" t="s">
        <v>11340</v>
      </c>
      <c r="G33" s="22" t="s">
        <v>19594</v>
      </c>
      <c r="H33" s="24" t="s">
        <v>19361</v>
      </c>
      <c r="I33" s="22" t="s">
        <v>19309</v>
      </c>
      <c r="J33" s="22" t="s">
        <v>19378</v>
      </c>
      <c r="K33" s="22" t="s">
        <v>19479</v>
      </c>
      <c r="L33" s="22"/>
      <c r="M33" s="22"/>
      <c r="N33" s="25" t="str">
        <f>HYPERLINK("http://slimages.macys.com/is/image/MCY/21082163 ")</f>
        <v xml:space="preserve">http://slimages.macys.com/is/image/MCY/21082163 </v>
      </c>
    </row>
    <row r="34" spans="1:14" ht="24.75" x14ac:dyDescent="0.25">
      <c r="A34" s="21" t="s">
        <v>6449</v>
      </c>
      <c r="B34" s="22" t="s">
        <v>6450</v>
      </c>
      <c r="C34" s="2">
        <v>1</v>
      </c>
      <c r="D34" s="23">
        <v>39.99</v>
      </c>
      <c r="E34" s="3">
        <v>39.99</v>
      </c>
      <c r="F34" s="2" t="s">
        <v>15554</v>
      </c>
      <c r="G34" s="22" t="s">
        <v>18429</v>
      </c>
      <c r="H34" s="24" t="s">
        <v>19308</v>
      </c>
      <c r="I34" s="22" t="s">
        <v>19309</v>
      </c>
      <c r="J34" s="22" t="s">
        <v>19310</v>
      </c>
      <c r="K34" s="22" t="s">
        <v>19529</v>
      </c>
      <c r="L34" s="22"/>
      <c r="M34" s="22"/>
      <c r="N34" s="25" t="str">
        <f>HYPERLINK("http://slimages.macys.com/is/image/MCY/20229013 ")</f>
        <v xml:space="preserve">http://slimages.macys.com/is/image/MCY/20229013 </v>
      </c>
    </row>
    <row r="35" spans="1:14" x14ac:dyDescent="0.25">
      <c r="A35" s="21" t="s">
        <v>6451</v>
      </c>
      <c r="B35" s="22" t="s">
        <v>6452</v>
      </c>
      <c r="C35" s="2">
        <v>1</v>
      </c>
      <c r="D35" s="23">
        <v>39.99</v>
      </c>
      <c r="E35" s="3">
        <v>39.99</v>
      </c>
      <c r="F35" s="2" t="s">
        <v>6453</v>
      </c>
      <c r="G35" s="22" t="s">
        <v>19315</v>
      </c>
      <c r="H35" s="24" t="s">
        <v>19339</v>
      </c>
      <c r="I35" s="22" t="s">
        <v>19309</v>
      </c>
      <c r="J35" s="22" t="s">
        <v>19310</v>
      </c>
      <c r="K35" s="22" t="s">
        <v>19529</v>
      </c>
      <c r="L35" s="22"/>
      <c r="M35" s="22"/>
      <c r="N35" s="25" t="str">
        <f>HYPERLINK("http://slimages.macys.com/is/image/MCY/21530789 ")</f>
        <v xml:space="preserve">http://slimages.macys.com/is/image/MCY/21530789 </v>
      </c>
    </row>
    <row r="36" spans="1:14" ht="24.75" x14ac:dyDescent="0.25">
      <c r="A36" s="21" t="s">
        <v>6454</v>
      </c>
      <c r="B36" s="22" t="s">
        <v>6455</v>
      </c>
      <c r="C36" s="2">
        <v>1</v>
      </c>
      <c r="D36" s="23">
        <v>48</v>
      </c>
      <c r="E36" s="3">
        <v>48</v>
      </c>
      <c r="F36" s="2" t="s">
        <v>6456</v>
      </c>
      <c r="G36" s="22" t="s">
        <v>19763</v>
      </c>
      <c r="H36" s="24" t="s">
        <v>19432</v>
      </c>
      <c r="I36" s="22" t="s">
        <v>19309</v>
      </c>
      <c r="J36" s="22" t="s">
        <v>19310</v>
      </c>
      <c r="K36" s="22" t="s">
        <v>15570</v>
      </c>
      <c r="L36" s="22"/>
      <c r="M36" s="22"/>
      <c r="N36" s="25" t="str">
        <f>HYPERLINK("http://slimages.macys.com/is/image/MCY/20038063 ")</f>
        <v xml:space="preserve">http://slimages.macys.com/is/image/MCY/20038063 </v>
      </c>
    </row>
    <row r="37" spans="1:14" x14ac:dyDescent="0.25">
      <c r="A37" s="21" t="s">
        <v>6457</v>
      </c>
      <c r="B37" s="22" t="s">
        <v>6458</v>
      </c>
      <c r="C37" s="2">
        <v>1</v>
      </c>
      <c r="D37" s="23">
        <v>32.99</v>
      </c>
      <c r="E37" s="3">
        <v>32.99</v>
      </c>
      <c r="F37" s="2" t="s">
        <v>6459</v>
      </c>
      <c r="G37" s="22" t="s">
        <v>19307</v>
      </c>
      <c r="H37" s="24" t="s">
        <v>19542</v>
      </c>
      <c r="I37" s="22" t="s">
        <v>19309</v>
      </c>
      <c r="J37" s="22" t="s">
        <v>19310</v>
      </c>
      <c r="K37" s="22" t="s">
        <v>19623</v>
      </c>
      <c r="L37" s="22"/>
      <c r="M37" s="22"/>
      <c r="N37" s="25" t="str">
        <f>HYPERLINK("http://slimages.macys.com/is/image/MCY/21918768 ")</f>
        <v xml:space="preserve">http://slimages.macys.com/is/image/MCY/21918768 </v>
      </c>
    </row>
    <row r="38" spans="1:14" x14ac:dyDescent="0.25">
      <c r="A38" s="21" t="s">
        <v>6460</v>
      </c>
      <c r="B38" s="22" t="s">
        <v>6461</v>
      </c>
      <c r="C38" s="2">
        <v>1</v>
      </c>
      <c r="D38" s="23">
        <v>29</v>
      </c>
      <c r="E38" s="3">
        <v>29</v>
      </c>
      <c r="F38" s="2" t="s">
        <v>6462</v>
      </c>
      <c r="G38" s="22" t="s">
        <v>19307</v>
      </c>
      <c r="H38" s="24" t="s">
        <v>19339</v>
      </c>
      <c r="I38" s="22" t="s">
        <v>19309</v>
      </c>
      <c r="J38" s="22" t="s">
        <v>19310</v>
      </c>
      <c r="K38" s="22" t="s">
        <v>19311</v>
      </c>
      <c r="L38" s="22" t="s">
        <v>19434</v>
      </c>
      <c r="M38" s="22" t="s">
        <v>19320</v>
      </c>
      <c r="N38" s="25" t="str">
        <f>HYPERLINK("http://images.bloomingdales.com/is/image/BLM/11387670 ")</f>
        <v xml:space="preserve">http://images.bloomingdales.com/is/image/BLM/11387670 </v>
      </c>
    </row>
    <row r="39" spans="1:14" ht="24.75" x14ac:dyDescent="0.25">
      <c r="A39" s="21" t="s">
        <v>6463</v>
      </c>
      <c r="B39" s="22" t="s">
        <v>6464</v>
      </c>
      <c r="C39" s="2">
        <v>1</v>
      </c>
      <c r="D39" s="23">
        <v>29.99</v>
      </c>
      <c r="E39" s="3">
        <v>29.99</v>
      </c>
      <c r="F39" s="2" t="s">
        <v>6465</v>
      </c>
      <c r="G39" s="22" t="s">
        <v>19415</v>
      </c>
      <c r="H39" s="24" t="s">
        <v>19364</v>
      </c>
      <c r="I39" s="22" t="s">
        <v>19309</v>
      </c>
      <c r="J39" s="22" t="s">
        <v>19508</v>
      </c>
      <c r="K39" s="22" t="s">
        <v>18039</v>
      </c>
      <c r="L39" s="22"/>
      <c r="M39" s="22"/>
      <c r="N39" s="25" t="str">
        <f>HYPERLINK("http://slimages.macys.com/is/image/MCY/20819600 ")</f>
        <v xml:space="preserve">http://slimages.macys.com/is/image/MCY/20819600 </v>
      </c>
    </row>
    <row r="40" spans="1:14" x14ac:dyDescent="0.25">
      <c r="A40" s="21" t="s">
        <v>6466</v>
      </c>
      <c r="B40" s="22" t="s">
        <v>6467</v>
      </c>
      <c r="C40" s="2">
        <v>1</v>
      </c>
      <c r="D40" s="23">
        <v>32.99</v>
      </c>
      <c r="E40" s="3">
        <v>32.99</v>
      </c>
      <c r="F40" s="2" t="s">
        <v>6468</v>
      </c>
      <c r="G40" s="22" t="s">
        <v>19333</v>
      </c>
      <c r="H40" s="24" t="s">
        <v>19345</v>
      </c>
      <c r="I40" s="22" t="s">
        <v>19309</v>
      </c>
      <c r="J40" s="22" t="s">
        <v>19310</v>
      </c>
      <c r="K40" s="22" t="s">
        <v>19433</v>
      </c>
      <c r="L40" s="22"/>
      <c r="M40" s="22"/>
      <c r="N40" s="25" t="str">
        <f>HYPERLINK("http://slimages.macys.com/is/image/MCY/22214376 ")</f>
        <v xml:space="preserve">http://slimages.macys.com/is/image/MCY/22214376 </v>
      </c>
    </row>
    <row r="41" spans="1:14" ht="24.75" x14ac:dyDescent="0.25">
      <c r="A41" s="21" t="s">
        <v>19424</v>
      </c>
      <c r="B41" s="22" t="s">
        <v>19425</v>
      </c>
      <c r="C41" s="2">
        <v>1</v>
      </c>
      <c r="D41" s="23">
        <v>41.99</v>
      </c>
      <c r="E41" s="3">
        <v>41.99</v>
      </c>
      <c r="F41" s="2" t="s">
        <v>19426</v>
      </c>
      <c r="G41" s="22" t="s">
        <v>19427</v>
      </c>
      <c r="H41" s="24" t="s">
        <v>19399</v>
      </c>
      <c r="I41" s="22" t="s">
        <v>19309</v>
      </c>
      <c r="J41" s="22" t="s">
        <v>19400</v>
      </c>
      <c r="K41" s="22" t="s">
        <v>19423</v>
      </c>
      <c r="L41" s="22"/>
      <c r="M41" s="22"/>
      <c r="N41" s="25" t="str">
        <f>HYPERLINK("http://slimages.macys.com/is/image/MCY/21621729 ")</f>
        <v xml:space="preserve">http://slimages.macys.com/is/image/MCY/21621729 </v>
      </c>
    </row>
    <row r="42" spans="1:14" ht="24.75" x14ac:dyDescent="0.25">
      <c r="A42" s="21" t="s">
        <v>6469</v>
      </c>
      <c r="B42" s="22" t="s">
        <v>6470</v>
      </c>
      <c r="C42" s="2">
        <v>1</v>
      </c>
      <c r="D42" s="23">
        <v>41.99</v>
      </c>
      <c r="E42" s="3">
        <v>41.99</v>
      </c>
      <c r="F42" s="2" t="s">
        <v>19426</v>
      </c>
      <c r="G42" s="22" t="s">
        <v>19427</v>
      </c>
      <c r="H42" s="24" t="s">
        <v>19432</v>
      </c>
      <c r="I42" s="22" t="s">
        <v>19309</v>
      </c>
      <c r="J42" s="22" t="s">
        <v>19400</v>
      </c>
      <c r="K42" s="22" t="s">
        <v>19423</v>
      </c>
      <c r="L42" s="22"/>
      <c r="M42" s="22"/>
      <c r="N42" s="25" t="str">
        <f>HYPERLINK("http://slimages.macys.com/is/image/MCY/21621729 ")</f>
        <v xml:space="preserve">http://slimages.macys.com/is/image/MCY/21621729 </v>
      </c>
    </row>
    <row r="43" spans="1:14" ht="24.75" x14ac:dyDescent="0.25">
      <c r="A43" s="21" t="s">
        <v>15115</v>
      </c>
      <c r="B43" s="22" t="s">
        <v>15116</v>
      </c>
      <c r="C43" s="2">
        <v>1</v>
      </c>
      <c r="D43" s="23">
        <v>41.99</v>
      </c>
      <c r="E43" s="3">
        <v>41.99</v>
      </c>
      <c r="F43" s="2" t="s">
        <v>19426</v>
      </c>
      <c r="G43" s="22" t="s">
        <v>19427</v>
      </c>
      <c r="H43" s="24" t="s">
        <v>19316</v>
      </c>
      <c r="I43" s="22" t="s">
        <v>19309</v>
      </c>
      <c r="J43" s="22" t="s">
        <v>19400</v>
      </c>
      <c r="K43" s="22" t="s">
        <v>19423</v>
      </c>
      <c r="L43" s="22"/>
      <c r="M43" s="22"/>
      <c r="N43" s="25" t="str">
        <f>HYPERLINK("http://slimages.macys.com/is/image/MCY/21621729 ")</f>
        <v xml:space="preserve">http://slimages.macys.com/is/image/MCY/21621729 </v>
      </c>
    </row>
    <row r="44" spans="1:14" x14ac:dyDescent="0.25">
      <c r="A44" s="21" t="s">
        <v>6471</v>
      </c>
      <c r="B44" s="22" t="s">
        <v>6472</v>
      </c>
      <c r="C44" s="2">
        <v>1</v>
      </c>
      <c r="D44" s="23">
        <v>31.99</v>
      </c>
      <c r="E44" s="3">
        <v>31.99</v>
      </c>
      <c r="F44" s="2" t="s">
        <v>19430</v>
      </c>
      <c r="G44" s="22" t="s">
        <v>19622</v>
      </c>
      <c r="H44" s="24" t="s">
        <v>19334</v>
      </c>
      <c r="I44" s="22" t="s">
        <v>19309</v>
      </c>
      <c r="J44" s="22" t="s">
        <v>19310</v>
      </c>
      <c r="K44" s="22" t="s">
        <v>19433</v>
      </c>
      <c r="L44" s="22"/>
      <c r="M44" s="22"/>
      <c r="N44" s="25" t="str">
        <f>HYPERLINK("http://slimages.macys.com/is/image/MCY/20988727 ")</f>
        <v xml:space="preserve">http://slimages.macys.com/is/image/MCY/20988727 </v>
      </c>
    </row>
    <row r="45" spans="1:14" x14ac:dyDescent="0.25">
      <c r="A45" s="21" t="s">
        <v>6473</v>
      </c>
      <c r="B45" s="22" t="s">
        <v>6474</v>
      </c>
      <c r="C45" s="2">
        <v>1</v>
      </c>
      <c r="D45" s="23">
        <v>29.99</v>
      </c>
      <c r="E45" s="3">
        <v>29.99</v>
      </c>
      <c r="F45" s="2" t="s">
        <v>11358</v>
      </c>
      <c r="G45" s="22" t="s">
        <v>19351</v>
      </c>
      <c r="H45" s="24" t="s">
        <v>19395</v>
      </c>
      <c r="I45" s="22" t="s">
        <v>19309</v>
      </c>
      <c r="J45" s="22" t="s">
        <v>19310</v>
      </c>
      <c r="K45" s="22" t="s">
        <v>19440</v>
      </c>
      <c r="L45" s="22"/>
      <c r="M45" s="22"/>
      <c r="N45" s="25" t="str">
        <f>HYPERLINK("http://slimages.macys.com/is/image/MCY/21267891 ")</f>
        <v xml:space="preserve">http://slimages.macys.com/is/image/MCY/21267891 </v>
      </c>
    </row>
    <row r="46" spans="1:14" ht="24.75" x14ac:dyDescent="0.25">
      <c r="A46" s="21" t="s">
        <v>17593</v>
      </c>
      <c r="B46" s="22" t="s">
        <v>17594</v>
      </c>
      <c r="C46" s="2">
        <v>1</v>
      </c>
      <c r="D46" s="23">
        <v>33.99</v>
      </c>
      <c r="E46" s="3">
        <v>33.99</v>
      </c>
      <c r="F46" s="2" t="s">
        <v>17595</v>
      </c>
      <c r="G46" s="22" t="s">
        <v>19498</v>
      </c>
      <c r="H46" s="24" t="s">
        <v>19330</v>
      </c>
      <c r="I46" s="22" t="s">
        <v>19309</v>
      </c>
      <c r="J46" s="22" t="s">
        <v>19385</v>
      </c>
      <c r="K46" s="22" t="s">
        <v>19386</v>
      </c>
      <c r="L46" s="22"/>
      <c r="M46" s="22"/>
      <c r="N46" s="25" t="str">
        <f>HYPERLINK("http://slimages.macys.com/is/image/MCY/22175293 ")</f>
        <v xml:space="preserve">http://slimages.macys.com/is/image/MCY/22175293 </v>
      </c>
    </row>
    <row r="47" spans="1:14" ht="24.75" x14ac:dyDescent="0.25">
      <c r="A47" s="21" t="s">
        <v>19441</v>
      </c>
      <c r="B47" s="22" t="s">
        <v>19442</v>
      </c>
      <c r="C47" s="2">
        <v>1</v>
      </c>
      <c r="D47" s="23">
        <v>33.99</v>
      </c>
      <c r="E47" s="3">
        <v>33.99</v>
      </c>
      <c r="F47" s="2" t="s">
        <v>19443</v>
      </c>
      <c r="G47" s="22" t="s">
        <v>19351</v>
      </c>
      <c r="H47" s="24" t="s">
        <v>19330</v>
      </c>
      <c r="I47" s="22" t="s">
        <v>19309</v>
      </c>
      <c r="J47" s="22" t="s">
        <v>19385</v>
      </c>
      <c r="K47" s="22" t="s">
        <v>19386</v>
      </c>
      <c r="L47" s="22"/>
      <c r="M47" s="22"/>
      <c r="N47" s="25" t="str">
        <f>HYPERLINK("http://slimages.macys.com/is/image/MCY/22175297 ")</f>
        <v xml:space="preserve">http://slimages.macys.com/is/image/MCY/22175297 </v>
      </c>
    </row>
    <row r="48" spans="1:14" ht="24.75" x14ac:dyDescent="0.25">
      <c r="A48" s="21" t="s">
        <v>15117</v>
      </c>
      <c r="B48" s="22" t="s">
        <v>15118</v>
      </c>
      <c r="C48" s="2">
        <v>1</v>
      </c>
      <c r="D48" s="23">
        <v>33.99</v>
      </c>
      <c r="E48" s="3">
        <v>33.99</v>
      </c>
      <c r="F48" s="2" t="s">
        <v>19443</v>
      </c>
      <c r="G48" s="22" t="s">
        <v>19351</v>
      </c>
      <c r="H48" s="24" t="s">
        <v>19416</v>
      </c>
      <c r="I48" s="22" t="s">
        <v>19309</v>
      </c>
      <c r="J48" s="22" t="s">
        <v>19385</v>
      </c>
      <c r="K48" s="22" t="s">
        <v>19386</v>
      </c>
      <c r="L48" s="22"/>
      <c r="M48" s="22"/>
      <c r="N48" s="25" t="str">
        <f>HYPERLINK("http://slimages.macys.com/is/image/MCY/22175297 ")</f>
        <v xml:space="preserve">http://slimages.macys.com/is/image/MCY/22175297 </v>
      </c>
    </row>
    <row r="49" spans="1:14" ht="24.75" x14ac:dyDescent="0.25">
      <c r="A49" s="21" t="s">
        <v>12867</v>
      </c>
      <c r="B49" s="22" t="s">
        <v>12868</v>
      </c>
      <c r="C49" s="2">
        <v>1</v>
      </c>
      <c r="D49" s="23">
        <v>33.99</v>
      </c>
      <c r="E49" s="3">
        <v>33.99</v>
      </c>
      <c r="F49" s="2" t="s">
        <v>17592</v>
      </c>
      <c r="G49" s="22" t="s">
        <v>19422</v>
      </c>
      <c r="H49" s="24" t="s">
        <v>19324</v>
      </c>
      <c r="I49" s="22" t="s">
        <v>19309</v>
      </c>
      <c r="J49" s="22" t="s">
        <v>19385</v>
      </c>
      <c r="K49" s="22" t="s">
        <v>19386</v>
      </c>
      <c r="L49" s="22"/>
      <c r="M49" s="22"/>
      <c r="N49" s="25" t="str">
        <f>HYPERLINK("http://slimages.macys.com/is/image/MCY/22175295 ")</f>
        <v xml:space="preserve">http://slimages.macys.com/is/image/MCY/22175295 </v>
      </c>
    </row>
    <row r="50" spans="1:14" x14ac:dyDescent="0.25">
      <c r="A50" s="21" t="s">
        <v>6475</v>
      </c>
      <c r="B50" s="22" t="s">
        <v>6476</v>
      </c>
      <c r="C50" s="2">
        <v>1</v>
      </c>
      <c r="D50" s="23">
        <v>29.99</v>
      </c>
      <c r="E50" s="3">
        <v>29.99</v>
      </c>
      <c r="F50" s="2" t="s">
        <v>11358</v>
      </c>
      <c r="G50" s="22" t="s">
        <v>19351</v>
      </c>
      <c r="H50" s="24" t="s">
        <v>19361</v>
      </c>
      <c r="I50" s="22" t="s">
        <v>19309</v>
      </c>
      <c r="J50" s="22" t="s">
        <v>19310</v>
      </c>
      <c r="K50" s="22" t="s">
        <v>19440</v>
      </c>
      <c r="L50" s="22"/>
      <c r="M50" s="22"/>
      <c r="N50" s="25" t="str">
        <f>HYPERLINK("http://slimages.macys.com/is/image/MCY/21267891 ")</f>
        <v xml:space="preserve">http://slimages.macys.com/is/image/MCY/21267891 </v>
      </c>
    </row>
    <row r="51" spans="1:14" ht="24.75" x14ac:dyDescent="0.25">
      <c r="A51" s="21" t="s">
        <v>6477</v>
      </c>
      <c r="B51" s="22" t="s">
        <v>6478</v>
      </c>
      <c r="C51" s="2">
        <v>1</v>
      </c>
      <c r="D51" s="23">
        <v>29.5</v>
      </c>
      <c r="E51" s="3">
        <v>29.5</v>
      </c>
      <c r="F51" s="2">
        <v>320853904001</v>
      </c>
      <c r="G51" s="22" t="s">
        <v>19333</v>
      </c>
      <c r="H51" s="24" t="s">
        <v>20159</v>
      </c>
      <c r="I51" s="22" t="s">
        <v>19309</v>
      </c>
      <c r="J51" s="22" t="s">
        <v>19325</v>
      </c>
      <c r="K51" s="22" t="s">
        <v>19326</v>
      </c>
      <c r="L51" s="22"/>
      <c r="M51" s="22"/>
      <c r="N51" s="25" t="str">
        <f>HYPERLINK("http://slimages.macys.com/is/image/MCY/20057882 ")</f>
        <v xml:space="preserve">http://slimages.macys.com/is/image/MCY/20057882 </v>
      </c>
    </row>
    <row r="52" spans="1:14" ht="24.75" x14ac:dyDescent="0.25">
      <c r="A52" s="21" t="s">
        <v>6479</v>
      </c>
      <c r="B52" s="22" t="s">
        <v>6480</v>
      </c>
      <c r="C52" s="2">
        <v>1</v>
      </c>
      <c r="D52" s="23">
        <v>29.5</v>
      </c>
      <c r="E52" s="3">
        <v>29.5</v>
      </c>
      <c r="F52" s="2">
        <v>322870951003</v>
      </c>
      <c r="G52" s="22" t="s">
        <v>19537</v>
      </c>
      <c r="H52" s="24" t="s">
        <v>19361</v>
      </c>
      <c r="I52" s="22" t="s">
        <v>19309</v>
      </c>
      <c r="J52" s="22" t="s">
        <v>19335</v>
      </c>
      <c r="K52" s="22" t="s">
        <v>19326</v>
      </c>
      <c r="L52" s="22"/>
      <c r="M52" s="22"/>
      <c r="N52" s="25" t="str">
        <f>HYPERLINK("http://slimages.macys.com/is/image/MCY/21850526 ")</f>
        <v xml:space="preserve">http://slimages.macys.com/is/image/MCY/21850526 </v>
      </c>
    </row>
    <row r="53" spans="1:14" ht="24.75" x14ac:dyDescent="0.25">
      <c r="A53" s="21" t="s">
        <v>6481</v>
      </c>
      <c r="B53" s="22" t="s">
        <v>6482</v>
      </c>
      <c r="C53" s="2">
        <v>1</v>
      </c>
      <c r="D53" s="23">
        <v>39.99</v>
      </c>
      <c r="E53" s="3">
        <v>39.99</v>
      </c>
      <c r="F53" s="2" t="s">
        <v>6483</v>
      </c>
      <c r="G53" s="22" t="s">
        <v>19427</v>
      </c>
      <c r="H53" s="24" t="s">
        <v>19478</v>
      </c>
      <c r="I53" s="22" t="s">
        <v>19309</v>
      </c>
      <c r="J53" s="22" t="s">
        <v>19400</v>
      </c>
      <c r="K53" s="22" t="s">
        <v>19423</v>
      </c>
      <c r="L53" s="22"/>
      <c r="M53" s="22"/>
      <c r="N53" s="25" t="str">
        <f>HYPERLINK("http://slimages.macys.com/is/image/MCY/19785784 ")</f>
        <v xml:space="preserve">http://slimages.macys.com/is/image/MCY/19785784 </v>
      </c>
    </row>
    <row r="54" spans="1:14" ht="24.75" x14ac:dyDescent="0.25">
      <c r="A54" s="21" t="s">
        <v>12879</v>
      </c>
      <c r="B54" s="22" t="s">
        <v>12880</v>
      </c>
      <c r="C54" s="2">
        <v>1</v>
      </c>
      <c r="D54" s="23">
        <v>20.99</v>
      </c>
      <c r="E54" s="3">
        <v>20.99</v>
      </c>
      <c r="F54" s="2" t="s">
        <v>19453</v>
      </c>
      <c r="G54" s="22" t="s">
        <v>19431</v>
      </c>
      <c r="H54" s="24" t="s">
        <v>19339</v>
      </c>
      <c r="I54" s="22" t="s">
        <v>19309</v>
      </c>
      <c r="J54" s="22" t="s">
        <v>19454</v>
      </c>
      <c r="K54" s="22" t="s">
        <v>19354</v>
      </c>
      <c r="L54" s="22"/>
      <c r="M54" s="22"/>
      <c r="N54" s="25" t="str">
        <f>HYPERLINK("http://slimages.macys.com/is/image/MCY/1667507 ")</f>
        <v xml:space="preserve">http://slimages.macys.com/is/image/MCY/1667507 </v>
      </c>
    </row>
    <row r="55" spans="1:14" ht="24.75" x14ac:dyDescent="0.25">
      <c r="A55" s="21" t="s">
        <v>6484</v>
      </c>
      <c r="B55" s="22" t="s">
        <v>6485</v>
      </c>
      <c r="C55" s="2">
        <v>1</v>
      </c>
      <c r="D55" s="23">
        <v>39.99</v>
      </c>
      <c r="E55" s="3">
        <v>39.99</v>
      </c>
      <c r="F55" s="2" t="s">
        <v>6486</v>
      </c>
      <c r="G55" s="22" t="s">
        <v>19383</v>
      </c>
      <c r="H55" s="24" t="s">
        <v>19361</v>
      </c>
      <c r="I55" s="22" t="s">
        <v>19309</v>
      </c>
      <c r="J55" s="22" t="s">
        <v>19378</v>
      </c>
      <c r="K55" s="22" t="s">
        <v>19386</v>
      </c>
      <c r="L55" s="22"/>
      <c r="M55" s="22"/>
      <c r="N55" s="25" t="str">
        <f>HYPERLINK("http://slimages.macys.com/is/image/MCY/20108397 ")</f>
        <v xml:space="preserve">http://slimages.macys.com/is/image/MCY/20108397 </v>
      </c>
    </row>
    <row r="56" spans="1:14" ht="24.75" x14ac:dyDescent="0.25">
      <c r="A56" s="21" t="s">
        <v>6487</v>
      </c>
      <c r="B56" s="22" t="s">
        <v>6488</v>
      </c>
      <c r="C56" s="2">
        <v>1</v>
      </c>
      <c r="D56" s="23">
        <v>28.33</v>
      </c>
      <c r="E56" s="3">
        <v>28.33</v>
      </c>
      <c r="F56" s="2" t="s">
        <v>7308</v>
      </c>
      <c r="G56" s="22" t="s">
        <v>19670</v>
      </c>
      <c r="H56" s="24"/>
      <c r="I56" s="22" t="s">
        <v>19309</v>
      </c>
      <c r="J56" s="22" t="s">
        <v>19565</v>
      </c>
      <c r="K56" s="22" t="s">
        <v>19566</v>
      </c>
      <c r="L56" s="22"/>
      <c r="M56" s="22"/>
      <c r="N56" s="25" t="str">
        <f>HYPERLINK("http://slimages.macys.com/is/image/MCY/21294505 ")</f>
        <v xml:space="preserve">http://slimages.macys.com/is/image/MCY/21294505 </v>
      </c>
    </row>
    <row r="57" spans="1:14" x14ac:dyDescent="0.25">
      <c r="A57" s="21" t="s">
        <v>10303</v>
      </c>
      <c r="B57" s="22" t="s">
        <v>10304</v>
      </c>
      <c r="C57" s="2">
        <v>1</v>
      </c>
      <c r="D57" s="23">
        <v>28.99</v>
      </c>
      <c r="E57" s="3">
        <v>28.99</v>
      </c>
      <c r="F57" s="2" t="s">
        <v>17618</v>
      </c>
      <c r="G57" s="22" t="s">
        <v>19307</v>
      </c>
      <c r="H57" s="24" t="s">
        <v>19392</v>
      </c>
      <c r="I57" s="22" t="s">
        <v>19309</v>
      </c>
      <c r="J57" s="22" t="s">
        <v>19310</v>
      </c>
      <c r="K57" s="22" t="s">
        <v>19433</v>
      </c>
      <c r="L57" s="22"/>
      <c r="M57" s="22"/>
      <c r="N57" s="25" t="str">
        <f>HYPERLINK("http://slimages.macys.com/is/image/MCY/21784642 ")</f>
        <v xml:space="preserve">http://slimages.macys.com/is/image/MCY/21784642 </v>
      </c>
    </row>
    <row r="58" spans="1:14" ht="24.75" x14ac:dyDescent="0.25">
      <c r="A58" s="21" t="s">
        <v>17621</v>
      </c>
      <c r="B58" s="22" t="s">
        <v>17622</v>
      </c>
      <c r="C58" s="2">
        <v>1</v>
      </c>
      <c r="D58" s="23">
        <v>36.99</v>
      </c>
      <c r="E58" s="3">
        <v>36.99</v>
      </c>
      <c r="F58" s="2" t="s">
        <v>17623</v>
      </c>
      <c r="G58" s="22" t="s">
        <v>19415</v>
      </c>
      <c r="H58" s="24" t="s">
        <v>19316</v>
      </c>
      <c r="I58" s="22" t="s">
        <v>19309</v>
      </c>
      <c r="J58" s="22" t="s">
        <v>19400</v>
      </c>
      <c r="K58" s="22" t="s">
        <v>17589</v>
      </c>
      <c r="L58" s="22"/>
      <c r="M58" s="22"/>
      <c r="N58" s="25" t="str">
        <f>HYPERLINK("http://slimages.macys.com/is/image/MCY/21736448 ")</f>
        <v xml:space="preserve">http://slimages.macys.com/is/image/MCY/21736448 </v>
      </c>
    </row>
    <row r="59" spans="1:14" ht="24.75" x14ac:dyDescent="0.25">
      <c r="A59" s="21" t="s">
        <v>11398</v>
      </c>
      <c r="B59" s="22" t="s">
        <v>11399</v>
      </c>
      <c r="C59" s="2">
        <v>1</v>
      </c>
      <c r="D59" s="23">
        <v>34.99</v>
      </c>
      <c r="E59" s="3">
        <v>34.99</v>
      </c>
      <c r="F59" s="2" t="s">
        <v>11400</v>
      </c>
      <c r="G59" s="22" t="s">
        <v>19333</v>
      </c>
      <c r="H59" s="24" t="s">
        <v>19316</v>
      </c>
      <c r="I59" s="22" t="s">
        <v>19309</v>
      </c>
      <c r="J59" s="22" t="s">
        <v>19400</v>
      </c>
      <c r="K59" s="22" t="s">
        <v>19479</v>
      </c>
      <c r="L59" s="22"/>
      <c r="M59" s="22"/>
      <c r="N59" s="25" t="str">
        <f>HYPERLINK("http://slimages.macys.com/is/image/MCY/21683529 ")</f>
        <v xml:space="preserve">http://slimages.macys.com/is/image/MCY/21683529 </v>
      </c>
    </row>
    <row r="60" spans="1:14" ht="24.75" x14ac:dyDescent="0.25">
      <c r="A60" s="21" t="s">
        <v>6489</v>
      </c>
      <c r="B60" s="22" t="s">
        <v>6490</v>
      </c>
      <c r="C60" s="2">
        <v>1</v>
      </c>
      <c r="D60" s="23">
        <v>34.99</v>
      </c>
      <c r="E60" s="3">
        <v>34.99</v>
      </c>
      <c r="F60" s="2" t="s">
        <v>19497</v>
      </c>
      <c r="G60" s="22" t="s">
        <v>19498</v>
      </c>
      <c r="H60" s="24" t="s">
        <v>19316</v>
      </c>
      <c r="I60" s="22" t="s">
        <v>19309</v>
      </c>
      <c r="J60" s="22" t="s">
        <v>19400</v>
      </c>
      <c r="K60" s="22" t="s">
        <v>19479</v>
      </c>
      <c r="L60" s="22"/>
      <c r="M60" s="22"/>
      <c r="N60" s="25" t="str">
        <f>HYPERLINK("http://slimages.macys.com/is/image/MCY/21683546 ")</f>
        <v xml:space="preserve">http://slimages.macys.com/is/image/MCY/21683546 </v>
      </c>
    </row>
    <row r="61" spans="1:14" x14ac:dyDescent="0.25">
      <c r="A61" s="21" t="s">
        <v>6491</v>
      </c>
      <c r="B61" s="22" t="s">
        <v>6492</v>
      </c>
      <c r="C61" s="2">
        <v>1</v>
      </c>
      <c r="D61" s="23">
        <v>27.99</v>
      </c>
      <c r="E61" s="3">
        <v>27.99</v>
      </c>
      <c r="F61" s="2" t="s">
        <v>10310</v>
      </c>
      <c r="G61" s="22" t="s">
        <v>19307</v>
      </c>
      <c r="H61" s="24" t="s">
        <v>19334</v>
      </c>
      <c r="I61" s="22" t="s">
        <v>19309</v>
      </c>
      <c r="J61" s="22" t="s">
        <v>19310</v>
      </c>
      <c r="K61" s="22" t="s">
        <v>19433</v>
      </c>
      <c r="L61" s="22"/>
      <c r="M61" s="22"/>
      <c r="N61" s="25" t="str">
        <f>HYPERLINK("http://slimages.macys.com/is/image/MCY/20988721 ")</f>
        <v xml:space="preserve">http://slimages.macys.com/is/image/MCY/20988721 </v>
      </c>
    </row>
    <row r="62" spans="1:14" ht="24.75" x14ac:dyDescent="0.25">
      <c r="A62" s="21" t="s">
        <v>6493</v>
      </c>
      <c r="B62" s="22" t="s">
        <v>6494</v>
      </c>
      <c r="C62" s="2">
        <v>1</v>
      </c>
      <c r="D62" s="23">
        <v>26.99</v>
      </c>
      <c r="E62" s="3">
        <v>26.99</v>
      </c>
      <c r="F62" s="2" t="s">
        <v>6495</v>
      </c>
      <c r="G62" s="22" t="s">
        <v>19351</v>
      </c>
      <c r="H62" s="24" t="s">
        <v>19364</v>
      </c>
      <c r="I62" s="22" t="s">
        <v>19309</v>
      </c>
      <c r="J62" s="22" t="s">
        <v>19447</v>
      </c>
      <c r="K62" s="22" t="s">
        <v>19533</v>
      </c>
      <c r="L62" s="22"/>
      <c r="M62" s="22"/>
      <c r="N62" s="25" t="str">
        <f>HYPERLINK("http://slimages.macys.com/is/image/MCY/21150478 ")</f>
        <v xml:space="preserve">http://slimages.macys.com/is/image/MCY/21150478 </v>
      </c>
    </row>
    <row r="63" spans="1:14" x14ac:dyDescent="0.25">
      <c r="A63" s="21" t="s">
        <v>6496</v>
      </c>
      <c r="B63" s="22" t="s">
        <v>6497</v>
      </c>
      <c r="C63" s="2">
        <v>1</v>
      </c>
      <c r="D63" s="23">
        <v>34.99</v>
      </c>
      <c r="E63" s="3">
        <v>34.99</v>
      </c>
      <c r="F63" s="2" t="s">
        <v>6498</v>
      </c>
      <c r="G63" s="22" t="s">
        <v>19351</v>
      </c>
      <c r="H63" s="24" t="s">
        <v>19339</v>
      </c>
      <c r="I63" s="22" t="s">
        <v>19309</v>
      </c>
      <c r="J63" s="22" t="s">
        <v>19310</v>
      </c>
      <c r="K63" s="22" t="s">
        <v>19529</v>
      </c>
      <c r="L63" s="22"/>
      <c r="M63" s="22"/>
      <c r="N63" s="25" t="str">
        <f>HYPERLINK("http://slimages.macys.com/is/image/MCY/21475659 ")</f>
        <v xml:space="preserve">http://slimages.macys.com/is/image/MCY/21475659 </v>
      </c>
    </row>
    <row r="64" spans="1:14" x14ac:dyDescent="0.25">
      <c r="A64" s="21" t="s">
        <v>6499</v>
      </c>
      <c r="B64" s="22" t="s">
        <v>6500</v>
      </c>
      <c r="C64" s="2">
        <v>1</v>
      </c>
      <c r="D64" s="23">
        <v>31.63</v>
      </c>
      <c r="E64" s="3">
        <v>31.63</v>
      </c>
      <c r="F64" s="2" t="s">
        <v>6501</v>
      </c>
      <c r="G64" s="22"/>
      <c r="H64" s="24" t="s">
        <v>19538</v>
      </c>
      <c r="I64" s="22" t="s">
        <v>19309</v>
      </c>
      <c r="J64" s="22" t="s">
        <v>19708</v>
      </c>
      <c r="K64" s="22" t="s">
        <v>19709</v>
      </c>
      <c r="L64" s="22"/>
      <c r="M64" s="22"/>
      <c r="N64" s="25" t="str">
        <f>HYPERLINK("http://slimages.macys.com/is/image/MCY/22296869 ")</f>
        <v xml:space="preserve">http://slimages.macys.com/is/image/MCY/22296869 </v>
      </c>
    </row>
    <row r="65" spans="1:14" ht="24.75" x14ac:dyDescent="0.25">
      <c r="A65" s="21" t="s">
        <v>6502</v>
      </c>
      <c r="B65" s="22" t="s">
        <v>6503</v>
      </c>
      <c r="C65" s="2">
        <v>1</v>
      </c>
      <c r="D65" s="23">
        <v>24.99</v>
      </c>
      <c r="E65" s="3">
        <v>24.99</v>
      </c>
      <c r="F65" s="2">
        <v>1833201</v>
      </c>
      <c r="G65" s="22" t="s">
        <v>19404</v>
      </c>
      <c r="H65" s="24" t="s">
        <v>19339</v>
      </c>
      <c r="I65" s="22" t="s">
        <v>19309</v>
      </c>
      <c r="J65" s="22" t="s">
        <v>15506</v>
      </c>
      <c r="K65" s="22" t="s">
        <v>15507</v>
      </c>
      <c r="L65" s="22"/>
      <c r="M65" s="22"/>
      <c r="N65" s="25" t="str">
        <f>HYPERLINK("http://slimages.macys.com/is/image/MCY/18528848 ")</f>
        <v xml:space="preserve">http://slimages.macys.com/is/image/MCY/18528848 </v>
      </c>
    </row>
    <row r="66" spans="1:14" ht="24.75" x14ac:dyDescent="0.25">
      <c r="A66" s="21" t="s">
        <v>6504</v>
      </c>
      <c r="B66" s="22" t="s">
        <v>6505</v>
      </c>
      <c r="C66" s="2">
        <v>1</v>
      </c>
      <c r="D66" s="23">
        <v>22.99</v>
      </c>
      <c r="E66" s="3">
        <v>22.99</v>
      </c>
      <c r="F66" s="2" t="s">
        <v>6506</v>
      </c>
      <c r="G66" s="22" t="s">
        <v>19680</v>
      </c>
      <c r="H66" s="24" t="s">
        <v>19324</v>
      </c>
      <c r="I66" s="22" t="s">
        <v>19309</v>
      </c>
      <c r="J66" s="22" t="s">
        <v>19491</v>
      </c>
      <c r="K66" s="22" t="s">
        <v>19458</v>
      </c>
      <c r="L66" s="22"/>
      <c r="M66" s="22"/>
      <c r="N66" s="25" t="str">
        <f>HYPERLINK("http://slimages.macys.com/is/image/MCY/21700913 ")</f>
        <v xml:space="preserve">http://slimages.macys.com/is/image/MCY/21700913 </v>
      </c>
    </row>
    <row r="67" spans="1:14" ht="24.75" x14ac:dyDescent="0.25">
      <c r="A67" s="21" t="s">
        <v>6507</v>
      </c>
      <c r="B67" s="22" t="s">
        <v>6508</v>
      </c>
      <c r="C67" s="2">
        <v>1</v>
      </c>
      <c r="D67" s="23">
        <v>20.99</v>
      </c>
      <c r="E67" s="3">
        <v>20.99</v>
      </c>
      <c r="F67" s="2" t="s">
        <v>15621</v>
      </c>
      <c r="G67" s="22" t="s">
        <v>19307</v>
      </c>
      <c r="H67" s="24" t="s">
        <v>19345</v>
      </c>
      <c r="I67" s="22" t="s">
        <v>19309</v>
      </c>
      <c r="J67" s="22" t="s">
        <v>19447</v>
      </c>
      <c r="K67" s="22" t="s">
        <v>13616</v>
      </c>
      <c r="L67" s="22"/>
      <c r="M67" s="22"/>
      <c r="N67" s="25" t="str">
        <f>HYPERLINK("http://slimages.macys.com/is/image/MCY/20159681 ")</f>
        <v xml:space="preserve">http://slimages.macys.com/is/image/MCY/20159681 </v>
      </c>
    </row>
    <row r="68" spans="1:14" ht="24.75" x14ac:dyDescent="0.25">
      <c r="A68" s="21" t="s">
        <v>15619</v>
      </c>
      <c r="B68" s="22" t="s">
        <v>15620</v>
      </c>
      <c r="C68" s="2">
        <v>1</v>
      </c>
      <c r="D68" s="23">
        <v>21.99</v>
      </c>
      <c r="E68" s="3">
        <v>21.99</v>
      </c>
      <c r="F68" s="2" t="s">
        <v>15621</v>
      </c>
      <c r="G68" s="22" t="s">
        <v>19307</v>
      </c>
      <c r="H68" s="24" t="s">
        <v>19364</v>
      </c>
      <c r="I68" s="22" t="s">
        <v>19309</v>
      </c>
      <c r="J68" s="22" t="s">
        <v>19447</v>
      </c>
      <c r="K68" s="22" t="s">
        <v>19533</v>
      </c>
      <c r="L68" s="22"/>
      <c r="M68" s="22"/>
      <c r="N68" s="25" t="str">
        <f>HYPERLINK("http://slimages.macys.com/is/image/MCY/20219973 ")</f>
        <v xml:space="preserve">http://slimages.macys.com/is/image/MCY/20219973 </v>
      </c>
    </row>
    <row r="69" spans="1:14" ht="24.75" x14ac:dyDescent="0.25">
      <c r="A69" s="21" t="s">
        <v>6509</v>
      </c>
      <c r="B69" s="22" t="s">
        <v>6510</v>
      </c>
      <c r="C69" s="2">
        <v>1</v>
      </c>
      <c r="D69" s="23">
        <v>22.99</v>
      </c>
      <c r="E69" s="3">
        <v>22.99</v>
      </c>
      <c r="F69" s="2" t="s">
        <v>6506</v>
      </c>
      <c r="G69" s="22" t="s">
        <v>19680</v>
      </c>
      <c r="H69" s="24" t="s">
        <v>19330</v>
      </c>
      <c r="I69" s="22" t="s">
        <v>19309</v>
      </c>
      <c r="J69" s="22" t="s">
        <v>19491</v>
      </c>
      <c r="K69" s="22" t="s">
        <v>19458</v>
      </c>
      <c r="L69" s="22"/>
      <c r="M69" s="22"/>
      <c r="N69" s="25" t="str">
        <f>HYPERLINK("http://slimages.macys.com/is/image/MCY/21700913 ")</f>
        <v xml:space="preserve">http://slimages.macys.com/is/image/MCY/21700913 </v>
      </c>
    </row>
    <row r="70" spans="1:14" ht="24.75" x14ac:dyDescent="0.25">
      <c r="A70" s="21" t="s">
        <v>6511</v>
      </c>
      <c r="B70" s="22" t="s">
        <v>6512</v>
      </c>
      <c r="C70" s="2">
        <v>1</v>
      </c>
      <c r="D70" s="23">
        <v>21.99</v>
      </c>
      <c r="E70" s="3">
        <v>21.99</v>
      </c>
      <c r="F70" s="2" t="s">
        <v>6513</v>
      </c>
      <c r="G70" s="22" t="s">
        <v>18429</v>
      </c>
      <c r="H70" s="24" t="s">
        <v>19352</v>
      </c>
      <c r="I70" s="22" t="s">
        <v>19309</v>
      </c>
      <c r="J70" s="22" t="s">
        <v>19310</v>
      </c>
      <c r="K70" s="22" t="s">
        <v>19873</v>
      </c>
      <c r="L70" s="22"/>
      <c r="M70" s="22"/>
      <c r="N70" s="25" t="str">
        <f>HYPERLINK("http://slimages.macys.com/is/image/MCY/20004958 ")</f>
        <v xml:space="preserve">http://slimages.macys.com/is/image/MCY/20004958 </v>
      </c>
    </row>
    <row r="71" spans="1:14" ht="24.75" x14ac:dyDescent="0.25">
      <c r="A71" s="21" t="s">
        <v>6514</v>
      </c>
      <c r="B71" s="22" t="s">
        <v>6515</v>
      </c>
      <c r="C71" s="2">
        <v>1</v>
      </c>
      <c r="D71" s="23">
        <v>25</v>
      </c>
      <c r="E71" s="3">
        <v>25</v>
      </c>
      <c r="F71" s="2" t="s">
        <v>19564</v>
      </c>
      <c r="G71" s="22" t="s">
        <v>19315</v>
      </c>
      <c r="H71" s="24" t="s">
        <v>19478</v>
      </c>
      <c r="I71" s="22" t="s">
        <v>19309</v>
      </c>
      <c r="J71" s="22" t="s">
        <v>19565</v>
      </c>
      <c r="K71" s="22" t="s">
        <v>19566</v>
      </c>
      <c r="L71" s="22"/>
      <c r="M71" s="22"/>
      <c r="N71" s="25" t="str">
        <f>HYPERLINK("http://slimages.macys.com/is/image/MCY/21294545 ")</f>
        <v xml:space="preserve">http://slimages.macys.com/is/image/MCY/21294545 </v>
      </c>
    </row>
    <row r="72" spans="1:14" ht="24.75" x14ac:dyDescent="0.25">
      <c r="A72" s="21" t="s">
        <v>11413</v>
      </c>
      <c r="B72" s="22" t="s">
        <v>11414</v>
      </c>
      <c r="C72" s="2">
        <v>1</v>
      </c>
      <c r="D72" s="23">
        <v>28.99</v>
      </c>
      <c r="E72" s="3">
        <v>28.99</v>
      </c>
      <c r="F72" s="2" t="s">
        <v>19572</v>
      </c>
      <c r="G72" s="22" t="s">
        <v>19315</v>
      </c>
      <c r="H72" s="24" t="s">
        <v>19384</v>
      </c>
      <c r="I72" s="22" t="s">
        <v>19309</v>
      </c>
      <c r="J72" s="22" t="s">
        <v>19573</v>
      </c>
      <c r="K72" s="22" t="s">
        <v>19574</v>
      </c>
      <c r="L72" s="22"/>
      <c r="M72" s="22"/>
      <c r="N72" s="25" t="str">
        <f>HYPERLINK("http://slimages.macys.com/is/image/MCY/21731366 ")</f>
        <v xml:space="preserve">http://slimages.macys.com/is/image/MCY/21731366 </v>
      </c>
    </row>
    <row r="73" spans="1:14" ht="24.75" x14ac:dyDescent="0.25">
      <c r="A73" s="21" t="s">
        <v>6516</v>
      </c>
      <c r="B73" s="22" t="s">
        <v>6517</v>
      </c>
      <c r="C73" s="2">
        <v>1</v>
      </c>
      <c r="D73" s="23">
        <v>23.99</v>
      </c>
      <c r="E73" s="3">
        <v>23.99</v>
      </c>
      <c r="F73" s="2" t="s">
        <v>6518</v>
      </c>
      <c r="G73" s="22" t="s">
        <v>19351</v>
      </c>
      <c r="H73" s="24"/>
      <c r="I73" s="22" t="s">
        <v>19309</v>
      </c>
      <c r="J73" s="22" t="s">
        <v>19447</v>
      </c>
      <c r="K73" s="22" t="s">
        <v>19311</v>
      </c>
      <c r="L73" s="22"/>
      <c r="M73" s="22"/>
      <c r="N73" s="25" t="str">
        <f>HYPERLINK("http://slimages.macys.com/is/image/MCY/20314391 ")</f>
        <v xml:space="preserve">http://slimages.macys.com/is/image/MCY/20314391 </v>
      </c>
    </row>
    <row r="74" spans="1:14" ht="24.75" x14ac:dyDescent="0.25">
      <c r="A74" s="21" t="s">
        <v>15195</v>
      </c>
      <c r="B74" s="22" t="s">
        <v>15196</v>
      </c>
      <c r="C74" s="2">
        <v>1</v>
      </c>
      <c r="D74" s="23">
        <v>26.99</v>
      </c>
      <c r="E74" s="3">
        <v>26.99</v>
      </c>
      <c r="F74" s="2" t="s">
        <v>15197</v>
      </c>
      <c r="G74" s="22"/>
      <c r="H74" s="24" t="s">
        <v>19416</v>
      </c>
      <c r="I74" s="22" t="s">
        <v>19309</v>
      </c>
      <c r="J74" s="22" t="s">
        <v>19385</v>
      </c>
      <c r="K74" s="22" t="s">
        <v>19487</v>
      </c>
      <c r="L74" s="22"/>
      <c r="M74" s="22"/>
      <c r="N74" s="25" t="str">
        <f>HYPERLINK("http://slimages.macys.com/is/image/MCY/21605011 ")</f>
        <v xml:space="preserve">http://slimages.macys.com/is/image/MCY/21605011 </v>
      </c>
    </row>
    <row r="75" spans="1:14" ht="24.75" x14ac:dyDescent="0.25">
      <c r="A75" s="21" t="s">
        <v>12905</v>
      </c>
      <c r="B75" s="22" t="s">
        <v>12906</v>
      </c>
      <c r="C75" s="2">
        <v>1</v>
      </c>
      <c r="D75" s="23">
        <v>26.07</v>
      </c>
      <c r="E75" s="3">
        <v>26.07</v>
      </c>
      <c r="F75" s="2" t="s">
        <v>12907</v>
      </c>
      <c r="G75" s="22"/>
      <c r="H75" s="24" t="s">
        <v>19478</v>
      </c>
      <c r="I75" s="22" t="s">
        <v>19309</v>
      </c>
      <c r="J75" s="22" t="s">
        <v>19602</v>
      </c>
      <c r="K75" s="22" t="s">
        <v>19603</v>
      </c>
      <c r="L75" s="22"/>
      <c r="M75" s="22"/>
      <c r="N75" s="25" t="str">
        <f>HYPERLINK("http://slimages.macys.com/is/image/MCY/22406096 ")</f>
        <v xml:space="preserve">http://slimages.macys.com/is/image/MCY/22406096 </v>
      </c>
    </row>
    <row r="76" spans="1:14" ht="24.75" x14ac:dyDescent="0.25">
      <c r="A76" s="21" t="s">
        <v>15645</v>
      </c>
      <c r="B76" s="22" t="s">
        <v>15646</v>
      </c>
      <c r="C76" s="2">
        <v>1</v>
      </c>
      <c r="D76" s="23">
        <v>26.99</v>
      </c>
      <c r="E76" s="3">
        <v>26.99</v>
      </c>
      <c r="F76" s="2" t="s">
        <v>17700</v>
      </c>
      <c r="G76" s="22" t="s">
        <v>19528</v>
      </c>
      <c r="H76" s="24" t="s">
        <v>19324</v>
      </c>
      <c r="I76" s="22" t="s">
        <v>19309</v>
      </c>
      <c r="J76" s="22" t="s">
        <v>19385</v>
      </c>
      <c r="K76" s="22" t="s">
        <v>19463</v>
      </c>
      <c r="L76" s="22"/>
      <c r="M76" s="22"/>
      <c r="N76" s="25" t="str">
        <f>HYPERLINK("http://slimages.macys.com/is/image/MCY/22291356 ")</f>
        <v xml:space="preserve">http://slimages.macys.com/is/image/MCY/22291356 </v>
      </c>
    </row>
    <row r="77" spans="1:14" ht="24.75" x14ac:dyDescent="0.25">
      <c r="A77" s="21" t="s">
        <v>17698</v>
      </c>
      <c r="B77" s="22" t="s">
        <v>17699</v>
      </c>
      <c r="C77" s="2">
        <v>1</v>
      </c>
      <c r="D77" s="23">
        <v>26.99</v>
      </c>
      <c r="E77" s="3">
        <v>26.99</v>
      </c>
      <c r="F77" s="2" t="s">
        <v>17700</v>
      </c>
      <c r="G77" s="22" t="s">
        <v>19528</v>
      </c>
      <c r="H77" s="24" t="s">
        <v>19416</v>
      </c>
      <c r="I77" s="22" t="s">
        <v>19309</v>
      </c>
      <c r="J77" s="22" t="s">
        <v>19385</v>
      </c>
      <c r="K77" s="22" t="s">
        <v>19463</v>
      </c>
      <c r="L77" s="22"/>
      <c r="M77" s="22"/>
      <c r="N77" s="25" t="str">
        <f>HYPERLINK("http://slimages.macys.com/is/image/MCY/22291356 ")</f>
        <v xml:space="preserve">http://slimages.macys.com/is/image/MCY/22291356 </v>
      </c>
    </row>
    <row r="78" spans="1:14" ht="24.75" x14ac:dyDescent="0.25">
      <c r="A78" s="21" t="s">
        <v>6519</v>
      </c>
      <c r="B78" s="22" t="s">
        <v>6520</v>
      </c>
      <c r="C78" s="2">
        <v>1</v>
      </c>
      <c r="D78" s="23">
        <v>24.99</v>
      </c>
      <c r="E78" s="3">
        <v>24.99</v>
      </c>
      <c r="F78" s="2" t="s">
        <v>6521</v>
      </c>
      <c r="G78" s="22" t="s">
        <v>19333</v>
      </c>
      <c r="H78" s="24" t="s">
        <v>6522</v>
      </c>
      <c r="I78" s="22" t="s">
        <v>19309</v>
      </c>
      <c r="J78" s="22" t="s">
        <v>15149</v>
      </c>
      <c r="K78" s="22" t="s">
        <v>6523</v>
      </c>
      <c r="L78" s="22" t="s">
        <v>19319</v>
      </c>
      <c r="M78" s="22" t="s">
        <v>6524</v>
      </c>
      <c r="N78" s="25" t="str">
        <f>HYPERLINK("http://slimages.macys.com/is/image/MCY/15157261 ")</f>
        <v xml:space="preserve">http://slimages.macys.com/is/image/MCY/15157261 </v>
      </c>
    </row>
    <row r="79" spans="1:14" ht="24.75" x14ac:dyDescent="0.25">
      <c r="A79" s="21" t="s">
        <v>6525</v>
      </c>
      <c r="B79" s="22" t="s">
        <v>6526</v>
      </c>
      <c r="C79" s="2">
        <v>1</v>
      </c>
      <c r="D79" s="23">
        <v>24.99</v>
      </c>
      <c r="E79" s="3">
        <v>24.99</v>
      </c>
      <c r="F79" s="2" t="s">
        <v>6527</v>
      </c>
      <c r="G79" s="22" t="s">
        <v>19342</v>
      </c>
      <c r="H79" s="24" t="s">
        <v>19416</v>
      </c>
      <c r="I79" s="22" t="s">
        <v>19309</v>
      </c>
      <c r="J79" s="22" t="s">
        <v>19385</v>
      </c>
      <c r="K79" s="22" t="s">
        <v>18064</v>
      </c>
      <c r="L79" s="22"/>
      <c r="M79" s="22"/>
      <c r="N79" s="25" t="str">
        <f>HYPERLINK("http://slimages.macys.com/is/image/MCY/21775731 ")</f>
        <v xml:space="preserve">http://slimages.macys.com/is/image/MCY/21775731 </v>
      </c>
    </row>
    <row r="80" spans="1:14" x14ac:dyDescent="0.25">
      <c r="A80" s="21" t="s">
        <v>6528</v>
      </c>
      <c r="B80" s="22" t="s">
        <v>6529</v>
      </c>
      <c r="C80" s="2">
        <v>1</v>
      </c>
      <c r="D80" s="23">
        <v>40</v>
      </c>
      <c r="E80" s="3">
        <v>40</v>
      </c>
      <c r="F80" s="2" t="s">
        <v>6530</v>
      </c>
      <c r="G80" s="22" t="s">
        <v>19333</v>
      </c>
      <c r="H80" s="24" t="s">
        <v>19542</v>
      </c>
      <c r="I80" s="22" t="s">
        <v>19309</v>
      </c>
      <c r="J80" s="22" t="s">
        <v>17328</v>
      </c>
      <c r="K80" s="22" t="s">
        <v>17329</v>
      </c>
      <c r="L80" s="22"/>
      <c r="M80" s="22"/>
      <c r="N80" s="25" t="str">
        <f>HYPERLINK("http://slimages.macys.com/is/image/MCY/20018447 ")</f>
        <v xml:space="preserve">http://slimages.macys.com/is/image/MCY/20018447 </v>
      </c>
    </row>
    <row r="81" spans="1:14" ht="24.75" x14ac:dyDescent="0.25">
      <c r="A81" s="21" t="s">
        <v>6531</v>
      </c>
      <c r="B81" s="22" t="s">
        <v>6532</v>
      </c>
      <c r="C81" s="2">
        <v>1</v>
      </c>
      <c r="D81" s="23">
        <v>27.99</v>
      </c>
      <c r="E81" s="3">
        <v>27.99</v>
      </c>
      <c r="F81" s="2" t="s">
        <v>6533</v>
      </c>
      <c r="G81" s="22" t="s">
        <v>19342</v>
      </c>
      <c r="H81" s="24" t="s">
        <v>19377</v>
      </c>
      <c r="I81" s="22" t="s">
        <v>19309</v>
      </c>
      <c r="J81" s="22" t="s">
        <v>19550</v>
      </c>
      <c r="K81" s="22" t="s">
        <v>19554</v>
      </c>
      <c r="L81" s="22"/>
      <c r="M81" s="22"/>
      <c r="N81" s="25" t="str">
        <f>HYPERLINK("http://slimages.macys.com/is/image/MCY/21204866 ")</f>
        <v xml:space="preserve">http://slimages.macys.com/is/image/MCY/21204866 </v>
      </c>
    </row>
    <row r="82" spans="1:14" ht="24.75" x14ac:dyDescent="0.25">
      <c r="A82" s="21" t="s">
        <v>6534</v>
      </c>
      <c r="B82" s="22" t="s">
        <v>6535</v>
      </c>
      <c r="C82" s="2">
        <v>1</v>
      </c>
      <c r="D82" s="23">
        <v>27.99</v>
      </c>
      <c r="E82" s="3">
        <v>27.99</v>
      </c>
      <c r="F82" s="2" t="s">
        <v>6533</v>
      </c>
      <c r="G82" s="22" t="s">
        <v>19342</v>
      </c>
      <c r="H82" s="24" t="s">
        <v>19395</v>
      </c>
      <c r="I82" s="22" t="s">
        <v>19309</v>
      </c>
      <c r="J82" s="22" t="s">
        <v>19550</v>
      </c>
      <c r="K82" s="22" t="s">
        <v>19554</v>
      </c>
      <c r="L82" s="22"/>
      <c r="M82" s="22"/>
      <c r="N82" s="25" t="str">
        <f>HYPERLINK("http://slimages.macys.com/is/image/MCY/21204866 ")</f>
        <v xml:space="preserve">http://slimages.macys.com/is/image/MCY/21204866 </v>
      </c>
    </row>
    <row r="83" spans="1:14" ht="24.75" x14ac:dyDescent="0.25">
      <c r="A83" s="21" t="s">
        <v>6536</v>
      </c>
      <c r="B83" s="22" t="s">
        <v>6537</v>
      </c>
      <c r="C83" s="2">
        <v>1</v>
      </c>
      <c r="D83" s="23">
        <v>21.99</v>
      </c>
      <c r="E83" s="3">
        <v>21.99</v>
      </c>
      <c r="F83" s="2" t="s">
        <v>6538</v>
      </c>
      <c r="G83" s="22" t="s">
        <v>19333</v>
      </c>
      <c r="H83" s="24" t="s">
        <v>19399</v>
      </c>
      <c r="I83" s="22" t="s">
        <v>19309</v>
      </c>
      <c r="J83" s="22" t="s">
        <v>19353</v>
      </c>
      <c r="K83" s="22" t="s">
        <v>19524</v>
      </c>
      <c r="L83" s="22"/>
      <c r="M83" s="22"/>
      <c r="N83" s="25" t="str">
        <f>HYPERLINK("http://slimages.macys.com/is/image/MCY/20158250 ")</f>
        <v xml:space="preserve">http://slimages.macys.com/is/image/MCY/20158250 </v>
      </c>
    </row>
    <row r="84" spans="1:14" x14ac:dyDescent="0.25">
      <c r="A84" s="21" t="s">
        <v>6539</v>
      </c>
      <c r="B84" s="22" t="s">
        <v>6540</v>
      </c>
      <c r="C84" s="2">
        <v>1</v>
      </c>
      <c r="D84" s="23">
        <v>29.99</v>
      </c>
      <c r="E84" s="3">
        <v>29.99</v>
      </c>
      <c r="F84" s="2" t="s">
        <v>6541</v>
      </c>
      <c r="G84" s="22" t="s">
        <v>19342</v>
      </c>
      <c r="H84" s="24" t="s">
        <v>19478</v>
      </c>
      <c r="I84" s="22" t="s">
        <v>19309</v>
      </c>
      <c r="J84" s="22" t="s">
        <v>19696</v>
      </c>
      <c r="K84" s="22" t="s">
        <v>19697</v>
      </c>
      <c r="L84" s="22"/>
      <c r="M84" s="22"/>
      <c r="N84" s="25" t="str">
        <f>HYPERLINK("http://slimages.macys.com/is/image/MCY/21159608 ")</f>
        <v xml:space="preserve">http://slimages.macys.com/is/image/MCY/21159608 </v>
      </c>
    </row>
    <row r="85" spans="1:14" ht="24.75" x14ac:dyDescent="0.25">
      <c r="A85" s="21" t="s">
        <v>12920</v>
      </c>
      <c r="B85" s="22" t="s">
        <v>12921</v>
      </c>
      <c r="C85" s="2">
        <v>1</v>
      </c>
      <c r="D85" s="23">
        <v>32.99</v>
      </c>
      <c r="E85" s="3">
        <v>32.99</v>
      </c>
      <c r="F85" s="2" t="s">
        <v>12922</v>
      </c>
      <c r="G85" s="22" t="s">
        <v>19404</v>
      </c>
      <c r="H85" s="24" t="s">
        <v>19364</v>
      </c>
      <c r="I85" s="22" t="s">
        <v>19309</v>
      </c>
      <c r="J85" s="22" t="s">
        <v>19595</v>
      </c>
      <c r="K85" s="22" t="s">
        <v>19423</v>
      </c>
      <c r="L85" s="22"/>
      <c r="M85" s="22"/>
      <c r="N85" s="25" t="str">
        <f>HYPERLINK("http://slimages.macys.com/is/image/MCY/21398445 ")</f>
        <v xml:space="preserve">http://slimages.macys.com/is/image/MCY/21398445 </v>
      </c>
    </row>
    <row r="86" spans="1:14" ht="24.75" x14ac:dyDescent="0.25">
      <c r="A86" s="21" t="s">
        <v>6542</v>
      </c>
      <c r="B86" s="22" t="s">
        <v>6543</v>
      </c>
      <c r="C86" s="2">
        <v>1</v>
      </c>
      <c r="D86" s="23">
        <v>32.99</v>
      </c>
      <c r="E86" s="3">
        <v>32.99</v>
      </c>
      <c r="F86" s="2" t="s">
        <v>11798</v>
      </c>
      <c r="G86" s="22" t="s">
        <v>19357</v>
      </c>
      <c r="H86" s="24" t="s">
        <v>19797</v>
      </c>
      <c r="I86" s="22" t="s">
        <v>19309</v>
      </c>
      <c r="J86" s="22" t="s">
        <v>19595</v>
      </c>
      <c r="K86" s="22" t="s">
        <v>19423</v>
      </c>
      <c r="L86" s="22"/>
      <c r="M86" s="22"/>
      <c r="N86" s="25" t="str">
        <f>HYPERLINK("http://slimages.macys.com/is/image/MCY/21398459 ")</f>
        <v xml:space="preserve">http://slimages.macys.com/is/image/MCY/21398459 </v>
      </c>
    </row>
    <row r="87" spans="1:14" ht="24.75" x14ac:dyDescent="0.25">
      <c r="A87" s="21" t="s">
        <v>6544</v>
      </c>
      <c r="B87" s="22" t="s">
        <v>6545</v>
      </c>
      <c r="C87" s="2">
        <v>1</v>
      </c>
      <c r="D87" s="23">
        <v>26.99</v>
      </c>
      <c r="E87" s="3">
        <v>26.99</v>
      </c>
      <c r="F87" s="2" t="s">
        <v>19634</v>
      </c>
      <c r="G87" s="22" t="s">
        <v>19635</v>
      </c>
      <c r="H87" s="24" t="s">
        <v>19324</v>
      </c>
      <c r="I87" s="22" t="s">
        <v>19309</v>
      </c>
      <c r="J87" s="22" t="s">
        <v>19385</v>
      </c>
      <c r="K87" s="22" t="s">
        <v>19411</v>
      </c>
      <c r="L87" s="22"/>
      <c r="M87" s="22"/>
      <c r="N87" s="25" t="str">
        <f>HYPERLINK("http://slimages.macys.com/is/image/MCY/21677796 ")</f>
        <v xml:space="preserve">http://slimages.macys.com/is/image/MCY/21677796 </v>
      </c>
    </row>
    <row r="88" spans="1:14" ht="24.75" x14ac:dyDescent="0.25">
      <c r="A88" s="21" t="s">
        <v>6546</v>
      </c>
      <c r="B88" s="22" t="s">
        <v>6547</v>
      </c>
      <c r="C88" s="2">
        <v>3</v>
      </c>
      <c r="D88" s="23">
        <v>26.99</v>
      </c>
      <c r="E88" s="3">
        <v>80.97</v>
      </c>
      <c r="F88" s="2" t="s">
        <v>19634</v>
      </c>
      <c r="G88" s="22" t="s">
        <v>19635</v>
      </c>
      <c r="H88" s="24" t="s">
        <v>19384</v>
      </c>
      <c r="I88" s="22" t="s">
        <v>19309</v>
      </c>
      <c r="J88" s="22" t="s">
        <v>19385</v>
      </c>
      <c r="K88" s="22" t="s">
        <v>19411</v>
      </c>
      <c r="L88" s="22"/>
      <c r="M88" s="22"/>
      <c r="N88" s="25" t="str">
        <f>HYPERLINK("http://slimages.macys.com/is/image/MCY/21677796 ")</f>
        <v xml:space="preserve">http://slimages.macys.com/is/image/MCY/21677796 </v>
      </c>
    </row>
    <row r="89" spans="1:14" x14ac:dyDescent="0.25">
      <c r="A89" s="21" t="s">
        <v>6548</v>
      </c>
      <c r="B89" s="22" t="s">
        <v>6549</v>
      </c>
      <c r="C89" s="2">
        <v>1</v>
      </c>
      <c r="D89" s="23">
        <v>21.99</v>
      </c>
      <c r="E89" s="3">
        <v>21.99</v>
      </c>
      <c r="F89" s="2" t="s">
        <v>15671</v>
      </c>
      <c r="G89" s="22" t="s">
        <v>19315</v>
      </c>
      <c r="H89" s="24" t="s">
        <v>19339</v>
      </c>
      <c r="I89" s="22" t="s">
        <v>19309</v>
      </c>
      <c r="J89" s="22" t="s">
        <v>19310</v>
      </c>
      <c r="K89" s="22" t="s">
        <v>19529</v>
      </c>
      <c r="L89" s="22"/>
      <c r="M89" s="22"/>
      <c r="N89" s="25" t="str">
        <f>HYPERLINK("http://slimages.macys.com/is/image/MCY/21532476 ")</f>
        <v xml:space="preserve">http://slimages.macys.com/is/image/MCY/21532476 </v>
      </c>
    </row>
    <row r="90" spans="1:14" x14ac:dyDescent="0.25">
      <c r="A90" s="21" t="s">
        <v>6550</v>
      </c>
      <c r="B90" s="22" t="s">
        <v>6551</v>
      </c>
      <c r="C90" s="2">
        <v>1</v>
      </c>
      <c r="D90" s="23">
        <v>22.99</v>
      </c>
      <c r="E90" s="3">
        <v>22.99</v>
      </c>
      <c r="F90" s="2" t="s">
        <v>19626</v>
      </c>
      <c r="G90" s="22" t="s">
        <v>19315</v>
      </c>
      <c r="H90" s="24" t="s">
        <v>19339</v>
      </c>
      <c r="I90" s="22" t="s">
        <v>19309</v>
      </c>
      <c r="J90" s="22" t="s">
        <v>19310</v>
      </c>
      <c r="K90" s="22" t="s">
        <v>19529</v>
      </c>
      <c r="L90" s="22"/>
      <c r="M90" s="22"/>
      <c r="N90" s="25" t="str">
        <f>HYPERLINK("http://slimages.macys.com/is/image/MCY/21646843 ")</f>
        <v xml:space="preserve">http://slimages.macys.com/is/image/MCY/21646843 </v>
      </c>
    </row>
    <row r="91" spans="1:14" ht="24.75" x14ac:dyDescent="0.25">
      <c r="A91" s="21" t="s">
        <v>6552</v>
      </c>
      <c r="B91" s="22" t="s">
        <v>6553</v>
      </c>
      <c r="C91" s="2">
        <v>9</v>
      </c>
      <c r="D91" s="23">
        <v>32.99</v>
      </c>
      <c r="E91" s="3">
        <v>296.91000000000003</v>
      </c>
      <c r="F91" s="2" t="s">
        <v>17728</v>
      </c>
      <c r="G91" s="22"/>
      <c r="H91" s="24" t="s">
        <v>19364</v>
      </c>
      <c r="I91" s="22" t="s">
        <v>19309</v>
      </c>
      <c r="J91" s="22" t="s">
        <v>19595</v>
      </c>
      <c r="K91" s="22" t="s">
        <v>19423</v>
      </c>
      <c r="L91" s="22"/>
      <c r="M91" s="22"/>
      <c r="N91" s="25" t="str">
        <f>HYPERLINK("http://slimages.macys.com/is/image/MCY/21423347 ")</f>
        <v xml:space="preserve">http://slimages.macys.com/is/image/MCY/21423347 </v>
      </c>
    </row>
    <row r="92" spans="1:14" ht="24.75" x14ac:dyDescent="0.25">
      <c r="A92" s="21" t="s">
        <v>6554</v>
      </c>
      <c r="B92" s="22" t="s">
        <v>6555</v>
      </c>
      <c r="C92" s="2">
        <v>1</v>
      </c>
      <c r="D92" s="23">
        <v>30.99</v>
      </c>
      <c r="E92" s="3">
        <v>30.99</v>
      </c>
      <c r="F92" s="2" t="s">
        <v>6556</v>
      </c>
      <c r="G92" s="22" t="s">
        <v>19594</v>
      </c>
      <c r="H92" s="24" t="s">
        <v>19797</v>
      </c>
      <c r="I92" s="22" t="s">
        <v>19309</v>
      </c>
      <c r="J92" s="22" t="s">
        <v>19353</v>
      </c>
      <c r="K92" s="22" t="s">
        <v>19524</v>
      </c>
      <c r="L92" s="22"/>
      <c r="M92" s="22"/>
      <c r="N92" s="25" t="str">
        <f>HYPERLINK("http://slimages.macys.com/is/image/MCY/21275469 ")</f>
        <v xml:space="preserve">http://slimages.macys.com/is/image/MCY/21275469 </v>
      </c>
    </row>
    <row r="93" spans="1:14" ht="24.75" x14ac:dyDescent="0.25">
      <c r="A93" s="21" t="s">
        <v>19649</v>
      </c>
      <c r="B93" s="22" t="s">
        <v>19650</v>
      </c>
      <c r="C93" s="2">
        <v>1</v>
      </c>
      <c r="D93" s="23">
        <v>30.99</v>
      </c>
      <c r="E93" s="3">
        <v>30.99</v>
      </c>
      <c r="F93" s="2" t="s">
        <v>19651</v>
      </c>
      <c r="G93" s="22" t="s">
        <v>19351</v>
      </c>
      <c r="H93" s="24" t="s">
        <v>19352</v>
      </c>
      <c r="I93" s="22" t="s">
        <v>19309</v>
      </c>
      <c r="J93" s="22" t="s">
        <v>19353</v>
      </c>
      <c r="K93" s="22" t="s">
        <v>19524</v>
      </c>
      <c r="L93" s="22"/>
      <c r="M93" s="22"/>
      <c r="N93" s="25" t="str">
        <f>HYPERLINK("http://slimages.macys.com/is/image/MCY/1352878 ")</f>
        <v xml:space="preserve">http://slimages.macys.com/is/image/MCY/1352878 </v>
      </c>
    </row>
    <row r="94" spans="1:14" ht="24.75" x14ac:dyDescent="0.25">
      <c r="A94" s="21" t="s">
        <v>6557</v>
      </c>
      <c r="B94" s="22" t="s">
        <v>6558</v>
      </c>
      <c r="C94" s="2">
        <v>1</v>
      </c>
      <c r="D94" s="23">
        <v>39.5</v>
      </c>
      <c r="E94" s="3">
        <v>39.5</v>
      </c>
      <c r="F94" s="2" t="s">
        <v>6559</v>
      </c>
      <c r="G94" s="22" t="s">
        <v>19383</v>
      </c>
      <c r="H94" s="24" t="s">
        <v>19345</v>
      </c>
      <c r="I94" s="22" t="s">
        <v>19309</v>
      </c>
      <c r="J94" s="22" t="s">
        <v>20104</v>
      </c>
      <c r="K94" s="22" t="s">
        <v>20105</v>
      </c>
      <c r="L94" s="22"/>
      <c r="M94" s="22"/>
      <c r="N94" s="25" t="str">
        <f>HYPERLINK("http://slimages.macys.com/is/image/MCY/21474416 ")</f>
        <v xml:space="preserve">http://slimages.macys.com/is/image/MCY/21474416 </v>
      </c>
    </row>
    <row r="95" spans="1:14" x14ac:dyDescent="0.25">
      <c r="A95" s="21" t="s">
        <v>6560</v>
      </c>
      <c r="B95" s="22" t="s">
        <v>6561</v>
      </c>
      <c r="C95" s="2">
        <v>1</v>
      </c>
      <c r="D95" s="23">
        <v>27.19</v>
      </c>
      <c r="E95" s="3">
        <v>27.19</v>
      </c>
      <c r="F95" s="2" t="s">
        <v>6562</v>
      </c>
      <c r="G95" s="22" t="s">
        <v>19357</v>
      </c>
      <c r="H95" s="24" t="s">
        <v>19367</v>
      </c>
      <c r="I95" s="22" t="s">
        <v>19309</v>
      </c>
      <c r="J95" s="22" t="s">
        <v>19708</v>
      </c>
      <c r="K95" s="22" t="s">
        <v>19709</v>
      </c>
      <c r="L95" s="22"/>
      <c r="M95" s="22"/>
      <c r="N95" s="25" t="str">
        <f>HYPERLINK("http://slimages.macys.com/is/image/MCY/21413493 ")</f>
        <v xml:space="preserve">http://slimages.macys.com/is/image/MCY/21413493 </v>
      </c>
    </row>
    <row r="96" spans="1:14" ht="24.75" x14ac:dyDescent="0.25">
      <c r="A96" s="21" t="s">
        <v>6563</v>
      </c>
      <c r="B96" s="22" t="s">
        <v>6564</v>
      </c>
      <c r="C96" s="2">
        <v>2</v>
      </c>
      <c r="D96" s="23">
        <v>17.989999999999998</v>
      </c>
      <c r="E96" s="3">
        <v>35.979999999999997</v>
      </c>
      <c r="F96" s="2" t="s">
        <v>6565</v>
      </c>
      <c r="G96" s="22" t="s">
        <v>19315</v>
      </c>
      <c r="H96" s="24" t="s">
        <v>19352</v>
      </c>
      <c r="I96" s="22" t="s">
        <v>19309</v>
      </c>
      <c r="J96" s="22" t="s">
        <v>19447</v>
      </c>
      <c r="K96" s="22" t="s">
        <v>19873</v>
      </c>
      <c r="L96" s="22"/>
      <c r="M96" s="22"/>
      <c r="N96" s="25" t="str">
        <f>HYPERLINK("http://slimages.macys.com/is/image/MCY/19933283 ")</f>
        <v xml:space="preserve">http://slimages.macys.com/is/image/MCY/19933283 </v>
      </c>
    </row>
    <row r="97" spans="1:14" ht="24.75" x14ac:dyDescent="0.25">
      <c r="A97" s="21" t="s">
        <v>19681</v>
      </c>
      <c r="B97" s="22" t="s">
        <v>19682</v>
      </c>
      <c r="C97" s="2">
        <v>1</v>
      </c>
      <c r="D97" s="23">
        <v>21.99</v>
      </c>
      <c r="E97" s="3">
        <v>21.99</v>
      </c>
      <c r="F97" s="2" t="s">
        <v>19679</v>
      </c>
      <c r="G97" s="22" t="s">
        <v>19680</v>
      </c>
      <c r="H97" s="24" t="s">
        <v>19432</v>
      </c>
      <c r="I97" s="22" t="s">
        <v>19309</v>
      </c>
      <c r="J97" s="22" t="s">
        <v>19310</v>
      </c>
      <c r="K97" s="22" t="s">
        <v>19433</v>
      </c>
      <c r="L97" s="22"/>
      <c r="M97" s="22"/>
      <c r="N97" s="25" t="str">
        <f>HYPERLINK("http://slimages.macys.com/is/image/MCY/17990999 ")</f>
        <v xml:space="preserve">http://slimages.macys.com/is/image/MCY/17990999 </v>
      </c>
    </row>
    <row r="98" spans="1:14" x14ac:dyDescent="0.25">
      <c r="A98" s="21" t="s">
        <v>7374</v>
      </c>
      <c r="B98" s="22" t="s">
        <v>7375</v>
      </c>
      <c r="C98" s="2">
        <v>1</v>
      </c>
      <c r="D98" s="23">
        <v>27.99</v>
      </c>
      <c r="E98" s="3">
        <v>27.99</v>
      </c>
      <c r="F98" s="2" t="s">
        <v>17782</v>
      </c>
      <c r="G98" s="22" t="s">
        <v>19342</v>
      </c>
      <c r="H98" s="24" t="s">
        <v>19392</v>
      </c>
      <c r="I98" s="22" t="s">
        <v>19309</v>
      </c>
      <c r="J98" s="22" t="s">
        <v>19696</v>
      </c>
      <c r="K98" s="22" t="s">
        <v>19697</v>
      </c>
      <c r="L98" s="22"/>
      <c r="M98" s="22"/>
      <c r="N98" s="25" t="str">
        <f>HYPERLINK("http://slimages.macys.com/is/image/MCY/21159602 ")</f>
        <v xml:space="preserve">http://slimages.macys.com/is/image/MCY/21159602 </v>
      </c>
    </row>
    <row r="99" spans="1:14" x14ac:dyDescent="0.25">
      <c r="A99" s="21" t="s">
        <v>6566</v>
      </c>
      <c r="B99" s="22" t="s">
        <v>6567</v>
      </c>
      <c r="C99" s="2">
        <v>1</v>
      </c>
      <c r="D99" s="23">
        <v>15.99</v>
      </c>
      <c r="E99" s="3">
        <v>15.99</v>
      </c>
      <c r="F99" s="2">
        <v>53758</v>
      </c>
      <c r="G99" s="22" t="s">
        <v>19315</v>
      </c>
      <c r="H99" s="24"/>
      <c r="I99" s="22" t="s">
        <v>19309</v>
      </c>
      <c r="J99" s="22" t="s">
        <v>19417</v>
      </c>
      <c r="K99" s="22" t="s">
        <v>19969</v>
      </c>
      <c r="L99" s="22"/>
      <c r="M99" s="22"/>
      <c r="N99" s="25" t="str">
        <f>HYPERLINK("http://slimages.macys.com/is/image/MCY/16778048 ")</f>
        <v xml:space="preserve">http://slimages.macys.com/is/image/MCY/16778048 </v>
      </c>
    </row>
    <row r="100" spans="1:14" ht="24.75" x14ac:dyDescent="0.25">
      <c r="A100" s="21" t="s">
        <v>6568</v>
      </c>
      <c r="B100" s="22" t="s">
        <v>6569</v>
      </c>
      <c r="C100" s="2">
        <v>1</v>
      </c>
      <c r="D100" s="23">
        <v>19.989999999999998</v>
      </c>
      <c r="E100" s="3">
        <v>19.989999999999998</v>
      </c>
      <c r="F100" s="2" t="s">
        <v>6570</v>
      </c>
      <c r="G100" s="22" t="s">
        <v>19906</v>
      </c>
      <c r="H100" s="24" t="s">
        <v>19339</v>
      </c>
      <c r="I100" s="22" t="s">
        <v>19309</v>
      </c>
      <c r="J100" s="22" t="s">
        <v>19353</v>
      </c>
      <c r="K100" s="22" t="s">
        <v>19524</v>
      </c>
      <c r="L100" s="22"/>
      <c r="M100" s="22"/>
      <c r="N100" s="25" t="str">
        <f>HYPERLINK("http://slimages.macys.com/is/image/MCY/1617378 ")</f>
        <v xml:space="preserve">http://slimages.macys.com/is/image/MCY/1617378 </v>
      </c>
    </row>
    <row r="101" spans="1:14" x14ac:dyDescent="0.25">
      <c r="A101" s="21" t="s">
        <v>11848</v>
      </c>
      <c r="B101" s="22" t="s">
        <v>11849</v>
      </c>
      <c r="C101" s="2">
        <v>1</v>
      </c>
      <c r="D101" s="23">
        <v>39.5</v>
      </c>
      <c r="E101" s="3">
        <v>39.5</v>
      </c>
      <c r="F101" s="2">
        <v>100134834</v>
      </c>
      <c r="G101" s="22" t="s">
        <v>19315</v>
      </c>
      <c r="H101" s="24" t="s">
        <v>11850</v>
      </c>
      <c r="I101" s="22" t="s">
        <v>19309</v>
      </c>
      <c r="J101" s="22" t="s">
        <v>17328</v>
      </c>
      <c r="K101" s="22" t="s">
        <v>11851</v>
      </c>
      <c r="L101" s="22"/>
      <c r="M101" s="22"/>
      <c r="N101" s="25" t="str">
        <f>HYPERLINK("http://slimages.macys.com/is/image/MCY/892491 ")</f>
        <v xml:space="preserve">http://slimages.macys.com/is/image/MCY/892491 </v>
      </c>
    </row>
    <row r="102" spans="1:14" ht="24.75" x14ac:dyDescent="0.25">
      <c r="A102" s="21" t="s">
        <v>6571</v>
      </c>
      <c r="B102" s="22" t="s">
        <v>6572</v>
      </c>
      <c r="C102" s="2">
        <v>1</v>
      </c>
      <c r="D102" s="23">
        <v>38.5</v>
      </c>
      <c r="E102" s="3">
        <v>38.5</v>
      </c>
      <c r="F102" s="2" t="s">
        <v>6573</v>
      </c>
      <c r="G102" s="22" t="s">
        <v>19404</v>
      </c>
      <c r="H102" s="24" t="s">
        <v>19432</v>
      </c>
      <c r="I102" s="22" t="s">
        <v>19309</v>
      </c>
      <c r="J102" s="22" t="s">
        <v>12174</v>
      </c>
      <c r="K102" s="22" t="s">
        <v>19546</v>
      </c>
      <c r="L102" s="22"/>
      <c r="M102" s="22"/>
      <c r="N102" s="25" t="str">
        <f>HYPERLINK("http://slimages.macys.com/is/image/MCY/21357229 ")</f>
        <v xml:space="preserve">http://slimages.macys.com/is/image/MCY/21357229 </v>
      </c>
    </row>
    <row r="103" spans="1:14" ht="24.75" x14ac:dyDescent="0.25">
      <c r="A103" s="21" t="s">
        <v>6574</v>
      </c>
      <c r="B103" s="22" t="s">
        <v>6575</v>
      </c>
      <c r="C103" s="2">
        <v>1</v>
      </c>
      <c r="D103" s="23">
        <v>21.99</v>
      </c>
      <c r="E103" s="3">
        <v>21.99</v>
      </c>
      <c r="F103" s="2" t="s">
        <v>6576</v>
      </c>
      <c r="G103" s="22" t="s">
        <v>19814</v>
      </c>
      <c r="H103" s="24" t="s">
        <v>19334</v>
      </c>
      <c r="I103" s="22" t="s">
        <v>19309</v>
      </c>
      <c r="J103" s="22" t="s">
        <v>19595</v>
      </c>
      <c r="K103" s="22" t="s">
        <v>19596</v>
      </c>
      <c r="L103" s="22"/>
      <c r="M103" s="22"/>
      <c r="N103" s="25" t="str">
        <f>HYPERLINK("http://slimages.macys.com/is/image/MCY/21623018 ")</f>
        <v xml:space="preserve">http://slimages.macys.com/is/image/MCY/21623018 </v>
      </c>
    </row>
    <row r="104" spans="1:14" x14ac:dyDescent="0.25">
      <c r="A104" s="21" t="s">
        <v>6577</v>
      </c>
      <c r="B104" s="22" t="s">
        <v>6578</v>
      </c>
      <c r="C104" s="2">
        <v>1</v>
      </c>
      <c r="D104" s="23">
        <v>18.989999999999998</v>
      </c>
      <c r="E104" s="3">
        <v>18.989999999999998</v>
      </c>
      <c r="F104" s="2" t="s">
        <v>19704</v>
      </c>
      <c r="G104" s="22" t="s">
        <v>19338</v>
      </c>
      <c r="H104" s="24" t="s">
        <v>19542</v>
      </c>
      <c r="I104" s="22" t="s">
        <v>19309</v>
      </c>
      <c r="J104" s="22" t="s">
        <v>19310</v>
      </c>
      <c r="K104" s="22" t="s">
        <v>19468</v>
      </c>
      <c r="L104" s="22"/>
      <c r="M104" s="22"/>
      <c r="N104" s="25" t="str">
        <f>HYPERLINK("http://slimages.macys.com/is/image/MCY/19944395 ")</f>
        <v xml:space="preserve">http://slimages.macys.com/is/image/MCY/19944395 </v>
      </c>
    </row>
    <row r="105" spans="1:14" ht="24.75" x14ac:dyDescent="0.25">
      <c r="A105" s="21" t="s">
        <v>15731</v>
      </c>
      <c r="B105" s="22" t="s">
        <v>15732</v>
      </c>
      <c r="C105" s="2">
        <v>1</v>
      </c>
      <c r="D105" s="23">
        <v>18.989999999999998</v>
      </c>
      <c r="E105" s="3">
        <v>18.989999999999998</v>
      </c>
      <c r="F105" s="2" t="s">
        <v>17797</v>
      </c>
      <c r="G105" s="22" t="s">
        <v>19315</v>
      </c>
      <c r="H105" s="24" t="s">
        <v>19542</v>
      </c>
      <c r="I105" s="22" t="s">
        <v>19309</v>
      </c>
      <c r="J105" s="22" t="s">
        <v>19447</v>
      </c>
      <c r="K105" s="22" t="s">
        <v>20146</v>
      </c>
      <c r="L105" s="22"/>
      <c r="M105" s="22"/>
      <c r="N105" s="25" t="str">
        <f>HYPERLINK("http://slimages.macys.com/is/image/MCY/20016812 ")</f>
        <v xml:space="preserve">http://slimages.macys.com/is/image/MCY/20016812 </v>
      </c>
    </row>
    <row r="106" spans="1:14" ht="24.75" x14ac:dyDescent="0.25">
      <c r="A106" s="21" t="s">
        <v>6579</v>
      </c>
      <c r="B106" s="22" t="s">
        <v>6580</v>
      </c>
      <c r="C106" s="2">
        <v>1</v>
      </c>
      <c r="D106" s="23">
        <v>18.989999999999998</v>
      </c>
      <c r="E106" s="3">
        <v>18.989999999999998</v>
      </c>
      <c r="F106" s="2" t="s">
        <v>17797</v>
      </c>
      <c r="G106" s="22" t="s">
        <v>19315</v>
      </c>
      <c r="H106" s="24" t="s">
        <v>19334</v>
      </c>
      <c r="I106" s="22" t="s">
        <v>19309</v>
      </c>
      <c r="J106" s="22" t="s">
        <v>19447</v>
      </c>
      <c r="K106" s="22" t="s">
        <v>20146</v>
      </c>
      <c r="L106" s="22"/>
      <c r="M106" s="22"/>
      <c r="N106" s="25" t="str">
        <f>HYPERLINK("http://slimages.macys.com/is/image/MCY/20016810 ")</f>
        <v xml:space="preserve">http://slimages.macys.com/is/image/MCY/20016810 </v>
      </c>
    </row>
    <row r="107" spans="1:14" ht="24.75" x14ac:dyDescent="0.25">
      <c r="A107" s="21" t="s">
        <v>6581</v>
      </c>
      <c r="B107" s="22" t="s">
        <v>6582</v>
      </c>
      <c r="C107" s="2">
        <v>1</v>
      </c>
      <c r="D107" s="23">
        <v>19.989999999999998</v>
      </c>
      <c r="E107" s="3">
        <v>19.989999999999998</v>
      </c>
      <c r="F107" s="2" t="s">
        <v>17800</v>
      </c>
      <c r="G107" s="22" t="s">
        <v>19585</v>
      </c>
      <c r="H107" s="24" t="s">
        <v>19339</v>
      </c>
      <c r="I107" s="22" t="s">
        <v>19309</v>
      </c>
      <c r="J107" s="22" t="s">
        <v>19353</v>
      </c>
      <c r="K107" s="22" t="s">
        <v>19354</v>
      </c>
      <c r="L107" s="22"/>
      <c r="M107" s="22"/>
      <c r="N107" s="25" t="str">
        <f>HYPERLINK("http://slimages.macys.com/is/image/MCY/22400906 ")</f>
        <v xml:space="preserve">http://slimages.macys.com/is/image/MCY/22400906 </v>
      </c>
    </row>
    <row r="108" spans="1:14" ht="24.75" x14ac:dyDescent="0.25">
      <c r="A108" s="21" t="s">
        <v>6583</v>
      </c>
      <c r="B108" s="22" t="s">
        <v>6584</v>
      </c>
      <c r="C108" s="2">
        <v>1</v>
      </c>
      <c r="D108" s="23">
        <v>15.99</v>
      </c>
      <c r="E108" s="3">
        <v>15.99</v>
      </c>
      <c r="F108" s="2" t="s">
        <v>6585</v>
      </c>
      <c r="G108" s="22" t="s">
        <v>19801</v>
      </c>
      <c r="H108" s="24" t="s">
        <v>19770</v>
      </c>
      <c r="I108" s="22" t="s">
        <v>19309</v>
      </c>
      <c r="J108" s="22" t="s">
        <v>19573</v>
      </c>
      <c r="K108" s="22" t="s">
        <v>19574</v>
      </c>
      <c r="L108" s="22"/>
      <c r="M108" s="22"/>
      <c r="N108" s="25" t="str">
        <f>HYPERLINK("http://slimages.macys.com/is/image/MCY/18880316 ")</f>
        <v xml:space="preserve">http://slimages.macys.com/is/image/MCY/18880316 </v>
      </c>
    </row>
    <row r="109" spans="1:14" ht="24.75" x14ac:dyDescent="0.25">
      <c r="A109" s="21" t="s">
        <v>6586</v>
      </c>
      <c r="B109" s="22" t="s">
        <v>6587</v>
      </c>
      <c r="C109" s="2">
        <v>1</v>
      </c>
      <c r="D109" s="23">
        <v>23.99</v>
      </c>
      <c r="E109" s="3">
        <v>23.99</v>
      </c>
      <c r="F109" s="2" t="s">
        <v>17815</v>
      </c>
      <c r="G109" s="22" t="s">
        <v>19351</v>
      </c>
      <c r="H109" s="24" t="s">
        <v>20135</v>
      </c>
      <c r="I109" s="22" t="s">
        <v>19309</v>
      </c>
      <c r="J109" s="22" t="s">
        <v>19908</v>
      </c>
      <c r="K109" s="22" t="s">
        <v>19524</v>
      </c>
      <c r="L109" s="22"/>
      <c r="M109" s="22"/>
      <c r="N109" s="25" t="str">
        <f>HYPERLINK("http://slimages.macys.com/is/image/MCY/1554818 ")</f>
        <v xml:space="preserve">http://slimages.macys.com/is/image/MCY/1554818 </v>
      </c>
    </row>
    <row r="110" spans="1:14" ht="24.75" x14ac:dyDescent="0.25">
      <c r="A110" s="21" t="s">
        <v>17813</v>
      </c>
      <c r="B110" s="22" t="s">
        <v>17814</v>
      </c>
      <c r="C110" s="2">
        <v>1</v>
      </c>
      <c r="D110" s="23">
        <v>23.99</v>
      </c>
      <c r="E110" s="3">
        <v>23.99</v>
      </c>
      <c r="F110" s="2" t="s">
        <v>17815</v>
      </c>
      <c r="G110" s="22" t="s">
        <v>19351</v>
      </c>
      <c r="H110" s="24" t="s">
        <v>19542</v>
      </c>
      <c r="I110" s="22" t="s">
        <v>19309</v>
      </c>
      <c r="J110" s="22" t="s">
        <v>19908</v>
      </c>
      <c r="K110" s="22" t="s">
        <v>19524</v>
      </c>
      <c r="L110" s="22"/>
      <c r="M110" s="22"/>
      <c r="N110" s="25" t="str">
        <f>HYPERLINK("http://slimages.macys.com/is/image/MCY/1554818 ")</f>
        <v xml:space="preserve">http://slimages.macys.com/is/image/MCY/1554818 </v>
      </c>
    </row>
    <row r="111" spans="1:14" ht="24.75" x14ac:dyDescent="0.25">
      <c r="A111" s="21" t="s">
        <v>6588</v>
      </c>
      <c r="B111" s="22" t="s">
        <v>6589</v>
      </c>
      <c r="C111" s="2">
        <v>1</v>
      </c>
      <c r="D111" s="23">
        <v>23.99</v>
      </c>
      <c r="E111" s="3">
        <v>23.99</v>
      </c>
      <c r="F111" s="2" t="s">
        <v>17815</v>
      </c>
      <c r="G111" s="22" t="s">
        <v>19351</v>
      </c>
      <c r="H111" s="24" t="s">
        <v>19361</v>
      </c>
      <c r="I111" s="22" t="s">
        <v>19309</v>
      </c>
      <c r="J111" s="22" t="s">
        <v>19908</v>
      </c>
      <c r="K111" s="22" t="s">
        <v>19524</v>
      </c>
      <c r="L111" s="22"/>
      <c r="M111" s="22"/>
      <c r="N111" s="25" t="str">
        <f>HYPERLINK("http://slimages.macys.com/is/image/MCY/1554818 ")</f>
        <v xml:space="preserve">http://slimages.macys.com/is/image/MCY/1554818 </v>
      </c>
    </row>
    <row r="112" spans="1:14" ht="24.75" x14ac:dyDescent="0.25">
      <c r="A112" s="21" t="s">
        <v>11861</v>
      </c>
      <c r="B112" s="22" t="s">
        <v>11862</v>
      </c>
      <c r="C112" s="2">
        <v>1</v>
      </c>
      <c r="D112" s="23">
        <v>23.99</v>
      </c>
      <c r="E112" s="3">
        <v>23.99</v>
      </c>
      <c r="F112" s="2" t="s">
        <v>15741</v>
      </c>
      <c r="G112" s="22" t="s">
        <v>19462</v>
      </c>
      <c r="H112" s="24" t="s">
        <v>20135</v>
      </c>
      <c r="I112" s="22" t="s">
        <v>19309</v>
      </c>
      <c r="J112" s="22" t="s">
        <v>19908</v>
      </c>
      <c r="K112" s="22" t="s">
        <v>19524</v>
      </c>
      <c r="L112" s="22"/>
      <c r="M112" s="22"/>
      <c r="N112" s="25" t="str">
        <f>HYPERLINK("http://slimages.macys.com/is/image/MCY/22028940 ")</f>
        <v xml:space="preserve">http://slimages.macys.com/is/image/MCY/22028940 </v>
      </c>
    </row>
    <row r="113" spans="1:14" x14ac:dyDescent="0.25">
      <c r="A113" s="21" t="s">
        <v>6590</v>
      </c>
      <c r="B113" s="22" t="s">
        <v>6591</v>
      </c>
      <c r="C113" s="2">
        <v>1</v>
      </c>
      <c r="D113" s="23">
        <v>20.58</v>
      </c>
      <c r="E113" s="3">
        <v>20.58</v>
      </c>
      <c r="F113" s="2" t="s">
        <v>6592</v>
      </c>
      <c r="G113" s="22" t="s">
        <v>19342</v>
      </c>
      <c r="H113" s="24" t="s">
        <v>19392</v>
      </c>
      <c r="I113" s="22" t="s">
        <v>19309</v>
      </c>
      <c r="J113" s="22" t="s">
        <v>19514</v>
      </c>
      <c r="K113" s="22" t="s">
        <v>19639</v>
      </c>
      <c r="L113" s="22"/>
      <c r="M113" s="22"/>
      <c r="N113" s="25" t="str">
        <f>HYPERLINK("http://slimages.macys.com/is/image/MCY/21421804 ")</f>
        <v xml:space="preserve">http://slimages.macys.com/is/image/MCY/21421804 </v>
      </c>
    </row>
    <row r="114" spans="1:14" x14ac:dyDescent="0.25">
      <c r="A114" s="21" t="s">
        <v>6593</v>
      </c>
      <c r="B114" s="22" t="s">
        <v>6594</v>
      </c>
      <c r="C114" s="2">
        <v>1</v>
      </c>
      <c r="D114" s="23">
        <v>20.58</v>
      </c>
      <c r="E114" s="3">
        <v>20.58</v>
      </c>
      <c r="F114" s="2" t="s">
        <v>6595</v>
      </c>
      <c r="G114" s="22" t="s">
        <v>19342</v>
      </c>
      <c r="H114" s="24" t="s">
        <v>19345</v>
      </c>
      <c r="I114" s="22" t="s">
        <v>19309</v>
      </c>
      <c r="J114" s="22" t="s">
        <v>19514</v>
      </c>
      <c r="K114" s="22" t="s">
        <v>19639</v>
      </c>
      <c r="L114" s="22"/>
      <c r="M114" s="22"/>
      <c r="N114" s="25" t="str">
        <f>HYPERLINK("http://slimages.macys.com/is/image/MCY/21201551 ")</f>
        <v xml:space="preserve">http://slimages.macys.com/is/image/MCY/21201551 </v>
      </c>
    </row>
    <row r="115" spans="1:14" x14ac:dyDescent="0.25">
      <c r="A115" s="21" t="s">
        <v>10391</v>
      </c>
      <c r="B115" s="22" t="s">
        <v>10392</v>
      </c>
      <c r="C115" s="2">
        <v>1</v>
      </c>
      <c r="D115" s="23">
        <v>20.58</v>
      </c>
      <c r="E115" s="3">
        <v>20.58</v>
      </c>
      <c r="F115" s="2" t="s">
        <v>19719</v>
      </c>
      <c r="G115" s="22" t="s">
        <v>19342</v>
      </c>
      <c r="H115" s="24" t="s">
        <v>19361</v>
      </c>
      <c r="I115" s="22" t="s">
        <v>19309</v>
      </c>
      <c r="J115" s="22" t="s">
        <v>19514</v>
      </c>
      <c r="K115" s="22" t="s">
        <v>19546</v>
      </c>
      <c r="L115" s="22"/>
      <c r="M115" s="22"/>
      <c r="N115" s="25" t="str">
        <f>HYPERLINK("http://slimages.macys.com/is/image/MCY/21333463 ")</f>
        <v xml:space="preserve">http://slimages.macys.com/is/image/MCY/21333463 </v>
      </c>
    </row>
    <row r="116" spans="1:14" x14ac:dyDescent="0.25">
      <c r="A116" s="21" t="s">
        <v>6596</v>
      </c>
      <c r="B116" s="22" t="s">
        <v>6597</v>
      </c>
      <c r="C116" s="2">
        <v>1</v>
      </c>
      <c r="D116" s="23">
        <v>20.99</v>
      </c>
      <c r="E116" s="3">
        <v>20.99</v>
      </c>
      <c r="F116" s="2" t="s">
        <v>15750</v>
      </c>
      <c r="G116" s="22" t="s">
        <v>19315</v>
      </c>
      <c r="H116" s="24" t="s">
        <v>19395</v>
      </c>
      <c r="I116" s="22" t="s">
        <v>19309</v>
      </c>
      <c r="J116" s="22" t="s">
        <v>19310</v>
      </c>
      <c r="K116" s="22" t="s">
        <v>19440</v>
      </c>
      <c r="L116" s="22"/>
      <c r="M116" s="22"/>
      <c r="N116" s="25" t="str">
        <f>HYPERLINK("http://slimages.macys.com/is/image/MCY/21477635 ")</f>
        <v xml:space="preserve">http://slimages.macys.com/is/image/MCY/21477635 </v>
      </c>
    </row>
    <row r="117" spans="1:14" ht="24.75" x14ac:dyDescent="0.25">
      <c r="A117" s="21" t="s">
        <v>12957</v>
      </c>
      <c r="B117" s="22" t="s">
        <v>12958</v>
      </c>
      <c r="C117" s="2">
        <v>1</v>
      </c>
      <c r="D117" s="23">
        <v>24.99</v>
      </c>
      <c r="E117" s="3">
        <v>24.99</v>
      </c>
      <c r="F117" s="2" t="s">
        <v>17821</v>
      </c>
      <c r="G117" s="22" t="s">
        <v>19713</v>
      </c>
      <c r="H117" s="24" t="s">
        <v>19538</v>
      </c>
      <c r="I117" s="22" t="s">
        <v>19309</v>
      </c>
      <c r="J117" s="22" t="s">
        <v>19573</v>
      </c>
      <c r="K117" s="22" t="s">
        <v>19574</v>
      </c>
      <c r="L117" s="22"/>
      <c r="M117" s="22"/>
      <c r="N117" s="25" t="str">
        <f>HYPERLINK("http://slimages.macys.com/is/image/MCY/1679019 ")</f>
        <v xml:space="preserve">http://slimages.macys.com/is/image/MCY/1679019 </v>
      </c>
    </row>
    <row r="118" spans="1:14" ht="24.75" x14ac:dyDescent="0.25">
      <c r="A118" s="21" t="s">
        <v>6598</v>
      </c>
      <c r="B118" s="22" t="s">
        <v>6599</v>
      </c>
      <c r="C118" s="2">
        <v>1</v>
      </c>
      <c r="D118" s="23">
        <v>21.99</v>
      </c>
      <c r="E118" s="3">
        <v>21.99</v>
      </c>
      <c r="F118" s="2" t="s">
        <v>6600</v>
      </c>
      <c r="G118" s="22" t="s">
        <v>19618</v>
      </c>
      <c r="H118" s="24"/>
      <c r="I118" s="22" t="s">
        <v>19309</v>
      </c>
      <c r="J118" s="22" t="s">
        <v>20076</v>
      </c>
      <c r="K118" s="22" t="s">
        <v>12199</v>
      </c>
      <c r="L118" s="22"/>
      <c r="M118" s="22"/>
      <c r="N118" s="25" t="str">
        <f>HYPERLINK("http://slimages.macys.com/is/image/MCY/21347181 ")</f>
        <v xml:space="preserve">http://slimages.macys.com/is/image/MCY/21347181 </v>
      </c>
    </row>
    <row r="119" spans="1:14" ht="24.75" x14ac:dyDescent="0.25">
      <c r="A119" s="21" t="s">
        <v>6601</v>
      </c>
      <c r="B119" s="22" t="s">
        <v>6602</v>
      </c>
      <c r="C119" s="2">
        <v>1</v>
      </c>
      <c r="D119" s="23">
        <v>24.99</v>
      </c>
      <c r="E119" s="3">
        <v>24.99</v>
      </c>
      <c r="F119" s="2" t="s">
        <v>6603</v>
      </c>
      <c r="G119" s="22" t="s">
        <v>19342</v>
      </c>
      <c r="H119" s="24" t="s">
        <v>19324</v>
      </c>
      <c r="I119" s="22" t="s">
        <v>19309</v>
      </c>
      <c r="J119" s="22" t="s">
        <v>19491</v>
      </c>
      <c r="K119" s="22" t="s">
        <v>19554</v>
      </c>
      <c r="L119" s="22"/>
      <c r="M119" s="22"/>
      <c r="N119" s="25" t="str">
        <f>HYPERLINK("http://slimages.macys.com/is/image/MCY/21110828 ")</f>
        <v xml:space="preserve">http://slimages.macys.com/is/image/MCY/21110828 </v>
      </c>
    </row>
    <row r="120" spans="1:14" ht="24.75" x14ac:dyDescent="0.25">
      <c r="A120" s="21" t="s">
        <v>6604</v>
      </c>
      <c r="B120" s="22" t="s">
        <v>6605</v>
      </c>
      <c r="C120" s="2">
        <v>1</v>
      </c>
      <c r="D120" s="23">
        <v>24.99</v>
      </c>
      <c r="E120" s="3">
        <v>24.99</v>
      </c>
      <c r="F120" s="2" t="s">
        <v>6606</v>
      </c>
      <c r="G120" s="22" t="s">
        <v>19342</v>
      </c>
      <c r="H120" s="24" t="s">
        <v>19330</v>
      </c>
      <c r="I120" s="22" t="s">
        <v>19309</v>
      </c>
      <c r="J120" s="22" t="s">
        <v>19385</v>
      </c>
      <c r="K120" s="22" t="s">
        <v>19614</v>
      </c>
      <c r="L120" s="22"/>
      <c r="M120" s="22"/>
      <c r="N120" s="25" t="str">
        <f>HYPERLINK("http://slimages.macys.com/is/image/MCY/16930101 ")</f>
        <v xml:space="preserve">http://slimages.macys.com/is/image/MCY/16930101 </v>
      </c>
    </row>
    <row r="121" spans="1:14" x14ac:dyDescent="0.25">
      <c r="A121" s="21" t="s">
        <v>6607</v>
      </c>
      <c r="B121" s="22" t="s">
        <v>6608</v>
      </c>
      <c r="C121" s="2">
        <v>1</v>
      </c>
      <c r="D121" s="23">
        <v>19.989999999999998</v>
      </c>
      <c r="E121" s="3">
        <v>19.989999999999998</v>
      </c>
      <c r="F121" s="2" t="s">
        <v>18123</v>
      </c>
      <c r="G121" s="22" t="s">
        <v>19351</v>
      </c>
      <c r="H121" s="24" t="s">
        <v>19308</v>
      </c>
      <c r="I121" s="22" t="s">
        <v>19309</v>
      </c>
      <c r="J121" s="22" t="s">
        <v>19310</v>
      </c>
      <c r="K121" s="22" t="s">
        <v>19529</v>
      </c>
      <c r="L121" s="22"/>
      <c r="M121" s="22"/>
      <c r="N121" s="25" t="str">
        <f>HYPERLINK("http://slimages.macys.com/is/image/MCY/20918996 ")</f>
        <v xml:space="preserve">http://slimages.macys.com/is/image/MCY/20918996 </v>
      </c>
    </row>
    <row r="122" spans="1:14" ht="24.75" x14ac:dyDescent="0.25">
      <c r="A122" s="21" t="s">
        <v>10404</v>
      </c>
      <c r="B122" s="22" t="s">
        <v>10405</v>
      </c>
      <c r="C122" s="2">
        <v>2</v>
      </c>
      <c r="D122" s="23">
        <v>24.99</v>
      </c>
      <c r="E122" s="3">
        <v>49.98</v>
      </c>
      <c r="F122" s="2" t="s">
        <v>10406</v>
      </c>
      <c r="G122" s="22" t="s">
        <v>19333</v>
      </c>
      <c r="H122" s="24" t="s">
        <v>16005</v>
      </c>
      <c r="I122" s="22" t="s">
        <v>19309</v>
      </c>
      <c r="J122" s="22" t="s">
        <v>16678</v>
      </c>
      <c r="K122" s="22" t="s">
        <v>10407</v>
      </c>
      <c r="L122" s="22"/>
      <c r="M122" s="22"/>
      <c r="N122" s="25" t="str">
        <f>HYPERLINK("http://slimages.macys.com/is/image/MCY/21770650 ")</f>
        <v xml:space="preserve">http://slimages.macys.com/is/image/MCY/21770650 </v>
      </c>
    </row>
    <row r="123" spans="1:14" ht="24.75" x14ac:dyDescent="0.25">
      <c r="A123" s="21" t="s">
        <v>6609</v>
      </c>
      <c r="B123" s="22" t="s">
        <v>6610</v>
      </c>
      <c r="C123" s="2">
        <v>1</v>
      </c>
      <c r="D123" s="23">
        <v>21.43</v>
      </c>
      <c r="E123" s="3">
        <v>21.43</v>
      </c>
      <c r="F123" s="2" t="s">
        <v>19747</v>
      </c>
      <c r="G123" s="22"/>
      <c r="H123" s="24" t="s">
        <v>19392</v>
      </c>
      <c r="I123" s="22" t="s">
        <v>19309</v>
      </c>
      <c r="J123" s="22" t="s">
        <v>19602</v>
      </c>
      <c r="K123" s="22" t="s">
        <v>19603</v>
      </c>
      <c r="L123" s="22"/>
      <c r="M123" s="22"/>
      <c r="N123" s="25" t="str">
        <f>HYPERLINK("http://slimages.macys.com/is/image/MCY/21421380 ")</f>
        <v xml:space="preserve">http://slimages.macys.com/is/image/MCY/21421380 </v>
      </c>
    </row>
    <row r="124" spans="1:14" ht="24.75" x14ac:dyDescent="0.25">
      <c r="A124" s="21" t="s">
        <v>6611</v>
      </c>
      <c r="B124" s="22" t="s">
        <v>6612</v>
      </c>
      <c r="C124" s="2">
        <v>1</v>
      </c>
      <c r="D124" s="23">
        <v>21.43</v>
      </c>
      <c r="E124" s="3">
        <v>21.43</v>
      </c>
      <c r="F124" s="2" t="s">
        <v>17843</v>
      </c>
      <c r="G124" s="22"/>
      <c r="H124" s="24" t="s">
        <v>19392</v>
      </c>
      <c r="I124" s="22" t="s">
        <v>19309</v>
      </c>
      <c r="J124" s="22" t="s">
        <v>19602</v>
      </c>
      <c r="K124" s="22" t="s">
        <v>19603</v>
      </c>
      <c r="L124" s="22"/>
      <c r="M124" s="22"/>
      <c r="N124" s="25" t="str">
        <f>HYPERLINK("http://slimages.macys.com/is/image/MCY/21421334 ")</f>
        <v xml:space="preserve">http://slimages.macys.com/is/image/MCY/21421334 </v>
      </c>
    </row>
    <row r="125" spans="1:14" ht="24.75" x14ac:dyDescent="0.25">
      <c r="A125" s="21" t="s">
        <v>6613</v>
      </c>
      <c r="B125" s="22" t="s">
        <v>6614</v>
      </c>
      <c r="C125" s="2">
        <v>1</v>
      </c>
      <c r="D125" s="23">
        <v>21.43</v>
      </c>
      <c r="E125" s="3">
        <v>21.43</v>
      </c>
      <c r="F125" s="2" t="s">
        <v>11893</v>
      </c>
      <c r="G125" s="22"/>
      <c r="H125" s="24" t="s">
        <v>19345</v>
      </c>
      <c r="I125" s="22" t="s">
        <v>19309</v>
      </c>
      <c r="J125" s="22" t="s">
        <v>19602</v>
      </c>
      <c r="K125" s="22" t="s">
        <v>19603</v>
      </c>
      <c r="L125" s="22"/>
      <c r="M125" s="22"/>
      <c r="N125" s="25" t="str">
        <f>HYPERLINK("http://slimages.macys.com/is/image/MCY/21421847 ")</f>
        <v xml:space="preserve">http://slimages.macys.com/is/image/MCY/21421847 </v>
      </c>
    </row>
    <row r="126" spans="1:14" ht="24.75" x14ac:dyDescent="0.25">
      <c r="A126" s="21" t="s">
        <v>6615</v>
      </c>
      <c r="B126" s="22" t="s">
        <v>6616</v>
      </c>
      <c r="C126" s="2">
        <v>1</v>
      </c>
      <c r="D126" s="23">
        <v>21.43</v>
      </c>
      <c r="E126" s="3">
        <v>21.43</v>
      </c>
      <c r="F126" s="2" t="s">
        <v>11899</v>
      </c>
      <c r="G126" s="22"/>
      <c r="H126" s="24" t="s">
        <v>19345</v>
      </c>
      <c r="I126" s="22" t="s">
        <v>19309</v>
      </c>
      <c r="J126" s="22" t="s">
        <v>19602</v>
      </c>
      <c r="K126" s="22" t="s">
        <v>19603</v>
      </c>
      <c r="L126" s="22"/>
      <c r="M126" s="22"/>
      <c r="N126" s="25" t="str">
        <f>HYPERLINK("http://slimages.macys.com/is/image/MCY/21421343 ")</f>
        <v xml:space="preserve">http://slimages.macys.com/is/image/MCY/21421343 </v>
      </c>
    </row>
    <row r="127" spans="1:14" ht="24.75" x14ac:dyDescent="0.25">
      <c r="A127" s="21" t="s">
        <v>15813</v>
      </c>
      <c r="B127" s="22" t="s">
        <v>15814</v>
      </c>
      <c r="C127" s="2">
        <v>1</v>
      </c>
      <c r="D127" s="23">
        <v>21.43</v>
      </c>
      <c r="E127" s="3">
        <v>21.43</v>
      </c>
      <c r="F127" s="2" t="s">
        <v>19747</v>
      </c>
      <c r="G127" s="22"/>
      <c r="H127" s="24"/>
      <c r="I127" s="22" t="s">
        <v>19309</v>
      </c>
      <c r="J127" s="22" t="s">
        <v>19602</v>
      </c>
      <c r="K127" s="22" t="s">
        <v>19603</v>
      </c>
      <c r="L127" s="22"/>
      <c r="M127" s="22"/>
      <c r="N127" s="25" t="str">
        <f>HYPERLINK("http://slimages.macys.com/is/image/MCY/21421380 ")</f>
        <v xml:space="preserve">http://slimages.macys.com/is/image/MCY/21421380 </v>
      </c>
    </row>
    <row r="128" spans="1:14" ht="24.75" x14ac:dyDescent="0.25">
      <c r="A128" s="21" t="s">
        <v>12977</v>
      </c>
      <c r="B128" s="22" t="s">
        <v>12978</v>
      </c>
      <c r="C128" s="2">
        <v>1</v>
      </c>
      <c r="D128" s="23">
        <v>21.29</v>
      </c>
      <c r="E128" s="3">
        <v>21.29</v>
      </c>
      <c r="F128" s="2" t="s">
        <v>19750</v>
      </c>
      <c r="G128" s="22"/>
      <c r="H128" s="24" t="s">
        <v>19334</v>
      </c>
      <c r="I128" s="22" t="s">
        <v>19309</v>
      </c>
      <c r="J128" s="22" t="s">
        <v>19602</v>
      </c>
      <c r="K128" s="22" t="s">
        <v>19603</v>
      </c>
      <c r="L128" s="22"/>
      <c r="M128" s="22"/>
      <c r="N128" s="25" t="str">
        <f>HYPERLINK("http://slimages.macys.com/is/image/MCY/22405986 ")</f>
        <v xml:space="preserve">http://slimages.macys.com/is/image/MCY/22405986 </v>
      </c>
    </row>
    <row r="129" spans="1:14" x14ac:dyDescent="0.25">
      <c r="A129" s="21" t="s">
        <v>15821</v>
      </c>
      <c r="B129" s="22" t="s">
        <v>15822</v>
      </c>
      <c r="C129" s="2">
        <v>1</v>
      </c>
      <c r="D129" s="23">
        <v>26.05</v>
      </c>
      <c r="E129" s="3">
        <v>26.05</v>
      </c>
      <c r="F129" s="2" t="s">
        <v>19753</v>
      </c>
      <c r="G129" s="22"/>
      <c r="H129" s="24" t="s">
        <v>19416</v>
      </c>
      <c r="I129" s="22" t="s">
        <v>19309</v>
      </c>
      <c r="J129" s="22" t="s">
        <v>19708</v>
      </c>
      <c r="K129" s="22" t="s">
        <v>19754</v>
      </c>
      <c r="L129" s="22"/>
      <c r="M129" s="22"/>
      <c r="N129" s="25" t="str">
        <f>HYPERLINK("http://slimages.macys.com/is/image/MCY/21758335 ")</f>
        <v xml:space="preserve">http://slimages.macys.com/is/image/MCY/21758335 </v>
      </c>
    </row>
    <row r="130" spans="1:14" ht="24.75" x14ac:dyDescent="0.25">
      <c r="A130" s="21" t="s">
        <v>19748</v>
      </c>
      <c r="B130" s="22" t="s">
        <v>19749</v>
      </c>
      <c r="C130" s="2">
        <v>1</v>
      </c>
      <c r="D130" s="23">
        <v>21.29</v>
      </c>
      <c r="E130" s="3">
        <v>21.29</v>
      </c>
      <c r="F130" s="2" t="s">
        <v>19750</v>
      </c>
      <c r="G130" s="22"/>
      <c r="H130" s="24" t="s">
        <v>19345</v>
      </c>
      <c r="I130" s="22" t="s">
        <v>19309</v>
      </c>
      <c r="J130" s="22" t="s">
        <v>19602</v>
      </c>
      <c r="K130" s="22" t="s">
        <v>19603</v>
      </c>
      <c r="L130" s="22"/>
      <c r="M130" s="22"/>
      <c r="N130" s="25" t="str">
        <f>HYPERLINK("http://slimages.macys.com/is/image/MCY/22405986 ")</f>
        <v xml:space="preserve">http://slimages.macys.com/is/image/MCY/22405986 </v>
      </c>
    </row>
    <row r="131" spans="1:14" ht="72.75" x14ac:dyDescent="0.25">
      <c r="A131" s="21" t="s">
        <v>6617</v>
      </c>
      <c r="B131" s="22" t="s">
        <v>6618</v>
      </c>
      <c r="C131" s="2">
        <v>1</v>
      </c>
      <c r="D131" s="23">
        <v>18.989999999999998</v>
      </c>
      <c r="E131" s="3">
        <v>18.989999999999998</v>
      </c>
      <c r="F131" s="2" t="s">
        <v>17849</v>
      </c>
      <c r="G131" s="22" t="s">
        <v>19307</v>
      </c>
      <c r="H131" s="24" t="s">
        <v>19352</v>
      </c>
      <c r="I131" s="22" t="s">
        <v>19309</v>
      </c>
      <c r="J131" s="22" t="s">
        <v>19447</v>
      </c>
      <c r="K131" s="22" t="s">
        <v>19311</v>
      </c>
      <c r="L131" s="22" t="s">
        <v>19434</v>
      </c>
      <c r="M131" s="22" t="s">
        <v>6619</v>
      </c>
      <c r="N131" s="25" t="str">
        <f>HYPERLINK("http://images.bloomingdales.com/is/image/BLM/11611073 ")</f>
        <v xml:space="preserve">http://images.bloomingdales.com/is/image/BLM/11611073 </v>
      </c>
    </row>
    <row r="132" spans="1:14" ht="24.75" x14ac:dyDescent="0.25">
      <c r="A132" s="21" t="s">
        <v>6620</v>
      </c>
      <c r="B132" s="22" t="s">
        <v>6621</v>
      </c>
      <c r="C132" s="2">
        <v>1</v>
      </c>
      <c r="D132" s="23">
        <v>18.989999999999998</v>
      </c>
      <c r="E132" s="3">
        <v>18.989999999999998</v>
      </c>
      <c r="F132" s="2" t="s">
        <v>6622</v>
      </c>
      <c r="G132" s="22" t="s">
        <v>18429</v>
      </c>
      <c r="H132" s="24" t="s">
        <v>19308</v>
      </c>
      <c r="I132" s="22" t="s">
        <v>19309</v>
      </c>
      <c r="J132" s="22" t="s">
        <v>19310</v>
      </c>
      <c r="K132" s="22" t="s">
        <v>19311</v>
      </c>
      <c r="L132" s="22"/>
      <c r="M132" s="22"/>
      <c r="N132" s="25" t="str">
        <f>HYPERLINK("http://slimages.macys.com/is/image/MCY/19544168 ")</f>
        <v xml:space="preserve">http://slimages.macys.com/is/image/MCY/19544168 </v>
      </c>
    </row>
    <row r="133" spans="1:14" ht="24.75" x14ac:dyDescent="0.25">
      <c r="A133" s="21" t="s">
        <v>19765</v>
      </c>
      <c r="B133" s="22" t="s">
        <v>19766</v>
      </c>
      <c r="C133" s="2">
        <v>1</v>
      </c>
      <c r="D133" s="23">
        <v>19.989999999999998</v>
      </c>
      <c r="E133" s="3">
        <v>19.989999999999998</v>
      </c>
      <c r="F133" s="2" t="s">
        <v>19767</v>
      </c>
      <c r="G133" s="22" t="s">
        <v>19467</v>
      </c>
      <c r="H133" s="24"/>
      <c r="I133" s="22" t="s">
        <v>19309</v>
      </c>
      <c r="J133" s="22" t="s">
        <v>19573</v>
      </c>
      <c r="K133" s="22" t="s">
        <v>19574</v>
      </c>
      <c r="L133" s="22"/>
      <c r="M133" s="22"/>
      <c r="N133" s="25" t="str">
        <f>HYPERLINK("http://slimages.macys.com/is/image/MCY/1646345 ")</f>
        <v xml:space="preserve">http://slimages.macys.com/is/image/MCY/1646345 </v>
      </c>
    </row>
    <row r="134" spans="1:14" ht="24.75" x14ac:dyDescent="0.25">
      <c r="A134" s="21" t="s">
        <v>19785</v>
      </c>
      <c r="B134" s="22" t="s">
        <v>19786</v>
      </c>
      <c r="C134" s="2">
        <v>2</v>
      </c>
      <c r="D134" s="23">
        <v>19.989999999999998</v>
      </c>
      <c r="E134" s="3">
        <v>39.979999999999997</v>
      </c>
      <c r="F134" s="2" t="s">
        <v>19767</v>
      </c>
      <c r="G134" s="22" t="s">
        <v>19467</v>
      </c>
      <c r="H134" s="24" t="s">
        <v>19324</v>
      </c>
      <c r="I134" s="22" t="s">
        <v>19309</v>
      </c>
      <c r="J134" s="22" t="s">
        <v>19573</v>
      </c>
      <c r="K134" s="22" t="s">
        <v>19574</v>
      </c>
      <c r="L134" s="22"/>
      <c r="M134" s="22"/>
      <c r="N134" s="25" t="str">
        <f>HYPERLINK("http://slimages.macys.com/is/image/MCY/1646350 ")</f>
        <v xml:space="preserve">http://slimages.macys.com/is/image/MCY/1646350 </v>
      </c>
    </row>
    <row r="135" spans="1:14" ht="24.75" x14ac:dyDescent="0.25">
      <c r="A135" s="21" t="s">
        <v>12982</v>
      </c>
      <c r="B135" s="22" t="s">
        <v>12983</v>
      </c>
      <c r="C135" s="2">
        <v>1</v>
      </c>
      <c r="D135" s="23">
        <v>21.99</v>
      </c>
      <c r="E135" s="3">
        <v>21.99</v>
      </c>
      <c r="F135" s="2" t="s">
        <v>19809</v>
      </c>
      <c r="G135" s="22" t="s">
        <v>19810</v>
      </c>
      <c r="H135" s="24" t="s">
        <v>19334</v>
      </c>
      <c r="I135" s="22" t="s">
        <v>19309</v>
      </c>
      <c r="J135" s="22" t="s">
        <v>19595</v>
      </c>
      <c r="K135" s="22" t="s">
        <v>19596</v>
      </c>
      <c r="L135" s="22"/>
      <c r="M135" s="22"/>
      <c r="N135" s="25" t="str">
        <f>HYPERLINK("http://slimages.macys.com/is/image/MCY/21623024 ")</f>
        <v xml:space="preserve">http://slimages.macys.com/is/image/MCY/21623024 </v>
      </c>
    </row>
    <row r="136" spans="1:14" ht="24.75" x14ac:dyDescent="0.25">
      <c r="A136" s="21" t="s">
        <v>17883</v>
      </c>
      <c r="B136" s="22" t="s">
        <v>6623</v>
      </c>
      <c r="C136" s="2">
        <v>1</v>
      </c>
      <c r="D136" s="23">
        <v>25.99</v>
      </c>
      <c r="E136" s="3">
        <v>25.99</v>
      </c>
      <c r="F136" s="2" t="s">
        <v>17873</v>
      </c>
      <c r="G136" s="22" t="s">
        <v>19431</v>
      </c>
      <c r="H136" s="24" t="s">
        <v>17870</v>
      </c>
      <c r="I136" s="22" t="s">
        <v>19309</v>
      </c>
      <c r="J136" s="22" t="s">
        <v>19595</v>
      </c>
      <c r="K136" s="22" t="s">
        <v>18498</v>
      </c>
      <c r="L136" s="22"/>
      <c r="M136" s="22"/>
      <c r="N136" s="25" t="str">
        <f>HYPERLINK("http://slimages.macys.com/is/image/MCY/21365806 ")</f>
        <v xml:space="preserve">http://slimages.macys.com/is/image/MCY/21365806 </v>
      </c>
    </row>
    <row r="137" spans="1:14" ht="24.75" x14ac:dyDescent="0.25">
      <c r="A137" s="21" t="s">
        <v>6624</v>
      </c>
      <c r="B137" s="22" t="s">
        <v>6625</v>
      </c>
      <c r="C137" s="2">
        <v>1</v>
      </c>
      <c r="D137" s="23">
        <v>22.99</v>
      </c>
      <c r="E137" s="3">
        <v>22.99</v>
      </c>
      <c r="F137" s="2" t="s">
        <v>6626</v>
      </c>
      <c r="G137" s="22" t="s">
        <v>19618</v>
      </c>
      <c r="H137" s="24" t="s">
        <v>19384</v>
      </c>
      <c r="I137" s="22" t="s">
        <v>19309</v>
      </c>
      <c r="J137" s="22" t="s">
        <v>19573</v>
      </c>
      <c r="K137" s="22" t="s">
        <v>19574</v>
      </c>
      <c r="L137" s="22"/>
      <c r="M137" s="22"/>
      <c r="N137" s="25" t="str">
        <f>HYPERLINK("http://slimages.macys.com/is/image/MCY/20757554 ")</f>
        <v xml:space="preserve">http://slimages.macys.com/is/image/MCY/20757554 </v>
      </c>
    </row>
    <row r="138" spans="1:14" ht="24.75" x14ac:dyDescent="0.25">
      <c r="A138" s="21" t="s">
        <v>15836</v>
      </c>
      <c r="B138" s="22" t="s">
        <v>15837</v>
      </c>
      <c r="C138" s="2">
        <v>1</v>
      </c>
      <c r="D138" s="23">
        <v>21.99</v>
      </c>
      <c r="E138" s="3">
        <v>21.99</v>
      </c>
      <c r="F138" s="2" t="s">
        <v>19804</v>
      </c>
      <c r="G138" s="22" t="s">
        <v>19351</v>
      </c>
      <c r="H138" s="24" t="s">
        <v>19542</v>
      </c>
      <c r="I138" s="22" t="s">
        <v>19309</v>
      </c>
      <c r="J138" s="22" t="s">
        <v>19595</v>
      </c>
      <c r="K138" s="22" t="s">
        <v>19596</v>
      </c>
      <c r="L138" s="22"/>
      <c r="M138" s="22"/>
      <c r="N138" s="25" t="str">
        <f>HYPERLINK("http://slimages.macys.com/is/image/MCY/21623048 ")</f>
        <v xml:space="preserve">http://slimages.macys.com/is/image/MCY/21623048 </v>
      </c>
    </row>
    <row r="139" spans="1:14" ht="24.75" x14ac:dyDescent="0.25">
      <c r="A139" s="21" t="s">
        <v>12987</v>
      </c>
      <c r="B139" s="22" t="s">
        <v>12988</v>
      </c>
      <c r="C139" s="2">
        <v>1</v>
      </c>
      <c r="D139" s="23">
        <v>21.99</v>
      </c>
      <c r="E139" s="3">
        <v>21.99</v>
      </c>
      <c r="F139" s="2" t="s">
        <v>19809</v>
      </c>
      <c r="G139" s="22" t="s">
        <v>19810</v>
      </c>
      <c r="H139" s="24" t="s">
        <v>19377</v>
      </c>
      <c r="I139" s="22" t="s">
        <v>19309</v>
      </c>
      <c r="J139" s="22" t="s">
        <v>19595</v>
      </c>
      <c r="K139" s="22" t="s">
        <v>19596</v>
      </c>
      <c r="L139" s="22"/>
      <c r="M139" s="22"/>
      <c r="N139" s="25" t="str">
        <f>HYPERLINK("http://slimages.macys.com/is/image/MCY/21623064 ")</f>
        <v xml:space="preserve">http://slimages.macys.com/is/image/MCY/21623064 </v>
      </c>
    </row>
    <row r="140" spans="1:14" ht="24.75" x14ac:dyDescent="0.25">
      <c r="A140" s="21" t="s">
        <v>10428</v>
      </c>
      <c r="B140" s="22" t="s">
        <v>10429</v>
      </c>
      <c r="C140" s="2">
        <v>1</v>
      </c>
      <c r="D140" s="23">
        <v>21.99</v>
      </c>
      <c r="E140" s="3">
        <v>21.99</v>
      </c>
      <c r="F140" s="2" t="s">
        <v>12986</v>
      </c>
      <c r="G140" s="22"/>
      <c r="H140" s="24" t="s">
        <v>19334</v>
      </c>
      <c r="I140" s="22" t="s">
        <v>19309</v>
      </c>
      <c r="J140" s="22" t="s">
        <v>19595</v>
      </c>
      <c r="K140" s="22" t="s">
        <v>19596</v>
      </c>
      <c r="L140" s="22"/>
      <c r="M140" s="22"/>
      <c r="N140" s="25" t="str">
        <f>HYPERLINK("http://slimages.macys.com/is/image/MCY/21622998 ")</f>
        <v xml:space="preserve">http://slimages.macys.com/is/image/MCY/21622998 </v>
      </c>
    </row>
    <row r="141" spans="1:14" x14ac:dyDescent="0.25">
      <c r="A141" s="21" t="s">
        <v>6627</v>
      </c>
      <c r="B141" s="22" t="s">
        <v>7403</v>
      </c>
      <c r="C141" s="2">
        <v>1</v>
      </c>
      <c r="D141" s="23">
        <v>19.329999999999998</v>
      </c>
      <c r="E141" s="3">
        <v>19.329999999999998</v>
      </c>
      <c r="F141" s="2" t="s">
        <v>6628</v>
      </c>
      <c r="G141" s="22" t="s">
        <v>19342</v>
      </c>
      <c r="H141" s="24" t="s">
        <v>19345</v>
      </c>
      <c r="I141" s="22" t="s">
        <v>19309</v>
      </c>
      <c r="J141" s="22" t="s">
        <v>19514</v>
      </c>
      <c r="K141" s="22" t="s">
        <v>17948</v>
      </c>
      <c r="L141" s="22"/>
      <c r="M141" s="22"/>
      <c r="N141" s="25" t="str">
        <f>HYPERLINK("http://slimages.macys.com/is/image/MCY/20434281 ")</f>
        <v xml:space="preserve">http://slimages.macys.com/is/image/MCY/20434281 </v>
      </c>
    </row>
    <row r="142" spans="1:14" ht="24.75" x14ac:dyDescent="0.25">
      <c r="A142" s="21" t="s">
        <v>6629</v>
      </c>
      <c r="B142" s="22" t="s">
        <v>6630</v>
      </c>
      <c r="C142" s="2">
        <v>1</v>
      </c>
      <c r="D142" s="23">
        <v>18.989999999999998</v>
      </c>
      <c r="E142" s="3">
        <v>18.989999999999998</v>
      </c>
      <c r="F142" s="2" t="s">
        <v>19813</v>
      </c>
      <c r="G142" s="22" t="s">
        <v>19315</v>
      </c>
      <c r="H142" s="24" t="s">
        <v>19308</v>
      </c>
      <c r="I142" s="22" t="s">
        <v>19309</v>
      </c>
      <c r="J142" s="22" t="s">
        <v>19815</v>
      </c>
      <c r="K142" s="22" t="s">
        <v>19816</v>
      </c>
      <c r="L142" s="22"/>
      <c r="M142" s="22"/>
      <c r="N142" s="25" t="str">
        <f>HYPERLINK("http://slimages.macys.com/is/image/MCY/20549863 ")</f>
        <v xml:space="preserve">http://slimages.macys.com/is/image/MCY/20549863 </v>
      </c>
    </row>
    <row r="143" spans="1:14" ht="24.75" x14ac:dyDescent="0.25">
      <c r="A143" s="21" t="s">
        <v>15847</v>
      </c>
      <c r="B143" s="22" t="s">
        <v>15848</v>
      </c>
      <c r="C143" s="2">
        <v>1</v>
      </c>
      <c r="D143" s="23">
        <v>18.989999999999998</v>
      </c>
      <c r="E143" s="3">
        <v>18.989999999999998</v>
      </c>
      <c r="F143" s="2" t="s">
        <v>19813</v>
      </c>
      <c r="G143" s="22" t="s">
        <v>19814</v>
      </c>
      <c r="H143" s="24" t="s">
        <v>19364</v>
      </c>
      <c r="I143" s="22" t="s">
        <v>19309</v>
      </c>
      <c r="J143" s="22" t="s">
        <v>19815</v>
      </c>
      <c r="K143" s="22" t="s">
        <v>19816</v>
      </c>
      <c r="L143" s="22"/>
      <c r="M143" s="22"/>
      <c r="N143" s="25" t="str">
        <f>HYPERLINK("http://slimages.macys.com/is/image/MCY/20549863 ")</f>
        <v xml:space="preserve">http://slimages.macys.com/is/image/MCY/20549863 </v>
      </c>
    </row>
    <row r="144" spans="1:14" x14ac:dyDescent="0.25">
      <c r="A144" s="21" t="s">
        <v>6631</v>
      </c>
      <c r="B144" s="22" t="s">
        <v>6632</v>
      </c>
      <c r="C144" s="2">
        <v>1</v>
      </c>
      <c r="D144" s="23">
        <v>23.29</v>
      </c>
      <c r="E144" s="3">
        <v>23.29</v>
      </c>
      <c r="F144" s="2" t="s">
        <v>6633</v>
      </c>
      <c r="G144" s="22" t="s">
        <v>19357</v>
      </c>
      <c r="H144" s="24" t="s">
        <v>19324</v>
      </c>
      <c r="I144" s="22" t="s">
        <v>19309</v>
      </c>
      <c r="J144" s="22" t="s">
        <v>19708</v>
      </c>
      <c r="K144" s="22" t="s">
        <v>19709</v>
      </c>
      <c r="L144" s="22"/>
      <c r="M144" s="22"/>
      <c r="N144" s="25" t="str">
        <f>HYPERLINK("http://slimages.macys.com/is/image/MCY/22405584 ")</f>
        <v xml:space="preserve">http://slimages.macys.com/is/image/MCY/22405584 </v>
      </c>
    </row>
    <row r="145" spans="1:14" ht="24.75" x14ac:dyDescent="0.25">
      <c r="A145" s="21" t="s">
        <v>15849</v>
      </c>
      <c r="B145" s="22" t="s">
        <v>15850</v>
      </c>
      <c r="C145" s="2">
        <v>1</v>
      </c>
      <c r="D145" s="23">
        <v>21.99</v>
      </c>
      <c r="E145" s="3">
        <v>21.99</v>
      </c>
      <c r="F145" s="2" t="s">
        <v>15851</v>
      </c>
      <c r="G145" s="22" t="s">
        <v>19357</v>
      </c>
      <c r="H145" s="24" t="s">
        <v>19334</v>
      </c>
      <c r="I145" s="22" t="s">
        <v>19309</v>
      </c>
      <c r="J145" s="22" t="s">
        <v>19595</v>
      </c>
      <c r="K145" s="22" t="s">
        <v>19596</v>
      </c>
      <c r="L145" s="22"/>
      <c r="M145" s="22"/>
      <c r="N145" s="25" t="str">
        <f>HYPERLINK("http://slimages.macys.com/is/image/MCY/21909786 ")</f>
        <v xml:space="preserve">http://slimages.macys.com/is/image/MCY/21909786 </v>
      </c>
    </row>
    <row r="146" spans="1:14" ht="24.75" x14ac:dyDescent="0.25">
      <c r="A146" s="21" t="s">
        <v>6634</v>
      </c>
      <c r="B146" s="22" t="s">
        <v>6635</v>
      </c>
      <c r="C146" s="2">
        <v>1</v>
      </c>
      <c r="D146" s="23">
        <v>21.99</v>
      </c>
      <c r="E146" s="3">
        <v>21.99</v>
      </c>
      <c r="F146" s="2" t="s">
        <v>11923</v>
      </c>
      <c r="G146" s="22"/>
      <c r="H146" s="24" t="s">
        <v>19377</v>
      </c>
      <c r="I146" s="22" t="s">
        <v>19309</v>
      </c>
      <c r="J146" s="22" t="s">
        <v>19595</v>
      </c>
      <c r="K146" s="22" t="s">
        <v>19596</v>
      </c>
      <c r="L146" s="22"/>
      <c r="M146" s="22"/>
      <c r="N146" s="25" t="str">
        <f>HYPERLINK("http://slimages.macys.com/is/image/MCY/21909782 ")</f>
        <v xml:space="preserve">http://slimages.macys.com/is/image/MCY/21909782 </v>
      </c>
    </row>
    <row r="147" spans="1:14" ht="24.75" x14ac:dyDescent="0.25">
      <c r="A147" s="21" t="s">
        <v>6636</v>
      </c>
      <c r="B147" s="22" t="s">
        <v>6637</v>
      </c>
      <c r="C147" s="2">
        <v>1</v>
      </c>
      <c r="D147" s="23">
        <v>21.99</v>
      </c>
      <c r="E147" s="3">
        <v>21.99</v>
      </c>
      <c r="F147" s="2" t="s">
        <v>19830</v>
      </c>
      <c r="G147" s="22" t="s">
        <v>19513</v>
      </c>
      <c r="H147" s="24" t="s">
        <v>19345</v>
      </c>
      <c r="I147" s="22" t="s">
        <v>19309</v>
      </c>
      <c r="J147" s="22" t="s">
        <v>19595</v>
      </c>
      <c r="K147" s="22" t="s">
        <v>19596</v>
      </c>
      <c r="L147" s="22"/>
      <c r="M147" s="22"/>
      <c r="N147" s="25" t="str">
        <f>HYPERLINK("http://slimages.macys.com/is/image/MCY/21622964 ")</f>
        <v xml:space="preserve">http://slimages.macys.com/is/image/MCY/21622964 </v>
      </c>
    </row>
    <row r="148" spans="1:14" ht="24.75" x14ac:dyDescent="0.25">
      <c r="A148" s="21" t="s">
        <v>6638</v>
      </c>
      <c r="B148" s="22" t="s">
        <v>6639</v>
      </c>
      <c r="C148" s="2">
        <v>1</v>
      </c>
      <c r="D148" s="23">
        <v>24.99</v>
      </c>
      <c r="E148" s="3">
        <v>24.99</v>
      </c>
      <c r="F148" s="2" t="s">
        <v>19842</v>
      </c>
      <c r="G148" s="22"/>
      <c r="H148" s="24" t="s">
        <v>19399</v>
      </c>
      <c r="I148" s="22" t="s">
        <v>19309</v>
      </c>
      <c r="J148" s="22" t="s">
        <v>19519</v>
      </c>
      <c r="K148" s="22" t="s">
        <v>19834</v>
      </c>
      <c r="L148" s="22"/>
      <c r="M148" s="22"/>
      <c r="N148" s="25" t="str">
        <f>HYPERLINK("http://slimages.macys.com/is/image/MCY/21341160 ")</f>
        <v xml:space="preserve">http://slimages.macys.com/is/image/MCY/21341160 </v>
      </c>
    </row>
    <row r="149" spans="1:14" ht="24.75" x14ac:dyDescent="0.25">
      <c r="A149" s="21" t="s">
        <v>11921</v>
      </c>
      <c r="B149" s="22" t="s">
        <v>11922</v>
      </c>
      <c r="C149" s="2">
        <v>1</v>
      </c>
      <c r="D149" s="23">
        <v>21.99</v>
      </c>
      <c r="E149" s="3">
        <v>21.99</v>
      </c>
      <c r="F149" s="2" t="s">
        <v>11923</v>
      </c>
      <c r="G149" s="22"/>
      <c r="H149" s="24" t="s">
        <v>19334</v>
      </c>
      <c r="I149" s="22" t="s">
        <v>19309</v>
      </c>
      <c r="J149" s="22" t="s">
        <v>19595</v>
      </c>
      <c r="K149" s="22" t="s">
        <v>19596</v>
      </c>
      <c r="L149" s="22"/>
      <c r="M149" s="22"/>
      <c r="N149" s="25" t="str">
        <f>HYPERLINK("http://slimages.macys.com/is/image/MCY/21909788 ")</f>
        <v xml:space="preserve">http://slimages.macys.com/is/image/MCY/21909788 </v>
      </c>
    </row>
    <row r="150" spans="1:14" ht="24.75" x14ac:dyDescent="0.25">
      <c r="A150" s="21" t="s">
        <v>7433</v>
      </c>
      <c r="B150" s="22" t="s">
        <v>7434</v>
      </c>
      <c r="C150" s="2">
        <v>1</v>
      </c>
      <c r="D150" s="23">
        <v>21.99</v>
      </c>
      <c r="E150" s="3">
        <v>21.99</v>
      </c>
      <c r="F150" s="2" t="s">
        <v>19830</v>
      </c>
      <c r="G150" s="22" t="s">
        <v>19513</v>
      </c>
      <c r="H150" s="24" t="s">
        <v>19361</v>
      </c>
      <c r="I150" s="22" t="s">
        <v>19309</v>
      </c>
      <c r="J150" s="22" t="s">
        <v>19595</v>
      </c>
      <c r="K150" s="22" t="s">
        <v>19596</v>
      </c>
      <c r="L150" s="22"/>
      <c r="M150" s="22"/>
      <c r="N150" s="25" t="str">
        <f>HYPERLINK("http://slimages.macys.com/is/image/MCY/21623076 ")</f>
        <v xml:space="preserve">http://slimages.macys.com/is/image/MCY/21623076 </v>
      </c>
    </row>
    <row r="151" spans="1:14" ht="24.75" x14ac:dyDescent="0.25">
      <c r="A151" s="21" t="s">
        <v>6640</v>
      </c>
      <c r="B151" s="22" t="s">
        <v>6641</v>
      </c>
      <c r="C151" s="2">
        <v>1</v>
      </c>
      <c r="D151" s="23">
        <v>20.99</v>
      </c>
      <c r="E151" s="3">
        <v>20.99</v>
      </c>
      <c r="F151" s="2" t="s">
        <v>6642</v>
      </c>
      <c r="G151" s="22" t="s">
        <v>19618</v>
      </c>
      <c r="H151" s="24" t="s">
        <v>12028</v>
      </c>
      <c r="I151" s="22" t="s">
        <v>19309</v>
      </c>
      <c r="J151" s="22" t="s">
        <v>20076</v>
      </c>
      <c r="K151" s="22" t="s">
        <v>12029</v>
      </c>
      <c r="L151" s="22"/>
      <c r="M151" s="22"/>
      <c r="N151" s="25" t="str">
        <f>HYPERLINK("http://slimages.macys.com/is/image/MCY/21443473 ")</f>
        <v xml:space="preserve">http://slimages.macys.com/is/image/MCY/21443473 </v>
      </c>
    </row>
    <row r="152" spans="1:14" ht="24.75" x14ac:dyDescent="0.25">
      <c r="A152" s="21" t="s">
        <v>7431</v>
      </c>
      <c r="B152" s="22" t="s">
        <v>7432</v>
      </c>
      <c r="C152" s="2">
        <v>1</v>
      </c>
      <c r="D152" s="23">
        <v>21.99</v>
      </c>
      <c r="E152" s="3">
        <v>21.99</v>
      </c>
      <c r="F152" s="2" t="s">
        <v>15851</v>
      </c>
      <c r="G152" s="22" t="s">
        <v>19357</v>
      </c>
      <c r="H152" s="24" t="s">
        <v>19345</v>
      </c>
      <c r="I152" s="22" t="s">
        <v>19309</v>
      </c>
      <c r="J152" s="22" t="s">
        <v>19595</v>
      </c>
      <c r="K152" s="22" t="s">
        <v>19596</v>
      </c>
      <c r="L152" s="22"/>
      <c r="M152" s="22"/>
      <c r="N152" s="25" t="str">
        <f>HYPERLINK("http://slimages.macys.com/is/image/MCY/21909786 ")</f>
        <v xml:space="preserve">http://slimages.macys.com/is/image/MCY/21909786 </v>
      </c>
    </row>
    <row r="153" spans="1:14" ht="24.75" x14ac:dyDescent="0.25">
      <c r="A153" s="21" t="s">
        <v>6643</v>
      </c>
      <c r="B153" s="22" t="s">
        <v>6644</v>
      </c>
      <c r="C153" s="2">
        <v>1</v>
      </c>
      <c r="D153" s="23">
        <v>21.99</v>
      </c>
      <c r="E153" s="3">
        <v>21.99</v>
      </c>
      <c r="F153" s="2" t="s">
        <v>19830</v>
      </c>
      <c r="G153" s="22" t="s">
        <v>19513</v>
      </c>
      <c r="H153" s="24" t="s">
        <v>19395</v>
      </c>
      <c r="I153" s="22" t="s">
        <v>19309</v>
      </c>
      <c r="J153" s="22" t="s">
        <v>19595</v>
      </c>
      <c r="K153" s="22" t="s">
        <v>19596</v>
      </c>
      <c r="L153" s="22"/>
      <c r="M153" s="22"/>
      <c r="N153" s="25" t="str">
        <f>HYPERLINK("http://slimages.macys.com/is/image/MCY/21623076 ")</f>
        <v xml:space="preserve">http://slimages.macys.com/is/image/MCY/21623076 </v>
      </c>
    </row>
    <row r="154" spans="1:14" ht="24.75" x14ac:dyDescent="0.25">
      <c r="A154" s="21" t="s">
        <v>6645</v>
      </c>
      <c r="B154" s="22" t="s">
        <v>6646</v>
      </c>
      <c r="C154" s="2">
        <v>1</v>
      </c>
      <c r="D154" s="23">
        <v>21.99</v>
      </c>
      <c r="E154" s="3">
        <v>21.99</v>
      </c>
      <c r="F154" s="2" t="s">
        <v>19830</v>
      </c>
      <c r="G154" s="22" t="s">
        <v>19513</v>
      </c>
      <c r="H154" s="24" t="s">
        <v>19377</v>
      </c>
      <c r="I154" s="22" t="s">
        <v>19309</v>
      </c>
      <c r="J154" s="22" t="s">
        <v>19595</v>
      </c>
      <c r="K154" s="22" t="s">
        <v>19596</v>
      </c>
      <c r="L154" s="22"/>
      <c r="M154" s="22"/>
      <c r="N154" s="25" t="str">
        <f>HYPERLINK("http://slimages.macys.com/is/image/MCY/21623076 ")</f>
        <v xml:space="preserve">http://slimages.macys.com/is/image/MCY/21623076 </v>
      </c>
    </row>
    <row r="155" spans="1:14" ht="24.75" x14ac:dyDescent="0.25">
      <c r="A155" s="21" t="s">
        <v>13012</v>
      </c>
      <c r="B155" s="22" t="s">
        <v>13013</v>
      </c>
      <c r="C155" s="2">
        <v>1</v>
      </c>
      <c r="D155" s="23">
        <v>21.99</v>
      </c>
      <c r="E155" s="3">
        <v>21.99</v>
      </c>
      <c r="F155" s="2" t="s">
        <v>15851</v>
      </c>
      <c r="G155" s="22" t="s">
        <v>19357</v>
      </c>
      <c r="H155" s="24" t="s">
        <v>19377</v>
      </c>
      <c r="I155" s="22" t="s">
        <v>19309</v>
      </c>
      <c r="J155" s="22" t="s">
        <v>19595</v>
      </c>
      <c r="K155" s="22" t="s">
        <v>19596</v>
      </c>
      <c r="L155" s="22"/>
      <c r="M155" s="22"/>
      <c r="N155" s="25" t="str">
        <f>HYPERLINK("http://slimages.macys.com/is/image/MCY/21909784 ")</f>
        <v xml:space="preserve">http://slimages.macys.com/is/image/MCY/21909784 </v>
      </c>
    </row>
    <row r="156" spans="1:14" x14ac:dyDescent="0.25">
      <c r="A156" s="21" t="s">
        <v>6647</v>
      </c>
      <c r="B156" s="22" t="s">
        <v>6648</v>
      </c>
      <c r="C156" s="2">
        <v>1</v>
      </c>
      <c r="D156" s="23">
        <v>16.989999999999998</v>
      </c>
      <c r="E156" s="3">
        <v>16.989999999999998</v>
      </c>
      <c r="F156" s="2" t="s">
        <v>6649</v>
      </c>
      <c r="G156" s="22" t="s">
        <v>19333</v>
      </c>
      <c r="H156" s="24" t="s">
        <v>19395</v>
      </c>
      <c r="I156" s="22" t="s">
        <v>19309</v>
      </c>
      <c r="J156" s="22" t="s">
        <v>19310</v>
      </c>
      <c r="K156" s="22" t="s">
        <v>19468</v>
      </c>
      <c r="L156" s="22"/>
      <c r="M156" s="22"/>
      <c r="N156" s="25" t="str">
        <f>HYPERLINK("http://slimages.macys.com/is/image/MCY/19065667 ")</f>
        <v xml:space="preserve">http://slimages.macys.com/is/image/MCY/19065667 </v>
      </c>
    </row>
    <row r="157" spans="1:14" ht="24.75" x14ac:dyDescent="0.25">
      <c r="A157" s="21" t="s">
        <v>17918</v>
      </c>
      <c r="B157" s="22" t="s">
        <v>17919</v>
      </c>
      <c r="C157" s="2">
        <v>1</v>
      </c>
      <c r="D157" s="23">
        <v>26.99</v>
      </c>
      <c r="E157" s="3">
        <v>26.99</v>
      </c>
      <c r="F157" s="2" t="s">
        <v>17920</v>
      </c>
      <c r="G157" s="22" t="s">
        <v>19462</v>
      </c>
      <c r="H157" s="24" t="s">
        <v>19377</v>
      </c>
      <c r="I157" s="22" t="s">
        <v>19309</v>
      </c>
      <c r="J157" s="22" t="s">
        <v>19908</v>
      </c>
      <c r="K157" s="22" t="s">
        <v>19524</v>
      </c>
      <c r="L157" s="22"/>
      <c r="M157" s="22"/>
      <c r="N157" s="25" t="str">
        <f>HYPERLINK("http://slimages.macys.com/is/image/MCY/1484635 ")</f>
        <v xml:space="preserve">http://slimages.macys.com/is/image/MCY/1484635 </v>
      </c>
    </row>
    <row r="158" spans="1:14" ht="24.75" x14ac:dyDescent="0.25">
      <c r="A158" s="21" t="s">
        <v>6650</v>
      </c>
      <c r="B158" s="22" t="s">
        <v>6651</v>
      </c>
      <c r="C158" s="2">
        <v>1</v>
      </c>
      <c r="D158" s="23">
        <v>28</v>
      </c>
      <c r="E158" s="3">
        <v>28</v>
      </c>
      <c r="F158" s="2" t="s">
        <v>6652</v>
      </c>
      <c r="G158" s="22" t="s">
        <v>19763</v>
      </c>
      <c r="H158" s="24" t="s">
        <v>19334</v>
      </c>
      <c r="I158" s="22" t="s">
        <v>19309</v>
      </c>
      <c r="J158" s="22" t="s">
        <v>19310</v>
      </c>
      <c r="K158" s="22" t="s">
        <v>15570</v>
      </c>
      <c r="L158" s="22"/>
      <c r="M158" s="22"/>
      <c r="N158" s="25" t="str">
        <f>HYPERLINK("http://slimages.macys.com/is/image/MCY/19684909 ")</f>
        <v xml:space="preserve">http://slimages.macys.com/is/image/MCY/19684909 </v>
      </c>
    </row>
    <row r="159" spans="1:14" x14ac:dyDescent="0.25">
      <c r="A159" s="21" t="s">
        <v>6653</v>
      </c>
      <c r="B159" s="22" t="s">
        <v>6654</v>
      </c>
      <c r="C159" s="2">
        <v>1</v>
      </c>
      <c r="D159" s="23">
        <v>19.989999999999998</v>
      </c>
      <c r="E159" s="3">
        <v>19.989999999999998</v>
      </c>
      <c r="F159" s="2" t="s">
        <v>19863</v>
      </c>
      <c r="G159" s="22" t="s">
        <v>19431</v>
      </c>
      <c r="H159" s="24" t="s">
        <v>19395</v>
      </c>
      <c r="I159" s="22" t="s">
        <v>19309</v>
      </c>
      <c r="J159" s="22" t="s">
        <v>19310</v>
      </c>
      <c r="K159" s="22" t="s">
        <v>19433</v>
      </c>
      <c r="L159" s="22"/>
      <c r="M159" s="22"/>
      <c r="N159" s="25" t="str">
        <f>HYPERLINK("http://slimages.macys.com/is/image/MCY/21671015 ")</f>
        <v xml:space="preserve">http://slimages.macys.com/is/image/MCY/21671015 </v>
      </c>
    </row>
    <row r="160" spans="1:14" x14ac:dyDescent="0.25">
      <c r="A160" s="21" t="s">
        <v>6655</v>
      </c>
      <c r="B160" s="22" t="s">
        <v>6656</v>
      </c>
      <c r="C160" s="2">
        <v>1</v>
      </c>
      <c r="D160" s="23">
        <v>19.989999999999998</v>
      </c>
      <c r="E160" s="3">
        <v>19.989999999999998</v>
      </c>
      <c r="F160" s="2" t="s">
        <v>6657</v>
      </c>
      <c r="G160" s="22" t="s">
        <v>19307</v>
      </c>
      <c r="H160" s="24" t="s">
        <v>19432</v>
      </c>
      <c r="I160" s="22" t="s">
        <v>19309</v>
      </c>
      <c r="J160" s="22" t="s">
        <v>19310</v>
      </c>
      <c r="K160" s="22" t="s">
        <v>19433</v>
      </c>
      <c r="L160" s="22"/>
      <c r="M160" s="22"/>
      <c r="N160" s="25" t="str">
        <f>HYPERLINK("http://slimages.macys.com/is/image/MCY/21964975 ")</f>
        <v xml:space="preserve">http://slimages.macys.com/is/image/MCY/21964975 </v>
      </c>
    </row>
    <row r="161" spans="1:14" x14ac:dyDescent="0.25">
      <c r="A161" s="21" t="s">
        <v>6658</v>
      </c>
      <c r="B161" s="22" t="s">
        <v>6659</v>
      </c>
      <c r="C161" s="2">
        <v>1</v>
      </c>
      <c r="D161" s="23">
        <v>19.989999999999998</v>
      </c>
      <c r="E161" s="3">
        <v>19.989999999999998</v>
      </c>
      <c r="F161" s="2" t="s">
        <v>19860</v>
      </c>
      <c r="G161" s="22" t="s">
        <v>19333</v>
      </c>
      <c r="H161" s="24" t="s">
        <v>19432</v>
      </c>
      <c r="I161" s="22" t="s">
        <v>19309</v>
      </c>
      <c r="J161" s="22" t="s">
        <v>19310</v>
      </c>
      <c r="K161" s="22" t="s">
        <v>19433</v>
      </c>
      <c r="L161" s="22"/>
      <c r="M161" s="22"/>
      <c r="N161" s="25" t="str">
        <f>HYPERLINK("http://slimages.macys.com/is/image/MCY/21397177 ")</f>
        <v xml:space="preserve">http://slimages.macys.com/is/image/MCY/21397177 </v>
      </c>
    </row>
    <row r="162" spans="1:14" ht="24.75" x14ac:dyDescent="0.25">
      <c r="A162" s="21" t="s">
        <v>15867</v>
      </c>
      <c r="B162" s="22" t="s">
        <v>15868</v>
      </c>
      <c r="C162" s="2">
        <v>1</v>
      </c>
      <c r="D162" s="23">
        <v>28</v>
      </c>
      <c r="E162" s="3">
        <v>28</v>
      </c>
      <c r="F162" s="2" t="s">
        <v>15869</v>
      </c>
      <c r="G162" s="22" t="s">
        <v>19315</v>
      </c>
      <c r="H162" s="24" t="s">
        <v>19395</v>
      </c>
      <c r="I162" s="22" t="s">
        <v>19309</v>
      </c>
      <c r="J162" s="22" t="s">
        <v>19310</v>
      </c>
      <c r="K162" s="22" t="s">
        <v>15570</v>
      </c>
      <c r="L162" s="22"/>
      <c r="M162" s="22"/>
      <c r="N162" s="25" t="str">
        <f>HYPERLINK("http://slimages.macys.com/is/image/MCY/19684907 ")</f>
        <v xml:space="preserve">http://slimages.macys.com/is/image/MCY/19684907 </v>
      </c>
    </row>
    <row r="163" spans="1:14" x14ac:dyDescent="0.25">
      <c r="A163" s="21" t="s">
        <v>6660</v>
      </c>
      <c r="B163" s="22" t="s">
        <v>6661</v>
      </c>
      <c r="C163" s="2">
        <v>1</v>
      </c>
      <c r="D163" s="23">
        <v>21.99</v>
      </c>
      <c r="E163" s="3">
        <v>21.99</v>
      </c>
      <c r="F163" s="2" t="s">
        <v>6662</v>
      </c>
      <c r="G163" s="22" t="s">
        <v>19462</v>
      </c>
      <c r="H163" s="24" t="s">
        <v>19797</v>
      </c>
      <c r="I163" s="22" t="s">
        <v>19309</v>
      </c>
      <c r="J163" s="22" t="s">
        <v>19849</v>
      </c>
      <c r="K163" s="22" t="s">
        <v>19850</v>
      </c>
      <c r="L163" s="22"/>
      <c r="M163" s="22"/>
      <c r="N163" s="25" t="str">
        <f>HYPERLINK("http://slimages.macys.com/is/image/MCY/20530671 ")</f>
        <v xml:space="preserve">http://slimages.macys.com/is/image/MCY/20530671 </v>
      </c>
    </row>
    <row r="164" spans="1:14" x14ac:dyDescent="0.25">
      <c r="A164" s="21" t="s">
        <v>13024</v>
      </c>
      <c r="B164" s="22" t="s">
        <v>13025</v>
      </c>
      <c r="C164" s="2">
        <v>1</v>
      </c>
      <c r="D164" s="23">
        <v>18.329999999999998</v>
      </c>
      <c r="E164" s="3">
        <v>18.329999999999998</v>
      </c>
      <c r="F164" s="2" t="s">
        <v>13026</v>
      </c>
      <c r="G164" s="22" t="s">
        <v>19342</v>
      </c>
      <c r="H164" s="24" t="s">
        <v>19392</v>
      </c>
      <c r="I164" s="22" t="s">
        <v>19309</v>
      </c>
      <c r="J164" s="22" t="s">
        <v>19514</v>
      </c>
      <c r="K164" s="22" t="s">
        <v>17948</v>
      </c>
      <c r="L164" s="22"/>
      <c r="M164" s="22"/>
      <c r="N164" s="25" t="str">
        <f>HYPERLINK("http://slimages.macys.com/is/image/MCY/21701093 ")</f>
        <v xml:space="preserve">http://slimages.macys.com/is/image/MCY/21701093 </v>
      </c>
    </row>
    <row r="165" spans="1:14" x14ac:dyDescent="0.25">
      <c r="A165" s="21" t="s">
        <v>15294</v>
      </c>
      <c r="B165" s="22" t="s">
        <v>15295</v>
      </c>
      <c r="C165" s="2">
        <v>1</v>
      </c>
      <c r="D165" s="23">
        <v>20.99</v>
      </c>
      <c r="E165" s="3">
        <v>20.99</v>
      </c>
      <c r="F165" s="2" t="s">
        <v>15296</v>
      </c>
      <c r="G165" s="22"/>
      <c r="H165" s="24"/>
      <c r="I165" s="22" t="s">
        <v>19309</v>
      </c>
      <c r="J165" s="22" t="s">
        <v>19696</v>
      </c>
      <c r="K165" s="22" t="s">
        <v>15978</v>
      </c>
      <c r="L165" s="22"/>
      <c r="M165" s="22"/>
      <c r="N165" s="25" t="str">
        <f>HYPERLINK("http://slimages.macys.com/is/image/MCY/21408732 ")</f>
        <v xml:space="preserve">http://slimages.macys.com/is/image/MCY/21408732 </v>
      </c>
    </row>
    <row r="166" spans="1:14" ht="24.75" x14ac:dyDescent="0.25">
      <c r="A166" s="21" t="s">
        <v>19895</v>
      </c>
      <c r="B166" s="22" t="s">
        <v>19896</v>
      </c>
      <c r="C166" s="2">
        <v>1</v>
      </c>
      <c r="D166" s="23">
        <v>19.989999999999998</v>
      </c>
      <c r="E166" s="3">
        <v>19.989999999999998</v>
      </c>
      <c r="F166" s="2" t="s">
        <v>19897</v>
      </c>
      <c r="G166" s="22" t="s">
        <v>19670</v>
      </c>
      <c r="H166" s="24"/>
      <c r="I166" s="22" t="s">
        <v>19309</v>
      </c>
      <c r="J166" s="22" t="s">
        <v>19573</v>
      </c>
      <c r="K166" s="22" t="s">
        <v>19574</v>
      </c>
      <c r="L166" s="22"/>
      <c r="M166" s="22"/>
      <c r="N166" s="25" t="str">
        <f>HYPERLINK("http://slimages.macys.com/is/image/MCY/20757750 ")</f>
        <v xml:space="preserve">http://slimages.macys.com/is/image/MCY/20757750 </v>
      </c>
    </row>
    <row r="167" spans="1:14" ht="24.75" x14ac:dyDescent="0.25">
      <c r="A167" s="21" t="s">
        <v>6663</v>
      </c>
      <c r="B167" s="22" t="s">
        <v>6664</v>
      </c>
      <c r="C167" s="2">
        <v>1</v>
      </c>
      <c r="D167" s="23">
        <v>19.989999999999998</v>
      </c>
      <c r="E167" s="3">
        <v>19.989999999999998</v>
      </c>
      <c r="F167" s="2" t="s">
        <v>6665</v>
      </c>
      <c r="G167" s="22" t="s">
        <v>19467</v>
      </c>
      <c r="H167" s="24" t="s">
        <v>19538</v>
      </c>
      <c r="I167" s="22" t="s">
        <v>19309</v>
      </c>
      <c r="J167" s="22" t="s">
        <v>19573</v>
      </c>
      <c r="K167" s="22" t="s">
        <v>19574</v>
      </c>
      <c r="L167" s="22"/>
      <c r="M167" s="22"/>
      <c r="N167" s="25" t="str">
        <f>HYPERLINK("http://slimages.macys.com/is/image/MCY/20757706 ")</f>
        <v xml:space="preserve">http://slimages.macys.com/is/image/MCY/20757706 </v>
      </c>
    </row>
    <row r="168" spans="1:14" ht="24.75" x14ac:dyDescent="0.25">
      <c r="A168" s="21" t="s">
        <v>10463</v>
      </c>
      <c r="B168" s="22" t="s">
        <v>10464</v>
      </c>
      <c r="C168" s="2">
        <v>1</v>
      </c>
      <c r="D168" s="23">
        <v>19.989999999999998</v>
      </c>
      <c r="E168" s="3">
        <v>19.989999999999998</v>
      </c>
      <c r="F168" s="2" t="s">
        <v>19900</v>
      </c>
      <c r="G168" s="22" t="s">
        <v>19467</v>
      </c>
      <c r="H168" s="24" t="s">
        <v>19538</v>
      </c>
      <c r="I168" s="22" t="s">
        <v>19309</v>
      </c>
      <c r="J168" s="22" t="s">
        <v>19573</v>
      </c>
      <c r="K168" s="22" t="s">
        <v>19574</v>
      </c>
      <c r="L168" s="22"/>
      <c r="M168" s="22"/>
      <c r="N168" s="25" t="str">
        <f>HYPERLINK("http://slimages.macys.com/is/image/MCY/1248248 ")</f>
        <v xml:space="preserve">http://slimages.macys.com/is/image/MCY/1248248 </v>
      </c>
    </row>
    <row r="169" spans="1:14" ht="24.75" x14ac:dyDescent="0.25">
      <c r="A169" s="21" t="s">
        <v>10465</v>
      </c>
      <c r="B169" s="22" t="s">
        <v>10466</v>
      </c>
      <c r="C169" s="2">
        <v>1</v>
      </c>
      <c r="D169" s="23">
        <v>19.989999999999998</v>
      </c>
      <c r="E169" s="3">
        <v>19.989999999999998</v>
      </c>
      <c r="F169" s="2" t="s">
        <v>19900</v>
      </c>
      <c r="G169" s="22" t="s">
        <v>19467</v>
      </c>
      <c r="H169" s="24" t="s">
        <v>19770</v>
      </c>
      <c r="I169" s="22" t="s">
        <v>19309</v>
      </c>
      <c r="J169" s="22" t="s">
        <v>19573</v>
      </c>
      <c r="K169" s="22" t="s">
        <v>19574</v>
      </c>
      <c r="L169" s="22"/>
      <c r="M169" s="22"/>
      <c r="N169" s="25" t="str">
        <f>HYPERLINK("http://slimages.macys.com/is/image/MCY/1248248 ")</f>
        <v xml:space="preserve">http://slimages.macys.com/is/image/MCY/1248248 </v>
      </c>
    </row>
    <row r="170" spans="1:14" ht="24.75" x14ac:dyDescent="0.25">
      <c r="A170" s="21" t="s">
        <v>15303</v>
      </c>
      <c r="B170" s="22" t="s">
        <v>15304</v>
      </c>
      <c r="C170" s="2">
        <v>1</v>
      </c>
      <c r="D170" s="23">
        <v>18.989999999999998</v>
      </c>
      <c r="E170" s="3">
        <v>18.989999999999998</v>
      </c>
      <c r="F170" s="2" t="s">
        <v>15302</v>
      </c>
      <c r="G170" s="22" t="s">
        <v>19814</v>
      </c>
      <c r="H170" s="24" t="s">
        <v>19364</v>
      </c>
      <c r="I170" s="22" t="s">
        <v>19309</v>
      </c>
      <c r="J170" s="22" t="s">
        <v>19815</v>
      </c>
      <c r="K170" s="22" t="s">
        <v>19816</v>
      </c>
      <c r="L170" s="22"/>
      <c r="M170" s="22"/>
      <c r="N170" s="25" t="str">
        <f>HYPERLINK("http://slimages.macys.com/is/image/MCY/20549845 ")</f>
        <v xml:space="preserve">http://slimages.macys.com/is/image/MCY/20549845 </v>
      </c>
    </row>
    <row r="171" spans="1:14" ht="24.75" x14ac:dyDescent="0.25">
      <c r="A171" s="21" t="s">
        <v>6666</v>
      </c>
      <c r="B171" s="22" t="s">
        <v>6667</v>
      </c>
      <c r="C171" s="2">
        <v>1</v>
      </c>
      <c r="D171" s="23">
        <v>29.99</v>
      </c>
      <c r="E171" s="3">
        <v>29.99</v>
      </c>
      <c r="F171" s="2" t="s">
        <v>6668</v>
      </c>
      <c r="G171" s="22" t="s">
        <v>19680</v>
      </c>
      <c r="H171" s="24" t="s">
        <v>19395</v>
      </c>
      <c r="I171" s="22" t="s">
        <v>19309</v>
      </c>
      <c r="J171" s="22" t="s">
        <v>19310</v>
      </c>
      <c r="K171" s="22" t="s">
        <v>19440</v>
      </c>
      <c r="L171" s="22"/>
      <c r="M171" s="22"/>
      <c r="N171" s="25" t="str">
        <f>HYPERLINK("http://slimages.macys.com/is/image/MCY/21627752 ")</f>
        <v xml:space="preserve">http://slimages.macys.com/is/image/MCY/21627752 </v>
      </c>
    </row>
    <row r="172" spans="1:14" ht="24.75" x14ac:dyDescent="0.25">
      <c r="A172" s="21" t="s">
        <v>19915</v>
      </c>
      <c r="B172" s="22" t="s">
        <v>19916</v>
      </c>
      <c r="C172" s="2">
        <v>2</v>
      </c>
      <c r="D172" s="23">
        <v>18.989999999999998</v>
      </c>
      <c r="E172" s="3">
        <v>37.979999999999997</v>
      </c>
      <c r="F172" s="2" t="s">
        <v>19914</v>
      </c>
      <c r="G172" s="22" t="s">
        <v>19713</v>
      </c>
      <c r="H172" s="24"/>
      <c r="I172" s="22" t="s">
        <v>19309</v>
      </c>
      <c r="J172" s="22" t="s">
        <v>19573</v>
      </c>
      <c r="K172" s="22" t="s">
        <v>19574</v>
      </c>
      <c r="L172" s="22"/>
      <c r="M172" s="22"/>
      <c r="N172" s="25" t="str">
        <f>HYPERLINK("http://slimages.macys.com/is/image/MCY/1322715 ")</f>
        <v xml:space="preserve">http://slimages.macys.com/is/image/MCY/1322715 </v>
      </c>
    </row>
    <row r="173" spans="1:14" ht="24.75" x14ac:dyDescent="0.25">
      <c r="A173" s="21" t="s">
        <v>19912</v>
      </c>
      <c r="B173" s="22" t="s">
        <v>19913</v>
      </c>
      <c r="C173" s="2">
        <v>1</v>
      </c>
      <c r="D173" s="23">
        <v>18.989999999999998</v>
      </c>
      <c r="E173" s="3">
        <v>18.989999999999998</v>
      </c>
      <c r="F173" s="2" t="s">
        <v>19914</v>
      </c>
      <c r="G173" s="22" t="s">
        <v>19713</v>
      </c>
      <c r="H173" s="24" t="s">
        <v>19384</v>
      </c>
      <c r="I173" s="22" t="s">
        <v>19309</v>
      </c>
      <c r="J173" s="22" t="s">
        <v>19573</v>
      </c>
      <c r="K173" s="22" t="s">
        <v>19574</v>
      </c>
      <c r="L173" s="22"/>
      <c r="M173" s="22"/>
      <c r="N173" s="25" t="str">
        <f>HYPERLINK("http://slimages.macys.com/is/image/MCY/1322715 ")</f>
        <v xml:space="preserve">http://slimages.macys.com/is/image/MCY/1322715 </v>
      </c>
    </row>
    <row r="174" spans="1:14" ht="24.75" x14ac:dyDescent="0.25">
      <c r="A174" s="21" t="s">
        <v>19925</v>
      </c>
      <c r="B174" s="22" t="s">
        <v>19926</v>
      </c>
      <c r="C174" s="2">
        <v>2</v>
      </c>
      <c r="D174" s="23">
        <v>18.989999999999998</v>
      </c>
      <c r="E174" s="3">
        <v>37.979999999999997</v>
      </c>
      <c r="F174" s="2" t="s">
        <v>19914</v>
      </c>
      <c r="G174" s="22" t="s">
        <v>19713</v>
      </c>
      <c r="H174" s="24" t="s">
        <v>19538</v>
      </c>
      <c r="I174" s="22" t="s">
        <v>19309</v>
      </c>
      <c r="J174" s="22" t="s">
        <v>19573</v>
      </c>
      <c r="K174" s="22" t="s">
        <v>19574</v>
      </c>
      <c r="L174" s="22"/>
      <c r="M174" s="22"/>
      <c r="N174" s="25" t="str">
        <f>HYPERLINK("http://slimages.macys.com/is/image/MCY/1322715 ")</f>
        <v xml:space="preserve">http://slimages.macys.com/is/image/MCY/1322715 </v>
      </c>
    </row>
    <row r="175" spans="1:14" x14ac:dyDescent="0.25">
      <c r="A175" s="21" t="s">
        <v>6669</v>
      </c>
      <c r="B175" s="22" t="s">
        <v>6670</v>
      </c>
      <c r="C175" s="2">
        <v>1</v>
      </c>
      <c r="D175" s="23">
        <v>17.100000000000001</v>
      </c>
      <c r="E175" s="3">
        <v>17.100000000000001</v>
      </c>
      <c r="F175" s="2" t="s">
        <v>11547</v>
      </c>
      <c r="G175" s="22"/>
      <c r="H175" s="24" t="s">
        <v>19330</v>
      </c>
      <c r="I175" s="22" t="s">
        <v>19309</v>
      </c>
      <c r="J175" s="22" t="s">
        <v>19708</v>
      </c>
      <c r="K175" s="22" t="s">
        <v>19709</v>
      </c>
      <c r="L175" s="22"/>
      <c r="M175" s="22"/>
      <c r="N175" s="25" t="str">
        <f>HYPERLINK("http://slimages.macys.com/is/image/MCY/17248523 ")</f>
        <v xml:space="preserve">http://slimages.macys.com/is/image/MCY/17248523 </v>
      </c>
    </row>
    <row r="176" spans="1:14" x14ac:dyDescent="0.25">
      <c r="A176" s="21" t="s">
        <v>6671</v>
      </c>
      <c r="B176" s="22" t="s">
        <v>6672</v>
      </c>
      <c r="C176" s="2">
        <v>2</v>
      </c>
      <c r="D176" s="23">
        <v>17.100000000000001</v>
      </c>
      <c r="E176" s="3">
        <v>34.200000000000003</v>
      </c>
      <c r="F176" s="2" t="s">
        <v>11547</v>
      </c>
      <c r="G176" s="22"/>
      <c r="H176" s="24" t="s">
        <v>20152</v>
      </c>
      <c r="I176" s="22" t="s">
        <v>19309</v>
      </c>
      <c r="J176" s="22" t="s">
        <v>19708</v>
      </c>
      <c r="K176" s="22" t="s">
        <v>19709</v>
      </c>
      <c r="L176" s="22"/>
      <c r="M176" s="22"/>
      <c r="N176" s="25" t="str">
        <f>HYPERLINK("http://slimages.macys.com/is/image/MCY/17248523 ")</f>
        <v xml:space="preserve">http://slimages.macys.com/is/image/MCY/17248523 </v>
      </c>
    </row>
    <row r="177" spans="1:14" ht="24.75" x14ac:dyDescent="0.25">
      <c r="A177" s="21" t="s">
        <v>6673</v>
      </c>
      <c r="B177" s="22" t="s">
        <v>6674</v>
      </c>
      <c r="C177" s="2">
        <v>1</v>
      </c>
      <c r="D177" s="23">
        <v>21.99</v>
      </c>
      <c r="E177" s="3">
        <v>21.99</v>
      </c>
      <c r="F177" s="2" t="s">
        <v>6675</v>
      </c>
      <c r="G177" s="22" t="s">
        <v>19415</v>
      </c>
      <c r="H177" s="24" t="s">
        <v>19797</v>
      </c>
      <c r="I177" s="22" t="s">
        <v>19309</v>
      </c>
      <c r="J177" s="22" t="s">
        <v>19353</v>
      </c>
      <c r="K177" s="22" t="s">
        <v>19524</v>
      </c>
      <c r="L177" s="22"/>
      <c r="M177" s="22"/>
      <c r="N177" s="25" t="str">
        <f>HYPERLINK("http://slimages.macys.com/is/image/MCY/21233459 ")</f>
        <v xml:space="preserve">http://slimages.macys.com/is/image/MCY/21233459 </v>
      </c>
    </row>
    <row r="178" spans="1:14" x14ac:dyDescent="0.25">
      <c r="A178" s="21" t="s">
        <v>17989</v>
      </c>
      <c r="B178" s="22" t="s">
        <v>17990</v>
      </c>
      <c r="C178" s="2">
        <v>1</v>
      </c>
      <c r="D178" s="23">
        <v>17.100000000000001</v>
      </c>
      <c r="E178" s="3">
        <v>17.100000000000001</v>
      </c>
      <c r="F178" s="2" t="s">
        <v>17991</v>
      </c>
      <c r="G178" s="22" t="s">
        <v>19342</v>
      </c>
      <c r="H178" s="24" t="s">
        <v>20152</v>
      </c>
      <c r="I178" s="22" t="s">
        <v>19309</v>
      </c>
      <c r="J178" s="22" t="s">
        <v>19708</v>
      </c>
      <c r="K178" s="22" t="s">
        <v>19709</v>
      </c>
      <c r="L178" s="22"/>
      <c r="M178" s="22"/>
      <c r="N178" s="25" t="str">
        <f>HYPERLINK("http://slimages.macys.com/is/image/MCY/17248800 ")</f>
        <v xml:space="preserve">http://slimages.macys.com/is/image/MCY/17248800 </v>
      </c>
    </row>
    <row r="179" spans="1:14" ht="24.75" x14ac:dyDescent="0.25">
      <c r="A179" s="21" t="s">
        <v>6676</v>
      </c>
      <c r="B179" s="22" t="s">
        <v>6677</v>
      </c>
      <c r="C179" s="2">
        <v>1</v>
      </c>
      <c r="D179" s="23">
        <v>17.989999999999998</v>
      </c>
      <c r="E179" s="3">
        <v>17.989999999999998</v>
      </c>
      <c r="F179" s="2" t="s">
        <v>6678</v>
      </c>
      <c r="G179" s="22"/>
      <c r="H179" s="24" t="s">
        <v>19352</v>
      </c>
      <c r="I179" s="22" t="s">
        <v>19309</v>
      </c>
      <c r="J179" s="22" t="s">
        <v>19565</v>
      </c>
      <c r="K179" s="22" t="s">
        <v>6679</v>
      </c>
      <c r="L179" s="22" t="s">
        <v>19319</v>
      </c>
      <c r="M179" s="22" t="s">
        <v>19764</v>
      </c>
      <c r="N179" s="25" t="str">
        <f>HYPERLINK("http://slimages.macys.com/is/image/MCY/14538837 ")</f>
        <v xml:space="preserve">http://slimages.macys.com/is/image/MCY/14538837 </v>
      </c>
    </row>
    <row r="180" spans="1:14" ht="24.75" x14ac:dyDescent="0.25">
      <c r="A180" s="21" t="s">
        <v>6680</v>
      </c>
      <c r="B180" s="22" t="s">
        <v>6681</v>
      </c>
      <c r="C180" s="2">
        <v>1</v>
      </c>
      <c r="D180" s="23">
        <v>24.99</v>
      </c>
      <c r="E180" s="3">
        <v>24.99</v>
      </c>
      <c r="F180" s="2" t="s">
        <v>19958</v>
      </c>
      <c r="G180" s="22" t="s">
        <v>19674</v>
      </c>
      <c r="H180" s="24" t="s">
        <v>19352</v>
      </c>
      <c r="I180" s="22" t="s">
        <v>19309</v>
      </c>
      <c r="J180" s="22" t="s">
        <v>19849</v>
      </c>
      <c r="K180" s="22" t="s">
        <v>19850</v>
      </c>
      <c r="L180" s="22"/>
      <c r="M180" s="22"/>
      <c r="N180" s="25" t="str">
        <f>HYPERLINK("http://slimages.macys.com/is/image/MCY/1521464 ")</f>
        <v xml:space="preserve">http://slimages.macys.com/is/image/MCY/1521464 </v>
      </c>
    </row>
    <row r="181" spans="1:14" ht="24.75" x14ac:dyDescent="0.25">
      <c r="A181" s="21" t="s">
        <v>15350</v>
      </c>
      <c r="B181" s="22" t="s">
        <v>15351</v>
      </c>
      <c r="C181" s="2">
        <v>1</v>
      </c>
      <c r="D181" s="23">
        <v>18.61</v>
      </c>
      <c r="E181" s="3">
        <v>18.61</v>
      </c>
      <c r="F181" s="2" t="s">
        <v>15352</v>
      </c>
      <c r="G181" s="22"/>
      <c r="H181" s="24" t="s">
        <v>19334</v>
      </c>
      <c r="I181" s="22" t="s">
        <v>19309</v>
      </c>
      <c r="J181" s="22" t="s">
        <v>19602</v>
      </c>
      <c r="K181" s="22" t="s">
        <v>20041</v>
      </c>
      <c r="L181" s="22"/>
      <c r="M181" s="22"/>
      <c r="N181" s="25" t="str">
        <f>HYPERLINK("http://slimages.macys.com/is/image/MCY/22405615 ")</f>
        <v xml:space="preserve">http://slimages.macys.com/is/image/MCY/22405615 </v>
      </c>
    </row>
    <row r="182" spans="1:14" ht="24.75" x14ac:dyDescent="0.25">
      <c r="A182" s="21" t="s">
        <v>11550</v>
      </c>
      <c r="B182" s="22" t="s">
        <v>11551</v>
      </c>
      <c r="C182" s="2">
        <v>1</v>
      </c>
      <c r="D182" s="23">
        <v>18.61</v>
      </c>
      <c r="E182" s="3">
        <v>18.61</v>
      </c>
      <c r="F182" s="2" t="s">
        <v>15352</v>
      </c>
      <c r="G182" s="22"/>
      <c r="H182" s="24" t="s">
        <v>19345</v>
      </c>
      <c r="I182" s="22" t="s">
        <v>19309</v>
      </c>
      <c r="J182" s="22" t="s">
        <v>19602</v>
      </c>
      <c r="K182" s="22" t="s">
        <v>20041</v>
      </c>
      <c r="L182" s="22"/>
      <c r="M182" s="22"/>
      <c r="N182" s="25" t="str">
        <f>HYPERLINK("http://slimages.macys.com/is/image/MCY/22405615 ")</f>
        <v xml:space="preserve">http://slimages.macys.com/is/image/MCY/22405615 </v>
      </c>
    </row>
    <row r="183" spans="1:14" x14ac:dyDescent="0.25">
      <c r="A183" s="21" t="s">
        <v>11982</v>
      </c>
      <c r="B183" s="22" t="s">
        <v>11983</v>
      </c>
      <c r="C183" s="2">
        <v>1</v>
      </c>
      <c r="D183" s="23">
        <v>21.99</v>
      </c>
      <c r="E183" s="3">
        <v>21.99</v>
      </c>
      <c r="F183" s="2" t="s">
        <v>18018</v>
      </c>
      <c r="G183" s="22" t="s">
        <v>19342</v>
      </c>
      <c r="H183" s="24" t="s">
        <v>19395</v>
      </c>
      <c r="I183" s="22" t="s">
        <v>19309</v>
      </c>
      <c r="J183" s="22" t="s">
        <v>19696</v>
      </c>
      <c r="K183" s="22" t="s">
        <v>19965</v>
      </c>
      <c r="L183" s="22"/>
      <c r="M183" s="22"/>
      <c r="N183" s="25" t="str">
        <f>HYPERLINK("http://slimages.macys.com/is/image/MCY/21530623 ")</f>
        <v xml:space="preserve">http://slimages.macys.com/is/image/MCY/21530623 </v>
      </c>
    </row>
    <row r="184" spans="1:14" ht="24.75" x14ac:dyDescent="0.25">
      <c r="A184" s="21" t="s">
        <v>6682</v>
      </c>
      <c r="B184" s="22" t="s">
        <v>6683</v>
      </c>
      <c r="C184" s="2">
        <v>1</v>
      </c>
      <c r="D184" s="23">
        <v>19.989999999999998</v>
      </c>
      <c r="E184" s="3">
        <v>19.989999999999998</v>
      </c>
      <c r="F184" s="2" t="s">
        <v>6684</v>
      </c>
      <c r="G184" s="22" t="s">
        <v>18073</v>
      </c>
      <c r="H184" s="24" t="s">
        <v>19364</v>
      </c>
      <c r="I184" s="22" t="s">
        <v>19309</v>
      </c>
      <c r="J184" s="22" t="s">
        <v>19508</v>
      </c>
      <c r="K184" s="22" t="s">
        <v>20024</v>
      </c>
      <c r="L184" s="22"/>
      <c r="M184" s="22"/>
      <c r="N184" s="25" t="str">
        <f>HYPERLINK("http://slimages.macys.com/is/image/MCY/21266622 ")</f>
        <v xml:space="preserve">http://slimages.macys.com/is/image/MCY/21266622 </v>
      </c>
    </row>
    <row r="185" spans="1:14" x14ac:dyDescent="0.25">
      <c r="A185" s="21" t="s">
        <v>10480</v>
      </c>
      <c r="B185" s="22" t="s">
        <v>10481</v>
      </c>
      <c r="C185" s="2">
        <v>1</v>
      </c>
      <c r="D185" s="23">
        <v>24.5</v>
      </c>
      <c r="E185" s="3">
        <v>24.5</v>
      </c>
      <c r="F185" s="2" t="s">
        <v>19972</v>
      </c>
      <c r="G185" s="22" t="s">
        <v>19477</v>
      </c>
      <c r="H185" s="24" t="s">
        <v>19339</v>
      </c>
      <c r="I185" s="22" t="s">
        <v>19309</v>
      </c>
      <c r="J185" s="22" t="s">
        <v>19849</v>
      </c>
      <c r="K185" s="22" t="s">
        <v>19850</v>
      </c>
      <c r="L185" s="22"/>
      <c r="M185" s="22"/>
      <c r="N185" s="25" t="str">
        <f>HYPERLINK("http://slimages.macys.com/is/image/MCY/20549465 ")</f>
        <v xml:space="preserve">http://slimages.macys.com/is/image/MCY/20549465 </v>
      </c>
    </row>
    <row r="186" spans="1:14" ht="24.75" x14ac:dyDescent="0.25">
      <c r="A186" s="21" t="s">
        <v>6685</v>
      </c>
      <c r="B186" s="22" t="s">
        <v>6686</v>
      </c>
      <c r="C186" s="2">
        <v>1</v>
      </c>
      <c r="D186" s="23">
        <v>17</v>
      </c>
      <c r="E186" s="3">
        <v>17</v>
      </c>
      <c r="F186" s="2" t="s">
        <v>6687</v>
      </c>
      <c r="G186" s="22" t="s">
        <v>19315</v>
      </c>
      <c r="H186" s="24" t="s">
        <v>19339</v>
      </c>
      <c r="I186" s="22" t="s">
        <v>19309</v>
      </c>
      <c r="J186" s="22" t="s">
        <v>20076</v>
      </c>
      <c r="K186" s="22" t="s">
        <v>17980</v>
      </c>
      <c r="L186" s="22" t="s">
        <v>19319</v>
      </c>
      <c r="M186" s="22" t="s">
        <v>11842</v>
      </c>
      <c r="N186" s="25" t="str">
        <f>HYPERLINK("http://slimages.macys.com/is/image/MCY/14555135 ")</f>
        <v xml:space="preserve">http://slimages.macys.com/is/image/MCY/14555135 </v>
      </c>
    </row>
    <row r="187" spans="1:14" ht="24.75" x14ac:dyDescent="0.25">
      <c r="A187" s="21" t="s">
        <v>6688</v>
      </c>
      <c r="B187" s="22" t="s">
        <v>6689</v>
      </c>
      <c r="C187" s="2">
        <v>1</v>
      </c>
      <c r="D187" s="23">
        <v>14.99</v>
      </c>
      <c r="E187" s="3">
        <v>14.99</v>
      </c>
      <c r="F187" s="2" t="s">
        <v>11998</v>
      </c>
      <c r="G187" s="22" t="s">
        <v>19323</v>
      </c>
      <c r="H187" s="24" t="s">
        <v>19395</v>
      </c>
      <c r="I187" s="22" t="s">
        <v>19309</v>
      </c>
      <c r="J187" s="22" t="s">
        <v>19447</v>
      </c>
      <c r="K187" s="22" t="s">
        <v>20146</v>
      </c>
      <c r="L187" s="22"/>
      <c r="M187" s="22"/>
      <c r="N187" s="25" t="str">
        <f>HYPERLINK("http://slimages.macys.com/is/image/MCY/17609414 ")</f>
        <v xml:space="preserve">http://slimages.macys.com/is/image/MCY/17609414 </v>
      </c>
    </row>
    <row r="188" spans="1:14" ht="24.75" x14ac:dyDescent="0.25">
      <c r="A188" s="21" t="s">
        <v>10482</v>
      </c>
      <c r="B188" s="22" t="s">
        <v>10483</v>
      </c>
      <c r="C188" s="2">
        <v>1</v>
      </c>
      <c r="D188" s="23">
        <v>19.989999999999998</v>
      </c>
      <c r="E188" s="3">
        <v>19.989999999999998</v>
      </c>
      <c r="F188" s="2" t="s">
        <v>10484</v>
      </c>
      <c r="G188" s="22" t="s">
        <v>19431</v>
      </c>
      <c r="H188" s="24" t="s">
        <v>19538</v>
      </c>
      <c r="I188" s="22" t="s">
        <v>19309</v>
      </c>
      <c r="J188" s="22" t="s">
        <v>19573</v>
      </c>
      <c r="K188" s="22" t="s">
        <v>19574</v>
      </c>
      <c r="L188" s="22"/>
      <c r="M188" s="22"/>
      <c r="N188" s="25" t="str">
        <f>HYPERLINK("http://slimages.macys.com/is/image/MCY/20757745 ")</f>
        <v xml:space="preserve">http://slimages.macys.com/is/image/MCY/20757745 </v>
      </c>
    </row>
    <row r="189" spans="1:14" ht="24.75" x14ac:dyDescent="0.25">
      <c r="A189" s="21" t="s">
        <v>6690</v>
      </c>
      <c r="B189" s="22" t="s">
        <v>6691</v>
      </c>
      <c r="C189" s="2">
        <v>1</v>
      </c>
      <c r="D189" s="23">
        <v>18.989999999999998</v>
      </c>
      <c r="E189" s="3">
        <v>18.989999999999998</v>
      </c>
      <c r="F189" s="2" t="s">
        <v>19985</v>
      </c>
      <c r="G189" s="22" t="s">
        <v>19618</v>
      </c>
      <c r="H189" s="24" t="s">
        <v>19330</v>
      </c>
      <c r="I189" s="22" t="s">
        <v>19309</v>
      </c>
      <c r="J189" s="22" t="s">
        <v>19573</v>
      </c>
      <c r="K189" s="22" t="s">
        <v>19574</v>
      </c>
      <c r="L189" s="22"/>
      <c r="M189" s="22"/>
      <c r="N189" s="25" t="str">
        <f>HYPERLINK("http://slimages.macys.com/is/image/MCY/20142459 ")</f>
        <v xml:space="preserve">http://slimages.macys.com/is/image/MCY/20142459 </v>
      </c>
    </row>
    <row r="190" spans="1:14" ht="24.75" x14ac:dyDescent="0.25">
      <c r="A190" s="21" t="s">
        <v>6692</v>
      </c>
      <c r="B190" s="22" t="s">
        <v>6693</v>
      </c>
      <c r="C190" s="2">
        <v>1</v>
      </c>
      <c r="D190" s="23">
        <v>17.989999999999998</v>
      </c>
      <c r="E190" s="3">
        <v>17.989999999999998</v>
      </c>
      <c r="F190" s="2" t="s">
        <v>18045</v>
      </c>
      <c r="G190" s="22"/>
      <c r="H190" s="24" t="s">
        <v>19361</v>
      </c>
      <c r="I190" s="22" t="s">
        <v>19309</v>
      </c>
      <c r="J190" s="22" t="s">
        <v>19454</v>
      </c>
      <c r="K190" s="22" t="s">
        <v>19524</v>
      </c>
      <c r="L190" s="22"/>
      <c r="M190" s="22"/>
      <c r="N190" s="25" t="str">
        <f>HYPERLINK("http://slimages.macys.com/is/image/MCY/19568259 ")</f>
        <v xml:space="preserve">http://slimages.macys.com/is/image/MCY/19568259 </v>
      </c>
    </row>
    <row r="191" spans="1:14" x14ac:dyDescent="0.25">
      <c r="A191" s="21" t="s">
        <v>20005</v>
      </c>
      <c r="B191" s="22" t="s">
        <v>20006</v>
      </c>
      <c r="C191" s="2">
        <v>1</v>
      </c>
      <c r="D191" s="23">
        <v>16.989999999999998</v>
      </c>
      <c r="E191" s="3">
        <v>16.989999999999998</v>
      </c>
      <c r="F191" s="2" t="s">
        <v>20002</v>
      </c>
      <c r="G191" s="22" t="s">
        <v>19814</v>
      </c>
      <c r="H191" s="24" t="s">
        <v>19797</v>
      </c>
      <c r="I191" s="22" t="s">
        <v>19309</v>
      </c>
      <c r="J191" s="22" t="s">
        <v>19849</v>
      </c>
      <c r="K191" s="22" t="s">
        <v>19850</v>
      </c>
      <c r="L191" s="22"/>
      <c r="M191" s="22"/>
      <c r="N191" s="25" t="str">
        <f>HYPERLINK("http://slimages.macys.com/is/image/MCY/20549392 ")</f>
        <v xml:space="preserve">http://slimages.macys.com/is/image/MCY/20549392 </v>
      </c>
    </row>
    <row r="192" spans="1:14" x14ac:dyDescent="0.25">
      <c r="A192" s="21" t="s">
        <v>20011</v>
      </c>
      <c r="B192" s="22" t="s">
        <v>20012</v>
      </c>
      <c r="C192" s="2">
        <v>1</v>
      </c>
      <c r="D192" s="23">
        <v>16.989999999999998</v>
      </c>
      <c r="E192" s="3">
        <v>16.989999999999998</v>
      </c>
      <c r="F192" s="2" t="s">
        <v>20002</v>
      </c>
      <c r="G192" s="22" t="s">
        <v>19477</v>
      </c>
      <c r="H192" s="24" t="s">
        <v>19364</v>
      </c>
      <c r="I192" s="22" t="s">
        <v>19309</v>
      </c>
      <c r="J192" s="22" t="s">
        <v>19849</v>
      </c>
      <c r="K192" s="22" t="s">
        <v>19850</v>
      </c>
      <c r="L192" s="22"/>
      <c r="M192" s="22"/>
      <c r="N192" s="25" t="str">
        <f>HYPERLINK("http://slimages.macys.com/is/image/MCY/20549392 ")</f>
        <v xml:space="preserve">http://slimages.macys.com/is/image/MCY/20549392 </v>
      </c>
    </row>
    <row r="193" spans="1:14" x14ac:dyDescent="0.25">
      <c r="A193" s="21" t="s">
        <v>15374</v>
      </c>
      <c r="B193" s="22" t="s">
        <v>15375</v>
      </c>
      <c r="C193" s="2">
        <v>1</v>
      </c>
      <c r="D193" s="23">
        <v>16.989999999999998</v>
      </c>
      <c r="E193" s="3">
        <v>16.989999999999998</v>
      </c>
      <c r="F193" s="2" t="s">
        <v>20002</v>
      </c>
      <c r="G193" s="22" t="s">
        <v>19674</v>
      </c>
      <c r="H193" s="24" t="s">
        <v>19352</v>
      </c>
      <c r="I193" s="22" t="s">
        <v>19309</v>
      </c>
      <c r="J193" s="22" t="s">
        <v>19849</v>
      </c>
      <c r="K193" s="22" t="s">
        <v>19850</v>
      </c>
      <c r="L193" s="22"/>
      <c r="M193" s="22"/>
      <c r="N193" s="25" t="str">
        <f>HYPERLINK("http://slimages.macys.com/is/image/MCY/20549392 ")</f>
        <v xml:space="preserve">http://slimages.macys.com/is/image/MCY/20549392 </v>
      </c>
    </row>
    <row r="194" spans="1:14" x14ac:dyDescent="0.25">
      <c r="A194" s="21" t="s">
        <v>15386</v>
      </c>
      <c r="B194" s="22" t="s">
        <v>15387</v>
      </c>
      <c r="C194" s="2">
        <v>1</v>
      </c>
      <c r="D194" s="23">
        <v>16.989999999999998</v>
      </c>
      <c r="E194" s="3">
        <v>16.989999999999998</v>
      </c>
      <c r="F194" s="2" t="s">
        <v>20002</v>
      </c>
      <c r="G194" s="22" t="s">
        <v>19315</v>
      </c>
      <c r="H194" s="24" t="s">
        <v>19339</v>
      </c>
      <c r="I194" s="22" t="s">
        <v>19309</v>
      </c>
      <c r="J194" s="22" t="s">
        <v>19849</v>
      </c>
      <c r="K194" s="22" t="s">
        <v>19850</v>
      </c>
      <c r="L194" s="22"/>
      <c r="M194" s="22"/>
      <c r="N194" s="25" t="str">
        <f>HYPERLINK("http://slimages.macys.com/is/image/MCY/20549392 ")</f>
        <v xml:space="preserve">http://slimages.macys.com/is/image/MCY/20549392 </v>
      </c>
    </row>
    <row r="195" spans="1:14" x14ac:dyDescent="0.25">
      <c r="A195" s="21" t="s">
        <v>20003</v>
      </c>
      <c r="B195" s="22" t="s">
        <v>20004</v>
      </c>
      <c r="C195" s="2">
        <v>2</v>
      </c>
      <c r="D195" s="23">
        <v>16.989999999999998</v>
      </c>
      <c r="E195" s="3">
        <v>33.979999999999997</v>
      </c>
      <c r="F195" s="2" t="s">
        <v>20002</v>
      </c>
      <c r="G195" s="22" t="s">
        <v>19674</v>
      </c>
      <c r="H195" s="24" t="s">
        <v>19364</v>
      </c>
      <c r="I195" s="22" t="s">
        <v>19309</v>
      </c>
      <c r="J195" s="22" t="s">
        <v>19849</v>
      </c>
      <c r="K195" s="22" t="s">
        <v>19850</v>
      </c>
      <c r="L195" s="22"/>
      <c r="M195" s="22"/>
      <c r="N195" s="25" t="str">
        <f>HYPERLINK("http://slimages.macys.com/is/image/MCY/20549392 ")</f>
        <v xml:space="preserve">http://slimages.macys.com/is/image/MCY/20549392 </v>
      </c>
    </row>
    <row r="196" spans="1:14" x14ac:dyDescent="0.25">
      <c r="A196" s="21" t="s">
        <v>6694</v>
      </c>
      <c r="B196" s="22" t="s">
        <v>6695</v>
      </c>
      <c r="C196" s="2">
        <v>1</v>
      </c>
      <c r="D196" s="23">
        <v>24.99</v>
      </c>
      <c r="E196" s="3">
        <v>24.99</v>
      </c>
      <c r="F196" s="2" t="s">
        <v>6696</v>
      </c>
      <c r="G196" s="22" t="s">
        <v>19467</v>
      </c>
      <c r="H196" s="24" t="s">
        <v>19352</v>
      </c>
      <c r="I196" s="22" t="s">
        <v>19309</v>
      </c>
      <c r="J196" s="22" t="s">
        <v>19849</v>
      </c>
      <c r="K196" s="22" t="s">
        <v>19850</v>
      </c>
      <c r="L196" s="22"/>
      <c r="M196" s="22"/>
      <c r="N196" s="25" t="str">
        <f>HYPERLINK("http://slimages.macys.com/is/image/MCY/20786259 ")</f>
        <v xml:space="preserve">http://slimages.macys.com/is/image/MCY/20786259 </v>
      </c>
    </row>
    <row r="197" spans="1:14" x14ac:dyDescent="0.25">
      <c r="A197" s="21" t="s">
        <v>6697</v>
      </c>
      <c r="B197" s="22" t="s">
        <v>6698</v>
      </c>
      <c r="C197" s="2">
        <v>1</v>
      </c>
      <c r="D197" s="23">
        <v>24.99</v>
      </c>
      <c r="E197" s="3">
        <v>24.99</v>
      </c>
      <c r="F197" s="2" t="s">
        <v>6696</v>
      </c>
      <c r="G197" s="22" t="s">
        <v>19467</v>
      </c>
      <c r="H197" s="24" t="s">
        <v>19339</v>
      </c>
      <c r="I197" s="22" t="s">
        <v>19309</v>
      </c>
      <c r="J197" s="22" t="s">
        <v>19849</v>
      </c>
      <c r="K197" s="22" t="s">
        <v>19850</v>
      </c>
      <c r="L197" s="22"/>
      <c r="M197" s="22"/>
      <c r="N197" s="25" t="str">
        <f>HYPERLINK("http://slimages.macys.com/is/image/MCY/20786259 ")</f>
        <v xml:space="preserve">http://slimages.macys.com/is/image/MCY/20786259 </v>
      </c>
    </row>
    <row r="198" spans="1:14" ht="24.75" x14ac:dyDescent="0.25">
      <c r="A198" s="21" t="s">
        <v>6699</v>
      </c>
      <c r="B198" s="22" t="s">
        <v>6700</v>
      </c>
      <c r="C198" s="2">
        <v>1</v>
      </c>
      <c r="D198" s="23">
        <v>16.989999999999998</v>
      </c>
      <c r="E198" s="3">
        <v>16.989999999999998</v>
      </c>
      <c r="F198" s="2" t="s">
        <v>6701</v>
      </c>
      <c r="G198" s="22" t="s">
        <v>19351</v>
      </c>
      <c r="H198" s="24" t="s">
        <v>19345</v>
      </c>
      <c r="I198" s="22" t="s">
        <v>19309</v>
      </c>
      <c r="J198" s="22" t="s">
        <v>19447</v>
      </c>
      <c r="K198" s="22" t="s">
        <v>13616</v>
      </c>
      <c r="L198" s="22"/>
      <c r="M198" s="22"/>
      <c r="N198" s="25" t="str">
        <f>HYPERLINK("http://slimages.macys.com/is/image/MCY/19579440 ")</f>
        <v xml:space="preserve">http://slimages.macys.com/is/image/MCY/19579440 </v>
      </c>
    </row>
    <row r="199" spans="1:14" ht="24.75" x14ac:dyDescent="0.25">
      <c r="A199" s="21" t="s">
        <v>6702</v>
      </c>
      <c r="B199" s="22" t="s">
        <v>6703</v>
      </c>
      <c r="C199" s="2">
        <v>1</v>
      </c>
      <c r="D199" s="23">
        <v>19.989999999999998</v>
      </c>
      <c r="E199" s="3">
        <v>19.989999999999998</v>
      </c>
      <c r="F199" s="2" t="s">
        <v>6704</v>
      </c>
      <c r="G199" s="22" t="s">
        <v>19342</v>
      </c>
      <c r="H199" s="24" t="s">
        <v>19324</v>
      </c>
      <c r="I199" s="22" t="s">
        <v>19309</v>
      </c>
      <c r="J199" s="22" t="s">
        <v>19385</v>
      </c>
      <c r="K199" s="22" t="s">
        <v>18064</v>
      </c>
      <c r="L199" s="22"/>
      <c r="M199" s="22"/>
      <c r="N199" s="25" t="str">
        <f>HYPERLINK("http://slimages.macys.com/is/image/MCY/20122993 ")</f>
        <v xml:space="preserve">http://slimages.macys.com/is/image/MCY/20122993 </v>
      </c>
    </row>
    <row r="200" spans="1:14" ht="24.75" x14ac:dyDescent="0.25">
      <c r="A200" s="21" t="s">
        <v>6705</v>
      </c>
      <c r="B200" s="22" t="s">
        <v>6706</v>
      </c>
      <c r="C200" s="2">
        <v>1</v>
      </c>
      <c r="D200" s="23">
        <v>19.989999999999998</v>
      </c>
      <c r="E200" s="3">
        <v>19.989999999999998</v>
      </c>
      <c r="F200" s="2" t="s">
        <v>6704</v>
      </c>
      <c r="G200" s="22" t="s">
        <v>19342</v>
      </c>
      <c r="H200" s="24" t="s">
        <v>19416</v>
      </c>
      <c r="I200" s="22" t="s">
        <v>19309</v>
      </c>
      <c r="J200" s="22" t="s">
        <v>19385</v>
      </c>
      <c r="K200" s="22" t="s">
        <v>18064</v>
      </c>
      <c r="L200" s="22"/>
      <c r="M200" s="22"/>
      <c r="N200" s="25" t="str">
        <f>HYPERLINK("http://slimages.macys.com/is/image/MCY/20122993 ")</f>
        <v xml:space="preserve">http://slimages.macys.com/is/image/MCY/20122993 </v>
      </c>
    </row>
    <row r="201" spans="1:14" x14ac:dyDescent="0.25">
      <c r="A201" s="21" t="s">
        <v>15951</v>
      </c>
      <c r="B201" s="22" t="s">
        <v>15952</v>
      </c>
      <c r="C201" s="2">
        <v>2</v>
      </c>
      <c r="D201" s="23">
        <v>24</v>
      </c>
      <c r="E201" s="3">
        <v>48</v>
      </c>
      <c r="F201" s="2" t="s">
        <v>15953</v>
      </c>
      <c r="G201" s="22" t="s">
        <v>19674</v>
      </c>
      <c r="H201" s="24"/>
      <c r="I201" s="22" t="s">
        <v>19309</v>
      </c>
      <c r="J201" s="22" t="s">
        <v>19417</v>
      </c>
      <c r="K201" s="22" t="s">
        <v>20110</v>
      </c>
      <c r="L201" s="22"/>
      <c r="M201" s="22"/>
      <c r="N201" s="25" t="str">
        <f>HYPERLINK("http://slimages.macys.com/is/image/MCY/22296723 ")</f>
        <v xml:space="preserve">http://slimages.macys.com/is/image/MCY/22296723 </v>
      </c>
    </row>
    <row r="202" spans="1:14" x14ac:dyDescent="0.25">
      <c r="A202" s="21" t="s">
        <v>6707</v>
      </c>
      <c r="B202" s="22" t="s">
        <v>6708</v>
      </c>
      <c r="C202" s="2">
        <v>2</v>
      </c>
      <c r="D202" s="23">
        <v>24</v>
      </c>
      <c r="E202" s="3">
        <v>48</v>
      </c>
      <c r="F202" s="2" t="s">
        <v>11569</v>
      </c>
      <c r="G202" s="22" t="s">
        <v>19674</v>
      </c>
      <c r="H202" s="24" t="s">
        <v>19538</v>
      </c>
      <c r="I202" s="22" t="s">
        <v>19309</v>
      </c>
      <c r="J202" s="22" t="s">
        <v>19417</v>
      </c>
      <c r="K202" s="22" t="s">
        <v>20110</v>
      </c>
      <c r="L202" s="22"/>
      <c r="M202" s="22"/>
      <c r="N202" s="25" t="str">
        <f>HYPERLINK("http://slimages.macys.com/is/image/MCY/22296729 ")</f>
        <v xml:space="preserve">http://slimages.macys.com/is/image/MCY/22296729 </v>
      </c>
    </row>
    <row r="203" spans="1:14" x14ac:dyDescent="0.25">
      <c r="A203" s="21" t="s">
        <v>6709</v>
      </c>
      <c r="B203" s="22" t="s">
        <v>6710</v>
      </c>
      <c r="C203" s="2">
        <v>1</v>
      </c>
      <c r="D203" s="23">
        <v>21.99</v>
      </c>
      <c r="E203" s="3">
        <v>21.99</v>
      </c>
      <c r="F203" s="2" t="s">
        <v>20034</v>
      </c>
      <c r="G203" s="22" t="s">
        <v>19674</v>
      </c>
      <c r="H203" s="24" t="s">
        <v>19352</v>
      </c>
      <c r="I203" s="22" t="s">
        <v>19309</v>
      </c>
      <c r="J203" s="22" t="s">
        <v>19849</v>
      </c>
      <c r="K203" s="22" t="s">
        <v>19850</v>
      </c>
      <c r="L203" s="22"/>
      <c r="M203" s="22"/>
      <c r="N203" s="25" t="str">
        <f>HYPERLINK("http://slimages.macys.com/is/image/MCY/20530693 ")</f>
        <v xml:space="preserve">http://slimages.macys.com/is/image/MCY/20530693 </v>
      </c>
    </row>
    <row r="204" spans="1:14" x14ac:dyDescent="0.25">
      <c r="A204" s="21" t="s">
        <v>15962</v>
      </c>
      <c r="B204" s="22" t="s">
        <v>15963</v>
      </c>
      <c r="C204" s="2">
        <v>1</v>
      </c>
      <c r="D204" s="23">
        <v>16.989999999999998</v>
      </c>
      <c r="E204" s="3">
        <v>16.989999999999998</v>
      </c>
      <c r="F204" s="2" t="s">
        <v>18085</v>
      </c>
      <c r="G204" s="22" t="s">
        <v>19315</v>
      </c>
      <c r="H204" s="24" t="s">
        <v>19364</v>
      </c>
      <c r="I204" s="22" t="s">
        <v>19309</v>
      </c>
      <c r="J204" s="22" t="s">
        <v>19849</v>
      </c>
      <c r="K204" s="22" t="s">
        <v>19850</v>
      </c>
      <c r="L204" s="22"/>
      <c r="M204" s="22"/>
      <c r="N204" s="25" t="str">
        <f>HYPERLINK("http://slimages.macys.com/is/image/MCY/21277192 ")</f>
        <v xml:space="preserve">http://slimages.macys.com/is/image/MCY/21277192 </v>
      </c>
    </row>
    <row r="205" spans="1:14" x14ac:dyDescent="0.25">
      <c r="A205" s="21" t="s">
        <v>18091</v>
      </c>
      <c r="B205" s="22" t="s">
        <v>18092</v>
      </c>
      <c r="C205" s="2">
        <v>1</v>
      </c>
      <c r="D205" s="23">
        <v>18.989999999999998</v>
      </c>
      <c r="E205" s="3">
        <v>18.989999999999998</v>
      </c>
      <c r="F205" s="2" t="s">
        <v>18093</v>
      </c>
      <c r="G205" s="22" t="s">
        <v>19467</v>
      </c>
      <c r="H205" s="24"/>
      <c r="I205" s="22" t="s">
        <v>19309</v>
      </c>
      <c r="J205" s="22" t="s">
        <v>19696</v>
      </c>
      <c r="K205" s="22" t="s">
        <v>18094</v>
      </c>
      <c r="L205" s="22"/>
      <c r="M205" s="22"/>
      <c r="N205" s="25" t="str">
        <f>HYPERLINK("http://slimages.macys.com/is/image/MCY/21408521 ")</f>
        <v xml:space="preserve">http://slimages.macys.com/is/image/MCY/21408521 </v>
      </c>
    </row>
    <row r="206" spans="1:14" x14ac:dyDescent="0.25">
      <c r="A206" s="21" t="s">
        <v>6711</v>
      </c>
      <c r="B206" s="22" t="s">
        <v>6712</v>
      </c>
      <c r="C206" s="2">
        <v>1</v>
      </c>
      <c r="D206" s="23">
        <v>18.989999999999998</v>
      </c>
      <c r="E206" s="3">
        <v>18.989999999999998</v>
      </c>
      <c r="F206" s="2" t="s">
        <v>6713</v>
      </c>
      <c r="G206" s="22" t="s">
        <v>19323</v>
      </c>
      <c r="H206" s="24"/>
      <c r="I206" s="22" t="s">
        <v>19309</v>
      </c>
      <c r="J206" s="22" t="s">
        <v>19696</v>
      </c>
      <c r="K206" s="22" t="s">
        <v>15978</v>
      </c>
      <c r="L206" s="22"/>
      <c r="M206" s="22"/>
      <c r="N206" s="25" t="str">
        <f>HYPERLINK("http://slimages.macys.com/is/image/MCY/21408731 ")</f>
        <v xml:space="preserve">http://slimages.macys.com/is/image/MCY/21408731 </v>
      </c>
    </row>
    <row r="207" spans="1:14" x14ac:dyDescent="0.25">
      <c r="A207" s="21" t="s">
        <v>6714</v>
      </c>
      <c r="B207" s="22" t="s">
        <v>6715</v>
      </c>
      <c r="C207" s="2">
        <v>1</v>
      </c>
      <c r="D207" s="23">
        <v>18.989999999999998</v>
      </c>
      <c r="E207" s="3">
        <v>18.989999999999998</v>
      </c>
      <c r="F207" s="2" t="s">
        <v>6716</v>
      </c>
      <c r="G207" s="22" t="s">
        <v>19794</v>
      </c>
      <c r="H207" s="24" t="s">
        <v>14479</v>
      </c>
      <c r="I207" s="22" t="s">
        <v>19309</v>
      </c>
      <c r="J207" s="22" t="s">
        <v>19696</v>
      </c>
      <c r="K207" s="22" t="s">
        <v>15978</v>
      </c>
      <c r="L207" s="22"/>
      <c r="M207" s="22"/>
      <c r="N207" s="25" t="str">
        <f>HYPERLINK("http://slimages.macys.com/is/image/MCY/21408563 ")</f>
        <v xml:space="preserve">http://slimages.macys.com/is/image/MCY/21408563 </v>
      </c>
    </row>
    <row r="208" spans="1:14" x14ac:dyDescent="0.25">
      <c r="A208" s="21" t="s">
        <v>6717</v>
      </c>
      <c r="B208" s="22" t="s">
        <v>6718</v>
      </c>
      <c r="C208" s="2">
        <v>1</v>
      </c>
      <c r="D208" s="23">
        <v>18.989999999999998</v>
      </c>
      <c r="E208" s="3">
        <v>18.989999999999998</v>
      </c>
      <c r="F208" s="2" t="s">
        <v>6719</v>
      </c>
      <c r="G208" s="22" t="s">
        <v>19323</v>
      </c>
      <c r="H208" s="24" t="s">
        <v>14479</v>
      </c>
      <c r="I208" s="22" t="s">
        <v>19309</v>
      </c>
      <c r="J208" s="22" t="s">
        <v>19696</v>
      </c>
      <c r="K208" s="22" t="s">
        <v>15978</v>
      </c>
      <c r="L208" s="22"/>
      <c r="M208" s="22"/>
      <c r="N208" s="25" t="str">
        <f>HYPERLINK("http://slimages.macys.com/is/image/MCY/21408543 ")</f>
        <v xml:space="preserve">http://slimages.macys.com/is/image/MCY/21408543 </v>
      </c>
    </row>
    <row r="209" spans="1:14" x14ac:dyDescent="0.25">
      <c r="A209" s="21" t="s">
        <v>6720</v>
      </c>
      <c r="B209" s="22" t="s">
        <v>6721</v>
      </c>
      <c r="C209" s="2">
        <v>1</v>
      </c>
      <c r="D209" s="23">
        <v>18.989999999999998</v>
      </c>
      <c r="E209" s="3">
        <v>18.989999999999998</v>
      </c>
      <c r="F209" s="2" t="s">
        <v>6722</v>
      </c>
      <c r="G209" s="22" t="s">
        <v>19333</v>
      </c>
      <c r="H209" s="24" t="s">
        <v>14479</v>
      </c>
      <c r="I209" s="22" t="s">
        <v>19309</v>
      </c>
      <c r="J209" s="22" t="s">
        <v>19696</v>
      </c>
      <c r="K209" s="22" t="s">
        <v>15978</v>
      </c>
      <c r="L209" s="22"/>
      <c r="M209" s="22"/>
      <c r="N209" s="25" t="str">
        <f>HYPERLINK("http://slimages.macys.com/is/image/MCY/21408542 ")</f>
        <v xml:space="preserve">http://slimages.macys.com/is/image/MCY/21408542 </v>
      </c>
    </row>
    <row r="210" spans="1:14" x14ac:dyDescent="0.25">
      <c r="A210" s="21" t="s">
        <v>6723</v>
      </c>
      <c r="B210" s="22" t="s">
        <v>6724</v>
      </c>
      <c r="C210" s="2">
        <v>1</v>
      </c>
      <c r="D210" s="23">
        <v>18.989999999999998</v>
      </c>
      <c r="E210" s="3">
        <v>18.989999999999998</v>
      </c>
      <c r="F210" s="2" t="s">
        <v>6725</v>
      </c>
      <c r="G210" s="22" t="s">
        <v>19814</v>
      </c>
      <c r="H210" s="24" t="s">
        <v>14479</v>
      </c>
      <c r="I210" s="22" t="s">
        <v>19309</v>
      </c>
      <c r="J210" s="22" t="s">
        <v>19696</v>
      </c>
      <c r="K210" s="22" t="s">
        <v>15978</v>
      </c>
      <c r="L210" s="22"/>
      <c r="M210" s="22"/>
      <c r="N210" s="25" t="str">
        <f>HYPERLINK("http://slimages.macys.com/is/image/MCY/21408541 ")</f>
        <v xml:space="preserve">http://slimages.macys.com/is/image/MCY/21408541 </v>
      </c>
    </row>
    <row r="211" spans="1:14" x14ac:dyDescent="0.25">
      <c r="A211" s="21" t="s">
        <v>6726</v>
      </c>
      <c r="B211" s="22" t="s">
        <v>6727</v>
      </c>
      <c r="C211" s="2">
        <v>1</v>
      </c>
      <c r="D211" s="23">
        <v>18.989999999999998</v>
      </c>
      <c r="E211" s="3">
        <v>18.989999999999998</v>
      </c>
      <c r="F211" s="2" t="s">
        <v>15409</v>
      </c>
      <c r="G211" s="22" t="s">
        <v>19879</v>
      </c>
      <c r="H211" s="24"/>
      <c r="I211" s="22" t="s">
        <v>19309</v>
      </c>
      <c r="J211" s="22" t="s">
        <v>19696</v>
      </c>
      <c r="K211" s="22" t="s">
        <v>18094</v>
      </c>
      <c r="L211" s="22"/>
      <c r="M211" s="22"/>
      <c r="N211" s="25" t="str">
        <f>HYPERLINK("http://slimages.macys.com/is/image/MCY/21408520 ")</f>
        <v xml:space="preserve">http://slimages.macys.com/is/image/MCY/21408520 </v>
      </c>
    </row>
    <row r="212" spans="1:14" ht="24.75" x14ac:dyDescent="0.25">
      <c r="A212" s="21" t="s">
        <v>20051</v>
      </c>
      <c r="B212" s="22" t="s">
        <v>20052</v>
      </c>
      <c r="C212" s="2">
        <v>1</v>
      </c>
      <c r="D212" s="23">
        <v>13.99</v>
      </c>
      <c r="E212" s="3">
        <v>13.99</v>
      </c>
      <c r="F212" s="2" t="s">
        <v>20050</v>
      </c>
      <c r="G212" s="22" t="s">
        <v>19467</v>
      </c>
      <c r="H212" s="24" t="s">
        <v>19339</v>
      </c>
      <c r="I212" s="22" t="s">
        <v>19309</v>
      </c>
      <c r="J212" s="22" t="s">
        <v>19447</v>
      </c>
      <c r="K212" s="22" t="s">
        <v>19873</v>
      </c>
      <c r="L212" s="22"/>
      <c r="M212" s="22"/>
      <c r="N212" s="25" t="str">
        <f>HYPERLINK("http://slimages.macys.com/is/image/MCY/20670016 ")</f>
        <v xml:space="preserve">http://slimages.macys.com/is/image/MCY/20670016 </v>
      </c>
    </row>
    <row r="213" spans="1:14" ht="24.75" x14ac:dyDescent="0.25">
      <c r="A213" s="21" t="s">
        <v>6728</v>
      </c>
      <c r="B213" s="22" t="s">
        <v>6729</v>
      </c>
      <c r="C213" s="2">
        <v>1</v>
      </c>
      <c r="D213" s="23">
        <v>25.99</v>
      </c>
      <c r="E213" s="3">
        <v>25.99</v>
      </c>
      <c r="F213" s="2" t="s">
        <v>15421</v>
      </c>
      <c r="G213" s="22" t="s">
        <v>19477</v>
      </c>
      <c r="H213" s="24" t="s">
        <v>19538</v>
      </c>
      <c r="I213" s="22" t="s">
        <v>19309</v>
      </c>
      <c r="J213" s="22" t="s">
        <v>19573</v>
      </c>
      <c r="K213" s="22" t="s">
        <v>19574</v>
      </c>
      <c r="L213" s="22"/>
      <c r="M213" s="22"/>
      <c r="N213" s="25" t="str">
        <f>HYPERLINK("http://slimages.macys.com/is/image/MCY/19977902 ")</f>
        <v xml:space="preserve">http://slimages.macys.com/is/image/MCY/19977902 </v>
      </c>
    </row>
    <row r="214" spans="1:14" x14ac:dyDescent="0.25">
      <c r="A214" s="21" t="s">
        <v>6730</v>
      </c>
      <c r="B214" s="22" t="s">
        <v>6731</v>
      </c>
      <c r="C214" s="2">
        <v>1</v>
      </c>
      <c r="D214" s="23">
        <v>24.99</v>
      </c>
      <c r="E214" s="3">
        <v>24.99</v>
      </c>
      <c r="F214" s="2" t="s">
        <v>11581</v>
      </c>
      <c r="G214" s="22" t="s">
        <v>19431</v>
      </c>
      <c r="H214" s="24" t="s">
        <v>19352</v>
      </c>
      <c r="I214" s="22" t="s">
        <v>19309</v>
      </c>
      <c r="J214" s="22" t="s">
        <v>19849</v>
      </c>
      <c r="K214" s="22" t="s">
        <v>19850</v>
      </c>
      <c r="L214" s="22"/>
      <c r="M214" s="22"/>
      <c r="N214" s="25" t="str">
        <f>HYPERLINK("http://slimages.macys.com/is/image/MCY/20786236 ")</f>
        <v xml:space="preserve">http://slimages.macys.com/is/image/MCY/20786236 </v>
      </c>
    </row>
    <row r="215" spans="1:14" x14ac:dyDescent="0.25">
      <c r="A215" s="21" t="s">
        <v>6732</v>
      </c>
      <c r="B215" s="22" t="s">
        <v>6733</v>
      </c>
      <c r="C215" s="2">
        <v>1</v>
      </c>
      <c r="D215" s="23">
        <v>16.22</v>
      </c>
      <c r="E215" s="3">
        <v>16.22</v>
      </c>
      <c r="F215" s="2" t="s">
        <v>18115</v>
      </c>
      <c r="G215" s="22" t="s">
        <v>19342</v>
      </c>
      <c r="H215" s="24" t="s">
        <v>19392</v>
      </c>
      <c r="I215" s="22" t="s">
        <v>19309</v>
      </c>
      <c r="J215" s="22" t="s">
        <v>19514</v>
      </c>
      <c r="K215" s="22" t="s">
        <v>17948</v>
      </c>
      <c r="L215" s="22"/>
      <c r="M215" s="22"/>
      <c r="N215" s="25" t="str">
        <f>HYPERLINK("http://slimages.macys.com/is/image/MCY/21701108 ")</f>
        <v xml:space="preserve">http://slimages.macys.com/is/image/MCY/21701108 </v>
      </c>
    </row>
    <row r="216" spans="1:14" x14ac:dyDescent="0.25">
      <c r="A216" s="21" t="s">
        <v>6734</v>
      </c>
      <c r="B216" s="22" t="s">
        <v>6735</v>
      </c>
      <c r="C216" s="2">
        <v>1</v>
      </c>
      <c r="D216" s="23">
        <v>16.22</v>
      </c>
      <c r="E216" s="3">
        <v>16.22</v>
      </c>
      <c r="F216" s="2" t="s">
        <v>6736</v>
      </c>
      <c r="G216" s="22" t="s">
        <v>19342</v>
      </c>
      <c r="H216" s="24" t="s">
        <v>19392</v>
      </c>
      <c r="I216" s="22" t="s">
        <v>19309</v>
      </c>
      <c r="J216" s="22" t="s">
        <v>19514</v>
      </c>
      <c r="K216" s="22" t="s">
        <v>17948</v>
      </c>
      <c r="L216" s="22"/>
      <c r="M216" s="22"/>
      <c r="N216" s="25" t="str">
        <f>HYPERLINK("http://slimages.macys.com/is/image/MCY/21701110 ")</f>
        <v xml:space="preserve">http://slimages.macys.com/is/image/MCY/21701110 </v>
      </c>
    </row>
    <row r="217" spans="1:14" x14ac:dyDescent="0.25">
      <c r="A217" s="21" t="s">
        <v>6737</v>
      </c>
      <c r="B217" s="22" t="s">
        <v>6738</v>
      </c>
      <c r="C217" s="2">
        <v>1</v>
      </c>
      <c r="D217" s="23">
        <v>16.22</v>
      </c>
      <c r="E217" s="3">
        <v>16.22</v>
      </c>
      <c r="F217" s="2" t="s">
        <v>6736</v>
      </c>
      <c r="G217" s="22" t="s">
        <v>19342</v>
      </c>
      <c r="H217" s="24" t="s">
        <v>19345</v>
      </c>
      <c r="I217" s="22" t="s">
        <v>19309</v>
      </c>
      <c r="J217" s="22" t="s">
        <v>19514</v>
      </c>
      <c r="K217" s="22" t="s">
        <v>17948</v>
      </c>
      <c r="L217" s="22"/>
      <c r="M217" s="22"/>
      <c r="N217" s="25" t="str">
        <f>HYPERLINK("http://slimages.macys.com/is/image/MCY/21701110 ")</f>
        <v xml:space="preserve">http://slimages.macys.com/is/image/MCY/21701110 </v>
      </c>
    </row>
    <row r="218" spans="1:14" x14ac:dyDescent="0.25">
      <c r="A218" s="21" t="s">
        <v>6739</v>
      </c>
      <c r="B218" s="22" t="s">
        <v>6740</v>
      </c>
      <c r="C218" s="2">
        <v>1</v>
      </c>
      <c r="D218" s="23">
        <v>16.22</v>
      </c>
      <c r="E218" s="3">
        <v>16.22</v>
      </c>
      <c r="F218" s="2" t="s">
        <v>6741</v>
      </c>
      <c r="G218" s="22" t="s">
        <v>19342</v>
      </c>
      <c r="H218" s="24" t="s">
        <v>19361</v>
      </c>
      <c r="I218" s="22" t="s">
        <v>19309</v>
      </c>
      <c r="J218" s="22" t="s">
        <v>19514</v>
      </c>
      <c r="K218" s="22" t="s">
        <v>17948</v>
      </c>
      <c r="L218" s="22"/>
      <c r="M218" s="22"/>
      <c r="N218" s="25" t="str">
        <f>HYPERLINK("http://slimages.macys.com/is/image/MCY/21701113 ")</f>
        <v xml:space="preserve">http://slimages.macys.com/is/image/MCY/21701113 </v>
      </c>
    </row>
    <row r="219" spans="1:14" x14ac:dyDescent="0.25">
      <c r="A219" s="21" t="s">
        <v>6742</v>
      </c>
      <c r="B219" s="22" t="s">
        <v>6743</v>
      </c>
      <c r="C219" s="2">
        <v>1</v>
      </c>
      <c r="D219" s="23">
        <v>16.22</v>
      </c>
      <c r="E219" s="3">
        <v>16.22</v>
      </c>
      <c r="F219" s="2" t="s">
        <v>18112</v>
      </c>
      <c r="G219" s="22" t="s">
        <v>19342</v>
      </c>
      <c r="H219" s="24" t="s">
        <v>19432</v>
      </c>
      <c r="I219" s="22" t="s">
        <v>19309</v>
      </c>
      <c r="J219" s="22" t="s">
        <v>19514</v>
      </c>
      <c r="K219" s="22" t="s">
        <v>17948</v>
      </c>
      <c r="L219" s="22"/>
      <c r="M219" s="22"/>
      <c r="N219" s="25" t="str">
        <f>HYPERLINK("http://slimages.macys.com/is/image/MCY/21701114 ")</f>
        <v xml:space="preserve">http://slimages.macys.com/is/image/MCY/21701114 </v>
      </c>
    </row>
    <row r="220" spans="1:14" x14ac:dyDescent="0.25">
      <c r="A220" s="21" t="s">
        <v>6744</v>
      </c>
      <c r="B220" s="22" t="s">
        <v>6745</v>
      </c>
      <c r="C220" s="2">
        <v>2</v>
      </c>
      <c r="D220" s="23">
        <v>16.22</v>
      </c>
      <c r="E220" s="3">
        <v>32.44</v>
      </c>
      <c r="F220" s="2" t="s">
        <v>18112</v>
      </c>
      <c r="G220" s="22" t="s">
        <v>19342</v>
      </c>
      <c r="H220" s="24" t="s">
        <v>19361</v>
      </c>
      <c r="I220" s="22" t="s">
        <v>19309</v>
      </c>
      <c r="J220" s="22" t="s">
        <v>19514</v>
      </c>
      <c r="K220" s="22" t="s">
        <v>17948</v>
      </c>
      <c r="L220" s="22"/>
      <c r="M220" s="22"/>
      <c r="N220" s="25" t="str">
        <f>HYPERLINK("http://slimages.macys.com/is/image/MCY/21701114 ")</f>
        <v xml:space="preserve">http://slimages.macys.com/is/image/MCY/21701114 </v>
      </c>
    </row>
    <row r="221" spans="1:14" x14ac:dyDescent="0.25">
      <c r="A221" s="21" t="s">
        <v>11577</v>
      </c>
      <c r="B221" s="22" t="s">
        <v>11578</v>
      </c>
      <c r="C221" s="2">
        <v>1</v>
      </c>
      <c r="D221" s="23">
        <v>16.22</v>
      </c>
      <c r="E221" s="3">
        <v>16.22</v>
      </c>
      <c r="F221" s="2" t="s">
        <v>18115</v>
      </c>
      <c r="G221" s="22" t="s">
        <v>19342</v>
      </c>
      <c r="H221" s="24" t="s">
        <v>19345</v>
      </c>
      <c r="I221" s="22" t="s">
        <v>19309</v>
      </c>
      <c r="J221" s="22" t="s">
        <v>19514</v>
      </c>
      <c r="K221" s="22" t="s">
        <v>17948</v>
      </c>
      <c r="L221" s="22"/>
      <c r="M221" s="22"/>
      <c r="N221" s="25" t="str">
        <f>HYPERLINK("http://slimages.macys.com/is/image/MCY/21701108 ")</f>
        <v xml:space="preserve">http://slimages.macys.com/is/image/MCY/21701108 </v>
      </c>
    </row>
    <row r="222" spans="1:14" ht="24.75" x14ac:dyDescent="0.25">
      <c r="A222" s="21" t="s">
        <v>6746</v>
      </c>
      <c r="B222" s="22" t="s">
        <v>8734</v>
      </c>
      <c r="C222" s="2">
        <v>1</v>
      </c>
      <c r="D222" s="23">
        <v>20.99</v>
      </c>
      <c r="E222" s="3">
        <v>20.99</v>
      </c>
      <c r="F222" s="2" t="s">
        <v>10989</v>
      </c>
      <c r="G222" s="22" t="s">
        <v>19315</v>
      </c>
      <c r="H222" s="24" t="s">
        <v>11751</v>
      </c>
      <c r="I222" s="22" t="s">
        <v>19309</v>
      </c>
      <c r="J222" s="22" t="s">
        <v>19447</v>
      </c>
      <c r="K222" s="22" t="s">
        <v>18333</v>
      </c>
      <c r="L222" s="22"/>
      <c r="M222" s="22"/>
      <c r="N222" s="25" t="str">
        <f>HYPERLINK("http://slimages.macys.com/is/image/MCY/21048332 ")</f>
        <v xml:space="preserve">http://slimages.macys.com/is/image/MCY/21048332 </v>
      </c>
    </row>
    <row r="223" spans="1:14" ht="24.75" x14ac:dyDescent="0.25">
      <c r="A223" s="21" t="s">
        <v>20053</v>
      </c>
      <c r="B223" s="22" t="s">
        <v>20054</v>
      </c>
      <c r="C223" s="2">
        <v>1</v>
      </c>
      <c r="D223" s="23">
        <v>23.99</v>
      </c>
      <c r="E223" s="3">
        <v>23.99</v>
      </c>
      <c r="F223" s="2" t="s">
        <v>20055</v>
      </c>
      <c r="G223" s="22" t="s">
        <v>19431</v>
      </c>
      <c r="H223" s="24" t="s">
        <v>19416</v>
      </c>
      <c r="I223" s="22" t="s">
        <v>19309</v>
      </c>
      <c r="J223" s="22" t="s">
        <v>19573</v>
      </c>
      <c r="K223" s="22" t="s">
        <v>19574</v>
      </c>
      <c r="L223" s="22"/>
      <c r="M223" s="22"/>
      <c r="N223" s="25" t="str">
        <f>HYPERLINK("http://slimages.macys.com/is/image/MCY/21907735 ")</f>
        <v xml:space="preserve">http://slimages.macys.com/is/image/MCY/21907735 </v>
      </c>
    </row>
    <row r="224" spans="1:14" ht="24.75" x14ac:dyDescent="0.25">
      <c r="A224" s="21" t="s">
        <v>11582</v>
      </c>
      <c r="B224" s="22" t="s">
        <v>11583</v>
      </c>
      <c r="C224" s="2">
        <v>1</v>
      </c>
      <c r="D224" s="23">
        <v>23.99</v>
      </c>
      <c r="E224" s="3">
        <v>23.99</v>
      </c>
      <c r="F224" s="2" t="s">
        <v>20055</v>
      </c>
      <c r="G224" s="22" t="s">
        <v>19431</v>
      </c>
      <c r="H224" s="24" t="s">
        <v>19538</v>
      </c>
      <c r="I224" s="22" t="s">
        <v>19309</v>
      </c>
      <c r="J224" s="22" t="s">
        <v>19573</v>
      </c>
      <c r="K224" s="22" t="s">
        <v>19574</v>
      </c>
      <c r="L224" s="22"/>
      <c r="M224" s="22"/>
      <c r="N224" s="25" t="str">
        <f>HYPERLINK("http://slimages.macys.com/is/image/MCY/1485261 ")</f>
        <v xml:space="preserve">http://slimages.macys.com/is/image/MCY/1485261 </v>
      </c>
    </row>
    <row r="225" spans="1:14" ht="24.75" x14ac:dyDescent="0.25">
      <c r="A225" s="21" t="s">
        <v>15424</v>
      </c>
      <c r="B225" s="22" t="s">
        <v>15425</v>
      </c>
      <c r="C225" s="2">
        <v>1</v>
      </c>
      <c r="D225" s="23">
        <v>23.99</v>
      </c>
      <c r="E225" s="3">
        <v>23.99</v>
      </c>
      <c r="F225" s="2" t="s">
        <v>20055</v>
      </c>
      <c r="G225" s="22" t="s">
        <v>19431</v>
      </c>
      <c r="H225" s="24" t="s">
        <v>19384</v>
      </c>
      <c r="I225" s="22" t="s">
        <v>19309</v>
      </c>
      <c r="J225" s="22" t="s">
        <v>19573</v>
      </c>
      <c r="K225" s="22" t="s">
        <v>19574</v>
      </c>
      <c r="L225" s="22"/>
      <c r="M225" s="22"/>
      <c r="N225" s="25" t="str">
        <f>HYPERLINK("http://slimages.macys.com/is/image/MCY/1485261 ")</f>
        <v xml:space="preserve">http://slimages.macys.com/is/image/MCY/1485261 </v>
      </c>
    </row>
    <row r="226" spans="1:14" ht="24.75" x14ac:dyDescent="0.25">
      <c r="A226" s="21" t="s">
        <v>6747</v>
      </c>
      <c r="B226" s="22" t="s">
        <v>6748</v>
      </c>
      <c r="C226" s="2">
        <v>1</v>
      </c>
      <c r="D226" s="23">
        <v>20.99</v>
      </c>
      <c r="E226" s="3">
        <v>20.99</v>
      </c>
      <c r="F226" s="2" t="s">
        <v>6749</v>
      </c>
      <c r="G226" s="22" t="s">
        <v>19351</v>
      </c>
      <c r="H226" s="24" t="s">
        <v>19432</v>
      </c>
      <c r="I226" s="22" t="s">
        <v>19309</v>
      </c>
      <c r="J226" s="22" t="s">
        <v>19447</v>
      </c>
      <c r="K226" s="22" t="s">
        <v>18333</v>
      </c>
      <c r="L226" s="22"/>
      <c r="M226" s="22"/>
      <c r="N226" s="25" t="str">
        <f>HYPERLINK("http://slimages.macys.com/is/image/MCY/21193700 ")</f>
        <v xml:space="preserve">http://slimages.macys.com/is/image/MCY/21193700 </v>
      </c>
    </row>
    <row r="227" spans="1:14" x14ac:dyDescent="0.25">
      <c r="A227" s="21" t="s">
        <v>6750</v>
      </c>
      <c r="B227" s="22" t="s">
        <v>6751</v>
      </c>
      <c r="C227" s="2">
        <v>1</v>
      </c>
      <c r="D227" s="23">
        <v>15.99</v>
      </c>
      <c r="E227" s="3">
        <v>15.99</v>
      </c>
      <c r="F227" s="2" t="s">
        <v>6752</v>
      </c>
      <c r="G227" s="22" t="s">
        <v>19315</v>
      </c>
      <c r="H227" s="24" t="s">
        <v>19361</v>
      </c>
      <c r="I227" s="22" t="s">
        <v>19309</v>
      </c>
      <c r="J227" s="22" t="s">
        <v>19310</v>
      </c>
      <c r="K227" s="22" t="s">
        <v>19440</v>
      </c>
      <c r="L227" s="22"/>
      <c r="M227" s="22"/>
      <c r="N227" s="25" t="str">
        <f>HYPERLINK("http://slimages.macys.com/is/image/MCY/21477621 ")</f>
        <v xml:space="preserve">http://slimages.macys.com/is/image/MCY/21477621 </v>
      </c>
    </row>
    <row r="228" spans="1:14" x14ac:dyDescent="0.25">
      <c r="A228" s="21" t="s">
        <v>6753</v>
      </c>
      <c r="B228" s="22" t="s">
        <v>6754</v>
      </c>
      <c r="C228" s="2">
        <v>1</v>
      </c>
      <c r="D228" s="23">
        <v>15.99</v>
      </c>
      <c r="E228" s="3">
        <v>15.99</v>
      </c>
      <c r="F228" s="2" t="s">
        <v>18123</v>
      </c>
      <c r="G228" s="22" t="s">
        <v>19351</v>
      </c>
      <c r="H228" s="24" t="s">
        <v>19345</v>
      </c>
      <c r="I228" s="22" t="s">
        <v>19309</v>
      </c>
      <c r="J228" s="22" t="s">
        <v>19310</v>
      </c>
      <c r="K228" s="22" t="s">
        <v>19440</v>
      </c>
      <c r="L228" s="22"/>
      <c r="M228" s="22"/>
      <c r="N228" s="25" t="str">
        <f>HYPERLINK("http://slimages.macys.com/is/image/MCY/20782661 ")</f>
        <v xml:space="preserve">http://slimages.macys.com/is/image/MCY/20782661 </v>
      </c>
    </row>
    <row r="229" spans="1:14" ht="24.75" x14ac:dyDescent="0.25">
      <c r="A229" s="21" t="s">
        <v>6755</v>
      </c>
      <c r="B229" s="22" t="s">
        <v>6756</v>
      </c>
      <c r="C229" s="2">
        <v>1</v>
      </c>
      <c r="D229" s="23">
        <v>14.99</v>
      </c>
      <c r="E229" s="3">
        <v>14.99</v>
      </c>
      <c r="F229" s="2" t="s">
        <v>6757</v>
      </c>
      <c r="G229" s="22" t="s">
        <v>19323</v>
      </c>
      <c r="H229" s="24" t="s">
        <v>19339</v>
      </c>
      <c r="I229" s="22" t="s">
        <v>19309</v>
      </c>
      <c r="J229" s="22" t="s">
        <v>20076</v>
      </c>
      <c r="K229" s="22" t="s">
        <v>12019</v>
      </c>
      <c r="L229" s="22"/>
      <c r="M229" s="22"/>
      <c r="N229" s="25" t="str">
        <f>HYPERLINK("http://slimages.macys.com/is/image/MCY/21485285 ")</f>
        <v xml:space="preserve">http://slimages.macys.com/is/image/MCY/21485285 </v>
      </c>
    </row>
    <row r="230" spans="1:14" x14ac:dyDescent="0.25">
      <c r="A230" s="21" t="s">
        <v>6758</v>
      </c>
      <c r="B230" s="22" t="s">
        <v>6759</v>
      </c>
      <c r="C230" s="2">
        <v>1</v>
      </c>
      <c r="D230" s="23">
        <v>15.3</v>
      </c>
      <c r="E230" s="3">
        <v>15.3</v>
      </c>
      <c r="F230" s="2" t="s">
        <v>20082</v>
      </c>
      <c r="G230" s="22" t="s">
        <v>19794</v>
      </c>
      <c r="H230" s="24" t="s">
        <v>20152</v>
      </c>
      <c r="I230" s="22" t="s">
        <v>19309</v>
      </c>
      <c r="J230" s="22" t="s">
        <v>19708</v>
      </c>
      <c r="K230" s="22" t="s">
        <v>19709</v>
      </c>
      <c r="L230" s="22"/>
      <c r="M230" s="22"/>
      <c r="N230" s="25" t="str">
        <f>HYPERLINK("http://slimages.macys.com/is/image/MCY/21409023 ")</f>
        <v xml:space="preserve">http://slimages.macys.com/is/image/MCY/21409023 </v>
      </c>
    </row>
    <row r="231" spans="1:14" ht="24.75" x14ac:dyDescent="0.25">
      <c r="A231" s="21" t="s">
        <v>20078</v>
      </c>
      <c r="B231" s="22" t="s">
        <v>20079</v>
      </c>
      <c r="C231" s="2">
        <v>1</v>
      </c>
      <c r="D231" s="23">
        <v>15.99</v>
      </c>
      <c r="E231" s="3">
        <v>15.99</v>
      </c>
      <c r="F231" s="2">
        <v>4378</v>
      </c>
      <c r="G231" s="22" t="s">
        <v>19323</v>
      </c>
      <c r="H231" s="24" t="s">
        <v>19797</v>
      </c>
      <c r="I231" s="22" t="s">
        <v>19309</v>
      </c>
      <c r="J231" s="22" t="s">
        <v>20076</v>
      </c>
      <c r="K231" s="22" t="s">
        <v>20077</v>
      </c>
      <c r="L231" s="22"/>
      <c r="M231" s="22"/>
      <c r="N231" s="25" t="str">
        <f>HYPERLINK("http://slimages.macys.com/is/image/MCY/19348122 ")</f>
        <v xml:space="preserve">http://slimages.macys.com/is/image/MCY/19348122 </v>
      </c>
    </row>
    <row r="232" spans="1:14" x14ac:dyDescent="0.25">
      <c r="A232" s="21" t="s">
        <v>6760</v>
      </c>
      <c r="B232" s="22" t="s">
        <v>6761</v>
      </c>
      <c r="C232" s="2">
        <v>1</v>
      </c>
      <c r="D232" s="23">
        <v>15.3</v>
      </c>
      <c r="E232" s="3">
        <v>15.3</v>
      </c>
      <c r="F232" s="2" t="s">
        <v>10499</v>
      </c>
      <c r="G232" s="22" t="s">
        <v>19338</v>
      </c>
      <c r="H232" s="24" t="s">
        <v>20152</v>
      </c>
      <c r="I232" s="22" t="s">
        <v>19309</v>
      </c>
      <c r="J232" s="22" t="s">
        <v>19708</v>
      </c>
      <c r="K232" s="22" t="s">
        <v>19709</v>
      </c>
      <c r="L232" s="22"/>
      <c r="M232" s="22"/>
      <c r="N232" s="25" t="str">
        <f>HYPERLINK("http://slimages.macys.com/is/image/MCY/21409832 ")</f>
        <v xml:space="preserve">http://slimages.macys.com/is/image/MCY/21409832 </v>
      </c>
    </row>
    <row r="233" spans="1:14" x14ac:dyDescent="0.25">
      <c r="A233" s="21" t="s">
        <v>20083</v>
      </c>
      <c r="B233" s="22" t="s">
        <v>20084</v>
      </c>
      <c r="C233" s="2">
        <v>1</v>
      </c>
      <c r="D233" s="23">
        <v>22.99</v>
      </c>
      <c r="E233" s="3">
        <v>22.99</v>
      </c>
      <c r="F233" s="2" t="s">
        <v>20085</v>
      </c>
      <c r="G233" s="22" t="s">
        <v>19674</v>
      </c>
      <c r="H233" s="24" t="s">
        <v>19907</v>
      </c>
      <c r="I233" s="22" t="s">
        <v>19309</v>
      </c>
      <c r="J233" s="22" t="s">
        <v>19849</v>
      </c>
      <c r="K233" s="22" t="s">
        <v>19850</v>
      </c>
      <c r="L233" s="22"/>
      <c r="M233" s="22"/>
      <c r="N233" s="25" t="str">
        <f>HYPERLINK("http://slimages.macys.com/is/image/MCY/1521089 ")</f>
        <v xml:space="preserve">http://slimages.macys.com/is/image/MCY/1521089 </v>
      </c>
    </row>
    <row r="234" spans="1:14" ht="24.75" x14ac:dyDescent="0.25">
      <c r="A234" s="21" t="s">
        <v>6762</v>
      </c>
      <c r="B234" s="22" t="s">
        <v>6763</v>
      </c>
      <c r="C234" s="2">
        <v>1</v>
      </c>
      <c r="D234" s="23">
        <v>15.99</v>
      </c>
      <c r="E234" s="3">
        <v>15.99</v>
      </c>
      <c r="F234" s="2">
        <v>4378</v>
      </c>
      <c r="G234" s="22" t="s">
        <v>19404</v>
      </c>
      <c r="H234" s="24" t="s">
        <v>19339</v>
      </c>
      <c r="I234" s="22" t="s">
        <v>19309</v>
      </c>
      <c r="J234" s="22" t="s">
        <v>20076</v>
      </c>
      <c r="K234" s="22" t="s">
        <v>20077</v>
      </c>
      <c r="L234" s="22"/>
      <c r="M234" s="22"/>
      <c r="N234" s="25" t="str">
        <f>HYPERLINK("http://slimages.macys.com/is/image/MCY/19348122 ")</f>
        <v xml:space="preserve">http://slimages.macys.com/is/image/MCY/19348122 </v>
      </c>
    </row>
    <row r="235" spans="1:14" ht="24.75" x14ac:dyDescent="0.25">
      <c r="A235" s="21" t="s">
        <v>6764</v>
      </c>
      <c r="B235" s="22" t="s">
        <v>6765</v>
      </c>
      <c r="C235" s="2">
        <v>1</v>
      </c>
      <c r="D235" s="23">
        <v>17.989999999999998</v>
      </c>
      <c r="E235" s="3">
        <v>17.989999999999998</v>
      </c>
      <c r="F235" s="2">
        <v>4350</v>
      </c>
      <c r="G235" s="22" t="s">
        <v>19315</v>
      </c>
      <c r="H235" s="24" t="s">
        <v>19797</v>
      </c>
      <c r="I235" s="22" t="s">
        <v>19309</v>
      </c>
      <c r="J235" s="22" t="s">
        <v>20076</v>
      </c>
      <c r="K235" s="22" t="s">
        <v>20077</v>
      </c>
      <c r="L235" s="22"/>
      <c r="M235" s="22"/>
      <c r="N235" s="25" t="str">
        <f>HYPERLINK("http://slimages.macys.com/is/image/MCY/18821763 ")</f>
        <v xml:space="preserve">http://slimages.macys.com/is/image/MCY/18821763 </v>
      </c>
    </row>
    <row r="236" spans="1:14" ht="24.75" x14ac:dyDescent="0.25">
      <c r="A236" s="21" t="s">
        <v>18127</v>
      </c>
      <c r="B236" s="22" t="s">
        <v>18128</v>
      </c>
      <c r="C236" s="2">
        <v>1</v>
      </c>
      <c r="D236" s="23">
        <v>17.989999999999998</v>
      </c>
      <c r="E236" s="3">
        <v>17.989999999999998</v>
      </c>
      <c r="F236" s="2">
        <v>4350</v>
      </c>
      <c r="G236" s="22" t="s">
        <v>19315</v>
      </c>
      <c r="H236" s="24" t="s">
        <v>19339</v>
      </c>
      <c r="I236" s="22" t="s">
        <v>19309</v>
      </c>
      <c r="J236" s="22" t="s">
        <v>20076</v>
      </c>
      <c r="K236" s="22" t="s">
        <v>20077</v>
      </c>
      <c r="L236" s="22"/>
      <c r="M236" s="22"/>
      <c r="N236" s="25" t="str">
        <f>HYPERLINK("http://slimages.macys.com/is/image/MCY/18821763 ")</f>
        <v xml:space="preserve">http://slimages.macys.com/is/image/MCY/18821763 </v>
      </c>
    </row>
    <row r="237" spans="1:14" x14ac:dyDescent="0.25">
      <c r="A237" s="21" t="s">
        <v>10503</v>
      </c>
      <c r="B237" s="22" t="s">
        <v>10504</v>
      </c>
      <c r="C237" s="2">
        <v>1</v>
      </c>
      <c r="D237" s="23">
        <v>21.99</v>
      </c>
      <c r="E237" s="3">
        <v>21.99</v>
      </c>
      <c r="F237" s="2" t="s">
        <v>18126</v>
      </c>
      <c r="G237" s="22" t="s">
        <v>19674</v>
      </c>
      <c r="H237" s="24" t="s">
        <v>19352</v>
      </c>
      <c r="I237" s="22" t="s">
        <v>19309</v>
      </c>
      <c r="J237" s="22" t="s">
        <v>19849</v>
      </c>
      <c r="K237" s="22" t="s">
        <v>19850</v>
      </c>
      <c r="L237" s="22"/>
      <c r="M237" s="22"/>
      <c r="N237" s="25" t="str">
        <f>HYPERLINK("http://slimages.macys.com/is/image/MCY/975791 ")</f>
        <v xml:space="preserve">http://slimages.macys.com/is/image/MCY/975791 </v>
      </c>
    </row>
    <row r="238" spans="1:14" ht="24.75" x14ac:dyDescent="0.25">
      <c r="A238" s="21" t="s">
        <v>7550</v>
      </c>
      <c r="B238" s="22" t="s">
        <v>7551</v>
      </c>
      <c r="C238" s="2">
        <v>1</v>
      </c>
      <c r="D238" s="23">
        <v>14.99</v>
      </c>
      <c r="E238" s="3">
        <v>14.99</v>
      </c>
      <c r="F238" s="2" t="s">
        <v>7549</v>
      </c>
      <c r="G238" s="22"/>
      <c r="H238" s="24"/>
      <c r="I238" s="22" t="s">
        <v>19309</v>
      </c>
      <c r="J238" s="22" t="s">
        <v>20076</v>
      </c>
      <c r="K238" s="22" t="s">
        <v>18231</v>
      </c>
      <c r="L238" s="22"/>
      <c r="M238" s="22"/>
      <c r="N238" s="25" t="str">
        <f>HYPERLINK("http://slimages.macys.com/is/image/MCY/21541689 ")</f>
        <v xml:space="preserve">http://slimages.macys.com/is/image/MCY/21541689 </v>
      </c>
    </row>
    <row r="239" spans="1:14" ht="24.75" x14ac:dyDescent="0.25">
      <c r="A239" s="21" t="s">
        <v>6766</v>
      </c>
      <c r="B239" s="22" t="s">
        <v>6767</v>
      </c>
      <c r="C239" s="2">
        <v>1</v>
      </c>
      <c r="D239" s="23">
        <v>16.989999999999998</v>
      </c>
      <c r="E239" s="3">
        <v>16.989999999999998</v>
      </c>
      <c r="F239" s="2" t="s">
        <v>6768</v>
      </c>
      <c r="G239" s="22" t="s">
        <v>19422</v>
      </c>
      <c r="H239" s="24" t="s">
        <v>19316</v>
      </c>
      <c r="I239" s="22" t="s">
        <v>19309</v>
      </c>
      <c r="J239" s="22" t="s">
        <v>20076</v>
      </c>
      <c r="K239" s="22" t="s">
        <v>12029</v>
      </c>
      <c r="L239" s="22"/>
      <c r="M239" s="22"/>
      <c r="N239" s="25" t="str">
        <f>HYPERLINK("http://slimages.macys.com/is/image/MCY/21446029 ")</f>
        <v xml:space="preserve">http://slimages.macys.com/is/image/MCY/21446029 </v>
      </c>
    </row>
    <row r="240" spans="1:14" ht="24.75" x14ac:dyDescent="0.25">
      <c r="A240" s="21" t="s">
        <v>6769</v>
      </c>
      <c r="B240" s="22" t="s">
        <v>6770</v>
      </c>
      <c r="C240" s="2">
        <v>1</v>
      </c>
      <c r="D240" s="23">
        <v>16.989999999999998</v>
      </c>
      <c r="E240" s="3">
        <v>16.989999999999998</v>
      </c>
      <c r="F240" s="2" t="s">
        <v>6768</v>
      </c>
      <c r="G240" s="22" t="s">
        <v>19422</v>
      </c>
      <c r="H240" s="24" t="s">
        <v>12028</v>
      </c>
      <c r="I240" s="22" t="s">
        <v>19309</v>
      </c>
      <c r="J240" s="22" t="s">
        <v>20076</v>
      </c>
      <c r="K240" s="22" t="s">
        <v>12029</v>
      </c>
      <c r="L240" s="22"/>
      <c r="M240" s="22"/>
      <c r="N240" s="25" t="str">
        <f>HYPERLINK("http://slimages.macys.com/is/image/MCY/21446029 ")</f>
        <v xml:space="preserve">http://slimages.macys.com/is/image/MCY/21446029 </v>
      </c>
    </row>
    <row r="241" spans="1:14" ht="24.75" x14ac:dyDescent="0.25">
      <c r="A241" s="21" t="s">
        <v>6771</v>
      </c>
      <c r="B241" s="22" t="s">
        <v>6772</v>
      </c>
      <c r="C241" s="2">
        <v>1</v>
      </c>
      <c r="D241" s="23">
        <v>16.989999999999998</v>
      </c>
      <c r="E241" s="3">
        <v>16.989999999999998</v>
      </c>
      <c r="F241" s="2" t="s">
        <v>6768</v>
      </c>
      <c r="G241" s="22" t="s">
        <v>19422</v>
      </c>
      <c r="H241" s="24" t="s">
        <v>11751</v>
      </c>
      <c r="I241" s="22" t="s">
        <v>19309</v>
      </c>
      <c r="J241" s="22" t="s">
        <v>20076</v>
      </c>
      <c r="K241" s="22" t="s">
        <v>12029</v>
      </c>
      <c r="L241" s="22"/>
      <c r="M241" s="22"/>
      <c r="N241" s="25" t="str">
        <f>HYPERLINK("http://slimages.macys.com/is/image/MCY/21446029 ")</f>
        <v xml:space="preserve">http://slimages.macys.com/is/image/MCY/21446029 </v>
      </c>
    </row>
    <row r="242" spans="1:14" x14ac:dyDescent="0.25">
      <c r="A242" s="21" t="s">
        <v>15450</v>
      </c>
      <c r="B242" s="22" t="s">
        <v>15451</v>
      </c>
      <c r="C242" s="2">
        <v>1</v>
      </c>
      <c r="D242" s="23">
        <v>18.77</v>
      </c>
      <c r="E242" s="3">
        <v>18.77</v>
      </c>
      <c r="F242" s="2" t="s">
        <v>20119</v>
      </c>
      <c r="G242" s="22"/>
      <c r="H242" s="24" t="s">
        <v>20159</v>
      </c>
      <c r="I242" s="22" t="s">
        <v>19309</v>
      </c>
      <c r="J242" s="22" t="s">
        <v>19708</v>
      </c>
      <c r="K242" s="22" t="s">
        <v>19709</v>
      </c>
      <c r="L242" s="22"/>
      <c r="M242" s="22"/>
      <c r="N242" s="25" t="str">
        <f>HYPERLINK("http://slimages.macys.com/is/image/MCY/22405750 ")</f>
        <v xml:space="preserve">http://slimages.macys.com/is/image/MCY/22405750 </v>
      </c>
    </row>
    <row r="243" spans="1:14" x14ac:dyDescent="0.25">
      <c r="A243" s="21" t="s">
        <v>13088</v>
      </c>
      <c r="B243" s="22" t="s">
        <v>13089</v>
      </c>
      <c r="C243" s="2">
        <v>1</v>
      </c>
      <c r="D243" s="23">
        <v>18.77</v>
      </c>
      <c r="E243" s="3">
        <v>18.77</v>
      </c>
      <c r="F243" s="2" t="s">
        <v>20119</v>
      </c>
      <c r="G243" s="22"/>
      <c r="H243" s="24" t="s">
        <v>19324</v>
      </c>
      <c r="I243" s="22" t="s">
        <v>19309</v>
      </c>
      <c r="J243" s="22" t="s">
        <v>19708</v>
      </c>
      <c r="K243" s="22" t="s">
        <v>19709</v>
      </c>
      <c r="L243" s="22"/>
      <c r="M243" s="22"/>
      <c r="N243" s="25" t="str">
        <f>HYPERLINK("http://slimages.macys.com/is/image/MCY/22405750 ")</f>
        <v xml:space="preserve">http://slimages.macys.com/is/image/MCY/22405750 </v>
      </c>
    </row>
    <row r="244" spans="1:14" ht="24.75" x14ac:dyDescent="0.25">
      <c r="A244" s="21" t="s">
        <v>12089</v>
      </c>
      <c r="B244" s="22" t="s">
        <v>12090</v>
      </c>
      <c r="C244" s="2">
        <v>1</v>
      </c>
      <c r="D244" s="23">
        <v>12.99</v>
      </c>
      <c r="E244" s="3">
        <v>12.99</v>
      </c>
      <c r="F244" s="2" t="s">
        <v>20141</v>
      </c>
      <c r="G244" s="22" t="s">
        <v>19585</v>
      </c>
      <c r="H244" s="24" t="s">
        <v>19364</v>
      </c>
      <c r="I244" s="22" t="s">
        <v>19309</v>
      </c>
      <c r="J244" s="22" t="s">
        <v>19447</v>
      </c>
      <c r="K244" s="22" t="s">
        <v>19873</v>
      </c>
      <c r="L244" s="22"/>
      <c r="M244" s="22"/>
      <c r="N244" s="25" t="str">
        <f>HYPERLINK("http://slimages.macys.com/is/image/MCY/21122038 ")</f>
        <v xml:space="preserve">http://slimages.macys.com/is/image/MCY/21122038 </v>
      </c>
    </row>
    <row r="245" spans="1:14" ht="24.75" x14ac:dyDescent="0.25">
      <c r="A245" s="21" t="s">
        <v>11648</v>
      </c>
      <c r="B245" s="22" t="s">
        <v>11649</v>
      </c>
      <c r="C245" s="2">
        <v>6</v>
      </c>
      <c r="D245" s="23">
        <v>16.21</v>
      </c>
      <c r="E245" s="3">
        <v>97.26</v>
      </c>
      <c r="F245" s="2" t="s">
        <v>13114</v>
      </c>
      <c r="G245" s="22"/>
      <c r="H245" s="24" t="s">
        <v>19392</v>
      </c>
      <c r="I245" s="22" t="s">
        <v>19309</v>
      </c>
      <c r="J245" s="22" t="s">
        <v>19602</v>
      </c>
      <c r="K245" s="22" t="s">
        <v>20041</v>
      </c>
      <c r="L245" s="22"/>
      <c r="M245" s="22"/>
      <c r="N245" s="25" t="str">
        <f>HYPERLINK("http://slimages.macys.com/is/image/MCY/21728915 ")</f>
        <v xml:space="preserve">http://slimages.macys.com/is/image/MCY/21728915 </v>
      </c>
    </row>
    <row r="246" spans="1:14" ht="24.75" x14ac:dyDescent="0.25">
      <c r="A246" s="21" t="s">
        <v>6773</v>
      </c>
      <c r="B246" s="22" t="s">
        <v>6774</v>
      </c>
      <c r="C246" s="2">
        <v>1</v>
      </c>
      <c r="D246" s="23">
        <v>14.99</v>
      </c>
      <c r="E246" s="3">
        <v>14.99</v>
      </c>
      <c r="F246" s="2" t="s">
        <v>12098</v>
      </c>
      <c r="G246" s="22" t="s">
        <v>19618</v>
      </c>
      <c r="H246" s="24" t="s">
        <v>18139</v>
      </c>
      <c r="I246" s="22" t="s">
        <v>19309</v>
      </c>
      <c r="J246" s="22" t="s">
        <v>20076</v>
      </c>
      <c r="K246" s="22" t="s">
        <v>12029</v>
      </c>
      <c r="L246" s="22"/>
      <c r="M246" s="22"/>
      <c r="N246" s="25" t="str">
        <f>HYPERLINK("http://slimages.macys.com/is/image/MCY/21443469 ")</f>
        <v xml:space="preserve">http://slimages.macys.com/is/image/MCY/21443469 </v>
      </c>
    </row>
    <row r="247" spans="1:14" ht="24.75" x14ac:dyDescent="0.25">
      <c r="A247" s="21" t="s">
        <v>6775</v>
      </c>
      <c r="B247" s="22" t="s">
        <v>6641</v>
      </c>
      <c r="C247" s="2">
        <v>1</v>
      </c>
      <c r="D247" s="23">
        <v>14.99</v>
      </c>
      <c r="E247" s="3">
        <v>14.99</v>
      </c>
      <c r="F247" s="2" t="s">
        <v>12098</v>
      </c>
      <c r="G247" s="22" t="s">
        <v>19618</v>
      </c>
      <c r="H247" s="24" t="s">
        <v>12028</v>
      </c>
      <c r="I247" s="22" t="s">
        <v>19309</v>
      </c>
      <c r="J247" s="22" t="s">
        <v>20076</v>
      </c>
      <c r="K247" s="22" t="s">
        <v>12029</v>
      </c>
      <c r="L247" s="22"/>
      <c r="M247" s="22"/>
      <c r="N247" s="25" t="str">
        <f>HYPERLINK("http://slimages.macys.com/is/image/MCY/21443469 ")</f>
        <v xml:space="preserve">http://slimages.macys.com/is/image/MCY/21443469 </v>
      </c>
    </row>
    <row r="248" spans="1:14" ht="24.75" x14ac:dyDescent="0.25">
      <c r="A248" s="21" t="s">
        <v>6776</v>
      </c>
      <c r="B248" s="22" t="s">
        <v>12097</v>
      </c>
      <c r="C248" s="2">
        <v>1</v>
      </c>
      <c r="D248" s="23">
        <v>16.989999999999998</v>
      </c>
      <c r="E248" s="3">
        <v>16.989999999999998</v>
      </c>
      <c r="F248" s="2" t="s">
        <v>6777</v>
      </c>
      <c r="G248" s="22" t="s">
        <v>19351</v>
      </c>
      <c r="H248" s="24" t="s">
        <v>11751</v>
      </c>
      <c r="I248" s="22" t="s">
        <v>19309</v>
      </c>
      <c r="J248" s="22" t="s">
        <v>20076</v>
      </c>
      <c r="K248" s="22" t="s">
        <v>12029</v>
      </c>
      <c r="L248" s="22"/>
      <c r="M248" s="22"/>
      <c r="N248" s="25" t="str">
        <f>HYPERLINK("http://slimages.macys.com/is/image/MCY/18817445 ")</f>
        <v xml:space="preserve">http://slimages.macys.com/is/image/MCY/18817445 </v>
      </c>
    </row>
    <row r="249" spans="1:14" ht="24.75" x14ac:dyDescent="0.25">
      <c r="A249" s="21" t="s">
        <v>6778</v>
      </c>
      <c r="B249" s="22" t="s">
        <v>6779</v>
      </c>
      <c r="C249" s="2">
        <v>1</v>
      </c>
      <c r="D249" s="23">
        <v>21.99</v>
      </c>
      <c r="E249" s="3">
        <v>21.99</v>
      </c>
      <c r="F249" s="2" t="s">
        <v>11007</v>
      </c>
      <c r="G249" s="22" t="s">
        <v>19333</v>
      </c>
      <c r="H249" s="24" t="s">
        <v>19364</v>
      </c>
      <c r="I249" s="22" t="s">
        <v>19309</v>
      </c>
      <c r="J249" s="22" t="s">
        <v>19353</v>
      </c>
      <c r="K249" s="22" t="s">
        <v>19524</v>
      </c>
      <c r="L249" s="22"/>
      <c r="M249" s="22"/>
      <c r="N249" s="25" t="str">
        <f>HYPERLINK("http://slimages.macys.com/is/image/MCY/20440803 ")</f>
        <v xml:space="preserve">http://slimages.macys.com/is/image/MCY/20440803 </v>
      </c>
    </row>
    <row r="250" spans="1:14" x14ac:dyDescent="0.25">
      <c r="A250" s="21" t="s">
        <v>11655</v>
      </c>
      <c r="B250" s="22" t="s">
        <v>11656</v>
      </c>
      <c r="C250" s="2">
        <v>2</v>
      </c>
      <c r="D250" s="23">
        <v>16.989999999999998</v>
      </c>
      <c r="E250" s="3">
        <v>33.979999999999997</v>
      </c>
      <c r="F250" s="2" t="s">
        <v>20168</v>
      </c>
      <c r="G250" s="22" t="s">
        <v>19618</v>
      </c>
      <c r="H250" s="24" t="s">
        <v>19797</v>
      </c>
      <c r="I250" s="22" t="s">
        <v>19309</v>
      </c>
      <c r="J250" s="22" t="s">
        <v>19849</v>
      </c>
      <c r="K250" s="22" t="s">
        <v>19850</v>
      </c>
      <c r="L250" s="22"/>
      <c r="M250" s="22"/>
      <c r="N250" s="25" t="str">
        <f>HYPERLINK("http://slimages.macys.com/is/image/MCY/20752002 ")</f>
        <v xml:space="preserve">http://slimages.macys.com/is/image/MCY/20752002 </v>
      </c>
    </row>
    <row r="251" spans="1:14" x14ac:dyDescent="0.25">
      <c r="A251" s="21" t="s">
        <v>13131</v>
      </c>
      <c r="B251" s="22" t="s">
        <v>13132</v>
      </c>
      <c r="C251" s="2">
        <v>1</v>
      </c>
      <c r="D251" s="23">
        <v>17.87</v>
      </c>
      <c r="E251" s="3">
        <v>17.87</v>
      </c>
      <c r="F251" s="2" t="s">
        <v>20176</v>
      </c>
      <c r="G251" s="22"/>
      <c r="H251" s="24" t="s">
        <v>19367</v>
      </c>
      <c r="I251" s="22" t="s">
        <v>19309</v>
      </c>
      <c r="J251" s="22" t="s">
        <v>19708</v>
      </c>
      <c r="K251" s="22" t="s">
        <v>19709</v>
      </c>
      <c r="L251" s="22"/>
      <c r="M251" s="22"/>
      <c r="N251" s="25" t="str">
        <f>HYPERLINK("http://slimages.macys.com/is/image/MCY/22405968 ")</f>
        <v xml:space="preserve">http://slimages.macys.com/is/image/MCY/22405968 </v>
      </c>
    </row>
    <row r="252" spans="1:14" x14ac:dyDescent="0.25">
      <c r="A252" s="21" t="s">
        <v>6780</v>
      </c>
      <c r="B252" s="22" t="s">
        <v>6781</v>
      </c>
      <c r="C252" s="2">
        <v>3</v>
      </c>
      <c r="D252" s="23">
        <v>17.87</v>
      </c>
      <c r="E252" s="3">
        <v>53.61</v>
      </c>
      <c r="F252" s="2" t="s">
        <v>18184</v>
      </c>
      <c r="G252" s="22"/>
      <c r="H252" s="24" t="s">
        <v>19324</v>
      </c>
      <c r="I252" s="22" t="s">
        <v>19309</v>
      </c>
      <c r="J252" s="22" t="s">
        <v>19708</v>
      </c>
      <c r="K252" s="22" t="s">
        <v>19709</v>
      </c>
      <c r="L252" s="22"/>
      <c r="M252" s="22"/>
      <c r="N252" s="25" t="str">
        <f>HYPERLINK("http://slimages.macys.com/is/image/MCY/22595811 ")</f>
        <v xml:space="preserve">http://slimages.macys.com/is/image/MCY/22595811 </v>
      </c>
    </row>
    <row r="253" spans="1:14" x14ac:dyDescent="0.25">
      <c r="A253" s="21" t="s">
        <v>6782</v>
      </c>
      <c r="B253" s="22" t="s">
        <v>6783</v>
      </c>
      <c r="C253" s="2">
        <v>1</v>
      </c>
      <c r="D253" s="23">
        <v>17.87</v>
      </c>
      <c r="E253" s="3">
        <v>17.87</v>
      </c>
      <c r="F253" s="2" t="s">
        <v>18184</v>
      </c>
      <c r="G253" s="22"/>
      <c r="H253" s="24" t="s">
        <v>20152</v>
      </c>
      <c r="I253" s="22" t="s">
        <v>19309</v>
      </c>
      <c r="J253" s="22" t="s">
        <v>19708</v>
      </c>
      <c r="K253" s="22" t="s">
        <v>19709</v>
      </c>
      <c r="L253" s="22"/>
      <c r="M253" s="22"/>
      <c r="N253" s="25" t="str">
        <f>HYPERLINK("http://slimages.macys.com/is/image/MCY/22595811 ")</f>
        <v xml:space="preserve">http://slimages.macys.com/is/image/MCY/22595811 </v>
      </c>
    </row>
    <row r="254" spans="1:14" x14ac:dyDescent="0.25">
      <c r="A254" s="21" t="s">
        <v>18182</v>
      </c>
      <c r="B254" s="22" t="s">
        <v>18183</v>
      </c>
      <c r="C254" s="2">
        <v>2</v>
      </c>
      <c r="D254" s="23">
        <v>17.87</v>
      </c>
      <c r="E254" s="3">
        <v>35.74</v>
      </c>
      <c r="F254" s="2" t="s">
        <v>18184</v>
      </c>
      <c r="G254" s="22"/>
      <c r="H254" s="24" t="s">
        <v>19367</v>
      </c>
      <c r="I254" s="22" t="s">
        <v>19309</v>
      </c>
      <c r="J254" s="22" t="s">
        <v>19708</v>
      </c>
      <c r="K254" s="22" t="s">
        <v>19709</v>
      </c>
      <c r="L254" s="22"/>
      <c r="M254" s="22"/>
      <c r="N254" s="25" t="str">
        <f>HYPERLINK("http://slimages.macys.com/is/image/MCY/22595811 ")</f>
        <v xml:space="preserve">http://slimages.macys.com/is/image/MCY/22595811 </v>
      </c>
    </row>
    <row r="255" spans="1:14" x14ac:dyDescent="0.25">
      <c r="A255" s="21" t="s">
        <v>13127</v>
      </c>
      <c r="B255" s="22" t="s">
        <v>13128</v>
      </c>
      <c r="C255" s="2">
        <v>1</v>
      </c>
      <c r="D255" s="23">
        <v>17.87</v>
      </c>
      <c r="E255" s="3">
        <v>17.87</v>
      </c>
      <c r="F255" s="2" t="s">
        <v>18184</v>
      </c>
      <c r="G255" s="22"/>
      <c r="H255" s="24" t="s">
        <v>19330</v>
      </c>
      <c r="I255" s="22" t="s">
        <v>19309</v>
      </c>
      <c r="J255" s="22" t="s">
        <v>19708</v>
      </c>
      <c r="K255" s="22" t="s">
        <v>19709</v>
      </c>
      <c r="L255" s="22"/>
      <c r="M255" s="22"/>
      <c r="N255" s="25" t="str">
        <f>HYPERLINK("http://slimages.macys.com/is/image/MCY/22595811 ")</f>
        <v xml:space="preserve">http://slimages.macys.com/is/image/MCY/22595811 </v>
      </c>
    </row>
    <row r="256" spans="1:14" x14ac:dyDescent="0.25">
      <c r="A256" s="21" t="s">
        <v>13129</v>
      </c>
      <c r="B256" s="22" t="s">
        <v>13130</v>
      </c>
      <c r="C256" s="2">
        <v>1</v>
      </c>
      <c r="D256" s="23">
        <v>17.87</v>
      </c>
      <c r="E256" s="3">
        <v>17.87</v>
      </c>
      <c r="F256" s="2" t="s">
        <v>20182</v>
      </c>
      <c r="G256" s="22"/>
      <c r="H256" s="24" t="s">
        <v>20152</v>
      </c>
      <c r="I256" s="22" t="s">
        <v>19309</v>
      </c>
      <c r="J256" s="22" t="s">
        <v>19708</v>
      </c>
      <c r="K256" s="22" t="s">
        <v>19709</v>
      </c>
      <c r="L256" s="22"/>
      <c r="M256" s="22"/>
      <c r="N256" s="25" t="str">
        <f>HYPERLINK("http://slimages.macys.com/is/image/MCY/22405971 ")</f>
        <v xml:space="preserve">http://slimages.macys.com/is/image/MCY/22405971 </v>
      </c>
    </row>
    <row r="257" spans="1:14" x14ac:dyDescent="0.25">
      <c r="A257" s="21" t="s">
        <v>6784</v>
      </c>
      <c r="B257" s="22" t="s">
        <v>6785</v>
      </c>
      <c r="C257" s="2">
        <v>1</v>
      </c>
      <c r="D257" s="23">
        <v>17.87</v>
      </c>
      <c r="E257" s="3">
        <v>17.87</v>
      </c>
      <c r="F257" s="2" t="s">
        <v>20182</v>
      </c>
      <c r="G257" s="22"/>
      <c r="H257" s="24" t="s">
        <v>19367</v>
      </c>
      <c r="I257" s="22" t="s">
        <v>19309</v>
      </c>
      <c r="J257" s="22" t="s">
        <v>19708</v>
      </c>
      <c r="K257" s="22" t="s">
        <v>19709</v>
      </c>
      <c r="L257" s="22"/>
      <c r="M257" s="22"/>
      <c r="N257" s="25" t="str">
        <f>HYPERLINK("http://slimages.macys.com/is/image/MCY/22405971 ")</f>
        <v xml:space="preserve">http://slimages.macys.com/is/image/MCY/22405971 </v>
      </c>
    </row>
    <row r="258" spans="1:14" x14ac:dyDescent="0.25">
      <c r="A258" s="21" t="s">
        <v>20177</v>
      </c>
      <c r="B258" s="22" t="s">
        <v>20178</v>
      </c>
      <c r="C258" s="2">
        <v>1</v>
      </c>
      <c r="D258" s="23">
        <v>17.87</v>
      </c>
      <c r="E258" s="3">
        <v>17.87</v>
      </c>
      <c r="F258" s="2" t="s">
        <v>20179</v>
      </c>
      <c r="G258" s="22"/>
      <c r="H258" s="24" t="s">
        <v>20159</v>
      </c>
      <c r="I258" s="22" t="s">
        <v>19309</v>
      </c>
      <c r="J258" s="22" t="s">
        <v>19708</v>
      </c>
      <c r="K258" s="22" t="s">
        <v>19709</v>
      </c>
      <c r="L258" s="22"/>
      <c r="M258" s="22"/>
      <c r="N258" s="25" t="str">
        <f>HYPERLINK("http://slimages.macys.com/is/image/MCY/22405968 ")</f>
        <v xml:space="preserve">http://slimages.macys.com/is/image/MCY/22405968 </v>
      </c>
    </row>
    <row r="259" spans="1:14" x14ac:dyDescent="0.25">
      <c r="A259" s="21" t="s">
        <v>20171</v>
      </c>
      <c r="B259" s="22" t="s">
        <v>20172</v>
      </c>
      <c r="C259" s="2">
        <v>1</v>
      </c>
      <c r="D259" s="23">
        <v>17.87</v>
      </c>
      <c r="E259" s="3">
        <v>17.87</v>
      </c>
      <c r="F259" s="2" t="s">
        <v>20173</v>
      </c>
      <c r="G259" s="22"/>
      <c r="H259" s="24" t="s">
        <v>19770</v>
      </c>
      <c r="I259" s="22" t="s">
        <v>19309</v>
      </c>
      <c r="J259" s="22" t="s">
        <v>19708</v>
      </c>
      <c r="K259" s="22" t="s">
        <v>19709</v>
      </c>
      <c r="L259" s="22"/>
      <c r="M259" s="22"/>
      <c r="N259" s="25" t="str">
        <f>HYPERLINK("http://slimages.macys.com/is/image/MCY/22405672 ")</f>
        <v xml:space="preserve">http://slimages.macys.com/is/image/MCY/22405672 </v>
      </c>
    </row>
    <row r="260" spans="1:14" x14ac:dyDescent="0.25">
      <c r="A260" s="21" t="s">
        <v>20187</v>
      </c>
      <c r="B260" s="22" t="s">
        <v>20188</v>
      </c>
      <c r="C260" s="2">
        <v>1</v>
      </c>
      <c r="D260" s="23">
        <v>17.87</v>
      </c>
      <c r="E260" s="3">
        <v>17.87</v>
      </c>
      <c r="F260" s="2" t="s">
        <v>20176</v>
      </c>
      <c r="G260" s="22"/>
      <c r="H260" s="24" t="s">
        <v>19770</v>
      </c>
      <c r="I260" s="22" t="s">
        <v>19309</v>
      </c>
      <c r="J260" s="22" t="s">
        <v>19708</v>
      </c>
      <c r="K260" s="22" t="s">
        <v>19709</v>
      </c>
      <c r="L260" s="22"/>
      <c r="M260" s="22"/>
      <c r="N260" s="25" t="str">
        <f>HYPERLINK("http://slimages.macys.com/is/image/MCY/22405968 ")</f>
        <v xml:space="preserve">http://slimages.macys.com/is/image/MCY/22405968 </v>
      </c>
    </row>
    <row r="261" spans="1:14" x14ac:dyDescent="0.25">
      <c r="A261" s="21" t="s">
        <v>12114</v>
      </c>
      <c r="B261" s="22" t="s">
        <v>12115</v>
      </c>
      <c r="C261" s="2">
        <v>1</v>
      </c>
      <c r="D261" s="23">
        <v>17.87</v>
      </c>
      <c r="E261" s="3">
        <v>17.87</v>
      </c>
      <c r="F261" s="2" t="s">
        <v>20179</v>
      </c>
      <c r="G261" s="22"/>
      <c r="H261" s="24" t="s">
        <v>19770</v>
      </c>
      <c r="I261" s="22" t="s">
        <v>19309</v>
      </c>
      <c r="J261" s="22" t="s">
        <v>19708</v>
      </c>
      <c r="K261" s="22" t="s">
        <v>19709</v>
      </c>
      <c r="L261" s="22"/>
      <c r="M261" s="22"/>
      <c r="N261" s="25" t="str">
        <f>HYPERLINK("http://slimages.macys.com/is/image/MCY/22405968 ")</f>
        <v xml:space="preserve">http://slimages.macys.com/is/image/MCY/22405968 </v>
      </c>
    </row>
    <row r="262" spans="1:14" x14ac:dyDescent="0.25">
      <c r="A262" s="21" t="s">
        <v>12110</v>
      </c>
      <c r="B262" s="22" t="s">
        <v>12111</v>
      </c>
      <c r="C262" s="2">
        <v>1</v>
      </c>
      <c r="D262" s="23">
        <v>17.87</v>
      </c>
      <c r="E262" s="3">
        <v>17.87</v>
      </c>
      <c r="F262" s="2" t="s">
        <v>20179</v>
      </c>
      <c r="G262" s="22"/>
      <c r="H262" s="24" t="s">
        <v>20152</v>
      </c>
      <c r="I262" s="22" t="s">
        <v>19309</v>
      </c>
      <c r="J262" s="22" t="s">
        <v>19708</v>
      </c>
      <c r="K262" s="22" t="s">
        <v>19709</v>
      </c>
      <c r="L262" s="22"/>
      <c r="M262" s="22"/>
      <c r="N262" s="25" t="str">
        <f>HYPERLINK("http://slimages.macys.com/is/image/MCY/22405968 ")</f>
        <v xml:space="preserve">http://slimages.macys.com/is/image/MCY/22405968 </v>
      </c>
    </row>
    <row r="263" spans="1:14" ht="24.75" x14ac:dyDescent="0.25">
      <c r="A263" s="21" t="s">
        <v>6786</v>
      </c>
      <c r="B263" s="22" t="s">
        <v>6787</v>
      </c>
      <c r="C263" s="2">
        <v>1</v>
      </c>
      <c r="D263" s="23">
        <v>24</v>
      </c>
      <c r="E263" s="3">
        <v>24</v>
      </c>
      <c r="F263" s="2" t="s">
        <v>12120</v>
      </c>
      <c r="G263" s="22" t="s">
        <v>19351</v>
      </c>
      <c r="H263" s="24" t="s">
        <v>19542</v>
      </c>
      <c r="I263" s="22" t="s">
        <v>19309</v>
      </c>
      <c r="J263" s="22" t="s">
        <v>19447</v>
      </c>
      <c r="K263" s="22" t="s">
        <v>20146</v>
      </c>
      <c r="L263" s="22"/>
      <c r="M263" s="22"/>
      <c r="N263" s="25" t="str">
        <f>HYPERLINK("http://slimages.macys.com/is/image/MCY/18863123 ")</f>
        <v xml:space="preserve">http://slimages.macys.com/is/image/MCY/18863123 </v>
      </c>
    </row>
    <row r="264" spans="1:14" ht="24.75" x14ac:dyDescent="0.25">
      <c r="A264" s="21" t="s">
        <v>6788</v>
      </c>
      <c r="B264" s="22" t="s">
        <v>6789</v>
      </c>
      <c r="C264" s="2">
        <v>1</v>
      </c>
      <c r="D264" s="23">
        <v>15.99</v>
      </c>
      <c r="E264" s="3">
        <v>15.99</v>
      </c>
      <c r="F264" s="2" t="s">
        <v>11668</v>
      </c>
      <c r="G264" s="22" t="s">
        <v>19323</v>
      </c>
      <c r="H264" s="24" t="s">
        <v>19330</v>
      </c>
      <c r="I264" s="22" t="s">
        <v>19309</v>
      </c>
      <c r="J264" s="22" t="s">
        <v>19385</v>
      </c>
      <c r="K264" s="22" t="s">
        <v>18197</v>
      </c>
      <c r="L264" s="22"/>
      <c r="M264" s="22"/>
      <c r="N264" s="25" t="str">
        <f>HYPERLINK("http://slimages.macys.com/is/image/MCY/21541850 ")</f>
        <v xml:space="preserve">http://slimages.macys.com/is/image/MCY/21541850 </v>
      </c>
    </row>
    <row r="265" spans="1:14" ht="24.75" x14ac:dyDescent="0.25">
      <c r="A265" s="21" t="s">
        <v>15497</v>
      </c>
      <c r="B265" s="22" t="s">
        <v>13663</v>
      </c>
      <c r="C265" s="2">
        <v>1</v>
      </c>
      <c r="D265" s="23">
        <v>16.989999999999998</v>
      </c>
      <c r="E265" s="3">
        <v>16.989999999999998</v>
      </c>
      <c r="F265" s="2" t="s">
        <v>15490</v>
      </c>
      <c r="G265" s="22" t="s">
        <v>19315</v>
      </c>
      <c r="H265" s="24" t="s">
        <v>19361</v>
      </c>
      <c r="I265" s="22" t="s">
        <v>19309</v>
      </c>
      <c r="J265" s="22" t="s">
        <v>19815</v>
      </c>
      <c r="K265" s="22" t="s">
        <v>19816</v>
      </c>
      <c r="L265" s="22"/>
      <c r="M265" s="22"/>
      <c r="N265" s="25" t="str">
        <f>HYPERLINK("http://slimages.macys.com/is/image/MCY/20549879 ")</f>
        <v xml:space="preserve">http://slimages.macys.com/is/image/MCY/20549879 </v>
      </c>
    </row>
    <row r="266" spans="1:14" ht="24.75" x14ac:dyDescent="0.25">
      <c r="A266" s="21" t="s">
        <v>6790</v>
      </c>
      <c r="B266" s="22" t="s">
        <v>6791</v>
      </c>
      <c r="C266" s="2">
        <v>1</v>
      </c>
      <c r="D266" s="23">
        <v>16.989999999999998</v>
      </c>
      <c r="E266" s="3">
        <v>16.989999999999998</v>
      </c>
      <c r="F266" s="2" t="s">
        <v>15490</v>
      </c>
      <c r="G266" s="22" t="s">
        <v>19814</v>
      </c>
      <c r="H266" s="24" t="s">
        <v>19542</v>
      </c>
      <c r="I266" s="22" t="s">
        <v>19309</v>
      </c>
      <c r="J266" s="22" t="s">
        <v>19815</v>
      </c>
      <c r="K266" s="22" t="s">
        <v>19816</v>
      </c>
      <c r="L266" s="22"/>
      <c r="M266" s="22"/>
      <c r="N266" s="25" t="str">
        <f>HYPERLINK("http://slimages.macys.com/is/image/MCY/20549879 ")</f>
        <v xml:space="preserve">http://slimages.macys.com/is/image/MCY/20549879 </v>
      </c>
    </row>
    <row r="267" spans="1:14" ht="24.75" x14ac:dyDescent="0.25">
      <c r="A267" s="21" t="s">
        <v>6792</v>
      </c>
      <c r="B267" s="22" t="s">
        <v>6793</v>
      </c>
      <c r="C267" s="2">
        <v>1</v>
      </c>
      <c r="D267" s="23">
        <v>16.989999999999998</v>
      </c>
      <c r="E267" s="3">
        <v>16.989999999999998</v>
      </c>
      <c r="F267" s="2" t="s">
        <v>15490</v>
      </c>
      <c r="G267" s="22" t="s">
        <v>19814</v>
      </c>
      <c r="H267" s="24" t="s">
        <v>20135</v>
      </c>
      <c r="I267" s="22" t="s">
        <v>19309</v>
      </c>
      <c r="J267" s="22" t="s">
        <v>19815</v>
      </c>
      <c r="K267" s="22" t="s">
        <v>19816</v>
      </c>
      <c r="L267" s="22"/>
      <c r="M267" s="22"/>
      <c r="N267" s="25" t="str">
        <f>HYPERLINK("http://slimages.macys.com/is/image/MCY/20549879 ")</f>
        <v xml:space="preserve">http://slimages.macys.com/is/image/MCY/20549879 </v>
      </c>
    </row>
    <row r="268" spans="1:14" ht="24.75" x14ac:dyDescent="0.25">
      <c r="A268" s="21" t="s">
        <v>6794</v>
      </c>
      <c r="B268" s="22" t="s">
        <v>6795</v>
      </c>
      <c r="C268" s="2">
        <v>1</v>
      </c>
      <c r="D268" s="23">
        <v>14.99</v>
      </c>
      <c r="E268" s="3">
        <v>14.99</v>
      </c>
      <c r="F268" s="2" t="s">
        <v>16088</v>
      </c>
      <c r="G268" s="22" t="s">
        <v>19674</v>
      </c>
      <c r="H268" s="24" t="s">
        <v>20152</v>
      </c>
      <c r="I268" s="22" t="s">
        <v>19309</v>
      </c>
      <c r="J268" s="22" t="s">
        <v>19385</v>
      </c>
      <c r="K268" s="22" t="s">
        <v>19463</v>
      </c>
      <c r="L268" s="22"/>
      <c r="M268" s="22"/>
      <c r="N268" s="25" t="str">
        <f>HYPERLINK("http://slimages.macys.com/is/image/MCY/21474435 ")</f>
        <v xml:space="preserve">http://slimages.macys.com/is/image/MCY/21474435 </v>
      </c>
    </row>
    <row r="269" spans="1:14" ht="24.75" x14ac:dyDescent="0.25">
      <c r="A269" s="21" t="s">
        <v>6796</v>
      </c>
      <c r="B269" s="22" t="s">
        <v>6797</v>
      </c>
      <c r="C269" s="2">
        <v>1</v>
      </c>
      <c r="D269" s="23">
        <v>16.989999999999998</v>
      </c>
      <c r="E269" s="3">
        <v>16.989999999999998</v>
      </c>
      <c r="F269" s="2" t="s">
        <v>20213</v>
      </c>
      <c r="G269" s="22" t="s">
        <v>19585</v>
      </c>
      <c r="H269" s="24" t="s">
        <v>19324</v>
      </c>
      <c r="I269" s="22" t="s">
        <v>19309</v>
      </c>
      <c r="J269" s="22" t="s">
        <v>19491</v>
      </c>
      <c r="K269" s="22" t="s">
        <v>20146</v>
      </c>
      <c r="L269" s="22"/>
      <c r="M269" s="22"/>
      <c r="N269" s="25" t="str">
        <f>HYPERLINK("http://slimages.macys.com/is/image/MCY/21260697 ")</f>
        <v xml:space="preserve">http://slimages.macys.com/is/image/MCY/21260697 </v>
      </c>
    </row>
    <row r="270" spans="1:14" ht="24.75" x14ac:dyDescent="0.25">
      <c r="A270" s="21" t="s">
        <v>6798</v>
      </c>
      <c r="B270" s="22" t="s">
        <v>6799</v>
      </c>
      <c r="C270" s="2">
        <v>1</v>
      </c>
      <c r="D270" s="23">
        <v>15.99</v>
      </c>
      <c r="E270" s="3">
        <v>15.99</v>
      </c>
      <c r="F270" s="2" t="s">
        <v>6800</v>
      </c>
      <c r="G270" s="22" t="s">
        <v>19315</v>
      </c>
      <c r="H270" s="24" t="s">
        <v>19364</v>
      </c>
      <c r="I270" s="22" t="s">
        <v>19309</v>
      </c>
      <c r="J270" s="22" t="s">
        <v>19565</v>
      </c>
      <c r="K270" s="22" t="s">
        <v>15793</v>
      </c>
      <c r="L270" s="22"/>
      <c r="M270" s="22"/>
      <c r="N270" s="25" t="str">
        <f>HYPERLINK("http://slimages.macys.com/is/image/MCY/19244942 ")</f>
        <v xml:space="preserve">http://slimages.macys.com/is/image/MCY/19244942 </v>
      </c>
    </row>
    <row r="271" spans="1:14" ht="24.75" x14ac:dyDescent="0.25">
      <c r="A271" s="21" t="s">
        <v>6801</v>
      </c>
      <c r="B271" s="22" t="s">
        <v>6802</v>
      </c>
      <c r="C271" s="2">
        <v>1</v>
      </c>
      <c r="D271" s="23">
        <v>12.99</v>
      </c>
      <c r="E271" s="3">
        <v>12.99</v>
      </c>
      <c r="F271" s="2">
        <v>5133</v>
      </c>
      <c r="G271" s="22" t="s">
        <v>19618</v>
      </c>
      <c r="H271" s="24"/>
      <c r="I271" s="22" t="s">
        <v>19309</v>
      </c>
      <c r="J271" s="22" t="s">
        <v>20076</v>
      </c>
      <c r="K271" s="22" t="s">
        <v>20250</v>
      </c>
      <c r="L271" s="22" t="s">
        <v>19319</v>
      </c>
      <c r="M271" s="22" t="s">
        <v>19689</v>
      </c>
      <c r="N271" s="25" t="str">
        <f>HYPERLINK("http://slimages.macys.com/is/image/MCY/14527651 ")</f>
        <v xml:space="preserve">http://slimages.macys.com/is/image/MCY/14527651 </v>
      </c>
    </row>
    <row r="272" spans="1:14" x14ac:dyDescent="0.25">
      <c r="A272" s="21" t="s">
        <v>6803</v>
      </c>
      <c r="B272" s="22" t="s">
        <v>6804</v>
      </c>
      <c r="C272" s="2">
        <v>1</v>
      </c>
      <c r="D272" s="23">
        <v>13.99</v>
      </c>
      <c r="E272" s="3">
        <v>13.99</v>
      </c>
      <c r="F272" s="2" t="s">
        <v>20216</v>
      </c>
      <c r="G272" s="22" t="s">
        <v>19351</v>
      </c>
      <c r="H272" s="24" t="s">
        <v>19395</v>
      </c>
      <c r="I272" s="22" t="s">
        <v>19309</v>
      </c>
      <c r="J272" s="22" t="s">
        <v>19310</v>
      </c>
      <c r="K272" s="22" t="s">
        <v>19440</v>
      </c>
      <c r="L272" s="22"/>
      <c r="M272" s="22"/>
      <c r="N272" s="25" t="str">
        <f>HYPERLINK("http://slimages.macys.com/is/image/MCY/21267878 ")</f>
        <v xml:space="preserve">http://slimages.macys.com/is/image/MCY/21267878 </v>
      </c>
    </row>
    <row r="273" spans="1:14" ht="24.75" x14ac:dyDescent="0.25">
      <c r="A273" s="21" t="s">
        <v>6805</v>
      </c>
      <c r="B273" s="22" t="s">
        <v>6806</v>
      </c>
      <c r="C273" s="2">
        <v>1</v>
      </c>
      <c r="D273" s="23">
        <v>16</v>
      </c>
      <c r="E273" s="3">
        <v>16</v>
      </c>
      <c r="F273" s="2" t="s">
        <v>6807</v>
      </c>
      <c r="G273" s="22" t="s">
        <v>19315</v>
      </c>
      <c r="H273" s="24"/>
      <c r="I273" s="22" t="s">
        <v>19309</v>
      </c>
      <c r="J273" s="22" t="s">
        <v>20076</v>
      </c>
      <c r="K273" s="22" t="s">
        <v>6808</v>
      </c>
      <c r="L273" s="22"/>
      <c r="M273" s="22"/>
      <c r="N273" s="25" t="str">
        <f>HYPERLINK("http://slimages.macys.com/is/image/MCY/17354963 ")</f>
        <v xml:space="preserve">http://slimages.macys.com/is/image/MCY/17354963 </v>
      </c>
    </row>
    <row r="274" spans="1:14" ht="36.75" x14ac:dyDescent="0.25">
      <c r="A274" s="21" t="s">
        <v>20230</v>
      </c>
      <c r="B274" s="22" t="s">
        <v>20231</v>
      </c>
      <c r="C274" s="2">
        <v>2</v>
      </c>
      <c r="D274" s="23">
        <v>16.989999999999998</v>
      </c>
      <c r="E274" s="3">
        <v>33.979999999999997</v>
      </c>
      <c r="F274" s="2" t="s">
        <v>20226</v>
      </c>
      <c r="G274" s="22" t="s">
        <v>19315</v>
      </c>
      <c r="H274" s="24" t="s">
        <v>20232</v>
      </c>
      <c r="I274" s="22" t="s">
        <v>19309</v>
      </c>
      <c r="J274" s="22" t="s">
        <v>19573</v>
      </c>
      <c r="K274" s="22" t="s">
        <v>20228</v>
      </c>
      <c r="L274" s="22" t="s">
        <v>19319</v>
      </c>
      <c r="M274" s="22" t="s">
        <v>20229</v>
      </c>
      <c r="N274" s="25" t="str">
        <f>HYPERLINK("http://slimages.macys.com/is/image/MCY/8256826 ")</f>
        <v xml:space="preserve">http://slimages.macys.com/is/image/MCY/8256826 </v>
      </c>
    </row>
    <row r="275" spans="1:14" ht="36.75" x14ac:dyDescent="0.25">
      <c r="A275" s="21" t="s">
        <v>6809</v>
      </c>
      <c r="B275" s="22" t="s">
        <v>6810</v>
      </c>
      <c r="C275" s="2">
        <v>1</v>
      </c>
      <c r="D275" s="23">
        <v>16.989999999999998</v>
      </c>
      <c r="E275" s="3">
        <v>16.989999999999998</v>
      </c>
      <c r="F275" s="2" t="s">
        <v>20226</v>
      </c>
      <c r="G275" s="22" t="s">
        <v>19315</v>
      </c>
      <c r="H275" s="24" t="s">
        <v>19395</v>
      </c>
      <c r="I275" s="22" t="s">
        <v>19309</v>
      </c>
      <c r="J275" s="22" t="s">
        <v>19573</v>
      </c>
      <c r="K275" s="22" t="s">
        <v>20228</v>
      </c>
      <c r="L275" s="22" t="s">
        <v>19319</v>
      </c>
      <c r="M275" s="22" t="s">
        <v>20229</v>
      </c>
      <c r="N275" s="25" t="str">
        <f>HYPERLINK("http://slimages.macys.com/is/image/MCY/8256826 ")</f>
        <v xml:space="preserve">http://slimages.macys.com/is/image/MCY/8256826 </v>
      </c>
    </row>
    <row r="276" spans="1:14" ht="36.75" x14ac:dyDescent="0.25">
      <c r="A276" s="21" t="s">
        <v>6811</v>
      </c>
      <c r="B276" s="22" t="s">
        <v>6812</v>
      </c>
      <c r="C276" s="2">
        <v>1</v>
      </c>
      <c r="D276" s="23">
        <v>16.989999999999998</v>
      </c>
      <c r="E276" s="3">
        <v>16.989999999999998</v>
      </c>
      <c r="F276" s="2" t="s">
        <v>20226</v>
      </c>
      <c r="G276" s="22" t="s">
        <v>19315</v>
      </c>
      <c r="H276" s="24" t="s">
        <v>18530</v>
      </c>
      <c r="I276" s="22" t="s">
        <v>19309</v>
      </c>
      <c r="J276" s="22" t="s">
        <v>19573</v>
      </c>
      <c r="K276" s="22" t="s">
        <v>20228</v>
      </c>
      <c r="L276" s="22" t="s">
        <v>19319</v>
      </c>
      <c r="M276" s="22" t="s">
        <v>20229</v>
      </c>
      <c r="N276" s="25" t="str">
        <f>HYPERLINK("http://slimages.macys.com/is/image/MCY/8256826 ")</f>
        <v xml:space="preserve">http://slimages.macys.com/is/image/MCY/8256826 </v>
      </c>
    </row>
    <row r="277" spans="1:14" ht="24.75" x14ac:dyDescent="0.25">
      <c r="A277" s="21" t="s">
        <v>20242</v>
      </c>
      <c r="B277" s="22" t="s">
        <v>20243</v>
      </c>
      <c r="C277" s="2">
        <v>1</v>
      </c>
      <c r="D277" s="23">
        <v>18.989999999999998</v>
      </c>
      <c r="E277" s="3">
        <v>18.989999999999998</v>
      </c>
      <c r="F277" s="2" t="s">
        <v>20244</v>
      </c>
      <c r="G277" s="22" t="s">
        <v>19323</v>
      </c>
      <c r="H277" s="24" t="s">
        <v>19377</v>
      </c>
      <c r="I277" s="22" t="s">
        <v>19309</v>
      </c>
      <c r="J277" s="22" t="s">
        <v>19908</v>
      </c>
      <c r="K277" s="22" t="s">
        <v>19524</v>
      </c>
      <c r="L277" s="22"/>
      <c r="M277" s="22"/>
      <c r="N277" s="25" t="str">
        <f>HYPERLINK("http://slimages.macys.com/is/image/MCY/21569915 ")</f>
        <v xml:space="preserve">http://slimages.macys.com/is/image/MCY/21569915 </v>
      </c>
    </row>
    <row r="278" spans="1:14" ht="24.75" x14ac:dyDescent="0.25">
      <c r="A278" s="21" t="s">
        <v>6813</v>
      </c>
      <c r="B278" s="22" t="s">
        <v>6814</v>
      </c>
      <c r="C278" s="2">
        <v>1</v>
      </c>
      <c r="D278" s="23">
        <v>15.99</v>
      </c>
      <c r="E278" s="3">
        <v>15.99</v>
      </c>
      <c r="F278" s="2" t="s">
        <v>6815</v>
      </c>
      <c r="G278" s="22" t="s">
        <v>18439</v>
      </c>
      <c r="H278" s="24" t="s">
        <v>19352</v>
      </c>
      <c r="I278" s="22" t="s">
        <v>19309</v>
      </c>
      <c r="J278" s="22" t="s">
        <v>19454</v>
      </c>
      <c r="K278" s="22" t="s">
        <v>18654</v>
      </c>
      <c r="L278" s="22"/>
      <c r="M278" s="22"/>
      <c r="N278" s="25" t="str">
        <f>HYPERLINK("http://slimages.macys.com/is/image/MCY/21708498 ")</f>
        <v xml:space="preserve">http://slimages.macys.com/is/image/MCY/21708498 </v>
      </c>
    </row>
    <row r="279" spans="1:14" ht="24.75" x14ac:dyDescent="0.25">
      <c r="A279" s="21" t="s">
        <v>18235</v>
      </c>
      <c r="B279" s="22" t="s">
        <v>18236</v>
      </c>
      <c r="C279" s="2">
        <v>1</v>
      </c>
      <c r="D279" s="23">
        <v>14.99</v>
      </c>
      <c r="E279" s="3">
        <v>14.99</v>
      </c>
      <c r="F279" s="2" t="s">
        <v>18230</v>
      </c>
      <c r="G279" s="22"/>
      <c r="H279" s="24"/>
      <c r="I279" s="22" t="s">
        <v>19309</v>
      </c>
      <c r="J279" s="22" t="s">
        <v>20076</v>
      </c>
      <c r="K279" s="22" t="s">
        <v>18231</v>
      </c>
      <c r="L279" s="22"/>
      <c r="M279" s="22"/>
      <c r="N279" s="25" t="str">
        <f>HYPERLINK("http://slimages.macys.com/is/image/MCY/21541701 ")</f>
        <v xml:space="preserve">http://slimages.macys.com/is/image/MCY/21541701 </v>
      </c>
    </row>
    <row r="280" spans="1:14" ht="24.75" x14ac:dyDescent="0.25">
      <c r="A280" s="21" t="s">
        <v>20247</v>
      </c>
      <c r="B280" s="22" t="s">
        <v>20248</v>
      </c>
      <c r="C280" s="2">
        <v>1</v>
      </c>
      <c r="D280" s="23">
        <v>12.99</v>
      </c>
      <c r="E280" s="3">
        <v>12.99</v>
      </c>
      <c r="F280" s="2" t="s">
        <v>20249</v>
      </c>
      <c r="G280" s="22" t="s">
        <v>19338</v>
      </c>
      <c r="H280" s="24"/>
      <c r="I280" s="22" t="s">
        <v>19309</v>
      </c>
      <c r="J280" s="22" t="s">
        <v>20076</v>
      </c>
      <c r="K280" s="22" t="s">
        <v>20250</v>
      </c>
      <c r="L280" s="22" t="s">
        <v>19319</v>
      </c>
      <c r="M280" s="22" t="s">
        <v>20251</v>
      </c>
      <c r="N280" s="25" t="str">
        <f>HYPERLINK("http://slimages.macys.com/is/image/MCY/9336625 ")</f>
        <v xml:space="preserve">http://slimages.macys.com/is/image/MCY/9336625 </v>
      </c>
    </row>
    <row r="281" spans="1:14" x14ac:dyDescent="0.25">
      <c r="A281" s="21" t="s">
        <v>18249</v>
      </c>
      <c r="B281" s="22" t="s">
        <v>18250</v>
      </c>
      <c r="C281" s="2">
        <v>1</v>
      </c>
      <c r="D281" s="23">
        <v>16.989999999999998</v>
      </c>
      <c r="E281" s="3">
        <v>16.989999999999998</v>
      </c>
      <c r="F281" s="2" t="s">
        <v>20262</v>
      </c>
      <c r="G281" s="22" t="s">
        <v>19351</v>
      </c>
      <c r="H281" s="24" t="s">
        <v>19364</v>
      </c>
      <c r="I281" s="22" t="s">
        <v>19309</v>
      </c>
      <c r="J281" s="22" t="s">
        <v>19849</v>
      </c>
      <c r="K281" s="22" t="s">
        <v>19850</v>
      </c>
      <c r="L281" s="22"/>
      <c r="M281" s="22"/>
      <c r="N281" s="25" t="str">
        <f>HYPERLINK("http://slimages.macys.com/is/image/MCY/21270467 ")</f>
        <v xml:space="preserve">http://slimages.macys.com/is/image/MCY/21270467 </v>
      </c>
    </row>
    <row r="282" spans="1:14" ht="24.75" x14ac:dyDescent="0.25">
      <c r="A282" s="21" t="s">
        <v>12169</v>
      </c>
      <c r="B282" s="22" t="s">
        <v>12170</v>
      </c>
      <c r="C282" s="2">
        <v>1</v>
      </c>
      <c r="D282" s="23">
        <v>11.99</v>
      </c>
      <c r="E282" s="3">
        <v>11.99</v>
      </c>
      <c r="F282" s="2" t="s">
        <v>13173</v>
      </c>
      <c r="G282" s="22" t="s">
        <v>19333</v>
      </c>
      <c r="H282" s="24" t="s">
        <v>19770</v>
      </c>
      <c r="I282" s="22" t="s">
        <v>19309</v>
      </c>
      <c r="J282" s="22" t="s">
        <v>19573</v>
      </c>
      <c r="K282" s="22" t="s">
        <v>20256</v>
      </c>
      <c r="L282" s="22" t="s">
        <v>19319</v>
      </c>
      <c r="M282" s="22" t="s">
        <v>19358</v>
      </c>
      <c r="N282" s="25" t="str">
        <f>HYPERLINK("http://slimages.macys.com/is/image/MCY/8018009 ")</f>
        <v xml:space="preserve">http://slimages.macys.com/is/image/MCY/8018009 </v>
      </c>
    </row>
    <row r="283" spans="1:14" x14ac:dyDescent="0.25">
      <c r="A283" s="21" t="s">
        <v>18256</v>
      </c>
      <c r="B283" s="22" t="s">
        <v>18257</v>
      </c>
      <c r="C283" s="2">
        <v>2</v>
      </c>
      <c r="D283" s="23">
        <v>21.99</v>
      </c>
      <c r="E283" s="3">
        <v>43.98</v>
      </c>
      <c r="F283" s="2" t="s">
        <v>20270</v>
      </c>
      <c r="G283" s="22" t="s">
        <v>19467</v>
      </c>
      <c r="H283" s="24" t="s">
        <v>19339</v>
      </c>
      <c r="I283" s="22" t="s">
        <v>19309</v>
      </c>
      <c r="J283" s="22" t="s">
        <v>19849</v>
      </c>
      <c r="K283" s="22" t="s">
        <v>19850</v>
      </c>
      <c r="L283" s="22"/>
      <c r="M283" s="22"/>
      <c r="N283" s="25" t="str">
        <f>HYPERLINK("http://slimages.macys.com/is/image/MCY/20786240 ")</f>
        <v xml:space="preserve">http://slimages.macys.com/is/image/MCY/20786240 </v>
      </c>
    </row>
    <row r="284" spans="1:14" ht="24.75" x14ac:dyDescent="0.25">
      <c r="A284" s="21" t="s">
        <v>6816</v>
      </c>
      <c r="B284" s="22" t="s">
        <v>6817</v>
      </c>
      <c r="C284" s="2">
        <v>1</v>
      </c>
      <c r="D284" s="23">
        <v>12.99</v>
      </c>
      <c r="E284" s="3">
        <v>12.99</v>
      </c>
      <c r="F284" s="2">
        <v>5133</v>
      </c>
      <c r="G284" s="22" t="s">
        <v>19333</v>
      </c>
      <c r="H284" s="24"/>
      <c r="I284" s="22" t="s">
        <v>19309</v>
      </c>
      <c r="J284" s="22" t="s">
        <v>20076</v>
      </c>
      <c r="K284" s="22" t="s">
        <v>20250</v>
      </c>
      <c r="L284" s="22" t="s">
        <v>19319</v>
      </c>
      <c r="M284" s="22" t="s">
        <v>19689</v>
      </c>
      <c r="N284" s="25" t="str">
        <f>HYPERLINK("http://slimages.macys.com/is/image/MCY/17906319 ")</f>
        <v xml:space="preserve">http://slimages.macys.com/is/image/MCY/17906319 </v>
      </c>
    </row>
    <row r="285" spans="1:14" ht="24.75" x14ac:dyDescent="0.25">
      <c r="A285" s="21" t="s">
        <v>6818</v>
      </c>
      <c r="B285" s="22" t="s">
        <v>6819</v>
      </c>
      <c r="C285" s="2">
        <v>1</v>
      </c>
      <c r="D285" s="23">
        <v>12.99</v>
      </c>
      <c r="E285" s="3">
        <v>12.99</v>
      </c>
      <c r="F285" s="2" t="s">
        <v>20273</v>
      </c>
      <c r="G285" s="22" t="s">
        <v>19763</v>
      </c>
      <c r="H285" s="24"/>
      <c r="I285" s="22" t="s">
        <v>19309</v>
      </c>
      <c r="J285" s="22" t="s">
        <v>20076</v>
      </c>
      <c r="K285" s="22" t="s">
        <v>20250</v>
      </c>
      <c r="L285" s="22" t="s">
        <v>19319</v>
      </c>
      <c r="M285" s="22" t="s">
        <v>20251</v>
      </c>
      <c r="N285" s="25" t="str">
        <f>HYPERLINK("http://slimages.macys.com/is/image/MCY/9336742 ")</f>
        <v xml:space="preserve">http://slimages.macys.com/is/image/MCY/9336742 </v>
      </c>
    </row>
    <row r="286" spans="1:14" ht="24.75" x14ac:dyDescent="0.25">
      <c r="A286" s="21" t="s">
        <v>20271</v>
      </c>
      <c r="B286" s="22" t="s">
        <v>20272</v>
      </c>
      <c r="C286" s="2">
        <v>1</v>
      </c>
      <c r="D286" s="23">
        <v>12.99</v>
      </c>
      <c r="E286" s="3">
        <v>12.99</v>
      </c>
      <c r="F286" s="2" t="s">
        <v>20273</v>
      </c>
      <c r="G286" s="22" t="s">
        <v>19763</v>
      </c>
      <c r="H286" s="24"/>
      <c r="I286" s="22" t="s">
        <v>19309</v>
      </c>
      <c r="J286" s="22" t="s">
        <v>20076</v>
      </c>
      <c r="K286" s="22" t="s">
        <v>20250</v>
      </c>
      <c r="L286" s="22" t="s">
        <v>19319</v>
      </c>
      <c r="M286" s="22" t="s">
        <v>20251</v>
      </c>
      <c r="N286" s="25" t="str">
        <f>HYPERLINK("http://slimages.macys.com/is/image/MCY/9336742 ")</f>
        <v xml:space="preserve">http://slimages.macys.com/is/image/MCY/9336742 </v>
      </c>
    </row>
    <row r="287" spans="1:14" x14ac:dyDescent="0.25">
      <c r="A287" s="21" t="s">
        <v>8891</v>
      </c>
      <c r="B287" s="22" t="s">
        <v>8892</v>
      </c>
      <c r="C287" s="2">
        <v>3</v>
      </c>
      <c r="D287" s="23">
        <v>16.989999999999998</v>
      </c>
      <c r="E287" s="3">
        <v>50.97</v>
      </c>
      <c r="F287" s="2" t="s">
        <v>11061</v>
      </c>
      <c r="G287" s="22" t="s">
        <v>19462</v>
      </c>
      <c r="H287" s="24" t="s">
        <v>19364</v>
      </c>
      <c r="I287" s="22" t="s">
        <v>19309</v>
      </c>
      <c r="J287" s="22" t="s">
        <v>19849</v>
      </c>
      <c r="K287" s="22" t="s">
        <v>19850</v>
      </c>
      <c r="L287" s="22"/>
      <c r="M287" s="22"/>
      <c r="N287" s="25" t="str">
        <f>HYPERLINK("http://slimages.macys.com/is/image/MCY/1553435 ")</f>
        <v xml:space="preserve">http://slimages.macys.com/is/image/MCY/1553435 </v>
      </c>
    </row>
    <row r="288" spans="1:14" x14ac:dyDescent="0.25">
      <c r="A288" s="21" t="s">
        <v>6820</v>
      </c>
      <c r="B288" s="22" t="s">
        <v>6821</v>
      </c>
      <c r="C288" s="2">
        <v>8</v>
      </c>
      <c r="D288" s="23">
        <v>16.989999999999998</v>
      </c>
      <c r="E288" s="3">
        <v>135.91999999999999</v>
      </c>
      <c r="F288" s="2" t="s">
        <v>11061</v>
      </c>
      <c r="G288" s="22" t="s">
        <v>19462</v>
      </c>
      <c r="H288" s="24" t="s">
        <v>19352</v>
      </c>
      <c r="I288" s="22" t="s">
        <v>19309</v>
      </c>
      <c r="J288" s="22" t="s">
        <v>19849</v>
      </c>
      <c r="K288" s="22" t="s">
        <v>19850</v>
      </c>
      <c r="L288" s="22"/>
      <c r="M288" s="22"/>
      <c r="N288" s="25" t="str">
        <f>HYPERLINK("http://slimages.macys.com/is/image/MCY/1553435 ")</f>
        <v xml:space="preserve">http://slimages.macys.com/is/image/MCY/1553435 </v>
      </c>
    </row>
    <row r="289" spans="1:14" x14ac:dyDescent="0.25">
      <c r="A289" s="21" t="s">
        <v>8434</v>
      </c>
      <c r="B289" s="22" t="s">
        <v>8435</v>
      </c>
      <c r="C289" s="2">
        <v>2</v>
      </c>
      <c r="D289" s="23">
        <v>16.989999999999998</v>
      </c>
      <c r="E289" s="3">
        <v>33.979999999999997</v>
      </c>
      <c r="F289" s="2" t="s">
        <v>11061</v>
      </c>
      <c r="G289" s="22" t="s">
        <v>19462</v>
      </c>
      <c r="H289" s="24" t="s">
        <v>19797</v>
      </c>
      <c r="I289" s="22" t="s">
        <v>19309</v>
      </c>
      <c r="J289" s="22" t="s">
        <v>19849</v>
      </c>
      <c r="K289" s="22" t="s">
        <v>19850</v>
      </c>
      <c r="L289" s="22"/>
      <c r="M289" s="22"/>
      <c r="N289" s="25" t="str">
        <f>HYPERLINK("http://slimages.macys.com/is/image/MCY/1553435 ")</f>
        <v xml:space="preserve">http://slimages.macys.com/is/image/MCY/1553435 </v>
      </c>
    </row>
    <row r="290" spans="1:14" x14ac:dyDescent="0.25">
      <c r="A290" s="21" t="s">
        <v>11710</v>
      </c>
      <c r="B290" s="22" t="s">
        <v>11711</v>
      </c>
      <c r="C290" s="2">
        <v>1</v>
      </c>
      <c r="D290" s="23">
        <v>16.989999999999998</v>
      </c>
      <c r="E290" s="3">
        <v>16.989999999999998</v>
      </c>
      <c r="F290" s="2" t="s">
        <v>11061</v>
      </c>
      <c r="G290" s="22" t="s">
        <v>19462</v>
      </c>
      <c r="H290" s="24" t="s">
        <v>19339</v>
      </c>
      <c r="I290" s="22" t="s">
        <v>19309</v>
      </c>
      <c r="J290" s="22" t="s">
        <v>19849</v>
      </c>
      <c r="K290" s="22" t="s">
        <v>19850</v>
      </c>
      <c r="L290" s="22"/>
      <c r="M290" s="22"/>
      <c r="N290" s="25" t="str">
        <f>HYPERLINK("http://slimages.macys.com/is/image/MCY/1553435 ")</f>
        <v xml:space="preserve">http://slimages.macys.com/is/image/MCY/1553435 </v>
      </c>
    </row>
    <row r="291" spans="1:14" x14ac:dyDescent="0.25">
      <c r="A291" s="21" t="s">
        <v>6822</v>
      </c>
      <c r="B291" s="22" t="s">
        <v>6823</v>
      </c>
      <c r="C291" s="2">
        <v>1</v>
      </c>
      <c r="D291" s="23">
        <v>16.989999999999998</v>
      </c>
      <c r="E291" s="3">
        <v>16.989999999999998</v>
      </c>
      <c r="F291" s="2" t="s">
        <v>6824</v>
      </c>
      <c r="G291" s="22" t="s">
        <v>19674</v>
      </c>
      <c r="H291" s="24" t="s">
        <v>19364</v>
      </c>
      <c r="I291" s="22" t="s">
        <v>19309</v>
      </c>
      <c r="J291" s="22" t="s">
        <v>19849</v>
      </c>
      <c r="K291" s="22" t="s">
        <v>19850</v>
      </c>
      <c r="L291" s="22"/>
      <c r="M291" s="22"/>
      <c r="N291" s="25" t="str">
        <f>HYPERLINK("http://slimages.macys.com/is/image/MCY/1538311 ")</f>
        <v xml:space="preserve">http://slimages.macys.com/is/image/MCY/1538311 </v>
      </c>
    </row>
    <row r="292" spans="1:14" x14ac:dyDescent="0.25">
      <c r="A292" s="21" t="s">
        <v>6825</v>
      </c>
      <c r="B292" s="22" t="s">
        <v>6826</v>
      </c>
      <c r="C292" s="2">
        <v>2</v>
      </c>
      <c r="D292" s="23">
        <v>16.989999999999998</v>
      </c>
      <c r="E292" s="3">
        <v>33.979999999999997</v>
      </c>
      <c r="F292" s="2" t="s">
        <v>13743</v>
      </c>
      <c r="G292" s="22" t="s">
        <v>19431</v>
      </c>
      <c r="H292" s="24" t="s">
        <v>19352</v>
      </c>
      <c r="I292" s="22" t="s">
        <v>19309</v>
      </c>
      <c r="J292" s="22" t="s">
        <v>19849</v>
      </c>
      <c r="K292" s="22" t="s">
        <v>19850</v>
      </c>
      <c r="L292" s="22"/>
      <c r="M292" s="22"/>
      <c r="N292" s="25" t="str">
        <f>HYPERLINK("http://slimages.macys.com/is/image/MCY/20549489 ")</f>
        <v xml:space="preserve">http://slimages.macys.com/is/image/MCY/20549489 </v>
      </c>
    </row>
    <row r="293" spans="1:14" x14ac:dyDescent="0.25">
      <c r="A293" s="21" t="s">
        <v>10608</v>
      </c>
      <c r="B293" s="22" t="s">
        <v>10609</v>
      </c>
      <c r="C293" s="2">
        <v>1</v>
      </c>
      <c r="D293" s="23">
        <v>16.989999999999998</v>
      </c>
      <c r="E293" s="3">
        <v>16.989999999999998</v>
      </c>
      <c r="F293" s="2" t="s">
        <v>13743</v>
      </c>
      <c r="G293" s="22" t="s">
        <v>19431</v>
      </c>
      <c r="H293" s="24" t="s">
        <v>19339</v>
      </c>
      <c r="I293" s="22" t="s">
        <v>19309</v>
      </c>
      <c r="J293" s="22" t="s">
        <v>19849</v>
      </c>
      <c r="K293" s="22" t="s">
        <v>19850</v>
      </c>
      <c r="L293" s="22"/>
      <c r="M293" s="22"/>
      <c r="N293" s="25" t="str">
        <f>HYPERLINK("http://slimages.macys.com/is/image/MCY/20549489 ")</f>
        <v xml:space="preserve">http://slimages.macys.com/is/image/MCY/20549489 </v>
      </c>
    </row>
    <row r="294" spans="1:14" x14ac:dyDescent="0.25">
      <c r="A294" s="21" t="s">
        <v>6827</v>
      </c>
      <c r="B294" s="22" t="s">
        <v>6828</v>
      </c>
      <c r="C294" s="2">
        <v>1</v>
      </c>
      <c r="D294" s="23">
        <v>16.989999999999998</v>
      </c>
      <c r="E294" s="3">
        <v>16.989999999999998</v>
      </c>
      <c r="F294" s="2" t="s">
        <v>13751</v>
      </c>
      <c r="G294" s="22" t="s">
        <v>19431</v>
      </c>
      <c r="H294" s="24" t="s">
        <v>19352</v>
      </c>
      <c r="I294" s="22" t="s">
        <v>19309</v>
      </c>
      <c r="J294" s="22" t="s">
        <v>19849</v>
      </c>
      <c r="K294" s="22" t="s">
        <v>19850</v>
      </c>
      <c r="L294" s="22"/>
      <c r="M294" s="22"/>
      <c r="N294" s="25" t="str">
        <f>HYPERLINK("http://slimages.macys.com/is/image/MCY/21277111 ")</f>
        <v xml:space="preserve">http://slimages.macys.com/is/image/MCY/21277111 </v>
      </c>
    </row>
    <row r="295" spans="1:14" ht="36.75" x14ac:dyDescent="0.25">
      <c r="A295" s="21" t="s">
        <v>20295</v>
      </c>
      <c r="B295" s="22" t="s">
        <v>20296</v>
      </c>
      <c r="C295" s="2">
        <v>1</v>
      </c>
      <c r="D295" s="23">
        <v>14.99</v>
      </c>
      <c r="E295" s="3">
        <v>14.99</v>
      </c>
      <c r="F295" s="2" t="s">
        <v>20297</v>
      </c>
      <c r="G295" s="22" t="s">
        <v>19674</v>
      </c>
      <c r="H295" s="24" t="s">
        <v>19538</v>
      </c>
      <c r="I295" s="22" t="s">
        <v>19309</v>
      </c>
      <c r="J295" s="22" t="s">
        <v>19573</v>
      </c>
      <c r="K295" s="22" t="s">
        <v>20256</v>
      </c>
      <c r="L295" s="22" t="s">
        <v>19319</v>
      </c>
      <c r="M295" s="22" t="s">
        <v>20298</v>
      </c>
      <c r="N295" s="25" t="str">
        <f>HYPERLINK("http://slimages.macys.com/is/image/MCY/3931290 ")</f>
        <v xml:space="preserve">http://slimages.macys.com/is/image/MCY/3931290 </v>
      </c>
    </row>
    <row r="296" spans="1:14" x14ac:dyDescent="0.25">
      <c r="A296" s="21" t="s">
        <v>6829</v>
      </c>
      <c r="B296" s="22" t="s">
        <v>6830</v>
      </c>
      <c r="C296" s="2">
        <v>1</v>
      </c>
      <c r="D296" s="23">
        <v>15.94</v>
      </c>
      <c r="E296" s="3">
        <v>15.94</v>
      </c>
      <c r="F296" s="2" t="s">
        <v>11720</v>
      </c>
      <c r="G296" s="22" t="s">
        <v>19351</v>
      </c>
      <c r="H296" s="24" t="s">
        <v>19367</v>
      </c>
      <c r="I296" s="22" t="s">
        <v>19309</v>
      </c>
      <c r="J296" s="22" t="s">
        <v>19708</v>
      </c>
      <c r="K296" s="22" t="s">
        <v>19709</v>
      </c>
      <c r="L296" s="22"/>
      <c r="M296" s="22"/>
      <c r="N296" s="25" t="str">
        <f>HYPERLINK("http://slimages.macys.com/is/image/MCY/22296907 ")</f>
        <v xml:space="preserve">http://slimages.macys.com/is/image/MCY/22296907 </v>
      </c>
    </row>
    <row r="297" spans="1:14" x14ac:dyDescent="0.25">
      <c r="A297" s="21" t="s">
        <v>11723</v>
      </c>
      <c r="B297" s="22" t="s">
        <v>11724</v>
      </c>
      <c r="C297" s="2">
        <v>1</v>
      </c>
      <c r="D297" s="23">
        <v>15.94</v>
      </c>
      <c r="E297" s="3">
        <v>15.94</v>
      </c>
      <c r="F297" s="2" t="s">
        <v>18269</v>
      </c>
      <c r="G297" s="22" t="s">
        <v>19635</v>
      </c>
      <c r="H297" s="24" t="s">
        <v>19770</v>
      </c>
      <c r="I297" s="22" t="s">
        <v>19309</v>
      </c>
      <c r="J297" s="22" t="s">
        <v>19708</v>
      </c>
      <c r="K297" s="22" t="s">
        <v>19709</v>
      </c>
      <c r="L297" s="22"/>
      <c r="M297" s="22"/>
      <c r="N297" s="25" t="str">
        <f>HYPERLINK("http://slimages.macys.com/is/image/MCY/22296994 ")</f>
        <v xml:space="preserve">http://slimages.macys.com/is/image/MCY/22296994 </v>
      </c>
    </row>
    <row r="298" spans="1:14" x14ac:dyDescent="0.25">
      <c r="A298" s="21" t="s">
        <v>6831</v>
      </c>
      <c r="B298" s="22" t="s">
        <v>6832</v>
      </c>
      <c r="C298" s="2">
        <v>1</v>
      </c>
      <c r="D298" s="23">
        <v>15.94</v>
      </c>
      <c r="E298" s="3">
        <v>15.94</v>
      </c>
      <c r="F298" s="2" t="s">
        <v>11720</v>
      </c>
      <c r="G298" s="22" t="s">
        <v>19351</v>
      </c>
      <c r="H298" s="24" t="s">
        <v>20159</v>
      </c>
      <c r="I298" s="22" t="s">
        <v>19309</v>
      </c>
      <c r="J298" s="22" t="s">
        <v>19708</v>
      </c>
      <c r="K298" s="22" t="s">
        <v>19709</v>
      </c>
      <c r="L298" s="22"/>
      <c r="M298" s="22"/>
      <c r="N298" s="25" t="str">
        <f>HYPERLINK("http://slimages.macys.com/is/image/MCY/22296907 ")</f>
        <v xml:space="preserve">http://slimages.macys.com/is/image/MCY/22296907 </v>
      </c>
    </row>
    <row r="299" spans="1:14" x14ac:dyDescent="0.25">
      <c r="A299" s="21" t="s">
        <v>6833</v>
      </c>
      <c r="B299" s="22" t="s">
        <v>6834</v>
      </c>
      <c r="C299" s="2">
        <v>1</v>
      </c>
      <c r="D299" s="23">
        <v>15.94</v>
      </c>
      <c r="E299" s="3">
        <v>15.94</v>
      </c>
      <c r="F299" s="2" t="s">
        <v>11720</v>
      </c>
      <c r="G299" s="22" t="s">
        <v>19351</v>
      </c>
      <c r="H299" s="24" t="s">
        <v>19770</v>
      </c>
      <c r="I299" s="22" t="s">
        <v>19309</v>
      </c>
      <c r="J299" s="22" t="s">
        <v>19708</v>
      </c>
      <c r="K299" s="22" t="s">
        <v>19709</v>
      </c>
      <c r="L299" s="22"/>
      <c r="M299" s="22"/>
      <c r="N299" s="25" t="str">
        <f>HYPERLINK("http://slimages.macys.com/is/image/MCY/22296907 ")</f>
        <v xml:space="preserve">http://slimages.macys.com/is/image/MCY/22296907 </v>
      </c>
    </row>
    <row r="300" spans="1:14" ht="24.75" x14ac:dyDescent="0.25">
      <c r="A300" s="21" t="s">
        <v>6835</v>
      </c>
      <c r="B300" s="22" t="s">
        <v>6836</v>
      </c>
      <c r="C300" s="2">
        <v>1</v>
      </c>
      <c r="D300" s="23">
        <v>10.99</v>
      </c>
      <c r="E300" s="3">
        <v>10.99</v>
      </c>
      <c r="F300" s="2" t="s">
        <v>20305</v>
      </c>
      <c r="G300" s="22" t="s">
        <v>18073</v>
      </c>
      <c r="H300" s="24" t="s">
        <v>19364</v>
      </c>
      <c r="I300" s="22" t="s">
        <v>19309</v>
      </c>
      <c r="J300" s="22" t="s">
        <v>19447</v>
      </c>
      <c r="K300" s="22" t="s">
        <v>19873</v>
      </c>
      <c r="L300" s="22"/>
      <c r="M300" s="22"/>
      <c r="N300" s="25" t="str">
        <f>HYPERLINK("http://slimages.macys.com/is/image/MCY/21279964 ")</f>
        <v xml:space="preserve">http://slimages.macys.com/is/image/MCY/21279964 </v>
      </c>
    </row>
    <row r="301" spans="1:14" x14ac:dyDescent="0.25">
      <c r="A301" s="21" t="s">
        <v>6837</v>
      </c>
      <c r="B301" s="22" t="s">
        <v>6838</v>
      </c>
      <c r="C301" s="2">
        <v>1</v>
      </c>
      <c r="D301" s="23">
        <v>15.99</v>
      </c>
      <c r="E301" s="3">
        <v>15.99</v>
      </c>
      <c r="F301" s="2" t="s">
        <v>7627</v>
      </c>
      <c r="G301" s="22" t="s">
        <v>19431</v>
      </c>
      <c r="H301" s="24" t="s">
        <v>19339</v>
      </c>
      <c r="I301" s="22" t="s">
        <v>19309</v>
      </c>
      <c r="J301" s="22" t="s">
        <v>19849</v>
      </c>
      <c r="K301" s="22" t="s">
        <v>19850</v>
      </c>
      <c r="L301" s="22"/>
      <c r="M301" s="22"/>
      <c r="N301" s="25" t="str">
        <f>HYPERLINK("http://slimages.macys.com/is/image/MCY/20548986 ")</f>
        <v xml:space="preserve">http://slimages.macys.com/is/image/MCY/20548986 </v>
      </c>
    </row>
    <row r="302" spans="1:14" ht="24.75" x14ac:dyDescent="0.25">
      <c r="A302" s="21" t="s">
        <v>6839</v>
      </c>
      <c r="B302" s="22" t="s">
        <v>6840</v>
      </c>
      <c r="C302" s="2">
        <v>1</v>
      </c>
      <c r="D302" s="23">
        <v>10.99</v>
      </c>
      <c r="E302" s="3">
        <v>10.99</v>
      </c>
      <c r="F302" s="2" t="s">
        <v>20305</v>
      </c>
      <c r="G302" s="22" t="s">
        <v>18073</v>
      </c>
      <c r="H302" s="24" t="s">
        <v>19797</v>
      </c>
      <c r="I302" s="22" t="s">
        <v>19309</v>
      </c>
      <c r="J302" s="22" t="s">
        <v>19447</v>
      </c>
      <c r="K302" s="22" t="s">
        <v>19873</v>
      </c>
      <c r="L302" s="22"/>
      <c r="M302" s="22"/>
      <c r="N302" s="25" t="str">
        <f>HYPERLINK("http://slimages.macys.com/is/image/MCY/21279964 ")</f>
        <v xml:space="preserve">http://slimages.macys.com/is/image/MCY/21279964 </v>
      </c>
    </row>
    <row r="303" spans="1:14" ht="24.75" x14ac:dyDescent="0.25">
      <c r="A303" s="21" t="s">
        <v>20313</v>
      </c>
      <c r="B303" s="22" t="s">
        <v>19913</v>
      </c>
      <c r="C303" s="2">
        <v>1</v>
      </c>
      <c r="D303" s="23">
        <v>16.989999999999998</v>
      </c>
      <c r="E303" s="3">
        <v>16.989999999999998</v>
      </c>
      <c r="F303" s="2" t="s">
        <v>20311</v>
      </c>
      <c r="G303" s="22" t="s">
        <v>19713</v>
      </c>
      <c r="H303" s="24" t="s">
        <v>19384</v>
      </c>
      <c r="I303" s="22" t="s">
        <v>19309</v>
      </c>
      <c r="J303" s="22" t="s">
        <v>19573</v>
      </c>
      <c r="K303" s="22" t="s">
        <v>19574</v>
      </c>
      <c r="L303" s="22"/>
      <c r="M303" s="22"/>
      <c r="N303" s="25" t="str">
        <f>HYPERLINK("http://slimages.macys.com/is/image/MCY/1597998 ")</f>
        <v xml:space="preserve">http://slimages.macys.com/is/image/MCY/1597998 </v>
      </c>
    </row>
    <row r="304" spans="1:14" ht="24.75" x14ac:dyDescent="0.25">
      <c r="A304" s="21" t="s">
        <v>20312</v>
      </c>
      <c r="B304" s="22" t="s">
        <v>19916</v>
      </c>
      <c r="C304" s="2">
        <v>1</v>
      </c>
      <c r="D304" s="23">
        <v>16.989999999999998</v>
      </c>
      <c r="E304" s="3">
        <v>16.989999999999998</v>
      </c>
      <c r="F304" s="2" t="s">
        <v>20311</v>
      </c>
      <c r="G304" s="22" t="s">
        <v>19713</v>
      </c>
      <c r="H304" s="24"/>
      <c r="I304" s="22" t="s">
        <v>19309</v>
      </c>
      <c r="J304" s="22" t="s">
        <v>19573</v>
      </c>
      <c r="K304" s="22" t="s">
        <v>19574</v>
      </c>
      <c r="L304" s="22"/>
      <c r="M304" s="22"/>
      <c r="N304" s="25" t="str">
        <f>HYPERLINK("http://slimages.macys.com/is/image/MCY/1597998 ")</f>
        <v xml:space="preserve">http://slimages.macys.com/is/image/MCY/1597998 </v>
      </c>
    </row>
    <row r="305" spans="1:14" ht="24.75" x14ac:dyDescent="0.25">
      <c r="A305" s="21" t="s">
        <v>18275</v>
      </c>
      <c r="B305" s="22" t="s">
        <v>19926</v>
      </c>
      <c r="C305" s="2">
        <v>1</v>
      </c>
      <c r="D305" s="23">
        <v>16.989999999999998</v>
      </c>
      <c r="E305" s="3">
        <v>16.989999999999998</v>
      </c>
      <c r="F305" s="2" t="s">
        <v>20311</v>
      </c>
      <c r="G305" s="22" t="s">
        <v>19713</v>
      </c>
      <c r="H305" s="24" t="s">
        <v>19538</v>
      </c>
      <c r="I305" s="22" t="s">
        <v>19309</v>
      </c>
      <c r="J305" s="22" t="s">
        <v>19573</v>
      </c>
      <c r="K305" s="22" t="s">
        <v>19574</v>
      </c>
      <c r="L305" s="22"/>
      <c r="M305" s="22"/>
      <c r="N305" s="25" t="str">
        <f>HYPERLINK("http://slimages.macys.com/is/image/MCY/1597998 ")</f>
        <v xml:space="preserve">http://slimages.macys.com/is/image/MCY/1597998 </v>
      </c>
    </row>
    <row r="306" spans="1:14" ht="24.75" x14ac:dyDescent="0.25">
      <c r="A306" s="21" t="s">
        <v>6841</v>
      </c>
      <c r="B306" s="22" t="s">
        <v>6842</v>
      </c>
      <c r="C306" s="2">
        <v>1</v>
      </c>
      <c r="D306" s="23">
        <v>15.99</v>
      </c>
      <c r="E306" s="3">
        <v>15.99</v>
      </c>
      <c r="F306" s="2" t="s">
        <v>20316</v>
      </c>
      <c r="G306" s="22" t="s">
        <v>19670</v>
      </c>
      <c r="H306" s="24"/>
      <c r="I306" s="22" t="s">
        <v>19309</v>
      </c>
      <c r="J306" s="22" t="s">
        <v>19849</v>
      </c>
      <c r="K306" s="22" t="s">
        <v>19850</v>
      </c>
      <c r="L306" s="22"/>
      <c r="M306" s="22"/>
      <c r="N306" s="25" t="str">
        <f>HYPERLINK("http://slimages.macys.com/is/image/MCY/21270367 ")</f>
        <v xml:space="preserve">http://slimages.macys.com/is/image/MCY/21270367 </v>
      </c>
    </row>
    <row r="307" spans="1:14" ht="24.75" x14ac:dyDescent="0.25">
      <c r="A307" s="21" t="s">
        <v>6843</v>
      </c>
      <c r="B307" s="22" t="s">
        <v>6844</v>
      </c>
      <c r="C307" s="2">
        <v>2</v>
      </c>
      <c r="D307" s="23">
        <v>11.99</v>
      </c>
      <c r="E307" s="3">
        <v>23.98</v>
      </c>
      <c r="F307" s="2" t="s">
        <v>16153</v>
      </c>
      <c r="G307" s="22" t="s">
        <v>19351</v>
      </c>
      <c r="H307" s="24" t="s">
        <v>6845</v>
      </c>
      <c r="I307" s="22" t="s">
        <v>19309</v>
      </c>
      <c r="J307" s="22" t="s">
        <v>20076</v>
      </c>
      <c r="K307" s="22" t="s">
        <v>20077</v>
      </c>
      <c r="L307" s="22" t="s">
        <v>19319</v>
      </c>
      <c r="M307" s="22" t="s">
        <v>19209</v>
      </c>
      <c r="N307" s="25" t="str">
        <f>HYPERLINK("http://slimages.macys.com/is/image/MCY/11722351 ")</f>
        <v xml:space="preserve">http://slimages.macys.com/is/image/MCY/11722351 </v>
      </c>
    </row>
    <row r="308" spans="1:14" ht="24.75" x14ac:dyDescent="0.25">
      <c r="A308" s="21" t="s">
        <v>6846</v>
      </c>
      <c r="B308" s="22" t="s">
        <v>6847</v>
      </c>
      <c r="C308" s="2">
        <v>1</v>
      </c>
      <c r="D308" s="23">
        <v>11.99</v>
      </c>
      <c r="E308" s="3">
        <v>11.99</v>
      </c>
      <c r="F308" s="2" t="s">
        <v>16153</v>
      </c>
      <c r="G308" s="22" t="s">
        <v>17811</v>
      </c>
      <c r="H308" s="24" t="s">
        <v>6848</v>
      </c>
      <c r="I308" s="22" t="s">
        <v>19309</v>
      </c>
      <c r="J308" s="22" t="s">
        <v>20076</v>
      </c>
      <c r="K308" s="22" t="s">
        <v>20077</v>
      </c>
      <c r="L308" s="22"/>
      <c r="M308" s="22"/>
      <c r="N308" s="25" t="str">
        <f>HYPERLINK("http://slimages.macys.com/is/image/MCY/16590400 ")</f>
        <v xml:space="preserve">http://slimages.macys.com/is/image/MCY/16590400 </v>
      </c>
    </row>
    <row r="309" spans="1:14" x14ac:dyDescent="0.25">
      <c r="A309" s="21" t="s">
        <v>6849</v>
      </c>
      <c r="B309" s="22" t="s">
        <v>6850</v>
      </c>
      <c r="C309" s="2">
        <v>1</v>
      </c>
      <c r="D309" s="23">
        <v>15.36</v>
      </c>
      <c r="E309" s="3">
        <v>15.36</v>
      </c>
      <c r="F309" s="2" t="s">
        <v>6851</v>
      </c>
      <c r="G309" s="22" t="s">
        <v>19879</v>
      </c>
      <c r="H309" s="24" t="s">
        <v>19416</v>
      </c>
      <c r="I309" s="22" t="s">
        <v>19309</v>
      </c>
      <c r="J309" s="22" t="s">
        <v>19708</v>
      </c>
      <c r="K309" s="22" t="s">
        <v>19709</v>
      </c>
      <c r="L309" s="22"/>
      <c r="M309" s="22"/>
      <c r="N309" s="25" t="str">
        <f>HYPERLINK("http://slimages.macys.com/is/image/MCY/19917217 ")</f>
        <v xml:space="preserve">http://slimages.macys.com/is/image/MCY/19917217 </v>
      </c>
    </row>
    <row r="310" spans="1:14" x14ac:dyDescent="0.25">
      <c r="A310" s="21" t="s">
        <v>13770</v>
      </c>
      <c r="B310" s="22" t="s">
        <v>13771</v>
      </c>
      <c r="C310" s="2">
        <v>1</v>
      </c>
      <c r="D310" s="23">
        <v>17.989999999999998</v>
      </c>
      <c r="E310" s="3">
        <v>17.989999999999998</v>
      </c>
      <c r="F310" s="2" t="s">
        <v>13772</v>
      </c>
      <c r="G310" s="22" t="s">
        <v>19342</v>
      </c>
      <c r="H310" s="24" t="s">
        <v>19334</v>
      </c>
      <c r="I310" s="22" t="s">
        <v>19309</v>
      </c>
      <c r="J310" s="22" t="s">
        <v>19696</v>
      </c>
      <c r="K310" s="22" t="s">
        <v>19697</v>
      </c>
      <c r="L310" s="22"/>
      <c r="M310" s="22"/>
      <c r="N310" s="25" t="str">
        <f>HYPERLINK("http://slimages.macys.com/is/image/MCY/20662548 ")</f>
        <v xml:space="preserve">http://slimages.macys.com/is/image/MCY/20662548 </v>
      </c>
    </row>
    <row r="311" spans="1:14" ht="24.75" x14ac:dyDescent="0.25">
      <c r="A311" s="21" t="s">
        <v>18296</v>
      </c>
      <c r="B311" s="22" t="s">
        <v>18297</v>
      </c>
      <c r="C311" s="2">
        <v>1</v>
      </c>
      <c r="D311" s="23">
        <v>9.99</v>
      </c>
      <c r="E311" s="3">
        <v>9.99</v>
      </c>
      <c r="F311" s="2" t="s">
        <v>18298</v>
      </c>
      <c r="G311" s="22" t="s">
        <v>19906</v>
      </c>
      <c r="H311" s="24" t="s">
        <v>19364</v>
      </c>
      <c r="I311" s="22" t="s">
        <v>19309</v>
      </c>
      <c r="J311" s="22" t="s">
        <v>19353</v>
      </c>
      <c r="K311" s="22" t="s">
        <v>19524</v>
      </c>
      <c r="L311" s="22"/>
      <c r="M311" s="22"/>
      <c r="N311" s="25" t="str">
        <f>HYPERLINK("http://slimages.macys.com/is/image/MCY/1667860 ")</f>
        <v xml:space="preserve">http://slimages.macys.com/is/image/MCY/1667860 </v>
      </c>
    </row>
    <row r="312" spans="1:14" ht="24.75" x14ac:dyDescent="0.25">
      <c r="A312" s="21" t="s">
        <v>6852</v>
      </c>
      <c r="B312" s="22" t="s">
        <v>6853</v>
      </c>
      <c r="C312" s="2">
        <v>1</v>
      </c>
      <c r="D312" s="23">
        <v>12.99</v>
      </c>
      <c r="E312" s="3">
        <v>12.99</v>
      </c>
      <c r="F312" s="2" t="s">
        <v>6854</v>
      </c>
      <c r="G312" s="22" t="s">
        <v>19618</v>
      </c>
      <c r="H312" s="24"/>
      <c r="I312" s="22" t="s">
        <v>19309</v>
      </c>
      <c r="J312" s="22" t="s">
        <v>20076</v>
      </c>
      <c r="K312" s="22" t="s">
        <v>12199</v>
      </c>
      <c r="L312" s="22"/>
      <c r="M312" s="22"/>
      <c r="N312" s="25" t="str">
        <f>HYPERLINK("http://slimages.macys.com/is/image/MCY/21347194 ")</f>
        <v xml:space="preserve">http://slimages.macys.com/is/image/MCY/21347194 </v>
      </c>
    </row>
    <row r="313" spans="1:14" x14ac:dyDescent="0.25">
      <c r="A313" s="21" t="s">
        <v>6855</v>
      </c>
      <c r="B313" s="22" t="s">
        <v>6856</v>
      </c>
      <c r="C313" s="2">
        <v>1</v>
      </c>
      <c r="D313" s="23">
        <v>15.13</v>
      </c>
      <c r="E313" s="3">
        <v>15.13</v>
      </c>
      <c r="F313" s="2" t="s">
        <v>16166</v>
      </c>
      <c r="G313" s="22" t="s">
        <v>19323</v>
      </c>
      <c r="H313" s="24" t="s">
        <v>20152</v>
      </c>
      <c r="I313" s="22" t="s">
        <v>19309</v>
      </c>
      <c r="J313" s="22" t="s">
        <v>19708</v>
      </c>
      <c r="K313" s="22" t="s">
        <v>19709</v>
      </c>
      <c r="L313" s="22"/>
      <c r="M313" s="22"/>
      <c r="N313" s="25" t="str">
        <f>HYPERLINK("http://slimages.macys.com/is/image/MCY/21753545 ")</f>
        <v xml:space="preserve">http://slimages.macys.com/is/image/MCY/21753545 </v>
      </c>
    </row>
    <row r="314" spans="1:14" x14ac:dyDescent="0.25">
      <c r="A314" s="21" t="s">
        <v>6857</v>
      </c>
      <c r="B314" s="22" t="s">
        <v>6858</v>
      </c>
      <c r="C314" s="2">
        <v>1</v>
      </c>
      <c r="D314" s="23">
        <v>15.13</v>
      </c>
      <c r="E314" s="3">
        <v>15.13</v>
      </c>
      <c r="F314" s="2" t="s">
        <v>6859</v>
      </c>
      <c r="G314" s="22"/>
      <c r="H314" s="24" t="s">
        <v>19367</v>
      </c>
      <c r="I314" s="22" t="s">
        <v>19309</v>
      </c>
      <c r="J314" s="22" t="s">
        <v>19708</v>
      </c>
      <c r="K314" s="22" t="s">
        <v>19709</v>
      </c>
      <c r="L314" s="22"/>
      <c r="M314" s="22"/>
      <c r="N314" s="25" t="str">
        <f>HYPERLINK("http://slimages.macys.com/is/image/MCY/21758190 ")</f>
        <v xml:space="preserve">http://slimages.macys.com/is/image/MCY/21758190 </v>
      </c>
    </row>
    <row r="315" spans="1:14" x14ac:dyDescent="0.25">
      <c r="A315" s="21" t="s">
        <v>12212</v>
      </c>
      <c r="B315" s="22" t="s">
        <v>12213</v>
      </c>
      <c r="C315" s="2">
        <v>1</v>
      </c>
      <c r="D315" s="23">
        <v>14.93</v>
      </c>
      <c r="E315" s="3">
        <v>14.93</v>
      </c>
      <c r="F315" s="2" t="s">
        <v>13210</v>
      </c>
      <c r="G315" s="22" t="s">
        <v>18361</v>
      </c>
      <c r="H315" s="24" t="s">
        <v>19416</v>
      </c>
      <c r="I315" s="22" t="s">
        <v>19309</v>
      </c>
      <c r="J315" s="22" t="s">
        <v>19708</v>
      </c>
      <c r="K315" s="22" t="s">
        <v>19709</v>
      </c>
      <c r="L315" s="22"/>
      <c r="M315" s="22"/>
      <c r="N315" s="25" t="str">
        <f>HYPERLINK("http://slimages.macys.com/is/image/MCY/22596280 ")</f>
        <v xml:space="preserve">http://slimages.macys.com/is/image/MCY/22596280 </v>
      </c>
    </row>
    <row r="316" spans="1:14" ht="24.75" x14ac:dyDescent="0.25">
      <c r="A316" s="21" t="s">
        <v>6860</v>
      </c>
      <c r="B316" s="22" t="s">
        <v>6861</v>
      </c>
      <c r="C316" s="2">
        <v>1</v>
      </c>
      <c r="D316" s="23">
        <v>17.989999999999998</v>
      </c>
      <c r="E316" s="3">
        <v>17.989999999999998</v>
      </c>
      <c r="F316" s="2" t="s">
        <v>6862</v>
      </c>
      <c r="G316" s="22" t="s">
        <v>19315</v>
      </c>
      <c r="H316" s="24" t="s">
        <v>19432</v>
      </c>
      <c r="I316" s="22" t="s">
        <v>19309</v>
      </c>
      <c r="J316" s="22" t="s">
        <v>19815</v>
      </c>
      <c r="K316" s="22" t="s">
        <v>6863</v>
      </c>
      <c r="L316" s="22"/>
      <c r="M316" s="22"/>
      <c r="N316" s="25" t="str">
        <f>HYPERLINK("http://slimages.macys.com/is/image/MCY/20008185 ")</f>
        <v xml:space="preserve">http://slimages.macys.com/is/image/MCY/20008185 </v>
      </c>
    </row>
    <row r="317" spans="1:14" x14ac:dyDescent="0.25">
      <c r="A317" s="21" t="s">
        <v>13802</v>
      </c>
      <c r="B317" s="22" t="s">
        <v>13803</v>
      </c>
      <c r="C317" s="2">
        <v>1</v>
      </c>
      <c r="D317" s="23">
        <v>11.79</v>
      </c>
      <c r="E317" s="3">
        <v>11.79</v>
      </c>
      <c r="F317" s="2" t="s">
        <v>13804</v>
      </c>
      <c r="G317" s="22"/>
      <c r="H317" s="24" t="s">
        <v>19770</v>
      </c>
      <c r="I317" s="22" t="s">
        <v>19309</v>
      </c>
      <c r="J317" s="22" t="s">
        <v>19708</v>
      </c>
      <c r="K317" s="22" t="s">
        <v>19709</v>
      </c>
      <c r="L317" s="22"/>
      <c r="M317" s="22"/>
      <c r="N317" s="25" t="str">
        <f>HYPERLINK("http://slimages.macys.com/is/image/MCY/19063832 ")</f>
        <v xml:space="preserve">http://slimages.macys.com/is/image/MCY/19063832 </v>
      </c>
    </row>
    <row r="318" spans="1:14" x14ac:dyDescent="0.25">
      <c r="A318" s="21" t="s">
        <v>6864</v>
      </c>
      <c r="B318" s="22" t="s">
        <v>6865</v>
      </c>
      <c r="C318" s="2">
        <v>4</v>
      </c>
      <c r="D318" s="23">
        <v>11.79</v>
      </c>
      <c r="E318" s="3">
        <v>47.16</v>
      </c>
      <c r="F318" s="2" t="s">
        <v>13804</v>
      </c>
      <c r="G318" s="22"/>
      <c r="H318" s="24" t="s">
        <v>20159</v>
      </c>
      <c r="I318" s="22" t="s">
        <v>19309</v>
      </c>
      <c r="J318" s="22" t="s">
        <v>19708</v>
      </c>
      <c r="K318" s="22" t="s">
        <v>19709</v>
      </c>
      <c r="L318" s="22"/>
      <c r="M318" s="22"/>
      <c r="N318" s="25" t="str">
        <f>HYPERLINK("http://slimages.macys.com/is/image/MCY/19063832 ")</f>
        <v xml:space="preserve">http://slimages.macys.com/is/image/MCY/19063832 </v>
      </c>
    </row>
    <row r="319" spans="1:14" x14ac:dyDescent="0.25">
      <c r="A319" s="21" t="s">
        <v>6866</v>
      </c>
      <c r="B319" s="22" t="s">
        <v>6867</v>
      </c>
      <c r="C319" s="2">
        <v>1</v>
      </c>
      <c r="D319" s="23">
        <v>11.79</v>
      </c>
      <c r="E319" s="3">
        <v>11.79</v>
      </c>
      <c r="F319" s="2" t="s">
        <v>18329</v>
      </c>
      <c r="G319" s="22"/>
      <c r="H319" s="24" t="s">
        <v>19770</v>
      </c>
      <c r="I319" s="22" t="s">
        <v>19309</v>
      </c>
      <c r="J319" s="22" t="s">
        <v>19708</v>
      </c>
      <c r="K319" s="22" t="s">
        <v>19709</v>
      </c>
      <c r="L319" s="22"/>
      <c r="M319" s="22"/>
      <c r="N319" s="25" t="str">
        <f>HYPERLINK("http://slimages.macys.com/is/image/MCY/19063341 ")</f>
        <v xml:space="preserve">http://slimages.macys.com/is/image/MCY/19063341 </v>
      </c>
    </row>
    <row r="320" spans="1:14" ht="24.75" x14ac:dyDescent="0.25">
      <c r="A320" s="21" t="s">
        <v>6868</v>
      </c>
      <c r="B320" s="22" t="s">
        <v>6869</v>
      </c>
      <c r="C320" s="2">
        <v>1</v>
      </c>
      <c r="D320" s="23">
        <v>19.989999999999998</v>
      </c>
      <c r="E320" s="3">
        <v>19.989999999999998</v>
      </c>
      <c r="F320" s="2" t="s">
        <v>7663</v>
      </c>
      <c r="G320" s="22" t="s">
        <v>19618</v>
      </c>
      <c r="H320" s="24" t="s">
        <v>20135</v>
      </c>
      <c r="I320" s="22" t="s">
        <v>19309</v>
      </c>
      <c r="J320" s="22" t="s">
        <v>19815</v>
      </c>
      <c r="K320" s="22" t="s">
        <v>19816</v>
      </c>
      <c r="L320" s="22"/>
      <c r="M320" s="22"/>
      <c r="N320" s="25" t="str">
        <f>HYPERLINK("http://slimages.macys.com/is/image/MCY/21185910 ")</f>
        <v xml:space="preserve">http://slimages.macys.com/is/image/MCY/21185910 </v>
      </c>
    </row>
    <row r="321" spans="1:14" x14ac:dyDescent="0.25">
      <c r="A321" s="21" t="s">
        <v>9577</v>
      </c>
      <c r="B321" s="22" t="s">
        <v>9578</v>
      </c>
      <c r="C321" s="2">
        <v>1</v>
      </c>
      <c r="D321" s="23">
        <v>22.5</v>
      </c>
      <c r="E321" s="3">
        <v>22.5</v>
      </c>
      <c r="F321" s="2" t="s">
        <v>9576</v>
      </c>
      <c r="G321" s="22" t="s">
        <v>19415</v>
      </c>
      <c r="H321" s="24" t="s">
        <v>19361</v>
      </c>
      <c r="I321" s="22" t="s">
        <v>19309</v>
      </c>
      <c r="J321" s="22" t="s">
        <v>19688</v>
      </c>
      <c r="K321" s="22" t="s">
        <v>19614</v>
      </c>
      <c r="L321" s="22"/>
      <c r="M321" s="22"/>
      <c r="N321" s="25" t="str">
        <f>HYPERLINK("http://slimages.macys.com/is/image/MCY/21035860 ")</f>
        <v xml:space="preserve">http://slimages.macys.com/is/image/MCY/21035860 </v>
      </c>
    </row>
    <row r="322" spans="1:14" x14ac:dyDescent="0.25">
      <c r="A322" s="21" t="s">
        <v>6870</v>
      </c>
      <c r="B322" s="22" t="s">
        <v>6871</v>
      </c>
      <c r="C322" s="2">
        <v>1</v>
      </c>
      <c r="D322" s="23">
        <v>19.989999999999998</v>
      </c>
      <c r="E322" s="3">
        <v>19.989999999999998</v>
      </c>
      <c r="F322" s="2" t="s">
        <v>18419</v>
      </c>
      <c r="G322" s="22" t="s">
        <v>19467</v>
      </c>
      <c r="H322" s="24" t="s">
        <v>19542</v>
      </c>
      <c r="I322" s="22" t="s">
        <v>19309</v>
      </c>
      <c r="J322" s="22" t="s">
        <v>19849</v>
      </c>
      <c r="K322" s="22" t="s">
        <v>19850</v>
      </c>
      <c r="L322" s="22"/>
      <c r="M322" s="22"/>
      <c r="N322" s="25" t="str">
        <f>HYPERLINK("http://slimages.macys.com/is/image/MCY/21270685 ")</f>
        <v xml:space="preserve">http://slimages.macys.com/is/image/MCY/21270685 </v>
      </c>
    </row>
    <row r="323" spans="1:14" ht="24.75" x14ac:dyDescent="0.25">
      <c r="A323" s="21" t="s">
        <v>6872</v>
      </c>
      <c r="B323" s="22" t="s">
        <v>6873</v>
      </c>
      <c r="C323" s="2">
        <v>1</v>
      </c>
      <c r="D323" s="23">
        <v>10.99</v>
      </c>
      <c r="E323" s="3">
        <v>10.99</v>
      </c>
      <c r="F323" s="2" t="s">
        <v>18422</v>
      </c>
      <c r="G323" s="22" t="s">
        <v>20306</v>
      </c>
      <c r="H323" s="24" t="s">
        <v>19345</v>
      </c>
      <c r="I323" s="22" t="s">
        <v>19309</v>
      </c>
      <c r="J323" s="22" t="s">
        <v>19447</v>
      </c>
      <c r="K323" s="22" t="s">
        <v>20146</v>
      </c>
      <c r="L323" s="22"/>
      <c r="M323" s="22"/>
      <c r="N323" s="25" t="str">
        <f>HYPERLINK("http://slimages.macys.com/is/image/MCY/21550664 ")</f>
        <v xml:space="preserve">http://slimages.macys.com/is/image/MCY/21550664 </v>
      </c>
    </row>
    <row r="324" spans="1:14" ht="24.75" x14ac:dyDescent="0.25">
      <c r="A324" s="21" t="s">
        <v>18442</v>
      </c>
      <c r="B324" s="22" t="s">
        <v>18443</v>
      </c>
      <c r="C324" s="2">
        <v>1</v>
      </c>
      <c r="D324" s="23">
        <v>8.99</v>
      </c>
      <c r="E324" s="3">
        <v>8.99</v>
      </c>
      <c r="F324" s="2" t="s">
        <v>18428</v>
      </c>
      <c r="G324" s="22" t="s">
        <v>18429</v>
      </c>
      <c r="H324" s="24" t="s">
        <v>19542</v>
      </c>
      <c r="I324" s="22" t="s">
        <v>19309</v>
      </c>
      <c r="J324" s="22" t="s">
        <v>19310</v>
      </c>
      <c r="K324" s="22" t="s">
        <v>19468</v>
      </c>
      <c r="L324" s="22"/>
      <c r="M324" s="22"/>
      <c r="N324" s="25" t="str">
        <f>HYPERLINK("http://slimages.macys.com/is/image/MCY/21184204 ")</f>
        <v xml:space="preserve">http://slimages.macys.com/is/image/MCY/21184204 </v>
      </c>
    </row>
    <row r="325" spans="1:14" ht="24.75" x14ac:dyDescent="0.25">
      <c r="A325" s="21" t="s">
        <v>18440</v>
      </c>
      <c r="B325" s="22" t="s">
        <v>18441</v>
      </c>
      <c r="C325" s="2">
        <v>2</v>
      </c>
      <c r="D325" s="23">
        <v>8.99</v>
      </c>
      <c r="E325" s="3">
        <v>17.98</v>
      </c>
      <c r="F325" s="2" t="s">
        <v>18428</v>
      </c>
      <c r="G325" s="22" t="s">
        <v>18429</v>
      </c>
      <c r="H325" s="24" t="s">
        <v>19432</v>
      </c>
      <c r="I325" s="22" t="s">
        <v>19309</v>
      </c>
      <c r="J325" s="22" t="s">
        <v>19310</v>
      </c>
      <c r="K325" s="22" t="s">
        <v>19468</v>
      </c>
      <c r="L325" s="22"/>
      <c r="M325" s="22"/>
      <c r="N325" s="25" t="str">
        <f>HYPERLINK("http://slimages.macys.com/is/image/MCY/21184204 ")</f>
        <v xml:space="preserve">http://slimages.macys.com/is/image/MCY/21184204 </v>
      </c>
    </row>
    <row r="326" spans="1:14" ht="24.75" x14ac:dyDescent="0.25">
      <c r="A326" s="21" t="s">
        <v>6874</v>
      </c>
      <c r="B326" s="22" t="s">
        <v>6875</v>
      </c>
      <c r="C326" s="2">
        <v>1</v>
      </c>
      <c r="D326" s="23">
        <v>10.99</v>
      </c>
      <c r="E326" s="3">
        <v>10.99</v>
      </c>
      <c r="F326" s="2" t="s">
        <v>6876</v>
      </c>
      <c r="G326" s="22" t="s">
        <v>19415</v>
      </c>
      <c r="H326" s="24" t="s">
        <v>19770</v>
      </c>
      <c r="I326" s="22" t="s">
        <v>19309</v>
      </c>
      <c r="J326" s="22" t="s">
        <v>19573</v>
      </c>
      <c r="K326" s="22" t="s">
        <v>19574</v>
      </c>
      <c r="L326" s="22"/>
      <c r="M326" s="22"/>
      <c r="N326" s="25" t="str">
        <f>HYPERLINK("http://slimages.macys.com/is/image/MCY/18880311 ")</f>
        <v xml:space="preserve">http://slimages.macys.com/is/image/MCY/18880311 </v>
      </c>
    </row>
    <row r="327" spans="1:14" ht="24.75" x14ac:dyDescent="0.25">
      <c r="A327" s="21" t="s">
        <v>13240</v>
      </c>
      <c r="B327" s="22" t="s">
        <v>13241</v>
      </c>
      <c r="C327" s="2">
        <v>1</v>
      </c>
      <c r="D327" s="23">
        <v>12.35</v>
      </c>
      <c r="E327" s="3">
        <v>12.35</v>
      </c>
      <c r="F327" s="2" t="s">
        <v>18454</v>
      </c>
      <c r="G327" s="22"/>
      <c r="H327" s="24" t="s">
        <v>19345</v>
      </c>
      <c r="I327" s="22" t="s">
        <v>19309</v>
      </c>
      <c r="J327" s="22" t="s">
        <v>19602</v>
      </c>
      <c r="K327" s="22" t="s">
        <v>19603</v>
      </c>
      <c r="L327" s="22"/>
      <c r="M327" s="22"/>
      <c r="N327" s="25" t="str">
        <f>HYPERLINK("http://slimages.macys.com/is/image/MCY/22405799 ")</f>
        <v xml:space="preserve">http://slimages.macys.com/is/image/MCY/22405799 </v>
      </c>
    </row>
    <row r="328" spans="1:14" ht="24.75" x14ac:dyDescent="0.25">
      <c r="A328" s="21" t="s">
        <v>6877</v>
      </c>
      <c r="B328" s="22" t="s">
        <v>6878</v>
      </c>
      <c r="C328" s="2">
        <v>1</v>
      </c>
      <c r="D328" s="23">
        <v>12.35</v>
      </c>
      <c r="E328" s="3">
        <v>12.35</v>
      </c>
      <c r="F328" s="2" t="s">
        <v>18454</v>
      </c>
      <c r="G328" s="22"/>
      <c r="H328" s="24" t="s">
        <v>19334</v>
      </c>
      <c r="I328" s="22" t="s">
        <v>19309</v>
      </c>
      <c r="J328" s="22" t="s">
        <v>19602</v>
      </c>
      <c r="K328" s="22" t="s">
        <v>19603</v>
      </c>
      <c r="L328" s="22"/>
      <c r="M328" s="22"/>
      <c r="N328" s="25" t="str">
        <f>HYPERLINK("http://slimages.macys.com/is/image/MCY/22405799 ")</f>
        <v xml:space="preserve">http://slimages.macys.com/is/image/MCY/22405799 </v>
      </c>
    </row>
    <row r="329" spans="1:14" x14ac:dyDescent="0.25">
      <c r="A329" s="21" t="s">
        <v>6879</v>
      </c>
      <c r="B329" s="22" t="s">
        <v>6880</v>
      </c>
      <c r="C329" s="2">
        <v>1</v>
      </c>
      <c r="D329" s="23">
        <v>13.99</v>
      </c>
      <c r="E329" s="3">
        <v>13.99</v>
      </c>
      <c r="F329" s="2" t="s">
        <v>9847</v>
      </c>
      <c r="G329" s="22" t="s">
        <v>19477</v>
      </c>
      <c r="H329" s="24" t="s">
        <v>20135</v>
      </c>
      <c r="I329" s="22" t="s">
        <v>19309</v>
      </c>
      <c r="J329" s="22" t="s">
        <v>19849</v>
      </c>
      <c r="K329" s="22" t="s">
        <v>19850</v>
      </c>
      <c r="L329" s="22"/>
      <c r="M329" s="22"/>
      <c r="N329" s="25" t="str">
        <f>HYPERLINK("http://slimages.macys.com/is/image/MCY/21270228 ")</f>
        <v xml:space="preserve">http://slimages.macys.com/is/image/MCY/21270228 </v>
      </c>
    </row>
    <row r="330" spans="1:14" ht="24.75" x14ac:dyDescent="0.25">
      <c r="A330" s="21" t="s">
        <v>6881</v>
      </c>
      <c r="B330" s="22" t="s">
        <v>6882</v>
      </c>
      <c r="C330" s="2">
        <v>1</v>
      </c>
      <c r="D330" s="23">
        <v>11.99</v>
      </c>
      <c r="E330" s="3">
        <v>11.99</v>
      </c>
      <c r="F330" s="2">
        <v>2210</v>
      </c>
      <c r="G330" s="22" t="s">
        <v>17567</v>
      </c>
      <c r="H330" s="24" t="s">
        <v>19364</v>
      </c>
      <c r="I330" s="22" t="s">
        <v>19309</v>
      </c>
      <c r="J330" s="22" t="s">
        <v>20076</v>
      </c>
      <c r="K330" s="22" t="s">
        <v>20077</v>
      </c>
      <c r="L330" s="22"/>
      <c r="M330" s="22"/>
      <c r="N330" s="25" t="str">
        <f>HYPERLINK("http://slimages.macys.com/is/image/MCY/19940035 ")</f>
        <v xml:space="preserve">http://slimages.macys.com/is/image/MCY/19940035 </v>
      </c>
    </row>
    <row r="331" spans="1:14" ht="24.75" x14ac:dyDescent="0.25">
      <c r="A331" s="21" t="s">
        <v>6883</v>
      </c>
      <c r="B331" s="22" t="s">
        <v>6884</v>
      </c>
      <c r="C331" s="2">
        <v>1</v>
      </c>
      <c r="D331" s="23">
        <v>11.99</v>
      </c>
      <c r="E331" s="3">
        <v>11.99</v>
      </c>
      <c r="F331" s="2">
        <v>4217</v>
      </c>
      <c r="G331" s="22" t="s">
        <v>19794</v>
      </c>
      <c r="H331" s="24" t="s">
        <v>19339</v>
      </c>
      <c r="I331" s="22" t="s">
        <v>19309</v>
      </c>
      <c r="J331" s="22" t="s">
        <v>20076</v>
      </c>
      <c r="K331" s="22" t="s">
        <v>20077</v>
      </c>
      <c r="L331" s="22"/>
      <c r="M331" s="22"/>
      <c r="N331" s="25" t="str">
        <f>HYPERLINK("http://slimages.macys.com/is/image/MCY/17459209 ")</f>
        <v xml:space="preserve">http://slimages.macys.com/is/image/MCY/17459209 </v>
      </c>
    </row>
    <row r="332" spans="1:14" x14ac:dyDescent="0.25">
      <c r="A332" s="21" t="s">
        <v>6885</v>
      </c>
      <c r="B332" s="22" t="s">
        <v>6886</v>
      </c>
      <c r="C332" s="2">
        <v>1</v>
      </c>
      <c r="D332" s="23">
        <v>16.989999999999998</v>
      </c>
      <c r="E332" s="3">
        <v>16.989999999999998</v>
      </c>
      <c r="F332" s="2" t="s">
        <v>18465</v>
      </c>
      <c r="G332" s="22" t="s">
        <v>19431</v>
      </c>
      <c r="H332" s="24" t="s">
        <v>19542</v>
      </c>
      <c r="I332" s="22" t="s">
        <v>19309</v>
      </c>
      <c r="J332" s="22" t="s">
        <v>19849</v>
      </c>
      <c r="K332" s="22" t="s">
        <v>19850</v>
      </c>
      <c r="L332" s="22"/>
      <c r="M332" s="22"/>
      <c r="N332" s="25" t="str">
        <f>HYPERLINK("http://slimages.macys.com/is/image/MCY/20751991 ")</f>
        <v xml:space="preserve">http://slimages.macys.com/is/image/MCY/20751991 </v>
      </c>
    </row>
    <row r="333" spans="1:14" ht="24.75" x14ac:dyDescent="0.25">
      <c r="A333" s="21" t="s">
        <v>16500</v>
      </c>
      <c r="B333" s="22" t="s">
        <v>16501</v>
      </c>
      <c r="C333" s="2">
        <v>1</v>
      </c>
      <c r="D333" s="23">
        <v>13.99</v>
      </c>
      <c r="E333" s="3">
        <v>13.99</v>
      </c>
      <c r="F333" s="2" t="s">
        <v>18473</v>
      </c>
      <c r="G333" s="22" t="s">
        <v>19462</v>
      </c>
      <c r="H333" s="24" t="s">
        <v>19339</v>
      </c>
      <c r="I333" s="22" t="s">
        <v>19309</v>
      </c>
      <c r="J333" s="22" t="s">
        <v>19353</v>
      </c>
      <c r="K333" s="22" t="s">
        <v>19524</v>
      </c>
      <c r="L333" s="22"/>
      <c r="M333" s="22"/>
      <c r="N333" s="25" t="str">
        <f>HYPERLINK("http://slimages.macys.com/is/image/MCY/22030187 ")</f>
        <v xml:space="preserve">http://slimages.macys.com/is/image/MCY/22030187 </v>
      </c>
    </row>
    <row r="334" spans="1:14" x14ac:dyDescent="0.25">
      <c r="A334" s="21" t="s">
        <v>10670</v>
      </c>
      <c r="B334" s="22" t="s">
        <v>10671</v>
      </c>
      <c r="C334" s="2">
        <v>2</v>
      </c>
      <c r="D334" s="23">
        <v>11.99</v>
      </c>
      <c r="E334" s="3">
        <v>23.98</v>
      </c>
      <c r="F334" s="2" t="s">
        <v>13840</v>
      </c>
      <c r="G334" s="22" t="s">
        <v>19477</v>
      </c>
      <c r="H334" s="24" t="s">
        <v>19352</v>
      </c>
      <c r="I334" s="22" t="s">
        <v>19309</v>
      </c>
      <c r="J334" s="22" t="s">
        <v>19849</v>
      </c>
      <c r="K334" s="22" t="s">
        <v>19850</v>
      </c>
      <c r="L334" s="22"/>
      <c r="M334" s="22"/>
      <c r="N334" s="25" t="str">
        <f>HYPERLINK("http://slimages.macys.com/is/image/MCY/20549481 ")</f>
        <v xml:space="preserve">http://slimages.macys.com/is/image/MCY/20549481 </v>
      </c>
    </row>
    <row r="335" spans="1:14" x14ac:dyDescent="0.25">
      <c r="A335" s="21" t="s">
        <v>13838</v>
      </c>
      <c r="B335" s="22" t="s">
        <v>13839</v>
      </c>
      <c r="C335" s="2">
        <v>1</v>
      </c>
      <c r="D335" s="23">
        <v>11.99</v>
      </c>
      <c r="E335" s="3">
        <v>11.99</v>
      </c>
      <c r="F335" s="2" t="s">
        <v>13840</v>
      </c>
      <c r="G335" s="22" t="s">
        <v>19477</v>
      </c>
      <c r="H335" s="24" t="s">
        <v>19797</v>
      </c>
      <c r="I335" s="22" t="s">
        <v>19309</v>
      </c>
      <c r="J335" s="22" t="s">
        <v>19849</v>
      </c>
      <c r="K335" s="22" t="s">
        <v>19850</v>
      </c>
      <c r="L335" s="22"/>
      <c r="M335" s="22"/>
      <c r="N335" s="25" t="str">
        <f>HYPERLINK("http://slimages.macys.com/is/image/MCY/20549481 ")</f>
        <v xml:space="preserve">http://slimages.macys.com/is/image/MCY/20549481 </v>
      </c>
    </row>
    <row r="336" spans="1:14" x14ac:dyDescent="0.25">
      <c r="A336" s="21" t="s">
        <v>10668</v>
      </c>
      <c r="B336" s="22" t="s">
        <v>10669</v>
      </c>
      <c r="C336" s="2">
        <v>1</v>
      </c>
      <c r="D336" s="23">
        <v>11.99</v>
      </c>
      <c r="E336" s="3">
        <v>11.99</v>
      </c>
      <c r="F336" s="2" t="s">
        <v>13840</v>
      </c>
      <c r="G336" s="22" t="s">
        <v>19477</v>
      </c>
      <c r="H336" s="24" t="s">
        <v>19339</v>
      </c>
      <c r="I336" s="22" t="s">
        <v>19309</v>
      </c>
      <c r="J336" s="22" t="s">
        <v>19849</v>
      </c>
      <c r="K336" s="22" t="s">
        <v>19850</v>
      </c>
      <c r="L336" s="22"/>
      <c r="M336" s="22"/>
      <c r="N336" s="25" t="str">
        <f>HYPERLINK("http://slimages.macys.com/is/image/MCY/20549481 ")</f>
        <v xml:space="preserve">http://slimages.macys.com/is/image/MCY/20549481 </v>
      </c>
    </row>
    <row r="337" spans="1:14" x14ac:dyDescent="0.25">
      <c r="A337" s="21" t="s">
        <v>6887</v>
      </c>
      <c r="B337" s="22" t="s">
        <v>6888</v>
      </c>
      <c r="C337" s="2">
        <v>1</v>
      </c>
      <c r="D337" s="23">
        <v>13.68</v>
      </c>
      <c r="E337" s="3">
        <v>13.68</v>
      </c>
      <c r="F337" s="2" t="s">
        <v>6889</v>
      </c>
      <c r="G337" s="22" t="s">
        <v>19357</v>
      </c>
      <c r="H337" s="24" t="s">
        <v>20159</v>
      </c>
      <c r="I337" s="22" t="s">
        <v>19309</v>
      </c>
      <c r="J337" s="22" t="s">
        <v>19708</v>
      </c>
      <c r="K337" s="22" t="s">
        <v>19709</v>
      </c>
      <c r="L337" s="22"/>
      <c r="M337" s="22"/>
      <c r="N337" s="25" t="str">
        <f>HYPERLINK("http://slimages.macys.com/is/image/MCY/22405578 ")</f>
        <v xml:space="preserve">http://slimages.macys.com/is/image/MCY/22405578 </v>
      </c>
    </row>
    <row r="338" spans="1:14" x14ac:dyDescent="0.25">
      <c r="A338" s="21" t="s">
        <v>6890</v>
      </c>
      <c r="B338" s="22" t="s">
        <v>6891</v>
      </c>
      <c r="C338" s="2">
        <v>1</v>
      </c>
      <c r="D338" s="23">
        <v>13.77</v>
      </c>
      <c r="E338" s="3">
        <v>13.77</v>
      </c>
      <c r="F338" s="2" t="s">
        <v>16513</v>
      </c>
      <c r="G338" s="22" t="s">
        <v>19670</v>
      </c>
      <c r="H338" s="24" t="s">
        <v>19367</v>
      </c>
      <c r="I338" s="22" t="s">
        <v>19309</v>
      </c>
      <c r="J338" s="22" t="s">
        <v>19708</v>
      </c>
      <c r="K338" s="22" t="s">
        <v>19709</v>
      </c>
      <c r="L338" s="22"/>
      <c r="M338" s="22"/>
      <c r="N338" s="25" t="str">
        <f>HYPERLINK("http://slimages.macys.com/is/image/MCY/21414216 ")</f>
        <v xml:space="preserve">http://slimages.macys.com/is/image/MCY/21414216 </v>
      </c>
    </row>
    <row r="339" spans="1:14" x14ac:dyDescent="0.25">
      <c r="A339" s="21" t="s">
        <v>10697</v>
      </c>
      <c r="B339" s="22" t="s">
        <v>10698</v>
      </c>
      <c r="C339" s="2">
        <v>1</v>
      </c>
      <c r="D339" s="23">
        <v>13.77</v>
      </c>
      <c r="E339" s="3">
        <v>13.77</v>
      </c>
      <c r="F339" s="2" t="s">
        <v>16513</v>
      </c>
      <c r="G339" s="22" t="s">
        <v>19670</v>
      </c>
      <c r="H339" s="24" t="s">
        <v>20152</v>
      </c>
      <c r="I339" s="22" t="s">
        <v>19309</v>
      </c>
      <c r="J339" s="22" t="s">
        <v>19708</v>
      </c>
      <c r="K339" s="22" t="s">
        <v>19709</v>
      </c>
      <c r="L339" s="22"/>
      <c r="M339" s="22"/>
      <c r="N339" s="25" t="str">
        <f>HYPERLINK("http://slimages.macys.com/is/image/MCY/21414216 ")</f>
        <v xml:space="preserve">http://slimages.macys.com/is/image/MCY/21414216 </v>
      </c>
    </row>
    <row r="340" spans="1:14" x14ac:dyDescent="0.25">
      <c r="A340" s="21" t="s">
        <v>10695</v>
      </c>
      <c r="B340" s="22" t="s">
        <v>10696</v>
      </c>
      <c r="C340" s="2">
        <v>1</v>
      </c>
      <c r="D340" s="23">
        <v>13.77</v>
      </c>
      <c r="E340" s="3">
        <v>13.77</v>
      </c>
      <c r="F340" s="2" t="s">
        <v>10694</v>
      </c>
      <c r="G340" s="22"/>
      <c r="H340" s="24" t="s">
        <v>19770</v>
      </c>
      <c r="I340" s="22" t="s">
        <v>19309</v>
      </c>
      <c r="J340" s="22" t="s">
        <v>19708</v>
      </c>
      <c r="K340" s="22" t="s">
        <v>19709</v>
      </c>
      <c r="L340" s="22"/>
      <c r="M340" s="22"/>
      <c r="N340" s="25" t="str">
        <f>HYPERLINK("http://slimages.macys.com/is/image/MCY/21413961 ")</f>
        <v xml:space="preserve">http://slimages.macys.com/is/image/MCY/21413961 </v>
      </c>
    </row>
    <row r="341" spans="1:14" x14ac:dyDescent="0.25">
      <c r="A341" s="21" t="s">
        <v>9873</v>
      </c>
      <c r="B341" s="22" t="s">
        <v>9874</v>
      </c>
      <c r="C341" s="2">
        <v>1</v>
      </c>
      <c r="D341" s="23">
        <v>13.99</v>
      </c>
      <c r="E341" s="3">
        <v>13.99</v>
      </c>
      <c r="F341" s="2" t="s">
        <v>16222</v>
      </c>
      <c r="G341" s="22" t="s">
        <v>19670</v>
      </c>
      <c r="H341" s="24" t="s">
        <v>19352</v>
      </c>
      <c r="I341" s="22" t="s">
        <v>19309</v>
      </c>
      <c r="J341" s="22" t="s">
        <v>19849</v>
      </c>
      <c r="K341" s="22" t="s">
        <v>19850</v>
      </c>
      <c r="L341" s="22"/>
      <c r="M341" s="22"/>
      <c r="N341" s="25" t="str">
        <f>HYPERLINK("http://slimages.macys.com/is/image/MCY/21270377 ")</f>
        <v xml:space="preserve">http://slimages.macys.com/is/image/MCY/21270377 </v>
      </c>
    </row>
    <row r="342" spans="1:14" x14ac:dyDescent="0.25">
      <c r="A342" s="21" t="s">
        <v>9862</v>
      </c>
      <c r="B342" s="22" t="s">
        <v>9863</v>
      </c>
      <c r="C342" s="2">
        <v>1</v>
      </c>
      <c r="D342" s="23">
        <v>16.989999999999998</v>
      </c>
      <c r="E342" s="3">
        <v>16.989999999999998</v>
      </c>
      <c r="F342" s="2" t="s">
        <v>9864</v>
      </c>
      <c r="G342" s="22" t="s">
        <v>19670</v>
      </c>
      <c r="H342" s="24" t="s">
        <v>20089</v>
      </c>
      <c r="I342" s="22" t="s">
        <v>19309</v>
      </c>
      <c r="J342" s="22" t="s">
        <v>19849</v>
      </c>
      <c r="K342" s="22" t="s">
        <v>19850</v>
      </c>
      <c r="L342" s="22"/>
      <c r="M342" s="22"/>
      <c r="N342" s="25" t="str">
        <f>HYPERLINK("http://slimages.macys.com/is/image/MCY/21270746 ")</f>
        <v xml:space="preserve">http://slimages.macys.com/is/image/MCY/21270746 </v>
      </c>
    </row>
    <row r="343" spans="1:14" x14ac:dyDescent="0.25">
      <c r="A343" s="21" t="s">
        <v>7696</v>
      </c>
      <c r="B343" s="22" t="s">
        <v>7697</v>
      </c>
      <c r="C343" s="2">
        <v>1</v>
      </c>
      <c r="D343" s="23">
        <v>10.99</v>
      </c>
      <c r="E343" s="3">
        <v>10.99</v>
      </c>
      <c r="F343" s="2" t="s">
        <v>16624</v>
      </c>
      <c r="G343" s="22" t="s">
        <v>19477</v>
      </c>
      <c r="H343" s="24" t="s">
        <v>19339</v>
      </c>
      <c r="I343" s="22" t="s">
        <v>19309</v>
      </c>
      <c r="J343" s="22" t="s">
        <v>19849</v>
      </c>
      <c r="K343" s="22" t="s">
        <v>19850</v>
      </c>
      <c r="L343" s="22"/>
      <c r="M343" s="22"/>
      <c r="N343" s="25" t="str">
        <f>HYPERLINK("http://slimages.macys.com/is/image/MCY/19965805 ")</f>
        <v xml:space="preserve">http://slimages.macys.com/is/image/MCY/19965805 </v>
      </c>
    </row>
    <row r="344" spans="1:14" ht="24.75" x14ac:dyDescent="0.25">
      <c r="A344" s="21" t="s">
        <v>6892</v>
      </c>
      <c r="B344" s="22" t="s">
        <v>6893</v>
      </c>
      <c r="C344" s="2">
        <v>1</v>
      </c>
      <c r="D344" s="23">
        <v>11.99</v>
      </c>
      <c r="E344" s="3">
        <v>11.99</v>
      </c>
      <c r="F344" s="2" t="s">
        <v>6894</v>
      </c>
      <c r="G344" s="22" t="s">
        <v>18439</v>
      </c>
      <c r="H344" s="24" t="s">
        <v>19361</v>
      </c>
      <c r="I344" s="22" t="s">
        <v>19309</v>
      </c>
      <c r="J344" s="22" t="s">
        <v>19908</v>
      </c>
      <c r="K344" s="22" t="s">
        <v>19524</v>
      </c>
      <c r="L344" s="22"/>
      <c r="M344" s="22"/>
      <c r="N344" s="25" t="str">
        <f>HYPERLINK("http://slimages.macys.com/is/image/MCY/21569947 ")</f>
        <v xml:space="preserve">http://slimages.macys.com/is/image/MCY/21569947 </v>
      </c>
    </row>
    <row r="345" spans="1:14" x14ac:dyDescent="0.25">
      <c r="A345" s="21" t="s">
        <v>13851</v>
      </c>
      <c r="B345" s="22" t="s">
        <v>13852</v>
      </c>
      <c r="C345" s="2">
        <v>1</v>
      </c>
      <c r="D345" s="23">
        <v>11.99</v>
      </c>
      <c r="E345" s="3">
        <v>11.99</v>
      </c>
      <c r="F345" s="2" t="s">
        <v>13853</v>
      </c>
      <c r="G345" s="22" t="s">
        <v>19351</v>
      </c>
      <c r="H345" s="24" t="s">
        <v>19352</v>
      </c>
      <c r="I345" s="22" t="s">
        <v>19309</v>
      </c>
      <c r="J345" s="22" t="s">
        <v>19849</v>
      </c>
      <c r="K345" s="22" t="s">
        <v>19850</v>
      </c>
      <c r="L345" s="22"/>
      <c r="M345" s="22"/>
      <c r="N345" s="25" t="str">
        <f>HYPERLINK("http://slimages.macys.com/is/image/MCY/20549433 ")</f>
        <v xml:space="preserve">http://slimages.macys.com/is/image/MCY/20549433 </v>
      </c>
    </row>
    <row r="346" spans="1:14" ht="24.75" x14ac:dyDescent="0.25">
      <c r="A346" s="21" t="s">
        <v>13849</v>
      </c>
      <c r="B346" s="22" t="s">
        <v>13850</v>
      </c>
      <c r="C346" s="2">
        <v>1</v>
      </c>
      <c r="D346" s="23">
        <v>14.99</v>
      </c>
      <c r="E346" s="3">
        <v>14.99</v>
      </c>
      <c r="F346" s="2" t="s">
        <v>18501</v>
      </c>
      <c r="G346" s="22" t="s">
        <v>19323</v>
      </c>
      <c r="H346" s="24" t="s">
        <v>19797</v>
      </c>
      <c r="I346" s="22" t="s">
        <v>19309</v>
      </c>
      <c r="J346" s="22" t="s">
        <v>19595</v>
      </c>
      <c r="K346" s="22" t="s">
        <v>18498</v>
      </c>
      <c r="L346" s="22"/>
      <c r="M346" s="22"/>
      <c r="N346" s="25" t="str">
        <f>HYPERLINK("http://slimages.macys.com/is/image/MCY/21365889 ")</f>
        <v xml:space="preserve">http://slimages.macys.com/is/image/MCY/21365889 </v>
      </c>
    </row>
    <row r="347" spans="1:14" x14ac:dyDescent="0.25">
      <c r="A347" s="21" t="s">
        <v>10706</v>
      </c>
      <c r="B347" s="22" t="s">
        <v>10707</v>
      </c>
      <c r="C347" s="2">
        <v>1</v>
      </c>
      <c r="D347" s="23">
        <v>11.99</v>
      </c>
      <c r="E347" s="3">
        <v>11.99</v>
      </c>
      <c r="F347" s="2" t="s">
        <v>18493</v>
      </c>
      <c r="G347" s="22" t="s">
        <v>19477</v>
      </c>
      <c r="H347" s="24" t="s">
        <v>19339</v>
      </c>
      <c r="I347" s="22" t="s">
        <v>19309</v>
      </c>
      <c r="J347" s="22" t="s">
        <v>19849</v>
      </c>
      <c r="K347" s="22" t="s">
        <v>19850</v>
      </c>
      <c r="L347" s="22"/>
      <c r="M347" s="22"/>
      <c r="N347" s="25" t="str">
        <f>HYPERLINK("http://slimages.macys.com/is/image/MCY/1170432 ")</f>
        <v xml:space="preserve">http://slimages.macys.com/is/image/MCY/1170432 </v>
      </c>
    </row>
    <row r="348" spans="1:14" ht="24.75" x14ac:dyDescent="0.25">
      <c r="A348" s="21" t="s">
        <v>18503</v>
      </c>
      <c r="B348" s="22" t="s">
        <v>18504</v>
      </c>
      <c r="C348" s="2">
        <v>2</v>
      </c>
      <c r="D348" s="23">
        <v>14.99</v>
      </c>
      <c r="E348" s="3">
        <v>29.98</v>
      </c>
      <c r="F348" s="2" t="s">
        <v>18501</v>
      </c>
      <c r="G348" s="22" t="s">
        <v>19323</v>
      </c>
      <c r="H348" s="24" t="s">
        <v>18502</v>
      </c>
      <c r="I348" s="22" t="s">
        <v>19309</v>
      </c>
      <c r="J348" s="22" t="s">
        <v>19595</v>
      </c>
      <c r="K348" s="22" t="s">
        <v>18498</v>
      </c>
      <c r="L348" s="22"/>
      <c r="M348" s="22"/>
      <c r="N348" s="25" t="str">
        <f>HYPERLINK("http://slimages.macys.com/is/image/MCY/21365889 ")</f>
        <v xml:space="preserve">http://slimages.macys.com/is/image/MCY/21365889 </v>
      </c>
    </row>
    <row r="349" spans="1:14" ht="24.75" x14ac:dyDescent="0.25">
      <c r="A349" s="21" t="s">
        <v>18508</v>
      </c>
      <c r="B349" s="22" t="s">
        <v>18495</v>
      </c>
      <c r="C349" s="2">
        <v>1</v>
      </c>
      <c r="D349" s="23">
        <v>14.99</v>
      </c>
      <c r="E349" s="3">
        <v>14.99</v>
      </c>
      <c r="F349" s="2" t="s">
        <v>18501</v>
      </c>
      <c r="G349" s="22" t="s">
        <v>19323</v>
      </c>
      <c r="H349" s="24" t="s">
        <v>18497</v>
      </c>
      <c r="I349" s="22" t="s">
        <v>19309</v>
      </c>
      <c r="J349" s="22" t="s">
        <v>19595</v>
      </c>
      <c r="K349" s="22" t="s">
        <v>18498</v>
      </c>
      <c r="L349" s="22"/>
      <c r="M349" s="22"/>
      <c r="N349" s="25" t="str">
        <f>HYPERLINK("http://slimages.macys.com/is/image/MCY/21365889 ")</f>
        <v xml:space="preserve">http://slimages.macys.com/is/image/MCY/21365889 </v>
      </c>
    </row>
    <row r="350" spans="1:14" ht="24.75" x14ac:dyDescent="0.25">
      <c r="A350" s="21" t="s">
        <v>16223</v>
      </c>
      <c r="B350" s="22" t="s">
        <v>18506</v>
      </c>
      <c r="C350" s="2">
        <v>1</v>
      </c>
      <c r="D350" s="23">
        <v>14.99</v>
      </c>
      <c r="E350" s="3">
        <v>14.99</v>
      </c>
      <c r="F350" s="2" t="s">
        <v>18496</v>
      </c>
      <c r="G350" s="22" t="s">
        <v>19415</v>
      </c>
      <c r="H350" s="24" t="s">
        <v>18507</v>
      </c>
      <c r="I350" s="22" t="s">
        <v>19309</v>
      </c>
      <c r="J350" s="22" t="s">
        <v>19595</v>
      </c>
      <c r="K350" s="22" t="s">
        <v>18498</v>
      </c>
      <c r="L350" s="22"/>
      <c r="M350" s="22"/>
      <c r="N350" s="25" t="str">
        <f>HYPERLINK("http://slimages.macys.com/is/image/MCY/21693788 ")</f>
        <v xml:space="preserve">http://slimages.macys.com/is/image/MCY/21693788 </v>
      </c>
    </row>
    <row r="351" spans="1:14" ht="24.75" x14ac:dyDescent="0.25">
      <c r="A351" s="21" t="s">
        <v>18528</v>
      </c>
      <c r="B351" s="22" t="s">
        <v>18529</v>
      </c>
      <c r="C351" s="2">
        <v>1</v>
      </c>
      <c r="D351" s="23">
        <v>14.99</v>
      </c>
      <c r="E351" s="3">
        <v>14.99</v>
      </c>
      <c r="F351" s="2" t="s">
        <v>18527</v>
      </c>
      <c r="G351" s="22" t="s">
        <v>19415</v>
      </c>
      <c r="H351" s="24" t="s">
        <v>18530</v>
      </c>
      <c r="I351" s="22" t="s">
        <v>19309</v>
      </c>
      <c r="J351" s="22" t="s">
        <v>19573</v>
      </c>
      <c r="K351" s="22" t="s">
        <v>20228</v>
      </c>
      <c r="L351" s="22"/>
      <c r="M351" s="22"/>
      <c r="N351" s="25" t="str">
        <f>HYPERLINK("http://slimages.macys.com/is/image/MCY/1079446 ")</f>
        <v xml:space="preserve">http://slimages.macys.com/is/image/MCY/1079446 </v>
      </c>
    </row>
    <row r="352" spans="1:14" x14ac:dyDescent="0.25">
      <c r="A352" s="21" t="s">
        <v>10711</v>
      </c>
      <c r="B352" s="22" t="s">
        <v>10712</v>
      </c>
      <c r="C352" s="2">
        <v>1</v>
      </c>
      <c r="D352" s="23">
        <v>16.989999999999998</v>
      </c>
      <c r="E352" s="3">
        <v>16.989999999999998</v>
      </c>
      <c r="F352" s="2" t="s">
        <v>16240</v>
      </c>
      <c r="G352" s="22" t="s">
        <v>19351</v>
      </c>
      <c r="H352" s="24" t="s">
        <v>19377</v>
      </c>
      <c r="I352" s="22" t="s">
        <v>19309</v>
      </c>
      <c r="J352" s="22" t="s">
        <v>19849</v>
      </c>
      <c r="K352" s="22" t="s">
        <v>19850</v>
      </c>
      <c r="L352" s="22"/>
      <c r="M352" s="22"/>
      <c r="N352" s="25" t="str">
        <f>HYPERLINK("http://slimages.macys.com/is/image/MCY/21270723 ")</f>
        <v xml:space="preserve">http://slimages.macys.com/is/image/MCY/21270723 </v>
      </c>
    </row>
    <row r="353" spans="1:14" ht="24.75" x14ac:dyDescent="0.25">
      <c r="A353" s="21" t="s">
        <v>18552</v>
      </c>
      <c r="B353" s="22" t="s">
        <v>18553</v>
      </c>
      <c r="C353" s="2">
        <v>1</v>
      </c>
      <c r="D353" s="23">
        <v>13.99</v>
      </c>
      <c r="E353" s="3">
        <v>13.99</v>
      </c>
      <c r="F353" s="2" t="s">
        <v>18551</v>
      </c>
      <c r="G353" s="22" t="s">
        <v>19467</v>
      </c>
      <c r="H353" s="24" t="s">
        <v>19330</v>
      </c>
      <c r="I353" s="22" t="s">
        <v>19309</v>
      </c>
      <c r="J353" s="22" t="s">
        <v>19573</v>
      </c>
      <c r="K353" s="22" t="s">
        <v>19574</v>
      </c>
      <c r="L353" s="22"/>
      <c r="M353" s="22"/>
      <c r="N353" s="25" t="str">
        <f>HYPERLINK("http://slimages.macys.com/is/image/MCY/21361645 ")</f>
        <v xml:space="preserve">http://slimages.macys.com/is/image/MCY/21361645 </v>
      </c>
    </row>
    <row r="354" spans="1:14" ht="24.75" x14ac:dyDescent="0.25">
      <c r="A354" s="21" t="s">
        <v>18549</v>
      </c>
      <c r="B354" s="22" t="s">
        <v>18550</v>
      </c>
      <c r="C354" s="2">
        <v>1</v>
      </c>
      <c r="D354" s="23">
        <v>13.99</v>
      </c>
      <c r="E354" s="3">
        <v>13.99</v>
      </c>
      <c r="F354" s="2" t="s">
        <v>18551</v>
      </c>
      <c r="G354" s="22" t="s">
        <v>19467</v>
      </c>
      <c r="H354" s="24" t="s">
        <v>19384</v>
      </c>
      <c r="I354" s="22" t="s">
        <v>19309</v>
      </c>
      <c r="J354" s="22" t="s">
        <v>19573</v>
      </c>
      <c r="K354" s="22" t="s">
        <v>19574</v>
      </c>
      <c r="L354" s="22"/>
      <c r="M354" s="22"/>
      <c r="N354" s="25" t="str">
        <f>HYPERLINK("http://slimages.macys.com/is/image/MCY/21361645 ")</f>
        <v xml:space="preserve">http://slimages.macys.com/is/image/MCY/21361645 </v>
      </c>
    </row>
    <row r="355" spans="1:14" ht="24.75" x14ac:dyDescent="0.25">
      <c r="A355" s="21" t="s">
        <v>11099</v>
      </c>
      <c r="B355" s="22" t="s">
        <v>11100</v>
      </c>
      <c r="C355" s="2">
        <v>1</v>
      </c>
      <c r="D355" s="23">
        <v>16.989999999999998</v>
      </c>
      <c r="E355" s="3">
        <v>16.989999999999998</v>
      </c>
      <c r="F355" s="2" t="s">
        <v>18581</v>
      </c>
      <c r="G355" s="22" t="s">
        <v>19333</v>
      </c>
      <c r="H355" s="24" t="s">
        <v>19542</v>
      </c>
      <c r="I355" s="22" t="s">
        <v>19309</v>
      </c>
      <c r="J355" s="22" t="s">
        <v>19454</v>
      </c>
      <c r="K355" s="22" t="s">
        <v>19524</v>
      </c>
      <c r="L355" s="22"/>
      <c r="M355" s="22"/>
      <c r="N355" s="25" t="str">
        <f>HYPERLINK("http://slimages.macys.com/is/image/MCY/21265927 ")</f>
        <v xml:space="preserve">http://slimages.macys.com/is/image/MCY/21265927 </v>
      </c>
    </row>
    <row r="356" spans="1:14" ht="24.75" x14ac:dyDescent="0.25">
      <c r="A356" s="21" t="s">
        <v>13877</v>
      </c>
      <c r="B356" s="22" t="s">
        <v>13878</v>
      </c>
      <c r="C356" s="2">
        <v>1</v>
      </c>
      <c r="D356" s="23">
        <v>16.989999999999998</v>
      </c>
      <c r="E356" s="3">
        <v>16.989999999999998</v>
      </c>
      <c r="F356" s="2" t="s">
        <v>18581</v>
      </c>
      <c r="G356" s="22" t="s">
        <v>19333</v>
      </c>
      <c r="H356" s="24" t="s">
        <v>19361</v>
      </c>
      <c r="I356" s="22" t="s">
        <v>19309</v>
      </c>
      <c r="J356" s="22" t="s">
        <v>19454</v>
      </c>
      <c r="K356" s="22" t="s">
        <v>19524</v>
      </c>
      <c r="L356" s="22"/>
      <c r="M356" s="22"/>
      <c r="N356" s="25" t="str">
        <f>HYPERLINK("http://slimages.macys.com/is/image/MCY/21265927 ")</f>
        <v xml:space="preserve">http://slimages.macys.com/is/image/MCY/21265927 </v>
      </c>
    </row>
    <row r="357" spans="1:14" ht="24.75" x14ac:dyDescent="0.25">
      <c r="A357" s="21" t="s">
        <v>6895</v>
      </c>
      <c r="B357" s="22" t="s">
        <v>6896</v>
      </c>
      <c r="C357" s="2">
        <v>1</v>
      </c>
      <c r="D357" s="23">
        <v>14.99</v>
      </c>
      <c r="E357" s="3">
        <v>14.99</v>
      </c>
      <c r="F357" s="2" t="s">
        <v>18584</v>
      </c>
      <c r="G357" s="22" t="s">
        <v>19814</v>
      </c>
      <c r="H357" s="24" t="s">
        <v>19432</v>
      </c>
      <c r="I357" s="22" t="s">
        <v>19309</v>
      </c>
      <c r="J357" s="22" t="s">
        <v>19815</v>
      </c>
      <c r="K357" s="22" t="s">
        <v>19816</v>
      </c>
      <c r="L357" s="22"/>
      <c r="M357" s="22"/>
      <c r="N357" s="25" t="str">
        <f>HYPERLINK("http://slimages.macys.com/is/image/MCY/20815181 ")</f>
        <v xml:space="preserve">http://slimages.macys.com/is/image/MCY/20815181 </v>
      </c>
    </row>
    <row r="358" spans="1:14" ht="24.75" x14ac:dyDescent="0.25">
      <c r="A358" s="21" t="s">
        <v>18585</v>
      </c>
      <c r="B358" s="22" t="s">
        <v>18586</v>
      </c>
      <c r="C358" s="2">
        <v>1</v>
      </c>
      <c r="D358" s="23">
        <v>11.35</v>
      </c>
      <c r="E358" s="3">
        <v>11.35</v>
      </c>
      <c r="F358" s="2" t="s">
        <v>18587</v>
      </c>
      <c r="G358" s="22"/>
      <c r="H358" s="24" t="s">
        <v>19392</v>
      </c>
      <c r="I358" s="22" t="s">
        <v>19309</v>
      </c>
      <c r="J358" s="22" t="s">
        <v>19602</v>
      </c>
      <c r="K358" s="22" t="s">
        <v>20041</v>
      </c>
      <c r="L358" s="22"/>
      <c r="M358" s="22"/>
      <c r="N358" s="25" t="str">
        <f>HYPERLINK("http://slimages.macys.com/is/image/MCY/22406119 ")</f>
        <v xml:space="preserve">http://slimages.macys.com/is/image/MCY/22406119 </v>
      </c>
    </row>
    <row r="359" spans="1:14" ht="24.75" x14ac:dyDescent="0.25">
      <c r="A359" s="21" t="s">
        <v>6897</v>
      </c>
      <c r="B359" s="22" t="s">
        <v>6898</v>
      </c>
      <c r="C359" s="2">
        <v>1</v>
      </c>
      <c r="D359" s="23">
        <v>8.99</v>
      </c>
      <c r="E359" s="3">
        <v>8.99</v>
      </c>
      <c r="F359" s="2" t="s">
        <v>6899</v>
      </c>
      <c r="G359" s="22" t="s">
        <v>19462</v>
      </c>
      <c r="H359" s="24" t="s">
        <v>19352</v>
      </c>
      <c r="I359" s="22" t="s">
        <v>19309</v>
      </c>
      <c r="J359" s="22" t="s">
        <v>19447</v>
      </c>
      <c r="K359" s="22" t="s">
        <v>19873</v>
      </c>
      <c r="L359" s="22"/>
      <c r="M359" s="22"/>
      <c r="N359" s="25" t="str">
        <f>HYPERLINK("http://slimages.macys.com/is/image/MCY/21465720 ")</f>
        <v xml:space="preserve">http://slimages.macys.com/is/image/MCY/21465720 </v>
      </c>
    </row>
    <row r="360" spans="1:14" x14ac:dyDescent="0.25">
      <c r="A360" s="21" t="s">
        <v>8959</v>
      </c>
      <c r="B360" s="22" t="s">
        <v>8960</v>
      </c>
      <c r="C360" s="2">
        <v>2</v>
      </c>
      <c r="D360" s="23">
        <v>11.99</v>
      </c>
      <c r="E360" s="3">
        <v>23.98</v>
      </c>
      <c r="F360" s="2" t="s">
        <v>16562</v>
      </c>
      <c r="G360" s="22" t="s">
        <v>19351</v>
      </c>
      <c r="H360" s="24" t="s">
        <v>19339</v>
      </c>
      <c r="I360" s="22" t="s">
        <v>19309</v>
      </c>
      <c r="J360" s="22" t="s">
        <v>19849</v>
      </c>
      <c r="K360" s="22" t="s">
        <v>19850</v>
      </c>
      <c r="L360" s="22"/>
      <c r="M360" s="22"/>
      <c r="N360" s="25" t="str">
        <f>HYPERLINK("http://slimages.macys.com/is/image/MCY/20530994 ")</f>
        <v xml:space="preserve">http://slimages.macys.com/is/image/MCY/20530994 </v>
      </c>
    </row>
    <row r="361" spans="1:14" x14ac:dyDescent="0.25">
      <c r="A361" s="21" t="s">
        <v>9918</v>
      </c>
      <c r="B361" s="22" t="s">
        <v>9919</v>
      </c>
      <c r="C361" s="2">
        <v>5</v>
      </c>
      <c r="D361" s="23">
        <v>11.99</v>
      </c>
      <c r="E361" s="3">
        <v>59.95</v>
      </c>
      <c r="F361" s="2" t="s">
        <v>16562</v>
      </c>
      <c r="G361" s="22" t="s">
        <v>19351</v>
      </c>
      <c r="H361" s="24" t="s">
        <v>19352</v>
      </c>
      <c r="I361" s="22" t="s">
        <v>19309</v>
      </c>
      <c r="J361" s="22" t="s">
        <v>19849</v>
      </c>
      <c r="K361" s="22" t="s">
        <v>19850</v>
      </c>
      <c r="L361" s="22"/>
      <c r="M361" s="22"/>
      <c r="N361" s="25" t="str">
        <f>HYPERLINK("http://slimages.macys.com/is/image/MCY/20530994 ")</f>
        <v xml:space="preserve">http://slimages.macys.com/is/image/MCY/20530994 </v>
      </c>
    </row>
    <row r="362" spans="1:14" x14ac:dyDescent="0.25">
      <c r="A362" s="21" t="s">
        <v>16560</v>
      </c>
      <c r="B362" s="22" t="s">
        <v>16561</v>
      </c>
      <c r="C362" s="2">
        <v>1</v>
      </c>
      <c r="D362" s="23">
        <v>11.99</v>
      </c>
      <c r="E362" s="3">
        <v>11.99</v>
      </c>
      <c r="F362" s="2" t="s">
        <v>16562</v>
      </c>
      <c r="G362" s="22" t="s">
        <v>19351</v>
      </c>
      <c r="H362" s="24" t="s">
        <v>19797</v>
      </c>
      <c r="I362" s="22" t="s">
        <v>19309</v>
      </c>
      <c r="J362" s="22" t="s">
        <v>19849</v>
      </c>
      <c r="K362" s="22" t="s">
        <v>19850</v>
      </c>
      <c r="L362" s="22"/>
      <c r="M362" s="22"/>
      <c r="N362" s="25" t="str">
        <f>HYPERLINK("http://slimages.macys.com/is/image/MCY/20530994 ")</f>
        <v xml:space="preserve">http://slimages.macys.com/is/image/MCY/20530994 </v>
      </c>
    </row>
    <row r="363" spans="1:14" ht="24.75" x14ac:dyDescent="0.25">
      <c r="A363" s="21" t="s">
        <v>9908</v>
      </c>
      <c r="B363" s="22" t="s">
        <v>9909</v>
      </c>
      <c r="C363" s="2">
        <v>1</v>
      </c>
      <c r="D363" s="23">
        <v>7.99</v>
      </c>
      <c r="E363" s="3">
        <v>7.99</v>
      </c>
      <c r="F363" s="2" t="s">
        <v>16559</v>
      </c>
      <c r="G363" s="22" t="s">
        <v>19351</v>
      </c>
      <c r="H363" s="24" t="s">
        <v>19308</v>
      </c>
      <c r="I363" s="22" t="s">
        <v>19309</v>
      </c>
      <c r="J363" s="22" t="s">
        <v>19310</v>
      </c>
      <c r="K363" s="22" t="s">
        <v>19873</v>
      </c>
      <c r="L363" s="22"/>
      <c r="M363" s="22"/>
      <c r="N363" s="25" t="str">
        <f>HYPERLINK("http://slimages.macys.com/is/image/MCY/21551570 ")</f>
        <v xml:space="preserve">http://slimages.macys.com/is/image/MCY/21551570 </v>
      </c>
    </row>
    <row r="364" spans="1:14" ht="24.75" x14ac:dyDescent="0.25">
      <c r="A364" s="21" t="s">
        <v>6900</v>
      </c>
      <c r="B364" s="22" t="s">
        <v>6901</v>
      </c>
      <c r="C364" s="2">
        <v>1</v>
      </c>
      <c r="D364" s="23">
        <v>7.99</v>
      </c>
      <c r="E364" s="3">
        <v>7.99</v>
      </c>
      <c r="F364" s="2" t="s">
        <v>6902</v>
      </c>
      <c r="G364" s="22" t="s">
        <v>19886</v>
      </c>
      <c r="H364" s="24" t="s">
        <v>19352</v>
      </c>
      <c r="I364" s="22" t="s">
        <v>19309</v>
      </c>
      <c r="J364" s="22" t="s">
        <v>19310</v>
      </c>
      <c r="K364" s="22" t="s">
        <v>19873</v>
      </c>
      <c r="L364" s="22"/>
      <c r="M364" s="22"/>
      <c r="N364" s="25" t="str">
        <f>HYPERLINK("http://slimages.macys.com/is/image/MCY/21030922 ")</f>
        <v xml:space="preserve">http://slimages.macys.com/is/image/MCY/21030922 </v>
      </c>
    </row>
    <row r="365" spans="1:14" x14ac:dyDescent="0.25">
      <c r="A365" s="21" t="s">
        <v>16586</v>
      </c>
      <c r="B365" s="22" t="s">
        <v>16587</v>
      </c>
      <c r="C365" s="2">
        <v>4</v>
      </c>
      <c r="D365" s="23">
        <v>16.989999999999998</v>
      </c>
      <c r="E365" s="3">
        <v>67.959999999999994</v>
      </c>
      <c r="F365" s="2" t="s">
        <v>18666</v>
      </c>
      <c r="G365" s="22" t="s">
        <v>19431</v>
      </c>
      <c r="H365" s="24" t="s">
        <v>19364</v>
      </c>
      <c r="I365" s="22" t="s">
        <v>19309</v>
      </c>
      <c r="J365" s="22" t="s">
        <v>19849</v>
      </c>
      <c r="K365" s="22" t="s">
        <v>19850</v>
      </c>
      <c r="L365" s="22"/>
      <c r="M365" s="22"/>
      <c r="N365" s="25" t="str">
        <f>HYPERLINK("http://slimages.macys.com/is/image/MCY/1249846 ")</f>
        <v xml:space="preserve">http://slimages.macys.com/is/image/MCY/1249846 </v>
      </c>
    </row>
    <row r="366" spans="1:14" x14ac:dyDescent="0.25">
      <c r="A366" s="21" t="s">
        <v>16582</v>
      </c>
      <c r="B366" s="22" t="s">
        <v>16583</v>
      </c>
      <c r="C366" s="2">
        <v>4</v>
      </c>
      <c r="D366" s="23">
        <v>16.989999999999998</v>
      </c>
      <c r="E366" s="3">
        <v>67.959999999999994</v>
      </c>
      <c r="F366" s="2" t="s">
        <v>18666</v>
      </c>
      <c r="G366" s="22" t="s">
        <v>19431</v>
      </c>
      <c r="H366" s="24" t="s">
        <v>19797</v>
      </c>
      <c r="I366" s="22" t="s">
        <v>19309</v>
      </c>
      <c r="J366" s="22" t="s">
        <v>19849</v>
      </c>
      <c r="K366" s="22" t="s">
        <v>19850</v>
      </c>
      <c r="L366" s="22"/>
      <c r="M366" s="22"/>
      <c r="N366" s="25" t="str">
        <f>HYPERLINK("http://slimages.macys.com/is/image/MCY/1249846 ")</f>
        <v xml:space="preserve">http://slimages.macys.com/is/image/MCY/1249846 </v>
      </c>
    </row>
    <row r="367" spans="1:14" x14ac:dyDescent="0.25">
      <c r="A367" s="21" t="s">
        <v>16580</v>
      </c>
      <c r="B367" s="22" t="s">
        <v>16581</v>
      </c>
      <c r="C367" s="2">
        <v>2</v>
      </c>
      <c r="D367" s="23">
        <v>16.989999999999998</v>
      </c>
      <c r="E367" s="3">
        <v>33.979999999999997</v>
      </c>
      <c r="F367" s="2" t="s">
        <v>18666</v>
      </c>
      <c r="G367" s="22" t="s">
        <v>19431</v>
      </c>
      <c r="H367" s="24" t="s">
        <v>19352</v>
      </c>
      <c r="I367" s="22" t="s">
        <v>19309</v>
      </c>
      <c r="J367" s="22" t="s">
        <v>19849</v>
      </c>
      <c r="K367" s="22" t="s">
        <v>19850</v>
      </c>
      <c r="L367" s="22"/>
      <c r="M367" s="22"/>
      <c r="N367" s="25" t="str">
        <f>HYPERLINK("http://slimages.macys.com/is/image/MCY/1249846 ")</f>
        <v xml:space="preserve">http://slimages.macys.com/is/image/MCY/1249846 </v>
      </c>
    </row>
    <row r="368" spans="1:14" x14ac:dyDescent="0.25">
      <c r="A368" s="21" t="s">
        <v>16260</v>
      </c>
      <c r="B368" s="22" t="s">
        <v>16261</v>
      </c>
      <c r="C368" s="2">
        <v>3</v>
      </c>
      <c r="D368" s="23">
        <v>16.989999999999998</v>
      </c>
      <c r="E368" s="3">
        <v>50.97</v>
      </c>
      <c r="F368" s="2" t="s">
        <v>18666</v>
      </c>
      <c r="G368" s="22" t="s">
        <v>19351</v>
      </c>
      <c r="H368" s="24" t="s">
        <v>19797</v>
      </c>
      <c r="I368" s="22" t="s">
        <v>19309</v>
      </c>
      <c r="J368" s="22" t="s">
        <v>19849</v>
      </c>
      <c r="K368" s="22" t="s">
        <v>19850</v>
      </c>
      <c r="L368" s="22"/>
      <c r="M368" s="22"/>
      <c r="N368" s="25" t="str">
        <f>HYPERLINK("http://slimages.macys.com/is/image/MCY/20751778 ")</f>
        <v xml:space="preserve">http://slimages.macys.com/is/image/MCY/20751778 </v>
      </c>
    </row>
    <row r="369" spans="1:14" x14ac:dyDescent="0.25">
      <c r="A369" s="21" t="s">
        <v>16570</v>
      </c>
      <c r="B369" s="22" t="s">
        <v>16571</v>
      </c>
      <c r="C369" s="2">
        <v>1</v>
      </c>
      <c r="D369" s="23">
        <v>16.989999999999998</v>
      </c>
      <c r="E369" s="3">
        <v>16.989999999999998</v>
      </c>
      <c r="F369" s="2" t="s">
        <v>18666</v>
      </c>
      <c r="G369" s="22" t="s">
        <v>19351</v>
      </c>
      <c r="H369" s="24"/>
      <c r="I369" s="22" t="s">
        <v>19309</v>
      </c>
      <c r="J369" s="22" t="s">
        <v>19849</v>
      </c>
      <c r="K369" s="22" t="s">
        <v>19850</v>
      </c>
      <c r="L369" s="22"/>
      <c r="M369" s="22"/>
      <c r="N369" s="25" t="str">
        <f>HYPERLINK("http://slimages.macys.com/is/image/MCY/1249846 ")</f>
        <v xml:space="preserve">http://slimages.macys.com/is/image/MCY/1249846 </v>
      </c>
    </row>
    <row r="370" spans="1:14" x14ac:dyDescent="0.25">
      <c r="A370" s="21" t="s">
        <v>16576</v>
      </c>
      <c r="B370" s="22" t="s">
        <v>16577</v>
      </c>
      <c r="C370" s="2">
        <v>2</v>
      </c>
      <c r="D370" s="23">
        <v>16.989999999999998</v>
      </c>
      <c r="E370" s="3">
        <v>33.979999999999997</v>
      </c>
      <c r="F370" s="2" t="s">
        <v>18666</v>
      </c>
      <c r="G370" s="22" t="s">
        <v>19351</v>
      </c>
      <c r="H370" s="24" t="s">
        <v>19352</v>
      </c>
      <c r="I370" s="22" t="s">
        <v>19309</v>
      </c>
      <c r="J370" s="22" t="s">
        <v>19849</v>
      </c>
      <c r="K370" s="22" t="s">
        <v>19850</v>
      </c>
      <c r="L370" s="22"/>
      <c r="M370" s="22"/>
      <c r="N370" s="25" t="str">
        <f>HYPERLINK("http://slimages.macys.com/is/image/MCY/20751778 ")</f>
        <v xml:space="preserve">http://slimages.macys.com/is/image/MCY/20751778 </v>
      </c>
    </row>
    <row r="371" spans="1:14" x14ac:dyDescent="0.25">
      <c r="A371" s="21" t="s">
        <v>16584</v>
      </c>
      <c r="B371" s="22" t="s">
        <v>16585</v>
      </c>
      <c r="C371" s="2">
        <v>1</v>
      </c>
      <c r="D371" s="23">
        <v>16.989999999999998</v>
      </c>
      <c r="E371" s="3">
        <v>16.989999999999998</v>
      </c>
      <c r="F371" s="2" t="s">
        <v>18666</v>
      </c>
      <c r="G371" s="22" t="s">
        <v>19431</v>
      </c>
      <c r="H371" s="24" t="s">
        <v>19339</v>
      </c>
      <c r="I371" s="22" t="s">
        <v>19309</v>
      </c>
      <c r="J371" s="22" t="s">
        <v>19849</v>
      </c>
      <c r="K371" s="22" t="s">
        <v>19850</v>
      </c>
      <c r="L371" s="22"/>
      <c r="M371" s="22"/>
      <c r="N371" s="25" t="str">
        <f>HYPERLINK("http://slimages.macys.com/is/image/MCY/1249846 ")</f>
        <v xml:space="preserve">http://slimages.macys.com/is/image/MCY/1249846 </v>
      </c>
    </row>
    <row r="372" spans="1:14" x14ac:dyDescent="0.25">
      <c r="A372" s="21" t="s">
        <v>8967</v>
      </c>
      <c r="B372" s="22" t="s">
        <v>8968</v>
      </c>
      <c r="C372" s="2">
        <v>1</v>
      </c>
      <c r="D372" s="23">
        <v>11.99</v>
      </c>
      <c r="E372" s="3">
        <v>11.99</v>
      </c>
      <c r="F372" s="2" t="s">
        <v>8966</v>
      </c>
      <c r="G372" s="22" t="s">
        <v>19315</v>
      </c>
      <c r="H372" s="24" t="s">
        <v>19797</v>
      </c>
      <c r="I372" s="22" t="s">
        <v>19309</v>
      </c>
      <c r="J372" s="22" t="s">
        <v>19849</v>
      </c>
      <c r="K372" s="22" t="s">
        <v>19850</v>
      </c>
      <c r="L372" s="22"/>
      <c r="M372" s="22"/>
      <c r="N372" s="25" t="str">
        <f>HYPERLINK("http://slimages.macys.com/is/image/MCY/20752748 ")</f>
        <v xml:space="preserve">http://slimages.macys.com/is/image/MCY/20752748 </v>
      </c>
    </row>
    <row r="373" spans="1:14" ht="24.75" x14ac:dyDescent="0.25">
      <c r="A373" s="21" t="s">
        <v>18620</v>
      </c>
      <c r="B373" s="22" t="s">
        <v>18621</v>
      </c>
      <c r="C373" s="2">
        <v>1</v>
      </c>
      <c r="D373" s="23">
        <v>8.99</v>
      </c>
      <c r="E373" s="3">
        <v>8.99</v>
      </c>
      <c r="F373" s="2" t="s">
        <v>18622</v>
      </c>
      <c r="G373" s="22" t="s">
        <v>19315</v>
      </c>
      <c r="H373" s="24" t="s">
        <v>19392</v>
      </c>
      <c r="I373" s="22" t="s">
        <v>19309</v>
      </c>
      <c r="J373" s="22" t="s">
        <v>19815</v>
      </c>
      <c r="K373" s="22" t="s">
        <v>19816</v>
      </c>
      <c r="L373" s="22"/>
      <c r="M373" s="22"/>
      <c r="N373" s="25" t="str">
        <f>HYPERLINK("http://slimages.macys.com/is/image/MCY/20531081 ")</f>
        <v xml:space="preserve">http://slimages.macys.com/is/image/MCY/20531081 </v>
      </c>
    </row>
    <row r="374" spans="1:14" ht="24.75" x14ac:dyDescent="0.25">
      <c r="A374" s="21" t="s">
        <v>6903</v>
      </c>
      <c r="B374" s="22" t="s">
        <v>6904</v>
      </c>
      <c r="C374" s="2">
        <v>1</v>
      </c>
      <c r="D374" s="23">
        <v>8.99</v>
      </c>
      <c r="E374" s="3">
        <v>8.99</v>
      </c>
      <c r="F374" s="2" t="s">
        <v>18622</v>
      </c>
      <c r="G374" s="22" t="s">
        <v>19315</v>
      </c>
      <c r="H374" s="24" t="s">
        <v>19361</v>
      </c>
      <c r="I374" s="22" t="s">
        <v>19309</v>
      </c>
      <c r="J374" s="22" t="s">
        <v>19815</v>
      </c>
      <c r="K374" s="22" t="s">
        <v>19816</v>
      </c>
      <c r="L374" s="22"/>
      <c r="M374" s="22"/>
      <c r="N374" s="25" t="str">
        <f>HYPERLINK("http://slimages.macys.com/is/image/MCY/20531081 ")</f>
        <v xml:space="preserve">http://slimages.macys.com/is/image/MCY/20531081 </v>
      </c>
    </row>
    <row r="375" spans="1:14" ht="24.75" x14ac:dyDescent="0.25">
      <c r="A375" s="21" t="s">
        <v>6905</v>
      </c>
      <c r="B375" s="22" t="s">
        <v>6906</v>
      </c>
      <c r="C375" s="2">
        <v>1</v>
      </c>
      <c r="D375" s="23">
        <v>19.989999999999998</v>
      </c>
      <c r="E375" s="3">
        <v>19.989999999999998</v>
      </c>
      <c r="F375" s="2" t="s">
        <v>18619</v>
      </c>
      <c r="G375" s="22" t="s">
        <v>19618</v>
      </c>
      <c r="H375" s="24" t="s">
        <v>19392</v>
      </c>
      <c r="I375" s="22" t="s">
        <v>19309</v>
      </c>
      <c r="J375" s="22" t="s">
        <v>19815</v>
      </c>
      <c r="K375" s="22" t="s">
        <v>19816</v>
      </c>
      <c r="L375" s="22"/>
      <c r="M375" s="22"/>
      <c r="N375" s="25" t="str">
        <f>HYPERLINK("http://slimages.macys.com/is/image/MCY/20817208 ")</f>
        <v xml:space="preserve">http://slimages.macys.com/is/image/MCY/20817208 </v>
      </c>
    </row>
    <row r="376" spans="1:14" ht="24.75" x14ac:dyDescent="0.25">
      <c r="A376" s="21" t="s">
        <v>13922</v>
      </c>
      <c r="B376" s="22" t="s">
        <v>13923</v>
      </c>
      <c r="C376" s="2">
        <v>1</v>
      </c>
      <c r="D376" s="23">
        <v>8.99</v>
      </c>
      <c r="E376" s="3">
        <v>8.99</v>
      </c>
      <c r="F376" s="2" t="s">
        <v>18622</v>
      </c>
      <c r="G376" s="22" t="s">
        <v>19518</v>
      </c>
      <c r="H376" s="24" t="s">
        <v>19392</v>
      </c>
      <c r="I376" s="22" t="s">
        <v>19309</v>
      </c>
      <c r="J376" s="22" t="s">
        <v>19815</v>
      </c>
      <c r="K376" s="22" t="s">
        <v>19816</v>
      </c>
      <c r="L376" s="22"/>
      <c r="M376" s="22"/>
      <c r="N376" s="25" t="str">
        <f>HYPERLINK("http://slimages.macys.com/is/image/MCY/20531081 ")</f>
        <v xml:space="preserve">http://slimages.macys.com/is/image/MCY/20531081 </v>
      </c>
    </row>
    <row r="377" spans="1:14" ht="24.75" x14ac:dyDescent="0.25">
      <c r="A377" s="21" t="s">
        <v>6907</v>
      </c>
      <c r="B377" s="22" t="s">
        <v>6908</v>
      </c>
      <c r="C377" s="2">
        <v>1</v>
      </c>
      <c r="D377" s="23">
        <v>8.99</v>
      </c>
      <c r="E377" s="3">
        <v>8.99</v>
      </c>
      <c r="F377" s="2" t="s">
        <v>18622</v>
      </c>
      <c r="G377" s="22" t="s">
        <v>19467</v>
      </c>
      <c r="H377" s="24" t="s">
        <v>19392</v>
      </c>
      <c r="I377" s="22" t="s">
        <v>19309</v>
      </c>
      <c r="J377" s="22" t="s">
        <v>19815</v>
      </c>
      <c r="K377" s="22" t="s">
        <v>19816</v>
      </c>
      <c r="L377" s="22"/>
      <c r="M377" s="22"/>
      <c r="N377" s="25" t="str">
        <f>HYPERLINK("http://slimages.macys.com/is/image/MCY/20531081 ")</f>
        <v xml:space="preserve">http://slimages.macys.com/is/image/MCY/20531081 </v>
      </c>
    </row>
    <row r="378" spans="1:14" ht="24.75" x14ac:dyDescent="0.25">
      <c r="A378" s="21" t="s">
        <v>6909</v>
      </c>
      <c r="B378" s="22" t="s">
        <v>6910</v>
      </c>
      <c r="C378" s="2">
        <v>1</v>
      </c>
      <c r="D378" s="23">
        <v>11.99</v>
      </c>
      <c r="E378" s="3">
        <v>11.99</v>
      </c>
      <c r="F378" s="2" t="s">
        <v>8973</v>
      </c>
      <c r="G378" s="22" t="s">
        <v>19674</v>
      </c>
      <c r="H378" s="24" t="s">
        <v>19352</v>
      </c>
      <c r="I378" s="22" t="s">
        <v>19309</v>
      </c>
      <c r="J378" s="22" t="s">
        <v>19849</v>
      </c>
      <c r="K378" s="22" t="s">
        <v>19850</v>
      </c>
      <c r="L378" s="22"/>
      <c r="M378" s="22"/>
      <c r="N378" s="25" t="str">
        <f>HYPERLINK("http://slimages.macys.com/is/image/MCY/20752748 ")</f>
        <v xml:space="preserve">http://slimages.macys.com/is/image/MCY/20752748 </v>
      </c>
    </row>
    <row r="379" spans="1:14" ht="24.75" x14ac:dyDescent="0.25">
      <c r="A379" s="21" t="s">
        <v>13898</v>
      </c>
      <c r="B379" s="22" t="s">
        <v>13899</v>
      </c>
      <c r="C379" s="2">
        <v>1</v>
      </c>
      <c r="D379" s="23">
        <v>10.91</v>
      </c>
      <c r="E379" s="3">
        <v>10.91</v>
      </c>
      <c r="F379" s="2" t="s">
        <v>16605</v>
      </c>
      <c r="G379" s="22" t="s">
        <v>19594</v>
      </c>
      <c r="H379" s="24" t="s">
        <v>19392</v>
      </c>
      <c r="I379" s="22" t="s">
        <v>19309</v>
      </c>
      <c r="J379" s="22" t="s">
        <v>19602</v>
      </c>
      <c r="K379" s="22" t="s">
        <v>20041</v>
      </c>
      <c r="L379" s="22"/>
      <c r="M379" s="22"/>
      <c r="N379" s="25" t="str">
        <f>HYPERLINK("http://slimages.macys.com/is/image/MCY/21723141 ")</f>
        <v xml:space="preserve">http://slimages.macys.com/is/image/MCY/21723141 </v>
      </c>
    </row>
    <row r="380" spans="1:14" x14ac:dyDescent="0.25">
      <c r="A380" s="21" t="s">
        <v>6911</v>
      </c>
      <c r="B380" s="22" t="s">
        <v>9930</v>
      </c>
      <c r="C380" s="2">
        <v>1</v>
      </c>
      <c r="D380" s="23">
        <v>12.4</v>
      </c>
      <c r="E380" s="3">
        <v>12.4</v>
      </c>
      <c r="F380" s="2" t="s">
        <v>9932</v>
      </c>
      <c r="G380" s="22" t="s">
        <v>19315</v>
      </c>
      <c r="H380" s="24" t="s">
        <v>19367</v>
      </c>
      <c r="I380" s="22" t="s">
        <v>19309</v>
      </c>
      <c r="J380" s="22" t="s">
        <v>19708</v>
      </c>
      <c r="K380" s="22" t="s">
        <v>19709</v>
      </c>
      <c r="L380" s="22"/>
      <c r="M380" s="22"/>
      <c r="N380" s="25" t="str">
        <f>HYPERLINK("http://slimages.macys.com/is/image/MCY/22296850 ")</f>
        <v xml:space="preserve">http://slimages.macys.com/is/image/MCY/22296850 </v>
      </c>
    </row>
    <row r="381" spans="1:14" x14ac:dyDescent="0.25">
      <c r="A381" s="21" t="s">
        <v>6912</v>
      </c>
      <c r="B381" s="22" t="s">
        <v>10820</v>
      </c>
      <c r="C381" s="2">
        <v>1</v>
      </c>
      <c r="D381" s="23">
        <v>12.33</v>
      </c>
      <c r="E381" s="3">
        <v>12.33</v>
      </c>
      <c r="F381" s="2" t="s">
        <v>8983</v>
      </c>
      <c r="G381" s="22" t="s">
        <v>19351</v>
      </c>
      <c r="H381" s="24" t="s">
        <v>19367</v>
      </c>
      <c r="I381" s="22" t="s">
        <v>19309</v>
      </c>
      <c r="J381" s="22" t="s">
        <v>19708</v>
      </c>
      <c r="K381" s="22" t="s">
        <v>19709</v>
      </c>
      <c r="L381" s="22"/>
      <c r="M381" s="22"/>
      <c r="N381" s="25" t="str">
        <f>HYPERLINK("http://slimages.macys.com/is/image/MCY/22596264 ")</f>
        <v xml:space="preserve">http://slimages.macys.com/is/image/MCY/22596264 </v>
      </c>
    </row>
    <row r="382" spans="1:14" ht="24.75" x14ac:dyDescent="0.25">
      <c r="A382" s="21" t="s">
        <v>9926</v>
      </c>
      <c r="B382" s="22" t="s">
        <v>9927</v>
      </c>
      <c r="C382" s="2">
        <v>1</v>
      </c>
      <c r="D382" s="23">
        <v>13.27</v>
      </c>
      <c r="E382" s="3">
        <v>13.27</v>
      </c>
      <c r="F382" s="2" t="s">
        <v>9928</v>
      </c>
      <c r="G382" s="22"/>
      <c r="H382" s="24" t="s">
        <v>19324</v>
      </c>
      <c r="I382" s="22" t="s">
        <v>19309</v>
      </c>
      <c r="J382" s="22" t="s">
        <v>19708</v>
      </c>
      <c r="K382" s="22" t="s">
        <v>19754</v>
      </c>
      <c r="L382" s="22"/>
      <c r="M382" s="22"/>
      <c r="N382" s="25" t="str">
        <f>HYPERLINK("http://slimages.macys.com/is/image/MCY/21414782 ")</f>
        <v xml:space="preserve">http://slimages.macys.com/is/image/MCY/21414782 </v>
      </c>
    </row>
    <row r="383" spans="1:14" ht="24.75" x14ac:dyDescent="0.25">
      <c r="A383" s="21" t="s">
        <v>6913</v>
      </c>
      <c r="B383" s="22" t="s">
        <v>6914</v>
      </c>
      <c r="C383" s="2">
        <v>2</v>
      </c>
      <c r="D383" s="23">
        <v>13.27</v>
      </c>
      <c r="E383" s="3">
        <v>26.54</v>
      </c>
      <c r="F383" s="2" t="s">
        <v>9928</v>
      </c>
      <c r="G383" s="22"/>
      <c r="H383" s="24" t="s">
        <v>19416</v>
      </c>
      <c r="I383" s="22" t="s">
        <v>19309</v>
      </c>
      <c r="J383" s="22" t="s">
        <v>19708</v>
      </c>
      <c r="K383" s="22" t="s">
        <v>19754</v>
      </c>
      <c r="L383" s="22"/>
      <c r="M383" s="22"/>
      <c r="N383" s="25" t="str">
        <f>HYPERLINK("http://slimages.macys.com/is/image/MCY/21414782 ")</f>
        <v xml:space="preserve">http://slimages.macys.com/is/image/MCY/21414782 </v>
      </c>
    </row>
    <row r="384" spans="1:14" ht="24.75" x14ac:dyDescent="0.25">
      <c r="A384" s="21" t="s">
        <v>9943</v>
      </c>
      <c r="B384" s="22" t="s">
        <v>9944</v>
      </c>
      <c r="C384" s="2">
        <v>1</v>
      </c>
      <c r="D384" s="23">
        <v>9.99</v>
      </c>
      <c r="E384" s="3">
        <v>9.99</v>
      </c>
      <c r="F384" s="2" t="s">
        <v>16621</v>
      </c>
      <c r="G384" s="22" t="s">
        <v>19906</v>
      </c>
      <c r="H384" s="24" t="s">
        <v>19361</v>
      </c>
      <c r="I384" s="22" t="s">
        <v>19309</v>
      </c>
      <c r="J384" s="22" t="s">
        <v>19908</v>
      </c>
      <c r="K384" s="22" t="s">
        <v>19524</v>
      </c>
      <c r="L384" s="22"/>
      <c r="M384" s="22"/>
      <c r="N384" s="25" t="str">
        <f>HYPERLINK("http://slimages.macys.com/is/image/MCY/21727213 ")</f>
        <v xml:space="preserve">http://slimages.macys.com/is/image/MCY/21727213 </v>
      </c>
    </row>
    <row r="385" spans="1:14" ht="24.75" x14ac:dyDescent="0.25">
      <c r="A385" s="21" t="s">
        <v>9939</v>
      </c>
      <c r="B385" s="22" t="s">
        <v>9940</v>
      </c>
      <c r="C385" s="2">
        <v>1</v>
      </c>
      <c r="D385" s="23">
        <v>9.99</v>
      </c>
      <c r="E385" s="3">
        <v>9.99</v>
      </c>
      <c r="F385" s="2" t="s">
        <v>16621</v>
      </c>
      <c r="G385" s="22" t="s">
        <v>19906</v>
      </c>
      <c r="H385" s="24" t="s">
        <v>19542</v>
      </c>
      <c r="I385" s="22" t="s">
        <v>19309</v>
      </c>
      <c r="J385" s="22" t="s">
        <v>19908</v>
      </c>
      <c r="K385" s="22" t="s">
        <v>19524</v>
      </c>
      <c r="L385" s="22"/>
      <c r="M385" s="22"/>
      <c r="N385" s="25" t="str">
        <f>HYPERLINK("http://slimages.macys.com/is/image/MCY/21727213 ")</f>
        <v xml:space="preserve">http://slimages.macys.com/is/image/MCY/21727213 </v>
      </c>
    </row>
    <row r="386" spans="1:14" ht="24.75" x14ac:dyDescent="0.25">
      <c r="A386" s="21" t="s">
        <v>8987</v>
      </c>
      <c r="B386" s="22" t="s">
        <v>8988</v>
      </c>
      <c r="C386" s="2">
        <v>1</v>
      </c>
      <c r="D386" s="23">
        <v>9.99</v>
      </c>
      <c r="E386" s="3">
        <v>9.99</v>
      </c>
      <c r="F386" s="2" t="s">
        <v>16621</v>
      </c>
      <c r="G386" s="22" t="s">
        <v>19906</v>
      </c>
      <c r="H386" s="24" t="s">
        <v>20135</v>
      </c>
      <c r="I386" s="22" t="s">
        <v>19309</v>
      </c>
      <c r="J386" s="22" t="s">
        <v>19908</v>
      </c>
      <c r="K386" s="22" t="s">
        <v>19524</v>
      </c>
      <c r="L386" s="22"/>
      <c r="M386" s="22"/>
      <c r="N386" s="25" t="str">
        <f>HYPERLINK("http://slimages.macys.com/is/image/MCY/21727213 ")</f>
        <v xml:space="preserve">http://slimages.macys.com/is/image/MCY/21727213 </v>
      </c>
    </row>
    <row r="387" spans="1:14" ht="24.75" x14ac:dyDescent="0.25">
      <c r="A387" s="21" t="s">
        <v>16619</v>
      </c>
      <c r="B387" s="22" t="s">
        <v>16620</v>
      </c>
      <c r="C387" s="2">
        <v>1</v>
      </c>
      <c r="D387" s="23">
        <v>9.99</v>
      </c>
      <c r="E387" s="3">
        <v>9.99</v>
      </c>
      <c r="F387" s="2" t="s">
        <v>16621</v>
      </c>
      <c r="G387" s="22" t="s">
        <v>19906</v>
      </c>
      <c r="H387" s="24" t="s">
        <v>19907</v>
      </c>
      <c r="I387" s="22" t="s">
        <v>19309</v>
      </c>
      <c r="J387" s="22" t="s">
        <v>19908</v>
      </c>
      <c r="K387" s="22" t="s">
        <v>19524</v>
      </c>
      <c r="L387" s="22"/>
      <c r="M387" s="22"/>
      <c r="N387" s="25" t="str">
        <f>HYPERLINK("http://slimages.macys.com/is/image/MCY/21727213 ")</f>
        <v xml:space="preserve">http://slimages.macys.com/is/image/MCY/21727213 </v>
      </c>
    </row>
    <row r="388" spans="1:14" ht="24.75" x14ac:dyDescent="0.25">
      <c r="A388" s="21" t="s">
        <v>13283</v>
      </c>
      <c r="B388" s="22" t="s">
        <v>13284</v>
      </c>
      <c r="C388" s="2">
        <v>1</v>
      </c>
      <c r="D388" s="23">
        <v>10.99</v>
      </c>
      <c r="E388" s="3">
        <v>10.99</v>
      </c>
      <c r="F388" s="2" t="s">
        <v>18657</v>
      </c>
      <c r="G388" s="22" t="s">
        <v>19814</v>
      </c>
      <c r="H388" s="24" t="s">
        <v>19797</v>
      </c>
      <c r="I388" s="22" t="s">
        <v>19309</v>
      </c>
      <c r="J388" s="22" t="s">
        <v>19353</v>
      </c>
      <c r="K388" s="22" t="s">
        <v>19524</v>
      </c>
      <c r="L388" s="22"/>
      <c r="M388" s="22"/>
      <c r="N388" s="25" t="str">
        <f>HYPERLINK("http://slimages.macys.com/is/image/MCY/20702948 ")</f>
        <v xml:space="preserve">http://slimages.macys.com/is/image/MCY/20702948 </v>
      </c>
    </row>
    <row r="389" spans="1:14" ht="24.75" x14ac:dyDescent="0.25">
      <c r="A389" s="21" t="s">
        <v>9945</v>
      </c>
      <c r="B389" s="22" t="s">
        <v>9946</v>
      </c>
      <c r="C389" s="2">
        <v>1</v>
      </c>
      <c r="D389" s="23">
        <v>11.99</v>
      </c>
      <c r="E389" s="3">
        <v>11.99</v>
      </c>
      <c r="F389" s="2" t="s">
        <v>18663</v>
      </c>
      <c r="G389" s="22" t="s">
        <v>19585</v>
      </c>
      <c r="H389" s="24" t="s">
        <v>19339</v>
      </c>
      <c r="I389" s="22" t="s">
        <v>19309</v>
      </c>
      <c r="J389" s="22" t="s">
        <v>19849</v>
      </c>
      <c r="K389" s="22" t="s">
        <v>19850</v>
      </c>
      <c r="L389" s="22"/>
      <c r="M389" s="22"/>
      <c r="N389" s="25" t="str">
        <f>HYPERLINK("http://slimages.macys.com/is/image/MCY/20752422 ")</f>
        <v xml:space="preserve">http://slimages.macys.com/is/image/MCY/20752422 </v>
      </c>
    </row>
    <row r="390" spans="1:14" ht="24.75" x14ac:dyDescent="0.25">
      <c r="A390" s="21" t="s">
        <v>18661</v>
      </c>
      <c r="B390" s="22" t="s">
        <v>18662</v>
      </c>
      <c r="C390" s="2">
        <v>1</v>
      </c>
      <c r="D390" s="23">
        <v>11.99</v>
      </c>
      <c r="E390" s="3">
        <v>11.99</v>
      </c>
      <c r="F390" s="2" t="s">
        <v>18663</v>
      </c>
      <c r="G390" s="22" t="s">
        <v>19585</v>
      </c>
      <c r="H390" s="24" t="s">
        <v>19352</v>
      </c>
      <c r="I390" s="22" t="s">
        <v>19309</v>
      </c>
      <c r="J390" s="22" t="s">
        <v>19849</v>
      </c>
      <c r="K390" s="22" t="s">
        <v>19850</v>
      </c>
      <c r="L390" s="22"/>
      <c r="M390" s="22"/>
      <c r="N390" s="25" t="str">
        <f>HYPERLINK("http://slimages.macys.com/is/image/MCY/20752422 ")</f>
        <v xml:space="preserve">http://slimages.macys.com/is/image/MCY/20752422 </v>
      </c>
    </row>
    <row r="391" spans="1:14" x14ac:dyDescent="0.25">
      <c r="A391" s="21" t="s">
        <v>16633</v>
      </c>
      <c r="B391" s="22" t="s">
        <v>16634</v>
      </c>
      <c r="C391" s="2">
        <v>2</v>
      </c>
      <c r="D391" s="23">
        <v>16.989999999999998</v>
      </c>
      <c r="E391" s="3">
        <v>33.979999999999997</v>
      </c>
      <c r="F391" s="2" t="s">
        <v>18666</v>
      </c>
      <c r="G391" s="22" t="s">
        <v>19477</v>
      </c>
      <c r="H391" s="24" t="s">
        <v>19797</v>
      </c>
      <c r="I391" s="22" t="s">
        <v>19309</v>
      </c>
      <c r="J391" s="22" t="s">
        <v>19849</v>
      </c>
      <c r="K391" s="22" t="s">
        <v>19850</v>
      </c>
      <c r="L391" s="22"/>
      <c r="M391" s="22"/>
      <c r="N391" s="25" t="str">
        <f>HYPERLINK("http://slimages.macys.com/is/image/MCY/20549559 ")</f>
        <v xml:space="preserve">http://slimages.macys.com/is/image/MCY/20549559 </v>
      </c>
    </row>
    <row r="392" spans="1:14" x14ac:dyDescent="0.25">
      <c r="A392" s="21" t="s">
        <v>16627</v>
      </c>
      <c r="B392" s="22" t="s">
        <v>16628</v>
      </c>
      <c r="C392" s="2">
        <v>2</v>
      </c>
      <c r="D392" s="23">
        <v>16.989999999999998</v>
      </c>
      <c r="E392" s="3">
        <v>33.979999999999997</v>
      </c>
      <c r="F392" s="2" t="s">
        <v>18666</v>
      </c>
      <c r="G392" s="22" t="s">
        <v>19477</v>
      </c>
      <c r="H392" s="24" t="s">
        <v>19339</v>
      </c>
      <c r="I392" s="22" t="s">
        <v>19309</v>
      </c>
      <c r="J392" s="22" t="s">
        <v>19849</v>
      </c>
      <c r="K392" s="22" t="s">
        <v>19850</v>
      </c>
      <c r="L392" s="22"/>
      <c r="M392" s="22"/>
      <c r="N392" s="25" t="str">
        <f>HYPERLINK("http://slimages.macys.com/is/image/MCY/20549559 ")</f>
        <v xml:space="preserve">http://slimages.macys.com/is/image/MCY/20549559 </v>
      </c>
    </row>
    <row r="393" spans="1:14" x14ac:dyDescent="0.25">
      <c r="A393" s="21" t="s">
        <v>18664</v>
      </c>
      <c r="B393" s="22" t="s">
        <v>18665</v>
      </c>
      <c r="C393" s="2">
        <v>1</v>
      </c>
      <c r="D393" s="23">
        <v>16.989999999999998</v>
      </c>
      <c r="E393" s="3">
        <v>16.989999999999998</v>
      </c>
      <c r="F393" s="2" t="s">
        <v>18666</v>
      </c>
      <c r="G393" s="22" t="s">
        <v>19477</v>
      </c>
      <c r="H393" s="24" t="s">
        <v>19352</v>
      </c>
      <c r="I393" s="22" t="s">
        <v>19309</v>
      </c>
      <c r="J393" s="22" t="s">
        <v>19849</v>
      </c>
      <c r="K393" s="22" t="s">
        <v>19850</v>
      </c>
      <c r="L393" s="22"/>
      <c r="M393" s="22"/>
      <c r="N393" s="25" t="str">
        <f>HYPERLINK("http://slimages.macys.com/is/image/MCY/20549559 ")</f>
        <v xml:space="preserve">http://slimages.macys.com/is/image/MCY/20549559 </v>
      </c>
    </row>
    <row r="394" spans="1:14" x14ac:dyDescent="0.25">
      <c r="A394" s="21" t="s">
        <v>16625</v>
      </c>
      <c r="B394" s="22" t="s">
        <v>16626</v>
      </c>
      <c r="C394" s="2">
        <v>1</v>
      </c>
      <c r="D394" s="23">
        <v>16.989999999999998</v>
      </c>
      <c r="E394" s="3">
        <v>16.989999999999998</v>
      </c>
      <c r="F394" s="2" t="s">
        <v>18666</v>
      </c>
      <c r="G394" s="22" t="s">
        <v>19477</v>
      </c>
      <c r="H394" s="24" t="s">
        <v>19364</v>
      </c>
      <c r="I394" s="22" t="s">
        <v>19309</v>
      </c>
      <c r="J394" s="22" t="s">
        <v>19849</v>
      </c>
      <c r="K394" s="22" t="s">
        <v>19850</v>
      </c>
      <c r="L394" s="22"/>
      <c r="M394" s="22"/>
      <c r="N394" s="25" t="str">
        <f>HYPERLINK("http://slimages.macys.com/is/image/MCY/20549559 ")</f>
        <v xml:space="preserve">http://slimages.macys.com/is/image/MCY/20549559 </v>
      </c>
    </row>
    <row r="395" spans="1:14" ht="24.75" x14ac:dyDescent="0.25">
      <c r="A395" s="21" t="s">
        <v>6915</v>
      </c>
      <c r="B395" s="22" t="s">
        <v>6916</v>
      </c>
      <c r="C395" s="2">
        <v>1</v>
      </c>
      <c r="D395" s="23">
        <v>17.5</v>
      </c>
      <c r="E395" s="3">
        <v>17.5</v>
      </c>
      <c r="F395" s="2" t="s">
        <v>6917</v>
      </c>
      <c r="G395" s="22" t="s">
        <v>18821</v>
      </c>
      <c r="H395" s="24" t="s">
        <v>19345</v>
      </c>
      <c r="I395" s="22" t="s">
        <v>19309</v>
      </c>
      <c r="J395" s="22" t="s">
        <v>20104</v>
      </c>
      <c r="K395" s="22" t="s">
        <v>20105</v>
      </c>
      <c r="L395" s="22" t="s">
        <v>19319</v>
      </c>
      <c r="M395" s="22" t="s">
        <v>19435</v>
      </c>
      <c r="N395" s="25" t="str">
        <f>HYPERLINK("http://slimages.macys.com/is/image/MCY/11437141 ")</f>
        <v xml:space="preserve">http://slimages.macys.com/is/image/MCY/11437141 </v>
      </c>
    </row>
    <row r="396" spans="1:14" ht="24.75" x14ac:dyDescent="0.25">
      <c r="A396" s="21" t="s">
        <v>6918</v>
      </c>
      <c r="B396" s="22" t="s">
        <v>6919</v>
      </c>
      <c r="C396" s="2">
        <v>1</v>
      </c>
      <c r="D396" s="23">
        <v>10.62</v>
      </c>
      <c r="E396" s="3">
        <v>10.62</v>
      </c>
      <c r="F396" s="2" t="s">
        <v>6920</v>
      </c>
      <c r="G396" s="22" t="s">
        <v>19467</v>
      </c>
      <c r="H396" s="24" t="s">
        <v>19392</v>
      </c>
      <c r="I396" s="22" t="s">
        <v>19309</v>
      </c>
      <c r="J396" s="22" t="s">
        <v>19602</v>
      </c>
      <c r="K396" s="22" t="s">
        <v>20041</v>
      </c>
      <c r="L396" s="22"/>
      <c r="M396" s="22"/>
      <c r="N396" s="25" t="str">
        <f>HYPERLINK("http://slimages.macys.com/is/image/MCY/21728862 ")</f>
        <v xml:space="preserve">http://slimages.macys.com/is/image/MCY/21728862 </v>
      </c>
    </row>
    <row r="397" spans="1:14" ht="24.75" x14ac:dyDescent="0.25">
      <c r="A397" s="21" t="s">
        <v>18687</v>
      </c>
      <c r="B397" s="22" t="s">
        <v>18688</v>
      </c>
      <c r="C397" s="2">
        <v>2</v>
      </c>
      <c r="D397" s="23">
        <v>9.99</v>
      </c>
      <c r="E397" s="3">
        <v>19.98</v>
      </c>
      <c r="F397" s="2" t="s">
        <v>18689</v>
      </c>
      <c r="G397" s="22" t="s">
        <v>19351</v>
      </c>
      <c r="H397" s="24"/>
      <c r="I397" s="22" t="s">
        <v>19309</v>
      </c>
      <c r="J397" s="22" t="s">
        <v>19573</v>
      </c>
      <c r="K397" s="22" t="s">
        <v>19574</v>
      </c>
      <c r="L397" s="22"/>
      <c r="M397" s="22"/>
      <c r="N397" s="25" t="str">
        <f>HYPERLINK("http://slimages.macys.com/is/image/MCY/1699968 ")</f>
        <v xml:space="preserve">http://slimages.macys.com/is/image/MCY/1699968 </v>
      </c>
    </row>
    <row r="398" spans="1:14" ht="24.75" x14ac:dyDescent="0.25">
      <c r="A398" s="21" t="s">
        <v>13933</v>
      </c>
      <c r="B398" s="22" t="s">
        <v>13934</v>
      </c>
      <c r="C398" s="2">
        <v>1</v>
      </c>
      <c r="D398" s="23">
        <v>9.99</v>
      </c>
      <c r="E398" s="3">
        <v>9.99</v>
      </c>
      <c r="F398" s="2" t="s">
        <v>18689</v>
      </c>
      <c r="G398" s="22" t="s">
        <v>19351</v>
      </c>
      <c r="H398" s="24" t="s">
        <v>19384</v>
      </c>
      <c r="I398" s="22" t="s">
        <v>19309</v>
      </c>
      <c r="J398" s="22" t="s">
        <v>19573</v>
      </c>
      <c r="K398" s="22" t="s">
        <v>19574</v>
      </c>
      <c r="L398" s="22"/>
      <c r="M398" s="22"/>
      <c r="N398" s="25" t="str">
        <f>HYPERLINK("http://slimages.macys.com/is/image/MCY/1679025 ")</f>
        <v xml:space="preserve">http://slimages.macys.com/is/image/MCY/1679025 </v>
      </c>
    </row>
    <row r="399" spans="1:14" ht="24.75" x14ac:dyDescent="0.25">
      <c r="A399" s="21" t="s">
        <v>18690</v>
      </c>
      <c r="B399" s="22" t="s">
        <v>18691</v>
      </c>
      <c r="C399" s="2">
        <v>1</v>
      </c>
      <c r="D399" s="23">
        <v>9.99</v>
      </c>
      <c r="E399" s="3">
        <v>9.99</v>
      </c>
      <c r="F399" s="2" t="s">
        <v>18689</v>
      </c>
      <c r="G399" s="22" t="s">
        <v>19351</v>
      </c>
      <c r="H399" s="24" t="s">
        <v>19770</v>
      </c>
      <c r="I399" s="22" t="s">
        <v>19309</v>
      </c>
      <c r="J399" s="22" t="s">
        <v>19573</v>
      </c>
      <c r="K399" s="22" t="s">
        <v>19574</v>
      </c>
      <c r="L399" s="22"/>
      <c r="M399" s="22"/>
      <c r="N399" s="25" t="str">
        <f>HYPERLINK("http://slimages.macys.com/is/image/MCY/1679025 ")</f>
        <v xml:space="preserve">http://slimages.macys.com/is/image/MCY/1679025 </v>
      </c>
    </row>
    <row r="400" spans="1:14" ht="24.75" x14ac:dyDescent="0.25">
      <c r="A400" s="21" t="s">
        <v>18683</v>
      </c>
      <c r="B400" s="22" t="s">
        <v>18684</v>
      </c>
      <c r="C400" s="2">
        <v>1</v>
      </c>
      <c r="D400" s="23">
        <v>9.99</v>
      </c>
      <c r="E400" s="3">
        <v>9.99</v>
      </c>
      <c r="F400" s="2">
        <v>10015240800</v>
      </c>
      <c r="G400" s="22" t="s">
        <v>19351</v>
      </c>
      <c r="H400" s="24" t="s">
        <v>19384</v>
      </c>
      <c r="I400" s="22" t="s">
        <v>19309</v>
      </c>
      <c r="J400" s="22" t="s">
        <v>19573</v>
      </c>
      <c r="K400" s="22" t="s">
        <v>19574</v>
      </c>
      <c r="L400" s="22"/>
      <c r="M400" s="22"/>
      <c r="N400" s="25" t="str">
        <f>HYPERLINK("http://slimages.macys.com/is/image/MCY/2023449 ")</f>
        <v xml:space="preserve">http://slimages.macys.com/is/image/MCY/2023449 </v>
      </c>
    </row>
    <row r="401" spans="1:14" ht="24.75" x14ac:dyDescent="0.25">
      <c r="A401" s="21" t="s">
        <v>13303</v>
      </c>
      <c r="B401" s="22" t="s">
        <v>13304</v>
      </c>
      <c r="C401" s="2">
        <v>1</v>
      </c>
      <c r="D401" s="23">
        <v>9.99</v>
      </c>
      <c r="E401" s="3">
        <v>9.99</v>
      </c>
      <c r="F401" s="2" t="s">
        <v>18689</v>
      </c>
      <c r="G401" s="22" t="s">
        <v>19351</v>
      </c>
      <c r="H401" s="24" t="s">
        <v>19330</v>
      </c>
      <c r="I401" s="22" t="s">
        <v>19309</v>
      </c>
      <c r="J401" s="22" t="s">
        <v>19573</v>
      </c>
      <c r="K401" s="22" t="s">
        <v>19574</v>
      </c>
      <c r="L401" s="22"/>
      <c r="M401" s="22"/>
      <c r="N401" s="25" t="str">
        <f>HYPERLINK("http://slimages.macys.com/is/image/MCY/1679025 ")</f>
        <v xml:space="preserve">http://slimages.macys.com/is/image/MCY/1679025 </v>
      </c>
    </row>
    <row r="402" spans="1:14" ht="24.75" x14ac:dyDescent="0.25">
      <c r="A402" s="21" t="s">
        <v>6921</v>
      </c>
      <c r="B402" s="22" t="s">
        <v>6922</v>
      </c>
      <c r="C402" s="2">
        <v>2</v>
      </c>
      <c r="D402" s="23">
        <v>10.99</v>
      </c>
      <c r="E402" s="3">
        <v>21.98</v>
      </c>
      <c r="F402" s="2" t="s">
        <v>7756</v>
      </c>
      <c r="G402" s="22" t="s">
        <v>19906</v>
      </c>
      <c r="H402" s="24" t="s">
        <v>19364</v>
      </c>
      <c r="I402" s="22" t="s">
        <v>19309</v>
      </c>
      <c r="J402" s="22" t="s">
        <v>19353</v>
      </c>
      <c r="K402" s="22" t="s">
        <v>19524</v>
      </c>
      <c r="L402" s="22"/>
      <c r="M402" s="22"/>
      <c r="N402" s="25" t="str">
        <f>HYPERLINK("http://slimages.macys.com/is/image/MCY/1472533 ")</f>
        <v xml:space="preserve">http://slimages.macys.com/is/image/MCY/1472533 </v>
      </c>
    </row>
    <row r="403" spans="1:14" ht="24.75" x14ac:dyDescent="0.25">
      <c r="A403" s="21" t="s">
        <v>18694</v>
      </c>
      <c r="B403" s="22" t="s">
        <v>18695</v>
      </c>
      <c r="C403" s="2">
        <v>1</v>
      </c>
      <c r="D403" s="23">
        <v>10.99</v>
      </c>
      <c r="E403" s="3">
        <v>10.99</v>
      </c>
      <c r="F403" s="2" t="s">
        <v>18696</v>
      </c>
      <c r="G403" s="22" t="s">
        <v>19351</v>
      </c>
      <c r="H403" s="24" t="s">
        <v>19352</v>
      </c>
      <c r="I403" s="22" t="s">
        <v>19309</v>
      </c>
      <c r="J403" s="22" t="s">
        <v>19353</v>
      </c>
      <c r="K403" s="22" t="s">
        <v>19524</v>
      </c>
      <c r="L403" s="22"/>
      <c r="M403" s="22"/>
      <c r="N403" s="25" t="str">
        <f>HYPERLINK("http://slimages.macys.com/is/image/MCY/1472570 ")</f>
        <v xml:space="preserve">http://slimages.macys.com/is/image/MCY/1472570 </v>
      </c>
    </row>
    <row r="404" spans="1:14" ht="24.75" x14ac:dyDescent="0.25">
      <c r="A404" s="21" t="s">
        <v>6923</v>
      </c>
      <c r="B404" s="22" t="s">
        <v>6924</v>
      </c>
      <c r="C404" s="2">
        <v>1</v>
      </c>
      <c r="D404" s="23">
        <v>10.99</v>
      </c>
      <c r="E404" s="3">
        <v>10.99</v>
      </c>
      <c r="F404" s="2" t="s">
        <v>7756</v>
      </c>
      <c r="G404" s="22" t="s">
        <v>19906</v>
      </c>
      <c r="H404" s="24" t="s">
        <v>19352</v>
      </c>
      <c r="I404" s="22" t="s">
        <v>19309</v>
      </c>
      <c r="J404" s="22" t="s">
        <v>19353</v>
      </c>
      <c r="K404" s="22" t="s">
        <v>19524</v>
      </c>
      <c r="L404" s="22"/>
      <c r="M404" s="22"/>
      <c r="N404" s="25" t="str">
        <f>HYPERLINK("http://slimages.macys.com/is/image/MCY/1472533 ")</f>
        <v xml:space="preserve">http://slimages.macys.com/is/image/MCY/1472533 </v>
      </c>
    </row>
    <row r="405" spans="1:14" ht="36.75" x14ac:dyDescent="0.25">
      <c r="A405" s="21" t="s">
        <v>6925</v>
      </c>
      <c r="B405" s="22" t="s">
        <v>6926</v>
      </c>
      <c r="C405" s="2">
        <v>1</v>
      </c>
      <c r="D405" s="23">
        <v>11.99</v>
      </c>
      <c r="E405" s="3">
        <v>11.99</v>
      </c>
      <c r="F405" s="2" t="s">
        <v>6927</v>
      </c>
      <c r="G405" s="22" t="s">
        <v>17811</v>
      </c>
      <c r="H405" s="24" t="s">
        <v>19352</v>
      </c>
      <c r="I405" s="22" t="s">
        <v>19309</v>
      </c>
      <c r="J405" s="22" t="s">
        <v>20076</v>
      </c>
      <c r="K405" s="22" t="s">
        <v>20077</v>
      </c>
      <c r="L405" s="22" t="s">
        <v>19319</v>
      </c>
      <c r="M405" s="22" t="s">
        <v>6928</v>
      </c>
      <c r="N405" s="25" t="str">
        <f>HYPERLINK("http://slimages.macys.com/is/image/MCY/2568960 ")</f>
        <v xml:space="preserve">http://slimages.macys.com/is/image/MCY/2568960 </v>
      </c>
    </row>
    <row r="406" spans="1:14" ht="36.75" x14ac:dyDescent="0.25">
      <c r="A406" s="21" t="s">
        <v>6929</v>
      </c>
      <c r="B406" s="22" t="s">
        <v>6930</v>
      </c>
      <c r="C406" s="2">
        <v>1</v>
      </c>
      <c r="D406" s="23">
        <v>11.99</v>
      </c>
      <c r="E406" s="3">
        <v>11.99</v>
      </c>
      <c r="F406" s="2" t="s">
        <v>6927</v>
      </c>
      <c r="G406" s="22" t="s">
        <v>19513</v>
      </c>
      <c r="H406" s="24" t="s">
        <v>19797</v>
      </c>
      <c r="I406" s="22" t="s">
        <v>19309</v>
      </c>
      <c r="J406" s="22" t="s">
        <v>20076</v>
      </c>
      <c r="K406" s="22" t="s">
        <v>20077</v>
      </c>
      <c r="L406" s="22" t="s">
        <v>19319</v>
      </c>
      <c r="M406" s="22" t="s">
        <v>6928</v>
      </c>
      <c r="N406" s="25" t="str">
        <f>HYPERLINK("http://slimages.macys.com/is/image/MCY/2568960 ")</f>
        <v xml:space="preserve">http://slimages.macys.com/is/image/MCY/2568960 </v>
      </c>
    </row>
    <row r="407" spans="1:14" x14ac:dyDescent="0.25">
      <c r="A407" s="21" t="s">
        <v>16672</v>
      </c>
      <c r="B407" s="22" t="s">
        <v>16673</v>
      </c>
      <c r="C407" s="2">
        <v>1</v>
      </c>
      <c r="D407" s="23">
        <v>13.99</v>
      </c>
      <c r="E407" s="3">
        <v>13.99</v>
      </c>
      <c r="F407" s="2" t="s">
        <v>16674</v>
      </c>
      <c r="G407" s="22" t="s">
        <v>19670</v>
      </c>
      <c r="H407" s="24" t="s">
        <v>19339</v>
      </c>
      <c r="I407" s="22" t="s">
        <v>19309</v>
      </c>
      <c r="J407" s="22" t="s">
        <v>19849</v>
      </c>
      <c r="K407" s="22" t="s">
        <v>19850</v>
      </c>
      <c r="L407" s="22"/>
      <c r="M407" s="22"/>
      <c r="N407" s="25" t="str">
        <f>HYPERLINK("http://slimages.macys.com/is/image/MCY/21270406 ")</f>
        <v xml:space="preserve">http://slimages.macys.com/is/image/MCY/21270406 </v>
      </c>
    </row>
    <row r="408" spans="1:14" ht="24.75" x14ac:dyDescent="0.25">
      <c r="A408" s="21" t="s">
        <v>9020</v>
      </c>
      <c r="B408" s="22" t="s">
        <v>9021</v>
      </c>
      <c r="C408" s="2">
        <v>1</v>
      </c>
      <c r="D408" s="23">
        <v>7.99</v>
      </c>
      <c r="E408" s="3">
        <v>7.99</v>
      </c>
      <c r="F408" s="2" t="s">
        <v>18717</v>
      </c>
      <c r="G408" s="22" t="s">
        <v>19906</v>
      </c>
      <c r="H408" s="24" t="s">
        <v>20135</v>
      </c>
      <c r="I408" s="22" t="s">
        <v>19309</v>
      </c>
      <c r="J408" s="22" t="s">
        <v>19849</v>
      </c>
      <c r="K408" s="22" t="s">
        <v>19850</v>
      </c>
      <c r="L408" s="22"/>
      <c r="M408" s="22"/>
      <c r="N408" s="25" t="str">
        <f>HYPERLINK("http://slimages.macys.com/is/image/MCY/1928300 ")</f>
        <v xml:space="preserve">http://slimages.macys.com/is/image/MCY/1928300 </v>
      </c>
    </row>
    <row r="409" spans="1:14" x14ac:dyDescent="0.25">
      <c r="A409" s="21" t="s">
        <v>9961</v>
      </c>
      <c r="B409" s="22" t="s">
        <v>9962</v>
      </c>
      <c r="C409" s="2">
        <v>1</v>
      </c>
      <c r="D409" s="23">
        <v>13.99</v>
      </c>
      <c r="E409" s="3">
        <v>13.99</v>
      </c>
      <c r="F409" s="2" t="s">
        <v>16674</v>
      </c>
      <c r="G409" s="22" t="s">
        <v>19670</v>
      </c>
      <c r="H409" s="24" t="s">
        <v>19352</v>
      </c>
      <c r="I409" s="22" t="s">
        <v>19309</v>
      </c>
      <c r="J409" s="22" t="s">
        <v>19849</v>
      </c>
      <c r="K409" s="22" t="s">
        <v>19850</v>
      </c>
      <c r="L409" s="22"/>
      <c r="M409" s="22"/>
      <c r="N409" s="25" t="str">
        <f>HYPERLINK("http://slimages.macys.com/is/image/MCY/21270406 ")</f>
        <v xml:space="preserve">http://slimages.macys.com/is/image/MCY/21270406 </v>
      </c>
    </row>
    <row r="410" spans="1:14" ht="24.75" x14ac:dyDescent="0.25">
      <c r="A410" s="21" t="s">
        <v>6931</v>
      </c>
      <c r="B410" s="22" t="s">
        <v>6932</v>
      </c>
      <c r="C410" s="2">
        <v>1</v>
      </c>
      <c r="D410" s="23">
        <v>11.99</v>
      </c>
      <c r="E410" s="3">
        <v>11.99</v>
      </c>
      <c r="F410" s="2" t="s">
        <v>9965</v>
      </c>
      <c r="G410" s="22" t="s">
        <v>19351</v>
      </c>
      <c r="H410" s="24" t="s">
        <v>19352</v>
      </c>
      <c r="I410" s="22" t="s">
        <v>19309</v>
      </c>
      <c r="J410" s="22" t="s">
        <v>20076</v>
      </c>
      <c r="K410" s="22" t="s">
        <v>20077</v>
      </c>
      <c r="L410" s="22" t="s">
        <v>19319</v>
      </c>
      <c r="M410" s="22" t="s">
        <v>19209</v>
      </c>
      <c r="N410" s="25" t="str">
        <f>HYPERLINK("http://slimages.macys.com/is/image/MCY/8349880 ")</f>
        <v xml:space="preserve">http://slimages.macys.com/is/image/MCY/8349880 </v>
      </c>
    </row>
    <row r="411" spans="1:14" ht="24.75" x14ac:dyDescent="0.25">
      <c r="A411" s="21" t="s">
        <v>16686</v>
      </c>
      <c r="B411" s="22" t="s">
        <v>16687</v>
      </c>
      <c r="C411" s="2">
        <v>1</v>
      </c>
      <c r="D411" s="23">
        <v>13.99</v>
      </c>
      <c r="E411" s="3">
        <v>13.99</v>
      </c>
      <c r="F411" s="2" t="s">
        <v>16688</v>
      </c>
      <c r="G411" s="22" t="s">
        <v>19518</v>
      </c>
      <c r="H411" s="24" t="s">
        <v>19384</v>
      </c>
      <c r="I411" s="22" t="s">
        <v>19309</v>
      </c>
      <c r="J411" s="22" t="s">
        <v>19573</v>
      </c>
      <c r="K411" s="22" t="s">
        <v>19574</v>
      </c>
      <c r="L411" s="22"/>
      <c r="M411" s="22"/>
      <c r="N411" s="25" t="str">
        <f>HYPERLINK("http://slimages.macys.com/is/image/MCY/21361108 ")</f>
        <v xml:space="preserve">http://slimages.macys.com/is/image/MCY/21361108 </v>
      </c>
    </row>
    <row r="412" spans="1:14" ht="24.75" x14ac:dyDescent="0.25">
      <c r="A412" s="21" t="s">
        <v>6933</v>
      </c>
      <c r="B412" s="22" t="s">
        <v>6934</v>
      </c>
      <c r="C412" s="2">
        <v>1</v>
      </c>
      <c r="D412" s="23">
        <v>11.99</v>
      </c>
      <c r="E412" s="3">
        <v>11.99</v>
      </c>
      <c r="F412" s="2" t="s">
        <v>6935</v>
      </c>
      <c r="G412" s="22" t="s">
        <v>19518</v>
      </c>
      <c r="H412" s="24" t="s">
        <v>19324</v>
      </c>
      <c r="I412" s="22" t="s">
        <v>19309</v>
      </c>
      <c r="J412" s="22" t="s">
        <v>19573</v>
      </c>
      <c r="K412" s="22" t="s">
        <v>19574</v>
      </c>
      <c r="L412" s="22"/>
      <c r="M412" s="22"/>
      <c r="N412" s="25" t="str">
        <f>HYPERLINK("http://slimages.macys.com/is/image/MCY/19779716 ")</f>
        <v xml:space="preserve">http://slimages.macys.com/is/image/MCY/19779716 </v>
      </c>
    </row>
    <row r="413" spans="1:14" ht="24.75" x14ac:dyDescent="0.25">
      <c r="A413" s="21" t="s">
        <v>6936</v>
      </c>
      <c r="B413" s="22" t="s">
        <v>6937</v>
      </c>
      <c r="C413" s="2">
        <v>1</v>
      </c>
      <c r="D413" s="23">
        <v>7.99</v>
      </c>
      <c r="E413" s="3">
        <v>7.99</v>
      </c>
      <c r="F413" s="2" t="s">
        <v>18723</v>
      </c>
      <c r="G413" s="22" t="s">
        <v>19467</v>
      </c>
      <c r="H413" s="24" t="s">
        <v>19361</v>
      </c>
      <c r="I413" s="22" t="s">
        <v>19309</v>
      </c>
      <c r="J413" s="22" t="s">
        <v>19447</v>
      </c>
      <c r="K413" s="22" t="s">
        <v>20146</v>
      </c>
      <c r="L413" s="22"/>
      <c r="M413" s="22"/>
      <c r="N413" s="25" t="str">
        <f>HYPERLINK("http://slimages.macys.com/is/image/MCY/21008517 ")</f>
        <v xml:space="preserve">http://slimages.macys.com/is/image/MCY/21008517 </v>
      </c>
    </row>
    <row r="414" spans="1:14" ht="24.75" x14ac:dyDescent="0.25">
      <c r="A414" s="21" t="s">
        <v>13949</v>
      </c>
      <c r="B414" s="22" t="s">
        <v>13950</v>
      </c>
      <c r="C414" s="2">
        <v>3</v>
      </c>
      <c r="D414" s="23">
        <v>10.99</v>
      </c>
      <c r="E414" s="3">
        <v>32.97</v>
      </c>
      <c r="F414" s="2" t="s">
        <v>13951</v>
      </c>
      <c r="G414" s="22" t="s">
        <v>19618</v>
      </c>
      <c r="H414" s="24" t="s">
        <v>19797</v>
      </c>
      <c r="I414" s="22" t="s">
        <v>19309</v>
      </c>
      <c r="J414" s="22" t="s">
        <v>19353</v>
      </c>
      <c r="K414" s="22" t="s">
        <v>19524</v>
      </c>
      <c r="L414" s="22"/>
      <c r="M414" s="22"/>
      <c r="N414" s="25" t="str">
        <f>HYPERLINK("http://slimages.macys.com/is/image/MCY/21694521 ")</f>
        <v xml:space="preserve">http://slimages.macys.com/is/image/MCY/21694521 </v>
      </c>
    </row>
    <row r="415" spans="1:14" ht="24.75" x14ac:dyDescent="0.25">
      <c r="A415" s="21" t="s">
        <v>9629</v>
      </c>
      <c r="B415" s="22" t="s">
        <v>9630</v>
      </c>
      <c r="C415" s="2">
        <v>1</v>
      </c>
      <c r="D415" s="23">
        <v>10.99</v>
      </c>
      <c r="E415" s="3">
        <v>10.99</v>
      </c>
      <c r="F415" s="2" t="s">
        <v>13319</v>
      </c>
      <c r="G415" s="22" t="s">
        <v>19415</v>
      </c>
      <c r="H415" s="24" t="s">
        <v>19339</v>
      </c>
      <c r="I415" s="22" t="s">
        <v>19309</v>
      </c>
      <c r="J415" s="22" t="s">
        <v>19353</v>
      </c>
      <c r="K415" s="22" t="s">
        <v>19524</v>
      </c>
      <c r="L415" s="22"/>
      <c r="M415" s="22"/>
      <c r="N415" s="25" t="str">
        <f>HYPERLINK("http://slimages.macys.com/is/image/MCY/21083368 ")</f>
        <v xml:space="preserve">http://slimages.macys.com/is/image/MCY/21083368 </v>
      </c>
    </row>
    <row r="416" spans="1:14" ht="24.75" x14ac:dyDescent="0.25">
      <c r="A416" s="21" t="s">
        <v>6938</v>
      </c>
      <c r="B416" s="22" t="s">
        <v>6939</v>
      </c>
      <c r="C416" s="2">
        <v>1</v>
      </c>
      <c r="D416" s="23">
        <v>10.99</v>
      </c>
      <c r="E416" s="3">
        <v>10.99</v>
      </c>
      <c r="F416" s="2" t="s">
        <v>13319</v>
      </c>
      <c r="G416" s="22" t="s">
        <v>19333</v>
      </c>
      <c r="H416" s="24" t="s">
        <v>19352</v>
      </c>
      <c r="I416" s="22" t="s">
        <v>19309</v>
      </c>
      <c r="J416" s="22" t="s">
        <v>19353</v>
      </c>
      <c r="K416" s="22" t="s">
        <v>19524</v>
      </c>
      <c r="L416" s="22"/>
      <c r="M416" s="22"/>
      <c r="N416" s="25" t="str">
        <f>HYPERLINK("http://slimages.macys.com/is/image/MCY/21083368 ")</f>
        <v xml:space="preserve">http://slimages.macys.com/is/image/MCY/21083368 </v>
      </c>
    </row>
    <row r="417" spans="1:14" ht="24.75" x14ac:dyDescent="0.25">
      <c r="A417" s="21" t="s">
        <v>6940</v>
      </c>
      <c r="B417" s="22" t="s">
        <v>6941</v>
      </c>
      <c r="C417" s="2">
        <v>2</v>
      </c>
      <c r="D417" s="23">
        <v>10.99</v>
      </c>
      <c r="E417" s="3">
        <v>21.98</v>
      </c>
      <c r="F417" s="2" t="s">
        <v>13946</v>
      </c>
      <c r="G417" s="22" t="s">
        <v>19674</v>
      </c>
      <c r="H417" s="24" t="s">
        <v>19352</v>
      </c>
      <c r="I417" s="22" t="s">
        <v>19309</v>
      </c>
      <c r="J417" s="22" t="s">
        <v>19353</v>
      </c>
      <c r="K417" s="22" t="s">
        <v>19524</v>
      </c>
      <c r="L417" s="22"/>
      <c r="M417" s="22"/>
      <c r="N417" s="25" t="str">
        <f>HYPERLINK("http://slimages.macys.com/is/image/MCY/21083376 ")</f>
        <v xml:space="preserve">http://slimages.macys.com/is/image/MCY/21083376 </v>
      </c>
    </row>
    <row r="418" spans="1:14" ht="24.75" x14ac:dyDescent="0.25">
      <c r="A418" s="21" t="s">
        <v>6942</v>
      </c>
      <c r="B418" s="22" t="s">
        <v>6943</v>
      </c>
      <c r="C418" s="2">
        <v>1</v>
      </c>
      <c r="D418" s="23">
        <v>10.99</v>
      </c>
      <c r="E418" s="3">
        <v>10.99</v>
      </c>
      <c r="F418" s="2" t="s">
        <v>6944</v>
      </c>
      <c r="G418" s="22" t="s">
        <v>19333</v>
      </c>
      <c r="H418" s="24" t="s">
        <v>19364</v>
      </c>
      <c r="I418" s="22" t="s">
        <v>19309</v>
      </c>
      <c r="J418" s="22" t="s">
        <v>19353</v>
      </c>
      <c r="K418" s="22" t="s">
        <v>19524</v>
      </c>
      <c r="L418" s="22"/>
      <c r="M418" s="22"/>
      <c r="N418" s="25" t="str">
        <f>HYPERLINK("http://slimages.macys.com/is/image/MCY/21083381 ")</f>
        <v xml:space="preserve">http://slimages.macys.com/is/image/MCY/21083381 </v>
      </c>
    </row>
    <row r="419" spans="1:14" ht="24.75" x14ac:dyDescent="0.25">
      <c r="A419" s="21" t="s">
        <v>13314</v>
      </c>
      <c r="B419" s="22" t="s">
        <v>13315</v>
      </c>
      <c r="C419" s="2">
        <v>1</v>
      </c>
      <c r="D419" s="23">
        <v>10.99</v>
      </c>
      <c r="E419" s="3">
        <v>10.99</v>
      </c>
      <c r="F419" s="2" t="s">
        <v>13316</v>
      </c>
      <c r="G419" s="22" t="s">
        <v>19351</v>
      </c>
      <c r="H419" s="24" t="s">
        <v>19352</v>
      </c>
      <c r="I419" s="22" t="s">
        <v>19309</v>
      </c>
      <c r="J419" s="22" t="s">
        <v>19353</v>
      </c>
      <c r="K419" s="22" t="s">
        <v>19524</v>
      </c>
      <c r="L419" s="22"/>
      <c r="M419" s="22"/>
      <c r="N419" s="25" t="str">
        <f>HYPERLINK("http://slimages.macys.com/is/image/MCY/21083383 ")</f>
        <v xml:space="preserve">http://slimages.macys.com/is/image/MCY/21083383 </v>
      </c>
    </row>
    <row r="420" spans="1:14" ht="24.75" x14ac:dyDescent="0.25">
      <c r="A420" s="21" t="s">
        <v>16705</v>
      </c>
      <c r="B420" s="22" t="s">
        <v>16706</v>
      </c>
      <c r="C420" s="2">
        <v>1</v>
      </c>
      <c r="D420" s="23">
        <v>13.99</v>
      </c>
      <c r="E420" s="3">
        <v>13.99</v>
      </c>
      <c r="F420" s="2" t="s">
        <v>18729</v>
      </c>
      <c r="G420" s="22" t="s">
        <v>19415</v>
      </c>
      <c r="H420" s="24"/>
      <c r="I420" s="22" t="s">
        <v>19309</v>
      </c>
      <c r="J420" s="22" t="s">
        <v>19573</v>
      </c>
      <c r="K420" s="22" t="s">
        <v>19574</v>
      </c>
      <c r="L420" s="22"/>
      <c r="M420" s="22"/>
      <c r="N420" s="25" t="str">
        <f>HYPERLINK("http://slimages.macys.com/is/image/MCY/1956290 ")</f>
        <v xml:space="preserve">http://slimages.macys.com/is/image/MCY/1956290 </v>
      </c>
    </row>
    <row r="421" spans="1:14" ht="24.75" x14ac:dyDescent="0.25">
      <c r="A421" s="21" t="s">
        <v>13324</v>
      </c>
      <c r="B421" s="22" t="s">
        <v>13325</v>
      </c>
      <c r="C421" s="2">
        <v>1</v>
      </c>
      <c r="D421" s="23">
        <v>13.99</v>
      </c>
      <c r="E421" s="3">
        <v>13.99</v>
      </c>
      <c r="F421" s="2" t="s">
        <v>18729</v>
      </c>
      <c r="G421" s="22" t="s">
        <v>19415</v>
      </c>
      <c r="H421" s="24" t="s">
        <v>19324</v>
      </c>
      <c r="I421" s="22" t="s">
        <v>19309</v>
      </c>
      <c r="J421" s="22" t="s">
        <v>19573</v>
      </c>
      <c r="K421" s="22" t="s">
        <v>19574</v>
      </c>
      <c r="L421" s="22"/>
      <c r="M421" s="22"/>
      <c r="N421" s="25" t="str">
        <f>HYPERLINK("http://slimages.macys.com/is/image/MCY/1520506 ")</f>
        <v xml:space="preserve">http://slimages.macys.com/is/image/MCY/1520506 </v>
      </c>
    </row>
    <row r="422" spans="1:14" ht="24.75" x14ac:dyDescent="0.25">
      <c r="A422" s="21" t="s">
        <v>16719</v>
      </c>
      <c r="B422" s="22" t="s">
        <v>16720</v>
      </c>
      <c r="C422" s="2">
        <v>2</v>
      </c>
      <c r="D422" s="23">
        <v>9.99</v>
      </c>
      <c r="E422" s="3">
        <v>19.98</v>
      </c>
      <c r="F422" s="2" t="s">
        <v>16716</v>
      </c>
      <c r="G422" s="22" t="s">
        <v>19431</v>
      </c>
      <c r="H422" s="24" t="s">
        <v>19542</v>
      </c>
      <c r="I422" s="22" t="s">
        <v>19309</v>
      </c>
      <c r="J422" s="22" t="s">
        <v>19908</v>
      </c>
      <c r="K422" s="22" t="s">
        <v>19524</v>
      </c>
      <c r="L422" s="22"/>
      <c r="M422" s="22"/>
      <c r="N422" s="25" t="str">
        <f>HYPERLINK("http://slimages.macys.com/is/image/MCY/21727207 ")</f>
        <v xml:space="preserve">http://slimages.macys.com/is/image/MCY/21727207 </v>
      </c>
    </row>
    <row r="423" spans="1:14" ht="24.75" x14ac:dyDescent="0.25">
      <c r="A423" s="21" t="s">
        <v>6945</v>
      </c>
      <c r="B423" s="22" t="s">
        <v>6946</v>
      </c>
      <c r="C423" s="2">
        <v>1</v>
      </c>
      <c r="D423" s="23">
        <v>9.99</v>
      </c>
      <c r="E423" s="3">
        <v>9.99</v>
      </c>
      <c r="F423" s="2" t="s">
        <v>16716</v>
      </c>
      <c r="G423" s="22" t="s">
        <v>19431</v>
      </c>
      <c r="H423" s="24" t="s">
        <v>19907</v>
      </c>
      <c r="I423" s="22" t="s">
        <v>19309</v>
      </c>
      <c r="J423" s="22" t="s">
        <v>19908</v>
      </c>
      <c r="K423" s="22" t="s">
        <v>19524</v>
      </c>
      <c r="L423" s="22"/>
      <c r="M423" s="22"/>
      <c r="N423" s="25" t="str">
        <f>HYPERLINK("http://slimages.macys.com/is/image/MCY/21727207 ")</f>
        <v xml:space="preserve">http://slimages.macys.com/is/image/MCY/21727207 </v>
      </c>
    </row>
    <row r="424" spans="1:14" ht="24.75" x14ac:dyDescent="0.25">
      <c r="A424" s="21" t="s">
        <v>16712</v>
      </c>
      <c r="B424" s="22" t="s">
        <v>16713</v>
      </c>
      <c r="C424" s="2">
        <v>2</v>
      </c>
      <c r="D424" s="23">
        <v>10.99</v>
      </c>
      <c r="E424" s="3">
        <v>21.98</v>
      </c>
      <c r="F424" s="2" t="s">
        <v>18738</v>
      </c>
      <c r="G424" s="22" t="s">
        <v>19462</v>
      </c>
      <c r="H424" s="24" t="s">
        <v>19364</v>
      </c>
      <c r="I424" s="22" t="s">
        <v>19309</v>
      </c>
      <c r="J424" s="22" t="s">
        <v>19353</v>
      </c>
      <c r="K424" s="22" t="s">
        <v>19524</v>
      </c>
      <c r="L424" s="22"/>
      <c r="M424" s="22"/>
      <c r="N424" s="25" t="str">
        <f>HYPERLINK("http://slimages.macys.com/is/image/MCY/1472528 ")</f>
        <v xml:space="preserve">http://slimages.macys.com/is/image/MCY/1472528 </v>
      </c>
    </row>
    <row r="425" spans="1:14" ht="24.75" x14ac:dyDescent="0.25">
      <c r="A425" s="21" t="s">
        <v>7772</v>
      </c>
      <c r="B425" s="22" t="s">
        <v>7773</v>
      </c>
      <c r="C425" s="2">
        <v>1</v>
      </c>
      <c r="D425" s="23">
        <v>10.99</v>
      </c>
      <c r="E425" s="3">
        <v>10.99</v>
      </c>
      <c r="F425" s="2" t="s">
        <v>16709</v>
      </c>
      <c r="G425" s="22" t="s">
        <v>19431</v>
      </c>
      <c r="H425" s="24" t="s">
        <v>19364</v>
      </c>
      <c r="I425" s="22" t="s">
        <v>19309</v>
      </c>
      <c r="J425" s="22" t="s">
        <v>19353</v>
      </c>
      <c r="K425" s="22" t="s">
        <v>19524</v>
      </c>
      <c r="L425" s="22"/>
      <c r="M425" s="22"/>
      <c r="N425" s="25" t="str">
        <f>HYPERLINK("http://slimages.macys.com/is/image/MCY/1472533 ")</f>
        <v xml:space="preserve">http://slimages.macys.com/is/image/MCY/1472533 </v>
      </c>
    </row>
    <row r="426" spans="1:14" ht="24.75" x14ac:dyDescent="0.25">
      <c r="A426" s="21" t="s">
        <v>9973</v>
      </c>
      <c r="B426" s="22" t="s">
        <v>9974</v>
      </c>
      <c r="C426" s="2">
        <v>1</v>
      </c>
      <c r="D426" s="23">
        <v>10.99</v>
      </c>
      <c r="E426" s="3">
        <v>10.99</v>
      </c>
      <c r="F426" s="2" t="s">
        <v>18732</v>
      </c>
      <c r="G426" s="22" t="s">
        <v>18439</v>
      </c>
      <c r="H426" s="24" t="s">
        <v>19364</v>
      </c>
      <c r="I426" s="22" t="s">
        <v>19309</v>
      </c>
      <c r="J426" s="22" t="s">
        <v>19353</v>
      </c>
      <c r="K426" s="22" t="s">
        <v>19524</v>
      </c>
      <c r="L426" s="22"/>
      <c r="M426" s="22"/>
      <c r="N426" s="25" t="str">
        <f>HYPERLINK("http://slimages.macys.com/is/image/MCY/1472546 ")</f>
        <v xml:space="preserve">http://slimages.macys.com/is/image/MCY/1472546 </v>
      </c>
    </row>
    <row r="427" spans="1:14" ht="24.75" x14ac:dyDescent="0.25">
      <c r="A427" s="21" t="s">
        <v>16723</v>
      </c>
      <c r="B427" s="22" t="s">
        <v>16724</v>
      </c>
      <c r="C427" s="2">
        <v>6</v>
      </c>
      <c r="D427" s="23">
        <v>9.99</v>
      </c>
      <c r="E427" s="3">
        <v>59.94</v>
      </c>
      <c r="F427" s="2" t="s">
        <v>16716</v>
      </c>
      <c r="G427" s="22" t="s">
        <v>19357</v>
      </c>
      <c r="H427" s="24" t="s">
        <v>19907</v>
      </c>
      <c r="I427" s="22" t="s">
        <v>19309</v>
      </c>
      <c r="J427" s="22" t="s">
        <v>19908</v>
      </c>
      <c r="K427" s="22" t="s">
        <v>19524</v>
      </c>
      <c r="L427" s="22"/>
      <c r="M427" s="22"/>
      <c r="N427" s="25" t="str">
        <f>HYPERLINK("http://slimages.macys.com/is/image/MCY/21727207 ")</f>
        <v xml:space="preserve">http://slimages.macys.com/is/image/MCY/21727207 </v>
      </c>
    </row>
    <row r="428" spans="1:14" ht="24.75" x14ac:dyDescent="0.25">
      <c r="A428" s="21" t="s">
        <v>9030</v>
      </c>
      <c r="B428" s="22" t="s">
        <v>9031</v>
      </c>
      <c r="C428" s="2">
        <v>1</v>
      </c>
      <c r="D428" s="23">
        <v>9.99</v>
      </c>
      <c r="E428" s="3">
        <v>9.99</v>
      </c>
      <c r="F428" s="2" t="s">
        <v>16716</v>
      </c>
      <c r="G428" s="22" t="s">
        <v>19431</v>
      </c>
      <c r="H428" s="24" t="s">
        <v>19361</v>
      </c>
      <c r="I428" s="22" t="s">
        <v>19309</v>
      </c>
      <c r="J428" s="22" t="s">
        <v>19908</v>
      </c>
      <c r="K428" s="22" t="s">
        <v>19524</v>
      </c>
      <c r="L428" s="22"/>
      <c r="M428" s="22"/>
      <c r="N428" s="25" t="str">
        <f>HYPERLINK("http://slimages.macys.com/is/image/MCY/21727207 ")</f>
        <v xml:space="preserve">http://slimages.macys.com/is/image/MCY/21727207 </v>
      </c>
    </row>
    <row r="429" spans="1:14" ht="24.75" x14ac:dyDescent="0.25">
      <c r="A429" s="21" t="s">
        <v>18730</v>
      </c>
      <c r="B429" s="22" t="s">
        <v>18731</v>
      </c>
      <c r="C429" s="2">
        <v>2</v>
      </c>
      <c r="D429" s="23">
        <v>10.99</v>
      </c>
      <c r="E429" s="3">
        <v>21.98</v>
      </c>
      <c r="F429" s="2" t="s">
        <v>18732</v>
      </c>
      <c r="G429" s="22" t="s">
        <v>18439</v>
      </c>
      <c r="H429" s="24" t="s">
        <v>19352</v>
      </c>
      <c r="I429" s="22" t="s">
        <v>19309</v>
      </c>
      <c r="J429" s="22" t="s">
        <v>19353</v>
      </c>
      <c r="K429" s="22" t="s">
        <v>19524</v>
      </c>
      <c r="L429" s="22"/>
      <c r="M429" s="22"/>
      <c r="N429" s="25" t="str">
        <f>HYPERLINK("http://slimages.macys.com/is/image/MCY/1472546 ")</f>
        <v xml:space="preserve">http://slimages.macys.com/is/image/MCY/1472546 </v>
      </c>
    </row>
    <row r="430" spans="1:14" ht="24.75" x14ac:dyDescent="0.25">
      <c r="A430" s="21" t="s">
        <v>18739</v>
      </c>
      <c r="B430" s="22" t="s">
        <v>18740</v>
      </c>
      <c r="C430" s="2">
        <v>1</v>
      </c>
      <c r="D430" s="23">
        <v>10.99</v>
      </c>
      <c r="E430" s="3">
        <v>10.99</v>
      </c>
      <c r="F430" s="2" t="s">
        <v>18738</v>
      </c>
      <c r="G430" s="22" t="s">
        <v>19462</v>
      </c>
      <c r="H430" s="24" t="s">
        <v>19352</v>
      </c>
      <c r="I430" s="22" t="s">
        <v>19309</v>
      </c>
      <c r="J430" s="22" t="s">
        <v>19353</v>
      </c>
      <c r="K430" s="22" t="s">
        <v>19524</v>
      </c>
      <c r="L430" s="22"/>
      <c r="M430" s="22"/>
      <c r="N430" s="25" t="str">
        <f>HYPERLINK("http://slimages.macys.com/is/image/MCY/1472528 ")</f>
        <v xml:space="preserve">http://slimages.macys.com/is/image/MCY/1472528 </v>
      </c>
    </row>
    <row r="431" spans="1:14" ht="24.75" x14ac:dyDescent="0.25">
      <c r="A431" s="21" t="s">
        <v>16717</v>
      </c>
      <c r="B431" s="22" t="s">
        <v>16718</v>
      </c>
      <c r="C431" s="2">
        <v>1</v>
      </c>
      <c r="D431" s="23">
        <v>9.99</v>
      </c>
      <c r="E431" s="3">
        <v>9.99</v>
      </c>
      <c r="F431" s="2" t="s">
        <v>16716</v>
      </c>
      <c r="G431" s="22" t="s">
        <v>19431</v>
      </c>
      <c r="H431" s="24" t="s">
        <v>20135</v>
      </c>
      <c r="I431" s="22" t="s">
        <v>19309</v>
      </c>
      <c r="J431" s="22" t="s">
        <v>19908</v>
      </c>
      <c r="K431" s="22" t="s">
        <v>19524</v>
      </c>
      <c r="L431" s="22"/>
      <c r="M431" s="22"/>
      <c r="N431" s="25" t="str">
        <f>HYPERLINK("http://slimages.macys.com/is/image/MCY/21727207 ")</f>
        <v xml:space="preserve">http://slimages.macys.com/is/image/MCY/21727207 </v>
      </c>
    </row>
    <row r="432" spans="1:14" ht="24.75" x14ac:dyDescent="0.25">
      <c r="A432" s="21" t="s">
        <v>16710</v>
      </c>
      <c r="B432" s="22" t="s">
        <v>16711</v>
      </c>
      <c r="C432" s="2">
        <v>2</v>
      </c>
      <c r="D432" s="23">
        <v>10.99</v>
      </c>
      <c r="E432" s="3">
        <v>21.98</v>
      </c>
      <c r="F432" s="2" t="s">
        <v>18732</v>
      </c>
      <c r="G432" s="22" t="s">
        <v>18439</v>
      </c>
      <c r="H432" s="24" t="s">
        <v>19339</v>
      </c>
      <c r="I432" s="22" t="s">
        <v>19309</v>
      </c>
      <c r="J432" s="22" t="s">
        <v>19353</v>
      </c>
      <c r="K432" s="22" t="s">
        <v>19524</v>
      </c>
      <c r="L432" s="22"/>
      <c r="M432" s="22"/>
      <c r="N432" s="25" t="str">
        <f>HYPERLINK("http://slimages.macys.com/is/image/MCY/1472546 ")</f>
        <v xml:space="preserve">http://slimages.macys.com/is/image/MCY/1472546 </v>
      </c>
    </row>
    <row r="433" spans="1:14" x14ac:dyDescent="0.25">
      <c r="A433" s="21" t="s">
        <v>18750</v>
      </c>
      <c r="B433" s="22" t="s">
        <v>18751</v>
      </c>
      <c r="C433" s="2">
        <v>1</v>
      </c>
      <c r="D433" s="23">
        <v>11.38</v>
      </c>
      <c r="E433" s="3">
        <v>11.38</v>
      </c>
      <c r="F433" s="2" t="s">
        <v>18749</v>
      </c>
      <c r="G433" s="22"/>
      <c r="H433" s="24" t="s">
        <v>19770</v>
      </c>
      <c r="I433" s="22" t="s">
        <v>19309</v>
      </c>
      <c r="J433" s="22" t="s">
        <v>19708</v>
      </c>
      <c r="K433" s="22" t="s">
        <v>19709</v>
      </c>
      <c r="L433" s="22"/>
      <c r="M433" s="22"/>
      <c r="N433" s="25" t="str">
        <f>HYPERLINK("http://slimages.macys.com/is/image/MCY/21414119 ")</f>
        <v xml:space="preserve">http://slimages.macys.com/is/image/MCY/21414119 </v>
      </c>
    </row>
    <row r="434" spans="1:14" ht="24.75" x14ac:dyDescent="0.25">
      <c r="A434" s="21" t="s">
        <v>6947</v>
      </c>
      <c r="B434" s="22" t="s">
        <v>6948</v>
      </c>
      <c r="C434" s="2">
        <v>1</v>
      </c>
      <c r="D434" s="23">
        <v>18.11</v>
      </c>
      <c r="E434" s="3">
        <v>18.11</v>
      </c>
      <c r="F434" s="2" t="s">
        <v>6949</v>
      </c>
      <c r="G434" s="22" t="s">
        <v>19333</v>
      </c>
      <c r="H434" s="24" t="s">
        <v>20135</v>
      </c>
      <c r="I434" s="22" t="s">
        <v>19309</v>
      </c>
      <c r="J434" s="22" t="s">
        <v>19908</v>
      </c>
      <c r="K434" s="22" t="s">
        <v>19524</v>
      </c>
      <c r="L434" s="22"/>
      <c r="M434" s="22"/>
      <c r="N434" s="25" t="str">
        <f>HYPERLINK("http://slimages.macys.com/is/image/MCY/21243382 ")</f>
        <v xml:space="preserve">http://slimages.macys.com/is/image/MCY/21243382 </v>
      </c>
    </row>
    <row r="435" spans="1:14" ht="24.75" x14ac:dyDescent="0.25">
      <c r="A435" s="21" t="s">
        <v>18768</v>
      </c>
      <c r="B435" s="22" t="s">
        <v>18769</v>
      </c>
      <c r="C435" s="2">
        <v>1</v>
      </c>
      <c r="D435" s="23">
        <v>10.99</v>
      </c>
      <c r="E435" s="3">
        <v>10.99</v>
      </c>
      <c r="F435" s="2" t="s">
        <v>18770</v>
      </c>
      <c r="G435" s="22" t="s">
        <v>19323</v>
      </c>
      <c r="H435" s="24" t="s">
        <v>19352</v>
      </c>
      <c r="I435" s="22" t="s">
        <v>19309</v>
      </c>
      <c r="J435" s="22" t="s">
        <v>19353</v>
      </c>
      <c r="K435" s="22" t="s">
        <v>19524</v>
      </c>
      <c r="L435" s="22"/>
      <c r="M435" s="22"/>
      <c r="N435" s="25" t="str">
        <f>HYPERLINK("http://slimages.macys.com/is/image/MCY/20846572 ")</f>
        <v xml:space="preserve">http://slimages.macys.com/is/image/MCY/20846572 </v>
      </c>
    </row>
    <row r="436" spans="1:14" ht="24.75" x14ac:dyDescent="0.25">
      <c r="A436" s="21" t="s">
        <v>16380</v>
      </c>
      <c r="B436" s="22" t="s">
        <v>16381</v>
      </c>
      <c r="C436" s="2">
        <v>1</v>
      </c>
      <c r="D436" s="23">
        <v>10.99</v>
      </c>
      <c r="E436" s="3">
        <v>10.99</v>
      </c>
      <c r="F436" s="2" t="s">
        <v>16382</v>
      </c>
      <c r="G436" s="22" t="s">
        <v>19462</v>
      </c>
      <c r="H436" s="24" t="s">
        <v>19352</v>
      </c>
      <c r="I436" s="22" t="s">
        <v>19309</v>
      </c>
      <c r="J436" s="22" t="s">
        <v>19353</v>
      </c>
      <c r="K436" s="22" t="s">
        <v>19524</v>
      </c>
      <c r="L436" s="22"/>
      <c r="M436" s="22"/>
      <c r="N436" s="25" t="str">
        <f>HYPERLINK("http://slimages.macys.com/is/image/MCY/21733964 ")</f>
        <v xml:space="preserve">http://slimages.macys.com/is/image/MCY/21733964 </v>
      </c>
    </row>
    <row r="437" spans="1:14" ht="24.75" x14ac:dyDescent="0.25">
      <c r="A437" s="21" t="s">
        <v>6950</v>
      </c>
      <c r="B437" s="22" t="s">
        <v>6951</v>
      </c>
      <c r="C437" s="2">
        <v>1</v>
      </c>
      <c r="D437" s="23">
        <v>11.99</v>
      </c>
      <c r="E437" s="3">
        <v>11.99</v>
      </c>
      <c r="F437" s="2" t="s">
        <v>6952</v>
      </c>
      <c r="G437" s="22" t="s">
        <v>19518</v>
      </c>
      <c r="H437" s="24" t="s">
        <v>19542</v>
      </c>
      <c r="I437" s="22" t="s">
        <v>19309</v>
      </c>
      <c r="J437" s="22" t="s">
        <v>19908</v>
      </c>
      <c r="K437" s="22" t="s">
        <v>19524</v>
      </c>
      <c r="L437" s="22"/>
      <c r="M437" s="22"/>
      <c r="N437" s="25" t="str">
        <f>HYPERLINK("http://slimages.macys.com/is/image/MCY/21972574 ")</f>
        <v xml:space="preserve">http://slimages.macys.com/is/image/MCY/21972574 </v>
      </c>
    </row>
    <row r="438" spans="1:14" ht="24.75" x14ac:dyDescent="0.25">
      <c r="A438" s="21" t="s">
        <v>6953</v>
      </c>
      <c r="B438" s="22" t="s">
        <v>6954</v>
      </c>
      <c r="C438" s="2">
        <v>1</v>
      </c>
      <c r="D438" s="23">
        <v>10.99</v>
      </c>
      <c r="E438" s="3">
        <v>10.99</v>
      </c>
      <c r="F438" s="2" t="s">
        <v>9062</v>
      </c>
      <c r="G438" s="22" t="s">
        <v>19333</v>
      </c>
      <c r="H438" s="24" t="s">
        <v>19797</v>
      </c>
      <c r="I438" s="22" t="s">
        <v>19309</v>
      </c>
      <c r="J438" s="22" t="s">
        <v>19353</v>
      </c>
      <c r="K438" s="22" t="s">
        <v>19524</v>
      </c>
      <c r="L438" s="22"/>
      <c r="M438" s="22"/>
      <c r="N438" s="25" t="str">
        <f>HYPERLINK("http://slimages.macys.com/is/image/MCY/21083362 ")</f>
        <v xml:space="preserve">http://slimages.macys.com/is/image/MCY/21083362 </v>
      </c>
    </row>
    <row r="439" spans="1:14" ht="24.75" x14ac:dyDescent="0.25">
      <c r="A439" s="21" t="s">
        <v>6955</v>
      </c>
      <c r="B439" s="22" t="s">
        <v>6956</v>
      </c>
      <c r="C439" s="2">
        <v>1</v>
      </c>
      <c r="D439" s="23">
        <v>10.99</v>
      </c>
      <c r="E439" s="3">
        <v>10.99</v>
      </c>
      <c r="F439" s="2" t="s">
        <v>13970</v>
      </c>
      <c r="G439" s="22" t="s">
        <v>19422</v>
      </c>
      <c r="H439" s="24" t="s">
        <v>19797</v>
      </c>
      <c r="I439" s="22" t="s">
        <v>19309</v>
      </c>
      <c r="J439" s="22" t="s">
        <v>19353</v>
      </c>
      <c r="K439" s="22" t="s">
        <v>19524</v>
      </c>
      <c r="L439" s="22"/>
      <c r="M439" s="22"/>
      <c r="N439" s="25" t="str">
        <f>HYPERLINK("http://slimages.macys.com/is/image/MCY/1571017 ")</f>
        <v xml:space="preserve">http://slimages.macys.com/is/image/MCY/1571017 </v>
      </c>
    </row>
    <row r="440" spans="1:14" ht="24.75" x14ac:dyDescent="0.25">
      <c r="A440" s="21" t="s">
        <v>13973</v>
      </c>
      <c r="B440" s="22" t="s">
        <v>13974</v>
      </c>
      <c r="C440" s="2">
        <v>1</v>
      </c>
      <c r="D440" s="23">
        <v>10.99</v>
      </c>
      <c r="E440" s="3">
        <v>10.99</v>
      </c>
      <c r="F440" s="2" t="s">
        <v>13970</v>
      </c>
      <c r="G440" s="22" t="s">
        <v>19422</v>
      </c>
      <c r="H440" s="24" t="s">
        <v>19352</v>
      </c>
      <c r="I440" s="22" t="s">
        <v>19309</v>
      </c>
      <c r="J440" s="22" t="s">
        <v>19353</v>
      </c>
      <c r="K440" s="22" t="s">
        <v>19524</v>
      </c>
      <c r="L440" s="22"/>
      <c r="M440" s="22"/>
      <c r="N440" s="25" t="str">
        <f>HYPERLINK("http://slimages.macys.com/is/image/MCY/1571017 ")</f>
        <v xml:space="preserve">http://slimages.macys.com/is/image/MCY/1571017 </v>
      </c>
    </row>
    <row r="441" spans="1:14" ht="24.75" x14ac:dyDescent="0.25">
      <c r="A441" s="21" t="s">
        <v>18776</v>
      </c>
      <c r="B441" s="22" t="s">
        <v>18777</v>
      </c>
      <c r="C441" s="2">
        <v>1</v>
      </c>
      <c r="D441" s="23">
        <v>9.99</v>
      </c>
      <c r="E441" s="3">
        <v>9.99</v>
      </c>
      <c r="F441" s="2" t="s">
        <v>18773</v>
      </c>
      <c r="G441" s="22" t="s">
        <v>19422</v>
      </c>
      <c r="H441" s="24"/>
      <c r="I441" s="22" t="s">
        <v>19309</v>
      </c>
      <c r="J441" s="22" t="s">
        <v>19573</v>
      </c>
      <c r="K441" s="22" t="s">
        <v>19574</v>
      </c>
      <c r="L441" s="22"/>
      <c r="M441" s="22"/>
      <c r="N441" s="25" t="str">
        <f>HYPERLINK("http://slimages.macys.com/is/image/MCY/1322715 ")</f>
        <v xml:space="preserve">http://slimages.macys.com/is/image/MCY/1322715 </v>
      </c>
    </row>
    <row r="442" spans="1:14" ht="24.75" x14ac:dyDescent="0.25">
      <c r="A442" s="21" t="s">
        <v>18771</v>
      </c>
      <c r="B442" s="22" t="s">
        <v>18772</v>
      </c>
      <c r="C442" s="2">
        <v>2</v>
      </c>
      <c r="D442" s="23">
        <v>9.99</v>
      </c>
      <c r="E442" s="3">
        <v>19.98</v>
      </c>
      <c r="F442" s="2" t="s">
        <v>18773</v>
      </c>
      <c r="G442" s="22" t="s">
        <v>19422</v>
      </c>
      <c r="H442" s="24" t="s">
        <v>19538</v>
      </c>
      <c r="I442" s="22" t="s">
        <v>19309</v>
      </c>
      <c r="J442" s="22" t="s">
        <v>19573</v>
      </c>
      <c r="K442" s="22" t="s">
        <v>19574</v>
      </c>
      <c r="L442" s="22"/>
      <c r="M442" s="22"/>
      <c r="N442" s="25" t="str">
        <f>HYPERLINK("http://slimages.macys.com/is/image/MCY/1322715 ")</f>
        <v xml:space="preserve">http://slimages.macys.com/is/image/MCY/1322715 </v>
      </c>
    </row>
    <row r="443" spans="1:14" x14ac:dyDescent="0.25">
      <c r="A443" s="21" t="s">
        <v>6957</v>
      </c>
      <c r="B443" s="22" t="s">
        <v>6958</v>
      </c>
      <c r="C443" s="2">
        <v>1</v>
      </c>
      <c r="D443" s="23">
        <v>6.99</v>
      </c>
      <c r="E443" s="3">
        <v>6.99</v>
      </c>
      <c r="F443" s="2" t="s">
        <v>6959</v>
      </c>
      <c r="G443" s="22" t="s">
        <v>19315</v>
      </c>
      <c r="H443" s="24" t="s">
        <v>19361</v>
      </c>
      <c r="I443" s="22" t="s">
        <v>19309</v>
      </c>
      <c r="J443" s="22" t="s">
        <v>19310</v>
      </c>
      <c r="K443" s="22" t="s">
        <v>19468</v>
      </c>
      <c r="L443" s="22"/>
      <c r="M443" s="22"/>
      <c r="N443" s="25" t="str">
        <f>HYPERLINK("http://slimages.macys.com/is/image/MCY/18664022 ")</f>
        <v xml:space="preserve">http://slimages.macys.com/is/image/MCY/18664022 </v>
      </c>
    </row>
    <row r="444" spans="1:14" x14ac:dyDescent="0.25">
      <c r="A444" s="21" t="s">
        <v>9996</v>
      </c>
      <c r="B444" s="22" t="s">
        <v>18467</v>
      </c>
      <c r="C444" s="2">
        <v>1</v>
      </c>
      <c r="D444" s="23">
        <v>13.99</v>
      </c>
      <c r="E444" s="3">
        <v>13.99</v>
      </c>
      <c r="F444" s="2" t="s">
        <v>12440</v>
      </c>
      <c r="G444" s="22" t="s">
        <v>19431</v>
      </c>
      <c r="H444" s="24" t="s">
        <v>20089</v>
      </c>
      <c r="I444" s="22" t="s">
        <v>19309</v>
      </c>
      <c r="J444" s="22" t="s">
        <v>19849</v>
      </c>
      <c r="K444" s="22" t="s">
        <v>19850</v>
      </c>
      <c r="L444" s="22"/>
      <c r="M444" s="22"/>
      <c r="N444" s="25" t="str">
        <f>HYPERLINK("http://slimages.macys.com/is/image/MCY/21270308 ")</f>
        <v xml:space="preserve">http://slimages.macys.com/is/image/MCY/21270308 </v>
      </c>
    </row>
    <row r="445" spans="1:14" x14ac:dyDescent="0.25">
      <c r="A445" s="21" t="s">
        <v>6960</v>
      </c>
      <c r="B445" s="22" t="s">
        <v>6961</v>
      </c>
      <c r="C445" s="2">
        <v>1</v>
      </c>
      <c r="D445" s="23">
        <v>8.64</v>
      </c>
      <c r="E445" s="3">
        <v>8.64</v>
      </c>
      <c r="F445" s="2" t="s">
        <v>16774</v>
      </c>
      <c r="G445" s="22"/>
      <c r="H445" s="24" t="s">
        <v>20152</v>
      </c>
      <c r="I445" s="22" t="s">
        <v>19309</v>
      </c>
      <c r="J445" s="22" t="s">
        <v>19708</v>
      </c>
      <c r="K445" s="22" t="s">
        <v>19709</v>
      </c>
      <c r="L445" s="22"/>
      <c r="M445" s="22"/>
      <c r="N445" s="25" t="str">
        <f>HYPERLINK("http://slimages.macys.com/is/image/MCY/19146324 ")</f>
        <v xml:space="preserve">http://slimages.macys.com/is/image/MCY/19146324 </v>
      </c>
    </row>
    <row r="446" spans="1:14" ht="24.75" x14ac:dyDescent="0.25">
      <c r="A446" s="21" t="s">
        <v>6962</v>
      </c>
      <c r="B446" s="22" t="s">
        <v>6963</v>
      </c>
      <c r="C446" s="2">
        <v>1</v>
      </c>
      <c r="D446" s="23">
        <v>9.99</v>
      </c>
      <c r="E446" s="3">
        <v>9.99</v>
      </c>
      <c r="F446" s="2" t="s">
        <v>6964</v>
      </c>
      <c r="G446" s="22" t="s">
        <v>19351</v>
      </c>
      <c r="H446" s="24" t="s">
        <v>19395</v>
      </c>
      <c r="I446" s="22" t="s">
        <v>19309</v>
      </c>
      <c r="J446" s="22" t="s">
        <v>19595</v>
      </c>
      <c r="K446" s="22" t="s">
        <v>19596</v>
      </c>
      <c r="L446" s="22"/>
      <c r="M446" s="22"/>
      <c r="N446" s="25" t="str">
        <f>HYPERLINK("http://slimages.macys.com/is/image/MCY/21056940 ")</f>
        <v xml:space="preserve">http://slimages.macys.com/is/image/MCY/21056940 </v>
      </c>
    </row>
    <row r="447" spans="1:14" x14ac:dyDescent="0.25">
      <c r="A447" s="21" t="s">
        <v>6965</v>
      </c>
      <c r="B447" s="22" t="s">
        <v>6966</v>
      </c>
      <c r="C447" s="2">
        <v>1</v>
      </c>
      <c r="D447" s="23">
        <v>9.99</v>
      </c>
      <c r="E447" s="3">
        <v>9.99</v>
      </c>
      <c r="F447" s="2" t="s">
        <v>16396</v>
      </c>
      <c r="G447" s="22" t="s">
        <v>19431</v>
      </c>
      <c r="H447" s="24" t="s">
        <v>19542</v>
      </c>
      <c r="I447" s="22" t="s">
        <v>19309</v>
      </c>
      <c r="J447" s="22" t="s">
        <v>19849</v>
      </c>
      <c r="K447" s="22" t="s">
        <v>19850</v>
      </c>
      <c r="L447" s="22"/>
      <c r="M447" s="22"/>
      <c r="N447" s="25" t="str">
        <f>HYPERLINK("http://slimages.macys.com/is/image/MCY/19068331 ")</f>
        <v xml:space="preserve">http://slimages.macys.com/is/image/MCY/19068331 </v>
      </c>
    </row>
    <row r="448" spans="1:14" ht="24.75" x14ac:dyDescent="0.25">
      <c r="A448" s="21" t="s">
        <v>6967</v>
      </c>
      <c r="B448" s="22" t="s">
        <v>6968</v>
      </c>
      <c r="C448" s="2">
        <v>1</v>
      </c>
      <c r="D448" s="23">
        <v>10.99</v>
      </c>
      <c r="E448" s="3">
        <v>10.99</v>
      </c>
      <c r="F448" s="2" t="s">
        <v>6969</v>
      </c>
      <c r="G448" s="22" t="s">
        <v>19351</v>
      </c>
      <c r="H448" s="24" t="s">
        <v>19352</v>
      </c>
      <c r="I448" s="22" t="s">
        <v>19309</v>
      </c>
      <c r="J448" s="22" t="s">
        <v>19353</v>
      </c>
      <c r="K448" s="22" t="s">
        <v>19524</v>
      </c>
      <c r="L448" s="22"/>
      <c r="M448" s="22"/>
      <c r="N448" s="25" t="str">
        <f>HYPERLINK("http://slimages.macys.com/is/image/MCY/21083352 ")</f>
        <v xml:space="preserve">http://slimages.macys.com/is/image/MCY/21083352 </v>
      </c>
    </row>
    <row r="449" spans="1:14" ht="24.75" x14ac:dyDescent="0.25">
      <c r="A449" s="21" t="s">
        <v>6970</v>
      </c>
      <c r="B449" s="22" t="s">
        <v>6971</v>
      </c>
      <c r="C449" s="2">
        <v>1</v>
      </c>
      <c r="D449" s="23">
        <v>10.99</v>
      </c>
      <c r="E449" s="3">
        <v>10.99</v>
      </c>
      <c r="F449" s="2" t="s">
        <v>6972</v>
      </c>
      <c r="G449" s="22" t="s">
        <v>19431</v>
      </c>
      <c r="H449" s="24" t="s">
        <v>19339</v>
      </c>
      <c r="I449" s="22" t="s">
        <v>19309</v>
      </c>
      <c r="J449" s="22" t="s">
        <v>19353</v>
      </c>
      <c r="K449" s="22" t="s">
        <v>19524</v>
      </c>
      <c r="L449" s="22"/>
      <c r="M449" s="22"/>
      <c r="N449" s="25" t="str">
        <f>HYPERLINK("http://slimages.macys.com/is/image/MCY/22125345 ")</f>
        <v xml:space="preserve">http://slimages.macys.com/is/image/MCY/22125345 </v>
      </c>
    </row>
    <row r="450" spans="1:14" ht="24.75" x14ac:dyDescent="0.25">
      <c r="A450" s="21" t="s">
        <v>16794</v>
      </c>
      <c r="B450" s="22" t="s">
        <v>16795</v>
      </c>
      <c r="C450" s="2">
        <v>1</v>
      </c>
      <c r="D450" s="23">
        <v>10.99</v>
      </c>
      <c r="E450" s="3">
        <v>10.99</v>
      </c>
      <c r="F450" s="2" t="s">
        <v>18808</v>
      </c>
      <c r="G450" s="22" t="s">
        <v>19906</v>
      </c>
      <c r="H450" s="24" t="s">
        <v>19797</v>
      </c>
      <c r="I450" s="22" t="s">
        <v>19309</v>
      </c>
      <c r="J450" s="22" t="s">
        <v>19353</v>
      </c>
      <c r="K450" s="22" t="s">
        <v>19524</v>
      </c>
      <c r="L450" s="22"/>
      <c r="M450" s="22"/>
      <c r="N450" s="25" t="str">
        <f>HYPERLINK("http://slimages.macys.com/is/image/MCY/21733981 ")</f>
        <v xml:space="preserve">http://slimages.macys.com/is/image/MCY/21733981 </v>
      </c>
    </row>
    <row r="451" spans="1:14" ht="24.75" x14ac:dyDescent="0.25">
      <c r="A451" s="21" t="s">
        <v>13996</v>
      </c>
      <c r="B451" s="22" t="s">
        <v>13997</v>
      </c>
      <c r="C451" s="2">
        <v>1</v>
      </c>
      <c r="D451" s="23">
        <v>11.99</v>
      </c>
      <c r="E451" s="3">
        <v>11.99</v>
      </c>
      <c r="F451" s="2" t="s">
        <v>13989</v>
      </c>
      <c r="G451" s="22" t="s">
        <v>19315</v>
      </c>
      <c r="H451" s="24" t="s">
        <v>19542</v>
      </c>
      <c r="I451" s="22" t="s">
        <v>19309</v>
      </c>
      <c r="J451" s="22" t="s">
        <v>19815</v>
      </c>
      <c r="K451" s="22" t="s">
        <v>19816</v>
      </c>
      <c r="L451" s="22"/>
      <c r="M451" s="22"/>
      <c r="N451" s="25" t="str">
        <f>HYPERLINK("http://slimages.macys.com/is/image/MCY/21188139 ")</f>
        <v xml:space="preserve">http://slimages.macys.com/is/image/MCY/21188139 </v>
      </c>
    </row>
    <row r="452" spans="1:14" ht="24.75" x14ac:dyDescent="0.25">
      <c r="A452" s="21" t="s">
        <v>13987</v>
      </c>
      <c r="B452" s="22" t="s">
        <v>13988</v>
      </c>
      <c r="C452" s="2">
        <v>1</v>
      </c>
      <c r="D452" s="23">
        <v>11.99</v>
      </c>
      <c r="E452" s="3">
        <v>11.99</v>
      </c>
      <c r="F452" s="2" t="s">
        <v>13989</v>
      </c>
      <c r="G452" s="22" t="s">
        <v>19315</v>
      </c>
      <c r="H452" s="24" t="s">
        <v>19361</v>
      </c>
      <c r="I452" s="22" t="s">
        <v>19309</v>
      </c>
      <c r="J452" s="22" t="s">
        <v>19815</v>
      </c>
      <c r="K452" s="22" t="s">
        <v>19816</v>
      </c>
      <c r="L452" s="22"/>
      <c r="M452" s="22"/>
      <c r="N452" s="25" t="str">
        <f>HYPERLINK("http://slimages.macys.com/is/image/MCY/21188139 ")</f>
        <v xml:space="preserve">http://slimages.macys.com/is/image/MCY/21188139 </v>
      </c>
    </row>
    <row r="453" spans="1:14" ht="24.75" x14ac:dyDescent="0.25">
      <c r="A453" s="21" t="s">
        <v>13998</v>
      </c>
      <c r="B453" s="22" t="s">
        <v>13999</v>
      </c>
      <c r="C453" s="2">
        <v>2</v>
      </c>
      <c r="D453" s="23">
        <v>11.99</v>
      </c>
      <c r="E453" s="3">
        <v>23.98</v>
      </c>
      <c r="F453" s="2" t="s">
        <v>13989</v>
      </c>
      <c r="G453" s="22" t="s">
        <v>19315</v>
      </c>
      <c r="H453" s="24" t="s">
        <v>19392</v>
      </c>
      <c r="I453" s="22" t="s">
        <v>19309</v>
      </c>
      <c r="J453" s="22" t="s">
        <v>19815</v>
      </c>
      <c r="K453" s="22" t="s">
        <v>19816</v>
      </c>
      <c r="L453" s="22"/>
      <c r="M453" s="22"/>
      <c r="N453" s="25" t="str">
        <f>HYPERLINK("http://slimages.macys.com/is/image/MCY/21188139 ")</f>
        <v xml:space="preserve">http://slimages.macys.com/is/image/MCY/21188139 </v>
      </c>
    </row>
    <row r="454" spans="1:14" ht="24.75" x14ac:dyDescent="0.25">
      <c r="A454" s="21" t="s">
        <v>14000</v>
      </c>
      <c r="B454" s="22" t="s">
        <v>14001</v>
      </c>
      <c r="C454" s="2">
        <v>1</v>
      </c>
      <c r="D454" s="23">
        <v>11.99</v>
      </c>
      <c r="E454" s="3">
        <v>11.99</v>
      </c>
      <c r="F454" s="2" t="s">
        <v>13989</v>
      </c>
      <c r="G454" s="22" t="s">
        <v>19315</v>
      </c>
      <c r="H454" s="24" t="s">
        <v>20135</v>
      </c>
      <c r="I454" s="22" t="s">
        <v>19309</v>
      </c>
      <c r="J454" s="22" t="s">
        <v>19815</v>
      </c>
      <c r="K454" s="22" t="s">
        <v>19816</v>
      </c>
      <c r="L454" s="22"/>
      <c r="M454" s="22"/>
      <c r="N454" s="25" t="str">
        <f>HYPERLINK("http://slimages.macys.com/is/image/MCY/21188139 ")</f>
        <v xml:space="preserve">http://slimages.macys.com/is/image/MCY/21188139 </v>
      </c>
    </row>
    <row r="455" spans="1:14" ht="24.75" x14ac:dyDescent="0.25">
      <c r="A455" s="21" t="s">
        <v>13992</v>
      </c>
      <c r="B455" s="22" t="s">
        <v>13993</v>
      </c>
      <c r="C455" s="2">
        <v>1</v>
      </c>
      <c r="D455" s="23">
        <v>11.99</v>
      </c>
      <c r="E455" s="3">
        <v>11.99</v>
      </c>
      <c r="F455" s="2" t="s">
        <v>13989</v>
      </c>
      <c r="G455" s="22" t="s">
        <v>19315</v>
      </c>
      <c r="H455" s="24" t="s">
        <v>19907</v>
      </c>
      <c r="I455" s="22" t="s">
        <v>19309</v>
      </c>
      <c r="J455" s="22" t="s">
        <v>19815</v>
      </c>
      <c r="K455" s="22" t="s">
        <v>19816</v>
      </c>
      <c r="L455" s="22"/>
      <c r="M455" s="22"/>
      <c r="N455" s="25" t="str">
        <f>HYPERLINK("http://slimages.macys.com/is/image/MCY/21188139 ")</f>
        <v xml:space="preserve">http://slimages.macys.com/is/image/MCY/21188139 </v>
      </c>
    </row>
    <row r="456" spans="1:14" x14ac:dyDescent="0.25">
      <c r="A456" s="21" t="s">
        <v>13990</v>
      </c>
      <c r="B456" s="22" t="s">
        <v>13991</v>
      </c>
      <c r="C456" s="2">
        <v>1</v>
      </c>
      <c r="D456" s="23">
        <v>9.99</v>
      </c>
      <c r="E456" s="3">
        <v>9.99</v>
      </c>
      <c r="F456" s="2" t="s">
        <v>16800</v>
      </c>
      <c r="G456" s="22" t="s">
        <v>19670</v>
      </c>
      <c r="H456" s="24" t="s">
        <v>20135</v>
      </c>
      <c r="I456" s="22" t="s">
        <v>19309</v>
      </c>
      <c r="J456" s="22" t="s">
        <v>19849</v>
      </c>
      <c r="K456" s="22" t="s">
        <v>19850</v>
      </c>
      <c r="L456" s="22"/>
      <c r="M456" s="22"/>
      <c r="N456" s="25" t="str">
        <f>HYPERLINK("http://slimages.macys.com/is/image/MCY/1449793 ")</f>
        <v xml:space="preserve">http://slimages.macys.com/is/image/MCY/1449793 </v>
      </c>
    </row>
    <row r="457" spans="1:14" ht="24.75" x14ac:dyDescent="0.25">
      <c r="A457" s="21" t="s">
        <v>13994</v>
      </c>
      <c r="B457" s="22" t="s">
        <v>13995</v>
      </c>
      <c r="C457" s="2">
        <v>1</v>
      </c>
      <c r="D457" s="23">
        <v>11.99</v>
      </c>
      <c r="E457" s="3">
        <v>11.99</v>
      </c>
      <c r="F457" s="2" t="s">
        <v>13989</v>
      </c>
      <c r="G457" s="22" t="s">
        <v>19315</v>
      </c>
      <c r="H457" s="24" t="s">
        <v>19432</v>
      </c>
      <c r="I457" s="22" t="s">
        <v>19309</v>
      </c>
      <c r="J457" s="22" t="s">
        <v>19815</v>
      </c>
      <c r="K457" s="22" t="s">
        <v>19816</v>
      </c>
      <c r="L457" s="22"/>
      <c r="M457" s="22"/>
      <c r="N457" s="25" t="str">
        <f>HYPERLINK("http://slimages.macys.com/is/image/MCY/21188139 ")</f>
        <v xml:space="preserve">http://slimages.macys.com/is/image/MCY/21188139 </v>
      </c>
    </row>
    <row r="458" spans="1:14" ht="24.75" x14ac:dyDescent="0.25">
      <c r="A458" s="21" t="s">
        <v>6973</v>
      </c>
      <c r="B458" s="22" t="s">
        <v>6974</v>
      </c>
      <c r="C458" s="2">
        <v>1</v>
      </c>
      <c r="D458" s="23">
        <v>11.99</v>
      </c>
      <c r="E458" s="3">
        <v>11.99</v>
      </c>
      <c r="F458" s="2" t="s">
        <v>6975</v>
      </c>
      <c r="G458" s="22" t="s">
        <v>19351</v>
      </c>
      <c r="H458" s="24"/>
      <c r="I458" s="22" t="s">
        <v>19309</v>
      </c>
      <c r="J458" s="22" t="s">
        <v>20076</v>
      </c>
      <c r="K458" s="22" t="s">
        <v>18822</v>
      </c>
      <c r="L458" s="22"/>
      <c r="M458" s="22"/>
      <c r="N458" s="25" t="str">
        <f>HYPERLINK("http://slimages.macys.com/is/image/MCY/21333001 ")</f>
        <v xml:space="preserve">http://slimages.macys.com/is/image/MCY/21333001 </v>
      </c>
    </row>
    <row r="459" spans="1:14" x14ac:dyDescent="0.25">
      <c r="A459" s="21" t="s">
        <v>16814</v>
      </c>
      <c r="B459" s="22" t="s">
        <v>16815</v>
      </c>
      <c r="C459" s="2">
        <v>1</v>
      </c>
      <c r="D459" s="23">
        <v>11.99</v>
      </c>
      <c r="E459" s="3">
        <v>11.99</v>
      </c>
      <c r="F459" s="2" t="s">
        <v>16803</v>
      </c>
      <c r="G459" s="22" t="s">
        <v>19670</v>
      </c>
      <c r="H459" s="24"/>
      <c r="I459" s="22" t="s">
        <v>19309</v>
      </c>
      <c r="J459" s="22" t="s">
        <v>19849</v>
      </c>
      <c r="K459" s="22" t="s">
        <v>19850</v>
      </c>
      <c r="L459" s="22"/>
      <c r="M459" s="22"/>
      <c r="N459" s="25" t="str">
        <f t="shared" ref="N459:N467" si="0">HYPERLINK("http://slimages.macys.com/is/image/MCY/20752030 ")</f>
        <v xml:space="preserve">http://slimages.macys.com/is/image/MCY/20752030 </v>
      </c>
    </row>
    <row r="460" spans="1:14" x14ac:dyDescent="0.25">
      <c r="A460" s="21" t="s">
        <v>16804</v>
      </c>
      <c r="B460" s="22" t="s">
        <v>16805</v>
      </c>
      <c r="C460" s="2">
        <v>1</v>
      </c>
      <c r="D460" s="23">
        <v>11.99</v>
      </c>
      <c r="E460" s="3">
        <v>11.99</v>
      </c>
      <c r="F460" s="2" t="s">
        <v>16803</v>
      </c>
      <c r="G460" s="22" t="s">
        <v>19431</v>
      </c>
      <c r="H460" s="24" t="s">
        <v>19339</v>
      </c>
      <c r="I460" s="22" t="s">
        <v>19309</v>
      </c>
      <c r="J460" s="22" t="s">
        <v>19849</v>
      </c>
      <c r="K460" s="22" t="s">
        <v>19850</v>
      </c>
      <c r="L460" s="22"/>
      <c r="M460" s="22"/>
      <c r="N460" s="25" t="str">
        <f t="shared" si="0"/>
        <v xml:space="preserve">http://slimages.macys.com/is/image/MCY/20752030 </v>
      </c>
    </row>
    <row r="461" spans="1:14" x14ac:dyDescent="0.25">
      <c r="A461" s="21" t="s">
        <v>16806</v>
      </c>
      <c r="B461" s="22" t="s">
        <v>16807</v>
      </c>
      <c r="C461" s="2">
        <v>1</v>
      </c>
      <c r="D461" s="23">
        <v>11.99</v>
      </c>
      <c r="E461" s="3">
        <v>11.99</v>
      </c>
      <c r="F461" s="2" t="s">
        <v>16803</v>
      </c>
      <c r="G461" s="22" t="s">
        <v>19431</v>
      </c>
      <c r="H461" s="24"/>
      <c r="I461" s="22" t="s">
        <v>19309</v>
      </c>
      <c r="J461" s="22" t="s">
        <v>19849</v>
      </c>
      <c r="K461" s="22" t="s">
        <v>19850</v>
      </c>
      <c r="L461" s="22"/>
      <c r="M461" s="22"/>
      <c r="N461" s="25" t="str">
        <f t="shared" si="0"/>
        <v xml:space="preserve">http://slimages.macys.com/is/image/MCY/20752030 </v>
      </c>
    </row>
    <row r="462" spans="1:14" x14ac:dyDescent="0.25">
      <c r="A462" s="21" t="s">
        <v>16801</v>
      </c>
      <c r="B462" s="22" t="s">
        <v>16802</v>
      </c>
      <c r="C462" s="2">
        <v>3</v>
      </c>
      <c r="D462" s="23">
        <v>11.99</v>
      </c>
      <c r="E462" s="3">
        <v>35.97</v>
      </c>
      <c r="F462" s="2" t="s">
        <v>16803</v>
      </c>
      <c r="G462" s="22" t="s">
        <v>19431</v>
      </c>
      <c r="H462" s="24" t="s">
        <v>19364</v>
      </c>
      <c r="I462" s="22" t="s">
        <v>19309</v>
      </c>
      <c r="J462" s="22" t="s">
        <v>19849</v>
      </c>
      <c r="K462" s="22" t="s">
        <v>19850</v>
      </c>
      <c r="L462" s="22"/>
      <c r="M462" s="22"/>
      <c r="N462" s="25" t="str">
        <f t="shared" si="0"/>
        <v xml:space="preserve">http://slimages.macys.com/is/image/MCY/20752030 </v>
      </c>
    </row>
    <row r="463" spans="1:14" x14ac:dyDescent="0.25">
      <c r="A463" s="21" t="s">
        <v>9086</v>
      </c>
      <c r="B463" s="22" t="s">
        <v>9087</v>
      </c>
      <c r="C463" s="2">
        <v>1</v>
      </c>
      <c r="D463" s="23">
        <v>11.99</v>
      </c>
      <c r="E463" s="3">
        <v>11.99</v>
      </c>
      <c r="F463" s="2" t="s">
        <v>16803</v>
      </c>
      <c r="G463" s="22" t="s">
        <v>19670</v>
      </c>
      <c r="H463" s="24" t="s">
        <v>19339</v>
      </c>
      <c r="I463" s="22" t="s">
        <v>19309</v>
      </c>
      <c r="J463" s="22" t="s">
        <v>19849</v>
      </c>
      <c r="K463" s="22" t="s">
        <v>19850</v>
      </c>
      <c r="L463" s="22"/>
      <c r="M463" s="22"/>
      <c r="N463" s="25" t="str">
        <f t="shared" si="0"/>
        <v xml:space="preserve">http://slimages.macys.com/is/image/MCY/20752030 </v>
      </c>
    </row>
    <row r="464" spans="1:14" x14ac:dyDescent="0.25">
      <c r="A464" s="21" t="s">
        <v>16808</v>
      </c>
      <c r="B464" s="22" t="s">
        <v>16809</v>
      </c>
      <c r="C464" s="2">
        <v>2</v>
      </c>
      <c r="D464" s="23">
        <v>11.99</v>
      </c>
      <c r="E464" s="3">
        <v>23.98</v>
      </c>
      <c r="F464" s="2" t="s">
        <v>16803</v>
      </c>
      <c r="G464" s="22" t="s">
        <v>19670</v>
      </c>
      <c r="H464" s="24" t="s">
        <v>19364</v>
      </c>
      <c r="I464" s="22" t="s">
        <v>19309</v>
      </c>
      <c r="J464" s="22" t="s">
        <v>19849</v>
      </c>
      <c r="K464" s="22" t="s">
        <v>19850</v>
      </c>
      <c r="L464" s="22"/>
      <c r="M464" s="22"/>
      <c r="N464" s="25" t="str">
        <f t="shared" si="0"/>
        <v xml:space="preserve">http://slimages.macys.com/is/image/MCY/20752030 </v>
      </c>
    </row>
    <row r="465" spans="1:14" x14ac:dyDescent="0.25">
      <c r="A465" s="21" t="s">
        <v>16818</v>
      </c>
      <c r="B465" s="22" t="s">
        <v>16819</v>
      </c>
      <c r="C465" s="2">
        <v>2</v>
      </c>
      <c r="D465" s="23">
        <v>11.99</v>
      </c>
      <c r="E465" s="3">
        <v>23.98</v>
      </c>
      <c r="F465" s="2" t="s">
        <v>16803</v>
      </c>
      <c r="G465" s="22" t="s">
        <v>19670</v>
      </c>
      <c r="H465" s="24" t="s">
        <v>19797</v>
      </c>
      <c r="I465" s="22" t="s">
        <v>19309</v>
      </c>
      <c r="J465" s="22" t="s">
        <v>19849</v>
      </c>
      <c r="K465" s="22" t="s">
        <v>19850</v>
      </c>
      <c r="L465" s="22"/>
      <c r="M465" s="22"/>
      <c r="N465" s="25" t="str">
        <f t="shared" si="0"/>
        <v xml:space="preserve">http://slimages.macys.com/is/image/MCY/20752030 </v>
      </c>
    </row>
    <row r="466" spans="1:14" x14ac:dyDescent="0.25">
      <c r="A466" s="21" t="s">
        <v>16810</v>
      </c>
      <c r="B466" s="22" t="s">
        <v>16811</v>
      </c>
      <c r="C466" s="2">
        <v>5</v>
      </c>
      <c r="D466" s="23">
        <v>11.99</v>
      </c>
      <c r="E466" s="3">
        <v>59.95</v>
      </c>
      <c r="F466" s="2" t="s">
        <v>16803</v>
      </c>
      <c r="G466" s="22" t="s">
        <v>19431</v>
      </c>
      <c r="H466" s="24" t="s">
        <v>19352</v>
      </c>
      <c r="I466" s="22" t="s">
        <v>19309</v>
      </c>
      <c r="J466" s="22" t="s">
        <v>19849</v>
      </c>
      <c r="K466" s="22" t="s">
        <v>19850</v>
      </c>
      <c r="L466" s="22"/>
      <c r="M466" s="22"/>
      <c r="N466" s="25" t="str">
        <f t="shared" si="0"/>
        <v xml:space="preserve">http://slimages.macys.com/is/image/MCY/20752030 </v>
      </c>
    </row>
    <row r="467" spans="1:14" x14ac:dyDescent="0.25">
      <c r="A467" s="21" t="s">
        <v>16816</v>
      </c>
      <c r="B467" s="22" t="s">
        <v>16817</v>
      </c>
      <c r="C467" s="2">
        <v>2</v>
      </c>
      <c r="D467" s="23">
        <v>11.99</v>
      </c>
      <c r="E467" s="3">
        <v>23.98</v>
      </c>
      <c r="F467" s="2" t="s">
        <v>16803</v>
      </c>
      <c r="G467" s="22" t="s">
        <v>19670</v>
      </c>
      <c r="H467" s="24" t="s">
        <v>19352</v>
      </c>
      <c r="I467" s="22" t="s">
        <v>19309</v>
      </c>
      <c r="J467" s="22" t="s">
        <v>19849</v>
      </c>
      <c r="K467" s="22" t="s">
        <v>19850</v>
      </c>
      <c r="L467" s="22"/>
      <c r="M467" s="22"/>
      <c r="N467" s="25" t="str">
        <f t="shared" si="0"/>
        <v xml:space="preserve">http://slimages.macys.com/is/image/MCY/20752030 </v>
      </c>
    </row>
    <row r="468" spans="1:14" x14ac:dyDescent="0.25">
      <c r="A468" s="21" t="s">
        <v>18815</v>
      </c>
      <c r="B468" s="22" t="s">
        <v>18816</v>
      </c>
      <c r="C468" s="2">
        <v>1</v>
      </c>
      <c r="D468" s="23">
        <v>11.99</v>
      </c>
      <c r="E468" s="3">
        <v>11.99</v>
      </c>
      <c r="F468" s="2" t="s">
        <v>18817</v>
      </c>
      <c r="G468" s="22" t="s">
        <v>19467</v>
      </c>
      <c r="H468" s="24" t="s">
        <v>19797</v>
      </c>
      <c r="I468" s="22" t="s">
        <v>19309</v>
      </c>
      <c r="J468" s="22" t="s">
        <v>19849</v>
      </c>
      <c r="K468" s="22" t="s">
        <v>19850</v>
      </c>
      <c r="L468" s="22"/>
      <c r="M468" s="22"/>
      <c r="N468" s="25" t="str">
        <f>HYPERLINK("http://slimages.macys.com/is/image/MCY/21080469 ")</f>
        <v xml:space="preserve">http://slimages.macys.com/is/image/MCY/21080469 </v>
      </c>
    </row>
    <row r="469" spans="1:14" ht="24.75" x14ac:dyDescent="0.25">
      <c r="A469" s="21" t="s">
        <v>14013</v>
      </c>
      <c r="B469" s="22" t="s">
        <v>14011</v>
      </c>
      <c r="C469" s="2">
        <v>1</v>
      </c>
      <c r="D469" s="23">
        <v>7.99</v>
      </c>
      <c r="E469" s="3">
        <v>7.99</v>
      </c>
      <c r="F469" s="2" t="s">
        <v>14012</v>
      </c>
      <c r="G469" s="22" t="s">
        <v>19431</v>
      </c>
      <c r="H469" s="24" t="s">
        <v>19542</v>
      </c>
      <c r="I469" s="22" t="s">
        <v>19309</v>
      </c>
      <c r="J469" s="22" t="s">
        <v>19815</v>
      </c>
      <c r="K469" s="22" t="s">
        <v>19816</v>
      </c>
      <c r="L469" s="22"/>
      <c r="M469" s="22"/>
      <c r="N469" s="25" t="str">
        <f>HYPERLINK("http://slimages.macys.com/is/image/MCY/20752798 ")</f>
        <v xml:space="preserve">http://slimages.macys.com/is/image/MCY/20752798 </v>
      </c>
    </row>
    <row r="470" spans="1:14" ht="24.75" x14ac:dyDescent="0.25">
      <c r="A470" s="21" t="s">
        <v>14018</v>
      </c>
      <c r="B470" s="22" t="s">
        <v>14019</v>
      </c>
      <c r="C470" s="2">
        <v>1</v>
      </c>
      <c r="D470" s="23">
        <v>7.99</v>
      </c>
      <c r="E470" s="3">
        <v>7.99</v>
      </c>
      <c r="F470" s="2" t="s">
        <v>14012</v>
      </c>
      <c r="G470" s="22" t="s">
        <v>19404</v>
      </c>
      <c r="H470" s="24" t="s">
        <v>19432</v>
      </c>
      <c r="I470" s="22" t="s">
        <v>19309</v>
      </c>
      <c r="J470" s="22" t="s">
        <v>19815</v>
      </c>
      <c r="K470" s="22" t="s">
        <v>19816</v>
      </c>
      <c r="L470" s="22"/>
      <c r="M470" s="22"/>
      <c r="N470" s="25" t="str">
        <f>HYPERLINK("http://slimages.macys.com/is/image/MCY/20752798 ")</f>
        <v xml:space="preserve">http://slimages.macys.com/is/image/MCY/20752798 </v>
      </c>
    </row>
    <row r="471" spans="1:14" ht="24.75" x14ac:dyDescent="0.25">
      <c r="A471" s="21" t="s">
        <v>7811</v>
      </c>
      <c r="B471" s="22" t="s">
        <v>7812</v>
      </c>
      <c r="C471" s="2">
        <v>1</v>
      </c>
      <c r="D471" s="23">
        <v>7.99</v>
      </c>
      <c r="E471" s="3">
        <v>7.99</v>
      </c>
      <c r="F471" s="2" t="s">
        <v>14012</v>
      </c>
      <c r="G471" s="22" t="s">
        <v>19404</v>
      </c>
      <c r="H471" s="24" t="s">
        <v>19361</v>
      </c>
      <c r="I471" s="22" t="s">
        <v>19309</v>
      </c>
      <c r="J471" s="22" t="s">
        <v>19815</v>
      </c>
      <c r="K471" s="22" t="s">
        <v>19816</v>
      </c>
      <c r="L471" s="22"/>
      <c r="M471" s="22"/>
      <c r="N471" s="25" t="str">
        <f>HYPERLINK("http://slimages.macys.com/is/image/MCY/20752798 ")</f>
        <v xml:space="preserve">http://slimages.macys.com/is/image/MCY/20752798 </v>
      </c>
    </row>
    <row r="472" spans="1:14" ht="24.75" x14ac:dyDescent="0.25">
      <c r="A472" s="21" t="s">
        <v>14025</v>
      </c>
      <c r="B472" s="22" t="s">
        <v>14026</v>
      </c>
      <c r="C472" s="2">
        <v>1</v>
      </c>
      <c r="D472" s="23">
        <v>7.99</v>
      </c>
      <c r="E472" s="3">
        <v>7.99</v>
      </c>
      <c r="F472" s="2" t="s">
        <v>14012</v>
      </c>
      <c r="G472" s="22" t="s">
        <v>19518</v>
      </c>
      <c r="H472" s="24" t="s">
        <v>19542</v>
      </c>
      <c r="I472" s="22" t="s">
        <v>19309</v>
      </c>
      <c r="J472" s="22" t="s">
        <v>19815</v>
      </c>
      <c r="K472" s="22" t="s">
        <v>19816</v>
      </c>
      <c r="L472" s="22"/>
      <c r="M472" s="22"/>
      <c r="N472" s="25" t="str">
        <f>HYPERLINK("http://slimages.macys.com/is/image/MCY/1504991 ")</f>
        <v xml:space="preserve">http://slimages.macys.com/is/image/MCY/1504991 </v>
      </c>
    </row>
    <row r="473" spans="1:14" ht="24.75" x14ac:dyDescent="0.25">
      <c r="A473" s="21" t="s">
        <v>6976</v>
      </c>
      <c r="B473" s="22" t="s">
        <v>6977</v>
      </c>
      <c r="C473" s="2">
        <v>1</v>
      </c>
      <c r="D473" s="23">
        <v>11.99</v>
      </c>
      <c r="E473" s="3">
        <v>11.99</v>
      </c>
      <c r="F473" s="2" t="s">
        <v>18820</v>
      </c>
      <c r="G473" s="22" t="s">
        <v>18821</v>
      </c>
      <c r="H473" s="24"/>
      <c r="I473" s="22" t="s">
        <v>19309</v>
      </c>
      <c r="J473" s="22" t="s">
        <v>20076</v>
      </c>
      <c r="K473" s="22" t="s">
        <v>18822</v>
      </c>
      <c r="L473" s="22"/>
      <c r="M473" s="22"/>
      <c r="N473" s="25" t="str">
        <f>HYPERLINK("http://slimages.macys.com/is/image/MCY/21333000 ")</f>
        <v xml:space="preserve">http://slimages.macys.com/is/image/MCY/21333000 </v>
      </c>
    </row>
    <row r="474" spans="1:14" ht="24.75" x14ac:dyDescent="0.25">
      <c r="A474" s="21" t="s">
        <v>6978</v>
      </c>
      <c r="B474" s="22" t="s">
        <v>6979</v>
      </c>
      <c r="C474" s="2">
        <v>1</v>
      </c>
      <c r="D474" s="23">
        <v>11.99</v>
      </c>
      <c r="E474" s="3">
        <v>11.99</v>
      </c>
      <c r="F474" s="2" t="s">
        <v>18820</v>
      </c>
      <c r="G474" s="22" t="s">
        <v>18821</v>
      </c>
      <c r="H474" s="24"/>
      <c r="I474" s="22" t="s">
        <v>19309</v>
      </c>
      <c r="J474" s="22" t="s">
        <v>20076</v>
      </c>
      <c r="K474" s="22" t="s">
        <v>18822</v>
      </c>
      <c r="L474" s="22"/>
      <c r="M474" s="22"/>
      <c r="N474" s="25" t="str">
        <f>HYPERLINK("http://slimages.macys.com/is/image/MCY/21333000 ")</f>
        <v xml:space="preserve">http://slimages.macys.com/is/image/MCY/21333000 </v>
      </c>
    </row>
    <row r="475" spans="1:14" x14ac:dyDescent="0.25">
      <c r="A475" s="21" t="s">
        <v>6980</v>
      </c>
      <c r="B475" s="22" t="s">
        <v>6981</v>
      </c>
      <c r="C475" s="2">
        <v>1</v>
      </c>
      <c r="D475" s="23">
        <v>10.47</v>
      </c>
      <c r="E475" s="3">
        <v>10.47</v>
      </c>
      <c r="F475" s="2" t="s">
        <v>16414</v>
      </c>
      <c r="G475" s="22" t="s">
        <v>19323</v>
      </c>
      <c r="H475" s="24" t="s">
        <v>20159</v>
      </c>
      <c r="I475" s="22" t="s">
        <v>19309</v>
      </c>
      <c r="J475" s="22" t="s">
        <v>19708</v>
      </c>
      <c r="K475" s="22" t="s">
        <v>19709</v>
      </c>
      <c r="L475" s="22"/>
      <c r="M475" s="22"/>
      <c r="N475" s="25" t="str">
        <f>HYPERLINK("http://slimages.macys.com/is/image/MCY/21412388 ")</f>
        <v xml:space="preserve">http://slimages.macys.com/is/image/MCY/21412388 </v>
      </c>
    </row>
    <row r="476" spans="1:14" x14ac:dyDescent="0.25">
      <c r="A476" s="21" t="s">
        <v>6982</v>
      </c>
      <c r="B476" s="22" t="s">
        <v>6983</v>
      </c>
      <c r="C476" s="2">
        <v>1</v>
      </c>
      <c r="D476" s="23">
        <v>10.47</v>
      </c>
      <c r="E476" s="3">
        <v>10.47</v>
      </c>
      <c r="F476" s="2" t="s">
        <v>6984</v>
      </c>
      <c r="G476" s="22"/>
      <c r="H476" s="24" t="s">
        <v>20159</v>
      </c>
      <c r="I476" s="22" t="s">
        <v>19309</v>
      </c>
      <c r="J476" s="22" t="s">
        <v>19708</v>
      </c>
      <c r="K476" s="22" t="s">
        <v>19709</v>
      </c>
      <c r="L476" s="22"/>
      <c r="M476" s="22"/>
      <c r="N476" s="25" t="str">
        <f>HYPERLINK("http://slimages.macys.com/is/image/MCY/21411388 ")</f>
        <v xml:space="preserve">http://slimages.macys.com/is/image/MCY/21411388 </v>
      </c>
    </row>
    <row r="477" spans="1:14" x14ac:dyDescent="0.25">
      <c r="A477" s="21" t="s">
        <v>16420</v>
      </c>
      <c r="B477" s="22" t="s">
        <v>16421</v>
      </c>
      <c r="C477" s="2">
        <v>1</v>
      </c>
      <c r="D477" s="23">
        <v>9.99</v>
      </c>
      <c r="E477" s="3">
        <v>9.99</v>
      </c>
      <c r="F477" s="2" t="s">
        <v>16419</v>
      </c>
      <c r="G477" s="22" t="s">
        <v>19477</v>
      </c>
      <c r="H477" s="24" t="s">
        <v>19361</v>
      </c>
      <c r="I477" s="22" t="s">
        <v>19309</v>
      </c>
      <c r="J477" s="22" t="s">
        <v>19849</v>
      </c>
      <c r="K477" s="22" t="s">
        <v>19850</v>
      </c>
      <c r="L477" s="22"/>
      <c r="M477" s="22"/>
      <c r="N477" s="25" t="str">
        <f>HYPERLINK("http://slimages.macys.com/is/image/MCY/1449793 ")</f>
        <v xml:space="preserve">http://slimages.macys.com/is/image/MCY/1449793 </v>
      </c>
    </row>
    <row r="478" spans="1:14" x14ac:dyDescent="0.25">
      <c r="A478" s="21" t="s">
        <v>16424</v>
      </c>
      <c r="B478" s="22" t="s">
        <v>16425</v>
      </c>
      <c r="C478" s="2">
        <v>1</v>
      </c>
      <c r="D478" s="23">
        <v>9.99</v>
      </c>
      <c r="E478" s="3">
        <v>9.99</v>
      </c>
      <c r="F478" s="2" t="s">
        <v>16419</v>
      </c>
      <c r="G478" s="22" t="s">
        <v>19477</v>
      </c>
      <c r="H478" s="24" t="s">
        <v>20135</v>
      </c>
      <c r="I478" s="22" t="s">
        <v>19309</v>
      </c>
      <c r="J478" s="22" t="s">
        <v>19849</v>
      </c>
      <c r="K478" s="22" t="s">
        <v>19850</v>
      </c>
      <c r="L478" s="22"/>
      <c r="M478" s="22"/>
      <c r="N478" s="25" t="str">
        <f>HYPERLINK("http://slimages.macys.com/is/image/MCY/1449793 ")</f>
        <v xml:space="preserve">http://slimages.macys.com/is/image/MCY/1449793 </v>
      </c>
    </row>
    <row r="479" spans="1:14" x14ac:dyDescent="0.25">
      <c r="A479" s="21" t="s">
        <v>6985</v>
      </c>
      <c r="B479" s="22" t="s">
        <v>6986</v>
      </c>
      <c r="C479" s="2">
        <v>1</v>
      </c>
      <c r="D479" s="23">
        <v>7.99</v>
      </c>
      <c r="E479" s="3">
        <v>7.99</v>
      </c>
      <c r="F479" s="2" t="s">
        <v>16840</v>
      </c>
      <c r="G479" s="22" t="s">
        <v>19477</v>
      </c>
      <c r="H479" s="24" t="s">
        <v>19542</v>
      </c>
      <c r="I479" s="22" t="s">
        <v>19309</v>
      </c>
      <c r="J479" s="22" t="s">
        <v>19849</v>
      </c>
      <c r="K479" s="22" t="s">
        <v>19850</v>
      </c>
      <c r="L479" s="22"/>
      <c r="M479" s="22"/>
      <c r="N479" s="25" t="str">
        <f t="shared" ref="N479:N486" si="1">HYPERLINK("http://slimages.macys.com/is/image/MCY/19068277 ")</f>
        <v xml:space="preserve">http://slimages.macys.com/is/image/MCY/19068277 </v>
      </c>
    </row>
    <row r="480" spans="1:14" x14ac:dyDescent="0.25">
      <c r="A480" s="21" t="s">
        <v>13363</v>
      </c>
      <c r="B480" s="22" t="s">
        <v>13364</v>
      </c>
      <c r="C480" s="2">
        <v>1</v>
      </c>
      <c r="D480" s="23">
        <v>7.99</v>
      </c>
      <c r="E480" s="3">
        <v>7.99</v>
      </c>
      <c r="F480" s="2" t="s">
        <v>16840</v>
      </c>
      <c r="G480" s="22" t="s">
        <v>19431</v>
      </c>
      <c r="H480" s="24" t="s">
        <v>20135</v>
      </c>
      <c r="I480" s="22" t="s">
        <v>19309</v>
      </c>
      <c r="J480" s="22" t="s">
        <v>19849</v>
      </c>
      <c r="K480" s="22" t="s">
        <v>19850</v>
      </c>
      <c r="L480" s="22"/>
      <c r="M480" s="22"/>
      <c r="N480" s="25" t="str">
        <f t="shared" si="1"/>
        <v xml:space="preserve">http://slimages.macys.com/is/image/MCY/19068277 </v>
      </c>
    </row>
    <row r="481" spans="1:14" x14ac:dyDescent="0.25">
      <c r="A481" s="21" t="s">
        <v>9095</v>
      </c>
      <c r="B481" s="22" t="s">
        <v>9096</v>
      </c>
      <c r="C481" s="2">
        <v>1</v>
      </c>
      <c r="D481" s="23">
        <v>7.99</v>
      </c>
      <c r="E481" s="3">
        <v>7.99</v>
      </c>
      <c r="F481" s="2" t="s">
        <v>16840</v>
      </c>
      <c r="G481" s="22" t="s">
        <v>19431</v>
      </c>
      <c r="H481" s="24" t="s">
        <v>19907</v>
      </c>
      <c r="I481" s="22" t="s">
        <v>19309</v>
      </c>
      <c r="J481" s="22" t="s">
        <v>19849</v>
      </c>
      <c r="K481" s="22" t="s">
        <v>19850</v>
      </c>
      <c r="L481" s="22"/>
      <c r="M481" s="22"/>
      <c r="N481" s="25" t="str">
        <f t="shared" si="1"/>
        <v xml:space="preserve">http://slimages.macys.com/is/image/MCY/19068277 </v>
      </c>
    </row>
    <row r="482" spans="1:14" x14ac:dyDescent="0.25">
      <c r="A482" s="21" t="s">
        <v>13367</v>
      </c>
      <c r="B482" s="22" t="s">
        <v>13368</v>
      </c>
      <c r="C482" s="2">
        <v>1</v>
      </c>
      <c r="D482" s="23">
        <v>7.99</v>
      </c>
      <c r="E482" s="3">
        <v>7.99</v>
      </c>
      <c r="F482" s="2" t="s">
        <v>16840</v>
      </c>
      <c r="G482" s="22" t="s">
        <v>19477</v>
      </c>
      <c r="H482" s="24" t="s">
        <v>19907</v>
      </c>
      <c r="I482" s="22" t="s">
        <v>19309</v>
      </c>
      <c r="J482" s="22" t="s">
        <v>19849</v>
      </c>
      <c r="K482" s="22" t="s">
        <v>19850</v>
      </c>
      <c r="L482" s="22"/>
      <c r="M482" s="22"/>
      <c r="N482" s="25" t="str">
        <f t="shared" si="1"/>
        <v xml:space="preserve">http://slimages.macys.com/is/image/MCY/19068277 </v>
      </c>
    </row>
    <row r="483" spans="1:14" x14ac:dyDescent="0.25">
      <c r="A483" s="21" t="s">
        <v>16428</v>
      </c>
      <c r="B483" s="22" t="s">
        <v>16429</v>
      </c>
      <c r="C483" s="2">
        <v>1</v>
      </c>
      <c r="D483" s="23">
        <v>7.99</v>
      </c>
      <c r="E483" s="3">
        <v>7.99</v>
      </c>
      <c r="F483" s="2" t="s">
        <v>16840</v>
      </c>
      <c r="G483" s="22" t="s">
        <v>19431</v>
      </c>
      <c r="H483" s="24" t="s">
        <v>19361</v>
      </c>
      <c r="I483" s="22" t="s">
        <v>19309</v>
      </c>
      <c r="J483" s="22" t="s">
        <v>19849</v>
      </c>
      <c r="K483" s="22" t="s">
        <v>19850</v>
      </c>
      <c r="L483" s="22"/>
      <c r="M483" s="22"/>
      <c r="N483" s="25" t="str">
        <f t="shared" si="1"/>
        <v xml:space="preserve">http://slimages.macys.com/is/image/MCY/19068277 </v>
      </c>
    </row>
    <row r="484" spans="1:14" x14ac:dyDescent="0.25">
      <c r="A484" s="21" t="s">
        <v>10032</v>
      </c>
      <c r="B484" s="22" t="s">
        <v>10033</v>
      </c>
      <c r="C484" s="2">
        <v>2</v>
      </c>
      <c r="D484" s="23">
        <v>18.11</v>
      </c>
      <c r="E484" s="3">
        <v>36.22</v>
      </c>
      <c r="F484" s="2" t="s">
        <v>16840</v>
      </c>
      <c r="G484" s="22" t="s">
        <v>19431</v>
      </c>
      <c r="H484" s="24" t="s">
        <v>19377</v>
      </c>
      <c r="I484" s="22" t="s">
        <v>19309</v>
      </c>
      <c r="J484" s="22" t="s">
        <v>19849</v>
      </c>
      <c r="K484" s="22" t="s">
        <v>19850</v>
      </c>
      <c r="L484" s="22"/>
      <c r="M484" s="22"/>
      <c r="N484" s="25" t="str">
        <f t="shared" si="1"/>
        <v xml:space="preserve">http://slimages.macys.com/is/image/MCY/19068277 </v>
      </c>
    </row>
    <row r="485" spans="1:14" x14ac:dyDescent="0.25">
      <c r="A485" s="21" t="s">
        <v>6987</v>
      </c>
      <c r="B485" s="22" t="s">
        <v>6988</v>
      </c>
      <c r="C485" s="2">
        <v>1</v>
      </c>
      <c r="D485" s="23">
        <v>7.99</v>
      </c>
      <c r="E485" s="3">
        <v>7.99</v>
      </c>
      <c r="F485" s="2" t="s">
        <v>16840</v>
      </c>
      <c r="G485" s="22" t="s">
        <v>19477</v>
      </c>
      <c r="H485" s="24" t="s">
        <v>20089</v>
      </c>
      <c r="I485" s="22" t="s">
        <v>19309</v>
      </c>
      <c r="J485" s="22" t="s">
        <v>19849</v>
      </c>
      <c r="K485" s="22" t="s">
        <v>19850</v>
      </c>
      <c r="L485" s="22"/>
      <c r="M485" s="22"/>
      <c r="N485" s="25" t="str">
        <f t="shared" si="1"/>
        <v xml:space="preserve">http://slimages.macys.com/is/image/MCY/19068277 </v>
      </c>
    </row>
    <row r="486" spans="1:14" x14ac:dyDescent="0.25">
      <c r="A486" s="21" t="s">
        <v>16426</v>
      </c>
      <c r="B486" s="22" t="s">
        <v>16427</v>
      </c>
      <c r="C486" s="2">
        <v>1</v>
      </c>
      <c r="D486" s="23">
        <v>7.99</v>
      </c>
      <c r="E486" s="3">
        <v>7.99</v>
      </c>
      <c r="F486" s="2" t="s">
        <v>16840</v>
      </c>
      <c r="G486" s="22" t="s">
        <v>19431</v>
      </c>
      <c r="H486" s="24" t="s">
        <v>20089</v>
      </c>
      <c r="I486" s="22" t="s">
        <v>19309</v>
      </c>
      <c r="J486" s="22" t="s">
        <v>19849</v>
      </c>
      <c r="K486" s="22" t="s">
        <v>19850</v>
      </c>
      <c r="L486" s="22"/>
      <c r="M486" s="22"/>
      <c r="N486" s="25" t="str">
        <f t="shared" si="1"/>
        <v xml:space="preserve">http://slimages.macys.com/is/image/MCY/19068277 </v>
      </c>
    </row>
    <row r="487" spans="1:14" ht="24.75" x14ac:dyDescent="0.25">
      <c r="A487" s="21" t="s">
        <v>6989</v>
      </c>
      <c r="B487" s="22" t="s">
        <v>6990</v>
      </c>
      <c r="C487" s="2">
        <v>2</v>
      </c>
      <c r="D487" s="23">
        <v>13.99</v>
      </c>
      <c r="E487" s="3">
        <v>27.98</v>
      </c>
      <c r="F487" s="2" t="s">
        <v>16432</v>
      </c>
      <c r="G487" s="22" t="s">
        <v>19315</v>
      </c>
      <c r="H487" s="24" t="s">
        <v>19542</v>
      </c>
      <c r="I487" s="22" t="s">
        <v>19309</v>
      </c>
      <c r="J487" s="22" t="s">
        <v>19815</v>
      </c>
      <c r="K487" s="22" t="s">
        <v>19816</v>
      </c>
      <c r="L487" s="22"/>
      <c r="M487" s="22"/>
      <c r="N487" s="25" t="str">
        <f>HYPERLINK("http://slimages.macys.com/is/image/MCY/1290400 ")</f>
        <v xml:space="preserve">http://slimages.macys.com/is/image/MCY/1290400 </v>
      </c>
    </row>
    <row r="488" spans="1:14" ht="24.75" x14ac:dyDescent="0.25">
      <c r="A488" s="21" t="s">
        <v>6991</v>
      </c>
      <c r="B488" s="22" t="s">
        <v>6992</v>
      </c>
      <c r="C488" s="2">
        <v>1</v>
      </c>
      <c r="D488" s="23">
        <v>13.99</v>
      </c>
      <c r="E488" s="3">
        <v>13.99</v>
      </c>
      <c r="F488" s="2" t="s">
        <v>16432</v>
      </c>
      <c r="G488" s="22" t="s">
        <v>19315</v>
      </c>
      <c r="H488" s="24" t="s">
        <v>20135</v>
      </c>
      <c r="I488" s="22" t="s">
        <v>19309</v>
      </c>
      <c r="J488" s="22" t="s">
        <v>19815</v>
      </c>
      <c r="K488" s="22" t="s">
        <v>19816</v>
      </c>
      <c r="L488" s="22"/>
      <c r="M488" s="22"/>
      <c r="N488" s="25" t="str">
        <f>HYPERLINK("http://slimages.macys.com/is/image/MCY/1290400 ")</f>
        <v xml:space="preserve">http://slimages.macys.com/is/image/MCY/1290400 </v>
      </c>
    </row>
    <row r="489" spans="1:14" ht="24.75" x14ac:dyDescent="0.25">
      <c r="A489" s="21" t="s">
        <v>6993</v>
      </c>
      <c r="B489" s="22" t="s">
        <v>6994</v>
      </c>
      <c r="C489" s="2">
        <v>3</v>
      </c>
      <c r="D489" s="23">
        <v>13.99</v>
      </c>
      <c r="E489" s="3">
        <v>41.97</v>
      </c>
      <c r="F489" s="2" t="s">
        <v>16432</v>
      </c>
      <c r="G489" s="22" t="s">
        <v>19315</v>
      </c>
      <c r="H489" s="24" t="s">
        <v>19432</v>
      </c>
      <c r="I489" s="22" t="s">
        <v>19309</v>
      </c>
      <c r="J489" s="22" t="s">
        <v>19815</v>
      </c>
      <c r="K489" s="22" t="s">
        <v>19816</v>
      </c>
      <c r="L489" s="22"/>
      <c r="M489" s="22"/>
      <c r="N489" s="25" t="str">
        <f>HYPERLINK("http://slimages.macys.com/is/image/MCY/1290400 ")</f>
        <v xml:space="preserve">http://slimages.macys.com/is/image/MCY/1290400 </v>
      </c>
    </row>
    <row r="490" spans="1:14" ht="24.75" x14ac:dyDescent="0.25">
      <c r="A490" s="21" t="s">
        <v>6995</v>
      </c>
      <c r="B490" s="22" t="s">
        <v>6996</v>
      </c>
      <c r="C490" s="2">
        <v>2</v>
      </c>
      <c r="D490" s="23">
        <v>13.99</v>
      </c>
      <c r="E490" s="3">
        <v>27.98</v>
      </c>
      <c r="F490" s="2" t="s">
        <v>16432</v>
      </c>
      <c r="G490" s="22" t="s">
        <v>19315</v>
      </c>
      <c r="H490" s="24" t="s">
        <v>19361</v>
      </c>
      <c r="I490" s="22" t="s">
        <v>19309</v>
      </c>
      <c r="J490" s="22" t="s">
        <v>19815</v>
      </c>
      <c r="K490" s="22" t="s">
        <v>19816</v>
      </c>
      <c r="L490" s="22"/>
      <c r="M490" s="22"/>
      <c r="N490" s="25" t="str">
        <f>HYPERLINK("http://slimages.macys.com/is/image/MCY/21278560 ")</f>
        <v xml:space="preserve">http://slimages.macys.com/is/image/MCY/21278560 </v>
      </c>
    </row>
    <row r="491" spans="1:14" ht="24.75" x14ac:dyDescent="0.25">
      <c r="A491" s="21" t="s">
        <v>6997</v>
      </c>
      <c r="B491" s="22" t="s">
        <v>6998</v>
      </c>
      <c r="C491" s="2">
        <v>2</v>
      </c>
      <c r="D491" s="23">
        <v>13.99</v>
      </c>
      <c r="E491" s="3">
        <v>27.98</v>
      </c>
      <c r="F491" s="2" t="s">
        <v>16432</v>
      </c>
      <c r="G491" s="22" t="s">
        <v>19315</v>
      </c>
      <c r="H491" s="24" t="s">
        <v>19392</v>
      </c>
      <c r="I491" s="22" t="s">
        <v>19309</v>
      </c>
      <c r="J491" s="22" t="s">
        <v>19815</v>
      </c>
      <c r="K491" s="22" t="s">
        <v>19816</v>
      </c>
      <c r="L491" s="22"/>
      <c r="M491" s="22"/>
      <c r="N491" s="25" t="str">
        <f>HYPERLINK("http://slimages.macys.com/is/image/MCY/1290400 ")</f>
        <v xml:space="preserve">http://slimages.macys.com/is/image/MCY/1290400 </v>
      </c>
    </row>
    <row r="492" spans="1:14" ht="24.75" x14ac:dyDescent="0.25">
      <c r="A492" s="21" t="s">
        <v>6999</v>
      </c>
      <c r="B492" s="22" t="s">
        <v>7000</v>
      </c>
      <c r="C492" s="2">
        <v>1</v>
      </c>
      <c r="D492" s="23">
        <v>13.99</v>
      </c>
      <c r="E492" s="3">
        <v>13.99</v>
      </c>
      <c r="F492" s="2" t="s">
        <v>16432</v>
      </c>
      <c r="G492" s="22" t="s">
        <v>19315</v>
      </c>
      <c r="H492" s="24" t="s">
        <v>19907</v>
      </c>
      <c r="I492" s="22" t="s">
        <v>19309</v>
      </c>
      <c r="J492" s="22" t="s">
        <v>19815</v>
      </c>
      <c r="K492" s="22" t="s">
        <v>19816</v>
      </c>
      <c r="L492" s="22"/>
      <c r="M492" s="22"/>
      <c r="N492" s="25" t="str">
        <f>HYPERLINK("http://slimages.macys.com/is/image/MCY/1290400 ")</f>
        <v xml:space="preserve">http://slimages.macys.com/is/image/MCY/1290400 </v>
      </c>
    </row>
    <row r="493" spans="1:14" x14ac:dyDescent="0.25">
      <c r="A493" s="21" t="s">
        <v>12483</v>
      </c>
      <c r="B493" s="22" t="s">
        <v>12484</v>
      </c>
      <c r="C493" s="2">
        <v>1</v>
      </c>
      <c r="D493" s="23">
        <v>8.33</v>
      </c>
      <c r="E493" s="3">
        <v>8.33</v>
      </c>
      <c r="F493" s="2" t="s">
        <v>16437</v>
      </c>
      <c r="G493" s="22" t="s">
        <v>19801</v>
      </c>
      <c r="H493" s="24" t="s">
        <v>18530</v>
      </c>
      <c r="I493" s="22" t="s">
        <v>19309</v>
      </c>
      <c r="J493" s="22" t="s">
        <v>19514</v>
      </c>
      <c r="K493" s="22" t="s">
        <v>18514</v>
      </c>
      <c r="L493" s="22"/>
      <c r="M493" s="22"/>
      <c r="N493" s="25" t="str">
        <f>HYPERLINK("http://slimages.macys.com/is/image/MCY/21511198 ")</f>
        <v xml:space="preserve">http://slimages.macys.com/is/image/MCY/21511198 </v>
      </c>
    </row>
    <row r="494" spans="1:14" ht="24.75" x14ac:dyDescent="0.25">
      <c r="A494" s="21" t="s">
        <v>18907</v>
      </c>
      <c r="B494" s="22" t="s">
        <v>18908</v>
      </c>
      <c r="C494" s="2">
        <v>1</v>
      </c>
      <c r="D494" s="23">
        <v>8.99</v>
      </c>
      <c r="E494" s="3">
        <v>8.99</v>
      </c>
      <c r="F494" s="2" t="s">
        <v>18909</v>
      </c>
      <c r="G494" s="22" t="s">
        <v>19518</v>
      </c>
      <c r="H494" s="24" t="s">
        <v>19364</v>
      </c>
      <c r="I494" s="22" t="s">
        <v>19309</v>
      </c>
      <c r="J494" s="22" t="s">
        <v>19815</v>
      </c>
      <c r="K494" s="22" t="s">
        <v>19816</v>
      </c>
      <c r="L494" s="22"/>
      <c r="M494" s="22"/>
      <c r="N494" s="25" t="str">
        <f>HYPERLINK("http://slimages.macys.com/is/image/MCY/20454073 ")</f>
        <v xml:space="preserve">http://slimages.macys.com/is/image/MCY/20454073 </v>
      </c>
    </row>
    <row r="495" spans="1:14" x14ac:dyDescent="0.25">
      <c r="A495" s="21" t="s">
        <v>18839</v>
      </c>
      <c r="B495" s="22" t="s">
        <v>18840</v>
      </c>
      <c r="C495" s="2">
        <v>7</v>
      </c>
      <c r="D495" s="23">
        <v>6.99</v>
      </c>
      <c r="E495" s="3">
        <v>48.93</v>
      </c>
      <c r="F495" s="2" t="s">
        <v>18841</v>
      </c>
      <c r="G495" s="22" t="s">
        <v>19467</v>
      </c>
      <c r="H495" s="24" t="s">
        <v>19352</v>
      </c>
      <c r="I495" s="22" t="s">
        <v>19309</v>
      </c>
      <c r="J495" s="22" t="s">
        <v>19849</v>
      </c>
      <c r="K495" s="22" t="s">
        <v>19850</v>
      </c>
      <c r="L495" s="22"/>
      <c r="M495" s="22"/>
      <c r="N495" s="25" t="str">
        <f>HYPERLINK("http://slimages.macys.com/is/image/MCY/19965819 ")</f>
        <v xml:space="preserve">http://slimages.macys.com/is/image/MCY/19965819 </v>
      </c>
    </row>
    <row r="496" spans="1:14" x14ac:dyDescent="0.25">
      <c r="A496" s="21" t="s">
        <v>9105</v>
      </c>
      <c r="B496" s="22" t="s">
        <v>9106</v>
      </c>
      <c r="C496" s="2">
        <v>5</v>
      </c>
      <c r="D496" s="23">
        <v>6.99</v>
      </c>
      <c r="E496" s="3">
        <v>34.950000000000003</v>
      </c>
      <c r="F496" s="2" t="s">
        <v>18841</v>
      </c>
      <c r="G496" s="22" t="s">
        <v>19467</v>
      </c>
      <c r="H496" s="24" t="s">
        <v>19364</v>
      </c>
      <c r="I496" s="22" t="s">
        <v>19309</v>
      </c>
      <c r="J496" s="22" t="s">
        <v>19849</v>
      </c>
      <c r="K496" s="22" t="s">
        <v>19850</v>
      </c>
      <c r="L496" s="22"/>
      <c r="M496" s="22"/>
      <c r="N496" s="25" t="str">
        <f>HYPERLINK("http://slimages.macys.com/is/image/MCY/19068309 ")</f>
        <v xml:space="preserve">http://slimages.macys.com/is/image/MCY/19068309 </v>
      </c>
    </row>
    <row r="497" spans="1:14" x14ac:dyDescent="0.25">
      <c r="A497" s="21" t="s">
        <v>9111</v>
      </c>
      <c r="B497" s="22" t="s">
        <v>9112</v>
      </c>
      <c r="C497" s="2">
        <v>1</v>
      </c>
      <c r="D497" s="23">
        <v>6.99</v>
      </c>
      <c r="E497" s="3">
        <v>6.99</v>
      </c>
      <c r="F497" s="2" t="s">
        <v>18841</v>
      </c>
      <c r="G497" s="22" t="s">
        <v>19674</v>
      </c>
      <c r="H497" s="24" t="s">
        <v>19797</v>
      </c>
      <c r="I497" s="22" t="s">
        <v>19309</v>
      </c>
      <c r="J497" s="22" t="s">
        <v>19849</v>
      </c>
      <c r="K497" s="22" t="s">
        <v>19850</v>
      </c>
      <c r="L497" s="22"/>
      <c r="M497" s="22"/>
      <c r="N497" s="25" t="str">
        <f>HYPERLINK("http://slimages.macys.com/is/image/MCY/19068309 ")</f>
        <v xml:space="preserve">http://slimages.macys.com/is/image/MCY/19068309 </v>
      </c>
    </row>
    <row r="498" spans="1:14" x14ac:dyDescent="0.25">
      <c r="A498" s="21" t="s">
        <v>10034</v>
      </c>
      <c r="B498" s="22" t="s">
        <v>10035</v>
      </c>
      <c r="C498" s="2">
        <v>2</v>
      </c>
      <c r="D498" s="23">
        <v>6.99</v>
      </c>
      <c r="E498" s="3">
        <v>13.98</v>
      </c>
      <c r="F498" s="2" t="s">
        <v>18841</v>
      </c>
      <c r="G498" s="22" t="s">
        <v>19467</v>
      </c>
      <c r="H498" s="24" t="s">
        <v>19339</v>
      </c>
      <c r="I498" s="22" t="s">
        <v>19309</v>
      </c>
      <c r="J498" s="22" t="s">
        <v>19849</v>
      </c>
      <c r="K498" s="22" t="s">
        <v>19850</v>
      </c>
      <c r="L498" s="22"/>
      <c r="M498" s="22"/>
      <c r="N498" s="25" t="str">
        <f>HYPERLINK("http://slimages.macys.com/is/image/MCY/19965819 ")</f>
        <v xml:space="preserve">http://slimages.macys.com/is/image/MCY/19965819 </v>
      </c>
    </row>
    <row r="499" spans="1:14" x14ac:dyDescent="0.25">
      <c r="A499" s="21" t="s">
        <v>18844</v>
      </c>
      <c r="B499" s="22" t="s">
        <v>18845</v>
      </c>
      <c r="C499" s="2">
        <v>3</v>
      </c>
      <c r="D499" s="23">
        <v>6.99</v>
      </c>
      <c r="E499" s="3">
        <v>20.97</v>
      </c>
      <c r="F499" s="2" t="s">
        <v>18841</v>
      </c>
      <c r="G499" s="22" t="s">
        <v>19467</v>
      </c>
      <c r="H499" s="24" t="s">
        <v>19797</v>
      </c>
      <c r="I499" s="22" t="s">
        <v>19309</v>
      </c>
      <c r="J499" s="22" t="s">
        <v>19849</v>
      </c>
      <c r="K499" s="22" t="s">
        <v>19850</v>
      </c>
      <c r="L499" s="22"/>
      <c r="M499" s="22"/>
      <c r="N499" s="25" t="str">
        <f>HYPERLINK("http://slimages.macys.com/is/image/MCY/19965819 ")</f>
        <v xml:space="preserve">http://slimages.macys.com/is/image/MCY/19965819 </v>
      </c>
    </row>
    <row r="500" spans="1:14" x14ac:dyDescent="0.25">
      <c r="A500" s="21" t="s">
        <v>7001</v>
      </c>
      <c r="B500" s="22" t="s">
        <v>7002</v>
      </c>
      <c r="C500" s="2">
        <v>2</v>
      </c>
      <c r="D500" s="23">
        <v>11.99</v>
      </c>
      <c r="E500" s="3">
        <v>23.98</v>
      </c>
      <c r="F500" s="2" t="s">
        <v>16849</v>
      </c>
      <c r="G500" s="22" t="s">
        <v>19674</v>
      </c>
      <c r="H500" s="24" t="s">
        <v>19364</v>
      </c>
      <c r="I500" s="22" t="s">
        <v>19309</v>
      </c>
      <c r="J500" s="22" t="s">
        <v>19849</v>
      </c>
      <c r="K500" s="22" t="s">
        <v>19850</v>
      </c>
      <c r="L500" s="22"/>
      <c r="M500" s="22"/>
      <c r="N500" s="25" t="str">
        <f>HYPERLINK("http://slimages.macys.com/is/image/MCY/1523123 ")</f>
        <v xml:space="preserve">http://slimages.macys.com/is/image/MCY/1523123 </v>
      </c>
    </row>
    <row r="501" spans="1:14" x14ac:dyDescent="0.25">
      <c r="A501" s="21" t="s">
        <v>16847</v>
      </c>
      <c r="B501" s="22" t="s">
        <v>16848</v>
      </c>
      <c r="C501" s="2">
        <v>2</v>
      </c>
      <c r="D501" s="23">
        <v>11.99</v>
      </c>
      <c r="E501" s="3">
        <v>23.98</v>
      </c>
      <c r="F501" s="2" t="s">
        <v>16849</v>
      </c>
      <c r="G501" s="22" t="s">
        <v>19674</v>
      </c>
      <c r="H501" s="24" t="s">
        <v>19797</v>
      </c>
      <c r="I501" s="22" t="s">
        <v>19309</v>
      </c>
      <c r="J501" s="22" t="s">
        <v>19849</v>
      </c>
      <c r="K501" s="22" t="s">
        <v>19850</v>
      </c>
      <c r="L501" s="22"/>
      <c r="M501" s="22"/>
      <c r="N501" s="25" t="str">
        <f>HYPERLINK("http://slimages.macys.com/is/image/MCY/1523123 ")</f>
        <v xml:space="preserve">http://slimages.macys.com/is/image/MCY/1523123 </v>
      </c>
    </row>
    <row r="502" spans="1:14" x14ac:dyDescent="0.25">
      <c r="A502" s="21" t="s">
        <v>16440</v>
      </c>
      <c r="B502" s="22" t="s">
        <v>16441</v>
      </c>
      <c r="C502" s="2">
        <v>4</v>
      </c>
      <c r="D502" s="23">
        <v>11.99</v>
      </c>
      <c r="E502" s="3">
        <v>47.96</v>
      </c>
      <c r="F502" s="2" t="s">
        <v>16849</v>
      </c>
      <c r="G502" s="22" t="s">
        <v>19674</v>
      </c>
      <c r="H502" s="24" t="s">
        <v>19352</v>
      </c>
      <c r="I502" s="22" t="s">
        <v>19309</v>
      </c>
      <c r="J502" s="22" t="s">
        <v>19849</v>
      </c>
      <c r="K502" s="22" t="s">
        <v>19850</v>
      </c>
      <c r="L502" s="22"/>
      <c r="M502" s="22"/>
      <c r="N502" s="25" t="str">
        <f>HYPERLINK("http://slimages.macys.com/is/image/MCY/1523123 ")</f>
        <v xml:space="preserve">http://slimages.macys.com/is/image/MCY/1523123 </v>
      </c>
    </row>
    <row r="503" spans="1:14" x14ac:dyDescent="0.25">
      <c r="A503" s="21" t="s">
        <v>7003</v>
      </c>
      <c r="B503" s="22" t="s">
        <v>7004</v>
      </c>
      <c r="C503" s="2">
        <v>1</v>
      </c>
      <c r="D503" s="23">
        <v>9.99</v>
      </c>
      <c r="E503" s="3">
        <v>9.99</v>
      </c>
      <c r="F503" s="2" t="s">
        <v>16855</v>
      </c>
      <c r="G503" s="22" t="s">
        <v>19431</v>
      </c>
      <c r="H503" s="24" t="s">
        <v>20089</v>
      </c>
      <c r="I503" s="22" t="s">
        <v>19309</v>
      </c>
      <c r="J503" s="22" t="s">
        <v>19849</v>
      </c>
      <c r="K503" s="22" t="s">
        <v>19850</v>
      </c>
      <c r="L503" s="22"/>
      <c r="M503" s="22"/>
      <c r="N503" s="25" t="str">
        <f>HYPERLINK("http://slimages.macys.com/is/image/MCY/20549003 ")</f>
        <v xml:space="preserve">http://slimages.macys.com/is/image/MCY/20549003 </v>
      </c>
    </row>
    <row r="504" spans="1:14" x14ac:dyDescent="0.25">
      <c r="A504" s="21" t="s">
        <v>16442</v>
      </c>
      <c r="B504" s="22" t="s">
        <v>16443</v>
      </c>
      <c r="C504" s="2">
        <v>1</v>
      </c>
      <c r="D504" s="23">
        <v>9.99</v>
      </c>
      <c r="E504" s="3">
        <v>9.99</v>
      </c>
      <c r="F504" s="2" t="s">
        <v>16855</v>
      </c>
      <c r="G504" s="22" t="s">
        <v>19674</v>
      </c>
      <c r="H504" s="24" t="s">
        <v>20089</v>
      </c>
      <c r="I504" s="22" t="s">
        <v>19309</v>
      </c>
      <c r="J504" s="22" t="s">
        <v>19849</v>
      </c>
      <c r="K504" s="22" t="s">
        <v>19850</v>
      </c>
      <c r="L504" s="22"/>
      <c r="M504" s="22"/>
      <c r="N504" s="25" t="str">
        <f>HYPERLINK("http://slimages.macys.com/is/image/MCY/20549003 ")</f>
        <v xml:space="preserve">http://slimages.macys.com/is/image/MCY/20549003 </v>
      </c>
    </row>
    <row r="505" spans="1:14" ht="24.75" x14ac:dyDescent="0.25">
      <c r="A505" s="21" t="s">
        <v>7005</v>
      </c>
      <c r="B505" s="22" t="s">
        <v>7006</v>
      </c>
      <c r="C505" s="2">
        <v>2</v>
      </c>
      <c r="D505" s="23">
        <v>7.99</v>
      </c>
      <c r="E505" s="3">
        <v>15.98</v>
      </c>
      <c r="F505" s="2" t="s">
        <v>18860</v>
      </c>
      <c r="G505" s="22" t="s">
        <v>19906</v>
      </c>
      <c r="H505" s="24" t="s">
        <v>19361</v>
      </c>
      <c r="I505" s="22" t="s">
        <v>19309</v>
      </c>
      <c r="J505" s="22" t="s">
        <v>19908</v>
      </c>
      <c r="K505" s="22" t="s">
        <v>19524</v>
      </c>
      <c r="L505" s="22"/>
      <c r="M505" s="22"/>
      <c r="N505" s="25" t="str">
        <f>HYPERLINK("http://slimages.macys.com/is/image/MCY/21727292 ")</f>
        <v xml:space="preserve">http://slimages.macys.com/is/image/MCY/21727292 </v>
      </c>
    </row>
    <row r="506" spans="1:14" ht="24.75" x14ac:dyDescent="0.25">
      <c r="A506" s="21" t="s">
        <v>14065</v>
      </c>
      <c r="B506" s="22" t="s">
        <v>14066</v>
      </c>
      <c r="C506" s="2">
        <v>1</v>
      </c>
      <c r="D506" s="23">
        <v>9.99</v>
      </c>
      <c r="E506" s="3">
        <v>9.99</v>
      </c>
      <c r="F506" s="2" t="s">
        <v>18863</v>
      </c>
      <c r="G506" s="22" t="s">
        <v>19333</v>
      </c>
      <c r="H506" s="24" t="s">
        <v>19364</v>
      </c>
      <c r="I506" s="22" t="s">
        <v>19309</v>
      </c>
      <c r="J506" s="22" t="s">
        <v>19353</v>
      </c>
      <c r="K506" s="22" t="s">
        <v>19524</v>
      </c>
      <c r="L506" s="22"/>
      <c r="M506" s="22"/>
      <c r="N506" s="25" t="str">
        <f>HYPERLINK("http://slimages.macys.com/is/image/MCY/21083396 ")</f>
        <v xml:space="preserve">http://slimages.macys.com/is/image/MCY/21083396 </v>
      </c>
    </row>
    <row r="507" spans="1:14" ht="24.75" x14ac:dyDescent="0.25">
      <c r="A507" s="21" t="s">
        <v>7007</v>
      </c>
      <c r="B507" s="22" t="s">
        <v>7008</v>
      </c>
      <c r="C507" s="2">
        <v>1</v>
      </c>
      <c r="D507" s="23">
        <v>7.99</v>
      </c>
      <c r="E507" s="3">
        <v>7.99</v>
      </c>
      <c r="F507" s="2" t="s">
        <v>18860</v>
      </c>
      <c r="G507" s="22" t="s">
        <v>19906</v>
      </c>
      <c r="H507" s="24" t="s">
        <v>19542</v>
      </c>
      <c r="I507" s="22" t="s">
        <v>19309</v>
      </c>
      <c r="J507" s="22" t="s">
        <v>19908</v>
      </c>
      <c r="K507" s="22" t="s">
        <v>19524</v>
      </c>
      <c r="L507" s="22"/>
      <c r="M507" s="22"/>
      <c r="N507" s="25" t="str">
        <f>HYPERLINK("http://slimages.macys.com/is/image/MCY/21727292 ")</f>
        <v xml:space="preserve">http://slimages.macys.com/is/image/MCY/21727292 </v>
      </c>
    </row>
    <row r="508" spans="1:14" ht="24.75" x14ac:dyDescent="0.25">
      <c r="A508" s="21" t="s">
        <v>18858</v>
      </c>
      <c r="B508" s="22" t="s">
        <v>18859</v>
      </c>
      <c r="C508" s="2">
        <v>1</v>
      </c>
      <c r="D508" s="23">
        <v>7.99</v>
      </c>
      <c r="E508" s="3">
        <v>7.99</v>
      </c>
      <c r="F508" s="2" t="s">
        <v>18860</v>
      </c>
      <c r="G508" s="22" t="s">
        <v>19906</v>
      </c>
      <c r="H508" s="24" t="s">
        <v>19907</v>
      </c>
      <c r="I508" s="22" t="s">
        <v>19309</v>
      </c>
      <c r="J508" s="22" t="s">
        <v>19908</v>
      </c>
      <c r="K508" s="22" t="s">
        <v>19524</v>
      </c>
      <c r="L508" s="22"/>
      <c r="M508" s="22"/>
      <c r="N508" s="25" t="str">
        <f>HYPERLINK("http://slimages.macys.com/is/image/MCY/21727292 ")</f>
        <v xml:space="preserve">http://slimages.macys.com/is/image/MCY/21727292 </v>
      </c>
    </row>
    <row r="509" spans="1:14" ht="24.75" x14ac:dyDescent="0.25">
      <c r="A509" s="21" t="s">
        <v>16859</v>
      </c>
      <c r="B509" s="22" t="s">
        <v>16860</v>
      </c>
      <c r="C509" s="2">
        <v>2</v>
      </c>
      <c r="D509" s="23">
        <v>7.99</v>
      </c>
      <c r="E509" s="3">
        <v>15.98</v>
      </c>
      <c r="F509" s="2" t="s">
        <v>18860</v>
      </c>
      <c r="G509" s="22" t="s">
        <v>19906</v>
      </c>
      <c r="H509" s="24" t="s">
        <v>20089</v>
      </c>
      <c r="I509" s="22" t="s">
        <v>19309</v>
      </c>
      <c r="J509" s="22" t="s">
        <v>19908</v>
      </c>
      <c r="K509" s="22" t="s">
        <v>19524</v>
      </c>
      <c r="L509" s="22"/>
      <c r="M509" s="22"/>
      <c r="N509" s="25" t="str">
        <f>HYPERLINK("http://slimages.macys.com/is/image/MCY/21727292 ")</f>
        <v xml:space="preserve">http://slimages.macys.com/is/image/MCY/21727292 </v>
      </c>
    </row>
    <row r="510" spans="1:14" ht="24.75" x14ac:dyDescent="0.25">
      <c r="A510" s="21" t="s">
        <v>14069</v>
      </c>
      <c r="B510" s="22" t="s">
        <v>14070</v>
      </c>
      <c r="C510" s="2">
        <v>1</v>
      </c>
      <c r="D510" s="23">
        <v>9.99</v>
      </c>
      <c r="E510" s="3">
        <v>9.99</v>
      </c>
      <c r="F510" s="2" t="s">
        <v>16863</v>
      </c>
      <c r="G510" s="22" t="s">
        <v>19462</v>
      </c>
      <c r="H510" s="24" t="s">
        <v>19364</v>
      </c>
      <c r="I510" s="22" t="s">
        <v>19309</v>
      </c>
      <c r="J510" s="22" t="s">
        <v>19353</v>
      </c>
      <c r="K510" s="22" t="s">
        <v>19524</v>
      </c>
      <c r="L510" s="22"/>
      <c r="M510" s="22"/>
      <c r="N510" s="25" t="str">
        <f>HYPERLINK("http://slimages.macys.com/is/image/MCY/1472574 ")</f>
        <v xml:space="preserve">http://slimages.macys.com/is/image/MCY/1472574 </v>
      </c>
    </row>
    <row r="511" spans="1:14" ht="24.75" x14ac:dyDescent="0.25">
      <c r="A511" s="21" t="s">
        <v>7009</v>
      </c>
      <c r="B511" s="22" t="s">
        <v>7010</v>
      </c>
      <c r="C511" s="2">
        <v>1</v>
      </c>
      <c r="D511" s="23">
        <v>10.99</v>
      </c>
      <c r="E511" s="3">
        <v>10.99</v>
      </c>
      <c r="F511" s="2" t="s">
        <v>16871</v>
      </c>
      <c r="G511" s="22" t="s">
        <v>19585</v>
      </c>
      <c r="H511" s="24" t="s">
        <v>19538</v>
      </c>
      <c r="I511" s="22" t="s">
        <v>19309</v>
      </c>
      <c r="J511" s="22" t="s">
        <v>19573</v>
      </c>
      <c r="K511" s="22" t="s">
        <v>19574</v>
      </c>
      <c r="L511" s="22"/>
      <c r="M511" s="22"/>
      <c r="N511" s="25" t="str">
        <f>HYPERLINK("http://slimages.macys.com/is/image/MCY/1116983 ")</f>
        <v xml:space="preserve">http://slimages.macys.com/is/image/MCY/1116983 </v>
      </c>
    </row>
    <row r="512" spans="1:14" ht="24.75" x14ac:dyDescent="0.25">
      <c r="A512" s="21" t="s">
        <v>7011</v>
      </c>
      <c r="B512" s="22" t="s">
        <v>7012</v>
      </c>
      <c r="C512" s="2">
        <v>1</v>
      </c>
      <c r="D512" s="23">
        <v>11.99</v>
      </c>
      <c r="E512" s="3">
        <v>11.99</v>
      </c>
      <c r="F512" s="2" t="s">
        <v>16453</v>
      </c>
      <c r="G512" s="22" t="s">
        <v>19674</v>
      </c>
      <c r="H512" s="24"/>
      <c r="I512" s="22" t="s">
        <v>19309</v>
      </c>
      <c r="J512" s="22" t="s">
        <v>19573</v>
      </c>
      <c r="K512" s="22" t="s">
        <v>19574</v>
      </c>
      <c r="L512" s="22"/>
      <c r="M512" s="22"/>
      <c r="N512" s="25" t="str">
        <f>HYPERLINK("http://slimages.macys.com/is/image/MCY/1427609 ")</f>
        <v xml:space="preserve">http://slimages.macys.com/is/image/MCY/1427609 </v>
      </c>
    </row>
    <row r="513" spans="1:14" x14ac:dyDescent="0.25">
      <c r="A513" s="21" t="s">
        <v>10043</v>
      </c>
      <c r="B513" s="22" t="s">
        <v>10044</v>
      </c>
      <c r="C513" s="2">
        <v>1</v>
      </c>
      <c r="D513" s="23">
        <v>9.99</v>
      </c>
      <c r="E513" s="3">
        <v>9.99</v>
      </c>
      <c r="F513" s="2" t="s">
        <v>18869</v>
      </c>
      <c r="G513" s="22" t="s">
        <v>19351</v>
      </c>
      <c r="H513" s="24" t="s">
        <v>19377</v>
      </c>
      <c r="I513" s="22" t="s">
        <v>19309</v>
      </c>
      <c r="J513" s="22" t="s">
        <v>19849</v>
      </c>
      <c r="K513" s="22" t="s">
        <v>19850</v>
      </c>
      <c r="L513" s="22"/>
      <c r="M513" s="22"/>
      <c r="N513" s="25" t="str">
        <f>HYPERLINK("http://slimages.macys.com/is/image/MCY/21351556 ")</f>
        <v xml:space="preserve">http://slimages.macys.com/is/image/MCY/21351556 </v>
      </c>
    </row>
    <row r="514" spans="1:14" ht="24.75" x14ac:dyDescent="0.25">
      <c r="A514" s="21" t="s">
        <v>7013</v>
      </c>
      <c r="B514" s="22" t="s">
        <v>7014</v>
      </c>
      <c r="C514" s="2">
        <v>1</v>
      </c>
      <c r="D514" s="23">
        <v>9.99</v>
      </c>
      <c r="E514" s="3">
        <v>9.99</v>
      </c>
      <c r="F514" s="2" t="s">
        <v>18881</v>
      </c>
      <c r="G514" s="22" t="s">
        <v>19422</v>
      </c>
      <c r="H514" s="24" t="s">
        <v>19364</v>
      </c>
      <c r="I514" s="22" t="s">
        <v>19309</v>
      </c>
      <c r="J514" s="22" t="s">
        <v>19353</v>
      </c>
      <c r="K514" s="22" t="s">
        <v>19524</v>
      </c>
      <c r="L514" s="22"/>
      <c r="M514" s="22"/>
      <c r="N514" s="25" t="str">
        <f>HYPERLINK("http://slimages.macys.com/is/image/MCY/1472542 ")</f>
        <v xml:space="preserve">http://slimages.macys.com/is/image/MCY/1472542 </v>
      </c>
    </row>
    <row r="515" spans="1:14" ht="24.75" x14ac:dyDescent="0.25">
      <c r="A515" s="21" t="s">
        <v>8449</v>
      </c>
      <c r="B515" s="22" t="s">
        <v>8450</v>
      </c>
      <c r="C515" s="2">
        <v>1</v>
      </c>
      <c r="D515" s="23">
        <v>8.99</v>
      </c>
      <c r="E515" s="3">
        <v>8.99</v>
      </c>
      <c r="F515" s="2" t="s">
        <v>16881</v>
      </c>
      <c r="G515" s="22" t="s">
        <v>19431</v>
      </c>
      <c r="H515" s="24" t="s">
        <v>20135</v>
      </c>
      <c r="I515" s="22" t="s">
        <v>19309</v>
      </c>
      <c r="J515" s="22" t="s">
        <v>19815</v>
      </c>
      <c r="K515" s="22" t="s">
        <v>19816</v>
      </c>
      <c r="L515" s="22"/>
      <c r="M515" s="22"/>
      <c r="N515" s="25" t="str">
        <f>HYPERLINK("http://slimages.macys.com/is/image/MCY/1505064 ")</f>
        <v xml:space="preserve">http://slimages.macys.com/is/image/MCY/1505064 </v>
      </c>
    </row>
    <row r="516" spans="1:14" x14ac:dyDescent="0.25">
      <c r="A516" s="21" t="s">
        <v>16464</v>
      </c>
      <c r="B516" s="22" t="s">
        <v>16465</v>
      </c>
      <c r="C516" s="2">
        <v>1</v>
      </c>
      <c r="D516" s="23">
        <v>9.99</v>
      </c>
      <c r="E516" s="3">
        <v>9.99</v>
      </c>
      <c r="F516" s="2" t="s">
        <v>16466</v>
      </c>
      <c r="G516" s="22" t="s">
        <v>19674</v>
      </c>
      <c r="H516" s="24" t="s">
        <v>20135</v>
      </c>
      <c r="I516" s="22" t="s">
        <v>19309</v>
      </c>
      <c r="J516" s="22" t="s">
        <v>19849</v>
      </c>
      <c r="K516" s="22" t="s">
        <v>19850</v>
      </c>
      <c r="L516" s="22"/>
      <c r="M516" s="22"/>
      <c r="N516" s="25" t="str">
        <f>HYPERLINK("http://slimages.macys.com/is/image/MCY/21351561 ")</f>
        <v xml:space="preserve">http://slimages.macys.com/is/image/MCY/21351561 </v>
      </c>
    </row>
    <row r="517" spans="1:14" ht="24.75" x14ac:dyDescent="0.25">
      <c r="A517" s="21" t="s">
        <v>16467</v>
      </c>
      <c r="B517" s="22" t="s">
        <v>14620</v>
      </c>
      <c r="C517" s="2">
        <v>1</v>
      </c>
      <c r="D517" s="23">
        <v>7.99</v>
      </c>
      <c r="E517" s="3">
        <v>7.99</v>
      </c>
      <c r="F517" s="2" t="s">
        <v>16892</v>
      </c>
      <c r="G517" s="22" t="s">
        <v>19814</v>
      </c>
      <c r="H517" s="24" t="s">
        <v>19542</v>
      </c>
      <c r="I517" s="22" t="s">
        <v>19309</v>
      </c>
      <c r="J517" s="22" t="s">
        <v>19815</v>
      </c>
      <c r="K517" s="22" t="s">
        <v>19816</v>
      </c>
      <c r="L517" s="22"/>
      <c r="M517" s="22"/>
      <c r="N517" s="25" t="str">
        <f>HYPERLINK("http://slimages.macys.com/is/image/MCY/1695984 ")</f>
        <v xml:space="preserve">http://slimages.macys.com/is/image/MCY/1695984 </v>
      </c>
    </row>
    <row r="518" spans="1:14" ht="24.75" x14ac:dyDescent="0.25">
      <c r="A518" s="21" t="s">
        <v>7015</v>
      </c>
      <c r="B518" s="22" t="s">
        <v>7016</v>
      </c>
      <c r="C518" s="2">
        <v>2</v>
      </c>
      <c r="D518" s="23">
        <v>7.99</v>
      </c>
      <c r="E518" s="3">
        <v>15.98</v>
      </c>
      <c r="F518" s="2" t="s">
        <v>7017</v>
      </c>
      <c r="G518" s="22" t="s">
        <v>19462</v>
      </c>
      <c r="H518" s="24" t="s">
        <v>20089</v>
      </c>
      <c r="I518" s="22" t="s">
        <v>19309</v>
      </c>
      <c r="J518" s="22" t="s">
        <v>19908</v>
      </c>
      <c r="K518" s="22" t="s">
        <v>19524</v>
      </c>
      <c r="L518" s="22"/>
      <c r="M518" s="22"/>
      <c r="N518" s="25" t="str">
        <f>HYPERLINK("http://slimages.macys.com/is/image/MCY/21991517 ")</f>
        <v xml:space="preserve">http://slimages.macys.com/is/image/MCY/21991517 </v>
      </c>
    </row>
    <row r="519" spans="1:14" ht="24.75" x14ac:dyDescent="0.25">
      <c r="A519" s="21" t="s">
        <v>7018</v>
      </c>
      <c r="B519" s="22" t="s">
        <v>7019</v>
      </c>
      <c r="C519" s="2">
        <v>1</v>
      </c>
      <c r="D519" s="23">
        <v>7.99</v>
      </c>
      <c r="E519" s="3">
        <v>7.99</v>
      </c>
      <c r="F519" s="2" t="s">
        <v>18889</v>
      </c>
      <c r="G519" s="22" t="s">
        <v>19674</v>
      </c>
      <c r="H519" s="24" t="s">
        <v>19907</v>
      </c>
      <c r="I519" s="22" t="s">
        <v>19309</v>
      </c>
      <c r="J519" s="22" t="s">
        <v>19908</v>
      </c>
      <c r="K519" s="22" t="s">
        <v>19524</v>
      </c>
      <c r="L519" s="22"/>
      <c r="M519" s="22"/>
      <c r="N519" s="25" t="str">
        <f>HYPERLINK("http://slimages.macys.com/is/image/MCY/21573922 ")</f>
        <v xml:space="preserve">http://slimages.macys.com/is/image/MCY/21573922 </v>
      </c>
    </row>
    <row r="520" spans="1:14" ht="24.75" x14ac:dyDescent="0.25">
      <c r="A520" s="21" t="s">
        <v>7020</v>
      </c>
      <c r="B520" s="22" t="s">
        <v>7021</v>
      </c>
      <c r="C520" s="2">
        <v>1</v>
      </c>
      <c r="D520" s="23">
        <v>7.99</v>
      </c>
      <c r="E520" s="3">
        <v>7.99</v>
      </c>
      <c r="F520" s="2" t="s">
        <v>16906</v>
      </c>
      <c r="G520" s="22" t="s">
        <v>19906</v>
      </c>
      <c r="H520" s="24" t="s">
        <v>20135</v>
      </c>
      <c r="I520" s="22" t="s">
        <v>19309</v>
      </c>
      <c r="J520" s="22" t="s">
        <v>19908</v>
      </c>
      <c r="K520" s="22" t="s">
        <v>19524</v>
      </c>
      <c r="L520" s="22"/>
      <c r="M520" s="22"/>
      <c r="N520" s="25" t="str">
        <f>HYPERLINK("http://slimages.macys.com/is/image/MCY/21991517 ")</f>
        <v xml:space="preserve">http://slimages.macys.com/is/image/MCY/21991517 </v>
      </c>
    </row>
    <row r="521" spans="1:14" ht="24.75" x14ac:dyDescent="0.25">
      <c r="A521" s="21" t="s">
        <v>7848</v>
      </c>
      <c r="B521" s="22" t="s">
        <v>7849</v>
      </c>
      <c r="C521" s="2">
        <v>1</v>
      </c>
      <c r="D521" s="23">
        <v>7.99</v>
      </c>
      <c r="E521" s="3">
        <v>7.99</v>
      </c>
      <c r="F521" s="2" t="s">
        <v>7850</v>
      </c>
      <c r="G521" s="22" t="s">
        <v>19794</v>
      </c>
      <c r="H521" s="24" t="s">
        <v>19907</v>
      </c>
      <c r="I521" s="22" t="s">
        <v>19309</v>
      </c>
      <c r="J521" s="22" t="s">
        <v>19454</v>
      </c>
      <c r="K521" s="22" t="s">
        <v>19524</v>
      </c>
      <c r="L521" s="22"/>
      <c r="M521" s="22"/>
      <c r="N521" s="25" t="str">
        <f>HYPERLINK("http://slimages.macys.com/is/image/MCY/1472529 ")</f>
        <v xml:space="preserve">http://slimages.macys.com/is/image/MCY/1472529 </v>
      </c>
    </row>
    <row r="522" spans="1:14" ht="24.75" x14ac:dyDescent="0.25">
      <c r="A522" s="21" t="s">
        <v>7022</v>
      </c>
      <c r="B522" s="22" t="s">
        <v>7023</v>
      </c>
      <c r="C522" s="2">
        <v>2</v>
      </c>
      <c r="D522" s="23">
        <v>7.99</v>
      </c>
      <c r="E522" s="3">
        <v>15.98</v>
      </c>
      <c r="F522" s="2" t="s">
        <v>16906</v>
      </c>
      <c r="G522" s="22" t="s">
        <v>19906</v>
      </c>
      <c r="H522" s="24" t="s">
        <v>19907</v>
      </c>
      <c r="I522" s="22" t="s">
        <v>19309</v>
      </c>
      <c r="J522" s="22" t="s">
        <v>19908</v>
      </c>
      <c r="K522" s="22" t="s">
        <v>19524</v>
      </c>
      <c r="L522" s="22"/>
      <c r="M522" s="22"/>
      <c r="N522" s="25" t="str">
        <f>HYPERLINK("http://slimages.macys.com/is/image/MCY/21991517 ")</f>
        <v xml:space="preserve">http://slimages.macys.com/is/image/MCY/21991517 </v>
      </c>
    </row>
    <row r="523" spans="1:14" ht="24.75" x14ac:dyDescent="0.25">
      <c r="A523" s="21" t="s">
        <v>16896</v>
      </c>
      <c r="B523" s="22" t="s">
        <v>16897</v>
      </c>
      <c r="C523" s="2">
        <v>1</v>
      </c>
      <c r="D523" s="23">
        <v>7.99</v>
      </c>
      <c r="E523" s="3">
        <v>7.99</v>
      </c>
      <c r="F523" s="2" t="s">
        <v>16898</v>
      </c>
      <c r="G523" s="22" t="s">
        <v>19670</v>
      </c>
      <c r="H523" s="24" t="s">
        <v>20089</v>
      </c>
      <c r="I523" s="22" t="s">
        <v>19309</v>
      </c>
      <c r="J523" s="22" t="s">
        <v>19908</v>
      </c>
      <c r="K523" s="22" t="s">
        <v>19524</v>
      </c>
      <c r="L523" s="22"/>
      <c r="M523" s="22"/>
      <c r="N523" s="25" t="str">
        <f>HYPERLINK("http://slimages.macys.com/is/image/MCY/21727297 ")</f>
        <v xml:space="preserve">http://slimages.macys.com/is/image/MCY/21727297 </v>
      </c>
    </row>
    <row r="524" spans="1:14" ht="24.75" x14ac:dyDescent="0.25">
      <c r="A524" s="21" t="s">
        <v>10059</v>
      </c>
      <c r="B524" s="22" t="s">
        <v>10060</v>
      </c>
      <c r="C524" s="2">
        <v>1</v>
      </c>
      <c r="D524" s="23">
        <v>7.99</v>
      </c>
      <c r="E524" s="3">
        <v>7.99</v>
      </c>
      <c r="F524" s="2" t="s">
        <v>18889</v>
      </c>
      <c r="G524" s="22" t="s">
        <v>19333</v>
      </c>
      <c r="H524" s="24" t="s">
        <v>19361</v>
      </c>
      <c r="I524" s="22" t="s">
        <v>19309</v>
      </c>
      <c r="J524" s="22" t="s">
        <v>19908</v>
      </c>
      <c r="K524" s="22" t="s">
        <v>19524</v>
      </c>
      <c r="L524" s="22"/>
      <c r="M524" s="22"/>
      <c r="N524" s="25" t="str">
        <f>HYPERLINK("http://slimages.macys.com/is/image/MCY/1414223 ")</f>
        <v xml:space="preserve">http://slimages.macys.com/is/image/MCY/1414223 </v>
      </c>
    </row>
    <row r="525" spans="1:14" ht="24.75" x14ac:dyDescent="0.25">
      <c r="A525" s="21" t="s">
        <v>10057</v>
      </c>
      <c r="B525" s="22" t="s">
        <v>10058</v>
      </c>
      <c r="C525" s="2">
        <v>1</v>
      </c>
      <c r="D525" s="23">
        <v>7.99</v>
      </c>
      <c r="E525" s="3">
        <v>7.99</v>
      </c>
      <c r="F525" s="2" t="s">
        <v>16901</v>
      </c>
      <c r="G525" s="22" t="s">
        <v>18439</v>
      </c>
      <c r="H525" s="24" t="s">
        <v>19361</v>
      </c>
      <c r="I525" s="22" t="s">
        <v>19309</v>
      </c>
      <c r="J525" s="22" t="s">
        <v>19908</v>
      </c>
      <c r="K525" s="22" t="s">
        <v>19524</v>
      </c>
      <c r="L525" s="22"/>
      <c r="M525" s="22"/>
      <c r="N525" s="25" t="str">
        <f>HYPERLINK("http://slimages.macys.com/is/image/MCY/21727277 ")</f>
        <v xml:space="preserve">http://slimages.macys.com/is/image/MCY/21727277 </v>
      </c>
    </row>
    <row r="526" spans="1:14" ht="24.75" x14ac:dyDescent="0.25">
      <c r="A526" s="21" t="s">
        <v>7024</v>
      </c>
      <c r="B526" s="22" t="s">
        <v>7025</v>
      </c>
      <c r="C526" s="2">
        <v>2</v>
      </c>
      <c r="D526" s="23">
        <v>7.99</v>
      </c>
      <c r="E526" s="3">
        <v>15.98</v>
      </c>
      <c r="F526" s="2" t="s">
        <v>7017</v>
      </c>
      <c r="G526" s="22" t="s">
        <v>19462</v>
      </c>
      <c r="H526" s="24" t="s">
        <v>19361</v>
      </c>
      <c r="I526" s="22" t="s">
        <v>19309</v>
      </c>
      <c r="J526" s="22" t="s">
        <v>19908</v>
      </c>
      <c r="K526" s="22" t="s">
        <v>19524</v>
      </c>
      <c r="L526" s="22"/>
      <c r="M526" s="22"/>
      <c r="N526" s="25" t="str">
        <f>HYPERLINK("http://slimages.macys.com/is/image/MCY/21973870 ")</f>
        <v xml:space="preserve">http://slimages.macys.com/is/image/MCY/21973870 </v>
      </c>
    </row>
    <row r="527" spans="1:14" ht="24.75" x14ac:dyDescent="0.25">
      <c r="A527" s="21" t="s">
        <v>16909</v>
      </c>
      <c r="B527" s="22" t="s">
        <v>16910</v>
      </c>
      <c r="C527" s="2">
        <v>1</v>
      </c>
      <c r="D527" s="23">
        <v>7.99</v>
      </c>
      <c r="E527" s="3">
        <v>7.99</v>
      </c>
      <c r="F527" s="2" t="s">
        <v>16898</v>
      </c>
      <c r="G527" s="22" t="s">
        <v>19670</v>
      </c>
      <c r="H527" s="24" t="s">
        <v>19361</v>
      </c>
      <c r="I527" s="22" t="s">
        <v>19309</v>
      </c>
      <c r="J527" s="22" t="s">
        <v>19908</v>
      </c>
      <c r="K527" s="22" t="s">
        <v>19524</v>
      </c>
      <c r="L527" s="22"/>
      <c r="M527" s="22"/>
      <c r="N527" s="25" t="str">
        <f>HYPERLINK("http://slimages.macys.com/is/image/MCY/21727297 ")</f>
        <v xml:space="preserve">http://slimages.macys.com/is/image/MCY/21727297 </v>
      </c>
    </row>
    <row r="528" spans="1:14" ht="24.75" x14ac:dyDescent="0.25">
      <c r="A528" s="21" t="s">
        <v>18887</v>
      </c>
      <c r="B528" s="22" t="s">
        <v>18888</v>
      </c>
      <c r="C528" s="2">
        <v>1</v>
      </c>
      <c r="D528" s="23">
        <v>7.99</v>
      </c>
      <c r="E528" s="3">
        <v>7.99</v>
      </c>
      <c r="F528" s="2" t="s">
        <v>18889</v>
      </c>
      <c r="G528" s="22" t="s">
        <v>19674</v>
      </c>
      <c r="H528" s="24" t="s">
        <v>20089</v>
      </c>
      <c r="I528" s="22" t="s">
        <v>19309</v>
      </c>
      <c r="J528" s="22" t="s">
        <v>19908</v>
      </c>
      <c r="K528" s="22" t="s">
        <v>19524</v>
      </c>
      <c r="L528" s="22"/>
      <c r="M528" s="22"/>
      <c r="N528" s="25" t="str">
        <f>HYPERLINK("http://slimages.macys.com/is/image/MCY/21573922 ")</f>
        <v xml:space="preserve">http://slimages.macys.com/is/image/MCY/21573922 </v>
      </c>
    </row>
    <row r="529" spans="1:14" ht="24.75" x14ac:dyDescent="0.25">
      <c r="A529" s="21" t="s">
        <v>7026</v>
      </c>
      <c r="B529" s="22" t="s">
        <v>7027</v>
      </c>
      <c r="C529" s="2">
        <v>1</v>
      </c>
      <c r="D529" s="23">
        <v>7.99</v>
      </c>
      <c r="E529" s="3">
        <v>7.99</v>
      </c>
      <c r="F529" s="2" t="s">
        <v>18889</v>
      </c>
      <c r="G529" s="22" t="s">
        <v>19333</v>
      </c>
      <c r="H529" s="24" t="s">
        <v>20089</v>
      </c>
      <c r="I529" s="22" t="s">
        <v>19309</v>
      </c>
      <c r="J529" s="22" t="s">
        <v>19908</v>
      </c>
      <c r="K529" s="22" t="s">
        <v>19524</v>
      </c>
      <c r="L529" s="22"/>
      <c r="M529" s="22"/>
      <c r="N529" s="25" t="str">
        <f>HYPERLINK("http://slimages.macys.com/is/image/MCY/1414234 ")</f>
        <v xml:space="preserve">http://slimages.macys.com/is/image/MCY/1414234 </v>
      </c>
    </row>
    <row r="530" spans="1:14" x14ac:dyDescent="0.25">
      <c r="A530" s="21" t="s">
        <v>14648</v>
      </c>
      <c r="B530" s="22" t="s">
        <v>14649</v>
      </c>
      <c r="C530" s="2">
        <v>4</v>
      </c>
      <c r="D530" s="23">
        <v>11.99</v>
      </c>
      <c r="E530" s="3">
        <v>47.96</v>
      </c>
      <c r="F530" s="2" t="s">
        <v>14643</v>
      </c>
      <c r="G530" s="22" t="s">
        <v>19513</v>
      </c>
      <c r="H530" s="24" t="s">
        <v>19339</v>
      </c>
      <c r="I530" s="22" t="s">
        <v>19309</v>
      </c>
      <c r="J530" s="22" t="s">
        <v>19849</v>
      </c>
      <c r="K530" s="22" t="s">
        <v>19850</v>
      </c>
      <c r="L530" s="22"/>
      <c r="M530" s="22"/>
      <c r="N530" s="25" t="str">
        <f>HYPERLINK("http://slimages.macys.com/is/image/MCY/21278245 ")</f>
        <v xml:space="preserve">http://slimages.macys.com/is/image/MCY/21278245 </v>
      </c>
    </row>
    <row r="531" spans="1:14" x14ac:dyDescent="0.25">
      <c r="A531" s="21" t="s">
        <v>14641</v>
      </c>
      <c r="B531" s="22" t="s">
        <v>14642</v>
      </c>
      <c r="C531" s="2">
        <v>3</v>
      </c>
      <c r="D531" s="23">
        <v>11.99</v>
      </c>
      <c r="E531" s="3">
        <v>35.97</v>
      </c>
      <c r="F531" s="2" t="s">
        <v>14643</v>
      </c>
      <c r="G531" s="22" t="s">
        <v>19513</v>
      </c>
      <c r="H531" s="24" t="s">
        <v>19352</v>
      </c>
      <c r="I531" s="22" t="s">
        <v>19309</v>
      </c>
      <c r="J531" s="22" t="s">
        <v>19849</v>
      </c>
      <c r="K531" s="22" t="s">
        <v>19850</v>
      </c>
      <c r="L531" s="22"/>
      <c r="M531" s="22"/>
      <c r="N531" s="25" t="str">
        <f>HYPERLINK("http://slimages.macys.com/is/image/MCY/21278245 ")</f>
        <v xml:space="preserve">http://slimages.macys.com/is/image/MCY/21278245 </v>
      </c>
    </row>
    <row r="532" spans="1:14" x14ac:dyDescent="0.25">
      <c r="A532" s="21" t="s">
        <v>14646</v>
      </c>
      <c r="B532" s="22" t="s">
        <v>14647</v>
      </c>
      <c r="C532" s="2">
        <v>1</v>
      </c>
      <c r="D532" s="23">
        <v>11.99</v>
      </c>
      <c r="E532" s="3">
        <v>11.99</v>
      </c>
      <c r="F532" s="2" t="s">
        <v>14643</v>
      </c>
      <c r="G532" s="22" t="s">
        <v>19513</v>
      </c>
      <c r="H532" s="24" t="s">
        <v>19797</v>
      </c>
      <c r="I532" s="22" t="s">
        <v>19309</v>
      </c>
      <c r="J532" s="22" t="s">
        <v>19849</v>
      </c>
      <c r="K532" s="22" t="s">
        <v>19850</v>
      </c>
      <c r="L532" s="22"/>
      <c r="M532" s="22"/>
      <c r="N532" s="25" t="str">
        <f>HYPERLINK("http://slimages.macys.com/is/image/MCY/21278245 ")</f>
        <v xml:space="preserve">http://slimages.macys.com/is/image/MCY/21278245 </v>
      </c>
    </row>
    <row r="533" spans="1:14" ht="24.75" x14ac:dyDescent="0.25">
      <c r="A533" s="21" t="s">
        <v>7028</v>
      </c>
      <c r="B533" s="22" t="s">
        <v>7029</v>
      </c>
      <c r="C533" s="2">
        <v>1</v>
      </c>
      <c r="D533" s="23">
        <v>7.99</v>
      </c>
      <c r="E533" s="3">
        <v>7.99</v>
      </c>
      <c r="F533" s="2" t="s">
        <v>13393</v>
      </c>
      <c r="G533" s="22" t="s">
        <v>19315</v>
      </c>
      <c r="H533" s="24" t="s">
        <v>20135</v>
      </c>
      <c r="I533" s="22" t="s">
        <v>19309</v>
      </c>
      <c r="J533" s="22" t="s">
        <v>19454</v>
      </c>
      <c r="K533" s="22" t="s">
        <v>19524</v>
      </c>
      <c r="L533" s="22"/>
      <c r="M533" s="22"/>
      <c r="N533" s="25" t="str">
        <f>HYPERLINK("http://slimages.macys.com/is/image/MCY/21265950 ")</f>
        <v xml:space="preserve">http://slimages.macys.com/is/image/MCY/21265950 </v>
      </c>
    </row>
    <row r="534" spans="1:14" ht="24.75" x14ac:dyDescent="0.25">
      <c r="A534" s="21" t="s">
        <v>7030</v>
      </c>
      <c r="B534" s="22" t="s">
        <v>7031</v>
      </c>
      <c r="C534" s="2">
        <v>1</v>
      </c>
      <c r="D534" s="23">
        <v>7.99</v>
      </c>
      <c r="E534" s="3">
        <v>7.99</v>
      </c>
      <c r="F534" s="2" t="s">
        <v>14652</v>
      </c>
      <c r="G534" s="22" t="s">
        <v>19422</v>
      </c>
      <c r="H534" s="24" t="s">
        <v>20089</v>
      </c>
      <c r="I534" s="22" t="s">
        <v>19309</v>
      </c>
      <c r="J534" s="22" t="s">
        <v>19908</v>
      </c>
      <c r="K534" s="22" t="s">
        <v>19524</v>
      </c>
      <c r="L534" s="22"/>
      <c r="M534" s="22"/>
      <c r="N534" s="25" t="str">
        <f>HYPERLINK("http://slimages.macys.com/is/image/MCY/21070282 ")</f>
        <v xml:space="preserve">http://slimages.macys.com/is/image/MCY/21070282 </v>
      </c>
    </row>
    <row r="535" spans="1:14" ht="24.75" x14ac:dyDescent="0.25">
      <c r="A535" s="21" t="s">
        <v>7032</v>
      </c>
      <c r="B535" s="22" t="s">
        <v>7033</v>
      </c>
      <c r="C535" s="2">
        <v>1</v>
      </c>
      <c r="D535" s="23">
        <v>7.99</v>
      </c>
      <c r="E535" s="3">
        <v>7.99</v>
      </c>
      <c r="F535" s="2" t="s">
        <v>10063</v>
      </c>
      <c r="G535" s="22" t="s">
        <v>19338</v>
      </c>
      <c r="H535" s="24" t="s">
        <v>20135</v>
      </c>
      <c r="I535" s="22" t="s">
        <v>19309</v>
      </c>
      <c r="J535" s="22" t="s">
        <v>19908</v>
      </c>
      <c r="K535" s="22" t="s">
        <v>19524</v>
      </c>
      <c r="L535" s="22"/>
      <c r="M535" s="22"/>
      <c r="N535" s="25" t="str">
        <f>HYPERLINK("http://slimages.macys.com/is/image/MCY/21070313 ")</f>
        <v xml:space="preserve">http://slimages.macys.com/is/image/MCY/21070313 </v>
      </c>
    </row>
    <row r="536" spans="1:14" ht="24.75" x14ac:dyDescent="0.25">
      <c r="A536" s="21" t="s">
        <v>7034</v>
      </c>
      <c r="B536" s="22" t="s">
        <v>7035</v>
      </c>
      <c r="C536" s="2">
        <v>2</v>
      </c>
      <c r="D536" s="23">
        <v>7.99</v>
      </c>
      <c r="E536" s="3">
        <v>15.98</v>
      </c>
      <c r="F536" s="2" t="s">
        <v>7036</v>
      </c>
      <c r="G536" s="22" t="s">
        <v>19674</v>
      </c>
      <c r="H536" s="24" t="s">
        <v>20089</v>
      </c>
      <c r="I536" s="22" t="s">
        <v>19309</v>
      </c>
      <c r="J536" s="22" t="s">
        <v>19908</v>
      </c>
      <c r="K536" s="22" t="s">
        <v>19524</v>
      </c>
      <c r="L536" s="22"/>
      <c r="M536" s="22"/>
      <c r="N536" s="25" t="str">
        <f>HYPERLINK("http://slimages.macys.com/is/image/MCY/21070277 ")</f>
        <v xml:space="preserve">http://slimages.macys.com/is/image/MCY/21070277 </v>
      </c>
    </row>
    <row r="537" spans="1:14" ht="24.75" x14ac:dyDescent="0.25">
      <c r="A537" s="21" t="s">
        <v>13402</v>
      </c>
      <c r="B537" s="22" t="s">
        <v>13403</v>
      </c>
      <c r="C537" s="2">
        <v>1</v>
      </c>
      <c r="D537" s="23">
        <v>7.99</v>
      </c>
      <c r="E537" s="3">
        <v>7.99</v>
      </c>
      <c r="F537" s="2" t="s">
        <v>18906</v>
      </c>
      <c r="G537" s="22" t="s">
        <v>19333</v>
      </c>
      <c r="H537" s="24" t="s">
        <v>19542</v>
      </c>
      <c r="I537" s="22" t="s">
        <v>19309</v>
      </c>
      <c r="J537" s="22" t="s">
        <v>19908</v>
      </c>
      <c r="K537" s="22" t="s">
        <v>19524</v>
      </c>
      <c r="L537" s="22"/>
      <c r="M537" s="22"/>
      <c r="N537" s="25" t="str">
        <f>HYPERLINK("http://slimages.macys.com/is/image/MCY/21604728 ")</f>
        <v xml:space="preserve">http://slimages.macys.com/is/image/MCY/21604728 </v>
      </c>
    </row>
    <row r="538" spans="1:14" ht="24.75" x14ac:dyDescent="0.25">
      <c r="A538" s="21" t="s">
        <v>7037</v>
      </c>
      <c r="B538" s="22" t="s">
        <v>7038</v>
      </c>
      <c r="C538" s="2">
        <v>2</v>
      </c>
      <c r="D538" s="23">
        <v>7.99</v>
      </c>
      <c r="E538" s="3">
        <v>15.98</v>
      </c>
      <c r="F538" s="2" t="s">
        <v>14652</v>
      </c>
      <c r="G538" s="22" t="s">
        <v>19333</v>
      </c>
      <c r="H538" s="24" t="s">
        <v>20135</v>
      </c>
      <c r="I538" s="22" t="s">
        <v>19309</v>
      </c>
      <c r="J538" s="22" t="s">
        <v>19908</v>
      </c>
      <c r="K538" s="22" t="s">
        <v>19524</v>
      </c>
      <c r="L538" s="22"/>
      <c r="M538" s="22"/>
      <c r="N538" s="25" t="str">
        <f>HYPERLINK("http://slimages.macys.com/is/image/MCY/21070282 ")</f>
        <v xml:space="preserve">http://slimages.macys.com/is/image/MCY/21070282 </v>
      </c>
    </row>
    <row r="539" spans="1:14" ht="24.75" x14ac:dyDescent="0.25">
      <c r="A539" s="21" t="s">
        <v>16926</v>
      </c>
      <c r="B539" s="22" t="s">
        <v>16927</v>
      </c>
      <c r="C539" s="2">
        <v>1</v>
      </c>
      <c r="D539" s="23">
        <v>7.99</v>
      </c>
      <c r="E539" s="3">
        <v>7.99</v>
      </c>
      <c r="F539" s="2" t="s">
        <v>16928</v>
      </c>
      <c r="G539" s="22" t="s">
        <v>19431</v>
      </c>
      <c r="H539" s="24" t="s">
        <v>19907</v>
      </c>
      <c r="I539" s="22" t="s">
        <v>19309</v>
      </c>
      <c r="J539" s="22" t="s">
        <v>19573</v>
      </c>
      <c r="K539" s="22" t="s">
        <v>19574</v>
      </c>
      <c r="L539" s="22"/>
      <c r="M539" s="22"/>
      <c r="N539" s="25" t="str">
        <f>HYPERLINK("http://slimages.macys.com/is/image/MCY/21730716 ")</f>
        <v xml:space="preserve">http://slimages.macys.com/is/image/MCY/21730716 </v>
      </c>
    </row>
    <row r="540" spans="1:14" ht="24.75" x14ac:dyDescent="0.25">
      <c r="A540" s="21" t="s">
        <v>7039</v>
      </c>
      <c r="B540" s="22" t="s">
        <v>7040</v>
      </c>
      <c r="C540" s="2">
        <v>1</v>
      </c>
      <c r="D540" s="23">
        <v>7.99</v>
      </c>
      <c r="E540" s="3">
        <v>7.99</v>
      </c>
      <c r="F540" s="2" t="s">
        <v>11122</v>
      </c>
      <c r="G540" s="22"/>
      <c r="H540" s="24" t="s">
        <v>7041</v>
      </c>
      <c r="I540" s="22" t="s">
        <v>19309</v>
      </c>
      <c r="J540" s="22" t="s">
        <v>20076</v>
      </c>
      <c r="K540" s="22" t="s">
        <v>11123</v>
      </c>
      <c r="L540" s="22" t="s">
        <v>19319</v>
      </c>
      <c r="M540" s="22" t="s">
        <v>19764</v>
      </c>
      <c r="N540" s="25" t="str">
        <f>HYPERLINK("http://slimages.macys.com/is/image/MCY/9998193 ")</f>
        <v xml:space="preserve">http://slimages.macys.com/is/image/MCY/9998193 </v>
      </c>
    </row>
    <row r="541" spans="1:14" ht="24.75" x14ac:dyDescent="0.25">
      <c r="A541" s="21" t="s">
        <v>18941</v>
      </c>
      <c r="B541" s="22" t="s">
        <v>18942</v>
      </c>
      <c r="C541" s="2">
        <v>1</v>
      </c>
      <c r="D541" s="23">
        <v>7.99</v>
      </c>
      <c r="E541" s="3">
        <v>7.99</v>
      </c>
      <c r="F541" s="2" t="s">
        <v>18943</v>
      </c>
      <c r="G541" s="22" t="s">
        <v>19431</v>
      </c>
      <c r="H541" s="24" t="s">
        <v>20089</v>
      </c>
      <c r="I541" s="22" t="s">
        <v>19309</v>
      </c>
      <c r="J541" s="22" t="s">
        <v>19908</v>
      </c>
      <c r="K541" s="22" t="s">
        <v>19524</v>
      </c>
      <c r="L541" s="22"/>
      <c r="M541" s="22"/>
      <c r="N541" s="25" t="str">
        <f>HYPERLINK("http://slimages.macys.com/is/image/MCY/22163962 ")</f>
        <v xml:space="preserve">http://slimages.macys.com/is/image/MCY/22163962 </v>
      </c>
    </row>
    <row r="542" spans="1:14" ht="24.75" x14ac:dyDescent="0.25">
      <c r="A542" s="21" t="s">
        <v>7042</v>
      </c>
      <c r="B542" s="22" t="s">
        <v>7043</v>
      </c>
      <c r="C542" s="2">
        <v>1</v>
      </c>
      <c r="D542" s="23">
        <v>7.99</v>
      </c>
      <c r="E542" s="3">
        <v>7.99</v>
      </c>
      <c r="F542" s="2" t="s">
        <v>18927</v>
      </c>
      <c r="G542" s="22" t="s">
        <v>19415</v>
      </c>
      <c r="H542" s="24" t="s">
        <v>19542</v>
      </c>
      <c r="I542" s="22" t="s">
        <v>19309</v>
      </c>
      <c r="J542" s="22" t="s">
        <v>19908</v>
      </c>
      <c r="K542" s="22" t="s">
        <v>19524</v>
      </c>
      <c r="L542" s="22"/>
      <c r="M542" s="22"/>
      <c r="N542" s="25" t="str">
        <f>HYPERLINK("http://slimages.macys.com/is/image/MCY/22159008 ")</f>
        <v xml:space="preserve">http://slimages.macys.com/is/image/MCY/22159008 </v>
      </c>
    </row>
    <row r="543" spans="1:14" ht="24.75" x14ac:dyDescent="0.25">
      <c r="A543" s="21" t="s">
        <v>7044</v>
      </c>
      <c r="B543" s="22" t="s">
        <v>13429</v>
      </c>
      <c r="C543" s="2">
        <v>1</v>
      </c>
      <c r="D543" s="23">
        <v>7.99</v>
      </c>
      <c r="E543" s="3">
        <v>7.99</v>
      </c>
      <c r="F543" s="2" t="s">
        <v>7045</v>
      </c>
      <c r="G543" s="22" t="s">
        <v>19462</v>
      </c>
      <c r="H543" s="24" t="s">
        <v>19361</v>
      </c>
      <c r="I543" s="22" t="s">
        <v>19309</v>
      </c>
      <c r="J543" s="22" t="s">
        <v>19908</v>
      </c>
      <c r="K543" s="22" t="s">
        <v>19524</v>
      </c>
      <c r="L543" s="22"/>
      <c r="M543" s="22"/>
      <c r="N543" s="25" t="str">
        <f>HYPERLINK("http://slimages.macys.com/is/image/MCY/22159005 ")</f>
        <v xml:space="preserve">http://slimages.macys.com/is/image/MCY/22159005 </v>
      </c>
    </row>
    <row r="544" spans="1:14" ht="24.75" x14ac:dyDescent="0.25">
      <c r="A544" s="21" t="s">
        <v>7046</v>
      </c>
      <c r="B544" s="22" t="s">
        <v>7047</v>
      </c>
      <c r="C544" s="2">
        <v>1</v>
      </c>
      <c r="D544" s="23">
        <v>7.99</v>
      </c>
      <c r="E544" s="3">
        <v>7.99</v>
      </c>
      <c r="F544" s="2" t="s">
        <v>7908</v>
      </c>
      <c r="G544" s="22" t="s">
        <v>19415</v>
      </c>
      <c r="H544" s="24" t="s">
        <v>19361</v>
      </c>
      <c r="I544" s="22" t="s">
        <v>19309</v>
      </c>
      <c r="J544" s="22" t="s">
        <v>19908</v>
      </c>
      <c r="K544" s="22" t="s">
        <v>19524</v>
      </c>
      <c r="L544" s="22"/>
      <c r="M544" s="22"/>
      <c r="N544" s="25" t="str">
        <f>HYPERLINK("http://slimages.macys.com/is/image/MCY/21070273 ")</f>
        <v xml:space="preserve">http://slimages.macys.com/is/image/MCY/21070273 </v>
      </c>
    </row>
    <row r="545" spans="1:14" ht="24.75" x14ac:dyDescent="0.25">
      <c r="A545" s="21" t="s">
        <v>7048</v>
      </c>
      <c r="B545" s="22" t="s">
        <v>7049</v>
      </c>
      <c r="C545" s="2">
        <v>1</v>
      </c>
      <c r="D545" s="23">
        <v>7.99</v>
      </c>
      <c r="E545" s="3">
        <v>7.99</v>
      </c>
      <c r="F545" s="2" t="s">
        <v>18943</v>
      </c>
      <c r="G545" s="22" t="s">
        <v>19431</v>
      </c>
      <c r="H545" s="24" t="s">
        <v>19361</v>
      </c>
      <c r="I545" s="22" t="s">
        <v>19309</v>
      </c>
      <c r="J545" s="22" t="s">
        <v>19908</v>
      </c>
      <c r="K545" s="22" t="s">
        <v>19524</v>
      </c>
      <c r="L545" s="22"/>
      <c r="M545" s="22"/>
      <c r="N545" s="25" t="str">
        <f>HYPERLINK("http://slimages.macys.com/is/image/MCY/22163970 ")</f>
        <v xml:space="preserve">http://slimages.macys.com/is/image/MCY/22163970 </v>
      </c>
    </row>
    <row r="546" spans="1:14" ht="24.75" x14ac:dyDescent="0.25">
      <c r="A546" s="21" t="s">
        <v>7050</v>
      </c>
      <c r="B546" s="22" t="s">
        <v>7051</v>
      </c>
      <c r="C546" s="2">
        <v>2</v>
      </c>
      <c r="D546" s="23">
        <v>7.99</v>
      </c>
      <c r="E546" s="3">
        <v>15.98</v>
      </c>
      <c r="F546" s="2" t="s">
        <v>18924</v>
      </c>
      <c r="G546" s="22" t="s">
        <v>19674</v>
      </c>
      <c r="H546" s="24" t="s">
        <v>19542</v>
      </c>
      <c r="I546" s="22" t="s">
        <v>19309</v>
      </c>
      <c r="J546" s="22" t="s">
        <v>19908</v>
      </c>
      <c r="K546" s="22" t="s">
        <v>19524</v>
      </c>
      <c r="L546" s="22"/>
      <c r="M546" s="22"/>
      <c r="N546" s="25" t="str">
        <f>HYPERLINK("http://slimages.macys.com/is/image/MCY/21070271 ")</f>
        <v xml:space="preserve">http://slimages.macys.com/is/image/MCY/21070271 </v>
      </c>
    </row>
    <row r="547" spans="1:14" ht="24.75" x14ac:dyDescent="0.25">
      <c r="A547" s="21" t="s">
        <v>7052</v>
      </c>
      <c r="B547" s="22" t="s">
        <v>7053</v>
      </c>
      <c r="C547" s="2">
        <v>1</v>
      </c>
      <c r="D547" s="23">
        <v>7.99</v>
      </c>
      <c r="E547" s="3">
        <v>7.99</v>
      </c>
      <c r="F547" s="2" t="s">
        <v>18924</v>
      </c>
      <c r="G547" s="22" t="s">
        <v>19674</v>
      </c>
      <c r="H547" s="24" t="s">
        <v>19377</v>
      </c>
      <c r="I547" s="22" t="s">
        <v>19309</v>
      </c>
      <c r="J547" s="22" t="s">
        <v>19908</v>
      </c>
      <c r="K547" s="22" t="s">
        <v>19524</v>
      </c>
      <c r="L547" s="22"/>
      <c r="M547" s="22"/>
      <c r="N547" s="25" t="str">
        <f>HYPERLINK("http://slimages.macys.com/is/image/MCY/21070271 ")</f>
        <v xml:space="preserve">http://slimages.macys.com/is/image/MCY/21070271 </v>
      </c>
    </row>
    <row r="548" spans="1:14" ht="24.75" x14ac:dyDescent="0.25">
      <c r="A548" s="21" t="s">
        <v>7054</v>
      </c>
      <c r="B548" s="22" t="s">
        <v>7055</v>
      </c>
      <c r="C548" s="2">
        <v>1</v>
      </c>
      <c r="D548" s="23">
        <v>7.99</v>
      </c>
      <c r="E548" s="3">
        <v>7.99</v>
      </c>
      <c r="F548" s="2" t="s">
        <v>7056</v>
      </c>
      <c r="G548" s="22" t="s">
        <v>19415</v>
      </c>
      <c r="H548" s="24" t="s">
        <v>19907</v>
      </c>
      <c r="I548" s="22" t="s">
        <v>19309</v>
      </c>
      <c r="J548" s="22" t="s">
        <v>19908</v>
      </c>
      <c r="K548" s="22" t="s">
        <v>19524</v>
      </c>
      <c r="L548" s="22"/>
      <c r="M548" s="22"/>
      <c r="N548" s="25" t="str">
        <f>HYPERLINK("http://slimages.macys.com/is/image/MCY/21070272 ")</f>
        <v xml:space="preserve">http://slimages.macys.com/is/image/MCY/21070272 </v>
      </c>
    </row>
    <row r="549" spans="1:14" ht="24.75" x14ac:dyDescent="0.25">
      <c r="A549" s="21" t="s">
        <v>7057</v>
      </c>
      <c r="B549" s="22" t="s">
        <v>7058</v>
      </c>
      <c r="C549" s="2">
        <v>1</v>
      </c>
      <c r="D549" s="23">
        <v>7.99</v>
      </c>
      <c r="E549" s="3">
        <v>7.99</v>
      </c>
      <c r="F549" s="2" t="s">
        <v>18935</v>
      </c>
      <c r="G549" s="22" t="s">
        <v>19814</v>
      </c>
      <c r="H549" s="24" t="s">
        <v>19907</v>
      </c>
      <c r="I549" s="22" t="s">
        <v>19309</v>
      </c>
      <c r="J549" s="22" t="s">
        <v>19908</v>
      </c>
      <c r="K549" s="22" t="s">
        <v>19524</v>
      </c>
      <c r="L549" s="22"/>
      <c r="M549" s="22"/>
      <c r="N549" s="25" t="str">
        <f>HYPERLINK("http://slimages.macys.com/is/image/MCY/21070276 ")</f>
        <v xml:space="preserve">http://slimages.macys.com/is/image/MCY/21070276 </v>
      </c>
    </row>
    <row r="550" spans="1:14" ht="24.75" x14ac:dyDescent="0.25">
      <c r="A550" s="21" t="s">
        <v>7059</v>
      </c>
      <c r="B550" s="22" t="s">
        <v>7060</v>
      </c>
      <c r="C550" s="2">
        <v>2</v>
      </c>
      <c r="D550" s="23">
        <v>7.99</v>
      </c>
      <c r="E550" s="3">
        <v>15.98</v>
      </c>
      <c r="F550" s="2" t="s">
        <v>18924</v>
      </c>
      <c r="G550" s="22" t="s">
        <v>19674</v>
      </c>
      <c r="H550" s="24" t="s">
        <v>20089</v>
      </c>
      <c r="I550" s="22" t="s">
        <v>19309</v>
      </c>
      <c r="J550" s="22" t="s">
        <v>19908</v>
      </c>
      <c r="K550" s="22" t="s">
        <v>19524</v>
      </c>
      <c r="L550" s="22"/>
      <c r="M550" s="22"/>
      <c r="N550" s="25" t="str">
        <f>HYPERLINK("http://slimages.macys.com/is/image/MCY/21070271 ")</f>
        <v xml:space="preserve">http://slimages.macys.com/is/image/MCY/21070271 </v>
      </c>
    </row>
    <row r="551" spans="1:14" ht="24.75" x14ac:dyDescent="0.25">
      <c r="A551" s="21" t="s">
        <v>7061</v>
      </c>
      <c r="B551" s="22" t="s">
        <v>7062</v>
      </c>
      <c r="C551" s="2">
        <v>2</v>
      </c>
      <c r="D551" s="23">
        <v>7.99</v>
      </c>
      <c r="E551" s="3">
        <v>15.98</v>
      </c>
      <c r="F551" s="2" t="s">
        <v>18924</v>
      </c>
      <c r="G551" s="22" t="s">
        <v>19674</v>
      </c>
      <c r="H551" s="24" t="s">
        <v>19907</v>
      </c>
      <c r="I551" s="22" t="s">
        <v>19309</v>
      </c>
      <c r="J551" s="22" t="s">
        <v>19908</v>
      </c>
      <c r="K551" s="22" t="s">
        <v>19524</v>
      </c>
      <c r="L551" s="22"/>
      <c r="M551" s="22"/>
      <c r="N551" s="25" t="str">
        <f>HYPERLINK("http://slimages.macys.com/is/image/MCY/21070271 ")</f>
        <v xml:space="preserve">http://slimages.macys.com/is/image/MCY/21070271 </v>
      </c>
    </row>
    <row r="552" spans="1:14" ht="24.75" x14ac:dyDescent="0.25">
      <c r="A552" s="21" t="s">
        <v>7063</v>
      </c>
      <c r="B552" s="22" t="s">
        <v>7064</v>
      </c>
      <c r="C552" s="2">
        <v>1</v>
      </c>
      <c r="D552" s="23">
        <v>18.11</v>
      </c>
      <c r="E552" s="3">
        <v>18.11</v>
      </c>
      <c r="F552" s="2" t="s">
        <v>18935</v>
      </c>
      <c r="G552" s="22" t="s">
        <v>19814</v>
      </c>
      <c r="H552" s="24" t="s">
        <v>19542</v>
      </c>
      <c r="I552" s="22" t="s">
        <v>19309</v>
      </c>
      <c r="J552" s="22" t="s">
        <v>19908</v>
      </c>
      <c r="K552" s="22" t="s">
        <v>19524</v>
      </c>
      <c r="L552" s="22"/>
      <c r="M552" s="22"/>
      <c r="N552" s="25" t="str">
        <f>HYPERLINK("http://slimages.macys.com/is/image/MCY/21070276 ")</f>
        <v xml:space="preserve">http://slimages.macys.com/is/image/MCY/21070276 </v>
      </c>
    </row>
    <row r="553" spans="1:14" ht="24.75" x14ac:dyDescent="0.25">
      <c r="A553" s="21" t="s">
        <v>7065</v>
      </c>
      <c r="B553" s="22" t="s">
        <v>7066</v>
      </c>
      <c r="C553" s="2">
        <v>1</v>
      </c>
      <c r="D553" s="23">
        <v>7.99</v>
      </c>
      <c r="E553" s="3">
        <v>7.99</v>
      </c>
      <c r="F553" s="2" t="s">
        <v>18935</v>
      </c>
      <c r="G553" s="22" t="s">
        <v>19814</v>
      </c>
      <c r="H553" s="24" t="s">
        <v>20135</v>
      </c>
      <c r="I553" s="22" t="s">
        <v>19309</v>
      </c>
      <c r="J553" s="22" t="s">
        <v>19908</v>
      </c>
      <c r="K553" s="22" t="s">
        <v>19524</v>
      </c>
      <c r="L553" s="22"/>
      <c r="M553" s="22"/>
      <c r="N553" s="25" t="str">
        <f>HYPERLINK("http://slimages.macys.com/is/image/MCY/21070276 ")</f>
        <v xml:space="preserve">http://slimages.macys.com/is/image/MCY/21070276 </v>
      </c>
    </row>
    <row r="554" spans="1:14" ht="24.75" x14ac:dyDescent="0.25">
      <c r="A554" s="21" t="s">
        <v>7067</v>
      </c>
      <c r="B554" s="22" t="s">
        <v>7068</v>
      </c>
      <c r="C554" s="2">
        <v>1</v>
      </c>
      <c r="D554" s="23">
        <v>6.99</v>
      </c>
      <c r="E554" s="3">
        <v>6.99</v>
      </c>
      <c r="F554" s="2" t="s">
        <v>7069</v>
      </c>
      <c r="G554" s="22" t="s">
        <v>19431</v>
      </c>
      <c r="H554" s="24" t="s">
        <v>19416</v>
      </c>
      <c r="I554" s="22" t="s">
        <v>19309</v>
      </c>
      <c r="J554" s="22" t="s">
        <v>19573</v>
      </c>
      <c r="K554" s="22" t="s">
        <v>19574</v>
      </c>
      <c r="L554" s="22"/>
      <c r="M554" s="22"/>
      <c r="N554" s="25" t="str">
        <f>HYPERLINK("http://slimages.macys.com/is/image/MCY/19977832 ")</f>
        <v xml:space="preserve">http://slimages.macys.com/is/image/MCY/19977832 </v>
      </c>
    </row>
    <row r="555" spans="1:14" x14ac:dyDescent="0.25">
      <c r="A555" s="21" t="s">
        <v>16967</v>
      </c>
      <c r="B555" s="22" t="s">
        <v>16968</v>
      </c>
      <c r="C555" s="2">
        <v>2</v>
      </c>
      <c r="D555" s="23">
        <v>7.99</v>
      </c>
      <c r="E555" s="3">
        <v>15.98</v>
      </c>
      <c r="F555" s="2" t="s">
        <v>16840</v>
      </c>
      <c r="G555" s="22" t="s">
        <v>19467</v>
      </c>
      <c r="H555" s="24" t="s">
        <v>19361</v>
      </c>
      <c r="I555" s="22" t="s">
        <v>19309</v>
      </c>
      <c r="J555" s="22" t="s">
        <v>19849</v>
      </c>
      <c r="K555" s="22" t="s">
        <v>19850</v>
      </c>
      <c r="L555" s="22"/>
      <c r="M555" s="22"/>
      <c r="N555" s="25" t="str">
        <f t="shared" ref="N555:N560" si="2">HYPERLINK("http://slimages.macys.com/is/image/MCY/19068277 ")</f>
        <v xml:space="preserve">http://slimages.macys.com/is/image/MCY/19068277 </v>
      </c>
    </row>
    <row r="556" spans="1:14" x14ac:dyDescent="0.25">
      <c r="A556" s="21" t="s">
        <v>10070</v>
      </c>
      <c r="B556" s="22" t="s">
        <v>10071</v>
      </c>
      <c r="C556" s="2">
        <v>1</v>
      </c>
      <c r="D556" s="23">
        <v>7.99</v>
      </c>
      <c r="E556" s="3">
        <v>7.99</v>
      </c>
      <c r="F556" s="2" t="s">
        <v>16840</v>
      </c>
      <c r="G556" s="22" t="s">
        <v>19467</v>
      </c>
      <c r="H556" s="24" t="s">
        <v>20089</v>
      </c>
      <c r="I556" s="22" t="s">
        <v>19309</v>
      </c>
      <c r="J556" s="22" t="s">
        <v>19849</v>
      </c>
      <c r="K556" s="22" t="s">
        <v>19850</v>
      </c>
      <c r="L556" s="22"/>
      <c r="M556" s="22"/>
      <c r="N556" s="25" t="str">
        <f t="shared" si="2"/>
        <v xml:space="preserve">http://slimages.macys.com/is/image/MCY/19068277 </v>
      </c>
    </row>
    <row r="557" spans="1:14" x14ac:dyDescent="0.25">
      <c r="A557" s="21" t="s">
        <v>16969</v>
      </c>
      <c r="B557" s="22" t="s">
        <v>16970</v>
      </c>
      <c r="C557" s="2">
        <v>1</v>
      </c>
      <c r="D557" s="23">
        <v>7.99</v>
      </c>
      <c r="E557" s="3">
        <v>7.99</v>
      </c>
      <c r="F557" s="2" t="s">
        <v>16840</v>
      </c>
      <c r="G557" s="22" t="s">
        <v>19467</v>
      </c>
      <c r="H557" s="24" t="s">
        <v>20135</v>
      </c>
      <c r="I557" s="22" t="s">
        <v>19309</v>
      </c>
      <c r="J557" s="22" t="s">
        <v>19849</v>
      </c>
      <c r="K557" s="22" t="s">
        <v>19850</v>
      </c>
      <c r="L557" s="22"/>
      <c r="M557" s="22"/>
      <c r="N557" s="25" t="str">
        <f t="shared" si="2"/>
        <v xml:space="preserve">http://slimages.macys.com/is/image/MCY/19068277 </v>
      </c>
    </row>
    <row r="558" spans="1:14" x14ac:dyDescent="0.25">
      <c r="A558" s="21" t="s">
        <v>16965</v>
      </c>
      <c r="B558" s="22" t="s">
        <v>16966</v>
      </c>
      <c r="C558" s="2">
        <v>1</v>
      </c>
      <c r="D558" s="23">
        <v>7.99</v>
      </c>
      <c r="E558" s="3">
        <v>7.99</v>
      </c>
      <c r="F558" s="2" t="s">
        <v>16840</v>
      </c>
      <c r="G558" s="22" t="s">
        <v>19467</v>
      </c>
      <c r="H558" s="24" t="s">
        <v>19907</v>
      </c>
      <c r="I558" s="22" t="s">
        <v>19309</v>
      </c>
      <c r="J558" s="22" t="s">
        <v>19849</v>
      </c>
      <c r="K558" s="22" t="s">
        <v>19850</v>
      </c>
      <c r="L558" s="22"/>
      <c r="M558" s="22"/>
      <c r="N558" s="25" t="str">
        <f t="shared" si="2"/>
        <v xml:space="preserve">http://slimages.macys.com/is/image/MCY/19068277 </v>
      </c>
    </row>
    <row r="559" spans="1:14" x14ac:dyDescent="0.25">
      <c r="A559" s="21" t="s">
        <v>14104</v>
      </c>
      <c r="B559" s="22" t="s">
        <v>14105</v>
      </c>
      <c r="C559" s="2">
        <v>2</v>
      </c>
      <c r="D559" s="23">
        <v>7.99</v>
      </c>
      <c r="E559" s="3">
        <v>15.98</v>
      </c>
      <c r="F559" s="2" t="s">
        <v>16840</v>
      </c>
      <c r="G559" s="22" t="s">
        <v>19467</v>
      </c>
      <c r="H559" s="24" t="s">
        <v>19542</v>
      </c>
      <c r="I559" s="22" t="s">
        <v>19309</v>
      </c>
      <c r="J559" s="22" t="s">
        <v>19849</v>
      </c>
      <c r="K559" s="22" t="s">
        <v>19850</v>
      </c>
      <c r="L559" s="22"/>
      <c r="M559" s="22"/>
      <c r="N559" s="25" t="str">
        <f t="shared" si="2"/>
        <v xml:space="preserve">http://slimages.macys.com/is/image/MCY/19068277 </v>
      </c>
    </row>
    <row r="560" spans="1:14" x14ac:dyDescent="0.25">
      <c r="A560" s="21" t="s">
        <v>10072</v>
      </c>
      <c r="B560" s="22" t="s">
        <v>10073</v>
      </c>
      <c r="C560" s="2">
        <v>2</v>
      </c>
      <c r="D560" s="23">
        <v>7.99</v>
      </c>
      <c r="E560" s="3">
        <v>15.98</v>
      </c>
      <c r="F560" s="2" t="s">
        <v>16840</v>
      </c>
      <c r="G560" s="22" t="s">
        <v>19467</v>
      </c>
      <c r="H560" s="24" t="s">
        <v>19377</v>
      </c>
      <c r="I560" s="22" t="s">
        <v>19309</v>
      </c>
      <c r="J560" s="22" t="s">
        <v>19849</v>
      </c>
      <c r="K560" s="22" t="s">
        <v>19850</v>
      </c>
      <c r="L560" s="22"/>
      <c r="M560" s="22"/>
      <c r="N560" s="25" t="str">
        <f t="shared" si="2"/>
        <v xml:space="preserve">http://slimages.macys.com/is/image/MCY/19068277 </v>
      </c>
    </row>
    <row r="561" spans="1:14" ht="24.75" x14ac:dyDescent="0.25">
      <c r="A561" s="21" t="s">
        <v>7070</v>
      </c>
      <c r="B561" s="22" t="s">
        <v>7071</v>
      </c>
      <c r="C561" s="2">
        <v>1</v>
      </c>
      <c r="D561" s="23">
        <v>7.99</v>
      </c>
      <c r="E561" s="3">
        <v>7.99</v>
      </c>
      <c r="F561" s="2" t="s">
        <v>7072</v>
      </c>
      <c r="G561" s="22" t="s">
        <v>19333</v>
      </c>
      <c r="H561" s="24" t="s">
        <v>19907</v>
      </c>
      <c r="I561" s="22" t="s">
        <v>19309</v>
      </c>
      <c r="J561" s="22" t="s">
        <v>19908</v>
      </c>
      <c r="K561" s="22" t="s">
        <v>19524</v>
      </c>
      <c r="L561" s="22"/>
      <c r="M561" s="22"/>
      <c r="N561" s="25" t="str">
        <f>HYPERLINK("http://slimages.macys.com/is/image/MCY/21243353 ")</f>
        <v xml:space="preserve">http://slimages.macys.com/is/image/MCY/21243353 </v>
      </c>
    </row>
    <row r="562" spans="1:14" ht="24.75" x14ac:dyDescent="0.25">
      <c r="A562" s="21" t="s">
        <v>9190</v>
      </c>
      <c r="B562" s="22" t="s">
        <v>9191</v>
      </c>
      <c r="C562" s="2">
        <v>1</v>
      </c>
      <c r="D562" s="23">
        <v>7.99</v>
      </c>
      <c r="E562" s="3">
        <v>7.99</v>
      </c>
      <c r="F562" s="2" t="s">
        <v>18954</v>
      </c>
      <c r="G562" s="22" t="s">
        <v>19333</v>
      </c>
      <c r="H562" s="24" t="s">
        <v>20135</v>
      </c>
      <c r="I562" s="22" t="s">
        <v>19309</v>
      </c>
      <c r="J562" s="22" t="s">
        <v>19908</v>
      </c>
      <c r="K562" s="22" t="s">
        <v>19524</v>
      </c>
      <c r="L562" s="22"/>
      <c r="M562" s="22"/>
      <c r="N562" s="25" t="str">
        <f>HYPERLINK("http://slimages.macys.com/is/image/MCY/21070261 ")</f>
        <v xml:space="preserve">http://slimages.macys.com/is/image/MCY/21070261 </v>
      </c>
    </row>
    <row r="563" spans="1:14" ht="24.75" x14ac:dyDescent="0.25">
      <c r="A563" s="21" t="s">
        <v>7073</v>
      </c>
      <c r="B563" s="22" t="s">
        <v>7074</v>
      </c>
      <c r="C563" s="2">
        <v>1</v>
      </c>
      <c r="D563" s="23">
        <v>7.99</v>
      </c>
      <c r="E563" s="3">
        <v>7.99</v>
      </c>
      <c r="F563" s="2" t="s">
        <v>7072</v>
      </c>
      <c r="G563" s="22" t="s">
        <v>19333</v>
      </c>
      <c r="H563" s="24" t="s">
        <v>20135</v>
      </c>
      <c r="I563" s="22" t="s">
        <v>19309</v>
      </c>
      <c r="J563" s="22" t="s">
        <v>19908</v>
      </c>
      <c r="K563" s="22" t="s">
        <v>19524</v>
      </c>
      <c r="L563" s="22"/>
      <c r="M563" s="22"/>
      <c r="N563" s="25" t="str">
        <f>HYPERLINK("http://slimages.macys.com/is/image/MCY/21243353 ")</f>
        <v xml:space="preserve">http://slimages.macys.com/is/image/MCY/21243353 </v>
      </c>
    </row>
    <row r="564" spans="1:14" ht="24.75" x14ac:dyDescent="0.25">
      <c r="A564" s="21" t="s">
        <v>7075</v>
      </c>
      <c r="B564" s="22" t="s">
        <v>7076</v>
      </c>
      <c r="C564" s="2">
        <v>1</v>
      </c>
      <c r="D564" s="23">
        <v>7.99</v>
      </c>
      <c r="E564" s="3">
        <v>7.99</v>
      </c>
      <c r="F564" s="2" t="s">
        <v>13430</v>
      </c>
      <c r="G564" s="22" t="s">
        <v>19462</v>
      </c>
      <c r="H564" s="24" t="s">
        <v>19907</v>
      </c>
      <c r="I564" s="22" t="s">
        <v>19309</v>
      </c>
      <c r="J564" s="22" t="s">
        <v>19908</v>
      </c>
      <c r="K564" s="22" t="s">
        <v>19524</v>
      </c>
      <c r="L564" s="22"/>
      <c r="M564" s="22"/>
      <c r="N564" s="25" t="str">
        <f>HYPERLINK("http://slimages.macys.com/is/image/MCY/21727254 ")</f>
        <v xml:space="preserve">http://slimages.macys.com/is/image/MCY/21727254 </v>
      </c>
    </row>
    <row r="565" spans="1:14" ht="24.75" x14ac:dyDescent="0.25">
      <c r="A565" s="21" t="s">
        <v>7077</v>
      </c>
      <c r="B565" s="22" t="s">
        <v>7078</v>
      </c>
      <c r="C565" s="2">
        <v>1</v>
      </c>
      <c r="D565" s="23">
        <v>7.99</v>
      </c>
      <c r="E565" s="3">
        <v>7.99</v>
      </c>
      <c r="F565" s="2" t="s">
        <v>7079</v>
      </c>
      <c r="G565" s="22" t="s">
        <v>19338</v>
      </c>
      <c r="H565" s="24" t="s">
        <v>19907</v>
      </c>
      <c r="I565" s="22" t="s">
        <v>19309</v>
      </c>
      <c r="J565" s="22" t="s">
        <v>19908</v>
      </c>
      <c r="K565" s="22" t="s">
        <v>19524</v>
      </c>
      <c r="L565" s="22"/>
      <c r="M565" s="22"/>
      <c r="N565" s="25" t="str">
        <f>HYPERLINK("http://slimages.macys.com/is/image/MCY/1308257 ")</f>
        <v xml:space="preserve">http://slimages.macys.com/is/image/MCY/1308257 </v>
      </c>
    </row>
    <row r="566" spans="1:14" ht="24.75" x14ac:dyDescent="0.25">
      <c r="A566" s="21" t="s">
        <v>7080</v>
      </c>
      <c r="B566" s="22" t="s">
        <v>7081</v>
      </c>
      <c r="C566" s="2">
        <v>1</v>
      </c>
      <c r="D566" s="23">
        <v>7.99</v>
      </c>
      <c r="E566" s="3">
        <v>7.99</v>
      </c>
      <c r="F566" s="2" t="s">
        <v>7082</v>
      </c>
      <c r="G566" s="22" t="s">
        <v>19333</v>
      </c>
      <c r="H566" s="24" t="s">
        <v>19377</v>
      </c>
      <c r="I566" s="22" t="s">
        <v>19309</v>
      </c>
      <c r="J566" s="22" t="s">
        <v>19908</v>
      </c>
      <c r="K566" s="22" t="s">
        <v>19524</v>
      </c>
      <c r="L566" s="22"/>
      <c r="M566" s="22"/>
      <c r="N566" s="25" t="str">
        <f>HYPERLINK("http://slimages.macys.com/is/image/MCY/21070265 ")</f>
        <v xml:space="preserve">http://slimages.macys.com/is/image/MCY/21070265 </v>
      </c>
    </row>
    <row r="567" spans="1:14" ht="24.75" x14ac:dyDescent="0.25">
      <c r="A567" s="21" t="s">
        <v>7083</v>
      </c>
      <c r="B567" s="22" t="s">
        <v>7084</v>
      </c>
      <c r="C567" s="2">
        <v>1</v>
      </c>
      <c r="D567" s="23">
        <v>7.99</v>
      </c>
      <c r="E567" s="3">
        <v>7.99</v>
      </c>
      <c r="F567" s="2" t="s">
        <v>7072</v>
      </c>
      <c r="G567" s="22" t="s">
        <v>19333</v>
      </c>
      <c r="H567" s="24" t="s">
        <v>19361</v>
      </c>
      <c r="I567" s="22" t="s">
        <v>19309</v>
      </c>
      <c r="J567" s="22" t="s">
        <v>19908</v>
      </c>
      <c r="K567" s="22" t="s">
        <v>19524</v>
      </c>
      <c r="L567" s="22"/>
      <c r="M567" s="22"/>
      <c r="N567" s="25" t="str">
        <f>HYPERLINK("http://slimages.macys.com/is/image/MCY/21243353 ")</f>
        <v xml:space="preserve">http://slimages.macys.com/is/image/MCY/21243353 </v>
      </c>
    </row>
    <row r="568" spans="1:14" ht="24.75" x14ac:dyDescent="0.25">
      <c r="A568" s="21" t="s">
        <v>7085</v>
      </c>
      <c r="B568" s="22" t="s">
        <v>7086</v>
      </c>
      <c r="C568" s="2">
        <v>1</v>
      </c>
      <c r="D568" s="23">
        <v>7.99</v>
      </c>
      <c r="E568" s="3">
        <v>7.99</v>
      </c>
      <c r="F568" s="2" t="s">
        <v>7072</v>
      </c>
      <c r="G568" s="22" t="s">
        <v>19333</v>
      </c>
      <c r="H568" s="24" t="s">
        <v>19377</v>
      </c>
      <c r="I568" s="22" t="s">
        <v>19309</v>
      </c>
      <c r="J568" s="22" t="s">
        <v>19908</v>
      </c>
      <c r="K568" s="22" t="s">
        <v>19524</v>
      </c>
      <c r="L568" s="22"/>
      <c r="M568" s="22"/>
      <c r="N568" s="25" t="str">
        <f>HYPERLINK("http://slimages.macys.com/is/image/MCY/21243353 ")</f>
        <v xml:space="preserve">http://slimages.macys.com/is/image/MCY/21243353 </v>
      </c>
    </row>
    <row r="569" spans="1:14" ht="24.75" x14ac:dyDescent="0.25">
      <c r="A569" s="21" t="s">
        <v>7087</v>
      </c>
      <c r="B569" s="22" t="s">
        <v>7088</v>
      </c>
      <c r="C569" s="2">
        <v>1</v>
      </c>
      <c r="D569" s="23">
        <v>7.99</v>
      </c>
      <c r="E569" s="3">
        <v>7.99</v>
      </c>
      <c r="F569" s="2" t="s">
        <v>18954</v>
      </c>
      <c r="G569" s="22" t="s">
        <v>19333</v>
      </c>
      <c r="H569" s="24" t="s">
        <v>19542</v>
      </c>
      <c r="I569" s="22" t="s">
        <v>19309</v>
      </c>
      <c r="J569" s="22" t="s">
        <v>19908</v>
      </c>
      <c r="K569" s="22" t="s">
        <v>19524</v>
      </c>
      <c r="L569" s="22"/>
      <c r="M569" s="22"/>
      <c r="N569" s="25" t="str">
        <f>HYPERLINK("http://slimages.macys.com/is/image/MCY/21070261 ")</f>
        <v xml:space="preserve">http://slimages.macys.com/is/image/MCY/21070261 </v>
      </c>
    </row>
    <row r="570" spans="1:14" ht="24.75" x14ac:dyDescent="0.25">
      <c r="A570" s="21" t="s">
        <v>7089</v>
      </c>
      <c r="B570" s="22" t="s">
        <v>7090</v>
      </c>
      <c r="C570" s="2">
        <v>1</v>
      </c>
      <c r="D570" s="23">
        <v>7.99</v>
      </c>
      <c r="E570" s="3">
        <v>7.99</v>
      </c>
      <c r="F570" s="2" t="s">
        <v>18975</v>
      </c>
      <c r="G570" s="22" t="s">
        <v>19585</v>
      </c>
      <c r="H570" s="24" t="s">
        <v>19542</v>
      </c>
      <c r="I570" s="22" t="s">
        <v>19309</v>
      </c>
      <c r="J570" s="22" t="s">
        <v>19815</v>
      </c>
      <c r="K570" s="22" t="s">
        <v>19816</v>
      </c>
      <c r="L570" s="22"/>
      <c r="M570" s="22"/>
      <c r="N570" s="25" t="str">
        <f>HYPERLINK("http://slimages.macys.com/is/image/MCY/23423563 ")</f>
        <v xml:space="preserve">http://slimages.macys.com/is/image/MCY/23423563 </v>
      </c>
    </row>
    <row r="571" spans="1:14" ht="24.75" x14ac:dyDescent="0.25">
      <c r="A571" s="21" t="s">
        <v>14189</v>
      </c>
      <c r="B571" s="22" t="s">
        <v>14190</v>
      </c>
      <c r="C571" s="2">
        <v>2</v>
      </c>
      <c r="D571" s="23">
        <v>7.99</v>
      </c>
      <c r="E571" s="3">
        <v>15.98</v>
      </c>
      <c r="F571" s="2" t="s">
        <v>18975</v>
      </c>
      <c r="G571" s="22" t="s">
        <v>19585</v>
      </c>
      <c r="H571" s="24" t="s">
        <v>19361</v>
      </c>
      <c r="I571" s="22" t="s">
        <v>19309</v>
      </c>
      <c r="J571" s="22" t="s">
        <v>19815</v>
      </c>
      <c r="K571" s="22" t="s">
        <v>19816</v>
      </c>
      <c r="L571" s="22"/>
      <c r="M571" s="22"/>
      <c r="N571" s="25" t="str">
        <f>HYPERLINK("http://slimages.macys.com/is/image/MCY/20454015 ")</f>
        <v xml:space="preserve">http://slimages.macys.com/is/image/MCY/20454015 </v>
      </c>
    </row>
    <row r="572" spans="1:14" ht="24.75" x14ac:dyDescent="0.25">
      <c r="A572" s="21" t="s">
        <v>17085</v>
      </c>
      <c r="B572" s="22" t="s">
        <v>17086</v>
      </c>
      <c r="C572" s="2">
        <v>1</v>
      </c>
      <c r="D572" s="23">
        <v>7.99</v>
      </c>
      <c r="E572" s="3">
        <v>7.99</v>
      </c>
      <c r="F572" s="2" t="s">
        <v>18975</v>
      </c>
      <c r="G572" s="22" t="s">
        <v>19431</v>
      </c>
      <c r="H572" s="24" t="s">
        <v>19361</v>
      </c>
      <c r="I572" s="22" t="s">
        <v>19309</v>
      </c>
      <c r="J572" s="22" t="s">
        <v>19815</v>
      </c>
      <c r="K572" s="22" t="s">
        <v>19816</v>
      </c>
      <c r="L572" s="22"/>
      <c r="M572" s="22"/>
      <c r="N572" s="25" t="str">
        <f>HYPERLINK("http://slimages.macys.com/is/image/MCY/1499389 ")</f>
        <v xml:space="preserve">http://slimages.macys.com/is/image/MCY/1499389 </v>
      </c>
    </row>
    <row r="573" spans="1:14" ht="24.75" x14ac:dyDescent="0.25">
      <c r="A573" s="21" t="s">
        <v>7091</v>
      </c>
      <c r="B573" s="22" t="s">
        <v>7092</v>
      </c>
      <c r="C573" s="2">
        <v>2</v>
      </c>
      <c r="D573" s="23">
        <v>7.99</v>
      </c>
      <c r="E573" s="3">
        <v>15.98</v>
      </c>
      <c r="F573" s="2" t="s">
        <v>18975</v>
      </c>
      <c r="G573" s="22" t="s">
        <v>19585</v>
      </c>
      <c r="H573" s="24" t="s">
        <v>19907</v>
      </c>
      <c r="I573" s="22" t="s">
        <v>19309</v>
      </c>
      <c r="J573" s="22" t="s">
        <v>19815</v>
      </c>
      <c r="K573" s="22" t="s">
        <v>19816</v>
      </c>
      <c r="L573" s="22"/>
      <c r="M573" s="22"/>
      <c r="N573" s="25" t="str">
        <f>HYPERLINK("http://slimages.macys.com/is/image/MCY/23423563 ")</f>
        <v xml:space="preserve">http://slimages.macys.com/is/image/MCY/23423563 </v>
      </c>
    </row>
    <row r="574" spans="1:14" ht="24.75" x14ac:dyDescent="0.25">
      <c r="A574" s="21" t="s">
        <v>14207</v>
      </c>
      <c r="B574" s="22" t="s">
        <v>14208</v>
      </c>
      <c r="C574" s="2">
        <v>1</v>
      </c>
      <c r="D574" s="23">
        <v>7.99</v>
      </c>
      <c r="E574" s="3">
        <v>7.99</v>
      </c>
      <c r="F574" s="2" t="s">
        <v>18975</v>
      </c>
      <c r="G574" s="22" t="s">
        <v>19763</v>
      </c>
      <c r="H574" s="24" t="s">
        <v>19432</v>
      </c>
      <c r="I574" s="22" t="s">
        <v>19309</v>
      </c>
      <c r="J574" s="22" t="s">
        <v>19815</v>
      </c>
      <c r="K574" s="22" t="s">
        <v>19816</v>
      </c>
      <c r="L574" s="22"/>
      <c r="M574" s="22"/>
      <c r="N574" s="25" t="str">
        <f>HYPERLINK("http://slimages.macys.com/is/image/MCY/23423563 ")</f>
        <v xml:space="preserve">http://slimages.macys.com/is/image/MCY/23423563 </v>
      </c>
    </row>
    <row r="575" spans="1:14" ht="24.75" x14ac:dyDescent="0.25">
      <c r="A575" s="21" t="s">
        <v>18973</v>
      </c>
      <c r="B575" s="22" t="s">
        <v>18974</v>
      </c>
      <c r="C575" s="2">
        <v>1</v>
      </c>
      <c r="D575" s="23">
        <v>7.99</v>
      </c>
      <c r="E575" s="3">
        <v>7.99</v>
      </c>
      <c r="F575" s="2" t="s">
        <v>18975</v>
      </c>
      <c r="G575" s="22" t="s">
        <v>19585</v>
      </c>
      <c r="H575" s="24" t="s">
        <v>19392</v>
      </c>
      <c r="I575" s="22" t="s">
        <v>19309</v>
      </c>
      <c r="J575" s="22" t="s">
        <v>19815</v>
      </c>
      <c r="K575" s="22" t="s">
        <v>19816</v>
      </c>
      <c r="L575" s="22"/>
      <c r="M575" s="22"/>
      <c r="N575" s="25" t="str">
        <f>HYPERLINK("http://slimages.macys.com/is/image/MCY/20454015 ")</f>
        <v xml:space="preserve">http://slimages.macys.com/is/image/MCY/20454015 </v>
      </c>
    </row>
    <row r="576" spans="1:14" ht="24.75" x14ac:dyDescent="0.25">
      <c r="A576" s="21" t="s">
        <v>17083</v>
      </c>
      <c r="B576" s="22" t="s">
        <v>17084</v>
      </c>
      <c r="C576" s="2">
        <v>1</v>
      </c>
      <c r="D576" s="23">
        <v>7.99</v>
      </c>
      <c r="E576" s="3">
        <v>7.99</v>
      </c>
      <c r="F576" s="2" t="s">
        <v>18975</v>
      </c>
      <c r="G576" s="22" t="s">
        <v>19431</v>
      </c>
      <c r="H576" s="24" t="s">
        <v>19907</v>
      </c>
      <c r="I576" s="22" t="s">
        <v>19309</v>
      </c>
      <c r="J576" s="22" t="s">
        <v>19815</v>
      </c>
      <c r="K576" s="22" t="s">
        <v>19816</v>
      </c>
      <c r="L576" s="22"/>
      <c r="M576" s="22"/>
      <c r="N576" s="25" t="str">
        <f>HYPERLINK("http://slimages.macys.com/is/image/MCY/1499389 ")</f>
        <v xml:space="preserve">http://slimages.macys.com/is/image/MCY/1499389 </v>
      </c>
    </row>
    <row r="577" spans="1:14" ht="24.75" x14ac:dyDescent="0.25">
      <c r="A577" s="21" t="s">
        <v>14199</v>
      </c>
      <c r="B577" s="22" t="s">
        <v>14200</v>
      </c>
      <c r="C577" s="2">
        <v>2</v>
      </c>
      <c r="D577" s="23">
        <v>7.99</v>
      </c>
      <c r="E577" s="3">
        <v>15.98</v>
      </c>
      <c r="F577" s="2" t="s">
        <v>18975</v>
      </c>
      <c r="G577" s="22" t="s">
        <v>19518</v>
      </c>
      <c r="H577" s="24" t="s">
        <v>19432</v>
      </c>
      <c r="I577" s="22" t="s">
        <v>19309</v>
      </c>
      <c r="J577" s="22" t="s">
        <v>19815</v>
      </c>
      <c r="K577" s="22" t="s">
        <v>19816</v>
      </c>
      <c r="L577" s="22"/>
      <c r="M577" s="22"/>
      <c r="N577" s="25" t="str">
        <f>HYPERLINK("http://slimages.macys.com/is/image/MCY/23423563 ")</f>
        <v xml:space="preserve">http://slimages.macys.com/is/image/MCY/23423563 </v>
      </c>
    </row>
    <row r="578" spans="1:14" ht="24.75" x14ac:dyDescent="0.25">
      <c r="A578" s="21" t="s">
        <v>14201</v>
      </c>
      <c r="B578" s="22" t="s">
        <v>14202</v>
      </c>
      <c r="C578" s="2">
        <v>1</v>
      </c>
      <c r="D578" s="23">
        <v>7.99</v>
      </c>
      <c r="E578" s="3">
        <v>7.99</v>
      </c>
      <c r="F578" s="2" t="s">
        <v>18975</v>
      </c>
      <c r="G578" s="22" t="s">
        <v>19763</v>
      </c>
      <c r="H578" s="24" t="s">
        <v>19907</v>
      </c>
      <c r="I578" s="22" t="s">
        <v>19309</v>
      </c>
      <c r="J578" s="22" t="s">
        <v>19815</v>
      </c>
      <c r="K578" s="22" t="s">
        <v>19816</v>
      </c>
      <c r="L578" s="22"/>
      <c r="M578" s="22"/>
      <c r="N578" s="25" t="str">
        <f>HYPERLINK("http://slimages.macys.com/is/image/MCY/23423563 ")</f>
        <v xml:space="preserve">http://slimages.macys.com/is/image/MCY/23423563 </v>
      </c>
    </row>
    <row r="579" spans="1:14" ht="24.75" x14ac:dyDescent="0.25">
      <c r="A579" s="21" t="s">
        <v>9192</v>
      </c>
      <c r="B579" s="22" t="s">
        <v>9193</v>
      </c>
      <c r="C579" s="2">
        <v>1</v>
      </c>
      <c r="D579" s="23">
        <v>7.99</v>
      </c>
      <c r="E579" s="3">
        <v>7.99</v>
      </c>
      <c r="F579" s="2" t="s">
        <v>18975</v>
      </c>
      <c r="G579" s="22" t="s">
        <v>19763</v>
      </c>
      <c r="H579" s="24" t="s">
        <v>20135</v>
      </c>
      <c r="I579" s="22" t="s">
        <v>19309</v>
      </c>
      <c r="J579" s="22" t="s">
        <v>19815</v>
      </c>
      <c r="K579" s="22" t="s">
        <v>19816</v>
      </c>
      <c r="L579" s="22"/>
      <c r="M579" s="22"/>
      <c r="N579" s="25" t="str">
        <f>HYPERLINK("http://slimages.macys.com/is/image/MCY/23423563 ")</f>
        <v xml:space="preserve">http://slimages.macys.com/is/image/MCY/23423563 </v>
      </c>
    </row>
    <row r="580" spans="1:14" ht="24.75" x14ac:dyDescent="0.25">
      <c r="A580" s="21" t="s">
        <v>7093</v>
      </c>
      <c r="B580" s="22" t="s">
        <v>7094</v>
      </c>
      <c r="C580" s="2">
        <v>1</v>
      </c>
      <c r="D580" s="23">
        <v>7.99</v>
      </c>
      <c r="E580" s="3">
        <v>7.99</v>
      </c>
      <c r="F580" s="2" t="s">
        <v>8607</v>
      </c>
      <c r="G580" s="22" t="s">
        <v>19518</v>
      </c>
      <c r="H580" s="24" t="s">
        <v>20135</v>
      </c>
      <c r="I580" s="22" t="s">
        <v>19309</v>
      </c>
      <c r="J580" s="22" t="s">
        <v>19573</v>
      </c>
      <c r="K580" s="22" t="s">
        <v>19574</v>
      </c>
      <c r="L580" s="22"/>
      <c r="M580" s="22"/>
      <c r="N580" s="25" t="str">
        <f>HYPERLINK("http://slimages.macys.com/is/image/MCY/1340161 ")</f>
        <v xml:space="preserve">http://slimages.macys.com/is/image/MCY/1340161 </v>
      </c>
    </row>
    <row r="581" spans="1:14" ht="24.75" x14ac:dyDescent="0.25">
      <c r="A581" s="21" t="s">
        <v>18976</v>
      </c>
      <c r="B581" s="22" t="s">
        <v>18977</v>
      </c>
      <c r="C581" s="2">
        <v>1</v>
      </c>
      <c r="D581" s="23">
        <v>8.99</v>
      </c>
      <c r="E581" s="3">
        <v>8.99</v>
      </c>
      <c r="F581" s="2" t="s">
        <v>18978</v>
      </c>
      <c r="G581" s="22" t="s">
        <v>19467</v>
      </c>
      <c r="H581" s="24"/>
      <c r="I581" s="22" t="s">
        <v>19309</v>
      </c>
      <c r="J581" s="22" t="s">
        <v>19573</v>
      </c>
      <c r="K581" s="22" t="s">
        <v>19574</v>
      </c>
      <c r="L581" s="22"/>
      <c r="M581" s="22"/>
      <c r="N581" s="25" t="str">
        <f>HYPERLINK("http://slimages.macys.com/is/image/MCY/1537013 ")</f>
        <v xml:space="preserve">http://slimages.macys.com/is/image/MCY/1537013 </v>
      </c>
    </row>
    <row r="582" spans="1:14" ht="24.75" x14ac:dyDescent="0.25">
      <c r="A582" s="21" t="s">
        <v>7095</v>
      </c>
      <c r="B582" s="22" t="s">
        <v>7096</v>
      </c>
      <c r="C582" s="2">
        <v>1</v>
      </c>
      <c r="D582" s="23">
        <v>6.99</v>
      </c>
      <c r="E582" s="3">
        <v>6.99</v>
      </c>
      <c r="F582" s="2" t="s">
        <v>17054</v>
      </c>
      <c r="G582" s="22" t="s">
        <v>19415</v>
      </c>
      <c r="H582" s="24" t="s">
        <v>19330</v>
      </c>
      <c r="I582" s="22" t="s">
        <v>19309</v>
      </c>
      <c r="J582" s="22" t="s">
        <v>19573</v>
      </c>
      <c r="K582" s="22" t="s">
        <v>19574</v>
      </c>
      <c r="L582" s="22"/>
      <c r="M582" s="22"/>
      <c r="N582" s="25" t="str">
        <f>HYPERLINK("http://slimages.macys.com/is/image/MCY/1599621 ")</f>
        <v xml:space="preserve">http://slimages.macys.com/is/image/MCY/1599621 </v>
      </c>
    </row>
    <row r="583" spans="1:14" ht="24.75" x14ac:dyDescent="0.25">
      <c r="A583" s="21" t="s">
        <v>8013</v>
      </c>
      <c r="B583" s="22" t="s">
        <v>8014</v>
      </c>
      <c r="C583" s="2">
        <v>1</v>
      </c>
      <c r="D583" s="23">
        <v>7.99</v>
      </c>
      <c r="E583" s="3">
        <v>7.99</v>
      </c>
      <c r="F583" s="2" t="s">
        <v>8012</v>
      </c>
      <c r="G583" s="22" t="s">
        <v>19351</v>
      </c>
      <c r="H583" s="24" t="s">
        <v>20089</v>
      </c>
      <c r="I583" s="22" t="s">
        <v>19309</v>
      </c>
      <c r="J583" s="22" t="s">
        <v>19573</v>
      </c>
      <c r="K583" s="22" t="s">
        <v>19574</v>
      </c>
      <c r="L583" s="22"/>
      <c r="M583" s="22"/>
      <c r="N583" s="25" t="str">
        <f>HYPERLINK("http://slimages.macys.com/is/image/MCY/21209038 ")</f>
        <v xml:space="preserve">http://slimages.macys.com/is/image/MCY/21209038 </v>
      </c>
    </row>
    <row r="584" spans="1:14" ht="24.75" x14ac:dyDescent="0.25">
      <c r="A584" s="21" t="s">
        <v>12558</v>
      </c>
      <c r="B584" s="22" t="s">
        <v>12559</v>
      </c>
      <c r="C584" s="2">
        <v>1</v>
      </c>
      <c r="D584" s="23">
        <v>7.99</v>
      </c>
      <c r="E584" s="3">
        <v>7.99</v>
      </c>
      <c r="F584" s="2" t="s">
        <v>12560</v>
      </c>
      <c r="G584" s="22" t="s">
        <v>19351</v>
      </c>
      <c r="H584" s="24" t="s">
        <v>19907</v>
      </c>
      <c r="I584" s="22" t="s">
        <v>19309</v>
      </c>
      <c r="J584" s="22" t="s">
        <v>19573</v>
      </c>
      <c r="K584" s="22" t="s">
        <v>19574</v>
      </c>
      <c r="L584" s="22"/>
      <c r="M584" s="22"/>
      <c r="N584" s="25" t="str">
        <f>HYPERLINK("http://slimages.macys.com/is/image/MCY/20753669 ")</f>
        <v xml:space="preserve">http://slimages.macys.com/is/image/MCY/20753669 </v>
      </c>
    </row>
    <row r="585" spans="1:14" ht="24.75" x14ac:dyDescent="0.25">
      <c r="A585" s="21" t="s">
        <v>7097</v>
      </c>
      <c r="B585" s="22" t="s">
        <v>7098</v>
      </c>
      <c r="C585" s="2">
        <v>1</v>
      </c>
      <c r="D585" s="23">
        <v>6.99</v>
      </c>
      <c r="E585" s="3">
        <v>6.99</v>
      </c>
      <c r="F585" s="2" t="s">
        <v>7099</v>
      </c>
      <c r="G585" s="22" t="s">
        <v>19351</v>
      </c>
      <c r="H585" s="24" t="s">
        <v>19352</v>
      </c>
      <c r="I585" s="22" t="s">
        <v>19309</v>
      </c>
      <c r="J585" s="22" t="s">
        <v>19353</v>
      </c>
      <c r="K585" s="22" t="s">
        <v>19354</v>
      </c>
      <c r="L585" s="22"/>
      <c r="M585" s="22"/>
      <c r="N585" s="25" t="str">
        <f>HYPERLINK("http://slimages.macys.com/is/image/MCY/1312938 ")</f>
        <v xml:space="preserve">http://slimages.macys.com/is/image/MCY/1312938 </v>
      </c>
    </row>
    <row r="586" spans="1:14" ht="24.75" x14ac:dyDescent="0.25">
      <c r="A586" s="21" t="s">
        <v>7100</v>
      </c>
      <c r="B586" s="22" t="s">
        <v>7101</v>
      </c>
      <c r="C586" s="2">
        <v>1</v>
      </c>
      <c r="D586" s="23">
        <v>7.99</v>
      </c>
      <c r="E586" s="3">
        <v>7.99</v>
      </c>
      <c r="F586" s="2" t="s">
        <v>7102</v>
      </c>
      <c r="G586" s="22" t="s">
        <v>19585</v>
      </c>
      <c r="H586" s="24" t="s">
        <v>20089</v>
      </c>
      <c r="I586" s="22" t="s">
        <v>19309</v>
      </c>
      <c r="J586" s="22" t="s">
        <v>19573</v>
      </c>
      <c r="K586" s="22" t="s">
        <v>19574</v>
      </c>
      <c r="L586" s="22"/>
      <c r="M586" s="22"/>
      <c r="N586" s="25" t="str">
        <f>HYPERLINK("http://slimages.macys.com/is/image/MCY/1122116 ")</f>
        <v xml:space="preserve">http://slimages.macys.com/is/image/MCY/1122116 </v>
      </c>
    </row>
    <row r="587" spans="1:14" ht="24.75" x14ac:dyDescent="0.25">
      <c r="A587" s="21" t="s">
        <v>7103</v>
      </c>
      <c r="B587" s="22" t="s">
        <v>7104</v>
      </c>
      <c r="C587" s="2">
        <v>1</v>
      </c>
      <c r="D587" s="23">
        <v>7.99</v>
      </c>
      <c r="E587" s="3">
        <v>7.99</v>
      </c>
      <c r="F587" s="2" t="s">
        <v>13449</v>
      </c>
      <c r="G587" s="22" t="s">
        <v>19431</v>
      </c>
      <c r="H587" s="24" t="s">
        <v>20135</v>
      </c>
      <c r="I587" s="22" t="s">
        <v>19309</v>
      </c>
      <c r="J587" s="22" t="s">
        <v>19573</v>
      </c>
      <c r="K587" s="22" t="s">
        <v>19574</v>
      </c>
      <c r="L587" s="22"/>
      <c r="M587" s="22"/>
      <c r="N587" s="25" t="str">
        <f>HYPERLINK("http://slimages.macys.com/is/image/MCY/21209169 ")</f>
        <v xml:space="preserve">http://slimages.macys.com/is/image/MCY/21209169 </v>
      </c>
    </row>
    <row r="588" spans="1:14" x14ac:dyDescent="0.25">
      <c r="A588" s="21" t="s">
        <v>17069</v>
      </c>
      <c r="B588" s="22" t="s">
        <v>17070</v>
      </c>
      <c r="C588" s="2">
        <v>2</v>
      </c>
      <c r="D588" s="23">
        <v>6.99</v>
      </c>
      <c r="E588" s="3">
        <v>13.98</v>
      </c>
      <c r="F588" s="2" t="s">
        <v>19035</v>
      </c>
      <c r="G588" s="22" t="s">
        <v>19351</v>
      </c>
      <c r="H588" s="24" t="s">
        <v>19364</v>
      </c>
      <c r="I588" s="22" t="s">
        <v>19309</v>
      </c>
      <c r="J588" s="22" t="s">
        <v>19849</v>
      </c>
      <c r="K588" s="22" t="s">
        <v>19850</v>
      </c>
      <c r="L588" s="22"/>
      <c r="M588" s="22"/>
      <c r="N588" s="25" t="str">
        <f>HYPERLINK("http://slimages.macys.com/is/image/MCY/19068309 ")</f>
        <v xml:space="preserve">http://slimages.macys.com/is/image/MCY/19068309 </v>
      </c>
    </row>
    <row r="589" spans="1:14" ht="24.75" x14ac:dyDescent="0.25">
      <c r="A589" s="21" t="s">
        <v>7105</v>
      </c>
      <c r="B589" s="22" t="s">
        <v>7106</v>
      </c>
      <c r="C589" s="2">
        <v>1</v>
      </c>
      <c r="D589" s="23">
        <v>7.99</v>
      </c>
      <c r="E589" s="3">
        <v>7.99</v>
      </c>
      <c r="F589" s="2" t="s">
        <v>7107</v>
      </c>
      <c r="G589" s="22" t="s">
        <v>19674</v>
      </c>
      <c r="H589" s="24" t="s">
        <v>20135</v>
      </c>
      <c r="I589" s="22" t="s">
        <v>19309</v>
      </c>
      <c r="J589" s="22" t="s">
        <v>19573</v>
      </c>
      <c r="K589" s="22" t="s">
        <v>19574</v>
      </c>
      <c r="L589" s="22"/>
      <c r="M589" s="22"/>
      <c r="N589" s="25" t="str">
        <f>HYPERLINK("http://slimages.macys.com/is/image/MCY/1104358 ")</f>
        <v xml:space="preserve">http://slimages.macys.com/is/image/MCY/1104358 </v>
      </c>
    </row>
    <row r="590" spans="1:14" ht="24.75" x14ac:dyDescent="0.25">
      <c r="A590" s="21" t="s">
        <v>7108</v>
      </c>
      <c r="B590" s="22" t="s">
        <v>7109</v>
      </c>
      <c r="C590" s="2">
        <v>2</v>
      </c>
      <c r="D590" s="23">
        <v>7.99</v>
      </c>
      <c r="E590" s="3">
        <v>15.98</v>
      </c>
      <c r="F590" s="2" t="s">
        <v>7107</v>
      </c>
      <c r="G590" s="22" t="s">
        <v>19674</v>
      </c>
      <c r="H590" s="24" t="s">
        <v>19907</v>
      </c>
      <c r="I590" s="22" t="s">
        <v>19309</v>
      </c>
      <c r="J590" s="22" t="s">
        <v>19573</v>
      </c>
      <c r="K590" s="22" t="s">
        <v>19574</v>
      </c>
      <c r="L590" s="22"/>
      <c r="M590" s="22"/>
      <c r="N590" s="25" t="str">
        <f>HYPERLINK("http://slimages.macys.com/is/image/MCY/1104358 ")</f>
        <v xml:space="preserve">http://slimages.macys.com/is/image/MCY/1104358 </v>
      </c>
    </row>
    <row r="591" spans="1:14" ht="24.75" x14ac:dyDescent="0.25">
      <c r="A591" s="21" t="s">
        <v>14225</v>
      </c>
      <c r="B591" s="22" t="s">
        <v>14226</v>
      </c>
      <c r="C591" s="2">
        <v>1</v>
      </c>
      <c r="D591" s="23">
        <v>7.99</v>
      </c>
      <c r="E591" s="3">
        <v>7.99</v>
      </c>
      <c r="F591" s="2" t="s">
        <v>17100</v>
      </c>
      <c r="G591" s="22" t="s">
        <v>19814</v>
      </c>
      <c r="H591" s="24" t="s">
        <v>19432</v>
      </c>
      <c r="I591" s="22" t="s">
        <v>19309</v>
      </c>
      <c r="J591" s="22" t="s">
        <v>19815</v>
      </c>
      <c r="K591" s="22" t="s">
        <v>19816</v>
      </c>
      <c r="L591" s="22"/>
      <c r="M591" s="22"/>
      <c r="N591" s="25" t="str">
        <f>HYPERLINK("http://slimages.macys.com/is/image/MCY/21188057 ")</f>
        <v xml:space="preserve">http://slimages.macys.com/is/image/MCY/21188057 </v>
      </c>
    </row>
    <row r="592" spans="1:14" ht="24.75" x14ac:dyDescent="0.25">
      <c r="A592" s="21" t="s">
        <v>7110</v>
      </c>
      <c r="B592" s="22" t="s">
        <v>5270</v>
      </c>
      <c r="C592" s="2">
        <v>1</v>
      </c>
      <c r="D592" s="23">
        <v>7.99</v>
      </c>
      <c r="E592" s="3">
        <v>7.99</v>
      </c>
      <c r="F592" s="2" t="s">
        <v>6239</v>
      </c>
      <c r="G592" s="22" t="s">
        <v>19351</v>
      </c>
      <c r="H592" s="24" t="s">
        <v>19907</v>
      </c>
      <c r="I592" s="22" t="s">
        <v>19309</v>
      </c>
      <c r="J592" s="22" t="s">
        <v>19573</v>
      </c>
      <c r="K592" s="22" t="s">
        <v>19574</v>
      </c>
      <c r="L592" s="22"/>
      <c r="M592" s="22"/>
      <c r="N592" s="25" t="str">
        <f>HYPERLINK("http://slimages.macys.com/is/image/MCY/21088629 ")</f>
        <v xml:space="preserve">http://slimages.macys.com/is/image/MCY/21088629 </v>
      </c>
    </row>
    <row r="593" spans="1:14" ht="24.75" x14ac:dyDescent="0.25">
      <c r="A593" s="21" t="s">
        <v>5271</v>
      </c>
      <c r="B593" s="22" t="s">
        <v>5272</v>
      </c>
      <c r="C593" s="2">
        <v>1</v>
      </c>
      <c r="D593" s="23">
        <v>4.99</v>
      </c>
      <c r="E593" s="3">
        <v>4.99</v>
      </c>
      <c r="F593" s="2">
        <v>4101</v>
      </c>
      <c r="G593" s="22" t="s">
        <v>19422</v>
      </c>
      <c r="H593" s="24" t="s">
        <v>19364</v>
      </c>
      <c r="I593" s="22" t="s">
        <v>19309</v>
      </c>
      <c r="J593" s="22" t="s">
        <v>20076</v>
      </c>
      <c r="K593" s="22" t="s">
        <v>20077</v>
      </c>
      <c r="L593" s="22"/>
      <c r="M593" s="22"/>
      <c r="N593" s="25" t="str">
        <f>HYPERLINK("http://slimages.macys.com/is/image/MCY/19939990 ")</f>
        <v xml:space="preserve">http://slimages.macys.com/is/image/MCY/19939990 </v>
      </c>
    </row>
    <row r="594" spans="1:14" ht="24.75" x14ac:dyDescent="0.25">
      <c r="A594" s="21" t="s">
        <v>5273</v>
      </c>
      <c r="B594" s="22" t="s">
        <v>5274</v>
      </c>
      <c r="C594" s="2">
        <v>1</v>
      </c>
      <c r="D594" s="23">
        <v>4.99</v>
      </c>
      <c r="E594" s="3">
        <v>4.99</v>
      </c>
      <c r="F594" s="2">
        <v>4101</v>
      </c>
      <c r="G594" s="22" t="s">
        <v>19422</v>
      </c>
      <c r="H594" s="24" t="s">
        <v>19352</v>
      </c>
      <c r="I594" s="22" t="s">
        <v>19309</v>
      </c>
      <c r="J594" s="22" t="s">
        <v>20076</v>
      </c>
      <c r="K594" s="22" t="s">
        <v>20077</v>
      </c>
      <c r="L594" s="22"/>
      <c r="M594" s="22"/>
      <c r="N594" s="25" t="str">
        <f>HYPERLINK("http://slimages.macys.com/is/image/MCY/19939990 ")</f>
        <v xml:space="preserve">http://slimages.macys.com/is/image/MCY/19939990 </v>
      </c>
    </row>
    <row r="595" spans="1:14" ht="24.75" x14ac:dyDescent="0.25">
      <c r="A595" s="21" t="s">
        <v>5275</v>
      </c>
      <c r="B595" s="22" t="s">
        <v>5276</v>
      </c>
      <c r="C595" s="2">
        <v>1</v>
      </c>
      <c r="D595" s="23">
        <v>5.99</v>
      </c>
      <c r="E595" s="3">
        <v>5.99</v>
      </c>
      <c r="F595" s="2" t="s">
        <v>8464</v>
      </c>
      <c r="G595" s="22" t="s">
        <v>19315</v>
      </c>
      <c r="H595" s="24" t="s">
        <v>19432</v>
      </c>
      <c r="I595" s="22" t="s">
        <v>19309</v>
      </c>
      <c r="J595" s="22" t="s">
        <v>19454</v>
      </c>
      <c r="K595" s="22" t="s">
        <v>19524</v>
      </c>
      <c r="L595" s="22"/>
      <c r="M595" s="22"/>
      <c r="N595" s="25" t="str">
        <f>HYPERLINK("http://slimages.macys.com/is/image/MCY/19239571 ")</f>
        <v xml:space="preserve">http://slimages.macys.com/is/image/MCY/19239571 </v>
      </c>
    </row>
    <row r="596" spans="1:14" ht="24.75" x14ac:dyDescent="0.25">
      <c r="A596" s="21" t="s">
        <v>5277</v>
      </c>
      <c r="B596" s="22" t="s">
        <v>5278</v>
      </c>
      <c r="C596" s="2">
        <v>1</v>
      </c>
      <c r="D596" s="23">
        <v>5.99</v>
      </c>
      <c r="E596" s="3">
        <v>5.99</v>
      </c>
      <c r="F596" s="2" t="s">
        <v>6248</v>
      </c>
      <c r="G596" s="22" t="s">
        <v>19351</v>
      </c>
      <c r="H596" s="24" t="s">
        <v>19384</v>
      </c>
      <c r="I596" s="22" t="s">
        <v>19309</v>
      </c>
      <c r="J596" s="22" t="s">
        <v>19573</v>
      </c>
      <c r="K596" s="22" t="s">
        <v>19574</v>
      </c>
      <c r="L596" s="22"/>
      <c r="M596" s="22"/>
      <c r="N596" s="25" t="str">
        <f>HYPERLINK("http://slimages.macys.com/is/image/MCY/1520629 ")</f>
        <v xml:space="preserve">http://slimages.macys.com/is/image/MCY/1520629 </v>
      </c>
    </row>
    <row r="597" spans="1:14" ht="24.75" x14ac:dyDescent="0.25">
      <c r="A597" s="21" t="s">
        <v>9690</v>
      </c>
      <c r="B597" s="22" t="s">
        <v>9691</v>
      </c>
      <c r="C597" s="2">
        <v>1</v>
      </c>
      <c r="D597" s="23">
        <v>7.99</v>
      </c>
      <c r="E597" s="3">
        <v>7.99</v>
      </c>
      <c r="F597" s="2" t="s">
        <v>11143</v>
      </c>
      <c r="G597" s="22" t="s">
        <v>19670</v>
      </c>
      <c r="H597" s="24" t="s">
        <v>19907</v>
      </c>
      <c r="I597" s="22" t="s">
        <v>19309</v>
      </c>
      <c r="J597" s="22" t="s">
        <v>19573</v>
      </c>
      <c r="K597" s="22" t="s">
        <v>19574</v>
      </c>
      <c r="L597" s="22"/>
      <c r="M597" s="22"/>
      <c r="N597" s="25" t="str">
        <f>HYPERLINK("http://slimages.macys.com/is/image/MCY/21209533 ")</f>
        <v xml:space="preserve">http://slimages.macys.com/is/image/MCY/21209533 </v>
      </c>
    </row>
    <row r="598" spans="1:14" ht="24.75" x14ac:dyDescent="0.25">
      <c r="A598" s="21" t="s">
        <v>9246</v>
      </c>
      <c r="B598" s="22" t="s">
        <v>9247</v>
      </c>
      <c r="C598" s="2">
        <v>2</v>
      </c>
      <c r="D598" s="23">
        <v>7.99</v>
      </c>
      <c r="E598" s="3">
        <v>15.98</v>
      </c>
      <c r="F598" s="2" t="s">
        <v>11143</v>
      </c>
      <c r="G598" s="22" t="s">
        <v>19670</v>
      </c>
      <c r="H598" s="24" t="s">
        <v>20089</v>
      </c>
      <c r="I598" s="22" t="s">
        <v>19309</v>
      </c>
      <c r="J598" s="22" t="s">
        <v>19573</v>
      </c>
      <c r="K598" s="22" t="s">
        <v>19574</v>
      </c>
      <c r="L598" s="22"/>
      <c r="M598" s="22"/>
      <c r="N598" s="25" t="str">
        <f>HYPERLINK("http://slimages.macys.com/is/image/MCY/21209533 ")</f>
        <v xml:space="preserve">http://slimages.macys.com/is/image/MCY/21209533 </v>
      </c>
    </row>
    <row r="599" spans="1:14" ht="24.75" x14ac:dyDescent="0.25">
      <c r="A599" s="21" t="s">
        <v>14783</v>
      </c>
      <c r="B599" s="22" t="s">
        <v>14784</v>
      </c>
      <c r="C599" s="2">
        <v>3</v>
      </c>
      <c r="D599" s="23">
        <v>11.99</v>
      </c>
      <c r="E599" s="3">
        <v>35.97</v>
      </c>
      <c r="F599" s="2" t="s">
        <v>14785</v>
      </c>
      <c r="G599" s="22" t="s">
        <v>19383</v>
      </c>
      <c r="H599" s="24" t="s">
        <v>19352</v>
      </c>
      <c r="I599" s="22" t="s">
        <v>19309</v>
      </c>
      <c r="J599" s="22" t="s">
        <v>20076</v>
      </c>
      <c r="K599" s="22" t="s">
        <v>20077</v>
      </c>
      <c r="L599" s="22" t="s">
        <v>19319</v>
      </c>
      <c r="M599" s="22" t="s">
        <v>19209</v>
      </c>
      <c r="N599" s="25" t="str">
        <f>HYPERLINK("http://slimages.macys.com/is/image/MCY/3325503 ")</f>
        <v xml:space="preserve">http://slimages.macys.com/is/image/MCY/3325503 </v>
      </c>
    </row>
    <row r="600" spans="1:14" ht="24.75" x14ac:dyDescent="0.25">
      <c r="A600" s="21" t="s">
        <v>5279</v>
      </c>
      <c r="B600" s="22" t="s">
        <v>5280</v>
      </c>
      <c r="C600" s="2">
        <v>2</v>
      </c>
      <c r="D600" s="23">
        <v>11.99</v>
      </c>
      <c r="E600" s="3">
        <v>23.98</v>
      </c>
      <c r="F600" s="2" t="s">
        <v>14785</v>
      </c>
      <c r="G600" s="22" t="s">
        <v>19383</v>
      </c>
      <c r="H600" s="24" t="s">
        <v>19797</v>
      </c>
      <c r="I600" s="22" t="s">
        <v>19309</v>
      </c>
      <c r="J600" s="22" t="s">
        <v>20076</v>
      </c>
      <c r="K600" s="22" t="s">
        <v>20077</v>
      </c>
      <c r="L600" s="22" t="s">
        <v>19319</v>
      </c>
      <c r="M600" s="22" t="s">
        <v>19209</v>
      </c>
      <c r="N600" s="25" t="str">
        <f>HYPERLINK("http://slimages.macys.com/is/image/MCY/3325503 ")</f>
        <v xml:space="preserve">http://slimages.macys.com/is/image/MCY/3325503 </v>
      </c>
    </row>
    <row r="601" spans="1:14" ht="24.75" x14ac:dyDescent="0.25">
      <c r="A601" s="21" t="s">
        <v>5281</v>
      </c>
      <c r="B601" s="22" t="s">
        <v>5282</v>
      </c>
      <c r="C601" s="2">
        <v>1</v>
      </c>
      <c r="D601" s="23">
        <v>4.99</v>
      </c>
      <c r="E601" s="3">
        <v>4.99</v>
      </c>
      <c r="F601" s="2">
        <v>4101</v>
      </c>
      <c r="G601" s="22" t="s">
        <v>19351</v>
      </c>
      <c r="H601" s="24" t="s">
        <v>19339</v>
      </c>
      <c r="I601" s="22" t="s">
        <v>19309</v>
      </c>
      <c r="J601" s="22" t="s">
        <v>20076</v>
      </c>
      <c r="K601" s="22" t="s">
        <v>20077</v>
      </c>
      <c r="L601" s="22"/>
      <c r="M601" s="22"/>
      <c r="N601" s="25" t="str">
        <f>HYPERLINK("http://slimages.macys.com/is/image/MCY/19939990 ")</f>
        <v xml:space="preserve">http://slimages.macys.com/is/image/MCY/19939990 </v>
      </c>
    </row>
    <row r="602" spans="1:14" ht="24.75" x14ac:dyDescent="0.25">
      <c r="A602" s="21" t="s">
        <v>14788</v>
      </c>
      <c r="B602" s="22" t="s">
        <v>14789</v>
      </c>
      <c r="C602" s="2">
        <v>2</v>
      </c>
      <c r="D602" s="23">
        <v>11.99</v>
      </c>
      <c r="E602" s="3">
        <v>23.98</v>
      </c>
      <c r="F602" s="2" t="s">
        <v>14785</v>
      </c>
      <c r="G602" s="22" t="s">
        <v>19383</v>
      </c>
      <c r="H602" s="24" t="s">
        <v>19339</v>
      </c>
      <c r="I602" s="22" t="s">
        <v>19309</v>
      </c>
      <c r="J602" s="22" t="s">
        <v>20076</v>
      </c>
      <c r="K602" s="22" t="s">
        <v>20077</v>
      </c>
      <c r="L602" s="22" t="s">
        <v>19319</v>
      </c>
      <c r="M602" s="22" t="s">
        <v>19209</v>
      </c>
      <c r="N602" s="25" t="str">
        <f>HYPERLINK("http://slimages.macys.com/is/image/MCY/3325503 ")</f>
        <v xml:space="preserve">http://slimages.macys.com/is/image/MCY/3325503 </v>
      </c>
    </row>
    <row r="603" spans="1:14" ht="24.75" x14ac:dyDescent="0.25">
      <c r="A603" s="21" t="s">
        <v>5283</v>
      </c>
      <c r="B603" s="22" t="s">
        <v>5284</v>
      </c>
      <c r="C603" s="2">
        <v>1</v>
      </c>
      <c r="D603" s="23">
        <v>4.99</v>
      </c>
      <c r="E603" s="3">
        <v>4.99</v>
      </c>
      <c r="F603" s="2">
        <v>4101</v>
      </c>
      <c r="G603" s="22" t="s">
        <v>19351</v>
      </c>
      <c r="H603" s="24" t="s">
        <v>19364</v>
      </c>
      <c r="I603" s="22" t="s">
        <v>19309</v>
      </c>
      <c r="J603" s="22" t="s">
        <v>20076</v>
      </c>
      <c r="K603" s="22" t="s">
        <v>20077</v>
      </c>
      <c r="L603" s="22"/>
      <c r="M603" s="22"/>
      <c r="N603" s="25" t="str">
        <f>HYPERLINK("http://slimages.macys.com/is/image/MCY/19939990 ")</f>
        <v xml:space="preserve">http://slimages.macys.com/is/image/MCY/19939990 </v>
      </c>
    </row>
    <row r="604" spans="1:14" ht="24.75" x14ac:dyDescent="0.25">
      <c r="A604" s="21" t="s">
        <v>14786</v>
      </c>
      <c r="B604" s="22" t="s">
        <v>14787</v>
      </c>
      <c r="C604" s="2">
        <v>3</v>
      </c>
      <c r="D604" s="23">
        <v>11.99</v>
      </c>
      <c r="E604" s="3">
        <v>35.97</v>
      </c>
      <c r="F604" s="2" t="s">
        <v>14785</v>
      </c>
      <c r="G604" s="22" t="s">
        <v>19383</v>
      </c>
      <c r="H604" s="24" t="s">
        <v>19364</v>
      </c>
      <c r="I604" s="22" t="s">
        <v>19309</v>
      </c>
      <c r="J604" s="22" t="s">
        <v>20076</v>
      </c>
      <c r="K604" s="22" t="s">
        <v>20077</v>
      </c>
      <c r="L604" s="22" t="s">
        <v>19319</v>
      </c>
      <c r="M604" s="22" t="s">
        <v>19209</v>
      </c>
      <c r="N604" s="25" t="str">
        <f>HYPERLINK("http://slimages.macys.com/is/image/MCY/3325503 ")</f>
        <v xml:space="preserve">http://slimages.macys.com/is/image/MCY/3325503 </v>
      </c>
    </row>
    <row r="605" spans="1:14" ht="24.75" x14ac:dyDescent="0.25">
      <c r="A605" s="21" t="s">
        <v>5285</v>
      </c>
      <c r="B605" s="22" t="s">
        <v>5286</v>
      </c>
      <c r="C605" s="2">
        <v>1</v>
      </c>
      <c r="D605" s="23">
        <v>7.99</v>
      </c>
      <c r="E605" s="3">
        <v>7.99</v>
      </c>
      <c r="F605" s="2" t="s">
        <v>5287</v>
      </c>
      <c r="G605" s="22" t="s">
        <v>19467</v>
      </c>
      <c r="H605" s="24" t="s">
        <v>20135</v>
      </c>
      <c r="I605" s="22" t="s">
        <v>19309</v>
      </c>
      <c r="J605" s="22" t="s">
        <v>19573</v>
      </c>
      <c r="K605" s="22" t="s">
        <v>19574</v>
      </c>
      <c r="L605" s="22"/>
      <c r="M605" s="22"/>
      <c r="N605" s="25" t="str">
        <f>HYPERLINK("http://slimages.macys.com/is/image/MCY/1017764 ")</f>
        <v xml:space="preserve">http://slimages.macys.com/is/image/MCY/1017764 </v>
      </c>
    </row>
    <row r="606" spans="1:14" ht="24.75" x14ac:dyDescent="0.25">
      <c r="A606" s="21" t="s">
        <v>11147</v>
      </c>
      <c r="B606" s="22" t="s">
        <v>11148</v>
      </c>
      <c r="C606" s="2">
        <v>3</v>
      </c>
      <c r="D606" s="23">
        <v>7.99</v>
      </c>
      <c r="E606" s="3">
        <v>23.97</v>
      </c>
      <c r="F606" s="2" t="s">
        <v>11146</v>
      </c>
      <c r="G606" s="22" t="s">
        <v>19351</v>
      </c>
      <c r="H606" s="24" t="s">
        <v>20089</v>
      </c>
      <c r="I606" s="22" t="s">
        <v>19309</v>
      </c>
      <c r="J606" s="22" t="s">
        <v>19573</v>
      </c>
      <c r="K606" s="22" t="s">
        <v>19574</v>
      </c>
      <c r="L606" s="22"/>
      <c r="M606" s="22"/>
      <c r="N606" s="25" t="str">
        <f>HYPERLINK("http://slimages.macys.com/is/image/MCY/21209453 ")</f>
        <v xml:space="preserve">http://slimages.macys.com/is/image/MCY/21209453 </v>
      </c>
    </row>
    <row r="607" spans="1:14" ht="24.75" x14ac:dyDescent="0.25">
      <c r="A607" s="21" t="s">
        <v>5288</v>
      </c>
      <c r="B607" s="22" t="s">
        <v>5289</v>
      </c>
      <c r="C607" s="2">
        <v>2</v>
      </c>
      <c r="D607" s="23">
        <v>5.99</v>
      </c>
      <c r="E607" s="3">
        <v>11.98</v>
      </c>
      <c r="F607" s="2" t="s">
        <v>5290</v>
      </c>
      <c r="G607" s="22" t="s">
        <v>19351</v>
      </c>
      <c r="H607" s="24" t="s">
        <v>19330</v>
      </c>
      <c r="I607" s="22" t="s">
        <v>19309</v>
      </c>
      <c r="J607" s="22" t="s">
        <v>19573</v>
      </c>
      <c r="K607" s="22" t="s">
        <v>19574</v>
      </c>
      <c r="L607" s="22"/>
      <c r="M607" s="22"/>
      <c r="N607" s="25" t="str">
        <f>HYPERLINK("http://slimages.macys.com/is/image/MCY/20736373 ")</f>
        <v xml:space="preserve">http://slimages.macys.com/is/image/MCY/20736373 </v>
      </c>
    </row>
    <row r="608" spans="1:14" ht="24.75" x14ac:dyDescent="0.25">
      <c r="A608" s="21" t="s">
        <v>5291</v>
      </c>
      <c r="B608" s="22" t="s">
        <v>5292</v>
      </c>
      <c r="C608" s="2">
        <v>1</v>
      </c>
      <c r="D608" s="23">
        <v>5.99</v>
      </c>
      <c r="E608" s="3">
        <v>5.99</v>
      </c>
      <c r="F608" s="2" t="s">
        <v>5290</v>
      </c>
      <c r="G608" s="22" t="s">
        <v>19351</v>
      </c>
      <c r="H608" s="24" t="s">
        <v>19416</v>
      </c>
      <c r="I608" s="22" t="s">
        <v>19309</v>
      </c>
      <c r="J608" s="22" t="s">
        <v>19573</v>
      </c>
      <c r="K608" s="22" t="s">
        <v>19574</v>
      </c>
      <c r="L608" s="22"/>
      <c r="M608" s="22"/>
      <c r="N608" s="25" t="str">
        <f>HYPERLINK("http://slimages.macys.com/is/image/MCY/20736373 ")</f>
        <v xml:space="preserve">http://slimages.macys.com/is/image/MCY/20736373 </v>
      </c>
    </row>
    <row r="609" spans="1:14" ht="24.75" x14ac:dyDescent="0.25">
      <c r="A609" s="21" t="s">
        <v>5293</v>
      </c>
      <c r="B609" s="22" t="s">
        <v>5294</v>
      </c>
      <c r="C609" s="2">
        <v>1</v>
      </c>
      <c r="D609" s="23">
        <v>5.99</v>
      </c>
      <c r="E609" s="3">
        <v>5.99</v>
      </c>
      <c r="F609" s="2" t="s">
        <v>17150</v>
      </c>
      <c r="G609" s="22" t="s">
        <v>19315</v>
      </c>
      <c r="H609" s="24" t="s">
        <v>19324</v>
      </c>
      <c r="I609" s="22" t="s">
        <v>19309</v>
      </c>
      <c r="J609" s="22" t="s">
        <v>19573</v>
      </c>
      <c r="K609" s="22" t="s">
        <v>19574</v>
      </c>
      <c r="L609" s="22"/>
      <c r="M609" s="22"/>
      <c r="N609" s="25" t="str">
        <f>HYPERLINK("http://slimages.macys.com/is/image/MCY/21209570 ")</f>
        <v xml:space="preserve">http://slimages.macys.com/is/image/MCY/21209570 </v>
      </c>
    </row>
    <row r="610" spans="1:14" ht="24.75" x14ac:dyDescent="0.25">
      <c r="A610" s="21" t="s">
        <v>5295</v>
      </c>
      <c r="B610" s="22" t="s">
        <v>5296</v>
      </c>
      <c r="C610" s="2">
        <v>4</v>
      </c>
      <c r="D610" s="23">
        <v>7.99</v>
      </c>
      <c r="E610" s="3">
        <v>31.96</v>
      </c>
      <c r="F610" s="2" t="s">
        <v>9270</v>
      </c>
      <c r="G610" s="22" t="s">
        <v>19618</v>
      </c>
      <c r="H610" s="24" t="s">
        <v>20089</v>
      </c>
      <c r="I610" s="22" t="s">
        <v>19309</v>
      </c>
      <c r="J610" s="22" t="s">
        <v>19573</v>
      </c>
      <c r="K610" s="22" t="s">
        <v>19574</v>
      </c>
      <c r="L610" s="22"/>
      <c r="M610" s="22"/>
      <c r="N610" s="25" t="str">
        <f>HYPERLINK("http://slimages.macys.com/is/image/MCY/21089253 ")</f>
        <v xml:space="preserve">http://slimages.macys.com/is/image/MCY/21089253 </v>
      </c>
    </row>
    <row r="611" spans="1:14" ht="24.75" x14ac:dyDescent="0.25">
      <c r="A611" s="21" t="s">
        <v>5297</v>
      </c>
      <c r="B611" s="22" t="s">
        <v>5298</v>
      </c>
      <c r="C611" s="2">
        <v>1</v>
      </c>
      <c r="D611" s="23">
        <v>7.99</v>
      </c>
      <c r="E611" s="3">
        <v>7.99</v>
      </c>
      <c r="F611" s="2" t="s">
        <v>9270</v>
      </c>
      <c r="G611" s="22" t="s">
        <v>19618</v>
      </c>
      <c r="H611" s="24" t="s">
        <v>20135</v>
      </c>
      <c r="I611" s="22" t="s">
        <v>19309</v>
      </c>
      <c r="J611" s="22" t="s">
        <v>19573</v>
      </c>
      <c r="K611" s="22" t="s">
        <v>19574</v>
      </c>
      <c r="L611" s="22"/>
      <c r="M611" s="22"/>
      <c r="N611" s="25" t="str">
        <f>HYPERLINK("http://slimages.macys.com/is/image/MCY/21089253 ")</f>
        <v xml:space="preserve">http://slimages.macys.com/is/image/MCY/21089253 </v>
      </c>
    </row>
    <row r="612" spans="1:14" ht="24.75" x14ac:dyDescent="0.25">
      <c r="A612" s="21" t="s">
        <v>5299</v>
      </c>
      <c r="B612" s="22" t="s">
        <v>5300</v>
      </c>
      <c r="C612" s="2">
        <v>1</v>
      </c>
      <c r="D612" s="23">
        <v>7.99</v>
      </c>
      <c r="E612" s="3">
        <v>7.99</v>
      </c>
      <c r="F612" s="2" t="s">
        <v>5301</v>
      </c>
      <c r="G612" s="22" t="s">
        <v>19462</v>
      </c>
      <c r="H612" s="24" t="s">
        <v>20089</v>
      </c>
      <c r="I612" s="22" t="s">
        <v>19309</v>
      </c>
      <c r="J612" s="22" t="s">
        <v>19573</v>
      </c>
      <c r="K612" s="22" t="s">
        <v>19574</v>
      </c>
      <c r="L612" s="22"/>
      <c r="M612" s="22"/>
      <c r="N612" s="25" t="str">
        <f>HYPERLINK("http://slimages.macys.com/is/image/MCY/1104358 ")</f>
        <v xml:space="preserve">http://slimages.macys.com/is/image/MCY/1104358 </v>
      </c>
    </row>
    <row r="613" spans="1:14" ht="24.75" x14ac:dyDescent="0.25">
      <c r="A613" s="21" t="s">
        <v>5302</v>
      </c>
      <c r="B613" s="22" t="s">
        <v>5303</v>
      </c>
      <c r="C613" s="2">
        <v>3</v>
      </c>
      <c r="D613" s="23">
        <v>7.99</v>
      </c>
      <c r="E613" s="3">
        <v>23.97</v>
      </c>
      <c r="F613" s="2" t="s">
        <v>5301</v>
      </c>
      <c r="G613" s="22" t="s">
        <v>19462</v>
      </c>
      <c r="H613" s="24" t="s">
        <v>19907</v>
      </c>
      <c r="I613" s="22" t="s">
        <v>19309</v>
      </c>
      <c r="J613" s="22" t="s">
        <v>19573</v>
      </c>
      <c r="K613" s="22" t="s">
        <v>19574</v>
      </c>
      <c r="L613" s="22"/>
      <c r="M613" s="22"/>
      <c r="N613" s="25" t="str">
        <f>HYPERLINK("http://slimages.macys.com/is/image/MCY/1104358 ")</f>
        <v xml:space="preserve">http://slimages.macys.com/is/image/MCY/1104358 </v>
      </c>
    </row>
    <row r="614" spans="1:14" ht="24.75" x14ac:dyDescent="0.25">
      <c r="A614" s="21" t="s">
        <v>9276</v>
      </c>
      <c r="B614" s="22" t="s">
        <v>9277</v>
      </c>
      <c r="C614" s="2">
        <v>2</v>
      </c>
      <c r="D614" s="23">
        <v>5.99</v>
      </c>
      <c r="E614" s="3">
        <v>11.98</v>
      </c>
      <c r="F614" s="2" t="s">
        <v>9278</v>
      </c>
      <c r="G614" s="22" t="s">
        <v>19674</v>
      </c>
      <c r="H614" s="24" t="s">
        <v>19384</v>
      </c>
      <c r="I614" s="22" t="s">
        <v>19309</v>
      </c>
      <c r="J614" s="22" t="s">
        <v>19573</v>
      </c>
      <c r="K614" s="22" t="s">
        <v>19574</v>
      </c>
      <c r="L614" s="22"/>
      <c r="M614" s="22"/>
      <c r="N614" s="25" t="str">
        <f>HYPERLINK("http://slimages.macys.com/is/image/MCY/20551327 ")</f>
        <v xml:space="preserve">http://slimages.macys.com/is/image/MCY/20551327 </v>
      </c>
    </row>
    <row r="615" spans="1:14" ht="24.75" x14ac:dyDescent="0.25">
      <c r="A615" s="21" t="s">
        <v>14282</v>
      </c>
      <c r="B615" s="22" t="s">
        <v>14283</v>
      </c>
      <c r="C615" s="2">
        <v>2</v>
      </c>
      <c r="D615" s="23">
        <v>5.99</v>
      </c>
      <c r="E615" s="3">
        <v>11.98</v>
      </c>
      <c r="F615" s="2" t="s">
        <v>14858</v>
      </c>
      <c r="G615" s="22" t="s">
        <v>19351</v>
      </c>
      <c r="H615" s="24" t="s">
        <v>19538</v>
      </c>
      <c r="I615" s="22" t="s">
        <v>19309</v>
      </c>
      <c r="J615" s="22" t="s">
        <v>19573</v>
      </c>
      <c r="K615" s="22" t="s">
        <v>19574</v>
      </c>
      <c r="L615" s="22"/>
      <c r="M615" s="22"/>
      <c r="N615" s="25" t="str">
        <f>HYPERLINK("http://slimages.macys.com/is/image/MCY/21088493 ")</f>
        <v xml:space="preserve">http://slimages.macys.com/is/image/MCY/21088493 </v>
      </c>
    </row>
    <row r="616" spans="1:14" ht="24.75" x14ac:dyDescent="0.25">
      <c r="A616" s="21" t="s">
        <v>9283</v>
      </c>
      <c r="B616" s="22" t="s">
        <v>9284</v>
      </c>
      <c r="C616" s="2">
        <v>2</v>
      </c>
      <c r="D616" s="23">
        <v>5.99</v>
      </c>
      <c r="E616" s="3">
        <v>11.98</v>
      </c>
      <c r="F616" s="2" t="s">
        <v>14858</v>
      </c>
      <c r="G616" s="22" t="s">
        <v>19351</v>
      </c>
      <c r="H616" s="24" t="s">
        <v>19330</v>
      </c>
      <c r="I616" s="22" t="s">
        <v>19309</v>
      </c>
      <c r="J616" s="22" t="s">
        <v>19573</v>
      </c>
      <c r="K616" s="22" t="s">
        <v>19574</v>
      </c>
      <c r="L616" s="22"/>
      <c r="M616" s="22"/>
      <c r="N616" s="25" t="str">
        <f>HYPERLINK("http://slimages.macys.com/is/image/MCY/21088493 ")</f>
        <v xml:space="preserve">http://slimages.macys.com/is/image/MCY/21088493 </v>
      </c>
    </row>
    <row r="617" spans="1:14" ht="24.75" x14ac:dyDescent="0.25">
      <c r="A617" s="21" t="s">
        <v>5304</v>
      </c>
      <c r="B617" s="22" t="s">
        <v>5305</v>
      </c>
      <c r="C617" s="2">
        <v>2</v>
      </c>
      <c r="D617" s="23">
        <v>5.99</v>
      </c>
      <c r="E617" s="3">
        <v>11.98</v>
      </c>
      <c r="F617" s="2" t="s">
        <v>14858</v>
      </c>
      <c r="G617" s="22" t="s">
        <v>19351</v>
      </c>
      <c r="H617" s="24" t="s">
        <v>19324</v>
      </c>
      <c r="I617" s="22" t="s">
        <v>19309</v>
      </c>
      <c r="J617" s="22" t="s">
        <v>19573</v>
      </c>
      <c r="K617" s="22" t="s">
        <v>19574</v>
      </c>
      <c r="L617" s="22"/>
      <c r="M617" s="22"/>
      <c r="N617" s="25" t="str">
        <f>HYPERLINK("http://slimages.macys.com/is/image/MCY/21088493 ")</f>
        <v xml:space="preserve">http://slimages.macys.com/is/image/MCY/21088493 </v>
      </c>
    </row>
    <row r="618" spans="1:14" ht="24.75" x14ac:dyDescent="0.25">
      <c r="A618" s="21" t="s">
        <v>9281</v>
      </c>
      <c r="B618" s="22" t="s">
        <v>9282</v>
      </c>
      <c r="C618" s="2">
        <v>1</v>
      </c>
      <c r="D618" s="23">
        <v>5.99</v>
      </c>
      <c r="E618" s="3">
        <v>5.99</v>
      </c>
      <c r="F618" s="2" t="s">
        <v>14858</v>
      </c>
      <c r="G618" s="22" t="s">
        <v>19351</v>
      </c>
      <c r="H618" s="24" t="s">
        <v>19416</v>
      </c>
      <c r="I618" s="22" t="s">
        <v>19309</v>
      </c>
      <c r="J618" s="22" t="s">
        <v>19573</v>
      </c>
      <c r="K618" s="22" t="s">
        <v>19574</v>
      </c>
      <c r="L618" s="22"/>
      <c r="M618" s="22"/>
      <c r="N618" s="25" t="str">
        <f>HYPERLINK("http://slimages.macys.com/is/image/MCY/21088493 ")</f>
        <v xml:space="preserve">http://slimages.macys.com/is/image/MCY/21088493 </v>
      </c>
    </row>
    <row r="619" spans="1:14" ht="24.75" x14ac:dyDescent="0.25">
      <c r="A619" s="21" t="s">
        <v>5306</v>
      </c>
      <c r="B619" s="22" t="s">
        <v>5307</v>
      </c>
      <c r="C619" s="2">
        <v>1</v>
      </c>
      <c r="D619" s="23">
        <v>7.99</v>
      </c>
      <c r="E619" s="3">
        <v>7.99</v>
      </c>
      <c r="F619" s="2" t="s">
        <v>5308</v>
      </c>
      <c r="G619" s="22" t="s">
        <v>19415</v>
      </c>
      <c r="H619" s="24" t="s">
        <v>20135</v>
      </c>
      <c r="I619" s="22" t="s">
        <v>19309</v>
      </c>
      <c r="J619" s="22" t="s">
        <v>19573</v>
      </c>
      <c r="K619" s="22" t="s">
        <v>19574</v>
      </c>
      <c r="L619" s="22"/>
      <c r="M619" s="22"/>
      <c r="N619" s="25" t="str">
        <f>HYPERLINK("http://slimages.macys.com/is/image/MCY/1124651 ")</f>
        <v xml:space="preserve">http://slimages.macys.com/is/image/MCY/1124651 </v>
      </c>
    </row>
    <row r="620" spans="1:14" ht="24.75" x14ac:dyDescent="0.25">
      <c r="A620" s="21" t="s">
        <v>5309</v>
      </c>
      <c r="B620" s="22" t="s">
        <v>5310</v>
      </c>
      <c r="C620" s="2">
        <v>2</v>
      </c>
      <c r="D620" s="23">
        <v>6.99</v>
      </c>
      <c r="E620" s="3">
        <v>13.98</v>
      </c>
      <c r="F620" s="2" t="s">
        <v>14894</v>
      </c>
      <c r="G620" s="22" t="s">
        <v>19351</v>
      </c>
      <c r="H620" s="24" t="s">
        <v>19384</v>
      </c>
      <c r="I620" s="22" t="s">
        <v>19309</v>
      </c>
      <c r="J620" s="22" t="s">
        <v>19573</v>
      </c>
      <c r="K620" s="22" t="s">
        <v>19574</v>
      </c>
      <c r="L620" s="22"/>
      <c r="M620" s="22"/>
      <c r="N620" s="25" t="str">
        <f>HYPERLINK("http://slimages.macys.com/is/image/MCY/17565512 ")</f>
        <v xml:space="preserve">http://slimages.macys.com/is/image/MCY/17565512 </v>
      </c>
    </row>
    <row r="621" spans="1:14" ht="24.75" x14ac:dyDescent="0.25">
      <c r="A621" s="21" t="s">
        <v>5311</v>
      </c>
      <c r="B621" s="22" t="s">
        <v>5312</v>
      </c>
      <c r="C621" s="2">
        <v>2</v>
      </c>
      <c r="D621" s="23">
        <v>6.99</v>
      </c>
      <c r="E621" s="3">
        <v>13.98</v>
      </c>
      <c r="F621" s="2" t="s">
        <v>14894</v>
      </c>
      <c r="G621" s="22" t="s">
        <v>19351</v>
      </c>
      <c r="H621" s="24" t="s">
        <v>19330</v>
      </c>
      <c r="I621" s="22" t="s">
        <v>19309</v>
      </c>
      <c r="J621" s="22" t="s">
        <v>19573</v>
      </c>
      <c r="K621" s="22" t="s">
        <v>19574</v>
      </c>
      <c r="L621" s="22"/>
      <c r="M621" s="22"/>
      <c r="N621" s="25" t="str">
        <f>HYPERLINK("http://slimages.macys.com/is/image/MCY/17565512 ")</f>
        <v xml:space="preserve">http://slimages.macys.com/is/image/MCY/17565512 </v>
      </c>
    </row>
    <row r="622" spans="1:14" ht="24.75" x14ac:dyDescent="0.25">
      <c r="A622" s="21" t="s">
        <v>5313</v>
      </c>
      <c r="B622" s="22" t="s">
        <v>5314</v>
      </c>
      <c r="C622" s="2">
        <v>1</v>
      </c>
      <c r="D622" s="23">
        <v>6.99</v>
      </c>
      <c r="E622" s="3">
        <v>6.99</v>
      </c>
      <c r="F622" s="2" t="s">
        <v>14894</v>
      </c>
      <c r="G622" s="22" t="s">
        <v>19351</v>
      </c>
      <c r="H622" s="24" t="s">
        <v>19416</v>
      </c>
      <c r="I622" s="22" t="s">
        <v>19309</v>
      </c>
      <c r="J622" s="22" t="s">
        <v>19573</v>
      </c>
      <c r="K622" s="22" t="s">
        <v>19574</v>
      </c>
      <c r="L622" s="22"/>
      <c r="M622" s="22"/>
      <c r="N622" s="25" t="str">
        <f>HYPERLINK("http://slimages.macys.com/is/image/MCY/17565512 ")</f>
        <v xml:space="preserve">http://slimages.macys.com/is/image/MCY/17565512 </v>
      </c>
    </row>
    <row r="623" spans="1:14" ht="24.75" x14ac:dyDescent="0.25">
      <c r="A623" s="21" t="s">
        <v>5315</v>
      </c>
      <c r="B623" s="22" t="s">
        <v>5316</v>
      </c>
      <c r="C623" s="2">
        <v>1</v>
      </c>
      <c r="D623" s="23">
        <v>4.99</v>
      </c>
      <c r="E623" s="3">
        <v>4.99</v>
      </c>
      <c r="F623" s="2">
        <v>4114</v>
      </c>
      <c r="G623" s="22" t="s">
        <v>18073</v>
      </c>
      <c r="H623" s="24" t="s">
        <v>19364</v>
      </c>
      <c r="I623" s="22" t="s">
        <v>19309</v>
      </c>
      <c r="J623" s="22" t="s">
        <v>20076</v>
      </c>
      <c r="K623" s="22" t="s">
        <v>20077</v>
      </c>
      <c r="L623" s="22" t="s">
        <v>19319</v>
      </c>
      <c r="M623" s="22" t="s">
        <v>19209</v>
      </c>
      <c r="N623" s="25" t="str">
        <f>HYPERLINK("http://slimages.macys.com/is/image/MCY/13050267 ")</f>
        <v xml:space="preserve">http://slimages.macys.com/is/image/MCY/13050267 </v>
      </c>
    </row>
    <row r="624" spans="1:14" ht="24.75" x14ac:dyDescent="0.25">
      <c r="A624" s="21" t="s">
        <v>5317</v>
      </c>
      <c r="B624" s="22" t="s">
        <v>5318</v>
      </c>
      <c r="C624" s="2">
        <v>1</v>
      </c>
      <c r="D624" s="23">
        <v>5.99</v>
      </c>
      <c r="E624" s="3">
        <v>5.99</v>
      </c>
      <c r="F624" s="2" t="s">
        <v>5319</v>
      </c>
      <c r="G624" s="22" t="s">
        <v>19462</v>
      </c>
      <c r="H624" s="24" t="s">
        <v>19330</v>
      </c>
      <c r="I624" s="22" t="s">
        <v>19309</v>
      </c>
      <c r="J624" s="22" t="s">
        <v>19573</v>
      </c>
      <c r="K624" s="22" t="s">
        <v>19574</v>
      </c>
      <c r="L624" s="22"/>
      <c r="M624" s="22"/>
      <c r="N624" s="25" t="str">
        <f>HYPERLINK("http://slimages.macys.com/is/image/MCY/20757614 ")</f>
        <v xml:space="preserve">http://slimages.macys.com/is/image/MCY/20757614 </v>
      </c>
    </row>
    <row r="625" spans="1:14" ht="24.75" x14ac:dyDescent="0.25">
      <c r="A625" s="21" t="s">
        <v>5320</v>
      </c>
      <c r="B625" s="22" t="s">
        <v>5321</v>
      </c>
      <c r="C625" s="2">
        <v>1</v>
      </c>
      <c r="D625" s="23">
        <v>5.99</v>
      </c>
      <c r="E625" s="3">
        <v>5.99</v>
      </c>
      <c r="F625" s="2" t="s">
        <v>5319</v>
      </c>
      <c r="G625" s="22" t="s">
        <v>19462</v>
      </c>
      <c r="H625" s="24" t="s">
        <v>19538</v>
      </c>
      <c r="I625" s="22" t="s">
        <v>19309</v>
      </c>
      <c r="J625" s="22" t="s">
        <v>19573</v>
      </c>
      <c r="K625" s="22" t="s">
        <v>19574</v>
      </c>
      <c r="L625" s="22"/>
      <c r="M625" s="22"/>
      <c r="N625" s="25" t="str">
        <f>HYPERLINK("http://slimages.macys.com/is/image/MCY/20757614 ")</f>
        <v xml:space="preserve">http://slimages.macys.com/is/image/MCY/20757614 </v>
      </c>
    </row>
    <row r="626" spans="1:14" ht="24.75" x14ac:dyDescent="0.25">
      <c r="A626" s="21" t="s">
        <v>5322</v>
      </c>
      <c r="B626" s="22" t="s">
        <v>5323</v>
      </c>
      <c r="C626" s="2">
        <v>2</v>
      </c>
      <c r="D626" s="23">
        <v>5.99</v>
      </c>
      <c r="E626" s="3">
        <v>11.98</v>
      </c>
      <c r="F626" s="2" t="s">
        <v>5319</v>
      </c>
      <c r="G626" s="22" t="s">
        <v>19462</v>
      </c>
      <c r="H626" s="24" t="s">
        <v>19384</v>
      </c>
      <c r="I626" s="22" t="s">
        <v>19309</v>
      </c>
      <c r="J626" s="22" t="s">
        <v>19573</v>
      </c>
      <c r="K626" s="22" t="s">
        <v>19574</v>
      </c>
      <c r="L626" s="22"/>
      <c r="M626" s="22"/>
      <c r="N626" s="25" t="str">
        <f>HYPERLINK("http://slimages.macys.com/is/image/MCY/20757614 ")</f>
        <v xml:space="preserve">http://slimages.macys.com/is/image/MCY/20757614 </v>
      </c>
    </row>
    <row r="627" spans="1:14" ht="24.75" x14ac:dyDescent="0.25">
      <c r="A627" s="21" t="s">
        <v>10728</v>
      </c>
      <c r="B627" s="22" t="s">
        <v>10729</v>
      </c>
      <c r="C627" s="2">
        <v>1</v>
      </c>
      <c r="D627" s="23">
        <v>5.99</v>
      </c>
      <c r="E627" s="3">
        <v>5.99</v>
      </c>
      <c r="F627" s="2" t="s">
        <v>17214</v>
      </c>
      <c r="G627" s="22" t="s">
        <v>19351</v>
      </c>
      <c r="H627" s="24" t="s">
        <v>19538</v>
      </c>
      <c r="I627" s="22" t="s">
        <v>19309</v>
      </c>
      <c r="J627" s="22" t="s">
        <v>19573</v>
      </c>
      <c r="K627" s="22" t="s">
        <v>19574</v>
      </c>
      <c r="L627" s="22"/>
      <c r="M627" s="22"/>
      <c r="N627" s="25" t="str">
        <f>HYPERLINK("http://slimages.macys.com/is/image/MCY/20753665 ")</f>
        <v xml:space="preserve">http://slimages.macys.com/is/image/MCY/20753665 </v>
      </c>
    </row>
    <row r="628" spans="1:14" ht="24.75" x14ac:dyDescent="0.25">
      <c r="A628" s="21" t="s">
        <v>10734</v>
      </c>
      <c r="B628" s="22" t="s">
        <v>10735</v>
      </c>
      <c r="C628" s="2">
        <v>1</v>
      </c>
      <c r="D628" s="23">
        <v>6.99</v>
      </c>
      <c r="E628" s="3">
        <v>6.99</v>
      </c>
      <c r="F628" s="2" t="s">
        <v>14924</v>
      </c>
      <c r="G628" s="22" t="s">
        <v>19763</v>
      </c>
      <c r="H628" s="24" t="s">
        <v>19538</v>
      </c>
      <c r="I628" s="22" t="s">
        <v>19309</v>
      </c>
      <c r="J628" s="22" t="s">
        <v>19573</v>
      </c>
      <c r="K628" s="22" t="s">
        <v>19574</v>
      </c>
      <c r="L628" s="22"/>
      <c r="M628" s="22"/>
      <c r="N628" s="25" t="str">
        <f>HYPERLINK("http://slimages.macys.com/is/image/MCY/19507666 ")</f>
        <v xml:space="preserve">http://slimages.macys.com/is/image/MCY/19507666 </v>
      </c>
    </row>
    <row r="629" spans="1:14" ht="24.75" x14ac:dyDescent="0.25">
      <c r="A629" s="21" t="s">
        <v>10730</v>
      </c>
      <c r="B629" s="22" t="s">
        <v>10731</v>
      </c>
      <c r="C629" s="2">
        <v>2</v>
      </c>
      <c r="D629" s="23">
        <v>6.99</v>
      </c>
      <c r="E629" s="3">
        <v>13.98</v>
      </c>
      <c r="F629" s="2" t="s">
        <v>14924</v>
      </c>
      <c r="G629" s="22" t="s">
        <v>19763</v>
      </c>
      <c r="H629" s="24" t="s">
        <v>19384</v>
      </c>
      <c r="I629" s="22" t="s">
        <v>19309</v>
      </c>
      <c r="J629" s="22" t="s">
        <v>19573</v>
      </c>
      <c r="K629" s="22" t="s">
        <v>19574</v>
      </c>
      <c r="L629" s="22"/>
      <c r="M629" s="22"/>
      <c r="N629" s="25" t="str">
        <f>HYPERLINK("http://slimages.macys.com/is/image/MCY/19507666 ")</f>
        <v xml:space="preserve">http://slimages.macys.com/is/image/MCY/19507666 </v>
      </c>
    </row>
    <row r="630" spans="1:14" ht="24.75" x14ac:dyDescent="0.25">
      <c r="A630" s="21" t="s">
        <v>5324</v>
      </c>
      <c r="B630" s="22" t="s">
        <v>5325</v>
      </c>
      <c r="C630" s="2">
        <v>1</v>
      </c>
      <c r="D630" s="23">
        <v>5.99</v>
      </c>
      <c r="E630" s="3">
        <v>5.99</v>
      </c>
      <c r="F630" s="2" t="s">
        <v>5326</v>
      </c>
      <c r="G630" s="22" t="s">
        <v>19585</v>
      </c>
      <c r="H630" s="24" t="s">
        <v>19416</v>
      </c>
      <c r="I630" s="22" t="s">
        <v>19309</v>
      </c>
      <c r="J630" s="22" t="s">
        <v>19573</v>
      </c>
      <c r="K630" s="22" t="s">
        <v>19574</v>
      </c>
      <c r="L630" s="22"/>
      <c r="M630" s="22"/>
      <c r="N630" s="25" t="str">
        <f>HYPERLINK("http://slimages.macys.com/is/image/MCY/1151044 ")</f>
        <v xml:space="preserve">http://slimages.macys.com/is/image/MCY/1151044 </v>
      </c>
    </row>
    <row r="631" spans="1:14" ht="24.75" x14ac:dyDescent="0.25">
      <c r="A631" s="21" t="s">
        <v>10732</v>
      </c>
      <c r="B631" s="22" t="s">
        <v>10733</v>
      </c>
      <c r="C631" s="2">
        <v>1</v>
      </c>
      <c r="D631" s="23">
        <v>6.99</v>
      </c>
      <c r="E631" s="3">
        <v>6.99</v>
      </c>
      <c r="F631" s="2" t="s">
        <v>14924</v>
      </c>
      <c r="G631" s="22" t="s">
        <v>19763</v>
      </c>
      <c r="H631" s="24" t="s">
        <v>19324</v>
      </c>
      <c r="I631" s="22" t="s">
        <v>19309</v>
      </c>
      <c r="J631" s="22" t="s">
        <v>19573</v>
      </c>
      <c r="K631" s="22" t="s">
        <v>19574</v>
      </c>
      <c r="L631" s="22"/>
      <c r="M631" s="22"/>
      <c r="N631" s="25" t="str">
        <f>HYPERLINK("http://slimages.macys.com/is/image/MCY/19507666 ")</f>
        <v xml:space="preserve">http://slimages.macys.com/is/image/MCY/19507666 </v>
      </c>
    </row>
    <row r="632" spans="1:14" ht="24.75" x14ac:dyDescent="0.25">
      <c r="A632" s="21" t="s">
        <v>10738</v>
      </c>
      <c r="B632" s="22" t="s">
        <v>10739</v>
      </c>
      <c r="C632" s="2">
        <v>1</v>
      </c>
      <c r="D632" s="23">
        <v>5.99</v>
      </c>
      <c r="E632" s="3">
        <v>5.99</v>
      </c>
      <c r="F632" s="2" t="s">
        <v>19254</v>
      </c>
      <c r="G632" s="22" t="s">
        <v>19431</v>
      </c>
      <c r="H632" s="24" t="s">
        <v>19384</v>
      </c>
      <c r="I632" s="22" t="s">
        <v>19309</v>
      </c>
      <c r="J632" s="22" t="s">
        <v>19573</v>
      </c>
      <c r="K632" s="22" t="s">
        <v>19574</v>
      </c>
      <c r="L632" s="22"/>
      <c r="M632" s="22"/>
      <c r="N632" s="25" t="str">
        <f>HYPERLINK("http://slimages.macys.com/is/image/MCY/21209124 ")</f>
        <v xml:space="preserve">http://slimages.macys.com/is/image/MCY/21209124 </v>
      </c>
    </row>
    <row r="633" spans="1:14" ht="24.75" x14ac:dyDescent="0.25">
      <c r="A633" s="21" t="s">
        <v>5327</v>
      </c>
      <c r="B633" s="22" t="s">
        <v>5328</v>
      </c>
      <c r="C633" s="2">
        <v>1</v>
      </c>
      <c r="D633" s="23">
        <v>5.99</v>
      </c>
      <c r="E633" s="3">
        <v>5.99</v>
      </c>
      <c r="F633" s="2" t="s">
        <v>9317</v>
      </c>
      <c r="G633" s="22" t="s">
        <v>19351</v>
      </c>
      <c r="H633" s="24" t="s">
        <v>19384</v>
      </c>
      <c r="I633" s="22" t="s">
        <v>19309</v>
      </c>
      <c r="J633" s="22" t="s">
        <v>19573</v>
      </c>
      <c r="K633" s="22" t="s">
        <v>19574</v>
      </c>
      <c r="L633" s="22"/>
      <c r="M633" s="22"/>
      <c r="N633" s="25" t="str">
        <f>HYPERLINK("http://slimages.macys.com/is/image/MCY/1126196 ")</f>
        <v xml:space="preserve">http://slimages.macys.com/is/image/MCY/1126196 </v>
      </c>
    </row>
    <row r="634" spans="1:14" ht="24.75" x14ac:dyDescent="0.25">
      <c r="A634" s="21" t="s">
        <v>5329</v>
      </c>
      <c r="B634" s="22" t="s">
        <v>5330</v>
      </c>
      <c r="C634" s="2">
        <v>1</v>
      </c>
      <c r="D634" s="23">
        <v>5.99</v>
      </c>
      <c r="E634" s="3">
        <v>5.99</v>
      </c>
      <c r="F634" s="2" t="s">
        <v>14927</v>
      </c>
      <c r="G634" s="22" t="s">
        <v>19618</v>
      </c>
      <c r="H634" s="24" t="s">
        <v>19330</v>
      </c>
      <c r="I634" s="22" t="s">
        <v>19309</v>
      </c>
      <c r="J634" s="22" t="s">
        <v>19573</v>
      </c>
      <c r="K634" s="22" t="s">
        <v>19574</v>
      </c>
      <c r="L634" s="22"/>
      <c r="M634" s="22"/>
      <c r="N634" s="25" t="str">
        <f>HYPERLINK("http://slimages.macys.com/is/image/MCY/21088408 ")</f>
        <v xml:space="preserve">http://slimages.macys.com/is/image/MCY/21088408 </v>
      </c>
    </row>
    <row r="635" spans="1:14" ht="24.75" x14ac:dyDescent="0.25">
      <c r="A635" s="21" t="s">
        <v>5331</v>
      </c>
      <c r="B635" s="22" t="s">
        <v>5332</v>
      </c>
      <c r="C635" s="2">
        <v>1</v>
      </c>
      <c r="D635" s="23">
        <v>5.99</v>
      </c>
      <c r="E635" s="3">
        <v>5.99</v>
      </c>
      <c r="F635" s="2" t="s">
        <v>5333</v>
      </c>
      <c r="G635" s="22" t="s">
        <v>19674</v>
      </c>
      <c r="H635" s="24" t="s">
        <v>19538</v>
      </c>
      <c r="I635" s="22" t="s">
        <v>19309</v>
      </c>
      <c r="J635" s="22" t="s">
        <v>19573</v>
      </c>
      <c r="K635" s="22" t="s">
        <v>19574</v>
      </c>
      <c r="L635" s="22"/>
      <c r="M635" s="22"/>
      <c r="N635" s="25" t="str">
        <f>HYPERLINK("http://slimages.macys.com/is/image/MCY/1124650 ")</f>
        <v xml:space="preserve">http://slimages.macys.com/is/image/MCY/1124650 </v>
      </c>
    </row>
    <row r="636" spans="1:14" ht="24.75" x14ac:dyDescent="0.25">
      <c r="A636" s="21" t="s">
        <v>5334</v>
      </c>
      <c r="B636" s="22" t="s">
        <v>5335</v>
      </c>
      <c r="C636" s="2">
        <v>1</v>
      </c>
      <c r="D636" s="23">
        <v>5.99</v>
      </c>
      <c r="E636" s="3">
        <v>5.99</v>
      </c>
      <c r="F636" s="2" t="s">
        <v>5333</v>
      </c>
      <c r="G636" s="22" t="s">
        <v>19674</v>
      </c>
      <c r="H636" s="24" t="s">
        <v>19384</v>
      </c>
      <c r="I636" s="22" t="s">
        <v>19309</v>
      </c>
      <c r="J636" s="22" t="s">
        <v>19573</v>
      </c>
      <c r="K636" s="22" t="s">
        <v>19574</v>
      </c>
      <c r="L636" s="22"/>
      <c r="M636" s="22"/>
      <c r="N636" s="25" t="str">
        <f>HYPERLINK("http://slimages.macys.com/is/image/MCY/1117134 ")</f>
        <v xml:space="preserve">http://slimages.macys.com/is/image/MCY/1117134 </v>
      </c>
    </row>
    <row r="637" spans="1:14" ht="24.75" x14ac:dyDescent="0.25">
      <c r="A637" s="21" t="s">
        <v>17248</v>
      </c>
      <c r="B637" s="22" t="s">
        <v>17249</v>
      </c>
      <c r="C637" s="2">
        <v>1</v>
      </c>
      <c r="D637" s="23">
        <v>5.99</v>
      </c>
      <c r="E637" s="3">
        <v>5.99</v>
      </c>
      <c r="F637" s="2" t="s">
        <v>17240</v>
      </c>
      <c r="G637" s="22" t="s">
        <v>19315</v>
      </c>
      <c r="H637" s="24" t="s">
        <v>19324</v>
      </c>
      <c r="I637" s="22" t="s">
        <v>19309</v>
      </c>
      <c r="J637" s="22" t="s">
        <v>19573</v>
      </c>
      <c r="K637" s="22" t="s">
        <v>19574</v>
      </c>
      <c r="L637" s="22"/>
      <c r="M637" s="22"/>
      <c r="N637" s="25" t="str">
        <f>HYPERLINK("http://slimages.macys.com/is/image/MCY/1521976 ")</f>
        <v xml:space="preserve">http://slimages.macys.com/is/image/MCY/1521976 </v>
      </c>
    </row>
    <row r="638" spans="1:14" ht="24.75" x14ac:dyDescent="0.25">
      <c r="A638" s="21" t="s">
        <v>17396</v>
      </c>
      <c r="B638" s="22" t="s">
        <v>17397</v>
      </c>
      <c r="C638" s="2">
        <v>1</v>
      </c>
      <c r="D638" s="23">
        <v>5.99</v>
      </c>
      <c r="E638" s="3">
        <v>5.99</v>
      </c>
      <c r="F638" s="2" t="s">
        <v>17395</v>
      </c>
      <c r="G638" s="22" t="s">
        <v>19670</v>
      </c>
      <c r="H638" s="24" t="s">
        <v>19384</v>
      </c>
      <c r="I638" s="22" t="s">
        <v>19309</v>
      </c>
      <c r="J638" s="22" t="s">
        <v>19573</v>
      </c>
      <c r="K638" s="22" t="s">
        <v>19574</v>
      </c>
      <c r="L638" s="22"/>
      <c r="M638" s="22"/>
      <c r="N638" s="25" t="str">
        <f>HYPERLINK("http://slimages.macys.com/is/image/MCY/21905204 ")</f>
        <v xml:space="preserve">http://slimages.macys.com/is/image/MCY/21905204 </v>
      </c>
    </row>
    <row r="639" spans="1:14" ht="24.75" x14ac:dyDescent="0.25">
      <c r="A639" s="21" t="s">
        <v>17409</v>
      </c>
      <c r="B639" s="22" t="s">
        <v>17410</v>
      </c>
      <c r="C639" s="2">
        <v>1</v>
      </c>
      <c r="D639" s="23">
        <v>5.99</v>
      </c>
      <c r="E639" s="3">
        <v>5.99</v>
      </c>
      <c r="F639" s="2" t="s">
        <v>17411</v>
      </c>
      <c r="G639" s="22" t="s">
        <v>19351</v>
      </c>
      <c r="H639" s="24" t="s">
        <v>19416</v>
      </c>
      <c r="I639" s="22" t="s">
        <v>19309</v>
      </c>
      <c r="J639" s="22" t="s">
        <v>19573</v>
      </c>
      <c r="K639" s="22" t="s">
        <v>19574</v>
      </c>
      <c r="L639" s="22"/>
      <c r="M639" s="22"/>
      <c r="N639" s="25" t="str">
        <f>HYPERLINK("http://slimages.macys.com/is/image/MCY/1537013 ")</f>
        <v xml:space="preserve">http://slimages.macys.com/is/image/MCY/1537013 </v>
      </c>
    </row>
    <row r="640" spans="1:14" ht="24.75" x14ac:dyDescent="0.25">
      <c r="A640" s="21" t="s">
        <v>11180</v>
      </c>
      <c r="B640" s="22" t="s">
        <v>11181</v>
      </c>
      <c r="C640" s="2">
        <v>1</v>
      </c>
      <c r="D640" s="23">
        <v>5.99</v>
      </c>
      <c r="E640" s="3">
        <v>5.99</v>
      </c>
      <c r="F640" s="2" t="s">
        <v>17411</v>
      </c>
      <c r="G640" s="22" t="s">
        <v>19351</v>
      </c>
      <c r="H640" s="24" t="s">
        <v>19324</v>
      </c>
      <c r="I640" s="22" t="s">
        <v>19309</v>
      </c>
      <c r="J640" s="22" t="s">
        <v>19573</v>
      </c>
      <c r="K640" s="22" t="s">
        <v>19574</v>
      </c>
      <c r="L640" s="22"/>
      <c r="M640" s="22"/>
      <c r="N640" s="25" t="str">
        <f>HYPERLINK("http://slimages.macys.com/is/image/MCY/1537013 ")</f>
        <v xml:space="preserve">http://slimages.macys.com/is/image/MCY/1537013 </v>
      </c>
    </row>
    <row r="641" spans="1:14" ht="24.75" x14ac:dyDescent="0.25">
      <c r="A641" s="21" t="s">
        <v>5336</v>
      </c>
      <c r="B641" s="22" t="s">
        <v>5337</v>
      </c>
      <c r="C641" s="2">
        <v>1</v>
      </c>
      <c r="D641" s="23">
        <v>5.99</v>
      </c>
      <c r="E641" s="3">
        <v>5.99</v>
      </c>
      <c r="F641" s="2" t="s">
        <v>7217</v>
      </c>
      <c r="G641" s="22" t="s">
        <v>19415</v>
      </c>
      <c r="H641" s="24" t="s">
        <v>19330</v>
      </c>
      <c r="I641" s="22" t="s">
        <v>19309</v>
      </c>
      <c r="J641" s="22" t="s">
        <v>19573</v>
      </c>
      <c r="K641" s="22" t="s">
        <v>19574</v>
      </c>
      <c r="L641" s="22"/>
      <c r="M641" s="22"/>
      <c r="N641" s="25" t="str">
        <f>HYPERLINK("http://slimages.macys.com/is/image/MCY/21905648 ")</f>
        <v xml:space="preserve">http://slimages.macys.com/is/image/MCY/21905648 </v>
      </c>
    </row>
    <row r="642" spans="1:14" ht="24.75" x14ac:dyDescent="0.25">
      <c r="A642" s="21" t="s">
        <v>13529</v>
      </c>
      <c r="B642" s="22" t="s">
        <v>13530</v>
      </c>
      <c r="C642" s="2">
        <v>2</v>
      </c>
      <c r="D642" s="23">
        <v>5.99</v>
      </c>
      <c r="E642" s="3">
        <v>11.98</v>
      </c>
      <c r="F642" s="2" t="s">
        <v>17283</v>
      </c>
      <c r="G642" s="22" t="s">
        <v>19618</v>
      </c>
      <c r="H642" s="24" t="s">
        <v>19416</v>
      </c>
      <c r="I642" s="22" t="s">
        <v>19309</v>
      </c>
      <c r="J642" s="22" t="s">
        <v>19573</v>
      </c>
      <c r="K642" s="22" t="s">
        <v>19574</v>
      </c>
      <c r="L642" s="22"/>
      <c r="M642" s="22"/>
      <c r="N642" s="25" t="str">
        <f>HYPERLINK("http://slimages.macys.com/is/image/MCY/21089253 ")</f>
        <v xml:space="preserve">http://slimages.macys.com/is/image/MCY/21089253 </v>
      </c>
    </row>
    <row r="643" spans="1:14" ht="24.75" x14ac:dyDescent="0.25">
      <c r="A643" s="21" t="s">
        <v>5338</v>
      </c>
      <c r="B643" s="22" t="s">
        <v>5339</v>
      </c>
      <c r="C643" s="2">
        <v>1</v>
      </c>
      <c r="D643" s="23">
        <v>5.99</v>
      </c>
      <c r="E643" s="3">
        <v>5.99</v>
      </c>
      <c r="F643" s="2" t="s">
        <v>5340</v>
      </c>
      <c r="G643" s="22" t="s">
        <v>19462</v>
      </c>
      <c r="H643" s="24" t="s">
        <v>19538</v>
      </c>
      <c r="I643" s="22" t="s">
        <v>19309</v>
      </c>
      <c r="J643" s="22" t="s">
        <v>19573</v>
      </c>
      <c r="K643" s="22" t="s">
        <v>19574</v>
      </c>
      <c r="L643" s="22"/>
      <c r="M643" s="22"/>
      <c r="N643" s="25" t="str">
        <f>HYPERLINK("http://slimages.macys.com/is/image/MCY/1117134 ")</f>
        <v xml:space="preserve">http://slimages.macys.com/is/image/MCY/1117134 </v>
      </c>
    </row>
    <row r="644" spans="1:14" ht="24.75" x14ac:dyDescent="0.25">
      <c r="A644" s="21" t="s">
        <v>17434</v>
      </c>
      <c r="B644" s="22" t="s">
        <v>17435</v>
      </c>
      <c r="C644" s="2">
        <v>1</v>
      </c>
      <c r="D644" s="23">
        <v>5.99</v>
      </c>
      <c r="E644" s="3">
        <v>5.99</v>
      </c>
      <c r="F644" s="2" t="s">
        <v>17433</v>
      </c>
      <c r="G644" s="22" t="s">
        <v>19467</v>
      </c>
      <c r="H644" s="24" t="s">
        <v>19324</v>
      </c>
      <c r="I644" s="22" t="s">
        <v>19309</v>
      </c>
      <c r="J644" s="22" t="s">
        <v>19573</v>
      </c>
      <c r="K644" s="22" t="s">
        <v>19574</v>
      </c>
      <c r="L644" s="22"/>
      <c r="M644" s="22"/>
      <c r="N644" s="25" t="str">
        <f>HYPERLINK("http://slimages.macys.com/is/image/MCY/21209307 ")</f>
        <v xml:space="preserve">http://slimages.macys.com/is/image/MCY/21209307 </v>
      </c>
    </row>
    <row r="645" spans="1:14" ht="24.75" x14ac:dyDescent="0.25">
      <c r="A645" s="21" t="s">
        <v>5341</v>
      </c>
      <c r="B645" s="22" t="s">
        <v>5342</v>
      </c>
      <c r="C645" s="2">
        <v>1</v>
      </c>
      <c r="D645" s="23">
        <v>18.11</v>
      </c>
      <c r="E645" s="3">
        <v>18.11</v>
      </c>
      <c r="F645" s="2" t="s">
        <v>9354</v>
      </c>
      <c r="G645" s="22" t="s">
        <v>19415</v>
      </c>
      <c r="H645" s="24" t="s">
        <v>19538</v>
      </c>
      <c r="I645" s="22" t="s">
        <v>19309</v>
      </c>
      <c r="J645" s="22" t="s">
        <v>19573</v>
      </c>
      <c r="K645" s="22" t="s">
        <v>19574</v>
      </c>
      <c r="L645" s="22"/>
      <c r="M645" s="22"/>
      <c r="N645" s="25" t="str">
        <f>HYPERLINK("http://slimages.macys.com/is/image/MCY/20550756 ")</f>
        <v xml:space="preserve">http://slimages.macys.com/is/image/MCY/20550756 </v>
      </c>
    </row>
    <row r="646" spans="1:14" x14ac:dyDescent="0.25">
      <c r="A646" s="21" t="s">
        <v>5343</v>
      </c>
      <c r="B646" s="22" t="s">
        <v>5344</v>
      </c>
      <c r="C646" s="2">
        <v>1</v>
      </c>
      <c r="D646" s="23">
        <v>5.43</v>
      </c>
      <c r="E646" s="3">
        <v>5.43</v>
      </c>
      <c r="F646" s="2" t="s">
        <v>5345</v>
      </c>
      <c r="G646" s="22" t="s">
        <v>19351</v>
      </c>
      <c r="H646" s="24" t="s">
        <v>18168</v>
      </c>
      <c r="I646" s="22" t="s">
        <v>19309</v>
      </c>
      <c r="J646" s="22" t="s">
        <v>19708</v>
      </c>
      <c r="K646" s="22" t="s">
        <v>19709</v>
      </c>
      <c r="L646" s="22"/>
      <c r="M646" s="22"/>
      <c r="N646" s="25" t="str">
        <f>HYPERLINK("http://slimages.macys.com/is/image/MCY/22596316 ")</f>
        <v xml:space="preserve">http://slimages.macys.com/is/image/MCY/22596316 </v>
      </c>
    </row>
    <row r="647" spans="1:14" ht="48.75" x14ac:dyDescent="0.25">
      <c r="A647" s="21" t="s">
        <v>5346</v>
      </c>
      <c r="B647" s="22" t="s">
        <v>5347</v>
      </c>
      <c r="C647" s="2">
        <v>1</v>
      </c>
      <c r="D647" s="23">
        <v>4.99</v>
      </c>
      <c r="E647" s="3">
        <v>4.99</v>
      </c>
      <c r="F647" s="2" t="s">
        <v>5348</v>
      </c>
      <c r="G647" s="22" t="s">
        <v>19801</v>
      </c>
      <c r="H647" s="24" t="s">
        <v>19797</v>
      </c>
      <c r="I647" s="22" t="s">
        <v>19309</v>
      </c>
      <c r="J647" s="22" t="s">
        <v>20076</v>
      </c>
      <c r="K647" s="22" t="s">
        <v>20077</v>
      </c>
      <c r="L647" s="22" t="s">
        <v>19319</v>
      </c>
      <c r="M647" s="22" t="s">
        <v>5349</v>
      </c>
      <c r="N647" s="25" t="str">
        <f>HYPERLINK("http://slimages.macys.com/is/image/MCY/8808051 ")</f>
        <v xml:space="preserve">http://slimages.macys.com/is/image/MCY/8808051 </v>
      </c>
    </row>
    <row r="648" spans="1:14" ht="24.75" x14ac:dyDescent="0.25">
      <c r="A648" s="21" t="s">
        <v>17470</v>
      </c>
      <c r="B648" s="22" t="s">
        <v>17471</v>
      </c>
      <c r="C648" s="2">
        <v>3</v>
      </c>
      <c r="D648" s="23">
        <v>5.99</v>
      </c>
      <c r="E648" s="3">
        <v>17.97</v>
      </c>
      <c r="F648" s="2" t="s">
        <v>17472</v>
      </c>
      <c r="G648" s="22" t="s">
        <v>19467</v>
      </c>
      <c r="H648" s="24" t="s">
        <v>19330</v>
      </c>
      <c r="I648" s="22" t="s">
        <v>19309</v>
      </c>
      <c r="J648" s="22" t="s">
        <v>19573</v>
      </c>
      <c r="K648" s="22" t="s">
        <v>19574</v>
      </c>
      <c r="L648" s="22"/>
      <c r="M648" s="22"/>
      <c r="N648" s="25" t="str">
        <f>HYPERLINK("http://slimages.macys.com/is/image/MCY/16605973 ")</f>
        <v xml:space="preserve">http://slimages.macys.com/is/image/MCY/16605973 </v>
      </c>
    </row>
    <row r="649" spans="1:14" ht="24.75" x14ac:dyDescent="0.25">
      <c r="A649" s="21" t="s">
        <v>5350</v>
      </c>
      <c r="B649" s="22" t="s">
        <v>5351</v>
      </c>
      <c r="C649" s="2">
        <v>1</v>
      </c>
      <c r="D649" s="23">
        <v>2.99</v>
      </c>
      <c r="E649" s="3">
        <v>2.99</v>
      </c>
      <c r="F649" s="2" t="s">
        <v>5352</v>
      </c>
      <c r="G649" s="22" t="s">
        <v>19518</v>
      </c>
      <c r="H649" s="24" t="s">
        <v>19968</v>
      </c>
      <c r="I649" s="22" t="s">
        <v>19309</v>
      </c>
      <c r="J649" s="22" t="s">
        <v>19573</v>
      </c>
      <c r="K649" s="22" t="s">
        <v>5353</v>
      </c>
      <c r="L649" s="22"/>
      <c r="M649" s="22"/>
      <c r="N649" s="25" t="str">
        <f>HYPERLINK("http://slimages.macys.com/is/image/MCY/17663447 ")</f>
        <v xml:space="preserve">http://slimages.macys.com/is/image/MCY/17663447 </v>
      </c>
    </row>
    <row r="650" spans="1:14" ht="24.75" x14ac:dyDescent="0.25">
      <c r="A650" s="21" t="s">
        <v>5354</v>
      </c>
      <c r="B650" s="22" t="s">
        <v>5355</v>
      </c>
      <c r="C650" s="2">
        <v>1</v>
      </c>
      <c r="D650" s="23">
        <v>39.99</v>
      </c>
      <c r="E650" s="3">
        <v>39.99</v>
      </c>
      <c r="F650" s="2" t="s">
        <v>17319</v>
      </c>
      <c r="G650" s="22" t="s">
        <v>19630</v>
      </c>
      <c r="H650" s="24" t="s">
        <v>19384</v>
      </c>
      <c r="I650" s="22" t="s">
        <v>19309</v>
      </c>
      <c r="J650" s="22" t="s">
        <v>19385</v>
      </c>
      <c r="K650" s="22" t="s">
        <v>19487</v>
      </c>
      <c r="L650" s="22"/>
      <c r="M650" s="22"/>
      <c r="N650" s="25"/>
    </row>
    <row r="651" spans="1:14" ht="24.75" x14ac:dyDescent="0.25">
      <c r="A651" s="21" t="s">
        <v>5356</v>
      </c>
      <c r="B651" s="22" t="s">
        <v>5357</v>
      </c>
      <c r="C651" s="2">
        <v>1</v>
      </c>
      <c r="D651" s="23">
        <v>34.99</v>
      </c>
      <c r="E651" s="3">
        <v>34.99</v>
      </c>
      <c r="F651" s="2" t="s">
        <v>10208</v>
      </c>
      <c r="G651" s="22" t="s">
        <v>11254</v>
      </c>
      <c r="H651" s="24" t="s">
        <v>19384</v>
      </c>
      <c r="I651" s="22" t="s">
        <v>19309</v>
      </c>
      <c r="J651" s="22" t="s">
        <v>19385</v>
      </c>
      <c r="K651" s="22" t="s">
        <v>19487</v>
      </c>
      <c r="L651" s="22"/>
      <c r="M651" s="22"/>
      <c r="N651" s="25"/>
    </row>
    <row r="652" spans="1:14" ht="24.75" x14ac:dyDescent="0.25">
      <c r="A652" s="21" t="s">
        <v>5358</v>
      </c>
      <c r="B652" s="22" t="s">
        <v>5359</v>
      </c>
      <c r="C652" s="2">
        <v>3</v>
      </c>
      <c r="D652" s="23">
        <v>34.99</v>
      </c>
      <c r="E652" s="3">
        <v>104.97</v>
      </c>
      <c r="F652" s="2" t="s">
        <v>10208</v>
      </c>
      <c r="G652" s="22" t="s">
        <v>11254</v>
      </c>
      <c r="H652" s="24" t="s">
        <v>19538</v>
      </c>
      <c r="I652" s="22" t="s">
        <v>19309</v>
      </c>
      <c r="J652" s="22" t="s">
        <v>19385</v>
      </c>
      <c r="K652" s="22" t="s">
        <v>19487</v>
      </c>
      <c r="L652" s="22"/>
      <c r="M652" s="22"/>
      <c r="N652" s="25"/>
    </row>
    <row r="653" spans="1:14" ht="24.75" x14ac:dyDescent="0.25">
      <c r="A653" s="21" t="s">
        <v>5360</v>
      </c>
      <c r="B653" s="22" t="s">
        <v>5361</v>
      </c>
      <c r="C653" s="2">
        <v>1</v>
      </c>
      <c r="D653" s="23">
        <v>22.99</v>
      </c>
      <c r="E653" s="3">
        <v>22.99</v>
      </c>
      <c r="F653" s="2" t="s">
        <v>5362</v>
      </c>
      <c r="G653" s="22" t="s">
        <v>19431</v>
      </c>
      <c r="H653" s="24" t="s">
        <v>19399</v>
      </c>
      <c r="I653" s="22" t="s">
        <v>19309</v>
      </c>
      <c r="J653" s="22" t="s">
        <v>19508</v>
      </c>
      <c r="K653" s="22" t="s">
        <v>19509</v>
      </c>
      <c r="L653" s="22"/>
      <c r="M653" s="22"/>
      <c r="N653" s="25"/>
    </row>
    <row r="654" spans="1:14" ht="24.75" x14ac:dyDescent="0.25">
      <c r="A654" s="21" t="s">
        <v>5363</v>
      </c>
      <c r="B654" s="22" t="s">
        <v>5364</v>
      </c>
      <c r="C654" s="2">
        <v>1</v>
      </c>
      <c r="D654" s="23">
        <v>29.99</v>
      </c>
      <c r="E654" s="3">
        <v>29.99</v>
      </c>
      <c r="F654" s="2" t="s">
        <v>10213</v>
      </c>
      <c r="G654" s="22" t="s">
        <v>19801</v>
      </c>
      <c r="H654" s="24" t="s">
        <v>19538</v>
      </c>
      <c r="I654" s="22" t="s">
        <v>19309</v>
      </c>
      <c r="J654" s="22" t="s">
        <v>19385</v>
      </c>
      <c r="K654" s="22" t="s">
        <v>19487</v>
      </c>
      <c r="L654" s="22"/>
      <c r="M654" s="22"/>
      <c r="N654" s="25"/>
    </row>
    <row r="655" spans="1:14" ht="24.75" x14ac:dyDescent="0.25">
      <c r="A655" s="21" t="s">
        <v>5365</v>
      </c>
      <c r="B655" s="22" t="s">
        <v>5366</v>
      </c>
      <c r="C655" s="2">
        <v>1</v>
      </c>
      <c r="D655" s="23">
        <v>29.99</v>
      </c>
      <c r="E655" s="3">
        <v>29.99</v>
      </c>
      <c r="F655" s="2" t="s">
        <v>10213</v>
      </c>
      <c r="G655" s="22" t="s">
        <v>19801</v>
      </c>
      <c r="H655" s="24" t="s">
        <v>19416</v>
      </c>
      <c r="I655" s="22" t="s">
        <v>19309</v>
      </c>
      <c r="J655" s="22" t="s">
        <v>19385</v>
      </c>
      <c r="K655" s="22" t="s">
        <v>19487</v>
      </c>
      <c r="L655" s="22"/>
      <c r="M655" s="22"/>
      <c r="N655" s="25"/>
    </row>
    <row r="656" spans="1:14" ht="24.75" x14ac:dyDescent="0.25">
      <c r="A656" s="21" t="s">
        <v>5367</v>
      </c>
      <c r="B656" s="22" t="s">
        <v>5368</v>
      </c>
      <c r="C656" s="2">
        <v>1</v>
      </c>
      <c r="D656" s="23">
        <v>26.99</v>
      </c>
      <c r="E656" s="3">
        <v>26.99</v>
      </c>
      <c r="F656" s="2" t="s">
        <v>5369</v>
      </c>
      <c r="G656" s="22" t="s">
        <v>19415</v>
      </c>
      <c r="H656" s="24" t="s">
        <v>19395</v>
      </c>
      <c r="I656" s="22" t="s">
        <v>19309</v>
      </c>
      <c r="J656" s="22" t="s">
        <v>19508</v>
      </c>
      <c r="K656" s="22" t="s">
        <v>17711</v>
      </c>
      <c r="L656" s="22"/>
      <c r="M656" s="22"/>
      <c r="N656" s="25"/>
    </row>
    <row r="657" spans="1:14" ht="24.75" x14ac:dyDescent="0.25">
      <c r="A657" s="21" t="s">
        <v>5370</v>
      </c>
      <c r="B657" s="22" t="s">
        <v>5371</v>
      </c>
      <c r="C657" s="2">
        <v>1</v>
      </c>
      <c r="D657" s="23">
        <v>21.99</v>
      </c>
      <c r="E657" s="3">
        <v>21.99</v>
      </c>
      <c r="F657" s="2" t="s">
        <v>5372</v>
      </c>
      <c r="G657" s="22" t="s">
        <v>19415</v>
      </c>
      <c r="H657" s="24" t="s">
        <v>19395</v>
      </c>
      <c r="I657" s="22" t="s">
        <v>19309</v>
      </c>
      <c r="J657" s="22" t="s">
        <v>19508</v>
      </c>
      <c r="K657" s="22" t="s">
        <v>17711</v>
      </c>
      <c r="L657" s="22"/>
      <c r="M657" s="22"/>
      <c r="N657" s="25"/>
    </row>
    <row r="658" spans="1:14" ht="24.75" x14ac:dyDescent="0.25">
      <c r="A658" s="21" t="s">
        <v>5373</v>
      </c>
      <c r="B658" s="22" t="s">
        <v>5374</v>
      </c>
      <c r="C658" s="2">
        <v>1</v>
      </c>
      <c r="D658" s="23">
        <v>26.23</v>
      </c>
      <c r="E658" s="3">
        <v>26.23</v>
      </c>
      <c r="F658" s="2" t="s">
        <v>5375</v>
      </c>
      <c r="G658" s="22"/>
      <c r="H658" s="24" t="s">
        <v>19501</v>
      </c>
      <c r="I658" s="22" t="s">
        <v>19309</v>
      </c>
      <c r="J658" s="22" t="s">
        <v>19602</v>
      </c>
      <c r="K658" s="22" t="s">
        <v>19603</v>
      </c>
      <c r="L658" s="22"/>
      <c r="M658" s="22"/>
      <c r="N658" s="25"/>
    </row>
    <row r="659" spans="1:14" ht="24.75" x14ac:dyDescent="0.25">
      <c r="A659" s="21" t="s">
        <v>5376</v>
      </c>
      <c r="B659" s="22" t="s">
        <v>5377</v>
      </c>
      <c r="C659" s="2">
        <v>1</v>
      </c>
      <c r="D659" s="23">
        <v>33</v>
      </c>
      <c r="E659" s="3">
        <v>33</v>
      </c>
      <c r="F659" s="2" t="s">
        <v>5378</v>
      </c>
      <c r="G659" s="22" t="s">
        <v>19794</v>
      </c>
      <c r="H659" s="24" t="s">
        <v>19316</v>
      </c>
      <c r="I659" s="22" t="s">
        <v>19309</v>
      </c>
      <c r="J659" s="22" t="s">
        <v>19400</v>
      </c>
      <c r="K659" s="22" t="s">
        <v>19423</v>
      </c>
      <c r="L659" s="22"/>
      <c r="M659" s="22"/>
      <c r="N659" s="25"/>
    </row>
    <row r="660" spans="1:14" ht="24.75" x14ac:dyDescent="0.25">
      <c r="A660" s="21" t="s">
        <v>5379</v>
      </c>
      <c r="B660" s="22" t="s">
        <v>5380</v>
      </c>
      <c r="C660" s="2">
        <v>1</v>
      </c>
      <c r="D660" s="23">
        <v>18.82</v>
      </c>
      <c r="E660" s="3">
        <v>18.82</v>
      </c>
      <c r="F660" s="2" t="s">
        <v>5381</v>
      </c>
      <c r="G660" s="22"/>
      <c r="H660" s="24"/>
      <c r="I660" s="22" t="s">
        <v>19309</v>
      </c>
      <c r="J660" s="22" t="s">
        <v>19602</v>
      </c>
      <c r="K660" s="22" t="s">
        <v>20041</v>
      </c>
      <c r="L660" s="22"/>
      <c r="M660" s="22"/>
      <c r="N660" s="25"/>
    </row>
    <row r="661" spans="1:14" ht="24.75" x14ac:dyDescent="0.25">
      <c r="A661" s="21" t="s">
        <v>13568</v>
      </c>
      <c r="B661" s="22" t="s">
        <v>13569</v>
      </c>
      <c r="C661" s="2">
        <v>1</v>
      </c>
      <c r="D661" s="23">
        <v>18.61</v>
      </c>
      <c r="E661" s="3">
        <v>18.61</v>
      </c>
      <c r="F661" s="2" t="s">
        <v>15352</v>
      </c>
      <c r="G661" s="22"/>
      <c r="H661" s="24" t="s">
        <v>19392</v>
      </c>
      <c r="I661" s="22" t="s">
        <v>19309</v>
      </c>
      <c r="J661" s="22" t="s">
        <v>19602</v>
      </c>
      <c r="K661" s="22" t="s">
        <v>20041</v>
      </c>
      <c r="L661" s="22"/>
      <c r="M661" s="22"/>
      <c r="N661" s="25"/>
    </row>
    <row r="662" spans="1:14" ht="24.75" x14ac:dyDescent="0.25">
      <c r="A662" s="21" t="s">
        <v>5382</v>
      </c>
      <c r="B662" s="22" t="s">
        <v>5383</v>
      </c>
      <c r="C662" s="2">
        <v>1</v>
      </c>
      <c r="D662" s="23">
        <v>18.23</v>
      </c>
      <c r="E662" s="3">
        <v>18.23</v>
      </c>
      <c r="F662" s="2" t="s">
        <v>11197</v>
      </c>
      <c r="G662" s="22"/>
      <c r="H662" s="24"/>
      <c r="I662" s="22" t="s">
        <v>19309</v>
      </c>
      <c r="J662" s="22" t="s">
        <v>19602</v>
      </c>
      <c r="K662" s="22" t="s">
        <v>19603</v>
      </c>
      <c r="L662" s="22"/>
      <c r="M662" s="22"/>
      <c r="N662" s="25"/>
    </row>
    <row r="663" spans="1:14" x14ac:dyDescent="0.25">
      <c r="A663" s="21" t="s">
        <v>13573</v>
      </c>
      <c r="B663" s="22" t="s">
        <v>13574</v>
      </c>
      <c r="C663" s="2">
        <v>1</v>
      </c>
      <c r="D663" s="23">
        <v>17.87</v>
      </c>
      <c r="E663" s="3">
        <v>17.87</v>
      </c>
      <c r="F663" s="2" t="s">
        <v>20179</v>
      </c>
      <c r="G663" s="22"/>
      <c r="H663" s="24" t="s">
        <v>19367</v>
      </c>
      <c r="I663" s="22" t="s">
        <v>19309</v>
      </c>
      <c r="J663" s="22" t="s">
        <v>19708</v>
      </c>
      <c r="K663" s="22" t="s">
        <v>19709</v>
      </c>
      <c r="L663" s="22"/>
      <c r="M663" s="22"/>
      <c r="N663" s="25"/>
    </row>
    <row r="664" spans="1:14" ht="24.75" x14ac:dyDescent="0.25">
      <c r="A664" s="21" t="s">
        <v>5384</v>
      </c>
      <c r="B664" s="22" t="s">
        <v>5385</v>
      </c>
      <c r="C664" s="2">
        <v>1</v>
      </c>
      <c r="D664" s="23">
        <v>15.99</v>
      </c>
      <c r="E664" s="3">
        <v>15.99</v>
      </c>
      <c r="F664" s="2" t="s">
        <v>18196</v>
      </c>
      <c r="G664" s="22" t="s">
        <v>19333</v>
      </c>
      <c r="H664" s="24" t="s">
        <v>19345</v>
      </c>
      <c r="I664" s="22" t="s">
        <v>19309</v>
      </c>
      <c r="J664" s="22" t="s">
        <v>19491</v>
      </c>
      <c r="K664" s="22" t="s">
        <v>18197</v>
      </c>
      <c r="L664" s="22"/>
      <c r="M664" s="22"/>
      <c r="N664" s="25"/>
    </row>
    <row r="665" spans="1:14" ht="24.75" x14ac:dyDescent="0.25">
      <c r="A665" s="21" t="s">
        <v>13575</v>
      </c>
      <c r="B665" s="22" t="s">
        <v>13576</v>
      </c>
      <c r="C665" s="2">
        <v>1</v>
      </c>
      <c r="D665" s="23">
        <v>14.73</v>
      </c>
      <c r="E665" s="3">
        <v>14.73</v>
      </c>
      <c r="F665" s="2" t="s">
        <v>13577</v>
      </c>
      <c r="G665" s="22" t="s">
        <v>17567</v>
      </c>
      <c r="H665" s="24" t="s">
        <v>19392</v>
      </c>
      <c r="I665" s="22" t="s">
        <v>19309</v>
      </c>
      <c r="J665" s="22" t="s">
        <v>19602</v>
      </c>
      <c r="K665" s="22" t="s">
        <v>20041</v>
      </c>
      <c r="L665" s="22"/>
      <c r="M665" s="22"/>
      <c r="N665" s="25"/>
    </row>
    <row r="666" spans="1:14" ht="24.75" x14ac:dyDescent="0.25">
      <c r="A666" s="21" t="s">
        <v>5386</v>
      </c>
      <c r="B666" s="22" t="s">
        <v>5387</v>
      </c>
      <c r="C666" s="2">
        <v>1</v>
      </c>
      <c r="D666" s="23">
        <v>14.73</v>
      </c>
      <c r="E666" s="3">
        <v>14.73</v>
      </c>
      <c r="F666" s="2" t="s">
        <v>13577</v>
      </c>
      <c r="G666" s="22" t="s">
        <v>17567</v>
      </c>
      <c r="H666" s="24" t="s">
        <v>19345</v>
      </c>
      <c r="I666" s="22" t="s">
        <v>19309</v>
      </c>
      <c r="J666" s="22" t="s">
        <v>19602</v>
      </c>
      <c r="K666" s="22" t="s">
        <v>20041</v>
      </c>
      <c r="L666" s="22"/>
      <c r="M666" s="22"/>
      <c r="N666" s="25"/>
    </row>
    <row r="667" spans="1:14" ht="24.75" x14ac:dyDescent="0.25">
      <c r="A667" s="21" t="s">
        <v>5388</v>
      </c>
      <c r="B667" s="22" t="s">
        <v>5389</v>
      </c>
      <c r="C667" s="2">
        <v>1</v>
      </c>
      <c r="D667" s="23">
        <v>14.73</v>
      </c>
      <c r="E667" s="3">
        <v>14.73</v>
      </c>
      <c r="F667" s="2" t="s">
        <v>13577</v>
      </c>
      <c r="G667" s="22" t="s">
        <v>17567</v>
      </c>
      <c r="H667" s="24"/>
      <c r="I667" s="22" t="s">
        <v>19309</v>
      </c>
      <c r="J667" s="22" t="s">
        <v>19602</v>
      </c>
      <c r="K667" s="22" t="s">
        <v>20041</v>
      </c>
      <c r="L667" s="22"/>
      <c r="M667" s="22"/>
      <c r="N667" s="25"/>
    </row>
    <row r="668" spans="1:14" x14ac:dyDescent="0.25">
      <c r="A668" s="21" t="s">
        <v>10229</v>
      </c>
      <c r="B668" s="22" t="s">
        <v>10230</v>
      </c>
      <c r="C668" s="2">
        <v>1</v>
      </c>
      <c r="D668" s="23">
        <v>15.83</v>
      </c>
      <c r="E668" s="3">
        <v>15.83</v>
      </c>
      <c r="F668" s="2" t="s">
        <v>18272</v>
      </c>
      <c r="G668" s="22" t="s">
        <v>19351</v>
      </c>
      <c r="H668" s="24" t="s">
        <v>20152</v>
      </c>
      <c r="I668" s="22" t="s">
        <v>19309</v>
      </c>
      <c r="J668" s="22" t="s">
        <v>19708</v>
      </c>
      <c r="K668" s="22" t="s">
        <v>19709</v>
      </c>
      <c r="L668" s="22"/>
      <c r="M668" s="22"/>
      <c r="N668" s="25"/>
    </row>
    <row r="669" spans="1:14" x14ac:dyDescent="0.25">
      <c r="A669" s="21" t="s">
        <v>5390</v>
      </c>
      <c r="B669" s="22" t="s">
        <v>5391</v>
      </c>
      <c r="C669" s="2">
        <v>1</v>
      </c>
      <c r="D669" s="23">
        <v>17.989999999999998</v>
      </c>
      <c r="E669" s="3">
        <v>17.989999999999998</v>
      </c>
      <c r="F669" s="2" t="s">
        <v>5392</v>
      </c>
      <c r="G669" s="22" t="s">
        <v>19342</v>
      </c>
      <c r="H669" s="24" t="s">
        <v>19334</v>
      </c>
      <c r="I669" s="22" t="s">
        <v>19309</v>
      </c>
      <c r="J669" s="22" t="s">
        <v>19696</v>
      </c>
      <c r="K669" s="22" t="s">
        <v>19697</v>
      </c>
      <c r="L669" s="22"/>
      <c r="M669" s="22"/>
      <c r="N669" s="25"/>
    </row>
    <row r="670" spans="1:14" x14ac:dyDescent="0.25">
      <c r="A670" s="21" t="s">
        <v>5393</v>
      </c>
      <c r="B670" s="22" t="s">
        <v>5391</v>
      </c>
      <c r="C670" s="2">
        <v>1</v>
      </c>
      <c r="D670" s="23">
        <v>17.989999999999998</v>
      </c>
      <c r="E670" s="3">
        <v>17.989999999999998</v>
      </c>
      <c r="F670" s="2" t="s">
        <v>5392</v>
      </c>
      <c r="G670" s="22" t="s">
        <v>19342</v>
      </c>
      <c r="H670" s="24" t="s">
        <v>19392</v>
      </c>
      <c r="I670" s="22" t="s">
        <v>19309</v>
      </c>
      <c r="J670" s="22" t="s">
        <v>19696</v>
      </c>
      <c r="K670" s="22" t="s">
        <v>19697</v>
      </c>
      <c r="L670" s="22"/>
      <c r="M670" s="22"/>
      <c r="N670" s="25"/>
    </row>
    <row r="671" spans="1:14" x14ac:dyDescent="0.25">
      <c r="A671" s="21" t="s">
        <v>13581</v>
      </c>
      <c r="B671" s="22" t="s">
        <v>13582</v>
      </c>
      <c r="C671" s="2">
        <v>1</v>
      </c>
      <c r="D671" s="23">
        <v>15.13</v>
      </c>
      <c r="E671" s="3">
        <v>15.13</v>
      </c>
      <c r="F671" s="2" t="s">
        <v>13583</v>
      </c>
      <c r="G671" s="22" t="s">
        <v>19323</v>
      </c>
      <c r="H671" s="24" t="s">
        <v>20152</v>
      </c>
      <c r="I671" s="22" t="s">
        <v>19309</v>
      </c>
      <c r="J671" s="22" t="s">
        <v>19708</v>
      </c>
      <c r="K671" s="22" t="s">
        <v>19709</v>
      </c>
      <c r="L671" s="22"/>
      <c r="M671" s="22"/>
      <c r="N671" s="25"/>
    </row>
    <row r="672" spans="1:14" ht="24.75" x14ac:dyDescent="0.25">
      <c r="A672" s="21" t="s">
        <v>5394</v>
      </c>
      <c r="B672" s="22" t="s">
        <v>5395</v>
      </c>
      <c r="C672" s="2">
        <v>1</v>
      </c>
      <c r="D672" s="23">
        <v>10.99</v>
      </c>
      <c r="E672" s="3">
        <v>10.99</v>
      </c>
      <c r="F672" s="2" t="s">
        <v>5396</v>
      </c>
      <c r="G672" s="22" t="s">
        <v>19674</v>
      </c>
      <c r="H672" s="24" t="s">
        <v>19352</v>
      </c>
      <c r="I672" s="22" t="s">
        <v>19309</v>
      </c>
      <c r="J672" s="22" t="s">
        <v>19353</v>
      </c>
      <c r="K672" s="22" t="s">
        <v>19524</v>
      </c>
      <c r="L672" s="22"/>
      <c r="M672" s="22"/>
      <c r="N672" s="25"/>
    </row>
  </sheetData>
  <phoneticPr fontId="0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27"/>
  <sheetViews>
    <sheetView workbookViewId="0">
      <selection activeCell="C19" sqref="C19"/>
    </sheetView>
  </sheetViews>
  <sheetFormatPr defaultRowHeight="15" x14ac:dyDescent="0.25"/>
  <cols>
    <col min="1" max="1" width="14.42578125" customWidth="1"/>
    <col min="2" max="2" width="54.42578125" customWidth="1"/>
    <col min="3" max="4" width="15" customWidth="1"/>
    <col min="5" max="5" width="10.42578125" customWidth="1"/>
    <col min="6" max="6" width="14.42578125" customWidth="1"/>
    <col min="7" max="8" width="11.42578125" customWidth="1"/>
    <col min="9" max="9" width="10.85546875" customWidth="1"/>
    <col min="10" max="10" width="12.140625" customWidth="1"/>
    <col min="11" max="11" width="36.5703125" bestFit="1" customWidth="1"/>
    <col min="12" max="13" width="20.5703125" customWidth="1"/>
    <col min="14" max="14" width="64.42578125" customWidth="1"/>
  </cols>
  <sheetData>
    <row r="1" spans="1:14" ht="36" x14ac:dyDescent="0.25">
      <c r="A1" s="1" t="s">
        <v>19291</v>
      </c>
      <c r="B1" s="1" t="s">
        <v>19292</v>
      </c>
      <c r="C1" s="1" t="s">
        <v>19293</v>
      </c>
      <c r="D1" s="1" t="s">
        <v>19284</v>
      </c>
      <c r="E1" s="1" t="s">
        <v>19294</v>
      </c>
      <c r="F1" s="1" t="s">
        <v>19295</v>
      </c>
      <c r="G1" s="1" t="s">
        <v>19296</v>
      </c>
      <c r="H1" s="1" t="s">
        <v>19297</v>
      </c>
      <c r="I1" s="1" t="s">
        <v>19298</v>
      </c>
      <c r="J1" s="1" t="s">
        <v>19299</v>
      </c>
      <c r="K1" s="1" t="s">
        <v>19300</v>
      </c>
      <c r="L1" s="1" t="s">
        <v>19301</v>
      </c>
      <c r="M1" s="1" t="s">
        <v>19302</v>
      </c>
      <c r="N1" s="1" t="s">
        <v>19303</v>
      </c>
    </row>
    <row r="2" spans="1:14" ht="24.75" x14ac:dyDescent="0.25">
      <c r="A2" s="21" t="s">
        <v>13589</v>
      </c>
      <c r="B2" s="22" t="s">
        <v>13590</v>
      </c>
      <c r="C2" s="2">
        <v>1</v>
      </c>
      <c r="D2" s="23">
        <v>79.989999999999995</v>
      </c>
      <c r="E2" s="3">
        <v>79.989999999999995</v>
      </c>
      <c r="F2" s="2" t="s">
        <v>19314</v>
      </c>
      <c r="G2" s="22" t="s">
        <v>19315</v>
      </c>
      <c r="H2" s="24" t="s">
        <v>19997</v>
      </c>
      <c r="I2" s="22" t="s">
        <v>19309</v>
      </c>
      <c r="J2" s="22" t="s">
        <v>19317</v>
      </c>
      <c r="K2" s="22" t="s">
        <v>19318</v>
      </c>
      <c r="L2" s="22" t="s">
        <v>19319</v>
      </c>
      <c r="M2" s="22" t="s">
        <v>19320</v>
      </c>
      <c r="N2" s="25" t="str">
        <f>HYPERLINK("http://slimages.macys.com/is/image/MCY/11252408 ")</f>
        <v xml:space="preserve">http://slimages.macys.com/is/image/MCY/11252408 </v>
      </c>
    </row>
    <row r="3" spans="1:14" ht="24.75" x14ac:dyDescent="0.25">
      <c r="A3" s="21" t="s">
        <v>5397</v>
      </c>
      <c r="B3" s="22" t="s">
        <v>5398</v>
      </c>
      <c r="C3" s="2">
        <v>1</v>
      </c>
      <c r="D3" s="23">
        <v>70</v>
      </c>
      <c r="E3" s="3">
        <v>70</v>
      </c>
      <c r="F3" s="2" t="s">
        <v>5399</v>
      </c>
      <c r="G3" s="22" t="s">
        <v>19427</v>
      </c>
      <c r="H3" s="24" t="s">
        <v>13630</v>
      </c>
      <c r="I3" s="22" t="s">
        <v>19309</v>
      </c>
      <c r="J3" s="22" t="s">
        <v>17328</v>
      </c>
      <c r="K3" s="22" t="s">
        <v>5400</v>
      </c>
      <c r="L3" s="22"/>
      <c r="M3" s="22"/>
      <c r="N3" s="25" t="str">
        <f>HYPERLINK("http://slimages.macys.com/is/image/MCY/18802899 ")</f>
        <v xml:space="preserve">http://slimages.macys.com/is/image/MCY/18802899 </v>
      </c>
    </row>
    <row r="4" spans="1:14" x14ac:dyDescent="0.25">
      <c r="A4" s="21" t="s">
        <v>5401</v>
      </c>
      <c r="B4" s="22" t="s">
        <v>5402</v>
      </c>
      <c r="C4" s="2">
        <v>1</v>
      </c>
      <c r="D4" s="23">
        <v>65</v>
      </c>
      <c r="E4" s="3">
        <v>65</v>
      </c>
      <c r="F4" s="2" t="s">
        <v>5403</v>
      </c>
      <c r="G4" s="22" t="s">
        <v>18361</v>
      </c>
      <c r="H4" s="24" t="s">
        <v>11850</v>
      </c>
      <c r="I4" s="22" t="s">
        <v>19309</v>
      </c>
      <c r="J4" s="22" t="s">
        <v>17328</v>
      </c>
      <c r="K4" s="22" t="s">
        <v>5400</v>
      </c>
      <c r="L4" s="22"/>
      <c r="M4" s="22"/>
      <c r="N4" s="25" t="str">
        <f>HYPERLINK("http://slimages.macys.com/is/image/MCY/18802587 ")</f>
        <v xml:space="preserve">http://slimages.macys.com/is/image/MCY/18802587 </v>
      </c>
    </row>
    <row r="5" spans="1:14" ht="24.75" x14ac:dyDescent="0.25">
      <c r="A5" s="21" t="s">
        <v>5404</v>
      </c>
      <c r="B5" s="22" t="s">
        <v>5405</v>
      </c>
      <c r="C5" s="2">
        <v>1</v>
      </c>
      <c r="D5" s="23">
        <v>65</v>
      </c>
      <c r="E5" s="3">
        <v>65</v>
      </c>
      <c r="F5" s="2">
        <v>320865757001</v>
      </c>
      <c r="G5" s="22" t="s">
        <v>19333</v>
      </c>
      <c r="H5" s="24" t="s">
        <v>19416</v>
      </c>
      <c r="I5" s="22" t="s">
        <v>19309</v>
      </c>
      <c r="J5" s="22" t="s">
        <v>19325</v>
      </c>
      <c r="K5" s="22" t="s">
        <v>19326</v>
      </c>
      <c r="L5" s="22"/>
      <c r="M5" s="22"/>
      <c r="N5" s="25" t="str">
        <f>HYPERLINK("http://slimages.macys.com/is/image/MCY/21990875 ")</f>
        <v xml:space="preserve">http://slimages.macys.com/is/image/MCY/21990875 </v>
      </c>
    </row>
    <row r="6" spans="1:14" ht="24.75" x14ac:dyDescent="0.25">
      <c r="A6" s="21" t="s">
        <v>5406</v>
      </c>
      <c r="B6" s="22" t="s">
        <v>5407</v>
      </c>
      <c r="C6" s="2">
        <v>1</v>
      </c>
      <c r="D6" s="23">
        <v>65</v>
      </c>
      <c r="E6" s="3">
        <v>65</v>
      </c>
      <c r="F6" s="2">
        <v>320870783001</v>
      </c>
      <c r="G6" s="22" t="s">
        <v>19879</v>
      </c>
      <c r="H6" s="24" t="s">
        <v>19367</v>
      </c>
      <c r="I6" s="22" t="s">
        <v>19309</v>
      </c>
      <c r="J6" s="22" t="s">
        <v>19325</v>
      </c>
      <c r="K6" s="22" t="s">
        <v>19326</v>
      </c>
      <c r="L6" s="22"/>
      <c r="M6" s="22"/>
      <c r="N6" s="25" t="str">
        <f>HYPERLINK("http://slimages.macys.com/is/image/MCY/22118893 ")</f>
        <v xml:space="preserve">http://slimages.macys.com/is/image/MCY/22118893 </v>
      </c>
    </row>
    <row r="7" spans="1:14" ht="24.75" x14ac:dyDescent="0.25">
      <c r="A7" s="21" t="s">
        <v>5408</v>
      </c>
      <c r="B7" s="22" t="s">
        <v>5409</v>
      </c>
      <c r="C7" s="2">
        <v>1</v>
      </c>
      <c r="D7" s="23">
        <v>60</v>
      </c>
      <c r="E7" s="3">
        <v>60</v>
      </c>
      <c r="F7" s="2" t="s">
        <v>5410</v>
      </c>
      <c r="G7" s="22" t="s">
        <v>19467</v>
      </c>
      <c r="H7" s="24" t="s">
        <v>11850</v>
      </c>
      <c r="I7" s="22" t="s">
        <v>19309</v>
      </c>
      <c r="J7" s="22" t="s">
        <v>17328</v>
      </c>
      <c r="K7" s="22" t="s">
        <v>8648</v>
      </c>
      <c r="L7" s="22"/>
      <c r="M7" s="22"/>
      <c r="N7" s="25" t="str">
        <f>HYPERLINK("http://slimages.macys.com/is/image/MCY/21006032 ")</f>
        <v xml:space="preserve">http://slimages.macys.com/is/image/MCY/21006032 </v>
      </c>
    </row>
    <row r="8" spans="1:14" x14ac:dyDescent="0.25">
      <c r="A8" s="21" t="s">
        <v>5411</v>
      </c>
      <c r="B8" s="22" t="s">
        <v>5412</v>
      </c>
      <c r="C8" s="2">
        <v>1</v>
      </c>
      <c r="D8" s="23">
        <v>49</v>
      </c>
      <c r="E8" s="3">
        <v>49</v>
      </c>
      <c r="F8" s="2" t="s">
        <v>5413</v>
      </c>
      <c r="G8" s="22" t="s">
        <v>19315</v>
      </c>
      <c r="H8" s="24" t="s">
        <v>5414</v>
      </c>
      <c r="I8" s="22" t="s">
        <v>19309</v>
      </c>
      <c r="J8" s="22" t="s">
        <v>17328</v>
      </c>
      <c r="K8" s="22" t="s">
        <v>10252</v>
      </c>
      <c r="L8" s="22" t="s">
        <v>19319</v>
      </c>
      <c r="M8" s="22" t="s">
        <v>5415</v>
      </c>
      <c r="N8" s="25" t="str">
        <f>HYPERLINK("http://slimages.macys.com/is/image/MCY/3811468 ")</f>
        <v xml:space="preserve">http://slimages.macys.com/is/image/MCY/3811468 </v>
      </c>
    </row>
    <row r="9" spans="1:14" ht="24.75" x14ac:dyDescent="0.25">
      <c r="A9" s="21" t="s">
        <v>5416</v>
      </c>
      <c r="B9" s="22" t="s">
        <v>5417</v>
      </c>
      <c r="C9" s="2">
        <v>1</v>
      </c>
      <c r="D9" s="23">
        <v>49.95</v>
      </c>
      <c r="E9" s="3">
        <v>49.95</v>
      </c>
      <c r="F9" s="2">
        <v>6353684</v>
      </c>
      <c r="G9" s="22" t="s">
        <v>19660</v>
      </c>
      <c r="H9" s="24" t="s">
        <v>6383</v>
      </c>
      <c r="I9" s="22" t="s">
        <v>19309</v>
      </c>
      <c r="J9" s="22" t="s">
        <v>17328</v>
      </c>
      <c r="K9" s="22" t="s">
        <v>5418</v>
      </c>
      <c r="L9" s="22" t="s">
        <v>19319</v>
      </c>
      <c r="M9" s="22" t="s">
        <v>6385</v>
      </c>
      <c r="N9" s="25" t="str">
        <f>HYPERLINK("http://slimages.macys.com/is/image/MCY/3493457 ")</f>
        <v xml:space="preserve">http://slimages.macys.com/is/image/MCY/3493457 </v>
      </c>
    </row>
    <row r="10" spans="1:14" ht="24.75" x14ac:dyDescent="0.25">
      <c r="A10" s="21" t="s">
        <v>5419</v>
      </c>
      <c r="B10" s="22" t="s">
        <v>5420</v>
      </c>
      <c r="C10" s="2">
        <v>1</v>
      </c>
      <c r="D10" s="23">
        <v>49.5</v>
      </c>
      <c r="E10" s="3">
        <v>49.5</v>
      </c>
      <c r="F10" s="2">
        <v>323870935004</v>
      </c>
      <c r="G10" s="22" t="s">
        <v>19342</v>
      </c>
      <c r="H10" s="24" t="s">
        <v>19352</v>
      </c>
      <c r="I10" s="22" t="s">
        <v>19309</v>
      </c>
      <c r="J10" s="22" t="s">
        <v>19335</v>
      </c>
      <c r="K10" s="22" t="s">
        <v>19326</v>
      </c>
      <c r="L10" s="22" t="s">
        <v>19319</v>
      </c>
      <c r="M10" s="22" t="s">
        <v>19358</v>
      </c>
      <c r="N10" s="25" t="str">
        <f>HYPERLINK("http://images.bloomingdales.com/is/image/BLM/12289159 ")</f>
        <v xml:space="preserve">http://images.bloomingdales.com/is/image/BLM/12289159 </v>
      </c>
    </row>
    <row r="11" spans="1:14" ht="24.75" x14ac:dyDescent="0.25">
      <c r="A11" s="21" t="s">
        <v>5421</v>
      </c>
      <c r="B11" s="22" t="s">
        <v>5422</v>
      </c>
      <c r="C11" s="2">
        <v>1</v>
      </c>
      <c r="D11" s="23">
        <v>54.99</v>
      </c>
      <c r="E11" s="3">
        <v>54.99</v>
      </c>
      <c r="F11" s="2" t="s">
        <v>5423</v>
      </c>
      <c r="G11" s="22" t="s">
        <v>19670</v>
      </c>
      <c r="H11" s="24" t="s">
        <v>19345</v>
      </c>
      <c r="I11" s="22" t="s">
        <v>19309</v>
      </c>
      <c r="J11" s="22" t="s">
        <v>19378</v>
      </c>
      <c r="K11" s="22" t="s">
        <v>19386</v>
      </c>
      <c r="L11" s="22"/>
      <c r="M11" s="22"/>
      <c r="N11" s="25" t="str">
        <f>HYPERLINK("http://slimages.macys.com/is/image/MCY/21193589 ")</f>
        <v xml:space="preserve">http://slimages.macys.com/is/image/MCY/21193589 </v>
      </c>
    </row>
    <row r="12" spans="1:14" ht="24.75" x14ac:dyDescent="0.25">
      <c r="A12" s="21" t="s">
        <v>5424</v>
      </c>
      <c r="B12" s="22" t="s">
        <v>5425</v>
      </c>
      <c r="C12" s="2">
        <v>1</v>
      </c>
      <c r="D12" s="23">
        <v>39.5</v>
      </c>
      <c r="E12" s="3">
        <v>39.5</v>
      </c>
      <c r="F12" s="2">
        <v>323867158068</v>
      </c>
      <c r="G12" s="22" t="s">
        <v>19342</v>
      </c>
      <c r="H12" s="24" t="s">
        <v>19339</v>
      </c>
      <c r="I12" s="22" t="s">
        <v>19309</v>
      </c>
      <c r="J12" s="22" t="s">
        <v>19335</v>
      </c>
      <c r="K12" s="22" t="s">
        <v>19326</v>
      </c>
      <c r="L12" s="22"/>
      <c r="M12" s="22"/>
      <c r="N12" s="25" t="str">
        <f>HYPERLINK("http://slimages.macys.com/is/image/MCY/22268936 ")</f>
        <v xml:space="preserve">http://slimages.macys.com/is/image/MCY/22268936 </v>
      </c>
    </row>
    <row r="13" spans="1:14" ht="24.75" x14ac:dyDescent="0.25">
      <c r="A13" s="21" t="s">
        <v>12780</v>
      </c>
      <c r="B13" s="22" t="s">
        <v>12781</v>
      </c>
      <c r="C13" s="2">
        <v>1</v>
      </c>
      <c r="D13" s="23">
        <v>44.99</v>
      </c>
      <c r="E13" s="3">
        <v>44.99</v>
      </c>
      <c r="F13" s="2" t="s">
        <v>12782</v>
      </c>
      <c r="G13" s="22" t="s">
        <v>19422</v>
      </c>
      <c r="H13" s="24" t="s">
        <v>19416</v>
      </c>
      <c r="I13" s="22" t="s">
        <v>19309</v>
      </c>
      <c r="J13" s="22" t="s">
        <v>19385</v>
      </c>
      <c r="K13" s="22" t="s">
        <v>19386</v>
      </c>
      <c r="L13" s="22"/>
      <c r="M13" s="22"/>
      <c r="N13" s="25" t="str">
        <f>HYPERLINK("http://slimages.macys.com/is/image/MCY/21878268 ")</f>
        <v xml:space="preserve">http://slimages.macys.com/is/image/MCY/21878268 </v>
      </c>
    </row>
    <row r="14" spans="1:14" x14ac:dyDescent="0.25">
      <c r="A14" s="21" t="s">
        <v>15534</v>
      </c>
      <c r="B14" s="22" t="s">
        <v>15535</v>
      </c>
      <c r="C14" s="2">
        <v>1</v>
      </c>
      <c r="D14" s="23">
        <v>34.99</v>
      </c>
      <c r="E14" s="3">
        <v>34.99</v>
      </c>
      <c r="F14" s="2" t="s">
        <v>15536</v>
      </c>
      <c r="G14" s="22" t="s">
        <v>19307</v>
      </c>
      <c r="H14" s="24" t="s">
        <v>19364</v>
      </c>
      <c r="I14" s="22" t="s">
        <v>19309</v>
      </c>
      <c r="J14" s="22" t="s">
        <v>19310</v>
      </c>
      <c r="K14" s="22" t="s">
        <v>19631</v>
      </c>
      <c r="L14" s="22"/>
      <c r="M14" s="22"/>
      <c r="N14" s="25" t="str">
        <f>HYPERLINK("http://slimages.macys.com/is/image/MCY/21118457 ")</f>
        <v xml:space="preserve">http://slimages.macys.com/is/image/MCY/21118457 </v>
      </c>
    </row>
    <row r="15" spans="1:14" x14ac:dyDescent="0.25">
      <c r="A15" s="21" t="s">
        <v>5426</v>
      </c>
      <c r="B15" s="22" t="s">
        <v>5427</v>
      </c>
      <c r="C15" s="2">
        <v>2</v>
      </c>
      <c r="D15" s="23">
        <v>34.99</v>
      </c>
      <c r="E15" s="3">
        <v>69.98</v>
      </c>
      <c r="F15" s="2" t="s">
        <v>15536</v>
      </c>
      <c r="G15" s="22" t="s">
        <v>19307</v>
      </c>
      <c r="H15" s="24" t="s">
        <v>19352</v>
      </c>
      <c r="I15" s="22" t="s">
        <v>19309</v>
      </c>
      <c r="J15" s="22" t="s">
        <v>19310</v>
      </c>
      <c r="K15" s="22" t="s">
        <v>19631</v>
      </c>
      <c r="L15" s="22"/>
      <c r="M15" s="22"/>
      <c r="N15" s="25" t="str">
        <f>HYPERLINK("http://slimages.macys.com/is/image/MCY/21878262 ")</f>
        <v xml:space="preserve">http://slimages.macys.com/is/image/MCY/21878262 </v>
      </c>
    </row>
    <row r="16" spans="1:14" ht="24.75" x14ac:dyDescent="0.25">
      <c r="A16" s="21" t="s">
        <v>5428</v>
      </c>
      <c r="B16" s="22" t="s">
        <v>5429</v>
      </c>
      <c r="C16" s="2">
        <v>2</v>
      </c>
      <c r="D16" s="23">
        <v>35</v>
      </c>
      <c r="E16" s="3">
        <v>70</v>
      </c>
      <c r="F16" s="2">
        <v>322867158072</v>
      </c>
      <c r="G16" s="22" t="s">
        <v>19315</v>
      </c>
      <c r="H16" s="24" t="s">
        <v>19542</v>
      </c>
      <c r="I16" s="22" t="s">
        <v>19309</v>
      </c>
      <c r="J16" s="22" t="s">
        <v>19335</v>
      </c>
      <c r="K16" s="22" t="s">
        <v>19326</v>
      </c>
      <c r="L16" s="22"/>
      <c r="M16" s="22"/>
      <c r="N16" s="25" t="str">
        <f>HYPERLINK("http://slimages.macys.com/is/image/MCY/22268737 ")</f>
        <v xml:space="preserve">http://slimages.macys.com/is/image/MCY/22268737 </v>
      </c>
    </row>
    <row r="17" spans="1:14" x14ac:dyDescent="0.25">
      <c r="A17" s="21" t="s">
        <v>5430</v>
      </c>
      <c r="B17" s="22" t="s">
        <v>5431</v>
      </c>
      <c r="C17" s="2">
        <v>1</v>
      </c>
      <c r="D17" s="23">
        <v>34.99</v>
      </c>
      <c r="E17" s="3">
        <v>34.99</v>
      </c>
      <c r="F17" s="2" t="s">
        <v>5432</v>
      </c>
      <c r="G17" s="22" t="s">
        <v>19307</v>
      </c>
      <c r="H17" s="24" t="s">
        <v>19345</v>
      </c>
      <c r="I17" s="22" t="s">
        <v>19309</v>
      </c>
      <c r="J17" s="22" t="s">
        <v>19310</v>
      </c>
      <c r="K17" s="22" t="s">
        <v>19623</v>
      </c>
      <c r="L17" s="22"/>
      <c r="M17" s="22"/>
      <c r="N17" s="25" t="str">
        <f>HYPERLINK("http://slimages.macys.com/is/image/MCY/20330797 ")</f>
        <v xml:space="preserve">http://slimages.macys.com/is/image/MCY/20330797 </v>
      </c>
    </row>
    <row r="18" spans="1:14" ht="24.75" x14ac:dyDescent="0.25">
      <c r="A18" s="21" t="s">
        <v>5433</v>
      </c>
      <c r="B18" s="22" t="s">
        <v>5434</v>
      </c>
      <c r="C18" s="2">
        <v>1</v>
      </c>
      <c r="D18" s="23">
        <v>18.11</v>
      </c>
      <c r="E18" s="3">
        <v>18.11</v>
      </c>
      <c r="F18" s="2" t="s">
        <v>15102</v>
      </c>
      <c r="G18" s="22" t="s">
        <v>18429</v>
      </c>
      <c r="H18" s="24" t="s">
        <v>19330</v>
      </c>
      <c r="I18" s="22" t="s">
        <v>19309</v>
      </c>
      <c r="J18" s="22" t="s">
        <v>19385</v>
      </c>
      <c r="K18" s="22" t="s">
        <v>19386</v>
      </c>
      <c r="L18" s="22"/>
      <c r="M18" s="22"/>
      <c r="N18" s="25" t="str">
        <f>HYPERLINK("http://slimages.macys.com/is/image/MCY/20076888 ")</f>
        <v xml:space="preserve">http://slimages.macys.com/is/image/MCY/20076888 </v>
      </c>
    </row>
    <row r="19" spans="1:14" ht="36.75" x14ac:dyDescent="0.25">
      <c r="A19" s="21" t="s">
        <v>19401</v>
      </c>
      <c r="B19" s="22" t="s">
        <v>19402</v>
      </c>
      <c r="C19" s="2">
        <v>1</v>
      </c>
      <c r="D19" s="23">
        <v>32.950000000000003</v>
      </c>
      <c r="E19" s="3">
        <v>32.950000000000003</v>
      </c>
      <c r="F19" s="2" t="s">
        <v>19403</v>
      </c>
      <c r="G19" s="22" t="s">
        <v>19404</v>
      </c>
      <c r="H19" s="24" t="s">
        <v>19399</v>
      </c>
      <c r="I19" s="22" t="s">
        <v>19309</v>
      </c>
      <c r="J19" s="22" t="s">
        <v>19405</v>
      </c>
      <c r="K19" s="22" t="s">
        <v>19406</v>
      </c>
      <c r="L19" s="22" t="s">
        <v>19319</v>
      </c>
      <c r="M19" s="22" t="s">
        <v>19407</v>
      </c>
      <c r="N19" s="25" t="str">
        <f>HYPERLINK("http://slimages.macys.com/is/image/MCY/10180512 ")</f>
        <v xml:space="preserve">http://slimages.macys.com/is/image/MCY/10180512 </v>
      </c>
    </row>
    <row r="20" spans="1:14" ht="36.75" x14ac:dyDescent="0.25">
      <c r="A20" s="21" t="s">
        <v>5435</v>
      </c>
      <c r="B20" s="22" t="s">
        <v>5436</v>
      </c>
      <c r="C20" s="2">
        <v>1</v>
      </c>
      <c r="D20" s="23">
        <v>32.950000000000003</v>
      </c>
      <c r="E20" s="3">
        <v>32.950000000000003</v>
      </c>
      <c r="F20" s="2" t="s">
        <v>19403</v>
      </c>
      <c r="G20" s="22" t="s">
        <v>19404</v>
      </c>
      <c r="H20" s="24" t="s">
        <v>15803</v>
      </c>
      <c r="I20" s="22" t="s">
        <v>19309</v>
      </c>
      <c r="J20" s="22" t="s">
        <v>19405</v>
      </c>
      <c r="K20" s="22" t="s">
        <v>19406</v>
      </c>
      <c r="L20" s="22" t="s">
        <v>19319</v>
      </c>
      <c r="M20" s="22" t="s">
        <v>19407</v>
      </c>
      <c r="N20" s="25" t="str">
        <f>HYPERLINK("http://slimages.macys.com/is/image/MCY/10180512 ")</f>
        <v xml:space="preserve">http://slimages.macys.com/is/image/MCY/10180512 </v>
      </c>
    </row>
    <row r="21" spans="1:14" x14ac:dyDescent="0.25">
      <c r="A21" s="21" t="s">
        <v>5437</v>
      </c>
      <c r="B21" s="22" t="s">
        <v>5438</v>
      </c>
      <c r="C21" s="2">
        <v>1</v>
      </c>
      <c r="D21" s="23">
        <v>25.99</v>
      </c>
      <c r="E21" s="3">
        <v>25.99</v>
      </c>
      <c r="F21" s="2" t="s">
        <v>5439</v>
      </c>
      <c r="G21" s="22" t="s">
        <v>19307</v>
      </c>
      <c r="H21" s="24" t="s">
        <v>19345</v>
      </c>
      <c r="I21" s="22" t="s">
        <v>19309</v>
      </c>
      <c r="J21" s="22" t="s">
        <v>19310</v>
      </c>
      <c r="K21" s="22" t="s">
        <v>19433</v>
      </c>
      <c r="L21" s="22"/>
      <c r="M21" s="22"/>
      <c r="N21" s="25" t="str">
        <f>HYPERLINK("http://slimages.macys.com/is/image/MCY/18046404 ")</f>
        <v xml:space="preserve">http://slimages.macys.com/is/image/MCY/18046404 </v>
      </c>
    </row>
    <row r="22" spans="1:14" ht="24.75" x14ac:dyDescent="0.25">
      <c r="A22" s="21" t="s">
        <v>5440</v>
      </c>
      <c r="B22" s="22" t="s">
        <v>5441</v>
      </c>
      <c r="C22" s="2">
        <v>1</v>
      </c>
      <c r="D22" s="23">
        <v>34.99</v>
      </c>
      <c r="E22" s="3">
        <v>34.99</v>
      </c>
      <c r="F22" s="2" t="s">
        <v>5442</v>
      </c>
      <c r="G22" s="22" t="s">
        <v>19307</v>
      </c>
      <c r="H22" s="24" t="s">
        <v>19339</v>
      </c>
      <c r="I22" s="22" t="s">
        <v>19309</v>
      </c>
      <c r="J22" s="22" t="s">
        <v>19447</v>
      </c>
      <c r="K22" s="22" t="s">
        <v>5443</v>
      </c>
      <c r="L22" s="22"/>
      <c r="M22" s="22"/>
      <c r="N22" s="25" t="str">
        <f>HYPERLINK("http://slimages.macys.com/is/image/MCY/21918631 ")</f>
        <v xml:space="preserve">http://slimages.macys.com/is/image/MCY/21918631 </v>
      </c>
    </row>
    <row r="23" spans="1:14" ht="24.75" x14ac:dyDescent="0.25">
      <c r="A23" s="21" t="s">
        <v>5444</v>
      </c>
      <c r="B23" s="22" t="s">
        <v>5445</v>
      </c>
      <c r="C23" s="2">
        <v>1</v>
      </c>
      <c r="D23" s="23">
        <v>29.99</v>
      </c>
      <c r="E23" s="3">
        <v>29.99</v>
      </c>
      <c r="F23" s="2" t="s">
        <v>5446</v>
      </c>
      <c r="G23" s="22" t="s">
        <v>19674</v>
      </c>
      <c r="H23" s="24" t="s">
        <v>19416</v>
      </c>
      <c r="I23" s="22" t="s">
        <v>19309</v>
      </c>
      <c r="J23" s="22" t="s">
        <v>19385</v>
      </c>
      <c r="K23" s="22" t="s">
        <v>19463</v>
      </c>
      <c r="L23" s="22"/>
      <c r="M23" s="22"/>
      <c r="N23" s="25" t="str">
        <f>HYPERLINK("http://slimages.macys.com/is/image/MCY/21221033 ")</f>
        <v xml:space="preserve">http://slimages.macys.com/is/image/MCY/21221033 </v>
      </c>
    </row>
    <row r="24" spans="1:14" ht="24.75" x14ac:dyDescent="0.25">
      <c r="A24" s="21" t="s">
        <v>5447</v>
      </c>
      <c r="B24" s="22" t="s">
        <v>5448</v>
      </c>
      <c r="C24" s="2">
        <v>1</v>
      </c>
      <c r="D24" s="23">
        <v>34.99</v>
      </c>
      <c r="E24" s="3">
        <v>34.99</v>
      </c>
      <c r="F24" s="2" t="s">
        <v>5449</v>
      </c>
      <c r="G24" s="22" t="s">
        <v>19323</v>
      </c>
      <c r="H24" s="24" t="s">
        <v>19416</v>
      </c>
      <c r="I24" s="22" t="s">
        <v>19309</v>
      </c>
      <c r="J24" s="22" t="s">
        <v>19385</v>
      </c>
      <c r="K24" s="22" t="s">
        <v>19411</v>
      </c>
      <c r="L24" s="22"/>
      <c r="M24" s="22"/>
      <c r="N24" s="25" t="str">
        <f>HYPERLINK("http://slimages.macys.com/is/image/MCY/21000601 ")</f>
        <v xml:space="preserve">http://slimages.macys.com/is/image/MCY/21000601 </v>
      </c>
    </row>
    <row r="25" spans="1:14" x14ac:dyDescent="0.25">
      <c r="A25" s="21" t="s">
        <v>5450</v>
      </c>
      <c r="B25" s="22" t="s">
        <v>5451</v>
      </c>
      <c r="C25" s="2">
        <v>1</v>
      </c>
      <c r="D25" s="23">
        <v>30.99</v>
      </c>
      <c r="E25" s="3">
        <v>30.99</v>
      </c>
      <c r="F25" s="2" t="s">
        <v>5452</v>
      </c>
      <c r="G25" s="22" t="s">
        <v>19333</v>
      </c>
      <c r="H25" s="24" t="s">
        <v>19308</v>
      </c>
      <c r="I25" s="22" t="s">
        <v>19309</v>
      </c>
      <c r="J25" s="22" t="s">
        <v>19310</v>
      </c>
      <c r="K25" s="22" t="s">
        <v>19529</v>
      </c>
      <c r="L25" s="22"/>
      <c r="M25" s="22"/>
      <c r="N25" s="25" t="str">
        <f>HYPERLINK("http://slimages.macys.com/is/image/MCY/20228984 ")</f>
        <v xml:space="preserve">http://slimages.macys.com/is/image/MCY/20228984 </v>
      </c>
    </row>
    <row r="26" spans="1:14" ht="24.75" x14ac:dyDescent="0.25">
      <c r="A26" s="21" t="s">
        <v>5453</v>
      </c>
      <c r="B26" s="22" t="s">
        <v>5454</v>
      </c>
      <c r="C26" s="2">
        <v>1</v>
      </c>
      <c r="D26" s="23">
        <v>34.99</v>
      </c>
      <c r="E26" s="3">
        <v>34.99</v>
      </c>
      <c r="F26" s="2" t="s">
        <v>5442</v>
      </c>
      <c r="G26" s="22" t="s">
        <v>19307</v>
      </c>
      <c r="H26" s="24" t="s">
        <v>19364</v>
      </c>
      <c r="I26" s="22" t="s">
        <v>19309</v>
      </c>
      <c r="J26" s="22" t="s">
        <v>19447</v>
      </c>
      <c r="K26" s="22" t="s">
        <v>5443</v>
      </c>
      <c r="L26" s="22"/>
      <c r="M26" s="22"/>
      <c r="N26" s="25" t="str">
        <f>HYPERLINK("http://slimages.macys.com/is/image/MCY/21918631 ")</f>
        <v xml:space="preserve">http://slimages.macys.com/is/image/MCY/21918631 </v>
      </c>
    </row>
    <row r="27" spans="1:14" ht="24.75" x14ac:dyDescent="0.25">
      <c r="A27" s="21" t="s">
        <v>5455</v>
      </c>
      <c r="B27" s="22" t="s">
        <v>5456</v>
      </c>
      <c r="C27" s="2">
        <v>1</v>
      </c>
      <c r="D27" s="23">
        <v>46</v>
      </c>
      <c r="E27" s="3">
        <v>46</v>
      </c>
      <c r="F27" s="2" t="s">
        <v>15569</v>
      </c>
      <c r="G27" s="22" t="s">
        <v>19315</v>
      </c>
      <c r="H27" s="24" t="s">
        <v>19334</v>
      </c>
      <c r="I27" s="22" t="s">
        <v>19309</v>
      </c>
      <c r="J27" s="22" t="s">
        <v>19310</v>
      </c>
      <c r="K27" s="22" t="s">
        <v>15570</v>
      </c>
      <c r="L27" s="22"/>
      <c r="M27" s="22"/>
      <c r="N27" s="25" t="str">
        <f>HYPERLINK("http://slimages.macys.com/is/image/MCY/20144889 ")</f>
        <v xml:space="preserve">http://slimages.macys.com/is/image/MCY/20144889 </v>
      </c>
    </row>
    <row r="28" spans="1:14" ht="24.75" x14ac:dyDescent="0.25">
      <c r="A28" s="21" t="s">
        <v>17590</v>
      </c>
      <c r="B28" s="22" t="s">
        <v>17591</v>
      </c>
      <c r="C28" s="2">
        <v>1</v>
      </c>
      <c r="D28" s="23">
        <v>33.99</v>
      </c>
      <c r="E28" s="3">
        <v>33.99</v>
      </c>
      <c r="F28" s="2" t="s">
        <v>17592</v>
      </c>
      <c r="G28" s="22" t="s">
        <v>19422</v>
      </c>
      <c r="H28" s="24" t="s">
        <v>19330</v>
      </c>
      <c r="I28" s="22" t="s">
        <v>19309</v>
      </c>
      <c r="J28" s="22" t="s">
        <v>19385</v>
      </c>
      <c r="K28" s="22" t="s">
        <v>19386</v>
      </c>
      <c r="L28" s="22"/>
      <c r="M28" s="22"/>
      <c r="N28" s="25" t="str">
        <f>HYPERLINK("http://slimages.macys.com/is/image/MCY/22175295 ")</f>
        <v xml:space="preserve">http://slimages.macys.com/is/image/MCY/22175295 </v>
      </c>
    </row>
    <row r="29" spans="1:14" ht="24.75" x14ac:dyDescent="0.25">
      <c r="A29" s="21" t="s">
        <v>12867</v>
      </c>
      <c r="B29" s="22" t="s">
        <v>12868</v>
      </c>
      <c r="C29" s="2">
        <v>1</v>
      </c>
      <c r="D29" s="23">
        <v>33.99</v>
      </c>
      <c r="E29" s="3">
        <v>33.99</v>
      </c>
      <c r="F29" s="2" t="s">
        <v>17592</v>
      </c>
      <c r="G29" s="22" t="s">
        <v>19422</v>
      </c>
      <c r="H29" s="24" t="s">
        <v>19324</v>
      </c>
      <c r="I29" s="22" t="s">
        <v>19309</v>
      </c>
      <c r="J29" s="22" t="s">
        <v>19385</v>
      </c>
      <c r="K29" s="22" t="s">
        <v>19386</v>
      </c>
      <c r="L29" s="22"/>
      <c r="M29" s="22"/>
      <c r="N29" s="25" t="str">
        <f>HYPERLINK("http://slimages.macys.com/is/image/MCY/22175295 ")</f>
        <v xml:space="preserve">http://slimages.macys.com/is/image/MCY/22175295 </v>
      </c>
    </row>
    <row r="30" spans="1:14" x14ac:dyDescent="0.25">
      <c r="A30" s="21" t="s">
        <v>5457</v>
      </c>
      <c r="B30" s="22" t="s">
        <v>5458</v>
      </c>
      <c r="C30" s="2">
        <v>1</v>
      </c>
      <c r="D30" s="23">
        <v>29.99</v>
      </c>
      <c r="E30" s="3">
        <v>29.99</v>
      </c>
      <c r="F30" s="2" t="s">
        <v>5459</v>
      </c>
      <c r="G30" s="22" t="s">
        <v>19338</v>
      </c>
      <c r="H30" s="24" t="s">
        <v>19542</v>
      </c>
      <c r="I30" s="22" t="s">
        <v>19309</v>
      </c>
      <c r="J30" s="22" t="s">
        <v>19310</v>
      </c>
      <c r="K30" s="22" t="s">
        <v>19440</v>
      </c>
      <c r="L30" s="22"/>
      <c r="M30" s="22"/>
      <c r="N30" s="25" t="str">
        <f>HYPERLINK("http://slimages.macys.com/is/image/MCY/20782665 ")</f>
        <v xml:space="preserve">http://slimages.macys.com/is/image/MCY/20782665 </v>
      </c>
    </row>
    <row r="31" spans="1:14" ht="24.75" x14ac:dyDescent="0.25">
      <c r="A31" s="21" t="s">
        <v>5460</v>
      </c>
      <c r="B31" s="22" t="s">
        <v>5461</v>
      </c>
      <c r="C31" s="2">
        <v>1</v>
      </c>
      <c r="D31" s="23">
        <v>29.99</v>
      </c>
      <c r="E31" s="3">
        <v>29.99</v>
      </c>
      <c r="F31" s="2" t="s">
        <v>5462</v>
      </c>
      <c r="G31" s="22" t="s">
        <v>19886</v>
      </c>
      <c r="H31" s="24" t="s">
        <v>19334</v>
      </c>
      <c r="I31" s="22" t="s">
        <v>19309</v>
      </c>
      <c r="J31" s="22" t="s">
        <v>19310</v>
      </c>
      <c r="K31" s="22" t="s">
        <v>19440</v>
      </c>
      <c r="L31" s="22"/>
      <c r="M31" s="22"/>
      <c r="N31" s="25" t="str">
        <f>HYPERLINK("http://slimages.macys.com/is/image/MCY/21267905 ")</f>
        <v xml:space="preserve">http://slimages.macys.com/is/image/MCY/21267905 </v>
      </c>
    </row>
    <row r="32" spans="1:14" ht="24.75" x14ac:dyDescent="0.25">
      <c r="A32" s="21" t="s">
        <v>5463</v>
      </c>
      <c r="B32" s="22" t="s">
        <v>5464</v>
      </c>
      <c r="C32" s="2">
        <v>1</v>
      </c>
      <c r="D32" s="23">
        <v>29.99</v>
      </c>
      <c r="E32" s="3">
        <v>29.99</v>
      </c>
      <c r="F32" s="2" t="s">
        <v>15576</v>
      </c>
      <c r="G32" s="22" t="s">
        <v>19528</v>
      </c>
      <c r="H32" s="24" t="s">
        <v>19334</v>
      </c>
      <c r="I32" s="22" t="s">
        <v>19309</v>
      </c>
      <c r="J32" s="22" t="s">
        <v>19310</v>
      </c>
      <c r="K32" s="22" t="s">
        <v>19440</v>
      </c>
      <c r="L32" s="22"/>
      <c r="M32" s="22"/>
      <c r="N32" s="25" t="str">
        <f>HYPERLINK("http://slimages.macys.com/is/image/MCY/21149138 ")</f>
        <v xml:space="preserve">http://slimages.macys.com/is/image/MCY/21149138 </v>
      </c>
    </row>
    <row r="33" spans="1:14" x14ac:dyDescent="0.25">
      <c r="A33" s="21" t="s">
        <v>5465</v>
      </c>
      <c r="B33" s="22" t="s">
        <v>5466</v>
      </c>
      <c r="C33" s="2">
        <v>1</v>
      </c>
      <c r="D33" s="23">
        <v>29.99</v>
      </c>
      <c r="E33" s="3">
        <v>29.99</v>
      </c>
      <c r="F33" s="2" t="s">
        <v>11358</v>
      </c>
      <c r="G33" s="22" t="s">
        <v>19338</v>
      </c>
      <c r="H33" s="24" t="s">
        <v>19361</v>
      </c>
      <c r="I33" s="22" t="s">
        <v>19309</v>
      </c>
      <c r="J33" s="22" t="s">
        <v>19310</v>
      </c>
      <c r="K33" s="22" t="s">
        <v>19440</v>
      </c>
      <c r="L33" s="22"/>
      <c r="M33" s="22"/>
      <c r="N33" s="25" t="str">
        <f>HYPERLINK("http://slimages.macys.com/is/image/MCY/21268041 ")</f>
        <v xml:space="preserve">http://slimages.macys.com/is/image/MCY/21268041 </v>
      </c>
    </row>
    <row r="34" spans="1:14" x14ac:dyDescent="0.25">
      <c r="A34" s="21" t="s">
        <v>5467</v>
      </c>
      <c r="B34" s="22" t="s">
        <v>5468</v>
      </c>
      <c r="C34" s="2">
        <v>1</v>
      </c>
      <c r="D34" s="23">
        <v>29.99</v>
      </c>
      <c r="E34" s="3">
        <v>29.99</v>
      </c>
      <c r="F34" s="2" t="s">
        <v>15579</v>
      </c>
      <c r="G34" s="22" t="s">
        <v>19315</v>
      </c>
      <c r="H34" s="24" t="s">
        <v>19395</v>
      </c>
      <c r="I34" s="22" t="s">
        <v>19309</v>
      </c>
      <c r="J34" s="22" t="s">
        <v>19310</v>
      </c>
      <c r="K34" s="22" t="s">
        <v>19440</v>
      </c>
      <c r="L34" s="22"/>
      <c r="M34" s="22"/>
      <c r="N34" s="25" t="str">
        <f>HYPERLINK("http://slimages.macys.com/is/image/MCY/20923513 ")</f>
        <v xml:space="preserve">http://slimages.macys.com/is/image/MCY/20923513 </v>
      </c>
    </row>
    <row r="35" spans="1:14" ht="24.75" x14ac:dyDescent="0.25">
      <c r="A35" s="21" t="s">
        <v>5469</v>
      </c>
      <c r="B35" s="22" t="s">
        <v>5470</v>
      </c>
      <c r="C35" s="2">
        <v>1</v>
      </c>
      <c r="D35" s="23">
        <v>28.41</v>
      </c>
      <c r="E35" s="3">
        <v>28.41</v>
      </c>
      <c r="F35" s="2" t="s">
        <v>10297</v>
      </c>
      <c r="G35" s="22" t="s">
        <v>19618</v>
      </c>
      <c r="H35" s="24" t="s">
        <v>19316</v>
      </c>
      <c r="I35" s="22" t="s">
        <v>19309</v>
      </c>
      <c r="J35" s="22" t="s">
        <v>19405</v>
      </c>
      <c r="K35" s="22" t="s">
        <v>19406</v>
      </c>
      <c r="L35" s="22"/>
      <c r="M35" s="22"/>
      <c r="N35" s="25" t="str">
        <f>HYPERLINK("http://slimages.macys.com/is/image/MCY/21483848 ")</f>
        <v xml:space="preserve">http://slimages.macys.com/is/image/MCY/21483848 </v>
      </c>
    </row>
    <row r="36" spans="1:14" ht="24.75" x14ac:dyDescent="0.25">
      <c r="A36" s="21" t="s">
        <v>5471</v>
      </c>
      <c r="B36" s="22" t="s">
        <v>5472</v>
      </c>
      <c r="C36" s="2">
        <v>1</v>
      </c>
      <c r="D36" s="23">
        <v>28.41</v>
      </c>
      <c r="E36" s="3">
        <v>28.41</v>
      </c>
      <c r="F36" s="2" t="s">
        <v>10297</v>
      </c>
      <c r="G36" s="22" t="s">
        <v>19618</v>
      </c>
      <c r="H36" s="24" t="s">
        <v>19501</v>
      </c>
      <c r="I36" s="22" t="s">
        <v>19309</v>
      </c>
      <c r="J36" s="22" t="s">
        <v>19405</v>
      </c>
      <c r="K36" s="22" t="s">
        <v>19406</v>
      </c>
      <c r="L36" s="22"/>
      <c r="M36" s="22"/>
      <c r="N36" s="25" t="str">
        <f>HYPERLINK("http://slimages.macys.com/is/image/MCY/21483843 ")</f>
        <v xml:space="preserve">http://slimages.macys.com/is/image/MCY/21483843 </v>
      </c>
    </row>
    <row r="37" spans="1:14" ht="24.75" x14ac:dyDescent="0.25">
      <c r="A37" s="21" t="s">
        <v>10295</v>
      </c>
      <c r="B37" s="22" t="s">
        <v>10296</v>
      </c>
      <c r="C37" s="2">
        <v>1</v>
      </c>
      <c r="D37" s="23">
        <v>28.41</v>
      </c>
      <c r="E37" s="3">
        <v>28.41</v>
      </c>
      <c r="F37" s="2" t="s">
        <v>10297</v>
      </c>
      <c r="G37" s="22" t="s">
        <v>19618</v>
      </c>
      <c r="H37" s="24" t="s">
        <v>19478</v>
      </c>
      <c r="I37" s="22" t="s">
        <v>19309</v>
      </c>
      <c r="J37" s="22" t="s">
        <v>19405</v>
      </c>
      <c r="K37" s="22" t="s">
        <v>19406</v>
      </c>
      <c r="L37" s="22"/>
      <c r="M37" s="22"/>
      <c r="N37" s="25" t="str">
        <f>HYPERLINK("http://slimages.macys.com/is/image/MCY/21483843 ")</f>
        <v xml:space="preserve">http://slimages.macys.com/is/image/MCY/21483843 </v>
      </c>
    </row>
    <row r="38" spans="1:14" ht="24.75" x14ac:dyDescent="0.25">
      <c r="A38" s="21" t="s">
        <v>5473</v>
      </c>
      <c r="B38" s="22" t="s">
        <v>5474</v>
      </c>
      <c r="C38" s="2">
        <v>2</v>
      </c>
      <c r="D38" s="23">
        <v>28.41</v>
      </c>
      <c r="E38" s="3">
        <v>56.82</v>
      </c>
      <c r="F38" s="2" t="s">
        <v>10297</v>
      </c>
      <c r="G38" s="22" t="s">
        <v>19618</v>
      </c>
      <c r="H38" s="24" t="s">
        <v>19399</v>
      </c>
      <c r="I38" s="22" t="s">
        <v>19309</v>
      </c>
      <c r="J38" s="22" t="s">
        <v>19405</v>
      </c>
      <c r="K38" s="22" t="s">
        <v>19406</v>
      </c>
      <c r="L38" s="22"/>
      <c r="M38" s="22"/>
      <c r="N38" s="25" t="str">
        <f>HYPERLINK("http://slimages.macys.com/is/image/MCY/21483848 ")</f>
        <v xml:space="preserve">http://slimages.macys.com/is/image/MCY/21483848 </v>
      </c>
    </row>
    <row r="39" spans="1:14" ht="24.75" x14ac:dyDescent="0.25">
      <c r="A39" s="21" t="s">
        <v>10298</v>
      </c>
      <c r="B39" s="22" t="s">
        <v>10299</v>
      </c>
      <c r="C39" s="2">
        <v>1</v>
      </c>
      <c r="D39" s="23">
        <v>28.41</v>
      </c>
      <c r="E39" s="3">
        <v>28.41</v>
      </c>
      <c r="F39" s="2" t="s">
        <v>10297</v>
      </c>
      <c r="G39" s="22" t="s">
        <v>19618</v>
      </c>
      <c r="H39" s="24" t="s">
        <v>19997</v>
      </c>
      <c r="I39" s="22" t="s">
        <v>19309</v>
      </c>
      <c r="J39" s="22" t="s">
        <v>19405</v>
      </c>
      <c r="K39" s="22" t="s">
        <v>19406</v>
      </c>
      <c r="L39" s="22"/>
      <c r="M39" s="22"/>
      <c r="N39" s="25" t="str">
        <f>HYPERLINK("http://slimages.macys.com/is/image/MCY/21483843 ")</f>
        <v xml:space="preserve">http://slimages.macys.com/is/image/MCY/21483843 </v>
      </c>
    </row>
    <row r="40" spans="1:14" ht="24.75" x14ac:dyDescent="0.25">
      <c r="A40" s="21" t="s">
        <v>5475</v>
      </c>
      <c r="B40" s="22" t="s">
        <v>5476</v>
      </c>
      <c r="C40" s="2">
        <v>1</v>
      </c>
      <c r="D40" s="23">
        <v>28.41</v>
      </c>
      <c r="E40" s="3">
        <v>28.41</v>
      </c>
      <c r="F40" s="2" t="s">
        <v>10297</v>
      </c>
      <c r="G40" s="22" t="s">
        <v>19618</v>
      </c>
      <c r="H40" s="24" t="s">
        <v>15803</v>
      </c>
      <c r="I40" s="22" t="s">
        <v>19309</v>
      </c>
      <c r="J40" s="22" t="s">
        <v>19405</v>
      </c>
      <c r="K40" s="22" t="s">
        <v>19406</v>
      </c>
      <c r="L40" s="22"/>
      <c r="M40" s="22"/>
      <c r="N40" s="25" t="str">
        <f>HYPERLINK("http://slimages.macys.com/is/image/MCY/21483848 ")</f>
        <v xml:space="preserve">http://slimages.macys.com/is/image/MCY/21483848 </v>
      </c>
    </row>
    <row r="41" spans="1:14" ht="24.75" x14ac:dyDescent="0.25">
      <c r="A41" s="21" t="s">
        <v>5477</v>
      </c>
      <c r="B41" s="22" t="s">
        <v>5478</v>
      </c>
      <c r="C41" s="2">
        <v>1</v>
      </c>
      <c r="D41" s="23">
        <v>28.41</v>
      </c>
      <c r="E41" s="3">
        <v>28.41</v>
      </c>
      <c r="F41" s="2" t="s">
        <v>10297</v>
      </c>
      <c r="G41" s="22" t="s">
        <v>19618</v>
      </c>
      <c r="H41" s="24" t="s">
        <v>15738</v>
      </c>
      <c r="I41" s="22" t="s">
        <v>19309</v>
      </c>
      <c r="J41" s="22" t="s">
        <v>19405</v>
      </c>
      <c r="K41" s="22" t="s">
        <v>19406</v>
      </c>
      <c r="L41" s="22"/>
      <c r="M41" s="22"/>
      <c r="N41" s="25" t="str">
        <f>HYPERLINK("http://slimages.macys.com/is/image/MCY/21483848 ")</f>
        <v xml:space="preserve">http://slimages.macys.com/is/image/MCY/21483848 </v>
      </c>
    </row>
    <row r="42" spans="1:14" x14ac:dyDescent="0.25">
      <c r="A42" s="21" t="s">
        <v>5479</v>
      </c>
      <c r="B42" s="22" t="s">
        <v>5480</v>
      </c>
      <c r="C42" s="2">
        <v>1</v>
      </c>
      <c r="D42" s="23">
        <v>27.99</v>
      </c>
      <c r="E42" s="3">
        <v>27.99</v>
      </c>
      <c r="F42" s="2" t="s">
        <v>5481</v>
      </c>
      <c r="G42" s="22" t="s">
        <v>19383</v>
      </c>
      <c r="H42" s="24" t="s">
        <v>19352</v>
      </c>
      <c r="I42" s="22" t="s">
        <v>19309</v>
      </c>
      <c r="J42" s="22" t="s">
        <v>19310</v>
      </c>
      <c r="K42" s="22" t="s">
        <v>19311</v>
      </c>
      <c r="L42" s="22" t="s">
        <v>19319</v>
      </c>
      <c r="M42" s="22" t="s">
        <v>19435</v>
      </c>
      <c r="N42" s="25" t="str">
        <f>HYPERLINK("http://slimages.macys.com/is/image/MCY/16359471 ")</f>
        <v xml:space="preserve">http://slimages.macys.com/is/image/MCY/16359471 </v>
      </c>
    </row>
    <row r="43" spans="1:14" ht="24.75" x14ac:dyDescent="0.25">
      <c r="A43" s="21" t="s">
        <v>15591</v>
      </c>
      <c r="B43" s="22" t="s">
        <v>15592</v>
      </c>
      <c r="C43" s="2">
        <v>1</v>
      </c>
      <c r="D43" s="23">
        <v>29.99</v>
      </c>
      <c r="E43" s="3">
        <v>29.99</v>
      </c>
      <c r="F43" s="2" t="s">
        <v>15593</v>
      </c>
      <c r="G43" s="22" t="s">
        <v>19528</v>
      </c>
      <c r="H43" s="24" t="s">
        <v>19364</v>
      </c>
      <c r="I43" s="22" t="s">
        <v>19309</v>
      </c>
      <c r="J43" s="22" t="s">
        <v>19310</v>
      </c>
      <c r="K43" s="22" t="s">
        <v>19932</v>
      </c>
      <c r="L43" s="22"/>
      <c r="M43" s="22"/>
      <c r="N43" s="25" t="str">
        <f>HYPERLINK("http://slimages.macys.com/is/image/MCY/21862208 ")</f>
        <v xml:space="preserve">http://slimages.macys.com/is/image/MCY/21862208 </v>
      </c>
    </row>
    <row r="44" spans="1:14" x14ac:dyDescent="0.25">
      <c r="A44" s="21" t="s">
        <v>5482</v>
      </c>
      <c r="B44" s="22" t="s">
        <v>5483</v>
      </c>
      <c r="C44" s="2">
        <v>2</v>
      </c>
      <c r="D44" s="23">
        <v>27.27</v>
      </c>
      <c r="E44" s="3">
        <v>54.54</v>
      </c>
      <c r="F44" s="2" t="s">
        <v>5484</v>
      </c>
      <c r="G44" s="22" t="s">
        <v>19618</v>
      </c>
      <c r="H44" s="24" t="s">
        <v>19542</v>
      </c>
      <c r="I44" s="22" t="s">
        <v>19309</v>
      </c>
      <c r="J44" s="22" t="s">
        <v>19514</v>
      </c>
      <c r="K44" s="22" t="s">
        <v>19406</v>
      </c>
      <c r="L44" s="22"/>
      <c r="M44" s="22"/>
      <c r="N44" s="25" t="str">
        <f>HYPERLINK("http://slimages.macys.com/is/image/MCY/21590809 ")</f>
        <v xml:space="preserve">http://slimages.macys.com/is/image/MCY/21590809 </v>
      </c>
    </row>
    <row r="45" spans="1:14" x14ac:dyDescent="0.25">
      <c r="A45" s="21" t="s">
        <v>5485</v>
      </c>
      <c r="B45" s="22" t="s">
        <v>5486</v>
      </c>
      <c r="C45" s="2">
        <v>1</v>
      </c>
      <c r="D45" s="23">
        <v>27.27</v>
      </c>
      <c r="E45" s="3">
        <v>27.27</v>
      </c>
      <c r="F45" s="2" t="s">
        <v>5484</v>
      </c>
      <c r="G45" s="22" t="s">
        <v>19618</v>
      </c>
      <c r="H45" s="24" t="s">
        <v>19395</v>
      </c>
      <c r="I45" s="22" t="s">
        <v>19309</v>
      </c>
      <c r="J45" s="22" t="s">
        <v>19514</v>
      </c>
      <c r="K45" s="22" t="s">
        <v>19406</v>
      </c>
      <c r="L45" s="22"/>
      <c r="M45" s="22"/>
      <c r="N45" s="25" t="str">
        <f>HYPERLINK("http://slimages.macys.com/is/image/MCY/21590813 ")</f>
        <v xml:space="preserve">http://slimages.macys.com/is/image/MCY/21590813 </v>
      </c>
    </row>
    <row r="46" spans="1:14" x14ac:dyDescent="0.25">
      <c r="A46" s="21" t="s">
        <v>5487</v>
      </c>
      <c r="B46" s="22" t="s">
        <v>5488</v>
      </c>
      <c r="C46" s="2">
        <v>1</v>
      </c>
      <c r="D46" s="23">
        <v>27.27</v>
      </c>
      <c r="E46" s="3">
        <v>27.27</v>
      </c>
      <c r="F46" s="2" t="s">
        <v>5484</v>
      </c>
      <c r="G46" s="22" t="s">
        <v>19618</v>
      </c>
      <c r="H46" s="24" t="s">
        <v>19361</v>
      </c>
      <c r="I46" s="22" t="s">
        <v>19309</v>
      </c>
      <c r="J46" s="22" t="s">
        <v>19514</v>
      </c>
      <c r="K46" s="22" t="s">
        <v>19406</v>
      </c>
      <c r="L46" s="22"/>
      <c r="M46" s="22"/>
      <c r="N46" s="25" t="str">
        <f>HYPERLINK("http://slimages.macys.com/is/image/MCY/21590813 ")</f>
        <v xml:space="preserve">http://slimages.macys.com/is/image/MCY/21590813 </v>
      </c>
    </row>
    <row r="47" spans="1:14" x14ac:dyDescent="0.25">
      <c r="A47" s="21" t="s">
        <v>5489</v>
      </c>
      <c r="B47" s="22" t="s">
        <v>5490</v>
      </c>
      <c r="C47" s="2">
        <v>2</v>
      </c>
      <c r="D47" s="23">
        <v>27.27</v>
      </c>
      <c r="E47" s="3">
        <v>54.54</v>
      </c>
      <c r="F47" s="2" t="s">
        <v>5484</v>
      </c>
      <c r="G47" s="22" t="s">
        <v>19618</v>
      </c>
      <c r="H47" s="24" t="s">
        <v>19432</v>
      </c>
      <c r="I47" s="22" t="s">
        <v>19309</v>
      </c>
      <c r="J47" s="22" t="s">
        <v>19514</v>
      </c>
      <c r="K47" s="22" t="s">
        <v>19406</v>
      </c>
      <c r="L47" s="22"/>
      <c r="M47" s="22"/>
      <c r="N47" s="25" t="str">
        <f>HYPERLINK("http://slimages.macys.com/is/image/MCY/21590809 ")</f>
        <v xml:space="preserve">http://slimages.macys.com/is/image/MCY/21590809 </v>
      </c>
    </row>
    <row r="48" spans="1:14" x14ac:dyDescent="0.25">
      <c r="A48" s="21" t="s">
        <v>5491</v>
      </c>
      <c r="B48" s="22" t="s">
        <v>5492</v>
      </c>
      <c r="C48" s="2">
        <v>2</v>
      </c>
      <c r="D48" s="23">
        <v>28.99</v>
      </c>
      <c r="E48" s="3">
        <v>57.98</v>
      </c>
      <c r="F48" s="2" t="s">
        <v>17618</v>
      </c>
      <c r="G48" s="22" t="s">
        <v>19307</v>
      </c>
      <c r="H48" s="24" t="s">
        <v>19334</v>
      </c>
      <c r="I48" s="22" t="s">
        <v>19309</v>
      </c>
      <c r="J48" s="22" t="s">
        <v>19310</v>
      </c>
      <c r="K48" s="22" t="s">
        <v>19433</v>
      </c>
      <c r="L48" s="22"/>
      <c r="M48" s="22"/>
      <c r="N48" s="25" t="str">
        <f>HYPERLINK("http://slimages.macys.com/is/image/MCY/21784642 ")</f>
        <v xml:space="preserve">http://slimages.macys.com/is/image/MCY/21784642 </v>
      </c>
    </row>
    <row r="49" spans="1:14" x14ac:dyDescent="0.25">
      <c r="A49" s="21" t="s">
        <v>5493</v>
      </c>
      <c r="B49" s="22" t="s">
        <v>5494</v>
      </c>
      <c r="C49" s="2">
        <v>1</v>
      </c>
      <c r="D49" s="23">
        <v>28.99</v>
      </c>
      <c r="E49" s="3">
        <v>28.99</v>
      </c>
      <c r="F49" s="2" t="s">
        <v>17618</v>
      </c>
      <c r="G49" s="22" t="s">
        <v>19307</v>
      </c>
      <c r="H49" s="24" t="s">
        <v>19345</v>
      </c>
      <c r="I49" s="22" t="s">
        <v>19309</v>
      </c>
      <c r="J49" s="22" t="s">
        <v>19310</v>
      </c>
      <c r="K49" s="22" t="s">
        <v>19433</v>
      </c>
      <c r="L49" s="22"/>
      <c r="M49" s="22"/>
      <c r="N49" s="25" t="str">
        <f>HYPERLINK("http://slimages.macys.com/is/image/MCY/21784642 ")</f>
        <v xml:space="preserve">http://slimages.macys.com/is/image/MCY/21784642 </v>
      </c>
    </row>
    <row r="50" spans="1:14" ht="24.75" x14ac:dyDescent="0.25">
      <c r="A50" s="21" t="s">
        <v>5495</v>
      </c>
      <c r="B50" s="22" t="s">
        <v>5496</v>
      </c>
      <c r="C50" s="2">
        <v>1</v>
      </c>
      <c r="D50" s="23">
        <v>28.99</v>
      </c>
      <c r="E50" s="3">
        <v>28.99</v>
      </c>
      <c r="F50" s="2" t="s">
        <v>5497</v>
      </c>
      <c r="G50" s="22" t="s">
        <v>19674</v>
      </c>
      <c r="H50" s="24" t="s">
        <v>19334</v>
      </c>
      <c r="I50" s="22" t="s">
        <v>19309</v>
      </c>
      <c r="J50" s="22" t="s">
        <v>19447</v>
      </c>
      <c r="K50" s="22" t="s">
        <v>19463</v>
      </c>
      <c r="L50" s="22"/>
      <c r="M50" s="22"/>
      <c r="N50" s="25" t="str">
        <f>HYPERLINK("http://slimages.macys.com/is/image/MCY/21682304 ")</f>
        <v xml:space="preserve">http://slimages.macys.com/is/image/MCY/21682304 </v>
      </c>
    </row>
    <row r="51" spans="1:14" ht="24.75" x14ac:dyDescent="0.25">
      <c r="A51" s="21" t="s">
        <v>8701</v>
      </c>
      <c r="B51" s="22" t="s">
        <v>8702</v>
      </c>
      <c r="C51" s="2">
        <v>10</v>
      </c>
      <c r="D51" s="23">
        <v>24.99</v>
      </c>
      <c r="E51" s="3">
        <v>249.9</v>
      </c>
      <c r="F51" s="2" t="s">
        <v>8703</v>
      </c>
      <c r="G51" s="22" t="s">
        <v>19342</v>
      </c>
      <c r="H51" s="24" t="s">
        <v>19324</v>
      </c>
      <c r="I51" s="22" t="s">
        <v>19309</v>
      </c>
      <c r="J51" s="22" t="s">
        <v>19385</v>
      </c>
      <c r="K51" s="22" t="s">
        <v>18064</v>
      </c>
      <c r="L51" s="22"/>
      <c r="M51" s="22"/>
      <c r="N51" s="25" t="str">
        <f>HYPERLINK("http://slimages.macys.com/is/image/MCY/21775768 ")</f>
        <v xml:space="preserve">http://slimages.macys.com/is/image/MCY/21775768 </v>
      </c>
    </row>
    <row r="52" spans="1:14" x14ac:dyDescent="0.25">
      <c r="A52" s="21" t="s">
        <v>5498</v>
      </c>
      <c r="B52" s="22" t="s">
        <v>5499</v>
      </c>
      <c r="C52" s="2">
        <v>1</v>
      </c>
      <c r="D52" s="23">
        <v>24.99</v>
      </c>
      <c r="E52" s="3">
        <v>24.99</v>
      </c>
      <c r="F52" s="2" t="s">
        <v>5500</v>
      </c>
      <c r="G52" s="22" t="s">
        <v>19513</v>
      </c>
      <c r="H52" s="24"/>
      <c r="I52" s="22" t="s">
        <v>19309</v>
      </c>
      <c r="J52" s="22" t="s">
        <v>19310</v>
      </c>
      <c r="K52" s="22" t="s">
        <v>5501</v>
      </c>
      <c r="L52" s="22"/>
      <c r="M52" s="22"/>
      <c r="N52" s="25" t="str">
        <f>HYPERLINK("http://slimages.macys.com/is/image/MCY/21265792 ")</f>
        <v xml:space="preserve">http://slimages.macys.com/is/image/MCY/21265792 </v>
      </c>
    </row>
    <row r="53" spans="1:14" ht="24.75" x14ac:dyDescent="0.25">
      <c r="A53" s="21" t="s">
        <v>5502</v>
      </c>
      <c r="B53" s="22" t="s">
        <v>5503</v>
      </c>
      <c r="C53" s="2">
        <v>1</v>
      </c>
      <c r="D53" s="23">
        <v>36</v>
      </c>
      <c r="E53" s="3">
        <v>36</v>
      </c>
      <c r="F53" s="2" t="s">
        <v>5504</v>
      </c>
      <c r="G53" s="22" t="s">
        <v>19404</v>
      </c>
      <c r="H53" s="24"/>
      <c r="I53" s="22" t="s">
        <v>19309</v>
      </c>
      <c r="J53" s="22" t="s">
        <v>19491</v>
      </c>
      <c r="K53" s="22" t="s">
        <v>17934</v>
      </c>
      <c r="L53" s="22"/>
      <c r="M53" s="22"/>
      <c r="N53" s="25" t="str">
        <f>HYPERLINK("http://slimages.macys.com/is/image/MCY/21422889 ")</f>
        <v xml:space="preserve">http://slimages.macys.com/is/image/MCY/21422889 </v>
      </c>
    </row>
    <row r="54" spans="1:14" x14ac:dyDescent="0.25">
      <c r="A54" s="21" t="s">
        <v>5505</v>
      </c>
      <c r="B54" s="22" t="s">
        <v>5506</v>
      </c>
      <c r="C54" s="2">
        <v>1</v>
      </c>
      <c r="D54" s="23">
        <v>24.99</v>
      </c>
      <c r="E54" s="3">
        <v>24.99</v>
      </c>
      <c r="F54" s="2" t="s">
        <v>15615</v>
      </c>
      <c r="G54" s="22" t="s">
        <v>19333</v>
      </c>
      <c r="H54" s="24" t="s">
        <v>19308</v>
      </c>
      <c r="I54" s="22" t="s">
        <v>19309</v>
      </c>
      <c r="J54" s="22" t="s">
        <v>19310</v>
      </c>
      <c r="K54" s="22" t="s">
        <v>19529</v>
      </c>
      <c r="L54" s="22"/>
      <c r="M54" s="22"/>
      <c r="N54" s="25" t="str">
        <f>HYPERLINK("http://slimages.macys.com/is/image/MCY/21646819 ")</f>
        <v xml:space="preserve">http://slimages.macys.com/is/image/MCY/21646819 </v>
      </c>
    </row>
    <row r="55" spans="1:14" x14ac:dyDescent="0.25">
      <c r="A55" s="21" t="s">
        <v>5507</v>
      </c>
      <c r="B55" s="22" t="s">
        <v>5508</v>
      </c>
      <c r="C55" s="2">
        <v>2</v>
      </c>
      <c r="D55" s="23">
        <v>24.99</v>
      </c>
      <c r="E55" s="3">
        <v>49.98</v>
      </c>
      <c r="F55" s="2" t="s">
        <v>15615</v>
      </c>
      <c r="G55" s="22" t="s">
        <v>19333</v>
      </c>
      <c r="H55" s="24" t="s">
        <v>19364</v>
      </c>
      <c r="I55" s="22" t="s">
        <v>19309</v>
      </c>
      <c r="J55" s="22" t="s">
        <v>19310</v>
      </c>
      <c r="K55" s="22" t="s">
        <v>19529</v>
      </c>
      <c r="L55" s="22"/>
      <c r="M55" s="22"/>
      <c r="N55" s="25" t="str">
        <f>HYPERLINK("http://slimages.macys.com/is/image/MCY/21646819 ")</f>
        <v xml:space="preserve">http://slimages.macys.com/is/image/MCY/21646819 </v>
      </c>
    </row>
    <row r="56" spans="1:14" x14ac:dyDescent="0.25">
      <c r="A56" s="21" t="s">
        <v>5509</v>
      </c>
      <c r="B56" s="22" t="s">
        <v>5510</v>
      </c>
      <c r="C56" s="2">
        <v>1</v>
      </c>
      <c r="D56" s="23">
        <v>24.99</v>
      </c>
      <c r="E56" s="3">
        <v>24.99</v>
      </c>
      <c r="F56" s="2" t="s">
        <v>15615</v>
      </c>
      <c r="G56" s="22" t="s">
        <v>19333</v>
      </c>
      <c r="H56" s="24" t="s">
        <v>19339</v>
      </c>
      <c r="I56" s="22" t="s">
        <v>19309</v>
      </c>
      <c r="J56" s="22" t="s">
        <v>19310</v>
      </c>
      <c r="K56" s="22" t="s">
        <v>19529</v>
      </c>
      <c r="L56" s="22"/>
      <c r="M56" s="22"/>
      <c r="N56" s="25" t="str">
        <f>HYPERLINK("http://slimages.macys.com/is/image/MCY/21646819 ")</f>
        <v xml:space="preserve">http://slimages.macys.com/is/image/MCY/21646819 </v>
      </c>
    </row>
    <row r="57" spans="1:14" x14ac:dyDescent="0.25">
      <c r="A57" s="21" t="s">
        <v>5511</v>
      </c>
      <c r="B57" s="22" t="s">
        <v>5512</v>
      </c>
      <c r="C57" s="2">
        <v>1</v>
      </c>
      <c r="D57" s="23">
        <v>24.99</v>
      </c>
      <c r="E57" s="3">
        <v>24.99</v>
      </c>
      <c r="F57" s="2" t="s">
        <v>5513</v>
      </c>
      <c r="G57" s="22" t="s">
        <v>19404</v>
      </c>
      <c r="H57" s="24"/>
      <c r="I57" s="22" t="s">
        <v>19309</v>
      </c>
      <c r="J57" s="22" t="s">
        <v>19310</v>
      </c>
      <c r="K57" s="22" t="s">
        <v>5501</v>
      </c>
      <c r="L57" s="22"/>
      <c r="M57" s="22"/>
      <c r="N57" s="25" t="str">
        <f>HYPERLINK("http://slimages.macys.com/is/image/MCY/21265784 ")</f>
        <v xml:space="preserve">http://slimages.macys.com/is/image/MCY/21265784 </v>
      </c>
    </row>
    <row r="58" spans="1:14" ht="24.75" x14ac:dyDescent="0.25">
      <c r="A58" s="21" t="s">
        <v>5514</v>
      </c>
      <c r="B58" s="22" t="s">
        <v>5515</v>
      </c>
      <c r="C58" s="2">
        <v>1</v>
      </c>
      <c r="D58" s="23">
        <v>24.99</v>
      </c>
      <c r="E58" s="3">
        <v>24.99</v>
      </c>
      <c r="F58" s="2" t="s">
        <v>5513</v>
      </c>
      <c r="G58" s="22" t="s">
        <v>19404</v>
      </c>
      <c r="H58" s="24"/>
      <c r="I58" s="22" t="s">
        <v>19309</v>
      </c>
      <c r="J58" s="22" t="s">
        <v>19310</v>
      </c>
      <c r="K58" s="22" t="s">
        <v>5501</v>
      </c>
      <c r="L58" s="22"/>
      <c r="M58" s="22"/>
      <c r="N58" s="25" t="str">
        <f>HYPERLINK("http://slimages.macys.com/is/image/MCY/21265784 ")</f>
        <v xml:space="preserve">http://slimages.macys.com/is/image/MCY/21265784 </v>
      </c>
    </row>
    <row r="59" spans="1:14" ht="24.75" x14ac:dyDescent="0.25">
      <c r="A59" s="21" t="s">
        <v>5516</v>
      </c>
      <c r="B59" s="22" t="s">
        <v>5517</v>
      </c>
      <c r="C59" s="2">
        <v>1</v>
      </c>
      <c r="D59" s="23">
        <v>24.99</v>
      </c>
      <c r="E59" s="3">
        <v>24.99</v>
      </c>
      <c r="F59" s="2" t="s">
        <v>5513</v>
      </c>
      <c r="G59" s="22" t="s">
        <v>19404</v>
      </c>
      <c r="H59" s="24"/>
      <c r="I59" s="22" t="s">
        <v>19309</v>
      </c>
      <c r="J59" s="22" t="s">
        <v>19310</v>
      </c>
      <c r="K59" s="22" t="s">
        <v>5501</v>
      </c>
      <c r="L59" s="22"/>
      <c r="M59" s="22"/>
      <c r="N59" s="25" t="str">
        <f>HYPERLINK("http://slimages.macys.com/is/image/MCY/21265784 ")</f>
        <v xml:space="preserve">http://slimages.macys.com/is/image/MCY/21265784 </v>
      </c>
    </row>
    <row r="60" spans="1:14" x14ac:dyDescent="0.25">
      <c r="A60" s="21" t="s">
        <v>5518</v>
      </c>
      <c r="B60" s="22" t="s">
        <v>5519</v>
      </c>
      <c r="C60" s="2">
        <v>1</v>
      </c>
      <c r="D60" s="23">
        <v>18.11</v>
      </c>
      <c r="E60" s="3">
        <v>18.11</v>
      </c>
      <c r="F60" s="2" t="s">
        <v>5520</v>
      </c>
      <c r="G60" s="22" t="s">
        <v>19431</v>
      </c>
      <c r="H60" s="24" t="s">
        <v>19432</v>
      </c>
      <c r="I60" s="22" t="s">
        <v>19309</v>
      </c>
      <c r="J60" s="22" t="s">
        <v>19310</v>
      </c>
      <c r="K60" s="22" t="s">
        <v>19433</v>
      </c>
      <c r="L60" s="22" t="s">
        <v>19434</v>
      </c>
      <c r="M60" s="22" t="s">
        <v>19320</v>
      </c>
      <c r="N60" s="25" t="str">
        <f>HYPERLINK("http://images.bloomingdales.com/is/image/BLM/11925860 ")</f>
        <v xml:space="preserve">http://images.bloomingdales.com/is/image/BLM/11925860 </v>
      </c>
    </row>
    <row r="61" spans="1:14" ht="24.75" x14ac:dyDescent="0.25">
      <c r="A61" s="21" t="s">
        <v>5521</v>
      </c>
      <c r="B61" s="22" t="s">
        <v>5522</v>
      </c>
      <c r="C61" s="2">
        <v>1</v>
      </c>
      <c r="D61" s="23">
        <v>24.99</v>
      </c>
      <c r="E61" s="3">
        <v>24.99</v>
      </c>
      <c r="F61" s="2" t="s">
        <v>5523</v>
      </c>
      <c r="G61" s="22"/>
      <c r="H61" s="24" t="s">
        <v>19797</v>
      </c>
      <c r="I61" s="22" t="s">
        <v>19309</v>
      </c>
      <c r="J61" s="22" t="s">
        <v>19353</v>
      </c>
      <c r="K61" s="22" t="s">
        <v>19524</v>
      </c>
      <c r="L61" s="22"/>
      <c r="M61" s="22"/>
      <c r="N61" s="25" t="str">
        <f>HYPERLINK("http://slimages.macys.com/is/image/MCY/20440839 ")</f>
        <v xml:space="preserve">http://slimages.macys.com/is/image/MCY/20440839 </v>
      </c>
    </row>
    <row r="62" spans="1:14" ht="24.75" x14ac:dyDescent="0.25">
      <c r="A62" s="21" t="s">
        <v>19582</v>
      </c>
      <c r="B62" s="22" t="s">
        <v>19583</v>
      </c>
      <c r="C62" s="2">
        <v>1</v>
      </c>
      <c r="D62" s="23">
        <v>26.99</v>
      </c>
      <c r="E62" s="3">
        <v>26.99</v>
      </c>
      <c r="F62" s="2" t="s">
        <v>19584</v>
      </c>
      <c r="G62" s="22" t="s">
        <v>19585</v>
      </c>
      <c r="H62" s="24" t="s">
        <v>19416</v>
      </c>
      <c r="I62" s="22" t="s">
        <v>19309</v>
      </c>
      <c r="J62" s="22" t="s">
        <v>19573</v>
      </c>
      <c r="K62" s="22" t="s">
        <v>19574</v>
      </c>
      <c r="L62" s="22"/>
      <c r="M62" s="22"/>
      <c r="N62" s="25" t="str">
        <f>HYPERLINK("http://slimages.macys.com/is/image/MCY/21088504 ")</f>
        <v xml:space="preserve">http://slimages.macys.com/is/image/MCY/21088504 </v>
      </c>
    </row>
    <row r="63" spans="1:14" ht="24.75" x14ac:dyDescent="0.25">
      <c r="A63" s="21" t="s">
        <v>5524</v>
      </c>
      <c r="B63" s="22" t="s">
        <v>5525</v>
      </c>
      <c r="C63" s="2">
        <v>1</v>
      </c>
      <c r="D63" s="23">
        <v>49.5</v>
      </c>
      <c r="E63" s="3">
        <v>49.5</v>
      </c>
      <c r="F63" s="2" t="s">
        <v>5526</v>
      </c>
      <c r="G63" s="22" t="s">
        <v>19518</v>
      </c>
      <c r="H63" s="24"/>
      <c r="I63" s="22" t="s">
        <v>19309</v>
      </c>
      <c r="J63" s="22" t="s">
        <v>19613</v>
      </c>
      <c r="K63" s="22" t="s">
        <v>19614</v>
      </c>
      <c r="L63" s="22"/>
      <c r="M63" s="22"/>
      <c r="N63" s="25" t="str">
        <f>HYPERLINK("http://slimages.macys.com/is/image/MCY/20675502 ")</f>
        <v xml:space="preserve">http://slimages.macys.com/is/image/MCY/20675502 </v>
      </c>
    </row>
    <row r="64" spans="1:14" ht="24.75" x14ac:dyDescent="0.25">
      <c r="A64" s="21" t="s">
        <v>5527</v>
      </c>
      <c r="B64" s="22" t="s">
        <v>5528</v>
      </c>
      <c r="C64" s="2">
        <v>12</v>
      </c>
      <c r="D64" s="23">
        <v>49.5</v>
      </c>
      <c r="E64" s="3">
        <v>594</v>
      </c>
      <c r="F64" s="2" t="s">
        <v>5526</v>
      </c>
      <c r="G64" s="22" t="s">
        <v>19518</v>
      </c>
      <c r="H64" s="24"/>
      <c r="I64" s="22" t="s">
        <v>19309</v>
      </c>
      <c r="J64" s="22" t="s">
        <v>19613</v>
      </c>
      <c r="K64" s="22" t="s">
        <v>19614</v>
      </c>
      <c r="L64" s="22"/>
      <c r="M64" s="22"/>
      <c r="N64" s="25" t="str">
        <f>HYPERLINK("http://slimages.macys.com/is/image/MCY/20675502 ")</f>
        <v xml:space="preserve">http://slimages.macys.com/is/image/MCY/20675502 </v>
      </c>
    </row>
    <row r="65" spans="1:14" ht="24.75" x14ac:dyDescent="0.25">
      <c r="A65" s="21" t="s">
        <v>19589</v>
      </c>
      <c r="B65" s="22" t="s">
        <v>19590</v>
      </c>
      <c r="C65" s="2">
        <v>2</v>
      </c>
      <c r="D65" s="23">
        <v>26.99</v>
      </c>
      <c r="E65" s="3">
        <v>53.98</v>
      </c>
      <c r="F65" s="2" t="s">
        <v>19588</v>
      </c>
      <c r="G65" s="22" t="s">
        <v>19351</v>
      </c>
      <c r="H65" s="24" t="s">
        <v>19330</v>
      </c>
      <c r="I65" s="22" t="s">
        <v>19309</v>
      </c>
      <c r="J65" s="22" t="s">
        <v>19573</v>
      </c>
      <c r="K65" s="22" t="s">
        <v>19574</v>
      </c>
      <c r="L65" s="22"/>
      <c r="M65" s="22"/>
      <c r="N65" s="25" t="str">
        <f>HYPERLINK("http://slimages.macys.com/is/image/MCY/20142463 ")</f>
        <v xml:space="preserve">http://slimages.macys.com/is/image/MCY/20142463 </v>
      </c>
    </row>
    <row r="66" spans="1:14" ht="24.75" x14ac:dyDescent="0.25">
      <c r="A66" s="21" t="s">
        <v>5529</v>
      </c>
      <c r="B66" s="22" t="s">
        <v>5530</v>
      </c>
      <c r="C66" s="2">
        <v>1</v>
      </c>
      <c r="D66" s="23">
        <v>26.99</v>
      </c>
      <c r="E66" s="3">
        <v>26.99</v>
      </c>
      <c r="F66" s="2" t="s">
        <v>15627</v>
      </c>
      <c r="G66" s="22" t="s">
        <v>19431</v>
      </c>
      <c r="H66" s="24" t="s">
        <v>19324</v>
      </c>
      <c r="I66" s="22" t="s">
        <v>19309</v>
      </c>
      <c r="J66" s="22" t="s">
        <v>19573</v>
      </c>
      <c r="K66" s="22" t="s">
        <v>19574</v>
      </c>
      <c r="L66" s="22"/>
      <c r="M66" s="22"/>
      <c r="N66" s="25" t="str">
        <f>HYPERLINK("http://slimages.macys.com/is/image/MCY/20142450 ")</f>
        <v xml:space="preserve">http://slimages.macys.com/is/image/MCY/20142450 </v>
      </c>
    </row>
    <row r="67" spans="1:14" ht="24.75" x14ac:dyDescent="0.25">
      <c r="A67" s="21" t="s">
        <v>5531</v>
      </c>
      <c r="B67" s="22" t="s">
        <v>5532</v>
      </c>
      <c r="C67" s="2">
        <v>1</v>
      </c>
      <c r="D67" s="23">
        <v>26.99</v>
      </c>
      <c r="E67" s="3">
        <v>26.99</v>
      </c>
      <c r="F67" s="2" t="s">
        <v>11788</v>
      </c>
      <c r="G67" s="22" t="s">
        <v>19513</v>
      </c>
      <c r="H67" s="24" t="s">
        <v>19377</v>
      </c>
      <c r="I67" s="22" t="s">
        <v>19309</v>
      </c>
      <c r="J67" s="22" t="s">
        <v>19595</v>
      </c>
      <c r="K67" s="22" t="s">
        <v>19596</v>
      </c>
      <c r="L67" s="22"/>
      <c r="M67" s="22"/>
      <c r="N67" s="25" t="str">
        <f>HYPERLINK("http://slimages.macys.com/is/image/MCY/21623086 ")</f>
        <v xml:space="preserve">http://slimages.macys.com/is/image/MCY/21623086 </v>
      </c>
    </row>
    <row r="68" spans="1:14" ht="24.75" x14ac:dyDescent="0.25">
      <c r="A68" s="21" t="s">
        <v>5533</v>
      </c>
      <c r="B68" s="22" t="s">
        <v>5534</v>
      </c>
      <c r="C68" s="2">
        <v>1</v>
      </c>
      <c r="D68" s="23">
        <v>19</v>
      </c>
      <c r="E68" s="3">
        <v>19</v>
      </c>
      <c r="F68" s="2" t="s">
        <v>5535</v>
      </c>
      <c r="G68" s="22" t="s">
        <v>19333</v>
      </c>
      <c r="H68" s="24" t="s">
        <v>5536</v>
      </c>
      <c r="I68" s="22" t="s">
        <v>19309</v>
      </c>
      <c r="J68" s="22" t="s">
        <v>19317</v>
      </c>
      <c r="K68" s="22" t="s">
        <v>16124</v>
      </c>
      <c r="L68" s="22" t="s">
        <v>19319</v>
      </c>
      <c r="M68" s="22" t="s">
        <v>12712</v>
      </c>
      <c r="N68" s="25" t="str">
        <f>HYPERLINK("http://slimages.macys.com/is/image/MCY/13303385 ")</f>
        <v xml:space="preserve">http://slimages.macys.com/is/image/MCY/13303385 </v>
      </c>
    </row>
    <row r="69" spans="1:14" ht="24.75" x14ac:dyDescent="0.25">
      <c r="A69" s="21" t="s">
        <v>11415</v>
      </c>
      <c r="B69" s="22" t="s">
        <v>11416</v>
      </c>
      <c r="C69" s="2">
        <v>1</v>
      </c>
      <c r="D69" s="23">
        <v>26.99</v>
      </c>
      <c r="E69" s="3">
        <v>26.99</v>
      </c>
      <c r="F69" s="2" t="s">
        <v>12904</v>
      </c>
      <c r="G69" s="22" t="s">
        <v>19801</v>
      </c>
      <c r="H69" s="24" t="s">
        <v>19542</v>
      </c>
      <c r="I69" s="22" t="s">
        <v>19309</v>
      </c>
      <c r="J69" s="22" t="s">
        <v>19595</v>
      </c>
      <c r="K69" s="22" t="s">
        <v>19596</v>
      </c>
      <c r="L69" s="22"/>
      <c r="M69" s="22"/>
      <c r="N69" s="25" t="str">
        <f>HYPERLINK("http://slimages.macys.com/is/image/MCY/21623070 ")</f>
        <v xml:space="preserve">http://slimages.macys.com/is/image/MCY/21623070 </v>
      </c>
    </row>
    <row r="70" spans="1:14" ht="24.75" x14ac:dyDescent="0.25">
      <c r="A70" s="21" t="s">
        <v>7339</v>
      </c>
      <c r="B70" s="22" t="s">
        <v>7340</v>
      </c>
      <c r="C70" s="2">
        <v>1</v>
      </c>
      <c r="D70" s="23">
        <v>26.99</v>
      </c>
      <c r="E70" s="3">
        <v>26.99</v>
      </c>
      <c r="F70" s="2" t="s">
        <v>11424</v>
      </c>
      <c r="G70" s="22" t="s">
        <v>19906</v>
      </c>
      <c r="H70" s="24" t="s">
        <v>19395</v>
      </c>
      <c r="I70" s="22" t="s">
        <v>19309</v>
      </c>
      <c r="J70" s="22" t="s">
        <v>19595</v>
      </c>
      <c r="K70" s="22" t="s">
        <v>19596</v>
      </c>
      <c r="L70" s="22"/>
      <c r="M70" s="22"/>
      <c r="N70" s="25" t="str">
        <f>HYPERLINK("http://slimages.macys.com/is/image/MCY/21623092 ")</f>
        <v xml:space="preserve">http://slimages.macys.com/is/image/MCY/21623092 </v>
      </c>
    </row>
    <row r="71" spans="1:14" ht="24.75" x14ac:dyDescent="0.25">
      <c r="A71" s="21" t="s">
        <v>19607</v>
      </c>
      <c r="B71" s="22" t="s">
        <v>19608</v>
      </c>
      <c r="C71" s="2">
        <v>1</v>
      </c>
      <c r="D71" s="23">
        <v>24.99</v>
      </c>
      <c r="E71" s="3">
        <v>24.99</v>
      </c>
      <c r="F71" s="2" t="s">
        <v>19609</v>
      </c>
      <c r="G71" s="22" t="s">
        <v>19342</v>
      </c>
      <c r="H71" s="24" t="s">
        <v>19416</v>
      </c>
      <c r="I71" s="22" t="s">
        <v>19309</v>
      </c>
      <c r="J71" s="22" t="s">
        <v>19491</v>
      </c>
      <c r="K71" s="22" t="s">
        <v>19554</v>
      </c>
      <c r="L71" s="22"/>
      <c r="M71" s="22"/>
      <c r="N71" s="25" t="str">
        <f>HYPERLINK("http://slimages.macys.com/is/image/MCY/21483061 ")</f>
        <v xml:space="preserve">http://slimages.macys.com/is/image/MCY/21483061 </v>
      </c>
    </row>
    <row r="72" spans="1:14" ht="24.75" x14ac:dyDescent="0.25">
      <c r="A72" s="21" t="s">
        <v>15643</v>
      </c>
      <c r="B72" s="22" t="s">
        <v>15644</v>
      </c>
      <c r="C72" s="2">
        <v>2</v>
      </c>
      <c r="D72" s="23">
        <v>26.99</v>
      </c>
      <c r="E72" s="3">
        <v>53.98</v>
      </c>
      <c r="F72" s="2" t="s">
        <v>17700</v>
      </c>
      <c r="G72" s="22" t="s">
        <v>19528</v>
      </c>
      <c r="H72" s="24" t="s">
        <v>19330</v>
      </c>
      <c r="I72" s="22" t="s">
        <v>19309</v>
      </c>
      <c r="J72" s="22" t="s">
        <v>19385</v>
      </c>
      <c r="K72" s="22" t="s">
        <v>19463</v>
      </c>
      <c r="L72" s="22"/>
      <c r="M72" s="22"/>
      <c r="N72" s="25" t="str">
        <f>HYPERLINK("http://slimages.macys.com/is/image/MCY/22291356 ")</f>
        <v xml:space="preserve">http://slimages.macys.com/is/image/MCY/22291356 </v>
      </c>
    </row>
    <row r="73" spans="1:14" ht="24.75" x14ac:dyDescent="0.25">
      <c r="A73" s="21" t="s">
        <v>17698</v>
      </c>
      <c r="B73" s="22" t="s">
        <v>17699</v>
      </c>
      <c r="C73" s="2">
        <v>1</v>
      </c>
      <c r="D73" s="23">
        <v>26.99</v>
      </c>
      <c r="E73" s="3">
        <v>26.99</v>
      </c>
      <c r="F73" s="2" t="s">
        <v>17700</v>
      </c>
      <c r="G73" s="22" t="s">
        <v>19528</v>
      </c>
      <c r="H73" s="24" t="s">
        <v>19416</v>
      </c>
      <c r="I73" s="22" t="s">
        <v>19309</v>
      </c>
      <c r="J73" s="22" t="s">
        <v>19385</v>
      </c>
      <c r="K73" s="22" t="s">
        <v>19463</v>
      </c>
      <c r="L73" s="22"/>
      <c r="M73" s="22"/>
      <c r="N73" s="25" t="str">
        <f>HYPERLINK("http://slimages.macys.com/is/image/MCY/22291356 ")</f>
        <v xml:space="preserve">http://slimages.macys.com/is/image/MCY/22291356 </v>
      </c>
    </row>
    <row r="74" spans="1:14" ht="24.75" x14ac:dyDescent="0.25">
      <c r="A74" s="21" t="s">
        <v>5537</v>
      </c>
      <c r="B74" s="22" t="s">
        <v>5538</v>
      </c>
      <c r="C74" s="2">
        <v>1</v>
      </c>
      <c r="D74" s="23">
        <v>23.99</v>
      </c>
      <c r="E74" s="3">
        <v>23.99</v>
      </c>
      <c r="F74" s="2" t="s">
        <v>5539</v>
      </c>
      <c r="G74" s="22" t="s">
        <v>19674</v>
      </c>
      <c r="H74" s="24" t="s">
        <v>19345</v>
      </c>
      <c r="I74" s="22" t="s">
        <v>19309</v>
      </c>
      <c r="J74" s="22" t="s">
        <v>19447</v>
      </c>
      <c r="K74" s="22" t="s">
        <v>19463</v>
      </c>
      <c r="L74" s="22"/>
      <c r="M74" s="22"/>
      <c r="N74" s="25" t="str">
        <f>HYPERLINK("http://slimages.macys.com/is/image/MCY/21682368 ")</f>
        <v xml:space="preserve">http://slimages.macys.com/is/image/MCY/21682368 </v>
      </c>
    </row>
    <row r="75" spans="1:14" ht="24.75" x14ac:dyDescent="0.25">
      <c r="A75" s="21" t="s">
        <v>10355</v>
      </c>
      <c r="B75" s="22" t="s">
        <v>10356</v>
      </c>
      <c r="C75" s="2">
        <v>1</v>
      </c>
      <c r="D75" s="23">
        <v>26.99</v>
      </c>
      <c r="E75" s="3">
        <v>26.99</v>
      </c>
      <c r="F75" s="2" t="s">
        <v>19634</v>
      </c>
      <c r="G75" s="22" t="s">
        <v>19635</v>
      </c>
      <c r="H75" s="24" t="s">
        <v>19416</v>
      </c>
      <c r="I75" s="22" t="s">
        <v>19309</v>
      </c>
      <c r="J75" s="22" t="s">
        <v>19385</v>
      </c>
      <c r="K75" s="22" t="s">
        <v>19411</v>
      </c>
      <c r="L75" s="22"/>
      <c r="M75" s="22"/>
      <c r="N75" s="25" t="str">
        <f>HYPERLINK("http://slimages.macys.com/is/image/MCY/21677796 ")</f>
        <v xml:space="preserve">http://slimages.macys.com/is/image/MCY/21677796 </v>
      </c>
    </row>
    <row r="76" spans="1:14" x14ac:dyDescent="0.25">
      <c r="A76" s="21" t="s">
        <v>5540</v>
      </c>
      <c r="B76" s="22" t="s">
        <v>5541</v>
      </c>
      <c r="C76" s="2">
        <v>1</v>
      </c>
      <c r="D76" s="23">
        <v>22.99</v>
      </c>
      <c r="E76" s="3">
        <v>22.99</v>
      </c>
      <c r="F76" s="2" t="s">
        <v>19626</v>
      </c>
      <c r="G76" s="22" t="s">
        <v>19315</v>
      </c>
      <c r="H76" s="24" t="s">
        <v>19352</v>
      </c>
      <c r="I76" s="22" t="s">
        <v>19309</v>
      </c>
      <c r="J76" s="22" t="s">
        <v>19310</v>
      </c>
      <c r="K76" s="22" t="s">
        <v>19529</v>
      </c>
      <c r="L76" s="22"/>
      <c r="M76" s="22"/>
      <c r="N76" s="25" t="str">
        <f>HYPERLINK("http://slimages.macys.com/is/image/MCY/21646843 ")</f>
        <v xml:space="preserve">http://slimages.macys.com/is/image/MCY/21646843 </v>
      </c>
    </row>
    <row r="77" spans="1:14" x14ac:dyDescent="0.25">
      <c r="A77" s="21" t="s">
        <v>5542</v>
      </c>
      <c r="B77" s="22" t="s">
        <v>5543</v>
      </c>
      <c r="C77" s="2">
        <v>1</v>
      </c>
      <c r="D77" s="23">
        <v>30</v>
      </c>
      <c r="E77" s="3">
        <v>30</v>
      </c>
      <c r="F77" s="2" t="s">
        <v>5544</v>
      </c>
      <c r="G77" s="22" t="s">
        <v>19323</v>
      </c>
      <c r="H77" s="24" t="s">
        <v>19324</v>
      </c>
      <c r="I77" s="22" t="s">
        <v>19309</v>
      </c>
      <c r="J77" s="22" t="s">
        <v>19417</v>
      </c>
      <c r="K77" s="22" t="s">
        <v>5545</v>
      </c>
      <c r="L77" s="22"/>
      <c r="M77" s="22"/>
      <c r="N77" s="25" t="str">
        <f>HYPERLINK("http://slimages.macys.com/is/image/MCY/19417635 ")</f>
        <v xml:space="preserve">http://slimages.macys.com/is/image/MCY/19417635 </v>
      </c>
    </row>
    <row r="78" spans="1:14" x14ac:dyDescent="0.25">
      <c r="A78" s="21" t="s">
        <v>6550</v>
      </c>
      <c r="B78" s="22" t="s">
        <v>6551</v>
      </c>
      <c r="C78" s="2">
        <v>1</v>
      </c>
      <c r="D78" s="23">
        <v>22.99</v>
      </c>
      <c r="E78" s="3">
        <v>22.99</v>
      </c>
      <c r="F78" s="2" t="s">
        <v>19626</v>
      </c>
      <c r="G78" s="22" t="s">
        <v>19315</v>
      </c>
      <c r="H78" s="24" t="s">
        <v>19339</v>
      </c>
      <c r="I78" s="22" t="s">
        <v>19309</v>
      </c>
      <c r="J78" s="22" t="s">
        <v>19310</v>
      </c>
      <c r="K78" s="22" t="s">
        <v>19529</v>
      </c>
      <c r="L78" s="22"/>
      <c r="M78" s="22"/>
      <c r="N78" s="25" t="str">
        <f>HYPERLINK("http://slimages.macys.com/is/image/MCY/21646843 ")</f>
        <v xml:space="preserve">http://slimages.macys.com/is/image/MCY/21646843 </v>
      </c>
    </row>
    <row r="79" spans="1:14" x14ac:dyDescent="0.25">
      <c r="A79" s="21" t="s">
        <v>10349</v>
      </c>
      <c r="B79" s="22" t="s">
        <v>10350</v>
      </c>
      <c r="C79" s="2">
        <v>1</v>
      </c>
      <c r="D79" s="23">
        <v>19.22</v>
      </c>
      <c r="E79" s="3">
        <v>19.22</v>
      </c>
      <c r="F79" s="2" t="s">
        <v>10342</v>
      </c>
      <c r="G79" s="22" t="s">
        <v>19357</v>
      </c>
      <c r="H79" s="24" t="s">
        <v>18530</v>
      </c>
      <c r="I79" s="22" t="s">
        <v>19309</v>
      </c>
      <c r="J79" s="22" t="s">
        <v>19514</v>
      </c>
      <c r="K79" s="22" t="s">
        <v>18514</v>
      </c>
      <c r="L79" s="22"/>
      <c r="M79" s="22"/>
      <c r="N79" s="25" t="str">
        <f>HYPERLINK("http://slimages.macys.com/is/image/MCY/21374452 ")</f>
        <v xml:space="preserve">http://slimages.macys.com/is/image/MCY/21374452 </v>
      </c>
    </row>
    <row r="80" spans="1:14" x14ac:dyDescent="0.25">
      <c r="A80" s="21" t="s">
        <v>11442</v>
      </c>
      <c r="B80" s="22" t="s">
        <v>11443</v>
      </c>
      <c r="C80" s="2">
        <v>1</v>
      </c>
      <c r="D80" s="23">
        <v>23.22</v>
      </c>
      <c r="E80" s="3">
        <v>23.22</v>
      </c>
      <c r="F80" s="2" t="s">
        <v>11444</v>
      </c>
      <c r="G80" s="22" t="s">
        <v>19342</v>
      </c>
      <c r="H80" s="24" t="s">
        <v>19334</v>
      </c>
      <c r="I80" s="22" t="s">
        <v>19309</v>
      </c>
      <c r="J80" s="22" t="s">
        <v>19514</v>
      </c>
      <c r="K80" s="22" t="s">
        <v>19546</v>
      </c>
      <c r="L80" s="22"/>
      <c r="M80" s="22"/>
      <c r="N80" s="25" t="str">
        <f>HYPERLINK("http://slimages.macys.com/is/image/MCY/21642628 ")</f>
        <v xml:space="preserve">http://slimages.macys.com/is/image/MCY/21642628 </v>
      </c>
    </row>
    <row r="81" spans="1:14" ht="24.75" x14ac:dyDescent="0.25">
      <c r="A81" s="21" t="s">
        <v>5546</v>
      </c>
      <c r="B81" s="22" t="s">
        <v>5547</v>
      </c>
      <c r="C81" s="2">
        <v>1</v>
      </c>
      <c r="D81" s="23">
        <v>30.99</v>
      </c>
      <c r="E81" s="3">
        <v>30.99</v>
      </c>
      <c r="F81" s="2" t="s">
        <v>19651</v>
      </c>
      <c r="G81" s="22" t="s">
        <v>19351</v>
      </c>
      <c r="H81" s="24" t="s">
        <v>19797</v>
      </c>
      <c r="I81" s="22" t="s">
        <v>19309</v>
      </c>
      <c r="J81" s="22" t="s">
        <v>19353</v>
      </c>
      <c r="K81" s="22" t="s">
        <v>19524</v>
      </c>
      <c r="L81" s="22"/>
      <c r="M81" s="22"/>
      <c r="N81" s="25" t="str">
        <f>HYPERLINK("http://slimages.macys.com/is/image/MCY/1352878 ")</f>
        <v xml:space="preserve">http://slimages.macys.com/is/image/MCY/1352878 </v>
      </c>
    </row>
    <row r="82" spans="1:14" ht="24.75" x14ac:dyDescent="0.25">
      <c r="A82" s="21" t="s">
        <v>5548</v>
      </c>
      <c r="B82" s="22" t="s">
        <v>5549</v>
      </c>
      <c r="C82" s="2">
        <v>1</v>
      </c>
      <c r="D82" s="23">
        <v>30.99</v>
      </c>
      <c r="E82" s="3">
        <v>30.99</v>
      </c>
      <c r="F82" s="2" t="s">
        <v>19651</v>
      </c>
      <c r="G82" s="22" t="s">
        <v>19351</v>
      </c>
      <c r="H82" s="24" t="s">
        <v>19364</v>
      </c>
      <c r="I82" s="22" t="s">
        <v>19309</v>
      </c>
      <c r="J82" s="22" t="s">
        <v>19353</v>
      </c>
      <c r="K82" s="22" t="s">
        <v>19524</v>
      </c>
      <c r="L82" s="22"/>
      <c r="M82" s="22"/>
      <c r="N82" s="25" t="str">
        <f>HYPERLINK("http://slimages.macys.com/is/image/MCY/1352878 ")</f>
        <v xml:space="preserve">http://slimages.macys.com/is/image/MCY/1352878 </v>
      </c>
    </row>
    <row r="83" spans="1:14" ht="24.75" x14ac:dyDescent="0.25">
      <c r="A83" s="21" t="s">
        <v>10363</v>
      </c>
      <c r="B83" s="22" t="s">
        <v>10364</v>
      </c>
      <c r="C83" s="2">
        <v>1</v>
      </c>
      <c r="D83" s="23">
        <v>25.99</v>
      </c>
      <c r="E83" s="3">
        <v>25.99</v>
      </c>
      <c r="F83" s="2" t="s">
        <v>15691</v>
      </c>
      <c r="G83" s="22" t="s">
        <v>18439</v>
      </c>
      <c r="H83" s="24" t="s">
        <v>19384</v>
      </c>
      <c r="I83" s="22" t="s">
        <v>19309</v>
      </c>
      <c r="J83" s="22" t="s">
        <v>19573</v>
      </c>
      <c r="K83" s="22" t="s">
        <v>19574</v>
      </c>
      <c r="L83" s="22"/>
      <c r="M83" s="22"/>
      <c r="N83" s="25" t="str">
        <f>HYPERLINK("http://slimages.macys.com/is/image/MCY/20550994 ")</f>
        <v xml:space="preserve">http://slimages.macys.com/is/image/MCY/20550994 </v>
      </c>
    </row>
    <row r="84" spans="1:14" ht="24.75" x14ac:dyDescent="0.25">
      <c r="A84" s="21" t="s">
        <v>5550</v>
      </c>
      <c r="B84" s="22" t="s">
        <v>5551</v>
      </c>
      <c r="C84" s="2">
        <v>1</v>
      </c>
      <c r="D84" s="23">
        <v>32</v>
      </c>
      <c r="E84" s="3">
        <v>32</v>
      </c>
      <c r="F84" s="2" t="s">
        <v>5552</v>
      </c>
      <c r="G84" s="22" t="s">
        <v>19810</v>
      </c>
      <c r="H84" s="24" t="s">
        <v>19377</v>
      </c>
      <c r="I84" s="22" t="s">
        <v>19309</v>
      </c>
      <c r="J84" s="22" t="s">
        <v>5553</v>
      </c>
      <c r="K84" s="22" t="s">
        <v>17934</v>
      </c>
      <c r="L84" s="22"/>
      <c r="M84" s="22"/>
      <c r="N84" s="25" t="str">
        <f>HYPERLINK("http://slimages.macys.com/is/image/MCY/21178458 ")</f>
        <v xml:space="preserve">http://slimages.macys.com/is/image/MCY/21178458 </v>
      </c>
    </row>
    <row r="85" spans="1:14" ht="24.75" x14ac:dyDescent="0.25">
      <c r="A85" s="21" t="s">
        <v>5554</v>
      </c>
      <c r="B85" s="22" t="s">
        <v>5555</v>
      </c>
      <c r="C85" s="2">
        <v>1</v>
      </c>
      <c r="D85" s="23">
        <v>24.99</v>
      </c>
      <c r="E85" s="3">
        <v>24.99</v>
      </c>
      <c r="F85" s="2" t="s">
        <v>5556</v>
      </c>
      <c r="G85" s="22" t="s">
        <v>19315</v>
      </c>
      <c r="H85" s="24"/>
      <c r="I85" s="22" t="s">
        <v>19309</v>
      </c>
      <c r="J85" s="22" t="s">
        <v>19447</v>
      </c>
      <c r="K85" s="22" t="s">
        <v>5557</v>
      </c>
      <c r="L85" s="22"/>
      <c r="M85" s="22"/>
      <c r="N85" s="25" t="str">
        <f>HYPERLINK("http://slimages.macys.com/is/image/MCY/21162725 ")</f>
        <v xml:space="preserve">http://slimages.macys.com/is/image/MCY/21162725 </v>
      </c>
    </row>
    <row r="86" spans="1:14" ht="24.75" x14ac:dyDescent="0.25">
      <c r="A86" s="21" t="s">
        <v>5558</v>
      </c>
      <c r="B86" s="22" t="s">
        <v>5559</v>
      </c>
      <c r="C86" s="2">
        <v>1</v>
      </c>
      <c r="D86" s="23">
        <v>28.99</v>
      </c>
      <c r="E86" s="3">
        <v>28.99</v>
      </c>
      <c r="F86" s="2" t="s">
        <v>5560</v>
      </c>
      <c r="G86" s="22" t="s">
        <v>19467</v>
      </c>
      <c r="H86" s="24" t="s">
        <v>19538</v>
      </c>
      <c r="I86" s="22" t="s">
        <v>19309</v>
      </c>
      <c r="J86" s="22" t="s">
        <v>19573</v>
      </c>
      <c r="K86" s="22" t="s">
        <v>19574</v>
      </c>
      <c r="L86" s="22"/>
      <c r="M86" s="22"/>
      <c r="N86" s="25" t="str">
        <f>HYPERLINK("http://slimages.macys.com/is/image/MCY/19977928 ")</f>
        <v xml:space="preserve">http://slimages.macys.com/is/image/MCY/19977928 </v>
      </c>
    </row>
    <row r="87" spans="1:14" x14ac:dyDescent="0.25">
      <c r="A87" s="21" t="s">
        <v>5561</v>
      </c>
      <c r="B87" s="22" t="s">
        <v>5562</v>
      </c>
      <c r="C87" s="2">
        <v>1</v>
      </c>
      <c r="D87" s="23">
        <v>30</v>
      </c>
      <c r="E87" s="3">
        <v>30</v>
      </c>
      <c r="F87" s="2" t="s">
        <v>5563</v>
      </c>
      <c r="G87" s="22" t="s">
        <v>19814</v>
      </c>
      <c r="H87" s="24" t="s">
        <v>20152</v>
      </c>
      <c r="I87" s="22" t="s">
        <v>19309</v>
      </c>
      <c r="J87" s="22" t="s">
        <v>19417</v>
      </c>
      <c r="K87" s="22" t="s">
        <v>19418</v>
      </c>
      <c r="L87" s="22"/>
      <c r="M87" s="22"/>
      <c r="N87" s="25" t="str">
        <f>HYPERLINK("http://slimages.macys.com/is/image/MCY/21206204 ")</f>
        <v xml:space="preserve">http://slimages.macys.com/is/image/MCY/21206204 </v>
      </c>
    </row>
    <row r="88" spans="1:14" ht="24.75" x14ac:dyDescent="0.25">
      <c r="A88" s="21" t="s">
        <v>5564</v>
      </c>
      <c r="B88" s="22" t="s">
        <v>5565</v>
      </c>
      <c r="C88" s="2">
        <v>1</v>
      </c>
      <c r="D88" s="23">
        <v>26.99</v>
      </c>
      <c r="E88" s="3">
        <v>26.99</v>
      </c>
      <c r="F88" s="2" t="s">
        <v>19663</v>
      </c>
      <c r="G88" s="22" t="s">
        <v>19333</v>
      </c>
      <c r="H88" s="24" t="s">
        <v>19384</v>
      </c>
      <c r="I88" s="22" t="s">
        <v>19309</v>
      </c>
      <c r="J88" s="22" t="s">
        <v>19385</v>
      </c>
      <c r="K88" s="22" t="s">
        <v>19487</v>
      </c>
      <c r="L88" s="22"/>
      <c r="M88" s="22"/>
      <c r="N88" s="25" t="str">
        <f>HYPERLINK("http://slimages.macys.com/is/image/MCY/21856819 ")</f>
        <v xml:space="preserve">http://slimages.macys.com/is/image/MCY/21856819 </v>
      </c>
    </row>
    <row r="89" spans="1:14" x14ac:dyDescent="0.25">
      <c r="A89" s="21" t="s">
        <v>5566</v>
      </c>
      <c r="B89" s="22" t="s">
        <v>5567</v>
      </c>
      <c r="C89" s="2">
        <v>1</v>
      </c>
      <c r="D89" s="23">
        <v>17.989999999999998</v>
      </c>
      <c r="E89" s="3">
        <v>17.989999999999998</v>
      </c>
      <c r="F89" s="2" t="s">
        <v>5568</v>
      </c>
      <c r="G89" s="22" t="s">
        <v>19307</v>
      </c>
      <c r="H89" s="24" t="s">
        <v>19352</v>
      </c>
      <c r="I89" s="22" t="s">
        <v>19309</v>
      </c>
      <c r="J89" s="22" t="s">
        <v>19310</v>
      </c>
      <c r="K89" s="22" t="s">
        <v>19631</v>
      </c>
      <c r="L89" s="22" t="s">
        <v>19319</v>
      </c>
      <c r="M89" s="22" t="s">
        <v>17531</v>
      </c>
      <c r="N89" s="25" t="str">
        <f>HYPERLINK("http://slimages.macys.com/is/image/MCY/14565373 ")</f>
        <v xml:space="preserve">http://slimages.macys.com/is/image/MCY/14565373 </v>
      </c>
    </row>
    <row r="90" spans="1:14" ht="24.75" x14ac:dyDescent="0.25">
      <c r="A90" s="21" t="s">
        <v>5569</v>
      </c>
      <c r="B90" s="22" t="s">
        <v>5570</v>
      </c>
      <c r="C90" s="2">
        <v>1</v>
      </c>
      <c r="D90" s="23">
        <v>17.989999999999998</v>
      </c>
      <c r="E90" s="3">
        <v>17.989999999999998</v>
      </c>
      <c r="F90" s="2" t="s">
        <v>6565</v>
      </c>
      <c r="G90" s="22" t="s">
        <v>19315</v>
      </c>
      <c r="H90" s="24" t="s">
        <v>19339</v>
      </c>
      <c r="I90" s="22" t="s">
        <v>19309</v>
      </c>
      <c r="J90" s="22" t="s">
        <v>19447</v>
      </c>
      <c r="K90" s="22" t="s">
        <v>19873</v>
      </c>
      <c r="L90" s="22"/>
      <c r="M90" s="22"/>
      <c r="N90" s="25" t="str">
        <f>HYPERLINK("http://slimages.macys.com/is/image/MCY/19933283 ")</f>
        <v xml:space="preserve">http://slimages.macys.com/is/image/MCY/19933283 </v>
      </c>
    </row>
    <row r="91" spans="1:14" ht="24.75" x14ac:dyDescent="0.25">
      <c r="A91" s="21" t="s">
        <v>15701</v>
      </c>
      <c r="B91" s="22" t="s">
        <v>15702</v>
      </c>
      <c r="C91" s="2">
        <v>1</v>
      </c>
      <c r="D91" s="23">
        <v>18.989999999999998</v>
      </c>
      <c r="E91" s="3">
        <v>18.989999999999998</v>
      </c>
      <c r="F91" s="2" t="s">
        <v>15703</v>
      </c>
      <c r="G91" s="22" t="s">
        <v>19323</v>
      </c>
      <c r="H91" s="24" t="s">
        <v>19334</v>
      </c>
      <c r="I91" s="22" t="s">
        <v>19309</v>
      </c>
      <c r="J91" s="22" t="s">
        <v>19447</v>
      </c>
      <c r="K91" s="22" t="s">
        <v>20146</v>
      </c>
      <c r="L91" s="22"/>
      <c r="M91" s="22"/>
      <c r="N91" s="25" t="str">
        <f>HYPERLINK("http://slimages.macys.com/is/image/MCY/20676961 ")</f>
        <v xml:space="preserve">http://slimages.macys.com/is/image/MCY/20676961 </v>
      </c>
    </row>
    <row r="92" spans="1:14" ht="24.75" x14ac:dyDescent="0.25">
      <c r="A92" s="21" t="s">
        <v>11828</v>
      </c>
      <c r="B92" s="22" t="s">
        <v>11829</v>
      </c>
      <c r="C92" s="2">
        <v>1</v>
      </c>
      <c r="D92" s="23">
        <v>18.989999999999998</v>
      </c>
      <c r="E92" s="3">
        <v>18.989999999999998</v>
      </c>
      <c r="F92" s="2" t="s">
        <v>15703</v>
      </c>
      <c r="G92" s="22" t="s">
        <v>19323</v>
      </c>
      <c r="H92" s="24" t="s">
        <v>19377</v>
      </c>
      <c r="I92" s="22" t="s">
        <v>19309</v>
      </c>
      <c r="J92" s="22" t="s">
        <v>19447</v>
      </c>
      <c r="K92" s="22" t="s">
        <v>20146</v>
      </c>
      <c r="L92" s="22"/>
      <c r="M92" s="22"/>
      <c r="N92" s="25" t="str">
        <f>HYPERLINK("http://slimages.macys.com/is/image/MCY/20676963 ")</f>
        <v xml:space="preserve">http://slimages.macys.com/is/image/MCY/20676963 </v>
      </c>
    </row>
    <row r="93" spans="1:14" ht="24.75" x14ac:dyDescent="0.25">
      <c r="A93" s="21" t="s">
        <v>5571</v>
      </c>
      <c r="B93" s="22" t="s">
        <v>5572</v>
      </c>
      <c r="C93" s="2">
        <v>1</v>
      </c>
      <c r="D93" s="23">
        <v>21.89</v>
      </c>
      <c r="E93" s="3">
        <v>21.89</v>
      </c>
      <c r="F93" s="2" t="s">
        <v>5573</v>
      </c>
      <c r="G93" s="22" t="s">
        <v>19801</v>
      </c>
      <c r="H93" s="24" t="s">
        <v>19364</v>
      </c>
      <c r="I93" s="22" t="s">
        <v>19309</v>
      </c>
      <c r="J93" s="22" t="s">
        <v>19565</v>
      </c>
      <c r="K93" s="22" t="s">
        <v>5574</v>
      </c>
      <c r="L93" s="22"/>
      <c r="M93" s="22"/>
      <c r="N93" s="25" t="str">
        <f>HYPERLINK("http://slimages.macys.com/is/image/MCY/20573187 ")</f>
        <v xml:space="preserve">http://slimages.macys.com/is/image/MCY/20573187 </v>
      </c>
    </row>
    <row r="94" spans="1:14" x14ac:dyDescent="0.25">
      <c r="A94" s="21" t="s">
        <v>5575</v>
      </c>
      <c r="B94" s="22" t="s">
        <v>9575</v>
      </c>
      <c r="C94" s="2">
        <v>1</v>
      </c>
      <c r="D94" s="23">
        <v>34.5</v>
      </c>
      <c r="E94" s="3">
        <v>34.5</v>
      </c>
      <c r="F94" s="2" t="s">
        <v>5576</v>
      </c>
      <c r="G94" s="22" t="s">
        <v>19415</v>
      </c>
      <c r="H94" s="24" t="s">
        <v>19395</v>
      </c>
      <c r="I94" s="22" t="s">
        <v>19309</v>
      </c>
      <c r="J94" s="22" t="s">
        <v>19688</v>
      </c>
      <c r="K94" s="22" t="s">
        <v>19614</v>
      </c>
      <c r="L94" s="22"/>
      <c r="M94" s="22"/>
      <c r="N94" s="25" t="str">
        <f>HYPERLINK("http://slimages.macys.com/is/image/MCY/21035770 ")</f>
        <v xml:space="preserve">http://slimages.macys.com/is/image/MCY/21035770 </v>
      </c>
    </row>
    <row r="95" spans="1:14" ht="24.75" x14ac:dyDescent="0.25">
      <c r="A95" s="21" t="s">
        <v>5577</v>
      </c>
      <c r="B95" s="22" t="s">
        <v>5578</v>
      </c>
      <c r="C95" s="2">
        <v>1</v>
      </c>
      <c r="D95" s="23">
        <v>26</v>
      </c>
      <c r="E95" s="3">
        <v>26</v>
      </c>
      <c r="F95" s="2" t="s">
        <v>5579</v>
      </c>
      <c r="G95" s="22" t="s">
        <v>19431</v>
      </c>
      <c r="H95" s="24"/>
      <c r="I95" s="22" t="s">
        <v>19309</v>
      </c>
      <c r="J95" s="22" t="s">
        <v>20076</v>
      </c>
      <c r="K95" s="22" t="s">
        <v>5580</v>
      </c>
      <c r="L95" s="22"/>
      <c r="M95" s="22"/>
      <c r="N95" s="25" t="str">
        <f>HYPERLINK("http://slimages.macys.com/is/image/MCY/17298821 ")</f>
        <v xml:space="preserve">http://slimages.macys.com/is/image/MCY/17298821 </v>
      </c>
    </row>
    <row r="96" spans="1:14" ht="24.75" x14ac:dyDescent="0.25">
      <c r="A96" s="21" t="s">
        <v>5581</v>
      </c>
      <c r="B96" s="22" t="s">
        <v>5582</v>
      </c>
      <c r="C96" s="2">
        <v>1</v>
      </c>
      <c r="D96" s="23">
        <v>39.5</v>
      </c>
      <c r="E96" s="3">
        <v>39.5</v>
      </c>
      <c r="F96" s="2" t="s">
        <v>5583</v>
      </c>
      <c r="G96" s="22" t="s">
        <v>19794</v>
      </c>
      <c r="H96" s="24" t="s">
        <v>19501</v>
      </c>
      <c r="I96" s="22" t="s">
        <v>19309</v>
      </c>
      <c r="J96" s="22" t="s">
        <v>12174</v>
      </c>
      <c r="K96" s="22" t="s">
        <v>19546</v>
      </c>
      <c r="L96" s="22"/>
      <c r="M96" s="22"/>
      <c r="N96" s="25" t="str">
        <f>HYPERLINK("http://slimages.macys.com/is/image/MCY/21357224 ")</f>
        <v xml:space="preserve">http://slimages.macys.com/is/image/MCY/21357224 </v>
      </c>
    </row>
    <row r="97" spans="1:14" ht="24.75" x14ac:dyDescent="0.25">
      <c r="A97" s="21" t="s">
        <v>5584</v>
      </c>
      <c r="B97" s="22" t="s">
        <v>5585</v>
      </c>
      <c r="C97" s="2">
        <v>1</v>
      </c>
      <c r="D97" s="23">
        <v>22.99</v>
      </c>
      <c r="E97" s="3">
        <v>22.99</v>
      </c>
      <c r="F97" s="2" t="s">
        <v>5586</v>
      </c>
      <c r="G97" s="22"/>
      <c r="H97" s="24" t="s">
        <v>19339</v>
      </c>
      <c r="I97" s="22" t="s">
        <v>19309</v>
      </c>
      <c r="J97" s="22" t="s">
        <v>19353</v>
      </c>
      <c r="K97" s="22" t="s">
        <v>19524</v>
      </c>
      <c r="L97" s="22"/>
      <c r="M97" s="22"/>
      <c r="N97" s="25" t="str">
        <f>HYPERLINK("http://slimages.macys.com/is/image/MCY/19504072 ")</f>
        <v xml:space="preserve">http://slimages.macys.com/is/image/MCY/19504072 </v>
      </c>
    </row>
    <row r="98" spans="1:14" x14ac:dyDescent="0.25">
      <c r="A98" s="21" t="s">
        <v>15714</v>
      </c>
      <c r="B98" s="22" t="s">
        <v>15715</v>
      </c>
      <c r="C98" s="2">
        <v>1</v>
      </c>
      <c r="D98" s="23">
        <v>27.99</v>
      </c>
      <c r="E98" s="3">
        <v>27.99</v>
      </c>
      <c r="F98" s="2" t="s">
        <v>17774</v>
      </c>
      <c r="G98" s="22" t="s">
        <v>19342</v>
      </c>
      <c r="H98" s="24" t="s">
        <v>19334</v>
      </c>
      <c r="I98" s="22" t="s">
        <v>19309</v>
      </c>
      <c r="J98" s="22" t="s">
        <v>19696</v>
      </c>
      <c r="K98" s="22" t="s">
        <v>19965</v>
      </c>
      <c r="L98" s="22"/>
      <c r="M98" s="22"/>
      <c r="N98" s="25" t="str">
        <f>HYPERLINK("http://slimages.macys.com/is/image/MCY/21540669 ")</f>
        <v xml:space="preserve">http://slimages.macys.com/is/image/MCY/21540669 </v>
      </c>
    </row>
    <row r="99" spans="1:14" x14ac:dyDescent="0.25">
      <c r="A99" s="21" t="s">
        <v>10374</v>
      </c>
      <c r="B99" s="22" t="s">
        <v>10375</v>
      </c>
      <c r="C99" s="2">
        <v>1</v>
      </c>
      <c r="D99" s="23">
        <v>27.99</v>
      </c>
      <c r="E99" s="3">
        <v>27.99</v>
      </c>
      <c r="F99" s="2" t="s">
        <v>17777</v>
      </c>
      <c r="G99" s="22" t="s">
        <v>19342</v>
      </c>
      <c r="H99" s="24" t="s">
        <v>19334</v>
      </c>
      <c r="I99" s="22" t="s">
        <v>19309</v>
      </c>
      <c r="J99" s="22" t="s">
        <v>19696</v>
      </c>
      <c r="K99" s="22" t="s">
        <v>19697</v>
      </c>
      <c r="L99" s="22"/>
      <c r="M99" s="22"/>
      <c r="N99" s="25" t="str">
        <f>HYPERLINK("http://slimages.macys.com/is/image/MCY/21364964 ")</f>
        <v xml:space="preserve">http://slimages.macys.com/is/image/MCY/21364964 </v>
      </c>
    </row>
    <row r="100" spans="1:14" x14ac:dyDescent="0.25">
      <c r="A100" s="21" t="s">
        <v>15726</v>
      </c>
      <c r="B100" s="22" t="s">
        <v>15727</v>
      </c>
      <c r="C100" s="2">
        <v>1</v>
      </c>
      <c r="D100" s="23">
        <v>15.99</v>
      </c>
      <c r="E100" s="3">
        <v>15.99</v>
      </c>
      <c r="F100" s="2">
        <v>72676</v>
      </c>
      <c r="G100" s="22" t="s">
        <v>19333</v>
      </c>
      <c r="H100" s="24" t="s">
        <v>19538</v>
      </c>
      <c r="I100" s="22" t="s">
        <v>19309</v>
      </c>
      <c r="J100" s="22" t="s">
        <v>19417</v>
      </c>
      <c r="K100" s="22" t="s">
        <v>19969</v>
      </c>
      <c r="L100" s="22"/>
      <c r="M100" s="22"/>
      <c r="N100" s="25" t="str">
        <f>HYPERLINK("http://slimages.macys.com/is/image/MCY/16790692 ")</f>
        <v xml:space="preserve">http://slimages.macys.com/is/image/MCY/16790692 </v>
      </c>
    </row>
    <row r="101" spans="1:14" ht="24.75" x14ac:dyDescent="0.25">
      <c r="A101" s="21" t="s">
        <v>5587</v>
      </c>
      <c r="B101" s="22" t="s">
        <v>5588</v>
      </c>
      <c r="C101" s="2">
        <v>1</v>
      </c>
      <c r="D101" s="23">
        <v>26.99</v>
      </c>
      <c r="E101" s="3">
        <v>26.99</v>
      </c>
      <c r="F101" s="2" t="s">
        <v>5589</v>
      </c>
      <c r="G101" s="22" t="s">
        <v>19618</v>
      </c>
      <c r="H101" s="24"/>
      <c r="I101" s="22" t="s">
        <v>19309</v>
      </c>
      <c r="J101" s="22" t="s">
        <v>19519</v>
      </c>
      <c r="K101" s="22" t="s">
        <v>5590</v>
      </c>
      <c r="L101" s="22"/>
      <c r="M101" s="22"/>
      <c r="N101" s="25" t="str">
        <f>HYPERLINK("http://slimages.macys.com/is/image/MCY/21168023 ")</f>
        <v xml:space="preserve">http://slimages.macys.com/is/image/MCY/21168023 </v>
      </c>
    </row>
    <row r="102" spans="1:14" ht="24.75" x14ac:dyDescent="0.25">
      <c r="A102" s="21" t="s">
        <v>5591</v>
      </c>
      <c r="B102" s="22" t="s">
        <v>5592</v>
      </c>
      <c r="C102" s="2">
        <v>1</v>
      </c>
      <c r="D102" s="23">
        <v>26.99</v>
      </c>
      <c r="E102" s="3">
        <v>26.99</v>
      </c>
      <c r="F102" s="2" t="s">
        <v>5593</v>
      </c>
      <c r="G102" s="22" t="s">
        <v>19351</v>
      </c>
      <c r="H102" s="24"/>
      <c r="I102" s="22" t="s">
        <v>19309</v>
      </c>
      <c r="J102" s="22" t="s">
        <v>19519</v>
      </c>
      <c r="K102" s="22" t="s">
        <v>5590</v>
      </c>
      <c r="L102" s="22"/>
      <c r="M102" s="22"/>
      <c r="N102" s="25" t="str">
        <f>HYPERLINK("http://slimages.macys.com/is/image/MCY/21552343 ")</f>
        <v xml:space="preserve">http://slimages.macys.com/is/image/MCY/21552343 </v>
      </c>
    </row>
    <row r="103" spans="1:14" ht="24.75" x14ac:dyDescent="0.25">
      <c r="A103" s="21" t="s">
        <v>5594</v>
      </c>
      <c r="B103" s="22" t="s">
        <v>5595</v>
      </c>
      <c r="C103" s="2">
        <v>1</v>
      </c>
      <c r="D103" s="23">
        <v>26.99</v>
      </c>
      <c r="E103" s="3">
        <v>26.99</v>
      </c>
      <c r="F103" s="2" t="s">
        <v>5593</v>
      </c>
      <c r="G103" s="22" t="s">
        <v>19351</v>
      </c>
      <c r="H103" s="24"/>
      <c r="I103" s="22" t="s">
        <v>19309</v>
      </c>
      <c r="J103" s="22" t="s">
        <v>19519</v>
      </c>
      <c r="K103" s="22" t="s">
        <v>5590</v>
      </c>
      <c r="L103" s="22"/>
      <c r="M103" s="22"/>
      <c r="N103" s="25" t="str">
        <f>HYPERLINK("http://slimages.macys.com/is/image/MCY/21552343 ")</f>
        <v xml:space="preserve">http://slimages.macys.com/is/image/MCY/21552343 </v>
      </c>
    </row>
    <row r="104" spans="1:14" ht="24.75" x14ac:dyDescent="0.25">
      <c r="A104" s="21" t="s">
        <v>5596</v>
      </c>
      <c r="B104" s="22" t="s">
        <v>5597</v>
      </c>
      <c r="C104" s="2">
        <v>2</v>
      </c>
      <c r="D104" s="23">
        <v>26.99</v>
      </c>
      <c r="E104" s="3">
        <v>53.98</v>
      </c>
      <c r="F104" s="2" t="s">
        <v>5593</v>
      </c>
      <c r="G104" s="22" t="s">
        <v>19351</v>
      </c>
      <c r="H104" s="24"/>
      <c r="I104" s="22" t="s">
        <v>19309</v>
      </c>
      <c r="J104" s="22" t="s">
        <v>19519</v>
      </c>
      <c r="K104" s="22" t="s">
        <v>5590</v>
      </c>
      <c r="L104" s="22"/>
      <c r="M104" s="22"/>
      <c r="N104" s="25" t="str">
        <f>HYPERLINK("http://slimages.macys.com/is/image/MCY/21552343 ")</f>
        <v xml:space="preserve">http://slimages.macys.com/is/image/MCY/21552343 </v>
      </c>
    </row>
    <row r="105" spans="1:14" ht="24.75" x14ac:dyDescent="0.25">
      <c r="A105" s="21" t="s">
        <v>5598</v>
      </c>
      <c r="B105" s="22" t="s">
        <v>5599</v>
      </c>
      <c r="C105" s="2">
        <v>1</v>
      </c>
      <c r="D105" s="23">
        <v>26.99</v>
      </c>
      <c r="E105" s="3">
        <v>26.99</v>
      </c>
      <c r="F105" s="2" t="s">
        <v>5593</v>
      </c>
      <c r="G105" s="22" t="s">
        <v>19351</v>
      </c>
      <c r="H105" s="24"/>
      <c r="I105" s="22" t="s">
        <v>19309</v>
      </c>
      <c r="J105" s="22" t="s">
        <v>19519</v>
      </c>
      <c r="K105" s="22" t="s">
        <v>5590</v>
      </c>
      <c r="L105" s="22"/>
      <c r="M105" s="22"/>
      <c r="N105" s="25" t="str">
        <f>HYPERLINK("http://slimages.macys.com/is/image/MCY/21552343 ")</f>
        <v xml:space="preserve">http://slimages.macys.com/is/image/MCY/21552343 </v>
      </c>
    </row>
    <row r="106" spans="1:14" ht="24.75" x14ac:dyDescent="0.25">
      <c r="A106" s="21" t="s">
        <v>5600</v>
      </c>
      <c r="B106" s="22" t="s">
        <v>5601</v>
      </c>
      <c r="C106" s="2">
        <v>3</v>
      </c>
      <c r="D106" s="23">
        <v>26.99</v>
      </c>
      <c r="E106" s="3">
        <v>80.97</v>
      </c>
      <c r="F106" s="2" t="s">
        <v>5602</v>
      </c>
      <c r="G106" s="22" t="s">
        <v>19630</v>
      </c>
      <c r="H106" s="24"/>
      <c r="I106" s="22" t="s">
        <v>19309</v>
      </c>
      <c r="J106" s="22" t="s">
        <v>19519</v>
      </c>
      <c r="K106" s="22" t="s">
        <v>5590</v>
      </c>
      <c r="L106" s="22"/>
      <c r="M106" s="22"/>
      <c r="N106" s="25" t="str">
        <f>HYPERLINK("http://slimages.macys.com/is/image/MCY/21168023 ")</f>
        <v xml:space="preserve">http://slimages.macys.com/is/image/MCY/21168023 </v>
      </c>
    </row>
    <row r="107" spans="1:14" ht="24.75" x14ac:dyDescent="0.25">
      <c r="A107" s="21" t="s">
        <v>5603</v>
      </c>
      <c r="B107" s="22" t="s">
        <v>5604</v>
      </c>
      <c r="C107" s="2">
        <v>1</v>
      </c>
      <c r="D107" s="23">
        <v>26.99</v>
      </c>
      <c r="E107" s="3">
        <v>26.99</v>
      </c>
      <c r="F107" s="2" t="s">
        <v>5602</v>
      </c>
      <c r="G107" s="22" t="s">
        <v>19630</v>
      </c>
      <c r="H107" s="24"/>
      <c r="I107" s="22" t="s">
        <v>19309</v>
      </c>
      <c r="J107" s="22" t="s">
        <v>19519</v>
      </c>
      <c r="K107" s="22" t="s">
        <v>5590</v>
      </c>
      <c r="L107" s="22"/>
      <c r="M107" s="22"/>
      <c r="N107" s="25" t="str">
        <f>HYPERLINK("http://slimages.macys.com/is/image/MCY/21168023 ")</f>
        <v xml:space="preserve">http://slimages.macys.com/is/image/MCY/21168023 </v>
      </c>
    </row>
    <row r="108" spans="1:14" ht="24.75" x14ac:dyDescent="0.25">
      <c r="A108" s="21" t="s">
        <v>5605</v>
      </c>
      <c r="B108" s="22" t="s">
        <v>5606</v>
      </c>
      <c r="C108" s="2">
        <v>1</v>
      </c>
      <c r="D108" s="23">
        <v>26.99</v>
      </c>
      <c r="E108" s="3">
        <v>26.99</v>
      </c>
      <c r="F108" s="2" t="s">
        <v>5602</v>
      </c>
      <c r="G108" s="22" t="s">
        <v>19630</v>
      </c>
      <c r="H108" s="24"/>
      <c r="I108" s="22" t="s">
        <v>19309</v>
      </c>
      <c r="J108" s="22" t="s">
        <v>19519</v>
      </c>
      <c r="K108" s="22" t="s">
        <v>5590</v>
      </c>
      <c r="L108" s="22"/>
      <c r="M108" s="22"/>
      <c r="N108" s="25" t="str">
        <f>HYPERLINK("http://slimages.macys.com/is/image/MCY/21168023 ")</f>
        <v xml:space="preserve">http://slimages.macys.com/is/image/MCY/21168023 </v>
      </c>
    </row>
    <row r="109" spans="1:14" ht="24.75" x14ac:dyDescent="0.25">
      <c r="A109" s="21" t="s">
        <v>5607</v>
      </c>
      <c r="B109" s="22" t="s">
        <v>5608</v>
      </c>
      <c r="C109" s="2">
        <v>2</v>
      </c>
      <c r="D109" s="23">
        <v>23.99</v>
      </c>
      <c r="E109" s="3">
        <v>47.98</v>
      </c>
      <c r="F109" s="2" t="s">
        <v>11482</v>
      </c>
      <c r="G109" s="22"/>
      <c r="H109" s="24" t="s">
        <v>19907</v>
      </c>
      <c r="I109" s="22" t="s">
        <v>19309</v>
      </c>
      <c r="J109" s="22" t="s">
        <v>19908</v>
      </c>
      <c r="K109" s="22" t="s">
        <v>19524</v>
      </c>
      <c r="L109" s="22"/>
      <c r="M109" s="22"/>
      <c r="N109" s="25" t="str">
        <f>HYPERLINK("http://slimages.macys.com/is/image/MCY/1320277 ")</f>
        <v xml:space="preserve">http://slimages.macys.com/is/image/MCY/1320277 </v>
      </c>
    </row>
    <row r="110" spans="1:14" x14ac:dyDescent="0.25">
      <c r="A110" s="21" t="s">
        <v>10906</v>
      </c>
      <c r="B110" s="22" t="s">
        <v>10907</v>
      </c>
      <c r="C110" s="2">
        <v>1</v>
      </c>
      <c r="D110" s="23">
        <v>20.58</v>
      </c>
      <c r="E110" s="3">
        <v>20.58</v>
      </c>
      <c r="F110" s="2" t="s">
        <v>10908</v>
      </c>
      <c r="G110" s="22" t="s">
        <v>19342</v>
      </c>
      <c r="H110" s="24" t="s">
        <v>19345</v>
      </c>
      <c r="I110" s="22" t="s">
        <v>19309</v>
      </c>
      <c r="J110" s="22" t="s">
        <v>19514</v>
      </c>
      <c r="K110" s="22" t="s">
        <v>10909</v>
      </c>
      <c r="L110" s="22"/>
      <c r="M110" s="22"/>
      <c r="N110" s="25" t="str">
        <f>HYPERLINK("http://slimages.macys.com/is/image/MCY/21192198 ")</f>
        <v xml:space="preserve">http://slimages.macys.com/is/image/MCY/21192198 </v>
      </c>
    </row>
    <row r="111" spans="1:14" x14ac:dyDescent="0.25">
      <c r="A111" s="21" t="s">
        <v>8034</v>
      </c>
      <c r="B111" s="22" t="s">
        <v>8035</v>
      </c>
      <c r="C111" s="2">
        <v>1</v>
      </c>
      <c r="D111" s="23">
        <v>20.58</v>
      </c>
      <c r="E111" s="3">
        <v>20.58</v>
      </c>
      <c r="F111" s="2" t="s">
        <v>8036</v>
      </c>
      <c r="G111" s="22" t="s">
        <v>19342</v>
      </c>
      <c r="H111" s="24" t="s">
        <v>19395</v>
      </c>
      <c r="I111" s="22" t="s">
        <v>19309</v>
      </c>
      <c r="J111" s="22" t="s">
        <v>19514</v>
      </c>
      <c r="K111" s="22" t="s">
        <v>10909</v>
      </c>
      <c r="L111" s="22"/>
      <c r="M111" s="22"/>
      <c r="N111" s="25" t="str">
        <f>HYPERLINK("http://slimages.macys.com/is/image/MCY/21192202 ")</f>
        <v xml:space="preserve">http://slimages.macys.com/is/image/MCY/21192202 </v>
      </c>
    </row>
    <row r="112" spans="1:14" ht="24.75" x14ac:dyDescent="0.25">
      <c r="A112" s="21" t="s">
        <v>12961</v>
      </c>
      <c r="B112" s="22" t="s">
        <v>12962</v>
      </c>
      <c r="C112" s="2">
        <v>1</v>
      </c>
      <c r="D112" s="23">
        <v>24.99</v>
      </c>
      <c r="E112" s="3">
        <v>24.99</v>
      </c>
      <c r="F112" s="2" t="s">
        <v>17821</v>
      </c>
      <c r="G112" s="22" t="s">
        <v>19713</v>
      </c>
      <c r="H112" s="24" t="s">
        <v>19330</v>
      </c>
      <c r="I112" s="22" t="s">
        <v>19309</v>
      </c>
      <c r="J112" s="22" t="s">
        <v>19573</v>
      </c>
      <c r="K112" s="22" t="s">
        <v>19574</v>
      </c>
      <c r="L112" s="22"/>
      <c r="M112" s="22"/>
      <c r="N112" s="25" t="str">
        <f>HYPERLINK("http://slimages.macys.com/is/image/MCY/1679020 ")</f>
        <v xml:space="preserve">http://slimages.macys.com/is/image/MCY/1679020 </v>
      </c>
    </row>
    <row r="113" spans="1:14" ht="24.75" x14ac:dyDescent="0.25">
      <c r="A113" s="21" t="s">
        <v>5609</v>
      </c>
      <c r="B113" s="22" t="s">
        <v>5610</v>
      </c>
      <c r="C113" s="2">
        <v>1</v>
      </c>
      <c r="D113" s="23">
        <v>23.99</v>
      </c>
      <c r="E113" s="3">
        <v>23.99</v>
      </c>
      <c r="F113" s="2" t="s">
        <v>19722</v>
      </c>
      <c r="G113" s="22" t="s">
        <v>19518</v>
      </c>
      <c r="H113" s="24" t="s">
        <v>19416</v>
      </c>
      <c r="I113" s="22" t="s">
        <v>19309</v>
      </c>
      <c r="J113" s="22" t="s">
        <v>19573</v>
      </c>
      <c r="K113" s="22" t="s">
        <v>19574</v>
      </c>
      <c r="L113" s="22"/>
      <c r="M113" s="22"/>
      <c r="N113" s="25" t="str">
        <f>HYPERLINK("http://slimages.macys.com/is/image/MCY/20142439 ")</f>
        <v xml:space="preserve">http://slimages.macys.com/is/image/MCY/20142439 </v>
      </c>
    </row>
    <row r="114" spans="1:14" ht="24.75" x14ac:dyDescent="0.25">
      <c r="A114" s="21" t="s">
        <v>5611</v>
      </c>
      <c r="B114" s="22" t="s">
        <v>5612</v>
      </c>
      <c r="C114" s="2">
        <v>2</v>
      </c>
      <c r="D114" s="23">
        <v>23.99</v>
      </c>
      <c r="E114" s="3">
        <v>47.98</v>
      </c>
      <c r="F114" s="2" t="s">
        <v>19722</v>
      </c>
      <c r="G114" s="22" t="s">
        <v>19518</v>
      </c>
      <c r="H114" s="24" t="s">
        <v>19330</v>
      </c>
      <c r="I114" s="22" t="s">
        <v>19309</v>
      </c>
      <c r="J114" s="22" t="s">
        <v>19573</v>
      </c>
      <c r="K114" s="22" t="s">
        <v>19574</v>
      </c>
      <c r="L114" s="22"/>
      <c r="M114" s="22"/>
      <c r="N114" s="25" t="str">
        <f>HYPERLINK("http://slimages.macys.com/is/image/MCY/20142439 ")</f>
        <v xml:space="preserve">http://slimages.macys.com/is/image/MCY/20142439 </v>
      </c>
    </row>
    <row r="115" spans="1:14" ht="24.75" x14ac:dyDescent="0.25">
      <c r="A115" s="21" t="s">
        <v>19720</v>
      </c>
      <c r="B115" s="22" t="s">
        <v>19721</v>
      </c>
      <c r="C115" s="2">
        <v>1</v>
      </c>
      <c r="D115" s="23">
        <v>23.99</v>
      </c>
      <c r="E115" s="3">
        <v>23.99</v>
      </c>
      <c r="F115" s="2" t="s">
        <v>19722</v>
      </c>
      <c r="G115" s="22" t="s">
        <v>19518</v>
      </c>
      <c r="H115" s="24" t="s">
        <v>19538</v>
      </c>
      <c r="I115" s="22" t="s">
        <v>19309</v>
      </c>
      <c r="J115" s="22" t="s">
        <v>19573</v>
      </c>
      <c r="K115" s="22" t="s">
        <v>19574</v>
      </c>
      <c r="L115" s="22"/>
      <c r="M115" s="22"/>
      <c r="N115" s="25" t="str">
        <f>HYPERLINK("http://slimages.macys.com/is/image/MCY/20142439 ")</f>
        <v xml:space="preserve">http://slimages.macys.com/is/image/MCY/20142439 </v>
      </c>
    </row>
    <row r="116" spans="1:14" ht="24.75" x14ac:dyDescent="0.25">
      <c r="A116" s="21" t="s">
        <v>5613</v>
      </c>
      <c r="B116" s="22" t="s">
        <v>5614</v>
      </c>
      <c r="C116" s="2">
        <v>1</v>
      </c>
      <c r="D116" s="23">
        <v>24.99</v>
      </c>
      <c r="E116" s="3">
        <v>24.99</v>
      </c>
      <c r="F116" s="2" t="s">
        <v>5615</v>
      </c>
      <c r="G116" s="22" t="s">
        <v>19342</v>
      </c>
      <c r="H116" s="24" t="s">
        <v>19416</v>
      </c>
      <c r="I116" s="22" t="s">
        <v>19309</v>
      </c>
      <c r="J116" s="22" t="s">
        <v>19385</v>
      </c>
      <c r="K116" s="22" t="s">
        <v>19729</v>
      </c>
      <c r="L116" s="22"/>
      <c r="M116" s="22"/>
      <c r="N116" s="25" t="str">
        <f>HYPERLINK("http://slimages.macys.com/is/image/MCY/21221562 ")</f>
        <v xml:space="preserve">http://slimages.macys.com/is/image/MCY/21221562 </v>
      </c>
    </row>
    <row r="117" spans="1:14" ht="24.75" x14ac:dyDescent="0.25">
      <c r="A117" s="21" t="s">
        <v>10402</v>
      </c>
      <c r="B117" s="22" t="s">
        <v>10403</v>
      </c>
      <c r="C117" s="2">
        <v>1</v>
      </c>
      <c r="D117" s="23">
        <v>24.99</v>
      </c>
      <c r="E117" s="3">
        <v>24.99</v>
      </c>
      <c r="F117" s="2" t="s">
        <v>19732</v>
      </c>
      <c r="G117" s="22" t="s">
        <v>19342</v>
      </c>
      <c r="H117" s="24" t="s">
        <v>19324</v>
      </c>
      <c r="I117" s="22" t="s">
        <v>19309</v>
      </c>
      <c r="J117" s="22" t="s">
        <v>19385</v>
      </c>
      <c r="K117" s="22" t="s">
        <v>19729</v>
      </c>
      <c r="L117" s="22"/>
      <c r="M117" s="22"/>
      <c r="N117" s="25" t="str">
        <f>HYPERLINK("http://slimages.macys.com/is/image/MCY/21529290 ")</f>
        <v xml:space="preserve">http://slimages.macys.com/is/image/MCY/21529290 </v>
      </c>
    </row>
    <row r="118" spans="1:14" ht="24.75" x14ac:dyDescent="0.25">
      <c r="A118" s="21" t="s">
        <v>19743</v>
      </c>
      <c r="B118" s="22" t="s">
        <v>19744</v>
      </c>
      <c r="C118" s="2">
        <v>1</v>
      </c>
      <c r="D118" s="23">
        <v>24.99</v>
      </c>
      <c r="E118" s="3">
        <v>24.99</v>
      </c>
      <c r="F118" s="2" t="s">
        <v>19728</v>
      </c>
      <c r="G118" s="22" t="s">
        <v>19342</v>
      </c>
      <c r="H118" s="24" t="s">
        <v>19330</v>
      </c>
      <c r="I118" s="22" t="s">
        <v>19309</v>
      </c>
      <c r="J118" s="22" t="s">
        <v>19385</v>
      </c>
      <c r="K118" s="22" t="s">
        <v>19729</v>
      </c>
      <c r="L118" s="22"/>
      <c r="M118" s="22"/>
      <c r="N118" s="25" t="str">
        <f>HYPERLINK("http://slimages.macys.com/is/image/MCY/21773792 ")</f>
        <v xml:space="preserve">http://slimages.macys.com/is/image/MCY/21773792 </v>
      </c>
    </row>
    <row r="119" spans="1:14" ht="24.75" x14ac:dyDescent="0.25">
      <c r="A119" s="21" t="s">
        <v>15778</v>
      </c>
      <c r="B119" s="22" t="s">
        <v>15779</v>
      </c>
      <c r="C119" s="2">
        <v>1</v>
      </c>
      <c r="D119" s="23">
        <v>24.99</v>
      </c>
      <c r="E119" s="3">
        <v>24.99</v>
      </c>
      <c r="F119" s="2" t="s">
        <v>15780</v>
      </c>
      <c r="G119" s="22" t="s">
        <v>19342</v>
      </c>
      <c r="H119" s="24" t="s">
        <v>19324</v>
      </c>
      <c r="I119" s="22" t="s">
        <v>19309</v>
      </c>
      <c r="J119" s="22" t="s">
        <v>19385</v>
      </c>
      <c r="K119" s="22" t="s">
        <v>19729</v>
      </c>
      <c r="L119" s="22"/>
      <c r="M119" s="22"/>
      <c r="N119" s="25" t="str">
        <f>HYPERLINK("http://slimages.macys.com/is/image/MCY/21506851 ")</f>
        <v xml:space="preserve">http://slimages.macys.com/is/image/MCY/21506851 </v>
      </c>
    </row>
    <row r="120" spans="1:14" ht="24.75" x14ac:dyDescent="0.25">
      <c r="A120" s="21" t="s">
        <v>5616</v>
      </c>
      <c r="B120" s="22" t="s">
        <v>5617</v>
      </c>
      <c r="C120" s="2">
        <v>1</v>
      </c>
      <c r="D120" s="23">
        <v>24.99</v>
      </c>
      <c r="E120" s="3">
        <v>24.99</v>
      </c>
      <c r="F120" s="2" t="s">
        <v>5618</v>
      </c>
      <c r="G120" s="22" t="s">
        <v>19342</v>
      </c>
      <c r="H120" s="24" t="s">
        <v>19324</v>
      </c>
      <c r="I120" s="22" t="s">
        <v>19309</v>
      </c>
      <c r="J120" s="22" t="s">
        <v>19491</v>
      </c>
      <c r="K120" s="22" t="s">
        <v>19554</v>
      </c>
      <c r="L120" s="22"/>
      <c r="M120" s="22"/>
      <c r="N120" s="25" t="str">
        <f>HYPERLINK("http://slimages.macys.com/is/image/MCY/21243468 ")</f>
        <v xml:space="preserve">http://slimages.macys.com/is/image/MCY/21243468 </v>
      </c>
    </row>
    <row r="121" spans="1:14" ht="24.75" x14ac:dyDescent="0.25">
      <c r="A121" s="21" t="s">
        <v>5619</v>
      </c>
      <c r="B121" s="22" t="s">
        <v>5620</v>
      </c>
      <c r="C121" s="2">
        <v>1</v>
      </c>
      <c r="D121" s="23">
        <v>22.99</v>
      </c>
      <c r="E121" s="3">
        <v>22.99</v>
      </c>
      <c r="F121" s="2" t="s">
        <v>5621</v>
      </c>
      <c r="G121" s="22" t="s">
        <v>19513</v>
      </c>
      <c r="H121" s="24" t="s">
        <v>19352</v>
      </c>
      <c r="I121" s="22" t="s">
        <v>19309</v>
      </c>
      <c r="J121" s="22" t="s">
        <v>19595</v>
      </c>
      <c r="K121" s="22" t="s">
        <v>5622</v>
      </c>
      <c r="L121" s="22"/>
      <c r="M121" s="22"/>
      <c r="N121" s="25" t="str">
        <f>HYPERLINK("http://slimages.macys.com/is/image/MCY/20917161 ")</f>
        <v xml:space="preserve">http://slimages.macys.com/is/image/MCY/20917161 </v>
      </c>
    </row>
    <row r="122" spans="1:14" x14ac:dyDescent="0.25">
      <c r="A122" s="21" t="s">
        <v>5623</v>
      </c>
      <c r="B122" s="22" t="s">
        <v>5624</v>
      </c>
      <c r="C122" s="2">
        <v>1</v>
      </c>
      <c r="D122" s="23">
        <v>19.989999999999998</v>
      </c>
      <c r="E122" s="3">
        <v>19.989999999999998</v>
      </c>
      <c r="F122" s="2" t="s">
        <v>5625</v>
      </c>
      <c r="G122" s="22" t="s">
        <v>19315</v>
      </c>
      <c r="H122" s="24" t="s">
        <v>19352</v>
      </c>
      <c r="I122" s="22" t="s">
        <v>19309</v>
      </c>
      <c r="J122" s="22" t="s">
        <v>19310</v>
      </c>
      <c r="K122" s="22" t="s">
        <v>19529</v>
      </c>
      <c r="L122" s="22"/>
      <c r="M122" s="22"/>
      <c r="N122" s="25" t="str">
        <f>HYPERLINK("http://slimages.macys.com/is/image/MCY/21530983 ")</f>
        <v xml:space="preserve">http://slimages.macys.com/is/image/MCY/21530983 </v>
      </c>
    </row>
    <row r="123" spans="1:14" x14ac:dyDescent="0.25">
      <c r="A123" s="21" t="s">
        <v>15821</v>
      </c>
      <c r="B123" s="22" t="s">
        <v>15822</v>
      </c>
      <c r="C123" s="2">
        <v>1</v>
      </c>
      <c r="D123" s="23">
        <v>26.05</v>
      </c>
      <c r="E123" s="3">
        <v>26.05</v>
      </c>
      <c r="F123" s="2" t="s">
        <v>19753</v>
      </c>
      <c r="G123" s="22"/>
      <c r="H123" s="24" t="s">
        <v>19416</v>
      </c>
      <c r="I123" s="22" t="s">
        <v>19309</v>
      </c>
      <c r="J123" s="22" t="s">
        <v>19708</v>
      </c>
      <c r="K123" s="22" t="s">
        <v>19754</v>
      </c>
      <c r="L123" s="22"/>
      <c r="M123" s="22"/>
      <c r="N123" s="25" t="str">
        <f>HYPERLINK("http://slimages.macys.com/is/image/MCY/21758335 ")</f>
        <v xml:space="preserve">http://slimages.macys.com/is/image/MCY/21758335 </v>
      </c>
    </row>
    <row r="124" spans="1:14" x14ac:dyDescent="0.25">
      <c r="A124" s="21" t="s">
        <v>19751</v>
      </c>
      <c r="B124" s="22" t="s">
        <v>19752</v>
      </c>
      <c r="C124" s="2">
        <v>1</v>
      </c>
      <c r="D124" s="23">
        <v>26.05</v>
      </c>
      <c r="E124" s="3">
        <v>26.05</v>
      </c>
      <c r="F124" s="2" t="s">
        <v>19753</v>
      </c>
      <c r="G124" s="22"/>
      <c r="H124" s="24" t="s">
        <v>19324</v>
      </c>
      <c r="I124" s="22" t="s">
        <v>19309</v>
      </c>
      <c r="J124" s="22" t="s">
        <v>19708</v>
      </c>
      <c r="K124" s="22" t="s">
        <v>19754</v>
      </c>
      <c r="L124" s="22"/>
      <c r="M124" s="22"/>
      <c r="N124" s="25" t="str">
        <f>HYPERLINK("http://slimages.macys.com/is/image/MCY/21758335 ")</f>
        <v xml:space="preserve">http://slimages.macys.com/is/image/MCY/21758335 </v>
      </c>
    </row>
    <row r="125" spans="1:14" x14ac:dyDescent="0.25">
      <c r="A125" s="21" t="s">
        <v>17839</v>
      </c>
      <c r="B125" s="22" t="s">
        <v>17840</v>
      </c>
      <c r="C125" s="2">
        <v>1</v>
      </c>
      <c r="D125" s="23">
        <v>26.05</v>
      </c>
      <c r="E125" s="3">
        <v>26.05</v>
      </c>
      <c r="F125" s="2" t="s">
        <v>19753</v>
      </c>
      <c r="G125" s="22"/>
      <c r="H125" s="24" t="s">
        <v>19330</v>
      </c>
      <c r="I125" s="22" t="s">
        <v>19309</v>
      </c>
      <c r="J125" s="22" t="s">
        <v>19708</v>
      </c>
      <c r="K125" s="22" t="s">
        <v>19754</v>
      </c>
      <c r="L125" s="22"/>
      <c r="M125" s="22"/>
      <c r="N125" s="25" t="str">
        <f>HYPERLINK("http://slimages.macys.com/is/image/MCY/21758335 ")</f>
        <v xml:space="preserve">http://slimages.macys.com/is/image/MCY/21758335 </v>
      </c>
    </row>
    <row r="126" spans="1:14" ht="24.75" x14ac:dyDescent="0.25">
      <c r="A126" s="21" t="s">
        <v>6611</v>
      </c>
      <c r="B126" s="22" t="s">
        <v>6612</v>
      </c>
      <c r="C126" s="2">
        <v>1</v>
      </c>
      <c r="D126" s="23">
        <v>21.43</v>
      </c>
      <c r="E126" s="3">
        <v>21.43</v>
      </c>
      <c r="F126" s="2" t="s">
        <v>17843</v>
      </c>
      <c r="G126" s="22"/>
      <c r="H126" s="24" t="s">
        <v>19392</v>
      </c>
      <c r="I126" s="22" t="s">
        <v>19309</v>
      </c>
      <c r="J126" s="22" t="s">
        <v>19602</v>
      </c>
      <c r="K126" s="22" t="s">
        <v>19603</v>
      </c>
      <c r="L126" s="22"/>
      <c r="M126" s="22"/>
      <c r="N126" s="25" t="str">
        <f>HYPERLINK("http://slimages.macys.com/is/image/MCY/21421334 ")</f>
        <v xml:space="preserve">http://slimages.macys.com/is/image/MCY/21421334 </v>
      </c>
    </row>
    <row r="127" spans="1:14" ht="24.75" x14ac:dyDescent="0.25">
      <c r="A127" s="21" t="s">
        <v>5626</v>
      </c>
      <c r="B127" s="22" t="s">
        <v>5627</v>
      </c>
      <c r="C127" s="2">
        <v>1</v>
      </c>
      <c r="D127" s="23">
        <v>21.43</v>
      </c>
      <c r="E127" s="3">
        <v>21.43</v>
      </c>
      <c r="F127" s="2" t="s">
        <v>12981</v>
      </c>
      <c r="G127" s="22"/>
      <c r="H127" s="24" t="s">
        <v>19392</v>
      </c>
      <c r="I127" s="22" t="s">
        <v>19309</v>
      </c>
      <c r="J127" s="22" t="s">
        <v>19602</v>
      </c>
      <c r="K127" s="22" t="s">
        <v>19603</v>
      </c>
      <c r="L127" s="22"/>
      <c r="M127" s="22"/>
      <c r="N127" s="25" t="str">
        <f>HYPERLINK("http://slimages.macys.com/is/image/MCY/21421353 ")</f>
        <v xml:space="preserve">http://slimages.macys.com/is/image/MCY/21421353 </v>
      </c>
    </row>
    <row r="128" spans="1:14" ht="24.75" x14ac:dyDescent="0.25">
      <c r="A128" s="21" t="s">
        <v>5628</v>
      </c>
      <c r="B128" s="22" t="s">
        <v>5629</v>
      </c>
      <c r="C128" s="2">
        <v>1</v>
      </c>
      <c r="D128" s="23">
        <v>21.43</v>
      </c>
      <c r="E128" s="3">
        <v>21.43</v>
      </c>
      <c r="F128" s="2" t="s">
        <v>5630</v>
      </c>
      <c r="G128" s="22"/>
      <c r="H128" s="24" t="s">
        <v>19345</v>
      </c>
      <c r="I128" s="22" t="s">
        <v>19309</v>
      </c>
      <c r="J128" s="22" t="s">
        <v>19602</v>
      </c>
      <c r="K128" s="22" t="s">
        <v>19603</v>
      </c>
      <c r="L128" s="22"/>
      <c r="M128" s="22"/>
      <c r="N128" s="25" t="str">
        <f>HYPERLINK("http://slimages.macys.com/is/image/MCY/21421384 ")</f>
        <v xml:space="preserve">http://slimages.macys.com/is/image/MCY/21421384 </v>
      </c>
    </row>
    <row r="129" spans="1:14" ht="24.75" x14ac:dyDescent="0.25">
      <c r="A129" s="21" t="s">
        <v>5631</v>
      </c>
      <c r="B129" s="22" t="s">
        <v>5632</v>
      </c>
      <c r="C129" s="2">
        <v>1</v>
      </c>
      <c r="D129" s="23">
        <v>21.43</v>
      </c>
      <c r="E129" s="3">
        <v>21.43</v>
      </c>
      <c r="F129" s="2" t="s">
        <v>5633</v>
      </c>
      <c r="G129" s="22"/>
      <c r="H129" s="24" t="s">
        <v>19334</v>
      </c>
      <c r="I129" s="22" t="s">
        <v>19309</v>
      </c>
      <c r="J129" s="22" t="s">
        <v>19602</v>
      </c>
      <c r="K129" s="22" t="s">
        <v>19603</v>
      </c>
      <c r="L129" s="22"/>
      <c r="M129" s="22"/>
      <c r="N129" s="25" t="str">
        <f>HYPERLINK("http://slimages.macys.com/is/image/MCY/21421390 ")</f>
        <v xml:space="preserve">http://slimages.macys.com/is/image/MCY/21421390 </v>
      </c>
    </row>
    <row r="130" spans="1:14" ht="24.75" x14ac:dyDescent="0.25">
      <c r="A130" s="21" t="s">
        <v>5634</v>
      </c>
      <c r="B130" s="22" t="s">
        <v>5635</v>
      </c>
      <c r="C130" s="2">
        <v>1</v>
      </c>
      <c r="D130" s="23">
        <v>21.43</v>
      </c>
      <c r="E130" s="3">
        <v>21.43</v>
      </c>
      <c r="F130" s="2" t="s">
        <v>5636</v>
      </c>
      <c r="G130" s="22"/>
      <c r="H130" s="24" t="s">
        <v>19392</v>
      </c>
      <c r="I130" s="22" t="s">
        <v>19309</v>
      </c>
      <c r="J130" s="22" t="s">
        <v>19602</v>
      </c>
      <c r="K130" s="22" t="s">
        <v>19603</v>
      </c>
      <c r="L130" s="22"/>
      <c r="M130" s="22"/>
      <c r="N130" s="25" t="str">
        <f>HYPERLINK("http://slimages.macys.com/is/image/MCY/21421387 ")</f>
        <v xml:space="preserve">http://slimages.macys.com/is/image/MCY/21421387 </v>
      </c>
    </row>
    <row r="131" spans="1:14" ht="24.75" x14ac:dyDescent="0.25">
      <c r="A131" s="21" t="s">
        <v>5637</v>
      </c>
      <c r="B131" s="22" t="s">
        <v>5638</v>
      </c>
      <c r="C131" s="2">
        <v>1</v>
      </c>
      <c r="D131" s="23">
        <v>21.43</v>
      </c>
      <c r="E131" s="3">
        <v>21.43</v>
      </c>
      <c r="F131" s="2" t="s">
        <v>11893</v>
      </c>
      <c r="G131" s="22"/>
      <c r="H131" s="24" t="s">
        <v>19334</v>
      </c>
      <c r="I131" s="22" t="s">
        <v>19309</v>
      </c>
      <c r="J131" s="22" t="s">
        <v>19602</v>
      </c>
      <c r="K131" s="22" t="s">
        <v>19603</v>
      </c>
      <c r="L131" s="22"/>
      <c r="M131" s="22"/>
      <c r="N131" s="25" t="str">
        <f>HYPERLINK("http://slimages.macys.com/is/image/MCY/21421847 ")</f>
        <v xml:space="preserve">http://slimages.macys.com/is/image/MCY/21421847 </v>
      </c>
    </row>
    <row r="132" spans="1:14" ht="24.75" x14ac:dyDescent="0.25">
      <c r="A132" s="21" t="s">
        <v>7395</v>
      </c>
      <c r="B132" s="22" t="s">
        <v>7396</v>
      </c>
      <c r="C132" s="2">
        <v>1</v>
      </c>
      <c r="D132" s="23">
        <v>21.43</v>
      </c>
      <c r="E132" s="3">
        <v>21.43</v>
      </c>
      <c r="F132" s="2" t="s">
        <v>12973</v>
      </c>
      <c r="G132" s="22"/>
      <c r="H132" s="24" t="s">
        <v>19392</v>
      </c>
      <c r="I132" s="22" t="s">
        <v>19309</v>
      </c>
      <c r="J132" s="22" t="s">
        <v>19602</v>
      </c>
      <c r="K132" s="22" t="s">
        <v>19603</v>
      </c>
      <c r="L132" s="22"/>
      <c r="M132" s="22"/>
      <c r="N132" s="25" t="str">
        <f>HYPERLINK("http://slimages.macys.com/is/image/MCY/21421316 ")</f>
        <v xml:space="preserve">http://slimages.macys.com/is/image/MCY/21421316 </v>
      </c>
    </row>
    <row r="133" spans="1:14" ht="24.75" x14ac:dyDescent="0.25">
      <c r="A133" s="21" t="s">
        <v>12971</v>
      </c>
      <c r="B133" s="22" t="s">
        <v>12972</v>
      </c>
      <c r="C133" s="2">
        <v>1</v>
      </c>
      <c r="D133" s="23">
        <v>21.43</v>
      </c>
      <c r="E133" s="3">
        <v>21.43</v>
      </c>
      <c r="F133" s="2" t="s">
        <v>12973</v>
      </c>
      <c r="G133" s="22"/>
      <c r="H133" s="24"/>
      <c r="I133" s="22" t="s">
        <v>19309</v>
      </c>
      <c r="J133" s="22" t="s">
        <v>19602</v>
      </c>
      <c r="K133" s="22" t="s">
        <v>19603</v>
      </c>
      <c r="L133" s="22"/>
      <c r="M133" s="22"/>
      <c r="N133" s="25" t="str">
        <f>HYPERLINK("http://slimages.macys.com/is/image/MCY/21421316 ")</f>
        <v xml:space="preserve">http://slimages.macys.com/is/image/MCY/21421316 </v>
      </c>
    </row>
    <row r="134" spans="1:14" ht="24.75" x14ac:dyDescent="0.25">
      <c r="A134" s="21" t="s">
        <v>17862</v>
      </c>
      <c r="B134" s="22" t="s">
        <v>17863</v>
      </c>
      <c r="C134" s="2">
        <v>1</v>
      </c>
      <c r="D134" s="23">
        <v>19.989999999999998</v>
      </c>
      <c r="E134" s="3">
        <v>19.989999999999998</v>
      </c>
      <c r="F134" s="2" t="s">
        <v>19767</v>
      </c>
      <c r="G134" s="22" t="s">
        <v>19467</v>
      </c>
      <c r="H134" s="24" t="s">
        <v>19538</v>
      </c>
      <c r="I134" s="22" t="s">
        <v>19309</v>
      </c>
      <c r="J134" s="22" t="s">
        <v>19573</v>
      </c>
      <c r="K134" s="22" t="s">
        <v>19574</v>
      </c>
      <c r="L134" s="22"/>
      <c r="M134" s="22"/>
      <c r="N134" s="25" t="str">
        <f>HYPERLINK("http://slimages.macys.com/is/image/MCY/1646350 ")</f>
        <v xml:space="preserve">http://slimages.macys.com/is/image/MCY/1646350 </v>
      </c>
    </row>
    <row r="135" spans="1:14" ht="24.75" x14ac:dyDescent="0.25">
      <c r="A135" s="21" t="s">
        <v>19768</v>
      </c>
      <c r="B135" s="22" t="s">
        <v>19769</v>
      </c>
      <c r="C135" s="2">
        <v>1</v>
      </c>
      <c r="D135" s="23">
        <v>19.989999999999998</v>
      </c>
      <c r="E135" s="3">
        <v>19.989999999999998</v>
      </c>
      <c r="F135" s="2" t="s">
        <v>19767</v>
      </c>
      <c r="G135" s="22" t="s">
        <v>19467</v>
      </c>
      <c r="H135" s="24" t="s">
        <v>19770</v>
      </c>
      <c r="I135" s="22" t="s">
        <v>19309</v>
      </c>
      <c r="J135" s="22" t="s">
        <v>19573</v>
      </c>
      <c r="K135" s="22" t="s">
        <v>19574</v>
      </c>
      <c r="L135" s="22"/>
      <c r="M135" s="22"/>
      <c r="N135" s="25" t="str">
        <f>HYPERLINK("http://slimages.macys.com/is/image/MCY/1646350 ")</f>
        <v xml:space="preserve">http://slimages.macys.com/is/image/MCY/1646350 </v>
      </c>
    </row>
    <row r="136" spans="1:14" ht="24.75" x14ac:dyDescent="0.25">
      <c r="A136" s="21" t="s">
        <v>19765</v>
      </c>
      <c r="B136" s="22" t="s">
        <v>19766</v>
      </c>
      <c r="C136" s="2">
        <v>1</v>
      </c>
      <c r="D136" s="23">
        <v>19.989999999999998</v>
      </c>
      <c r="E136" s="3">
        <v>19.989999999999998</v>
      </c>
      <c r="F136" s="2" t="s">
        <v>19767</v>
      </c>
      <c r="G136" s="22" t="s">
        <v>19467</v>
      </c>
      <c r="H136" s="24"/>
      <c r="I136" s="22" t="s">
        <v>19309</v>
      </c>
      <c r="J136" s="22" t="s">
        <v>19573</v>
      </c>
      <c r="K136" s="22" t="s">
        <v>19574</v>
      </c>
      <c r="L136" s="22"/>
      <c r="M136" s="22"/>
      <c r="N136" s="25" t="str">
        <f>HYPERLINK("http://slimages.macys.com/is/image/MCY/1646345 ")</f>
        <v xml:space="preserve">http://slimages.macys.com/is/image/MCY/1646345 </v>
      </c>
    </row>
    <row r="137" spans="1:14" ht="24.75" x14ac:dyDescent="0.25">
      <c r="A137" s="21" t="s">
        <v>19798</v>
      </c>
      <c r="B137" s="22" t="s">
        <v>19799</v>
      </c>
      <c r="C137" s="2">
        <v>1</v>
      </c>
      <c r="D137" s="23">
        <v>21.99</v>
      </c>
      <c r="E137" s="3">
        <v>21.99</v>
      </c>
      <c r="F137" s="2" t="s">
        <v>19800</v>
      </c>
      <c r="G137" s="22" t="s">
        <v>19801</v>
      </c>
      <c r="H137" s="24" t="s">
        <v>19345</v>
      </c>
      <c r="I137" s="22" t="s">
        <v>19309</v>
      </c>
      <c r="J137" s="22" t="s">
        <v>19595</v>
      </c>
      <c r="K137" s="22" t="s">
        <v>19596</v>
      </c>
      <c r="L137" s="22"/>
      <c r="M137" s="22"/>
      <c r="N137" s="25" t="str">
        <f>HYPERLINK("http://slimages.macys.com/is/image/MCY/21622990 ")</f>
        <v xml:space="preserve">http://slimages.macys.com/is/image/MCY/21622990 </v>
      </c>
    </row>
    <row r="138" spans="1:14" ht="24.75" x14ac:dyDescent="0.25">
      <c r="A138" s="21" t="s">
        <v>12987</v>
      </c>
      <c r="B138" s="22" t="s">
        <v>12988</v>
      </c>
      <c r="C138" s="2">
        <v>1</v>
      </c>
      <c r="D138" s="23">
        <v>21.99</v>
      </c>
      <c r="E138" s="3">
        <v>21.99</v>
      </c>
      <c r="F138" s="2" t="s">
        <v>19809</v>
      </c>
      <c r="G138" s="22" t="s">
        <v>19810</v>
      </c>
      <c r="H138" s="24" t="s">
        <v>19377</v>
      </c>
      <c r="I138" s="22" t="s">
        <v>19309</v>
      </c>
      <c r="J138" s="22" t="s">
        <v>19595</v>
      </c>
      <c r="K138" s="22" t="s">
        <v>19596</v>
      </c>
      <c r="L138" s="22"/>
      <c r="M138" s="22"/>
      <c r="N138" s="25" t="str">
        <f>HYPERLINK("http://slimages.macys.com/is/image/MCY/21623064 ")</f>
        <v xml:space="preserve">http://slimages.macys.com/is/image/MCY/21623064 </v>
      </c>
    </row>
    <row r="139" spans="1:14" ht="24.75" x14ac:dyDescent="0.25">
      <c r="A139" s="21" t="s">
        <v>12982</v>
      </c>
      <c r="B139" s="22" t="s">
        <v>12983</v>
      </c>
      <c r="C139" s="2">
        <v>1</v>
      </c>
      <c r="D139" s="23">
        <v>21.99</v>
      </c>
      <c r="E139" s="3">
        <v>21.99</v>
      </c>
      <c r="F139" s="2" t="s">
        <v>19809</v>
      </c>
      <c r="G139" s="22" t="s">
        <v>19810</v>
      </c>
      <c r="H139" s="24" t="s">
        <v>19334</v>
      </c>
      <c r="I139" s="22" t="s">
        <v>19309</v>
      </c>
      <c r="J139" s="22" t="s">
        <v>19595</v>
      </c>
      <c r="K139" s="22" t="s">
        <v>19596</v>
      </c>
      <c r="L139" s="22"/>
      <c r="M139" s="22"/>
      <c r="N139" s="25" t="str">
        <f>HYPERLINK("http://slimages.macys.com/is/image/MCY/21623024 ")</f>
        <v xml:space="preserve">http://slimages.macys.com/is/image/MCY/21623024 </v>
      </c>
    </row>
    <row r="140" spans="1:14" ht="24.75" x14ac:dyDescent="0.25">
      <c r="A140" s="21" t="s">
        <v>19807</v>
      </c>
      <c r="B140" s="22" t="s">
        <v>19808</v>
      </c>
      <c r="C140" s="2">
        <v>1</v>
      </c>
      <c r="D140" s="23">
        <v>21.99</v>
      </c>
      <c r="E140" s="3">
        <v>21.99</v>
      </c>
      <c r="F140" s="2" t="s">
        <v>19809</v>
      </c>
      <c r="G140" s="22" t="s">
        <v>19810</v>
      </c>
      <c r="H140" s="24" t="s">
        <v>19345</v>
      </c>
      <c r="I140" s="22" t="s">
        <v>19309</v>
      </c>
      <c r="J140" s="22" t="s">
        <v>19595</v>
      </c>
      <c r="K140" s="22" t="s">
        <v>19596</v>
      </c>
      <c r="L140" s="22"/>
      <c r="M140" s="22"/>
      <c r="N140" s="25" t="str">
        <f>HYPERLINK("http://slimages.macys.com/is/image/MCY/21623024 ")</f>
        <v xml:space="preserve">http://slimages.macys.com/is/image/MCY/21623024 </v>
      </c>
    </row>
    <row r="141" spans="1:14" ht="24.75" x14ac:dyDescent="0.25">
      <c r="A141" s="21" t="s">
        <v>5639</v>
      </c>
      <c r="B141" s="22" t="s">
        <v>5640</v>
      </c>
      <c r="C141" s="2">
        <v>1</v>
      </c>
      <c r="D141" s="23">
        <v>18.989999999999998</v>
      </c>
      <c r="E141" s="3">
        <v>18.989999999999998</v>
      </c>
      <c r="F141" s="2" t="s">
        <v>19813</v>
      </c>
      <c r="G141" s="22" t="s">
        <v>19814</v>
      </c>
      <c r="H141" s="24" t="s">
        <v>19339</v>
      </c>
      <c r="I141" s="22" t="s">
        <v>19309</v>
      </c>
      <c r="J141" s="22" t="s">
        <v>19815</v>
      </c>
      <c r="K141" s="22" t="s">
        <v>19816</v>
      </c>
      <c r="L141" s="22"/>
      <c r="M141" s="22"/>
      <c r="N141" s="25" t="str">
        <f>HYPERLINK("http://slimages.macys.com/is/image/MCY/20549863 ")</f>
        <v xml:space="preserve">http://slimages.macys.com/is/image/MCY/20549863 </v>
      </c>
    </row>
    <row r="142" spans="1:14" x14ac:dyDescent="0.25">
      <c r="A142" s="21" t="s">
        <v>5641</v>
      </c>
      <c r="B142" s="22" t="s">
        <v>5642</v>
      </c>
      <c r="C142" s="2">
        <v>2</v>
      </c>
      <c r="D142" s="23">
        <v>23.29</v>
      </c>
      <c r="E142" s="3">
        <v>46.58</v>
      </c>
      <c r="F142" s="2" t="s">
        <v>19819</v>
      </c>
      <c r="G142" s="22"/>
      <c r="H142" s="24" t="s">
        <v>19770</v>
      </c>
      <c r="I142" s="22" t="s">
        <v>19309</v>
      </c>
      <c r="J142" s="22" t="s">
        <v>19708</v>
      </c>
      <c r="K142" s="22" t="s">
        <v>19709</v>
      </c>
      <c r="L142" s="22"/>
      <c r="M142" s="22"/>
      <c r="N142" s="25" t="str">
        <f>HYPERLINK("http://slimages.macys.com/is/image/MCY/22405494 ")</f>
        <v xml:space="preserve">http://slimages.macys.com/is/image/MCY/22405494 </v>
      </c>
    </row>
    <row r="143" spans="1:14" x14ac:dyDescent="0.25">
      <c r="A143" s="21" t="s">
        <v>5643</v>
      </c>
      <c r="B143" s="22" t="s">
        <v>5644</v>
      </c>
      <c r="C143" s="2">
        <v>1</v>
      </c>
      <c r="D143" s="23">
        <v>25.07</v>
      </c>
      <c r="E143" s="3">
        <v>25.07</v>
      </c>
      <c r="F143" s="2" t="s">
        <v>5645</v>
      </c>
      <c r="G143" s="22"/>
      <c r="H143" s="24" t="s">
        <v>19416</v>
      </c>
      <c r="I143" s="22" t="s">
        <v>19309</v>
      </c>
      <c r="J143" s="22" t="s">
        <v>19708</v>
      </c>
      <c r="K143" s="22" t="s">
        <v>19754</v>
      </c>
      <c r="L143" s="22"/>
      <c r="M143" s="22"/>
      <c r="N143" s="25" t="str">
        <f>HYPERLINK("http://slimages.macys.com/is/image/MCY/19836355 ")</f>
        <v xml:space="preserve">http://slimages.macys.com/is/image/MCY/19836355 </v>
      </c>
    </row>
    <row r="144" spans="1:14" ht="24.75" x14ac:dyDescent="0.25">
      <c r="A144" s="21" t="s">
        <v>5646</v>
      </c>
      <c r="B144" s="22" t="s">
        <v>5647</v>
      </c>
      <c r="C144" s="2">
        <v>1</v>
      </c>
      <c r="D144" s="23">
        <v>25.99</v>
      </c>
      <c r="E144" s="3">
        <v>25.99</v>
      </c>
      <c r="F144" s="2" t="s">
        <v>8796</v>
      </c>
      <c r="G144" s="22" t="s">
        <v>19338</v>
      </c>
      <c r="H144" s="24" t="s">
        <v>19308</v>
      </c>
      <c r="I144" s="22" t="s">
        <v>19309</v>
      </c>
      <c r="J144" s="22" t="s">
        <v>19815</v>
      </c>
      <c r="K144" s="22" t="s">
        <v>19816</v>
      </c>
      <c r="L144" s="22"/>
      <c r="M144" s="22"/>
      <c r="N144" s="25" t="str">
        <f>HYPERLINK("http://slimages.macys.com/is/image/MCY/19937460 ")</f>
        <v xml:space="preserve">http://slimages.macys.com/is/image/MCY/19937460 </v>
      </c>
    </row>
    <row r="145" spans="1:14" ht="24.75" x14ac:dyDescent="0.25">
      <c r="A145" s="21" t="s">
        <v>5648</v>
      </c>
      <c r="B145" s="22" t="s">
        <v>5649</v>
      </c>
      <c r="C145" s="2">
        <v>1</v>
      </c>
      <c r="D145" s="23">
        <v>21.99</v>
      </c>
      <c r="E145" s="3">
        <v>21.99</v>
      </c>
      <c r="F145" s="2" t="s">
        <v>7430</v>
      </c>
      <c r="G145" s="22" t="s">
        <v>19594</v>
      </c>
      <c r="H145" s="24" t="s">
        <v>19542</v>
      </c>
      <c r="I145" s="22" t="s">
        <v>19309</v>
      </c>
      <c r="J145" s="22" t="s">
        <v>19595</v>
      </c>
      <c r="K145" s="22" t="s">
        <v>19596</v>
      </c>
      <c r="L145" s="22"/>
      <c r="M145" s="22"/>
      <c r="N145" s="25" t="str">
        <f>HYPERLINK("http://slimages.macys.com/is/image/MCY/21623098 ")</f>
        <v xml:space="preserve">http://slimages.macys.com/is/image/MCY/21623098 </v>
      </c>
    </row>
    <row r="146" spans="1:14" ht="24.75" x14ac:dyDescent="0.25">
      <c r="A146" s="21" t="s">
        <v>5650</v>
      </c>
      <c r="B146" s="22" t="s">
        <v>5651</v>
      </c>
      <c r="C146" s="2">
        <v>1</v>
      </c>
      <c r="D146" s="23">
        <v>22.99</v>
      </c>
      <c r="E146" s="3">
        <v>22.99</v>
      </c>
      <c r="F146" s="2" t="s">
        <v>5652</v>
      </c>
      <c r="G146" s="22" t="s">
        <v>19333</v>
      </c>
      <c r="H146" s="24" t="s">
        <v>20089</v>
      </c>
      <c r="I146" s="22" t="s">
        <v>19309</v>
      </c>
      <c r="J146" s="22" t="s">
        <v>19908</v>
      </c>
      <c r="K146" s="22" t="s">
        <v>19524</v>
      </c>
      <c r="L146" s="22"/>
      <c r="M146" s="22"/>
      <c r="N146" s="25" t="str">
        <f>HYPERLINK("http://slimages.macys.com/is/image/MCY/19632125 ")</f>
        <v xml:space="preserve">http://slimages.macys.com/is/image/MCY/19632125 </v>
      </c>
    </row>
    <row r="147" spans="1:14" ht="24.75" x14ac:dyDescent="0.25">
      <c r="A147" s="21" t="s">
        <v>5653</v>
      </c>
      <c r="B147" s="22" t="s">
        <v>5654</v>
      </c>
      <c r="C147" s="2">
        <v>1</v>
      </c>
      <c r="D147" s="23">
        <v>22.99</v>
      </c>
      <c r="E147" s="3">
        <v>22.99</v>
      </c>
      <c r="F147" s="2" t="s">
        <v>5655</v>
      </c>
      <c r="G147" s="22" t="s">
        <v>19323</v>
      </c>
      <c r="H147" s="24" t="s">
        <v>19361</v>
      </c>
      <c r="I147" s="22" t="s">
        <v>19309</v>
      </c>
      <c r="J147" s="22" t="s">
        <v>19908</v>
      </c>
      <c r="K147" s="22" t="s">
        <v>19524</v>
      </c>
      <c r="L147" s="22"/>
      <c r="M147" s="22"/>
      <c r="N147" s="25" t="str">
        <f>HYPERLINK("http://slimages.macys.com/is/image/MCY/19632121 ")</f>
        <v xml:space="preserve">http://slimages.macys.com/is/image/MCY/19632121 </v>
      </c>
    </row>
    <row r="148" spans="1:14" ht="24.75" x14ac:dyDescent="0.25">
      <c r="A148" s="21" t="s">
        <v>5656</v>
      </c>
      <c r="B148" s="22" t="s">
        <v>5657</v>
      </c>
      <c r="C148" s="2">
        <v>1</v>
      </c>
      <c r="D148" s="23">
        <v>22.99</v>
      </c>
      <c r="E148" s="3">
        <v>22.99</v>
      </c>
      <c r="F148" s="2" t="s">
        <v>5658</v>
      </c>
      <c r="G148" s="22" t="s">
        <v>19323</v>
      </c>
      <c r="H148" s="24" t="s">
        <v>19377</v>
      </c>
      <c r="I148" s="22" t="s">
        <v>19309</v>
      </c>
      <c r="J148" s="22" t="s">
        <v>19908</v>
      </c>
      <c r="K148" s="22" t="s">
        <v>19524</v>
      </c>
      <c r="L148" s="22"/>
      <c r="M148" s="22"/>
      <c r="N148" s="25" t="str">
        <f>HYPERLINK("http://slimages.macys.com/is/image/MCY/19632121 ")</f>
        <v xml:space="preserve">http://slimages.macys.com/is/image/MCY/19632121 </v>
      </c>
    </row>
    <row r="149" spans="1:14" ht="24.75" x14ac:dyDescent="0.25">
      <c r="A149" s="21" t="s">
        <v>5659</v>
      </c>
      <c r="B149" s="22" t="s">
        <v>5660</v>
      </c>
      <c r="C149" s="2">
        <v>1</v>
      </c>
      <c r="D149" s="23">
        <v>22.99</v>
      </c>
      <c r="E149" s="3">
        <v>22.99</v>
      </c>
      <c r="F149" s="2" t="s">
        <v>5661</v>
      </c>
      <c r="G149" s="22" t="s">
        <v>19315</v>
      </c>
      <c r="H149" s="24" t="s">
        <v>19542</v>
      </c>
      <c r="I149" s="22" t="s">
        <v>19309</v>
      </c>
      <c r="J149" s="22" t="s">
        <v>19908</v>
      </c>
      <c r="K149" s="22" t="s">
        <v>19524</v>
      </c>
      <c r="L149" s="22"/>
      <c r="M149" s="22"/>
      <c r="N149" s="25" t="str">
        <f>HYPERLINK("http://slimages.macys.com/is/image/MCY/19632121 ")</f>
        <v xml:space="preserve">http://slimages.macys.com/is/image/MCY/19632121 </v>
      </c>
    </row>
    <row r="150" spans="1:14" ht="24.75" x14ac:dyDescent="0.25">
      <c r="A150" s="21" t="s">
        <v>5662</v>
      </c>
      <c r="B150" s="22" t="s">
        <v>5663</v>
      </c>
      <c r="C150" s="2">
        <v>1</v>
      </c>
      <c r="D150" s="23">
        <v>22.99</v>
      </c>
      <c r="E150" s="3">
        <v>22.99</v>
      </c>
      <c r="F150" s="2" t="s">
        <v>5664</v>
      </c>
      <c r="G150" s="22" t="s">
        <v>19333</v>
      </c>
      <c r="H150" s="24" t="s">
        <v>19361</v>
      </c>
      <c r="I150" s="22" t="s">
        <v>19309</v>
      </c>
      <c r="J150" s="22" t="s">
        <v>19908</v>
      </c>
      <c r="K150" s="22" t="s">
        <v>19524</v>
      </c>
      <c r="L150" s="22"/>
      <c r="M150" s="22"/>
      <c r="N150" s="25" t="str">
        <f>HYPERLINK("http://slimages.macys.com/is/image/MCY/19632121 ")</f>
        <v xml:space="preserve">http://slimages.macys.com/is/image/MCY/19632121 </v>
      </c>
    </row>
    <row r="151" spans="1:14" x14ac:dyDescent="0.25">
      <c r="A151" s="21" t="s">
        <v>10953</v>
      </c>
      <c r="B151" s="22" t="s">
        <v>10954</v>
      </c>
      <c r="C151" s="2">
        <v>1</v>
      </c>
      <c r="D151" s="23">
        <v>22.75</v>
      </c>
      <c r="E151" s="3">
        <v>22.75</v>
      </c>
      <c r="F151" s="2" t="s">
        <v>10955</v>
      </c>
      <c r="G151" s="22" t="s">
        <v>19431</v>
      </c>
      <c r="H151" s="24" t="s">
        <v>20159</v>
      </c>
      <c r="I151" s="22" t="s">
        <v>19309</v>
      </c>
      <c r="J151" s="22" t="s">
        <v>19708</v>
      </c>
      <c r="K151" s="22" t="s">
        <v>19709</v>
      </c>
      <c r="L151" s="22"/>
      <c r="M151" s="22"/>
      <c r="N151" s="25" t="str">
        <f>HYPERLINK("http://slimages.macys.com/is/image/MCY/21726587 ")</f>
        <v xml:space="preserve">http://slimages.macys.com/is/image/MCY/21726587 </v>
      </c>
    </row>
    <row r="152" spans="1:14" ht="24.75" x14ac:dyDescent="0.25">
      <c r="A152" s="21" t="s">
        <v>5665</v>
      </c>
      <c r="B152" s="22" t="s">
        <v>5666</v>
      </c>
      <c r="C152" s="2">
        <v>1</v>
      </c>
      <c r="D152" s="23">
        <v>21.99</v>
      </c>
      <c r="E152" s="3">
        <v>21.99</v>
      </c>
      <c r="F152" s="2" t="s">
        <v>5667</v>
      </c>
      <c r="G152" s="22" t="s">
        <v>19342</v>
      </c>
      <c r="H152" s="24"/>
      <c r="I152" s="22" t="s">
        <v>19309</v>
      </c>
      <c r="J152" s="22" t="s">
        <v>19491</v>
      </c>
      <c r="K152" s="22" t="s">
        <v>19554</v>
      </c>
      <c r="L152" s="22"/>
      <c r="M152" s="22"/>
      <c r="N152" s="25" t="str">
        <f>HYPERLINK("http://slimages.macys.com/is/image/MCY/20389906 ")</f>
        <v xml:space="preserve">http://slimages.macys.com/is/image/MCY/20389906 </v>
      </c>
    </row>
    <row r="153" spans="1:14" x14ac:dyDescent="0.25">
      <c r="A153" s="21" t="s">
        <v>5668</v>
      </c>
      <c r="B153" s="22" t="s">
        <v>5669</v>
      </c>
      <c r="C153" s="2">
        <v>1</v>
      </c>
      <c r="D153" s="23">
        <v>17.82</v>
      </c>
      <c r="E153" s="3">
        <v>17.82</v>
      </c>
      <c r="F153" s="2" t="s">
        <v>5670</v>
      </c>
      <c r="G153" s="22"/>
      <c r="H153" s="24" t="s">
        <v>20159</v>
      </c>
      <c r="I153" s="22" t="s">
        <v>19309</v>
      </c>
      <c r="J153" s="22" t="s">
        <v>19708</v>
      </c>
      <c r="K153" s="22" t="s">
        <v>19709</v>
      </c>
      <c r="L153" s="22"/>
      <c r="M153" s="22"/>
      <c r="N153" s="25" t="str">
        <f>HYPERLINK("http://slimages.macys.com/is/image/MCY/21409177 ")</f>
        <v xml:space="preserve">http://slimages.macys.com/is/image/MCY/21409177 </v>
      </c>
    </row>
    <row r="154" spans="1:14" ht="24.75" x14ac:dyDescent="0.25">
      <c r="A154" s="21" t="s">
        <v>5671</v>
      </c>
      <c r="B154" s="22" t="s">
        <v>5672</v>
      </c>
      <c r="C154" s="2">
        <v>1</v>
      </c>
      <c r="D154" s="23">
        <v>19.989999999999998</v>
      </c>
      <c r="E154" s="3">
        <v>19.989999999999998</v>
      </c>
      <c r="F154" s="2" t="s">
        <v>15892</v>
      </c>
      <c r="G154" s="22" t="s">
        <v>19351</v>
      </c>
      <c r="H154" s="24"/>
      <c r="I154" s="22" t="s">
        <v>19309</v>
      </c>
      <c r="J154" s="22" t="s">
        <v>19573</v>
      </c>
      <c r="K154" s="22" t="s">
        <v>19574</v>
      </c>
      <c r="L154" s="22"/>
      <c r="M154" s="22"/>
      <c r="N154" s="25" t="str">
        <f>HYPERLINK("http://slimages.macys.com/is/image/MCY/20757923 ")</f>
        <v xml:space="preserve">http://slimages.macys.com/is/image/MCY/20757923 </v>
      </c>
    </row>
    <row r="155" spans="1:14" ht="24.75" x14ac:dyDescent="0.25">
      <c r="A155" s="21" t="s">
        <v>5673</v>
      </c>
      <c r="B155" s="22" t="s">
        <v>5674</v>
      </c>
      <c r="C155" s="2">
        <v>1</v>
      </c>
      <c r="D155" s="23">
        <v>21.99</v>
      </c>
      <c r="E155" s="3">
        <v>21.99</v>
      </c>
      <c r="F155" s="2" t="s">
        <v>5675</v>
      </c>
      <c r="G155" s="22" t="s">
        <v>19674</v>
      </c>
      <c r="H155" s="24"/>
      <c r="I155" s="22" t="s">
        <v>19309</v>
      </c>
      <c r="J155" s="22" t="s">
        <v>19573</v>
      </c>
      <c r="K155" s="22" t="s">
        <v>19574</v>
      </c>
      <c r="L155" s="22"/>
      <c r="M155" s="22"/>
      <c r="N155" s="25" t="str">
        <f>HYPERLINK("http://slimages.macys.com/is/image/MCY/20757792 ")</f>
        <v xml:space="preserve">http://slimages.macys.com/is/image/MCY/20757792 </v>
      </c>
    </row>
    <row r="156" spans="1:14" ht="24.75" x14ac:dyDescent="0.25">
      <c r="A156" s="21" t="s">
        <v>5676</v>
      </c>
      <c r="B156" s="22" t="s">
        <v>5677</v>
      </c>
      <c r="C156" s="2">
        <v>1</v>
      </c>
      <c r="D156" s="23">
        <v>19.989999999999998</v>
      </c>
      <c r="E156" s="3">
        <v>19.989999999999998</v>
      </c>
      <c r="F156" s="2">
        <v>10014158200</v>
      </c>
      <c r="G156" s="22" t="s">
        <v>19351</v>
      </c>
      <c r="H156" s="24" t="s">
        <v>19384</v>
      </c>
      <c r="I156" s="22" t="s">
        <v>19309</v>
      </c>
      <c r="J156" s="22" t="s">
        <v>19573</v>
      </c>
      <c r="K156" s="22" t="s">
        <v>19574</v>
      </c>
      <c r="L156" s="22"/>
      <c r="M156" s="22"/>
      <c r="N156" s="25" t="str">
        <f>HYPERLINK("http://slimages.macys.com/is/image/MCY/20757719 ")</f>
        <v xml:space="preserve">http://slimages.macys.com/is/image/MCY/20757719 </v>
      </c>
    </row>
    <row r="157" spans="1:14" ht="24.75" x14ac:dyDescent="0.25">
      <c r="A157" s="21" t="s">
        <v>5678</v>
      </c>
      <c r="B157" s="22" t="s">
        <v>5679</v>
      </c>
      <c r="C157" s="2">
        <v>1</v>
      </c>
      <c r="D157" s="23">
        <v>21.99</v>
      </c>
      <c r="E157" s="3">
        <v>21.99</v>
      </c>
      <c r="F157" s="2" t="s">
        <v>5680</v>
      </c>
      <c r="G157" s="22" t="s">
        <v>19357</v>
      </c>
      <c r="H157" s="24" t="s">
        <v>19364</v>
      </c>
      <c r="I157" s="22" t="s">
        <v>19309</v>
      </c>
      <c r="J157" s="22" t="s">
        <v>19353</v>
      </c>
      <c r="K157" s="22" t="s">
        <v>19524</v>
      </c>
      <c r="L157" s="22"/>
      <c r="M157" s="22"/>
      <c r="N157" s="25" t="str">
        <f>HYPERLINK("http://slimages.macys.com/is/image/MCY/20158252 ")</f>
        <v xml:space="preserve">http://slimages.macys.com/is/image/MCY/20158252 </v>
      </c>
    </row>
    <row r="158" spans="1:14" ht="24.75" x14ac:dyDescent="0.25">
      <c r="A158" s="21" t="s">
        <v>5681</v>
      </c>
      <c r="B158" s="22" t="s">
        <v>5682</v>
      </c>
      <c r="C158" s="2">
        <v>1</v>
      </c>
      <c r="D158" s="23">
        <v>22.99</v>
      </c>
      <c r="E158" s="3">
        <v>22.99</v>
      </c>
      <c r="F158" s="2" t="s">
        <v>5683</v>
      </c>
      <c r="G158" s="22" t="s">
        <v>19342</v>
      </c>
      <c r="H158" s="24" t="s">
        <v>19330</v>
      </c>
      <c r="I158" s="22" t="s">
        <v>19309</v>
      </c>
      <c r="J158" s="22" t="s">
        <v>19491</v>
      </c>
      <c r="K158" s="22" t="s">
        <v>19546</v>
      </c>
      <c r="L158" s="22"/>
      <c r="M158" s="22"/>
      <c r="N158" s="25" t="str">
        <f>HYPERLINK("http://slimages.macys.com/is/image/MCY/19500614 ")</f>
        <v xml:space="preserve">http://slimages.macys.com/is/image/MCY/19500614 </v>
      </c>
    </row>
    <row r="159" spans="1:14" ht="24.75" x14ac:dyDescent="0.25">
      <c r="A159" s="21" t="s">
        <v>19925</v>
      </c>
      <c r="B159" s="22" t="s">
        <v>19926</v>
      </c>
      <c r="C159" s="2">
        <v>4</v>
      </c>
      <c r="D159" s="23">
        <v>18.989999999999998</v>
      </c>
      <c r="E159" s="3">
        <v>75.959999999999994</v>
      </c>
      <c r="F159" s="2" t="s">
        <v>19914</v>
      </c>
      <c r="G159" s="22" t="s">
        <v>19713</v>
      </c>
      <c r="H159" s="24" t="s">
        <v>19538</v>
      </c>
      <c r="I159" s="22" t="s">
        <v>19309</v>
      </c>
      <c r="J159" s="22" t="s">
        <v>19573</v>
      </c>
      <c r="K159" s="22" t="s">
        <v>19574</v>
      </c>
      <c r="L159" s="22"/>
      <c r="M159" s="22"/>
      <c r="N159" s="25" t="str">
        <f>HYPERLINK("http://slimages.macys.com/is/image/MCY/1322715 ")</f>
        <v xml:space="preserve">http://slimages.macys.com/is/image/MCY/1322715 </v>
      </c>
    </row>
    <row r="160" spans="1:14" ht="24.75" x14ac:dyDescent="0.25">
      <c r="A160" s="21" t="s">
        <v>17969</v>
      </c>
      <c r="B160" s="22" t="s">
        <v>17970</v>
      </c>
      <c r="C160" s="2">
        <v>1</v>
      </c>
      <c r="D160" s="23">
        <v>18.989999999999998</v>
      </c>
      <c r="E160" s="3">
        <v>18.989999999999998</v>
      </c>
      <c r="F160" s="2">
        <v>10015242200</v>
      </c>
      <c r="G160" s="22" t="s">
        <v>19315</v>
      </c>
      <c r="H160" s="24" t="s">
        <v>19538</v>
      </c>
      <c r="I160" s="22" t="s">
        <v>19309</v>
      </c>
      <c r="J160" s="22" t="s">
        <v>19573</v>
      </c>
      <c r="K160" s="22" t="s">
        <v>19574</v>
      </c>
      <c r="L160" s="22"/>
      <c r="M160" s="22"/>
      <c r="N160" s="25" t="str">
        <f>HYPERLINK("http://slimages.macys.com/is/image/MCY/1322715 ")</f>
        <v xml:space="preserve">http://slimages.macys.com/is/image/MCY/1322715 </v>
      </c>
    </row>
    <row r="161" spans="1:14" ht="24.75" x14ac:dyDescent="0.25">
      <c r="A161" s="21" t="s">
        <v>17967</v>
      </c>
      <c r="B161" s="22" t="s">
        <v>17968</v>
      </c>
      <c r="C161" s="2">
        <v>1</v>
      </c>
      <c r="D161" s="23">
        <v>18.989999999999998</v>
      </c>
      <c r="E161" s="3">
        <v>18.989999999999998</v>
      </c>
      <c r="F161" s="2" t="s">
        <v>19914</v>
      </c>
      <c r="G161" s="22" t="s">
        <v>19713</v>
      </c>
      <c r="H161" s="24" t="s">
        <v>19770</v>
      </c>
      <c r="I161" s="22" t="s">
        <v>19309</v>
      </c>
      <c r="J161" s="22" t="s">
        <v>19573</v>
      </c>
      <c r="K161" s="22" t="s">
        <v>19574</v>
      </c>
      <c r="L161" s="22"/>
      <c r="M161" s="22"/>
      <c r="N161" s="25" t="str">
        <f>HYPERLINK("http://slimages.macys.com/is/image/MCY/1322715 ")</f>
        <v xml:space="preserve">http://slimages.macys.com/is/image/MCY/1322715 </v>
      </c>
    </row>
    <row r="162" spans="1:14" ht="24.75" x14ac:dyDescent="0.25">
      <c r="A162" s="21" t="s">
        <v>19912</v>
      </c>
      <c r="B162" s="22" t="s">
        <v>19913</v>
      </c>
      <c r="C162" s="2">
        <v>1</v>
      </c>
      <c r="D162" s="23">
        <v>18.989999999999998</v>
      </c>
      <c r="E162" s="3">
        <v>18.989999999999998</v>
      </c>
      <c r="F162" s="2" t="s">
        <v>19914</v>
      </c>
      <c r="G162" s="22" t="s">
        <v>19713</v>
      </c>
      <c r="H162" s="24" t="s">
        <v>19384</v>
      </c>
      <c r="I162" s="22" t="s">
        <v>19309</v>
      </c>
      <c r="J162" s="22" t="s">
        <v>19573</v>
      </c>
      <c r="K162" s="22" t="s">
        <v>19574</v>
      </c>
      <c r="L162" s="22"/>
      <c r="M162" s="22"/>
      <c r="N162" s="25" t="str">
        <f>HYPERLINK("http://slimages.macys.com/is/image/MCY/1322715 ")</f>
        <v xml:space="preserve">http://slimages.macys.com/is/image/MCY/1322715 </v>
      </c>
    </row>
    <row r="163" spans="1:14" ht="24.75" x14ac:dyDescent="0.25">
      <c r="A163" s="21" t="s">
        <v>19915</v>
      </c>
      <c r="B163" s="22" t="s">
        <v>19916</v>
      </c>
      <c r="C163" s="2">
        <v>5</v>
      </c>
      <c r="D163" s="23">
        <v>18.989999999999998</v>
      </c>
      <c r="E163" s="3">
        <v>94.95</v>
      </c>
      <c r="F163" s="2" t="s">
        <v>19914</v>
      </c>
      <c r="G163" s="22" t="s">
        <v>19713</v>
      </c>
      <c r="H163" s="24"/>
      <c r="I163" s="22" t="s">
        <v>19309</v>
      </c>
      <c r="J163" s="22" t="s">
        <v>19573</v>
      </c>
      <c r="K163" s="22" t="s">
        <v>19574</v>
      </c>
      <c r="L163" s="22"/>
      <c r="M163" s="22"/>
      <c r="N163" s="25" t="str">
        <f>HYPERLINK("http://slimages.macys.com/is/image/MCY/1322715 ")</f>
        <v xml:space="preserve">http://slimages.macys.com/is/image/MCY/1322715 </v>
      </c>
    </row>
    <row r="164" spans="1:14" x14ac:dyDescent="0.25">
      <c r="A164" s="21" t="s">
        <v>15896</v>
      </c>
      <c r="B164" s="22" t="s">
        <v>15897</v>
      </c>
      <c r="C164" s="2">
        <v>1</v>
      </c>
      <c r="D164" s="23">
        <v>17.989999999999998</v>
      </c>
      <c r="E164" s="3">
        <v>17.989999999999998</v>
      </c>
      <c r="F164" s="2" t="s">
        <v>15898</v>
      </c>
      <c r="G164" s="22" t="s">
        <v>19333</v>
      </c>
      <c r="H164" s="24" t="s">
        <v>19308</v>
      </c>
      <c r="I164" s="22" t="s">
        <v>19309</v>
      </c>
      <c r="J164" s="22" t="s">
        <v>19310</v>
      </c>
      <c r="K164" s="22" t="s">
        <v>19529</v>
      </c>
      <c r="L164" s="22"/>
      <c r="M164" s="22"/>
      <c r="N164" s="25" t="str">
        <f>HYPERLINK("http://slimages.macys.com/is/image/MCY/21532482 ")</f>
        <v xml:space="preserve">http://slimages.macys.com/is/image/MCY/21532482 </v>
      </c>
    </row>
    <row r="165" spans="1:14" ht="24.75" x14ac:dyDescent="0.25">
      <c r="A165" s="21" t="s">
        <v>5684</v>
      </c>
      <c r="B165" s="22" t="s">
        <v>5685</v>
      </c>
      <c r="C165" s="2">
        <v>1</v>
      </c>
      <c r="D165" s="23">
        <v>24.99</v>
      </c>
      <c r="E165" s="3">
        <v>24.99</v>
      </c>
      <c r="F165" s="2" t="s">
        <v>15332</v>
      </c>
      <c r="G165" s="22" t="s">
        <v>19338</v>
      </c>
      <c r="H165" s="24" t="s">
        <v>20135</v>
      </c>
      <c r="I165" s="22" t="s">
        <v>19309</v>
      </c>
      <c r="J165" s="22" t="s">
        <v>19454</v>
      </c>
      <c r="K165" s="22" t="s">
        <v>19524</v>
      </c>
      <c r="L165" s="22"/>
      <c r="M165" s="22"/>
      <c r="N165" s="25" t="str">
        <f>HYPERLINK("http://slimages.macys.com/is/image/MCY/21569835 ")</f>
        <v xml:space="preserve">http://slimages.macys.com/is/image/MCY/21569835 </v>
      </c>
    </row>
    <row r="166" spans="1:14" x14ac:dyDescent="0.25">
      <c r="A166" s="21" t="s">
        <v>5686</v>
      </c>
      <c r="B166" s="22" t="s">
        <v>5687</v>
      </c>
      <c r="C166" s="2">
        <v>1</v>
      </c>
      <c r="D166" s="23">
        <v>17.100000000000001</v>
      </c>
      <c r="E166" s="3">
        <v>17.100000000000001</v>
      </c>
      <c r="F166" s="2" t="s">
        <v>5688</v>
      </c>
      <c r="G166" s="22" t="s">
        <v>19342</v>
      </c>
      <c r="H166" s="24" t="s">
        <v>20159</v>
      </c>
      <c r="I166" s="22" t="s">
        <v>19309</v>
      </c>
      <c r="J166" s="22" t="s">
        <v>19708</v>
      </c>
      <c r="K166" s="22" t="s">
        <v>19709</v>
      </c>
      <c r="L166" s="22"/>
      <c r="M166" s="22"/>
      <c r="N166" s="25" t="str">
        <f>HYPERLINK("http://slimages.macys.com/is/image/MCY/17134771 ")</f>
        <v xml:space="preserve">http://slimages.macys.com/is/image/MCY/17134771 </v>
      </c>
    </row>
    <row r="167" spans="1:14" x14ac:dyDescent="0.25">
      <c r="A167" s="21" t="s">
        <v>5689</v>
      </c>
      <c r="B167" s="22" t="s">
        <v>5690</v>
      </c>
      <c r="C167" s="2">
        <v>1</v>
      </c>
      <c r="D167" s="23">
        <v>17.100000000000001</v>
      </c>
      <c r="E167" s="3">
        <v>17.100000000000001</v>
      </c>
      <c r="F167" s="2" t="s">
        <v>17991</v>
      </c>
      <c r="G167" s="22" t="s">
        <v>19342</v>
      </c>
      <c r="H167" s="24" t="s">
        <v>19770</v>
      </c>
      <c r="I167" s="22" t="s">
        <v>19309</v>
      </c>
      <c r="J167" s="22" t="s">
        <v>19708</v>
      </c>
      <c r="K167" s="22" t="s">
        <v>19709</v>
      </c>
      <c r="L167" s="22"/>
      <c r="M167" s="22"/>
      <c r="N167" s="25" t="str">
        <f>HYPERLINK("http://slimages.macys.com/is/image/MCY/17248800 ")</f>
        <v xml:space="preserve">http://slimages.macys.com/is/image/MCY/17248800 </v>
      </c>
    </row>
    <row r="168" spans="1:14" x14ac:dyDescent="0.25">
      <c r="A168" s="21" t="s">
        <v>5691</v>
      </c>
      <c r="B168" s="22" t="s">
        <v>5692</v>
      </c>
      <c r="C168" s="2">
        <v>1</v>
      </c>
      <c r="D168" s="23">
        <v>17.100000000000001</v>
      </c>
      <c r="E168" s="3">
        <v>17.100000000000001</v>
      </c>
      <c r="F168" s="2" t="s">
        <v>19942</v>
      </c>
      <c r="G168" s="22" t="s">
        <v>19431</v>
      </c>
      <c r="H168" s="24" t="s">
        <v>20152</v>
      </c>
      <c r="I168" s="22" t="s">
        <v>19309</v>
      </c>
      <c r="J168" s="22" t="s">
        <v>19708</v>
      </c>
      <c r="K168" s="22" t="s">
        <v>19709</v>
      </c>
      <c r="L168" s="22"/>
      <c r="M168" s="22"/>
      <c r="N168" s="25" t="str">
        <f>HYPERLINK("http://slimages.macys.com/is/image/MCY/19060488 ")</f>
        <v xml:space="preserve">http://slimages.macys.com/is/image/MCY/19060488 </v>
      </c>
    </row>
    <row r="169" spans="1:14" ht="24.75" x14ac:dyDescent="0.25">
      <c r="A169" s="21" t="s">
        <v>5693</v>
      </c>
      <c r="B169" s="22" t="s">
        <v>5694</v>
      </c>
      <c r="C169" s="2">
        <v>1</v>
      </c>
      <c r="D169" s="23">
        <v>24.69</v>
      </c>
      <c r="E169" s="3">
        <v>24.69</v>
      </c>
      <c r="F169" s="2" t="s">
        <v>5695</v>
      </c>
      <c r="G169" s="22" t="s">
        <v>18821</v>
      </c>
      <c r="H169" s="24" t="s">
        <v>19797</v>
      </c>
      <c r="I169" s="22" t="s">
        <v>19309</v>
      </c>
      <c r="J169" s="22" t="s">
        <v>19595</v>
      </c>
      <c r="K169" s="22" t="s">
        <v>19423</v>
      </c>
      <c r="L169" s="22"/>
      <c r="M169" s="22"/>
      <c r="N169" s="25" t="str">
        <f>HYPERLINK("http://slimages.macys.com/is/image/MCY/20917970 ")</f>
        <v xml:space="preserve">http://slimages.macys.com/is/image/MCY/20917970 </v>
      </c>
    </row>
    <row r="170" spans="1:14" x14ac:dyDescent="0.25">
      <c r="A170" s="21" t="s">
        <v>19956</v>
      </c>
      <c r="B170" s="22" t="s">
        <v>19957</v>
      </c>
      <c r="C170" s="2">
        <v>1</v>
      </c>
      <c r="D170" s="23">
        <v>24.99</v>
      </c>
      <c r="E170" s="3">
        <v>24.99</v>
      </c>
      <c r="F170" s="2" t="s">
        <v>19958</v>
      </c>
      <c r="G170" s="22" t="s">
        <v>19315</v>
      </c>
      <c r="H170" s="24" t="s">
        <v>19339</v>
      </c>
      <c r="I170" s="22" t="s">
        <v>19309</v>
      </c>
      <c r="J170" s="22" t="s">
        <v>19849</v>
      </c>
      <c r="K170" s="22" t="s">
        <v>19850</v>
      </c>
      <c r="L170" s="22"/>
      <c r="M170" s="22"/>
      <c r="N170" s="25" t="str">
        <f>HYPERLINK("http://slimages.macys.com/is/image/MCY/1521136 ")</f>
        <v xml:space="preserve">http://slimages.macys.com/is/image/MCY/1521136 </v>
      </c>
    </row>
    <row r="171" spans="1:14" ht="24.75" x14ac:dyDescent="0.25">
      <c r="A171" s="21" t="s">
        <v>5696</v>
      </c>
      <c r="B171" s="22" t="s">
        <v>5697</v>
      </c>
      <c r="C171" s="2">
        <v>1</v>
      </c>
      <c r="D171" s="23">
        <v>15.99</v>
      </c>
      <c r="E171" s="3">
        <v>15.99</v>
      </c>
      <c r="F171" s="2" t="s">
        <v>18010</v>
      </c>
      <c r="G171" s="22" t="s">
        <v>19477</v>
      </c>
      <c r="H171" s="24" t="s">
        <v>19538</v>
      </c>
      <c r="I171" s="22" t="s">
        <v>19309</v>
      </c>
      <c r="J171" s="22" t="s">
        <v>19573</v>
      </c>
      <c r="K171" s="22" t="s">
        <v>19574</v>
      </c>
      <c r="L171" s="22"/>
      <c r="M171" s="22"/>
      <c r="N171" s="25" t="str">
        <f>HYPERLINK("http://slimages.macys.com/is/image/MCY/1290284 ")</f>
        <v xml:space="preserve">http://slimages.macys.com/is/image/MCY/1290284 </v>
      </c>
    </row>
    <row r="172" spans="1:14" ht="24.75" x14ac:dyDescent="0.25">
      <c r="A172" s="21" t="s">
        <v>11550</v>
      </c>
      <c r="B172" s="22" t="s">
        <v>11551</v>
      </c>
      <c r="C172" s="2">
        <v>1</v>
      </c>
      <c r="D172" s="23">
        <v>18.61</v>
      </c>
      <c r="E172" s="3">
        <v>18.61</v>
      </c>
      <c r="F172" s="2" t="s">
        <v>15352</v>
      </c>
      <c r="G172" s="22"/>
      <c r="H172" s="24" t="s">
        <v>19345</v>
      </c>
      <c r="I172" s="22" t="s">
        <v>19309</v>
      </c>
      <c r="J172" s="22" t="s">
        <v>19602</v>
      </c>
      <c r="K172" s="22" t="s">
        <v>20041</v>
      </c>
      <c r="L172" s="22"/>
      <c r="M172" s="22"/>
      <c r="N172" s="25" t="str">
        <f>HYPERLINK("http://slimages.macys.com/is/image/MCY/22405615 ")</f>
        <v xml:space="preserve">http://slimages.macys.com/is/image/MCY/22405615 </v>
      </c>
    </row>
    <row r="173" spans="1:14" x14ac:dyDescent="0.25">
      <c r="A173" s="21" t="s">
        <v>8816</v>
      </c>
      <c r="B173" s="22" t="s">
        <v>8817</v>
      </c>
      <c r="C173" s="2">
        <v>24</v>
      </c>
      <c r="D173" s="23">
        <v>21.99</v>
      </c>
      <c r="E173" s="3">
        <v>527.76</v>
      </c>
      <c r="F173" s="2" t="s">
        <v>8067</v>
      </c>
      <c r="G173" s="22" t="s">
        <v>19342</v>
      </c>
      <c r="H173" s="24" t="s">
        <v>19478</v>
      </c>
      <c r="I173" s="22" t="s">
        <v>19309</v>
      </c>
      <c r="J173" s="22" t="s">
        <v>19696</v>
      </c>
      <c r="K173" s="22" t="s">
        <v>19965</v>
      </c>
      <c r="L173" s="22"/>
      <c r="M173" s="22"/>
      <c r="N173" s="25" t="str">
        <f>HYPERLINK("http://slimages.macys.com/is/image/MCY/21497276 ")</f>
        <v xml:space="preserve">http://slimages.macys.com/is/image/MCY/21497276 </v>
      </c>
    </row>
    <row r="174" spans="1:14" x14ac:dyDescent="0.25">
      <c r="A174" s="21" t="s">
        <v>5698</v>
      </c>
      <c r="B174" s="22" t="s">
        <v>5699</v>
      </c>
      <c r="C174" s="2">
        <v>1</v>
      </c>
      <c r="D174" s="23">
        <v>16.739999999999998</v>
      </c>
      <c r="E174" s="3">
        <v>16.739999999999998</v>
      </c>
      <c r="F174" s="2" t="s">
        <v>5700</v>
      </c>
      <c r="G174" s="22" t="s">
        <v>19351</v>
      </c>
      <c r="H174" s="24" t="s">
        <v>19367</v>
      </c>
      <c r="I174" s="22" t="s">
        <v>19309</v>
      </c>
      <c r="J174" s="22" t="s">
        <v>19708</v>
      </c>
      <c r="K174" s="22" t="s">
        <v>19709</v>
      </c>
      <c r="L174" s="22" t="s">
        <v>19319</v>
      </c>
      <c r="M174" s="22" t="s">
        <v>19358</v>
      </c>
      <c r="N174" s="25" t="str">
        <f>HYPERLINK("http://slimages.macys.com/is/image/MCY/8407121 ")</f>
        <v xml:space="preserve">http://slimages.macys.com/is/image/MCY/8407121 </v>
      </c>
    </row>
    <row r="175" spans="1:14" x14ac:dyDescent="0.25">
      <c r="A175" s="21" t="s">
        <v>19970</v>
      </c>
      <c r="B175" s="22" t="s">
        <v>19971</v>
      </c>
      <c r="C175" s="2">
        <v>3</v>
      </c>
      <c r="D175" s="23">
        <v>24.5</v>
      </c>
      <c r="E175" s="3">
        <v>73.5</v>
      </c>
      <c r="F175" s="2" t="s">
        <v>19972</v>
      </c>
      <c r="G175" s="22" t="s">
        <v>19477</v>
      </c>
      <c r="H175" s="24" t="s">
        <v>19352</v>
      </c>
      <c r="I175" s="22" t="s">
        <v>19309</v>
      </c>
      <c r="J175" s="22" t="s">
        <v>19849</v>
      </c>
      <c r="K175" s="22" t="s">
        <v>19850</v>
      </c>
      <c r="L175" s="22"/>
      <c r="M175" s="22"/>
      <c r="N175" s="25" t="str">
        <f>HYPERLINK("http://slimages.macys.com/is/image/MCY/20549465 ")</f>
        <v xml:space="preserve">http://slimages.macys.com/is/image/MCY/20549465 </v>
      </c>
    </row>
    <row r="176" spans="1:14" x14ac:dyDescent="0.25">
      <c r="A176" s="21" t="s">
        <v>15355</v>
      </c>
      <c r="B176" s="22" t="s">
        <v>15356</v>
      </c>
      <c r="C176" s="2">
        <v>1</v>
      </c>
      <c r="D176" s="23">
        <v>24.5</v>
      </c>
      <c r="E176" s="3">
        <v>24.5</v>
      </c>
      <c r="F176" s="2" t="s">
        <v>19972</v>
      </c>
      <c r="G176" s="22" t="s">
        <v>19477</v>
      </c>
      <c r="H176" s="24" t="s">
        <v>19364</v>
      </c>
      <c r="I176" s="22" t="s">
        <v>19309</v>
      </c>
      <c r="J176" s="22" t="s">
        <v>19849</v>
      </c>
      <c r="K176" s="22" t="s">
        <v>19850</v>
      </c>
      <c r="L176" s="22"/>
      <c r="M176" s="22"/>
      <c r="N176" s="25" t="str">
        <f>HYPERLINK("http://slimages.macys.com/is/image/MCY/20549465 ")</f>
        <v xml:space="preserve">http://slimages.macys.com/is/image/MCY/20549465 </v>
      </c>
    </row>
    <row r="177" spans="1:14" x14ac:dyDescent="0.25">
      <c r="A177" s="21" t="s">
        <v>20011</v>
      </c>
      <c r="B177" s="22" t="s">
        <v>20012</v>
      </c>
      <c r="C177" s="2">
        <v>1</v>
      </c>
      <c r="D177" s="23">
        <v>16.989999999999998</v>
      </c>
      <c r="E177" s="3">
        <v>16.989999999999998</v>
      </c>
      <c r="F177" s="2" t="s">
        <v>20002</v>
      </c>
      <c r="G177" s="22" t="s">
        <v>19477</v>
      </c>
      <c r="H177" s="24" t="s">
        <v>19364</v>
      </c>
      <c r="I177" s="22" t="s">
        <v>19309</v>
      </c>
      <c r="J177" s="22" t="s">
        <v>19849</v>
      </c>
      <c r="K177" s="22" t="s">
        <v>19850</v>
      </c>
      <c r="L177" s="22"/>
      <c r="M177" s="22"/>
      <c r="N177" s="25" t="str">
        <f>HYPERLINK("http://slimages.macys.com/is/image/MCY/20549392 ")</f>
        <v xml:space="preserve">http://slimages.macys.com/is/image/MCY/20549392 </v>
      </c>
    </row>
    <row r="178" spans="1:14" x14ac:dyDescent="0.25">
      <c r="A178" s="21" t="s">
        <v>15386</v>
      </c>
      <c r="B178" s="22" t="s">
        <v>15387</v>
      </c>
      <c r="C178" s="2">
        <v>1</v>
      </c>
      <c r="D178" s="23">
        <v>16.989999999999998</v>
      </c>
      <c r="E178" s="3">
        <v>16.989999999999998</v>
      </c>
      <c r="F178" s="2" t="s">
        <v>20002</v>
      </c>
      <c r="G178" s="22" t="s">
        <v>19315</v>
      </c>
      <c r="H178" s="24" t="s">
        <v>19339</v>
      </c>
      <c r="I178" s="22" t="s">
        <v>19309</v>
      </c>
      <c r="J178" s="22" t="s">
        <v>19849</v>
      </c>
      <c r="K178" s="22" t="s">
        <v>19850</v>
      </c>
      <c r="L178" s="22"/>
      <c r="M178" s="22"/>
      <c r="N178" s="25" t="str">
        <f>HYPERLINK("http://slimages.macys.com/is/image/MCY/20549392 ")</f>
        <v xml:space="preserve">http://slimages.macys.com/is/image/MCY/20549392 </v>
      </c>
    </row>
    <row r="179" spans="1:14" x14ac:dyDescent="0.25">
      <c r="A179" s="21" t="s">
        <v>15384</v>
      </c>
      <c r="B179" s="22" t="s">
        <v>15385</v>
      </c>
      <c r="C179" s="2">
        <v>3</v>
      </c>
      <c r="D179" s="23">
        <v>16.989999999999998</v>
      </c>
      <c r="E179" s="3">
        <v>50.97</v>
      </c>
      <c r="F179" s="2" t="s">
        <v>20002</v>
      </c>
      <c r="G179" s="22" t="s">
        <v>19315</v>
      </c>
      <c r="H179" s="24" t="s">
        <v>19364</v>
      </c>
      <c r="I179" s="22" t="s">
        <v>19309</v>
      </c>
      <c r="J179" s="22" t="s">
        <v>19849</v>
      </c>
      <c r="K179" s="22" t="s">
        <v>19850</v>
      </c>
      <c r="L179" s="22"/>
      <c r="M179" s="22"/>
      <c r="N179" s="25" t="str">
        <f>HYPERLINK("http://slimages.macys.com/is/image/MCY/20549392 ")</f>
        <v xml:space="preserve">http://slimages.macys.com/is/image/MCY/20549392 </v>
      </c>
    </row>
    <row r="180" spans="1:14" x14ac:dyDescent="0.25">
      <c r="A180" s="21" t="s">
        <v>18055</v>
      </c>
      <c r="B180" s="22" t="s">
        <v>18056</v>
      </c>
      <c r="C180" s="2">
        <v>1</v>
      </c>
      <c r="D180" s="23">
        <v>16.989999999999998</v>
      </c>
      <c r="E180" s="3">
        <v>16.989999999999998</v>
      </c>
      <c r="F180" s="2" t="s">
        <v>20002</v>
      </c>
      <c r="G180" s="22" t="s">
        <v>19315</v>
      </c>
      <c r="H180" s="24" t="s">
        <v>19797</v>
      </c>
      <c r="I180" s="22" t="s">
        <v>19309</v>
      </c>
      <c r="J180" s="22" t="s">
        <v>19849</v>
      </c>
      <c r="K180" s="22" t="s">
        <v>19850</v>
      </c>
      <c r="L180" s="22"/>
      <c r="M180" s="22"/>
      <c r="N180" s="25" t="str">
        <f>HYPERLINK("http://slimages.macys.com/is/image/MCY/20549392 ")</f>
        <v xml:space="preserve">http://slimages.macys.com/is/image/MCY/20549392 </v>
      </c>
    </row>
    <row r="181" spans="1:14" x14ac:dyDescent="0.25">
      <c r="A181" s="21" t="s">
        <v>15370</v>
      </c>
      <c r="B181" s="22" t="s">
        <v>15371</v>
      </c>
      <c r="C181" s="2">
        <v>2</v>
      </c>
      <c r="D181" s="23">
        <v>16.989999999999998</v>
      </c>
      <c r="E181" s="3">
        <v>33.979999999999997</v>
      </c>
      <c r="F181" s="2" t="s">
        <v>20002</v>
      </c>
      <c r="G181" s="22" t="s">
        <v>19315</v>
      </c>
      <c r="H181" s="24" t="s">
        <v>19352</v>
      </c>
      <c r="I181" s="22" t="s">
        <v>19309</v>
      </c>
      <c r="J181" s="22" t="s">
        <v>19849</v>
      </c>
      <c r="K181" s="22" t="s">
        <v>19850</v>
      </c>
      <c r="L181" s="22"/>
      <c r="M181" s="22"/>
      <c r="N181" s="25" t="str">
        <f>HYPERLINK("http://slimages.macys.com/is/image/MCY/20549392 ")</f>
        <v xml:space="preserve">http://slimages.macys.com/is/image/MCY/20549392 </v>
      </c>
    </row>
    <row r="182" spans="1:14" ht="24.75" x14ac:dyDescent="0.25">
      <c r="A182" s="21" t="s">
        <v>5701</v>
      </c>
      <c r="B182" s="22" t="s">
        <v>5702</v>
      </c>
      <c r="C182" s="2">
        <v>1</v>
      </c>
      <c r="D182" s="23">
        <v>18.989999999999998</v>
      </c>
      <c r="E182" s="3">
        <v>18.989999999999998</v>
      </c>
      <c r="F182" s="2" t="s">
        <v>20018</v>
      </c>
      <c r="G182" s="22" t="s">
        <v>19585</v>
      </c>
      <c r="H182" s="24" t="s">
        <v>19330</v>
      </c>
      <c r="I182" s="22" t="s">
        <v>19309</v>
      </c>
      <c r="J182" s="22" t="s">
        <v>19573</v>
      </c>
      <c r="K182" s="22" t="s">
        <v>19574</v>
      </c>
      <c r="L182" s="22"/>
      <c r="M182" s="22"/>
      <c r="N182" s="25" t="str">
        <f>HYPERLINK("http://slimages.macys.com/is/image/MCY/20142548 ")</f>
        <v xml:space="preserve">http://slimages.macys.com/is/image/MCY/20142548 </v>
      </c>
    </row>
    <row r="183" spans="1:14" x14ac:dyDescent="0.25">
      <c r="A183" s="21" t="s">
        <v>5703</v>
      </c>
      <c r="B183" s="22" t="s">
        <v>5704</v>
      </c>
      <c r="C183" s="2">
        <v>1</v>
      </c>
      <c r="D183" s="23">
        <v>20.48</v>
      </c>
      <c r="E183" s="3">
        <v>20.48</v>
      </c>
      <c r="F183" s="2" t="s">
        <v>5705</v>
      </c>
      <c r="G183" s="22"/>
      <c r="H183" s="24" t="s">
        <v>19324</v>
      </c>
      <c r="I183" s="22" t="s">
        <v>19309</v>
      </c>
      <c r="J183" s="22" t="s">
        <v>19708</v>
      </c>
      <c r="K183" s="22" t="s">
        <v>19709</v>
      </c>
      <c r="L183" s="22"/>
      <c r="M183" s="22"/>
      <c r="N183" s="25" t="str">
        <f>HYPERLINK("http://slimages.macys.com/is/image/MCY/21414614 ")</f>
        <v xml:space="preserve">http://slimages.macys.com/is/image/MCY/21414614 </v>
      </c>
    </row>
    <row r="184" spans="1:14" ht="24.75" x14ac:dyDescent="0.25">
      <c r="A184" s="21" t="s">
        <v>5706</v>
      </c>
      <c r="B184" s="22" t="s">
        <v>5707</v>
      </c>
      <c r="C184" s="2">
        <v>1</v>
      </c>
      <c r="D184" s="23">
        <v>21.99</v>
      </c>
      <c r="E184" s="3">
        <v>21.99</v>
      </c>
      <c r="F184" s="2" t="s">
        <v>5708</v>
      </c>
      <c r="G184" s="22" t="s">
        <v>19422</v>
      </c>
      <c r="H184" s="24" t="s">
        <v>19907</v>
      </c>
      <c r="I184" s="22" t="s">
        <v>19309</v>
      </c>
      <c r="J184" s="22" t="s">
        <v>19908</v>
      </c>
      <c r="K184" s="22" t="s">
        <v>19354</v>
      </c>
      <c r="L184" s="22"/>
      <c r="M184" s="22"/>
      <c r="N184" s="25" t="str">
        <f>HYPERLINK("http://slimages.macys.com/is/image/MCY/21563112 ")</f>
        <v xml:space="preserve">http://slimages.macys.com/is/image/MCY/21563112 </v>
      </c>
    </row>
    <row r="185" spans="1:14" ht="24.75" x14ac:dyDescent="0.25">
      <c r="A185" s="21" t="s">
        <v>8827</v>
      </c>
      <c r="B185" s="22" t="s">
        <v>8828</v>
      </c>
      <c r="C185" s="2">
        <v>1</v>
      </c>
      <c r="D185" s="23">
        <v>23</v>
      </c>
      <c r="E185" s="3">
        <v>23</v>
      </c>
      <c r="F185" s="2" t="s">
        <v>20031</v>
      </c>
      <c r="G185" s="22" t="s">
        <v>19333</v>
      </c>
      <c r="H185" s="24" t="s">
        <v>19352</v>
      </c>
      <c r="I185" s="22" t="s">
        <v>19309</v>
      </c>
      <c r="J185" s="22" t="s">
        <v>19595</v>
      </c>
      <c r="K185" s="22" t="s">
        <v>19423</v>
      </c>
      <c r="L185" s="22"/>
      <c r="M185" s="22"/>
      <c r="N185" s="25" t="str">
        <f>HYPERLINK("http://slimages.macys.com/is/image/MCY/20917977 ")</f>
        <v xml:space="preserve">http://slimages.macys.com/is/image/MCY/20917977 </v>
      </c>
    </row>
    <row r="186" spans="1:14" ht="24.75" x14ac:dyDescent="0.25">
      <c r="A186" s="21" t="s">
        <v>12025</v>
      </c>
      <c r="B186" s="22" t="s">
        <v>12026</v>
      </c>
      <c r="C186" s="2">
        <v>1</v>
      </c>
      <c r="D186" s="23">
        <v>16.989999999999998</v>
      </c>
      <c r="E186" s="3">
        <v>16.989999999999998</v>
      </c>
      <c r="F186" s="2" t="s">
        <v>12027</v>
      </c>
      <c r="G186" s="22" t="s">
        <v>19618</v>
      </c>
      <c r="H186" s="24" t="s">
        <v>12028</v>
      </c>
      <c r="I186" s="22" t="s">
        <v>19309</v>
      </c>
      <c r="J186" s="22" t="s">
        <v>20076</v>
      </c>
      <c r="K186" s="22" t="s">
        <v>12029</v>
      </c>
      <c r="L186" s="22"/>
      <c r="M186" s="22"/>
      <c r="N186" s="25" t="str">
        <f>HYPERLINK("http://slimages.macys.com/is/image/MCY/21443479 ")</f>
        <v xml:space="preserve">http://slimages.macys.com/is/image/MCY/21443479 </v>
      </c>
    </row>
    <row r="187" spans="1:14" ht="24.75" x14ac:dyDescent="0.25">
      <c r="A187" s="21" t="s">
        <v>5709</v>
      </c>
      <c r="B187" s="22" t="s">
        <v>5710</v>
      </c>
      <c r="C187" s="2">
        <v>1</v>
      </c>
      <c r="D187" s="23">
        <v>19.989999999999998</v>
      </c>
      <c r="E187" s="3">
        <v>19.989999999999998</v>
      </c>
      <c r="F187" s="2" t="s">
        <v>5711</v>
      </c>
      <c r="G187" s="22" t="s">
        <v>19342</v>
      </c>
      <c r="H187" s="24" t="s">
        <v>19330</v>
      </c>
      <c r="I187" s="22" t="s">
        <v>19309</v>
      </c>
      <c r="J187" s="22" t="s">
        <v>19491</v>
      </c>
      <c r="K187" s="22" t="s">
        <v>18064</v>
      </c>
      <c r="L187" s="22"/>
      <c r="M187" s="22"/>
      <c r="N187" s="25" t="str">
        <f>HYPERLINK("http://slimages.macys.com/is/image/MCY/20524918 ")</f>
        <v xml:space="preserve">http://slimages.macys.com/is/image/MCY/20524918 </v>
      </c>
    </row>
    <row r="188" spans="1:14" x14ac:dyDescent="0.25">
      <c r="A188" s="21" t="s">
        <v>15951</v>
      </c>
      <c r="B188" s="22" t="s">
        <v>15952</v>
      </c>
      <c r="C188" s="2">
        <v>1</v>
      </c>
      <c r="D188" s="23">
        <v>24</v>
      </c>
      <c r="E188" s="3">
        <v>24</v>
      </c>
      <c r="F188" s="2" t="s">
        <v>15953</v>
      </c>
      <c r="G188" s="22" t="s">
        <v>19674</v>
      </c>
      <c r="H188" s="24"/>
      <c r="I188" s="22" t="s">
        <v>19309</v>
      </c>
      <c r="J188" s="22" t="s">
        <v>19417</v>
      </c>
      <c r="K188" s="22" t="s">
        <v>20110</v>
      </c>
      <c r="L188" s="22"/>
      <c r="M188" s="22"/>
      <c r="N188" s="25" t="str">
        <f>HYPERLINK("http://slimages.macys.com/is/image/MCY/22296723 ")</f>
        <v xml:space="preserve">http://slimages.macys.com/is/image/MCY/22296723 </v>
      </c>
    </row>
    <row r="189" spans="1:14" ht="24.75" x14ac:dyDescent="0.25">
      <c r="A189" s="21" t="s">
        <v>8551</v>
      </c>
      <c r="B189" s="22" t="s">
        <v>8552</v>
      </c>
      <c r="C189" s="2">
        <v>1</v>
      </c>
      <c r="D189" s="23">
        <v>19.989999999999998</v>
      </c>
      <c r="E189" s="3">
        <v>19.989999999999998</v>
      </c>
      <c r="F189" s="2" t="s">
        <v>8553</v>
      </c>
      <c r="G189" s="22" t="s">
        <v>19342</v>
      </c>
      <c r="H189" s="24" t="s">
        <v>19324</v>
      </c>
      <c r="I189" s="22" t="s">
        <v>19309</v>
      </c>
      <c r="J189" s="22" t="s">
        <v>19385</v>
      </c>
      <c r="K189" s="22" t="s">
        <v>18064</v>
      </c>
      <c r="L189" s="22"/>
      <c r="M189" s="22"/>
      <c r="N189" s="25" t="str">
        <f>HYPERLINK("http://slimages.macys.com/is/image/MCY/20876789 ")</f>
        <v xml:space="preserve">http://slimages.macys.com/is/image/MCY/20876789 </v>
      </c>
    </row>
    <row r="190" spans="1:14" x14ac:dyDescent="0.25">
      <c r="A190" s="21" t="s">
        <v>5712</v>
      </c>
      <c r="B190" s="22" t="s">
        <v>5713</v>
      </c>
      <c r="C190" s="2">
        <v>1</v>
      </c>
      <c r="D190" s="23">
        <v>24</v>
      </c>
      <c r="E190" s="3">
        <v>24</v>
      </c>
      <c r="F190" s="2" t="s">
        <v>15953</v>
      </c>
      <c r="G190" s="22" t="s">
        <v>19674</v>
      </c>
      <c r="H190" s="24" t="s">
        <v>19538</v>
      </c>
      <c r="I190" s="22" t="s">
        <v>19309</v>
      </c>
      <c r="J190" s="22" t="s">
        <v>19417</v>
      </c>
      <c r="K190" s="22" t="s">
        <v>20110</v>
      </c>
      <c r="L190" s="22"/>
      <c r="M190" s="22"/>
      <c r="N190" s="25" t="str">
        <f>HYPERLINK("http://slimages.macys.com/is/image/MCY/22296723 ")</f>
        <v xml:space="preserve">http://slimages.macys.com/is/image/MCY/22296723 </v>
      </c>
    </row>
    <row r="191" spans="1:14" ht="24.75" x14ac:dyDescent="0.25">
      <c r="A191" s="21" t="s">
        <v>5714</v>
      </c>
      <c r="B191" s="22" t="s">
        <v>5715</v>
      </c>
      <c r="C191" s="2">
        <v>1</v>
      </c>
      <c r="D191" s="23">
        <v>17.82</v>
      </c>
      <c r="E191" s="3">
        <v>17.82</v>
      </c>
      <c r="F191" s="2" t="s">
        <v>15966</v>
      </c>
      <c r="G191" s="22"/>
      <c r="H191" s="24"/>
      <c r="I191" s="22" t="s">
        <v>19309</v>
      </c>
      <c r="J191" s="22" t="s">
        <v>19602</v>
      </c>
      <c r="K191" s="22" t="s">
        <v>20041</v>
      </c>
      <c r="L191" s="22"/>
      <c r="M191" s="22"/>
      <c r="N191" s="25" t="str">
        <f>HYPERLINK("http://slimages.macys.com/is/image/MCY/20529029 ")</f>
        <v xml:space="preserve">http://slimages.macys.com/is/image/MCY/20529029 </v>
      </c>
    </row>
    <row r="192" spans="1:14" ht="24.75" x14ac:dyDescent="0.25">
      <c r="A192" s="21" t="s">
        <v>15959</v>
      </c>
      <c r="B192" s="22" t="s">
        <v>15960</v>
      </c>
      <c r="C192" s="2">
        <v>1</v>
      </c>
      <c r="D192" s="23">
        <v>17.82</v>
      </c>
      <c r="E192" s="3">
        <v>17.82</v>
      </c>
      <c r="F192" s="2" t="s">
        <v>15961</v>
      </c>
      <c r="G192" s="22"/>
      <c r="H192" s="24" t="s">
        <v>19345</v>
      </c>
      <c r="I192" s="22" t="s">
        <v>19309</v>
      </c>
      <c r="J192" s="22" t="s">
        <v>19602</v>
      </c>
      <c r="K192" s="22" t="s">
        <v>20041</v>
      </c>
      <c r="L192" s="22"/>
      <c r="M192" s="22"/>
      <c r="N192" s="25" t="str">
        <f>HYPERLINK("http://slimages.macys.com/is/image/MCY/20529098 ")</f>
        <v xml:space="preserve">http://slimages.macys.com/is/image/MCY/20529098 </v>
      </c>
    </row>
    <row r="193" spans="1:14" ht="24.75" x14ac:dyDescent="0.25">
      <c r="A193" s="21" t="s">
        <v>5716</v>
      </c>
      <c r="B193" s="22" t="s">
        <v>5717</v>
      </c>
      <c r="C193" s="2">
        <v>1</v>
      </c>
      <c r="D193" s="23">
        <v>17.82</v>
      </c>
      <c r="E193" s="3">
        <v>17.82</v>
      </c>
      <c r="F193" s="2" t="s">
        <v>15961</v>
      </c>
      <c r="G193" s="22"/>
      <c r="H193" s="24"/>
      <c r="I193" s="22" t="s">
        <v>19309</v>
      </c>
      <c r="J193" s="22" t="s">
        <v>19602</v>
      </c>
      <c r="K193" s="22" t="s">
        <v>20041</v>
      </c>
      <c r="L193" s="22"/>
      <c r="M193" s="22"/>
      <c r="N193" s="25" t="str">
        <f>HYPERLINK("http://slimages.macys.com/is/image/MCY/20529098 ")</f>
        <v xml:space="preserve">http://slimages.macys.com/is/image/MCY/20529098 </v>
      </c>
    </row>
    <row r="194" spans="1:14" ht="24.75" x14ac:dyDescent="0.25">
      <c r="A194" s="21" t="s">
        <v>5718</v>
      </c>
      <c r="B194" s="22" t="s">
        <v>5719</v>
      </c>
      <c r="C194" s="2">
        <v>1</v>
      </c>
      <c r="D194" s="23">
        <v>17.82</v>
      </c>
      <c r="E194" s="3">
        <v>17.82</v>
      </c>
      <c r="F194" s="2" t="s">
        <v>15966</v>
      </c>
      <c r="G194" s="22"/>
      <c r="H194" s="24" t="s">
        <v>19392</v>
      </c>
      <c r="I194" s="22" t="s">
        <v>19309</v>
      </c>
      <c r="J194" s="22" t="s">
        <v>19602</v>
      </c>
      <c r="K194" s="22" t="s">
        <v>20041</v>
      </c>
      <c r="L194" s="22"/>
      <c r="M194" s="22"/>
      <c r="N194" s="25" t="str">
        <f>HYPERLINK("http://slimages.macys.com/is/image/MCY/20529029 ")</f>
        <v xml:space="preserve">http://slimages.macys.com/is/image/MCY/20529029 </v>
      </c>
    </row>
    <row r="195" spans="1:14" ht="24.75" x14ac:dyDescent="0.25">
      <c r="A195" s="21" t="s">
        <v>5720</v>
      </c>
      <c r="B195" s="22" t="s">
        <v>5721</v>
      </c>
      <c r="C195" s="2">
        <v>1</v>
      </c>
      <c r="D195" s="23">
        <v>13.99</v>
      </c>
      <c r="E195" s="3">
        <v>13.99</v>
      </c>
      <c r="F195" s="2" t="s">
        <v>20050</v>
      </c>
      <c r="G195" s="22" t="s">
        <v>19467</v>
      </c>
      <c r="H195" s="24" t="s">
        <v>19352</v>
      </c>
      <c r="I195" s="22" t="s">
        <v>19309</v>
      </c>
      <c r="J195" s="22" t="s">
        <v>19447</v>
      </c>
      <c r="K195" s="22" t="s">
        <v>19873</v>
      </c>
      <c r="L195" s="22"/>
      <c r="M195" s="22"/>
      <c r="N195" s="25" t="str">
        <f>HYPERLINK("http://slimages.macys.com/is/image/MCY/20670016 ")</f>
        <v xml:space="preserve">http://slimages.macys.com/is/image/MCY/20670016 </v>
      </c>
    </row>
    <row r="196" spans="1:14" ht="24.75" x14ac:dyDescent="0.25">
      <c r="A196" s="21" t="s">
        <v>20051</v>
      </c>
      <c r="B196" s="22" t="s">
        <v>20052</v>
      </c>
      <c r="C196" s="2">
        <v>1</v>
      </c>
      <c r="D196" s="23">
        <v>13.99</v>
      </c>
      <c r="E196" s="3">
        <v>13.99</v>
      </c>
      <c r="F196" s="2" t="s">
        <v>20050</v>
      </c>
      <c r="G196" s="22" t="s">
        <v>19467</v>
      </c>
      <c r="H196" s="24" t="s">
        <v>19339</v>
      </c>
      <c r="I196" s="22" t="s">
        <v>19309</v>
      </c>
      <c r="J196" s="22" t="s">
        <v>19447</v>
      </c>
      <c r="K196" s="22" t="s">
        <v>19873</v>
      </c>
      <c r="L196" s="22"/>
      <c r="M196" s="22"/>
      <c r="N196" s="25" t="str">
        <f>HYPERLINK("http://slimages.macys.com/is/image/MCY/20670016 ")</f>
        <v xml:space="preserve">http://slimages.macys.com/is/image/MCY/20670016 </v>
      </c>
    </row>
    <row r="197" spans="1:14" x14ac:dyDescent="0.25">
      <c r="A197" s="21" t="s">
        <v>6742</v>
      </c>
      <c r="B197" s="22" t="s">
        <v>6743</v>
      </c>
      <c r="C197" s="2">
        <v>1</v>
      </c>
      <c r="D197" s="23">
        <v>16.22</v>
      </c>
      <c r="E197" s="3">
        <v>16.22</v>
      </c>
      <c r="F197" s="2" t="s">
        <v>18112</v>
      </c>
      <c r="G197" s="22" t="s">
        <v>19342</v>
      </c>
      <c r="H197" s="24" t="s">
        <v>19432</v>
      </c>
      <c r="I197" s="22" t="s">
        <v>19309</v>
      </c>
      <c r="J197" s="22" t="s">
        <v>19514</v>
      </c>
      <c r="K197" s="22" t="s">
        <v>17948</v>
      </c>
      <c r="L197" s="22"/>
      <c r="M197" s="22"/>
      <c r="N197" s="25" t="str">
        <f>HYPERLINK("http://slimages.macys.com/is/image/MCY/21701114 ")</f>
        <v xml:space="preserve">http://slimages.macys.com/is/image/MCY/21701114 </v>
      </c>
    </row>
    <row r="198" spans="1:14" ht="24.75" x14ac:dyDescent="0.25">
      <c r="A198" s="21" t="s">
        <v>5722</v>
      </c>
      <c r="B198" s="22" t="s">
        <v>5723</v>
      </c>
      <c r="C198" s="2">
        <v>1</v>
      </c>
      <c r="D198" s="23">
        <v>19.989999999999998</v>
      </c>
      <c r="E198" s="3">
        <v>19.989999999999998</v>
      </c>
      <c r="F198" s="2" t="s">
        <v>20060</v>
      </c>
      <c r="G198" s="22" t="s">
        <v>19618</v>
      </c>
      <c r="H198" s="24" t="s">
        <v>19416</v>
      </c>
      <c r="I198" s="22" t="s">
        <v>19309</v>
      </c>
      <c r="J198" s="22" t="s">
        <v>19573</v>
      </c>
      <c r="K198" s="22" t="s">
        <v>19574</v>
      </c>
      <c r="L198" s="22"/>
      <c r="M198" s="22"/>
      <c r="N198" s="25" t="str">
        <f>HYPERLINK("http://slimages.macys.com/is/image/MCY/21088467 ")</f>
        <v xml:space="preserve">http://slimages.macys.com/is/image/MCY/21088467 </v>
      </c>
    </row>
    <row r="199" spans="1:14" x14ac:dyDescent="0.25">
      <c r="A199" s="21" t="s">
        <v>5724</v>
      </c>
      <c r="B199" s="22" t="s">
        <v>5725</v>
      </c>
      <c r="C199" s="2">
        <v>1</v>
      </c>
      <c r="D199" s="23">
        <v>15.99</v>
      </c>
      <c r="E199" s="3">
        <v>15.99</v>
      </c>
      <c r="F199" s="2" t="s">
        <v>5726</v>
      </c>
      <c r="G199" s="22" t="s">
        <v>19333</v>
      </c>
      <c r="H199" s="24" t="s">
        <v>19339</v>
      </c>
      <c r="I199" s="22" t="s">
        <v>19309</v>
      </c>
      <c r="J199" s="22" t="s">
        <v>19310</v>
      </c>
      <c r="K199" s="22" t="s">
        <v>19529</v>
      </c>
      <c r="L199" s="22"/>
      <c r="M199" s="22"/>
      <c r="N199" s="25" t="str">
        <f>HYPERLINK("http://slimages.macys.com/is/image/MCY/21531032 ")</f>
        <v xml:space="preserve">http://slimages.macys.com/is/image/MCY/21531032 </v>
      </c>
    </row>
    <row r="200" spans="1:14" ht="24.75" x14ac:dyDescent="0.25">
      <c r="A200" s="21" t="s">
        <v>5727</v>
      </c>
      <c r="B200" s="22" t="s">
        <v>5728</v>
      </c>
      <c r="C200" s="2">
        <v>1</v>
      </c>
      <c r="D200" s="23">
        <v>20.99</v>
      </c>
      <c r="E200" s="3">
        <v>20.99</v>
      </c>
      <c r="F200" s="2" t="s">
        <v>5729</v>
      </c>
      <c r="G200" s="22" t="s">
        <v>19323</v>
      </c>
      <c r="H200" s="24" t="s">
        <v>19384</v>
      </c>
      <c r="I200" s="22" t="s">
        <v>19309</v>
      </c>
      <c r="J200" s="22" t="s">
        <v>19385</v>
      </c>
      <c r="K200" s="22" t="s">
        <v>19386</v>
      </c>
      <c r="L200" s="22"/>
      <c r="M200" s="22"/>
      <c r="N200" s="25" t="str">
        <f>HYPERLINK("http://slimages.macys.com/is/image/MCY/21313485 ")</f>
        <v xml:space="preserve">http://slimages.macys.com/is/image/MCY/21313485 </v>
      </c>
    </row>
    <row r="201" spans="1:14" ht="24.75" x14ac:dyDescent="0.25">
      <c r="A201" s="21" t="s">
        <v>5730</v>
      </c>
      <c r="B201" s="22" t="s">
        <v>5731</v>
      </c>
      <c r="C201" s="2">
        <v>2</v>
      </c>
      <c r="D201" s="23">
        <v>20.99</v>
      </c>
      <c r="E201" s="3">
        <v>41.98</v>
      </c>
      <c r="F201" s="2" t="s">
        <v>5732</v>
      </c>
      <c r="G201" s="22" t="s">
        <v>19879</v>
      </c>
      <c r="H201" s="24" t="s">
        <v>19384</v>
      </c>
      <c r="I201" s="22" t="s">
        <v>19309</v>
      </c>
      <c r="J201" s="22" t="s">
        <v>19385</v>
      </c>
      <c r="K201" s="22" t="s">
        <v>19386</v>
      </c>
      <c r="L201" s="22"/>
      <c r="M201" s="22"/>
      <c r="N201" s="25" t="str">
        <f>HYPERLINK("http://slimages.macys.com/is/image/MCY/21465544 ")</f>
        <v xml:space="preserve">http://slimages.macys.com/is/image/MCY/21465544 </v>
      </c>
    </row>
    <row r="202" spans="1:14" ht="24.75" x14ac:dyDescent="0.25">
      <c r="A202" s="21" t="s">
        <v>5733</v>
      </c>
      <c r="B202" s="22" t="s">
        <v>5734</v>
      </c>
      <c r="C202" s="2">
        <v>1</v>
      </c>
      <c r="D202" s="23">
        <v>14.99</v>
      </c>
      <c r="E202" s="3">
        <v>14.99</v>
      </c>
      <c r="F202" s="2" t="s">
        <v>5735</v>
      </c>
      <c r="G202" s="22" t="s">
        <v>19342</v>
      </c>
      <c r="H202" s="24" t="s">
        <v>19395</v>
      </c>
      <c r="I202" s="22" t="s">
        <v>19309</v>
      </c>
      <c r="J202" s="22" t="s">
        <v>20076</v>
      </c>
      <c r="K202" s="22" t="s">
        <v>5736</v>
      </c>
      <c r="L202" s="22" t="s">
        <v>19319</v>
      </c>
      <c r="M202" s="22" t="s">
        <v>19358</v>
      </c>
      <c r="N202" s="25" t="str">
        <f>HYPERLINK("http://slimages.macys.com/is/image/MCY/3891062 ")</f>
        <v xml:space="preserve">http://slimages.macys.com/is/image/MCY/3891062 </v>
      </c>
    </row>
    <row r="203" spans="1:14" ht="24.75" x14ac:dyDescent="0.25">
      <c r="A203" s="21" t="s">
        <v>5737</v>
      </c>
      <c r="B203" s="22" t="s">
        <v>5738</v>
      </c>
      <c r="C203" s="2">
        <v>1</v>
      </c>
      <c r="D203" s="23">
        <v>20</v>
      </c>
      <c r="E203" s="3">
        <v>20</v>
      </c>
      <c r="F203" s="2" t="s">
        <v>5739</v>
      </c>
      <c r="G203" s="22" t="s">
        <v>19315</v>
      </c>
      <c r="H203" s="24" t="s">
        <v>16005</v>
      </c>
      <c r="I203" s="22" t="s">
        <v>19309</v>
      </c>
      <c r="J203" s="22" t="s">
        <v>16678</v>
      </c>
      <c r="K203" s="22" t="s">
        <v>16006</v>
      </c>
      <c r="L203" s="22"/>
      <c r="M203" s="22"/>
      <c r="N203" s="25" t="str">
        <f>HYPERLINK("http://slimages.macys.com/is/image/MCY/20091874 ")</f>
        <v xml:space="preserve">http://slimages.macys.com/is/image/MCY/20091874 </v>
      </c>
    </row>
    <row r="204" spans="1:14" ht="24.75" x14ac:dyDescent="0.25">
      <c r="A204" s="21" t="s">
        <v>5740</v>
      </c>
      <c r="B204" s="22" t="s">
        <v>5741</v>
      </c>
      <c r="C204" s="2">
        <v>1</v>
      </c>
      <c r="D204" s="23">
        <v>20.99</v>
      </c>
      <c r="E204" s="3">
        <v>20.99</v>
      </c>
      <c r="F204" s="2" t="s">
        <v>5742</v>
      </c>
      <c r="G204" s="22" t="s">
        <v>13313</v>
      </c>
      <c r="H204" s="24" t="s">
        <v>19538</v>
      </c>
      <c r="I204" s="22" t="s">
        <v>19309</v>
      </c>
      <c r="J204" s="22" t="s">
        <v>19385</v>
      </c>
      <c r="K204" s="22" t="s">
        <v>19386</v>
      </c>
      <c r="L204" s="22"/>
      <c r="M204" s="22"/>
      <c r="N204" s="25" t="str">
        <f>HYPERLINK("http://slimages.macys.com/is/image/MCY/21313494 ")</f>
        <v xml:space="preserve">http://slimages.macys.com/is/image/MCY/21313494 </v>
      </c>
    </row>
    <row r="205" spans="1:14" x14ac:dyDescent="0.25">
      <c r="A205" s="21" t="s">
        <v>5743</v>
      </c>
      <c r="B205" s="22" t="s">
        <v>5744</v>
      </c>
      <c r="C205" s="2">
        <v>1</v>
      </c>
      <c r="D205" s="23">
        <v>18.11</v>
      </c>
      <c r="E205" s="3">
        <v>18.11</v>
      </c>
      <c r="F205" s="2" t="s">
        <v>10499</v>
      </c>
      <c r="G205" s="22" t="s">
        <v>19338</v>
      </c>
      <c r="H205" s="24" t="s">
        <v>19367</v>
      </c>
      <c r="I205" s="22" t="s">
        <v>19309</v>
      </c>
      <c r="J205" s="22" t="s">
        <v>19708</v>
      </c>
      <c r="K205" s="22" t="s">
        <v>19709</v>
      </c>
      <c r="L205" s="22"/>
      <c r="M205" s="22"/>
      <c r="N205" s="25" t="str">
        <f>HYPERLINK("http://slimages.macys.com/is/image/MCY/21409832 ")</f>
        <v xml:space="preserve">http://slimages.macys.com/is/image/MCY/21409832 </v>
      </c>
    </row>
    <row r="206" spans="1:14" x14ac:dyDescent="0.25">
      <c r="A206" s="21" t="s">
        <v>5745</v>
      </c>
      <c r="B206" s="22" t="s">
        <v>5746</v>
      </c>
      <c r="C206" s="2">
        <v>1</v>
      </c>
      <c r="D206" s="23">
        <v>15.3</v>
      </c>
      <c r="E206" s="3">
        <v>15.3</v>
      </c>
      <c r="F206" s="2" t="s">
        <v>16009</v>
      </c>
      <c r="G206" s="22" t="s">
        <v>19351</v>
      </c>
      <c r="H206" s="24" t="s">
        <v>19367</v>
      </c>
      <c r="I206" s="22" t="s">
        <v>19309</v>
      </c>
      <c r="J206" s="22" t="s">
        <v>19708</v>
      </c>
      <c r="K206" s="22" t="s">
        <v>19709</v>
      </c>
      <c r="L206" s="22"/>
      <c r="M206" s="22"/>
      <c r="N206" s="25" t="str">
        <f>HYPERLINK("http://slimages.macys.com/is/image/MCY/21409830 ")</f>
        <v xml:space="preserve">http://slimages.macys.com/is/image/MCY/21409830 </v>
      </c>
    </row>
    <row r="207" spans="1:14" x14ac:dyDescent="0.25">
      <c r="A207" s="21" t="s">
        <v>6758</v>
      </c>
      <c r="B207" s="22" t="s">
        <v>6759</v>
      </c>
      <c r="C207" s="2">
        <v>1</v>
      </c>
      <c r="D207" s="23">
        <v>15.3</v>
      </c>
      <c r="E207" s="3">
        <v>15.3</v>
      </c>
      <c r="F207" s="2" t="s">
        <v>20082</v>
      </c>
      <c r="G207" s="22" t="s">
        <v>19794</v>
      </c>
      <c r="H207" s="24" t="s">
        <v>20152</v>
      </c>
      <c r="I207" s="22" t="s">
        <v>19309</v>
      </c>
      <c r="J207" s="22" t="s">
        <v>19708</v>
      </c>
      <c r="K207" s="22" t="s">
        <v>19709</v>
      </c>
      <c r="L207" s="22"/>
      <c r="M207" s="22"/>
      <c r="N207" s="25" t="str">
        <f>HYPERLINK("http://slimages.macys.com/is/image/MCY/21409023 ")</f>
        <v xml:space="preserve">http://slimages.macys.com/is/image/MCY/21409023 </v>
      </c>
    </row>
    <row r="208" spans="1:14" x14ac:dyDescent="0.25">
      <c r="A208" s="21" t="s">
        <v>18124</v>
      </c>
      <c r="B208" s="22" t="s">
        <v>18125</v>
      </c>
      <c r="C208" s="2">
        <v>1</v>
      </c>
      <c r="D208" s="23">
        <v>21.99</v>
      </c>
      <c r="E208" s="3">
        <v>21.99</v>
      </c>
      <c r="F208" s="2" t="s">
        <v>18126</v>
      </c>
      <c r="G208" s="22" t="s">
        <v>19674</v>
      </c>
      <c r="H208" s="24" t="s">
        <v>19364</v>
      </c>
      <c r="I208" s="22" t="s">
        <v>19309</v>
      </c>
      <c r="J208" s="22" t="s">
        <v>19849</v>
      </c>
      <c r="K208" s="22" t="s">
        <v>19850</v>
      </c>
      <c r="L208" s="22"/>
      <c r="M208" s="22"/>
      <c r="N208" s="25" t="str">
        <f>HYPERLINK("http://slimages.macys.com/is/image/MCY/975791 ")</f>
        <v xml:space="preserve">http://slimages.macys.com/is/image/MCY/975791 </v>
      </c>
    </row>
    <row r="209" spans="1:14" x14ac:dyDescent="0.25">
      <c r="A209" s="21" t="s">
        <v>5747</v>
      </c>
      <c r="B209" s="22" t="s">
        <v>5748</v>
      </c>
      <c r="C209" s="2">
        <v>1</v>
      </c>
      <c r="D209" s="23">
        <v>44.5</v>
      </c>
      <c r="E209" s="3">
        <v>44.5</v>
      </c>
      <c r="F209" s="2">
        <v>100147724</v>
      </c>
      <c r="G209" s="22" t="s">
        <v>17811</v>
      </c>
      <c r="H209" s="24" t="s">
        <v>13630</v>
      </c>
      <c r="I209" s="22" t="s">
        <v>19309</v>
      </c>
      <c r="J209" s="22" t="s">
        <v>17328</v>
      </c>
      <c r="K209" s="22" t="s">
        <v>8845</v>
      </c>
      <c r="L209" s="22"/>
      <c r="M209" s="22"/>
      <c r="N209" s="25" t="str">
        <f>HYPERLINK("http://slimages.macys.com/is/image/MCY/20989265 ")</f>
        <v xml:space="preserve">http://slimages.macys.com/is/image/MCY/20989265 </v>
      </c>
    </row>
    <row r="210" spans="1:14" x14ac:dyDescent="0.25">
      <c r="A210" s="21" t="s">
        <v>5749</v>
      </c>
      <c r="B210" s="22" t="s">
        <v>5750</v>
      </c>
      <c r="C210" s="2">
        <v>1</v>
      </c>
      <c r="D210" s="23">
        <v>44.5</v>
      </c>
      <c r="E210" s="3">
        <v>44.5</v>
      </c>
      <c r="F210" s="2">
        <v>100147724</v>
      </c>
      <c r="G210" s="22" t="s">
        <v>17811</v>
      </c>
      <c r="H210" s="24" t="s">
        <v>8647</v>
      </c>
      <c r="I210" s="22" t="s">
        <v>19309</v>
      </c>
      <c r="J210" s="22" t="s">
        <v>17328</v>
      </c>
      <c r="K210" s="22" t="s">
        <v>8845</v>
      </c>
      <c r="L210" s="22"/>
      <c r="M210" s="22"/>
      <c r="N210" s="25" t="str">
        <f>HYPERLINK("http://slimages.macys.com/is/image/MCY/20989265 ")</f>
        <v xml:space="preserve">http://slimages.macys.com/is/image/MCY/20989265 </v>
      </c>
    </row>
    <row r="211" spans="1:14" x14ac:dyDescent="0.25">
      <c r="A211" s="21" t="s">
        <v>5751</v>
      </c>
      <c r="B211" s="22" t="s">
        <v>5752</v>
      </c>
      <c r="C211" s="2">
        <v>1</v>
      </c>
      <c r="D211" s="23">
        <v>44.5</v>
      </c>
      <c r="E211" s="3">
        <v>44.5</v>
      </c>
      <c r="F211" s="2">
        <v>100147724</v>
      </c>
      <c r="G211" s="22" t="s">
        <v>17811</v>
      </c>
      <c r="H211" s="24" t="s">
        <v>11239</v>
      </c>
      <c r="I211" s="22" t="s">
        <v>19309</v>
      </c>
      <c r="J211" s="22" t="s">
        <v>17328</v>
      </c>
      <c r="K211" s="22" t="s">
        <v>8845</v>
      </c>
      <c r="L211" s="22"/>
      <c r="M211" s="22"/>
      <c r="N211" s="25" t="str">
        <f>HYPERLINK("http://slimages.macys.com/is/image/MCY/20989265 ")</f>
        <v xml:space="preserve">http://slimages.macys.com/is/image/MCY/20989265 </v>
      </c>
    </row>
    <row r="212" spans="1:14" ht="24.75" x14ac:dyDescent="0.25">
      <c r="A212" s="21" t="s">
        <v>5753</v>
      </c>
      <c r="B212" s="22" t="s">
        <v>5754</v>
      </c>
      <c r="C212" s="2">
        <v>1</v>
      </c>
      <c r="D212" s="23">
        <v>21.99</v>
      </c>
      <c r="E212" s="3">
        <v>21.99</v>
      </c>
      <c r="F212" s="2" t="s">
        <v>18126</v>
      </c>
      <c r="G212" s="22" t="s">
        <v>19955</v>
      </c>
      <c r="H212" s="24" t="s">
        <v>19339</v>
      </c>
      <c r="I212" s="22" t="s">
        <v>19309</v>
      </c>
      <c r="J212" s="22" t="s">
        <v>19849</v>
      </c>
      <c r="K212" s="22" t="s">
        <v>19850</v>
      </c>
      <c r="L212" s="22"/>
      <c r="M212" s="22"/>
      <c r="N212" s="25" t="str">
        <f>HYPERLINK("http://slimages.macys.com/is/image/MCY/20530608 ")</f>
        <v xml:space="preserve">http://slimages.macys.com/is/image/MCY/20530608 </v>
      </c>
    </row>
    <row r="213" spans="1:14" x14ac:dyDescent="0.25">
      <c r="A213" s="21" t="s">
        <v>5755</v>
      </c>
      <c r="B213" s="22" t="s">
        <v>5756</v>
      </c>
      <c r="C213" s="2">
        <v>1</v>
      </c>
      <c r="D213" s="23">
        <v>44.5</v>
      </c>
      <c r="E213" s="3">
        <v>44.5</v>
      </c>
      <c r="F213" s="2">
        <v>100147724</v>
      </c>
      <c r="G213" s="22" t="s">
        <v>17811</v>
      </c>
      <c r="H213" s="24" t="s">
        <v>6444</v>
      </c>
      <c r="I213" s="22" t="s">
        <v>19309</v>
      </c>
      <c r="J213" s="22" t="s">
        <v>17328</v>
      </c>
      <c r="K213" s="22" t="s">
        <v>8845</v>
      </c>
      <c r="L213" s="22"/>
      <c r="M213" s="22"/>
      <c r="N213" s="25" t="str">
        <f>HYPERLINK("http://slimages.macys.com/is/image/MCY/20989265 ")</f>
        <v xml:space="preserve">http://slimages.macys.com/is/image/MCY/20989265 </v>
      </c>
    </row>
    <row r="214" spans="1:14" ht="24.75" x14ac:dyDescent="0.25">
      <c r="A214" s="21" t="s">
        <v>16018</v>
      </c>
      <c r="B214" s="22" t="s">
        <v>16019</v>
      </c>
      <c r="C214" s="2">
        <v>1</v>
      </c>
      <c r="D214" s="23">
        <v>19.989999999999998</v>
      </c>
      <c r="E214" s="3">
        <v>19.989999999999998</v>
      </c>
      <c r="F214" s="2" t="s">
        <v>20094</v>
      </c>
      <c r="G214" s="22" t="s">
        <v>19415</v>
      </c>
      <c r="H214" s="24" t="s">
        <v>19361</v>
      </c>
      <c r="I214" s="22" t="s">
        <v>19309</v>
      </c>
      <c r="J214" s="22" t="s">
        <v>19908</v>
      </c>
      <c r="K214" s="22" t="s">
        <v>19524</v>
      </c>
      <c r="L214" s="22"/>
      <c r="M214" s="22"/>
      <c r="N214" s="25" t="str">
        <f>HYPERLINK("http://slimages.macys.com/is/image/MCY/21070251 ")</f>
        <v xml:space="preserve">http://slimages.macys.com/is/image/MCY/21070251 </v>
      </c>
    </row>
    <row r="215" spans="1:14" ht="24.75" x14ac:dyDescent="0.25">
      <c r="A215" s="21" t="s">
        <v>5757</v>
      </c>
      <c r="B215" s="22" t="s">
        <v>5758</v>
      </c>
      <c r="C215" s="2">
        <v>1</v>
      </c>
      <c r="D215" s="23">
        <v>19.989999999999998</v>
      </c>
      <c r="E215" s="3">
        <v>19.989999999999998</v>
      </c>
      <c r="F215" s="2" t="s">
        <v>16017</v>
      </c>
      <c r="G215" s="22" t="s">
        <v>19333</v>
      </c>
      <c r="H215" s="24" t="s">
        <v>20135</v>
      </c>
      <c r="I215" s="22" t="s">
        <v>19309</v>
      </c>
      <c r="J215" s="22" t="s">
        <v>19908</v>
      </c>
      <c r="K215" s="22" t="s">
        <v>19524</v>
      </c>
      <c r="L215" s="22"/>
      <c r="M215" s="22"/>
      <c r="N215" s="25" t="str">
        <f>HYPERLINK("http://slimages.macys.com/is/image/MCY/21070253 ")</f>
        <v xml:space="preserve">http://slimages.macys.com/is/image/MCY/21070253 </v>
      </c>
    </row>
    <row r="216" spans="1:14" ht="24.75" x14ac:dyDescent="0.25">
      <c r="A216" s="21" t="s">
        <v>16020</v>
      </c>
      <c r="B216" s="22" t="s">
        <v>16021</v>
      </c>
      <c r="C216" s="2">
        <v>1</v>
      </c>
      <c r="D216" s="23">
        <v>19.989999999999998</v>
      </c>
      <c r="E216" s="3">
        <v>19.989999999999998</v>
      </c>
      <c r="F216" s="2" t="s">
        <v>16017</v>
      </c>
      <c r="G216" s="22" t="s">
        <v>19333</v>
      </c>
      <c r="H216" s="24" t="s">
        <v>19377</v>
      </c>
      <c r="I216" s="22" t="s">
        <v>19309</v>
      </c>
      <c r="J216" s="22" t="s">
        <v>19908</v>
      </c>
      <c r="K216" s="22" t="s">
        <v>19524</v>
      </c>
      <c r="L216" s="22"/>
      <c r="M216" s="22"/>
      <c r="N216" s="25" t="str">
        <f>HYPERLINK("http://slimages.macys.com/is/image/MCY/21070253 ")</f>
        <v xml:space="preserve">http://slimages.macys.com/is/image/MCY/21070253 </v>
      </c>
    </row>
    <row r="217" spans="1:14" ht="24.75" x14ac:dyDescent="0.25">
      <c r="A217" s="21" t="s">
        <v>5759</v>
      </c>
      <c r="B217" s="22" t="s">
        <v>5760</v>
      </c>
      <c r="C217" s="2">
        <v>1</v>
      </c>
      <c r="D217" s="23">
        <v>16.989999999999998</v>
      </c>
      <c r="E217" s="3">
        <v>16.989999999999998</v>
      </c>
      <c r="F217" s="2" t="s">
        <v>5761</v>
      </c>
      <c r="G217" s="22" t="s">
        <v>19618</v>
      </c>
      <c r="H217" s="24" t="s">
        <v>12028</v>
      </c>
      <c r="I217" s="22" t="s">
        <v>19309</v>
      </c>
      <c r="J217" s="22" t="s">
        <v>20076</v>
      </c>
      <c r="K217" s="22" t="s">
        <v>12029</v>
      </c>
      <c r="L217" s="22"/>
      <c r="M217" s="22"/>
      <c r="N217" s="25" t="str">
        <f>HYPERLINK("http://slimages.macys.com/is/image/MCY/18625480 ")</f>
        <v xml:space="preserve">http://slimages.macys.com/is/image/MCY/18625480 </v>
      </c>
    </row>
    <row r="218" spans="1:14" ht="24.75" x14ac:dyDescent="0.25">
      <c r="A218" s="21" t="s">
        <v>5762</v>
      </c>
      <c r="B218" s="22" t="s">
        <v>5763</v>
      </c>
      <c r="C218" s="2">
        <v>1</v>
      </c>
      <c r="D218" s="23">
        <v>16.82</v>
      </c>
      <c r="E218" s="3">
        <v>16.82</v>
      </c>
      <c r="F218" s="2" t="s">
        <v>5764</v>
      </c>
      <c r="G218" s="22"/>
      <c r="H218" s="24" t="s">
        <v>19345</v>
      </c>
      <c r="I218" s="22" t="s">
        <v>19309</v>
      </c>
      <c r="J218" s="22" t="s">
        <v>19602</v>
      </c>
      <c r="K218" s="22" t="s">
        <v>20041</v>
      </c>
      <c r="L218" s="22"/>
      <c r="M218" s="22"/>
      <c r="N218" s="25" t="str">
        <f>HYPERLINK("http://slimages.macys.com/is/image/MCY/21420413 ")</f>
        <v xml:space="preserve">http://slimages.macys.com/is/image/MCY/21420413 </v>
      </c>
    </row>
    <row r="219" spans="1:14" ht="24.75" x14ac:dyDescent="0.25">
      <c r="A219" s="21" t="s">
        <v>5765</v>
      </c>
      <c r="B219" s="22" t="s">
        <v>5766</v>
      </c>
      <c r="C219" s="2">
        <v>1</v>
      </c>
      <c r="D219" s="23">
        <v>15.99</v>
      </c>
      <c r="E219" s="3">
        <v>15.99</v>
      </c>
      <c r="F219" s="2" t="s">
        <v>18142</v>
      </c>
      <c r="G219" s="22" t="s">
        <v>19307</v>
      </c>
      <c r="H219" s="24" t="s">
        <v>19345</v>
      </c>
      <c r="I219" s="22" t="s">
        <v>19309</v>
      </c>
      <c r="J219" s="22" t="s">
        <v>19447</v>
      </c>
      <c r="K219" s="22" t="s">
        <v>19463</v>
      </c>
      <c r="L219" s="22"/>
      <c r="M219" s="22"/>
      <c r="N219" s="25" t="str">
        <f>HYPERLINK("http://slimages.macys.com/is/image/MCY/21842856 ")</f>
        <v xml:space="preserve">http://slimages.macys.com/is/image/MCY/21842856 </v>
      </c>
    </row>
    <row r="220" spans="1:14" x14ac:dyDescent="0.25">
      <c r="A220" s="21" t="s">
        <v>7530</v>
      </c>
      <c r="B220" s="22" t="s">
        <v>7531</v>
      </c>
      <c r="C220" s="2">
        <v>1</v>
      </c>
      <c r="D220" s="23">
        <v>15.99</v>
      </c>
      <c r="E220" s="3">
        <v>15.99</v>
      </c>
      <c r="F220" s="2" t="s">
        <v>7532</v>
      </c>
      <c r="G220" s="22" t="s">
        <v>19670</v>
      </c>
      <c r="H220" s="24" t="s">
        <v>19334</v>
      </c>
      <c r="I220" s="22" t="s">
        <v>19309</v>
      </c>
      <c r="J220" s="22" t="s">
        <v>19310</v>
      </c>
      <c r="K220" s="22" t="s">
        <v>19623</v>
      </c>
      <c r="L220" s="22"/>
      <c r="M220" s="22"/>
      <c r="N220" s="25" t="str">
        <f>HYPERLINK("http://slimages.macys.com/is/image/MCY/21918735 ")</f>
        <v xml:space="preserve">http://slimages.macys.com/is/image/MCY/21918735 </v>
      </c>
    </row>
    <row r="221" spans="1:14" ht="24.75" x14ac:dyDescent="0.25">
      <c r="A221" s="21" t="s">
        <v>5767</v>
      </c>
      <c r="B221" s="22" t="s">
        <v>5768</v>
      </c>
      <c r="C221" s="2">
        <v>1</v>
      </c>
      <c r="D221" s="23">
        <v>14</v>
      </c>
      <c r="E221" s="3">
        <v>14</v>
      </c>
      <c r="F221" s="2" t="s">
        <v>5769</v>
      </c>
      <c r="G221" s="22" t="s">
        <v>19879</v>
      </c>
      <c r="H221" s="24" t="s">
        <v>11605</v>
      </c>
      <c r="I221" s="22" t="s">
        <v>19309</v>
      </c>
      <c r="J221" s="22" t="s">
        <v>19317</v>
      </c>
      <c r="K221" s="22" t="s">
        <v>16124</v>
      </c>
      <c r="L221" s="22" t="s">
        <v>19319</v>
      </c>
      <c r="M221" s="22" t="s">
        <v>5770</v>
      </c>
      <c r="N221" s="25" t="str">
        <f>HYPERLINK("http://slimages.macys.com/is/image/MCY/13914401 ")</f>
        <v xml:space="preserve">http://slimages.macys.com/is/image/MCY/13914401 </v>
      </c>
    </row>
    <row r="222" spans="1:14" x14ac:dyDescent="0.25">
      <c r="A222" s="21" t="s">
        <v>11599</v>
      </c>
      <c r="B222" s="22" t="s">
        <v>11600</v>
      </c>
      <c r="C222" s="2">
        <v>1</v>
      </c>
      <c r="D222" s="23">
        <v>16.989999999999998</v>
      </c>
      <c r="E222" s="3">
        <v>16.989999999999998</v>
      </c>
      <c r="F222" s="2" t="s">
        <v>11601</v>
      </c>
      <c r="G222" s="22" t="s">
        <v>19307</v>
      </c>
      <c r="H222" s="24" t="s">
        <v>19392</v>
      </c>
      <c r="I222" s="22" t="s">
        <v>19309</v>
      </c>
      <c r="J222" s="22" t="s">
        <v>19310</v>
      </c>
      <c r="K222" s="22" t="s">
        <v>19433</v>
      </c>
      <c r="L222" s="22"/>
      <c r="M222" s="22"/>
      <c r="N222" s="25" t="str">
        <f>HYPERLINK("http://slimages.macys.com/is/image/MCY/21964412 ")</f>
        <v xml:space="preserve">http://slimages.macys.com/is/image/MCY/21964412 </v>
      </c>
    </row>
    <row r="223" spans="1:14" x14ac:dyDescent="0.25">
      <c r="A223" s="21" t="s">
        <v>5771</v>
      </c>
      <c r="B223" s="22" t="s">
        <v>5772</v>
      </c>
      <c r="C223" s="2">
        <v>1</v>
      </c>
      <c r="D223" s="23">
        <v>15.99</v>
      </c>
      <c r="E223" s="3">
        <v>15.99</v>
      </c>
      <c r="F223" s="2" t="s">
        <v>18148</v>
      </c>
      <c r="G223" s="22" t="s">
        <v>19630</v>
      </c>
      <c r="H223" s="24" t="s">
        <v>19395</v>
      </c>
      <c r="I223" s="22" t="s">
        <v>19309</v>
      </c>
      <c r="J223" s="22" t="s">
        <v>19310</v>
      </c>
      <c r="K223" s="22" t="s">
        <v>19623</v>
      </c>
      <c r="L223" s="22"/>
      <c r="M223" s="22"/>
      <c r="N223" s="25" t="str">
        <f>HYPERLINK("http://slimages.macys.com/is/image/MCY/21918756 ")</f>
        <v xml:space="preserve">http://slimages.macys.com/is/image/MCY/21918756 </v>
      </c>
    </row>
    <row r="224" spans="1:14" x14ac:dyDescent="0.25">
      <c r="A224" s="21" t="s">
        <v>5773</v>
      </c>
      <c r="B224" s="22" t="s">
        <v>5774</v>
      </c>
      <c r="C224" s="2">
        <v>1</v>
      </c>
      <c r="D224" s="23">
        <v>19</v>
      </c>
      <c r="E224" s="3">
        <v>19</v>
      </c>
      <c r="F224" s="2" t="s">
        <v>5775</v>
      </c>
      <c r="G224" s="22" t="s">
        <v>19338</v>
      </c>
      <c r="H224" s="24" t="s">
        <v>19367</v>
      </c>
      <c r="I224" s="22" t="s">
        <v>19309</v>
      </c>
      <c r="J224" s="22" t="s">
        <v>19708</v>
      </c>
      <c r="K224" s="22" t="s">
        <v>19709</v>
      </c>
      <c r="L224" s="22"/>
      <c r="M224" s="22"/>
      <c r="N224" s="25" t="str">
        <f>HYPERLINK("http://slimages.macys.com/is/image/MCY/21726281 ")</f>
        <v xml:space="preserve">http://slimages.macys.com/is/image/MCY/21726281 </v>
      </c>
    </row>
    <row r="225" spans="1:14" x14ac:dyDescent="0.25">
      <c r="A225" s="21" t="s">
        <v>12087</v>
      </c>
      <c r="B225" s="22" t="s">
        <v>12088</v>
      </c>
      <c r="C225" s="2">
        <v>1</v>
      </c>
      <c r="D225" s="23">
        <v>18.77</v>
      </c>
      <c r="E225" s="3">
        <v>18.77</v>
      </c>
      <c r="F225" s="2" t="s">
        <v>18156</v>
      </c>
      <c r="G225" s="22"/>
      <c r="H225" s="24" t="s">
        <v>19324</v>
      </c>
      <c r="I225" s="22" t="s">
        <v>19309</v>
      </c>
      <c r="J225" s="22" t="s">
        <v>19708</v>
      </c>
      <c r="K225" s="22" t="s">
        <v>19709</v>
      </c>
      <c r="L225" s="22"/>
      <c r="M225" s="22"/>
      <c r="N225" s="25" t="str">
        <f>HYPERLINK("http://slimages.macys.com/is/image/MCY/22596095 ")</f>
        <v xml:space="preserve">http://slimages.macys.com/is/image/MCY/22596095 </v>
      </c>
    </row>
    <row r="226" spans="1:14" x14ac:dyDescent="0.25">
      <c r="A226" s="21" t="s">
        <v>18154</v>
      </c>
      <c r="B226" s="22" t="s">
        <v>18155</v>
      </c>
      <c r="C226" s="2">
        <v>1</v>
      </c>
      <c r="D226" s="23">
        <v>18.77</v>
      </c>
      <c r="E226" s="3">
        <v>18.77</v>
      </c>
      <c r="F226" s="2" t="s">
        <v>18156</v>
      </c>
      <c r="G226" s="22"/>
      <c r="H226" s="24" t="s">
        <v>19330</v>
      </c>
      <c r="I226" s="22" t="s">
        <v>19309</v>
      </c>
      <c r="J226" s="22" t="s">
        <v>19708</v>
      </c>
      <c r="K226" s="22" t="s">
        <v>19709</v>
      </c>
      <c r="L226" s="22"/>
      <c r="M226" s="22"/>
      <c r="N226" s="25" t="str">
        <f>HYPERLINK("http://slimages.macys.com/is/image/MCY/22596095 ")</f>
        <v xml:space="preserve">http://slimages.macys.com/is/image/MCY/22596095 </v>
      </c>
    </row>
    <row r="227" spans="1:14" x14ac:dyDescent="0.25">
      <c r="A227" s="21" t="s">
        <v>5776</v>
      </c>
      <c r="B227" s="22" t="s">
        <v>5777</v>
      </c>
      <c r="C227" s="2">
        <v>2</v>
      </c>
      <c r="D227" s="23">
        <v>18.77</v>
      </c>
      <c r="E227" s="3">
        <v>37.54</v>
      </c>
      <c r="F227" s="2" t="s">
        <v>20116</v>
      </c>
      <c r="G227" s="22"/>
      <c r="H227" s="24" t="s">
        <v>19770</v>
      </c>
      <c r="I227" s="22" t="s">
        <v>19309</v>
      </c>
      <c r="J227" s="22" t="s">
        <v>19708</v>
      </c>
      <c r="K227" s="22" t="s">
        <v>19709</v>
      </c>
      <c r="L227" s="22"/>
      <c r="M227" s="22"/>
      <c r="N227" s="25" t="str">
        <f>HYPERLINK("http://slimages.macys.com/is/image/MCY/22405951 ")</f>
        <v xml:space="preserve">http://slimages.macys.com/is/image/MCY/22405951 </v>
      </c>
    </row>
    <row r="228" spans="1:14" x14ac:dyDescent="0.25">
      <c r="A228" s="21" t="s">
        <v>11619</v>
      </c>
      <c r="B228" s="22" t="s">
        <v>11620</v>
      </c>
      <c r="C228" s="2">
        <v>1</v>
      </c>
      <c r="D228" s="23">
        <v>18.77</v>
      </c>
      <c r="E228" s="3">
        <v>18.77</v>
      </c>
      <c r="F228" s="2" t="s">
        <v>18156</v>
      </c>
      <c r="G228" s="22"/>
      <c r="H228" s="24" t="s">
        <v>20159</v>
      </c>
      <c r="I228" s="22" t="s">
        <v>19309</v>
      </c>
      <c r="J228" s="22" t="s">
        <v>19708</v>
      </c>
      <c r="K228" s="22" t="s">
        <v>19709</v>
      </c>
      <c r="L228" s="22"/>
      <c r="M228" s="22"/>
      <c r="N228" s="25" t="str">
        <f>HYPERLINK("http://slimages.macys.com/is/image/MCY/22596095 ")</f>
        <v xml:space="preserve">http://slimages.macys.com/is/image/MCY/22596095 </v>
      </c>
    </row>
    <row r="229" spans="1:14" x14ac:dyDescent="0.25">
      <c r="A229" s="21" t="s">
        <v>11623</v>
      </c>
      <c r="B229" s="22" t="s">
        <v>11624</v>
      </c>
      <c r="C229" s="2">
        <v>1</v>
      </c>
      <c r="D229" s="23">
        <v>18.77</v>
      </c>
      <c r="E229" s="3">
        <v>18.77</v>
      </c>
      <c r="F229" s="2" t="s">
        <v>18156</v>
      </c>
      <c r="G229" s="22"/>
      <c r="H229" s="24" t="s">
        <v>19416</v>
      </c>
      <c r="I229" s="22" t="s">
        <v>19309</v>
      </c>
      <c r="J229" s="22" t="s">
        <v>19708</v>
      </c>
      <c r="K229" s="22" t="s">
        <v>19709</v>
      </c>
      <c r="L229" s="22"/>
      <c r="M229" s="22"/>
      <c r="N229" s="25" t="str">
        <f>HYPERLINK("http://slimages.macys.com/is/image/MCY/22596095 ")</f>
        <v xml:space="preserve">http://slimages.macys.com/is/image/MCY/22596095 </v>
      </c>
    </row>
    <row r="230" spans="1:14" ht="24.75" x14ac:dyDescent="0.25">
      <c r="A230" s="21" t="s">
        <v>5778</v>
      </c>
      <c r="B230" s="22" t="s">
        <v>5779</v>
      </c>
      <c r="C230" s="2">
        <v>1</v>
      </c>
      <c r="D230" s="23">
        <v>21.99</v>
      </c>
      <c r="E230" s="3">
        <v>21.99</v>
      </c>
      <c r="F230" s="2" t="s">
        <v>5780</v>
      </c>
      <c r="G230" s="22" t="s">
        <v>19323</v>
      </c>
      <c r="H230" s="24" t="s">
        <v>19352</v>
      </c>
      <c r="I230" s="22" t="s">
        <v>19309</v>
      </c>
      <c r="J230" s="22" t="s">
        <v>19353</v>
      </c>
      <c r="K230" s="22" t="s">
        <v>19524</v>
      </c>
      <c r="L230" s="22"/>
      <c r="M230" s="22"/>
      <c r="N230" s="25" t="str">
        <f>HYPERLINK("http://slimages.macys.com/is/image/MCY/20440802 ")</f>
        <v xml:space="preserve">http://slimages.macys.com/is/image/MCY/20440802 </v>
      </c>
    </row>
    <row r="231" spans="1:14" ht="24.75" x14ac:dyDescent="0.25">
      <c r="A231" s="21" t="s">
        <v>5781</v>
      </c>
      <c r="B231" s="22" t="s">
        <v>5782</v>
      </c>
      <c r="C231" s="2">
        <v>1</v>
      </c>
      <c r="D231" s="23">
        <v>14.99</v>
      </c>
      <c r="E231" s="3">
        <v>14.99</v>
      </c>
      <c r="F231" s="2" t="s">
        <v>5783</v>
      </c>
      <c r="G231" s="22" t="s">
        <v>19351</v>
      </c>
      <c r="H231" s="24"/>
      <c r="I231" s="22" t="s">
        <v>19309</v>
      </c>
      <c r="J231" s="22" t="s">
        <v>19573</v>
      </c>
      <c r="K231" s="22" t="s">
        <v>20256</v>
      </c>
      <c r="L231" s="22" t="s">
        <v>19319</v>
      </c>
      <c r="M231" s="22" t="s">
        <v>5784</v>
      </c>
      <c r="N231" s="25" t="str">
        <f>HYPERLINK("http://slimages.macys.com/is/image/MCY/8484097 ")</f>
        <v xml:space="preserve">http://slimages.macys.com/is/image/MCY/8484097 </v>
      </c>
    </row>
    <row r="232" spans="1:14" ht="24.75" x14ac:dyDescent="0.25">
      <c r="A232" s="21" t="s">
        <v>13093</v>
      </c>
      <c r="B232" s="22" t="s">
        <v>13094</v>
      </c>
      <c r="C232" s="2">
        <v>2</v>
      </c>
      <c r="D232" s="23">
        <v>14.99</v>
      </c>
      <c r="E232" s="3">
        <v>29.98</v>
      </c>
      <c r="F232" s="2" t="s">
        <v>13092</v>
      </c>
      <c r="G232" s="22" t="s">
        <v>19674</v>
      </c>
      <c r="H232" s="24" t="s">
        <v>19538</v>
      </c>
      <c r="I232" s="22" t="s">
        <v>19309</v>
      </c>
      <c r="J232" s="22" t="s">
        <v>19573</v>
      </c>
      <c r="K232" s="22" t="s">
        <v>20256</v>
      </c>
      <c r="L232" s="22" t="s">
        <v>19319</v>
      </c>
      <c r="M232" s="22" t="s">
        <v>19358</v>
      </c>
      <c r="N232" s="25" t="str">
        <f>HYPERLINK("http://slimages.macys.com/is/image/MCY/3931288 ")</f>
        <v xml:space="preserve">http://slimages.macys.com/is/image/MCY/3931288 </v>
      </c>
    </row>
    <row r="233" spans="1:14" ht="24.75" x14ac:dyDescent="0.25">
      <c r="A233" s="21" t="s">
        <v>5785</v>
      </c>
      <c r="B233" s="22" t="s">
        <v>11006</v>
      </c>
      <c r="C233" s="2">
        <v>1</v>
      </c>
      <c r="D233" s="23">
        <v>22.99</v>
      </c>
      <c r="E233" s="3">
        <v>22.99</v>
      </c>
      <c r="F233" s="2" t="s">
        <v>5786</v>
      </c>
      <c r="G233" s="22" t="s">
        <v>19333</v>
      </c>
      <c r="H233" s="24" t="s">
        <v>19797</v>
      </c>
      <c r="I233" s="22" t="s">
        <v>19309</v>
      </c>
      <c r="J233" s="22" t="s">
        <v>19353</v>
      </c>
      <c r="K233" s="22" t="s">
        <v>19524</v>
      </c>
      <c r="L233" s="22"/>
      <c r="M233" s="22"/>
      <c r="N233" s="25" t="str">
        <f>HYPERLINK("http://slimages.macys.com/is/image/MCY/20440799 ")</f>
        <v xml:space="preserve">http://slimages.macys.com/is/image/MCY/20440799 </v>
      </c>
    </row>
    <row r="234" spans="1:14" ht="24.75" x14ac:dyDescent="0.25">
      <c r="A234" s="21" t="s">
        <v>5787</v>
      </c>
      <c r="B234" s="22" t="s">
        <v>5788</v>
      </c>
      <c r="C234" s="2">
        <v>1</v>
      </c>
      <c r="D234" s="23">
        <v>22.99</v>
      </c>
      <c r="E234" s="3">
        <v>22.99</v>
      </c>
      <c r="F234" s="2" t="s">
        <v>5786</v>
      </c>
      <c r="G234" s="22" t="s">
        <v>19333</v>
      </c>
      <c r="H234" s="24" t="s">
        <v>19339</v>
      </c>
      <c r="I234" s="22" t="s">
        <v>19309</v>
      </c>
      <c r="J234" s="22" t="s">
        <v>19353</v>
      </c>
      <c r="K234" s="22" t="s">
        <v>19524</v>
      </c>
      <c r="L234" s="22"/>
      <c r="M234" s="22"/>
      <c r="N234" s="25" t="str">
        <f>HYPERLINK("http://slimages.macys.com/is/image/MCY/20440799 ")</f>
        <v xml:space="preserve">http://slimages.macys.com/is/image/MCY/20440799 </v>
      </c>
    </row>
    <row r="235" spans="1:14" ht="24.75" x14ac:dyDescent="0.25">
      <c r="A235" s="21" t="s">
        <v>5789</v>
      </c>
      <c r="B235" s="22" t="s">
        <v>5790</v>
      </c>
      <c r="C235" s="2">
        <v>1</v>
      </c>
      <c r="D235" s="23">
        <v>21.99</v>
      </c>
      <c r="E235" s="3">
        <v>21.99</v>
      </c>
      <c r="F235" s="2" t="s">
        <v>5780</v>
      </c>
      <c r="G235" s="22" t="s">
        <v>19323</v>
      </c>
      <c r="H235" s="24" t="s">
        <v>19339</v>
      </c>
      <c r="I235" s="22" t="s">
        <v>19309</v>
      </c>
      <c r="J235" s="22" t="s">
        <v>19353</v>
      </c>
      <c r="K235" s="22" t="s">
        <v>19524</v>
      </c>
      <c r="L235" s="22"/>
      <c r="M235" s="22"/>
      <c r="N235" s="25" t="str">
        <f>HYPERLINK("http://slimages.macys.com/is/image/MCY/20440802 ")</f>
        <v xml:space="preserve">http://slimages.macys.com/is/image/MCY/20440802 </v>
      </c>
    </row>
    <row r="236" spans="1:14" ht="24.75" x14ac:dyDescent="0.25">
      <c r="A236" s="21" t="s">
        <v>5791</v>
      </c>
      <c r="B236" s="22" t="s">
        <v>5792</v>
      </c>
      <c r="C236" s="2">
        <v>1</v>
      </c>
      <c r="D236" s="23">
        <v>21.99</v>
      </c>
      <c r="E236" s="3">
        <v>21.99</v>
      </c>
      <c r="F236" s="2" t="s">
        <v>5780</v>
      </c>
      <c r="G236" s="22" t="s">
        <v>19323</v>
      </c>
      <c r="H236" s="24" t="s">
        <v>19797</v>
      </c>
      <c r="I236" s="22" t="s">
        <v>19309</v>
      </c>
      <c r="J236" s="22" t="s">
        <v>19353</v>
      </c>
      <c r="K236" s="22" t="s">
        <v>19524</v>
      </c>
      <c r="L236" s="22"/>
      <c r="M236" s="22"/>
      <c r="N236" s="25" t="str">
        <f>HYPERLINK("http://slimages.macys.com/is/image/MCY/20440802 ")</f>
        <v xml:space="preserve">http://slimages.macys.com/is/image/MCY/20440802 </v>
      </c>
    </row>
    <row r="237" spans="1:14" x14ac:dyDescent="0.25">
      <c r="A237" s="21" t="s">
        <v>11631</v>
      </c>
      <c r="B237" s="22" t="s">
        <v>11632</v>
      </c>
      <c r="C237" s="2">
        <v>1</v>
      </c>
      <c r="D237" s="23">
        <v>18.11</v>
      </c>
      <c r="E237" s="3">
        <v>18.11</v>
      </c>
      <c r="F237" s="2" t="s">
        <v>11633</v>
      </c>
      <c r="G237" s="22" t="s">
        <v>19674</v>
      </c>
      <c r="H237" s="24" t="s">
        <v>19364</v>
      </c>
      <c r="I237" s="22" t="s">
        <v>19309</v>
      </c>
      <c r="J237" s="22" t="s">
        <v>19849</v>
      </c>
      <c r="K237" s="22" t="s">
        <v>19850</v>
      </c>
      <c r="L237" s="22"/>
      <c r="M237" s="22"/>
      <c r="N237" s="25" t="str">
        <f>HYPERLINK("http://slimages.macys.com/is/image/MCY/20549494 ")</f>
        <v xml:space="preserve">http://slimages.macys.com/is/image/MCY/20549494 </v>
      </c>
    </row>
    <row r="238" spans="1:14" x14ac:dyDescent="0.25">
      <c r="A238" s="21" t="s">
        <v>5793</v>
      </c>
      <c r="B238" s="22" t="s">
        <v>5794</v>
      </c>
      <c r="C238" s="2">
        <v>1</v>
      </c>
      <c r="D238" s="23">
        <v>24.99</v>
      </c>
      <c r="E238" s="3">
        <v>24.99</v>
      </c>
      <c r="F238" s="2" t="s">
        <v>11633</v>
      </c>
      <c r="G238" s="22" t="s">
        <v>19674</v>
      </c>
      <c r="H238" s="24" t="s">
        <v>19339</v>
      </c>
      <c r="I238" s="22" t="s">
        <v>19309</v>
      </c>
      <c r="J238" s="22" t="s">
        <v>19849</v>
      </c>
      <c r="K238" s="22" t="s">
        <v>19850</v>
      </c>
      <c r="L238" s="22"/>
      <c r="M238" s="22"/>
      <c r="N238" s="25" t="str">
        <f>HYPERLINK("http://slimages.macys.com/is/image/MCY/20549494 ")</f>
        <v xml:space="preserve">http://slimages.macys.com/is/image/MCY/20549494 </v>
      </c>
    </row>
    <row r="239" spans="1:14" x14ac:dyDescent="0.25">
      <c r="A239" s="21" t="s">
        <v>5795</v>
      </c>
      <c r="B239" s="22" t="s">
        <v>5796</v>
      </c>
      <c r="C239" s="2">
        <v>1</v>
      </c>
      <c r="D239" s="23">
        <v>14.67</v>
      </c>
      <c r="E239" s="3">
        <v>14.67</v>
      </c>
      <c r="F239" s="2" t="s">
        <v>5797</v>
      </c>
      <c r="G239" s="22"/>
      <c r="H239" s="24" t="s">
        <v>19770</v>
      </c>
      <c r="I239" s="22" t="s">
        <v>19309</v>
      </c>
      <c r="J239" s="22" t="s">
        <v>19708</v>
      </c>
      <c r="K239" s="22" t="s">
        <v>19709</v>
      </c>
      <c r="L239" s="22"/>
      <c r="M239" s="22"/>
      <c r="N239" s="25" t="str">
        <f>HYPERLINK("http://slimages.macys.com/is/image/MCY/19060095 ")</f>
        <v xml:space="preserve">http://slimages.macys.com/is/image/MCY/19060095 </v>
      </c>
    </row>
    <row r="240" spans="1:14" ht="24.75" x14ac:dyDescent="0.25">
      <c r="A240" s="21" t="s">
        <v>5798</v>
      </c>
      <c r="B240" s="22" t="s">
        <v>5799</v>
      </c>
      <c r="C240" s="2">
        <v>1</v>
      </c>
      <c r="D240" s="23">
        <v>19.989999999999998</v>
      </c>
      <c r="E240" s="3">
        <v>19.989999999999998</v>
      </c>
      <c r="F240" s="2" t="s">
        <v>5800</v>
      </c>
      <c r="G240" s="22" t="s">
        <v>19342</v>
      </c>
      <c r="H240" s="24" t="s">
        <v>19324</v>
      </c>
      <c r="I240" s="22" t="s">
        <v>19309</v>
      </c>
      <c r="J240" s="22" t="s">
        <v>19385</v>
      </c>
      <c r="K240" s="22" t="s">
        <v>15725</v>
      </c>
      <c r="L240" s="22"/>
      <c r="M240" s="22"/>
      <c r="N240" s="25" t="str">
        <f>HYPERLINK("http://slimages.macys.com/is/image/MCY/20853845 ")</f>
        <v xml:space="preserve">http://slimages.macys.com/is/image/MCY/20853845 </v>
      </c>
    </row>
    <row r="241" spans="1:14" ht="24.75" x14ac:dyDescent="0.25">
      <c r="A241" s="21" t="s">
        <v>5801</v>
      </c>
      <c r="B241" s="22" t="s">
        <v>5802</v>
      </c>
      <c r="C241" s="2">
        <v>1</v>
      </c>
      <c r="D241" s="23">
        <v>15.99</v>
      </c>
      <c r="E241" s="3">
        <v>15.99</v>
      </c>
      <c r="F241" s="2" t="s">
        <v>5803</v>
      </c>
      <c r="G241" s="22" t="s">
        <v>19351</v>
      </c>
      <c r="H241" s="24" t="s">
        <v>19324</v>
      </c>
      <c r="I241" s="22" t="s">
        <v>19309</v>
      </c>
      <c r="J241" s="22" t="s">
        <v>19491</v>
      </c>
      <c r="K241" s="22" t="s">
        <v>18197</v>
      </c>
      <c r="L241" s="22"/>
      <c r="M241" s="22"/>
      <c r="N241" s="25" t="str">
        <f>HYPERLINK("http://slimages.macys.com/is/image/MCY/21541841 ")</f>
        <v xml:space="preserve">http://slimages.macys.com/is/image/MCY/21541841 </v>
      </c>
    </row>
    <row r="242" spans="1:14" ht="24.75" x14ac:dyDescent="0.25">
      <c r="A242" s="21" t="s">
        <v>5804</v>
      </c>
      <c r="B242" s="22" t="s">
        <v>13121</v>
      </c>
      <c r="C242" s="2">
        <v>1</v>
      </c>
      <c r="D242" s="23">
        <v>18</v>
      </c>
      <c r="E242" s="3">
        <v>18</v>
      </c>
      <c r="F242" s="2" t="s">
        <v>13124</v>
      </c>
      <c r="G242" s="22" t="s">
        <v>19307</v>
      </c>
      <c r="H242" s="24" t="s">
        <v>17537</v>
      </c>
      <c r="I242" s="22" t="s">
        <v>19309</v>
      </c>
      <c r="J242" s="22" t="s">
        <v>20076</v>
      </c>
      <c r="K242" s="22" t="s">
        <v>13118</v>
      </c>
      <c r="L242" s="22" t="s">
        <v>17966</v>
      </c>
      <c r="M242" s="22" t="s">
        <v>16844</v>
      </c>
      <c r="N242" s="25" t="str">
        <f>HYPERLINK("http://slimages.macys.com/is/image/MCY/9357726 ")</f>
        <v xml:space="preserve">http://slimages.macys.com/is/image/MCY/9357726 </v>
      </c>
    </row>
    <row r="243" spans="1:14" ht="24.75" x14ac:dyDescent="0.25">
      <c r="A243" s="21" t="s">
        <v>11005</v>
      </c>
      <c r="B243" s="22" t="s">
        <v>11006</v>
      </c>
      <c r="C243" s="2">
        <v>1</v>
      </c>
      <c r="D243" s="23">
        <v>21.99</v>
      </c>
      <c r="E243" s="3">
        <v>21.99</v>
      </c>
      <c r="F243" s="2" t="s">
        <v>11007</v>
      </c>
      <c r="G243" s="22" t="s">
        <v>19333</v>
      </c>
      <c r="H243" s="24" t="s">
        <v>19797</v>
      </c>
      <c r="I243" s="22" t="s">
        <v>19309</v>
      </c>
      <c r="J243" s="22" t="s">
        <v>19353</v>
      </c>
      <c r="K243" s="22" t="s">
        <v>19524</v>
      </c>
      <c r="L243" s="22"/>
      <c r="M243" s="22"/>
      <c r="N243" s="25" t="str">
        <f>HYPERLINK("http://slimages.macys.com/is/image/MCY/20440803 ")</f>
        <v xml:space="preserve">http://slimages.macys.com/is/image/MCY/20440803 </v>
      </c>
    </row>
    <row r="244" spans="1:14" ht="24.75" x14ac:dyDescent="0.25">
      <c r="A244" s="21" t="s">
        <v>5805</v>
      </c>
      <c r="B244" s="22" t="s">
        <v>5788</v>
      </c>
      <c r="C244" s="2">
        <v>2</v>
      </c>
      <c r="D244" s="23">
        <v>21.99</v>
      </c>
      <c r="E244" s="3">
        <v>43.98</v>
      </c>
      <c r="F244" s="2" t="s">
        <v>11007</v>
      </c>
      <c r="G244" s="22" t="s">
        <v>19333</v>
      </c>
      <c r="H244" s="24" t="s">
        <v>19339</v>
      </c>
      <c r="I244" s="22" t="s">
        <v>19309</v>
      </c>
      <c r="J244" s="22" t="s">
        <v>19353</v>
      </c>
      <c r="K244" s="22" t="s">
        <v>19524</v>
      </c>
      <c r="L244" s="22"/>
      <c r="M244" s="22"/>
      <c r="N244" s="25" t="str">
        <f>HYPERLINK("http://slimages.macys.com/is/image/MCY/20440803 ")</f>
        <v xml:space="preserve">http://slimages.macys.com/is/image/MCY/20440803 </v>
      </c>
    </row>
    <row r="245" spans="1:14" x14ac:dyDescent="0.25">
      <c r="A245" s="21" t="s">
        <v>7571</v>
      </c>
      <c r="B245" s="22" t="s">
        <v>7572</v>
      </c>
      <c r="C245" s="2">
        <v>1</v>
      </c>
      <c r="D245" s="23">
        <v>14.31</v>
      </c>
      <c r="E245" s="3">
        <v>14.31</v>
      </c>
      <c r="F245" s="2" t="s">
        <v>7573</v>
      </c>
      <c r="G245" s="22" t="s">
        <v>19323</v>
      </c>
      <c r="H245" s="24" t="s">
        <v>19367</v>
      </c>
      <c r="I245" s="22" t="s">
        <v>19309</v>
      </c>
      <c r="J245" s="22" t="s">
        <v>19708</v>
      </c>
      <c r="K245" s="22" t="s">
        <v>19709</v>
      </c>
      <c r="L245" s="22"/>
      <c r="M245" s="22"/>
      <c r="N245" s="25" t="str">
        <f>HYPERLINK("http://slimages.macys.com/is/image/MCY/21409614 ")</f>
        <v xml:space="preserve">http://slimages.macys.com/is/image/MCY/21409614 </v>
      </c>
    </row>
    <row r="246" spans="1:14" x14ac:dyDescent="0.25">
      <c r="A246" s="21" t="s">
        <v>5806</v>
      </c>
      <c r="B246" s="22" t="s">
        <v>5807</v>
      </c>
      <c r="C246" s="2">
        <v>1</v>
      </c>
      <c r="D246" s="23">
        <v>14.31</v>
      </c>
      <c r="E246" s="3">
        <v>14.31</v>
      </c>
      <c r="F246" s="2" t="s">
        <v>7573</v>
      </c>
      <c r="G246" s="22" t="s">
        <v>19323</v>
      </c>
      <c r="H246" s="24" t="s">
        <v>20152</v>
      </c>
      <c r="I246" s="22" t="s">
        <v>19309</v>
      </c>
      <c r="J246" s="22" t="s">
        <v>19708</v>
      </c>
      <c r="K246" s="22" t="s">
        <v>19709</v>
      </c>
      <c r="L246" s="22"/>
      <c r="M246" s="22"/>
      <c r="N246" s="25" t="str">
        <f>HYPERLINK("http://slimages.macys.com/is/image/MCY/21409614 ")</f>
        <v xml:space="preserve">http://slimages.macys.com/is/image/MCY/21409614 </v>
      </c>
    </row>
    <row r="247" spans="1:14" x14ac:dyDescent="0.25">
      <c r="A247" s="21" t="s">
        <v>5808</v>
      </c>
      <c r="B247" s="22" t="s">
        <v>5809</v>
      </c>
      <c r="C247" s="2">
        <v>1</v>
      </c>
      <c r="D247" s="23">
        <v>16.989999999999998</v>
      </c>
      <c r="E247" s="3">
        <v>16.989999999999998</v>
      </c>
      <c r="F247" s="2" t="s">
        <v>20168</v>
      </c>
      <c r="G247" s="22" t="s">
        <v>19431</v>
      </c>
      <c r="H247" s="24" t="s">
        <v>19339</v>
      </c>
      <c r="I247" s="22" t="s">
        <v>19309</v>
      </c>
      <c r="J247" s="22" t="s">
        <v>19849</v>
      </c>
      <c r="K247" s="22" t="s">
        <v>19850</v>
      </c>
      <c r="L247" s="22"/>
      <c r="M247" s="22"/>
      <c r="N247" s="25" t="str">
        <f>HYPERLINK("http://slimages.macys.com/is/image/MCY/20752002 ")</f>
        <v xml:space="preserve">http://slimages.macys.com/is/image/MCY/20752002 </v>
      </c>
    </row>
    <row r="248" spans="1:14" x14ac:dyDescent="0.25">
      <c r="A248" s="21" t="s">
        <v>5810</v>
      </c>
      <c r="B248" s="22" t="s">
        <v>5811</v>
      </c>
      <c r="C248" s="2">
        <v>1</v>
      </c>
      <c r="D248" s="23">
        <v>17.87</v>
      </c>
      <c r="E248" s="3">
        <v>17.87</v>
      </c>
      <c r="F248" s="2" t="s">
        <v>20182</v>
      </c>
      <c r="G248" s="22"/>
      <c r="H248" s="24" t="s">
        <v>19416</v>
      </c>
      <c r="I248" s="22" t="s">
        <v>19309</v>
      </c>
      <c r="J248" s="22" t="s">
        <v>19708</v>
      </c>
      <c r="K248" s="22" t="s">
        <v>19709</v>
      </c>
      <c r="L248" s="22"/>
      <c r="M248" s="22"/>
      <c r="N248" s="25" t="str">
        <f>HYPERLINK("http://slimages.macys.com/is/image/MCY/22405971 ")</f>
        <v xml:space="preserve">http://slimages.macys.com/is/image/MCY/22405971 </v>
      </c>
    </row>
    <row r="249" spans="1:14" x14ac:dyDescent="0.25">
      <c r="A249" s="21" t="s">
        <v>20187</v>
      </c>
      <c r="B249" s="22" t="s">
        <v>20188</v>
      </c>
      <c r="C249" s="2">
        <v>1</v>
      </c>
      <c r="D249" s="23">
        <v>17.87</v>
      </c>
      <c r="E249" s="3">
        <v>17.87</v>
      </c>
      <c r="F249" s="2" t="s">
        <v>20176</v>
      </c>
      <c r="G249" s="22"/>
      <c r="H249" s="24" t="s">
        <v>19770</v>
      </c>
      <c r="I249" s="22" t="s">
        <v>19309</v>
      </c>
      <c r="J249" s="22" t="s">
        <v>19708</v>
      </c>
      <c r="K249" s="22" t="s">
        <v>19709</v>
      </c>
      <c r="L249" s="22"/>
      <c r="M249" s="22"/>
      <c r="N249" s="25" t="str">
        <f>HYPERLINK("http://slimages.macys.com/is/image/MCY/22405968 ")</f>
        <v xml:space="preserve">http://slimages.macys.com/is/image/MCY/22405968 </v>
      </c>
    </row>
    <row r="250" spans="1:14" x14ac:dyDescent="0.25">
      <c r="A250" s="21" t="s">
        <v>20177</v>
      </c>
      <c r="B250" s="22" t="s">
        <v>20178</v>
      </c>
      <c r="C250" s="2">
        <v>2</v>
      </c>
      <c r="D250" s="23">
        <v>17.87</v>
      </c>
      <c r="E250" s="3">
        <v>35.74</v>
      </c>
      <c r="F250" s="2" t="s">
        <v>20179</v>
      </c>
      <c r="G250" s="22"/>
      <c r="H250" s="24" t="s">
        <v>20159</v>
      </c>
      <c r="I250" s="22" t="s">
        <v>19309</v>
      </c>
      <c r="J250" s="22" t="s">
        <v>19708</v>
      </c>
      <c r="K250" s="22" t="s">
        <v>19709</v>
      </c>
      <c r="L250" s="22"/>
      <c r="M250" s="22"/>
      <c r="N250" s="25" t="str">
        <f>HYPERLINK("http://slimages.macys.com/is/image/MCY/22405968 ")</f>
        <v xml:space="preserve">http://slimages.macys.com/is/image/MCY/22405968 </v>
      </c>
    </row>
    <row r="251" spans="1:14" x14ac:dyDescent="0.25">
      <c r="A251" s="21" t="s">
        <v>5812</v>
      </c>
      <c r="B251" s="22" t="s">
        <v>5813</v>
      </c>
      <c r="C251" s="2">
        <v>2</v>
      </c>
      <c r="D251" s="23">
        <v>17.87</v>
      </c>
      <c r="E251" s="3">
        <v>35.74</v>
      </c>
      <c r="F251" s="2" t="s">
        <v>18184</v>
      </c>
      <c r="G251" s="22"/>
      <c r="H251" s="24" t="s">
        <v>20159</v>
      </c>
      <c r="I251" s="22" t="s">
        <v>19309</v>
      </c>
      <c r="J251" s="22" t="s">
        <v>19708</v>
      </c>
      <c r="K251" s="22" t="s">
        <v>19709</v>
      </c>
      <c r="L251" s="22"/>
      <c r="M251" s="22"/>
      <c r="N251" s="25" t="str">
        <f>HYPERLINK("http://slimages.macys.com/is/image/MCY/22595811 ")</f>
        <v xml:space="preserve">http://slimages.macys.com/is/image/MCY/22595811 </v>
      </c>
    </row>
    <row r="252" spans="1:14" x14ac:dyDescent="0.25">
      <c r="A252" s="21" t="s">
        <v>5814</v>
      </c>
      <c r="B252" s="22" t="s">
        <v>20172</v>
      </c>
      <c r="C252" s="2">
        <v>1</v>
      </c>
      <c r="D252" s="23">
        <v>17.87</v>
      </c>
      <c r="E252" s="3">
        <v>17.87</v>
      </c>
      <c r="F252" s="2" t="s">
        <v>12105</v>
      </c>
      <c r="G252" s="22"/>
      <c r="H252" s="24" t="s">
        <v>19770</v>
      </c>
      <c r="I252" s="22" t="s">
        <v>19309</v>
      </c>
      <c r="J252" s="22" t="s">
        <v>19708</v>
      </c>
      <c r="K252" s="22" t="s">
        <v>19709</v>
      </c>
      <c r="L252" s="22"/>
      <c r="M252" s="22"/>
      <c r="N252" s="25" t="str">
        <f>HYPERLINK("http://slimages.macys.com/is/image/MCY/22405692 ")</f>
        <v xml:space="preserve">http://slimages.macys.com/is/image/MCY/22405692 </v>
      </c>
    </row>
    <row r="253" spans="1:14" x14ac:dyDescent="0.25">
      <c r="A253" s="21" t="s">
        <v>20171</v>
      </c>
      <c r="B253" s="22" t="s">
        <v>20172</v>
      </c>
      <c r="C253" s="2">
        <v>2</v>
      </c>
      <c r="D253" s="23">
        <v>17.87</v>
      </c>
      <c r="E253" s="3">
        <v>35.74</v>
      </c>
      <c r="F253" s="2" t="s">
        <v>20173</v>
      </c>
      <c r="G253" s="22"/>
      <c r="H253" s="24" t="s">
        <v>19770</v>
      </c>
      <c r="I253" s="22" t="s">
        <v>19309</v>
      </c>
      <c r="J253" s="22" t="s">
        <v>19708</v>
      </c>
      <c r="K253" s="22" t="s">
        <v>19709</v>
      </c>
      <c r="L253" s="22"/>
      <c r="M253" s="22"/>
      <c r="N253" s="25" t="str">
        <f>HYPERLINK("http://slimages.macys.com/is/image/MCY/22405672 ")</f>
        <v xml:space="preserve">http://slimages.macys.com/is/image/MCY/22405672 </v>
      </c>
    </row>
    <row r="254" spans="1:14" x14ac:dyDescent="0.25">
      <c r="A254" s="21" t="s">
        <v>12114</v>
      </c>
      <c r="B254" s="22" t="s">
        <v>12115</v>
      </c>
      <c r="C254" s="2">
        <v>1</v>
      </c>
      <c r="D254" s="23">
        <v>17.87</v>
      </c>
      <c r="E254" s="3">
        <v>17.87</v>
      </c>
      <c r="F254" s="2" t="s">
        <v>20179</v>
      </c>
      <c r="G254" s="22"/>
      <c r="H254" s="24" t="s">
        <v>19770</v>
      </c>
      <c r="I254" s="22" t="s">
        <v>19309</v>
      </c>
      <c r="J254" s="22" t="s">
        <v>19708</v>
      </c>
      <c r="K254" s="22" t="s">
        <v>19709</v>
      </c>
      <c r="L254" s="22"/>
      <c r="M254" s="22"/>
      <c r="N254" s="25" t="str">
        <f>HYPERLINK("http://slimages.macys.com/is/image/MCY/22405968 ")</f>
        <v xml:space="preserve">http://slimages.macys.com/is/image/MCY/22405968 </v>
      </c>
    </row>
    <row r="255" spans="1:14" x14ac:dyDescent="0.25">
      <c r="A255" s="21" t="s">
        <v>12104</v>
      </c>
      <c r="B255" s="22" t="s">
        <v>20186</v>
      </c>
      <c r="C255" s="2">
        <v>2</v>
      </c>
      <c r="D255" s="23">
        <v>17.87</v>
      </c>
      <c r="E255" s="3">
        <v>35.74</v>
      </c>
      <c r="F255" s="2" t="s">
        <v>12105</v>
      </c>
      <c r="G255" s="22"/>
      <c r="H255" s="24" t="s">
        <v>19367</v>
      </c>
      <c r="I255" s="22" t="s">
        <v>19309</v>
      </c>
      <c r="J255" s="22" t="s">
        <v>19708</v>
      </c>
      <c r="K255" s="22" t="s">
        <v>19709</v>
      </c>
      <c r="L255" s="22"/>
      <c r="M255" s="22"/>
      <c r="N255" s="25" t="str">
        <f>HYPERLINK("http://slimages.macys.com/is/image/MCY/22405692 ")</f>
        <v xml:space="preserve">http://slimages.macys.com/is/image/MCY/22405692 </v>
      </c>
    </row>
    <row r="256" spans="1:14" ht="24.75" x14ac:dyDescent="0.25">
      <c r="A256" s="21" t="s">
        <v>5815</v>
      </c>
      <c r="B256" s="22" t="s">
        <v>5816</v>
      </c>
      <c r="C256" s="2">
        <v>1</v>
      </c>
      <c r="D256" s="23">
        <v>12.99</v>
      </c>
      <c r="E256" s="3">
        <v>12.99</v>
      </c>
      <c r="F256" s="2" t="s">
        <v>18187</v>
      </c>
      <c r="G256" s="22" t="s">
        <v>19315</v>
      </c>
      <c r="H256" s="24" t="s">
        <v>19542</v>
      </c>
      <c r="I256" s="22" t="s">
        <v>19309</v>
      </c>
      <c r="J256" s="22" t="s">
        <v>19447</v>
      </c>
      <c r="K256" s="22" t="s">
        <v>20146</v>
      </c>
      <c r="L256" s="22"/>
      <c r="M256" s="22"/>
      <c r="N256" s="25" t="str">
        <f>HYPERLINK("http://slimages.macys.com/is/image/MCY/20676949 ")</f>
        <v xml:space="preserve">http://slimages.macys.com/is/image/MCY/20676949 </v>
      </c>
    </row>
    <row r="257" spans="1:14" ht="24.75" x14ac:dyDescent="0.25">
      <c r="A257" s="21" t="s">
        <v>5817</v>
      </c>
      <c r="B257" s="22" t="s">
        <v>5818</v>
      </c>
      <c r="C257" s="2">
        <v>1</v>
      </c>
      <c r="D257" s="23">
        <v>15.99</v>
      </c>
      <c r="E257" s="3">
        <v>15.99</v>
      </c>
      <c r="F257" s="2" t="s">
        <v>16082</v>
      </c>
      <c r="G257" s="22" t="s">
        <v>19333</v>
      </c>
      <c r="H257" s="24" t="s">
        <v>19334</v>
      </c>
      <c r="I257" s="22" t="s">
        <v>19309</v>
      </c>
      <c r="J257" s="22" t="s">
        <v>19491</v>
      </c>
      <c r="K257" s="22" t="s">
        <v>18197</v>
      </c>
      <c r="L257" s="22"/>
      <c r="M257" s="22"/>
      <c r="N257" s="25" t="str">
        <f>HYPERLINK("http://slimages.macys.com/is/image/MCY/21541844 ")</f>
        <v xml:space="preserve">http://slimages.macys.com/is/image/MCY/21541844 </v>
      </c>
    </row>
    <row r="258" spans="1:14" ht="24.75" x14ac:dyDescent="0.25">
      <c r="A258" s="21" t="s">
        <v>5819</v>
      </c>
      <c r="B258" s="22" t="s">
        <v>5820</v>
      </c>
      <c r="C258" s="2">
        <v>1</v>
      </c>
      <c r="D258" s="23">
        <v>15.99</v>
      </c>
      <c r="E258" s="3">
        <v>15.99</v>
      </c>
      <c r="F258" s="2" t="s">
        <v>11668</v>
      </c>
      <c r="G258" s="22" t="s">
        <v>19323</v>
      </c>
      <c r="H258" s="24" t="s">
        <v>19334</v>
      </c>
      <c r="I258" s="22" t="s">
        <v>19309</v>
      </c>
      <c r="J258" s="22" t="s">
        <v>19385</v>
      </c>
      <c r="K258" s="22" t="s">
        <v>18197</v>
      </c>
      <c r="L258" s="22"/>
      <c r="M258" s="22"/>
      <c r="N258" s="25" t="str">
        <f>HYPERLINK("http://slimages.macys.com/is/image/MCY/21541849 ")</f>
        <v xml:space="preserve">http://slimages.macys.com/is/image/MCY/21541849 </v>
      </c>
    </row>
    <row r="259" spans="1:14" ht="24.75" x14ac:dyDescent="0.25">
      <c r="A259" s="21" t="s">
        <v>5821</v>
      </c>
      <c r="B259" s="22" t="s">
        <v>5822</v>
      </c>
      <c r="C259" s="2">
        <v>1</v>
      </c>
      <c r="D259" s="23">
        <v>15.99</v>
      </c>
      <c r="E259" s="3">
        <v>15.99</v>
      </c>
      <c r="F259" s="2" t="s">
        <v>16082</v>
      </c>
      <c r="G259" s="22" t="s">
        <v>19333</v>
      </c>
      <c r="H259" s="24" t="s">
        <v>19324</v>
      </c>
      <c r="I259" s="22" t="s">
        <v>19309</v>
      </c>
      <c r="J259" s="22" t="s">
        <v>19491</v>
      </c>
      <c r="K259" s="22" t="s">
        <v>18197</v>
      </c>
      <c r="L259" s="22"/>
      <c r="M259" s="22"/>
      <c r="N259" s="25" t="str">
        <f>HYPERLINK("http://slimages.macys.com/is/image/MCY/21541845 ")</f>
        <v xml:space="preserve">http://slimages.macys.com/is/image/MCY/21541845 </v>
      </c>
    </row>
    <row r="260" spans="1:14" ht="24.75" x14ac:dyDescent="0.25">
      <c r="A260" s="21" t="s">
        <v>11673</v>
      </c>
      <c r="B260" s="22" t="s">
        <v>11674</v>
      </c>
      <c r="C260" s="2">
        <v>1</v>
      </c>
      <c r="D260" s="23">
        <v>15.99</v>
      </c>
      <c r="E260" s="3">
        <v>15.99</v>
      </c>
      <c r="F260" s="2" t="s">
        <v>18196</v>
      </c>
      <c r="G260" s="22" t="s">
        <v>19333</v>
      </c>
      <c r="H260" s="24" t="s">
        <v>19334</v>
      </c>
      <c r="I260" s="22" t="s">
        <v>19309</v>
      </c>
      <c r="J260" s="22" t="s">
        <v>19491</v>
      </c>
      <c r="K260" s="22" t="s">
        <v>18197</v>
      </c>
      <c r="L260" s="22"/>
      <c r="M260" s="22"/>
      <c r="N260" s="25" t="str">
        <f>HYPERLINK("http://slimages.macys.com/is/image/MCY/21541845 ")</f>
        <v xml:space="preserve">http://slimages.macys.com/is/image/MCY/21541845 </v>
      </c>
    </row>
    <row r="261" spans="1:14" ht="24.75" x14ac:dyDescent="0.25">
      <c r="A261" s="21" t="s">
        <v>5823</v>
      </c>
      <c r="B261" s="22" t="s">
        <v>5824</v>
      </c>
      <c r="C261" s="2">
        <v>2</v>
      </c>
      <c r="D261" s="23">
        <v>16.989999999999998</v>
      </c>
      <c r="E261" s="3">
        <v>33.979999999999997</v>
      </c>
      <c r="F261" s="2" t="s">
        <v>15490</v>
      </c>
      <c r="G261" s="22" t="s">
        <v>19814</v>
      </c>
      <c r="H261" s="24" t="s">
        <v>19392</v>
      </c>
      <c r="I261" s="22" t="s">
        <v>19309</v>
      </c>
      <c r="J261" s="22" t="s">
        <v>19815</v>
      </c>
      <c r="K261" s="22" t="s">
        <v>19816</v>
      </c>
      <c r="L261" s="22"/>
      <c r="M261" s="22"/>
      <c r="N261" s="25" t="str">
        <f>HYPERLINK("http://slimages.macys.com/is/image/MCY/20549879 ")</f>
        <v xml:space="preserve">http://slimages.macys.com/is/image/MCY/20549879 </v>
      </c>
    </row>
    <row r="262" spans="1:14" ht="24.75" x14ac:dyDescent="0.25">
      <c r="A262" s="21" t="s">
        <v>5825</v>
      </c>
      <c r="B262" s="22" t="s">
        <v>5826</v>
      </c>
      <c r="C262" s="2">
        <v>1</v>
      </c>
      <c r="D262" s="23">
        <v>16.989999999999998</v>
      </c>
      <c r="E262" s="3">
        <v>16.989999999999998</v>
      </c>
      <c r="F262" s="2" t="s">
        <v>15490</v>
      </c>
      <c r="G262" s="22" t="s">
        <v>19814</v>
      </c>
      <c r="H262" s="24" t="s">
        <v>19907</v>
      </c>
      <c r="I262" s="22" t="s">
        <v>19309</v>
      </c>
      <c r="J262" s="22" t="s">
        <v>19815</v>
      </c>
      <c r="K262" s="22" t="s">
        <v>19816</v>
      </c>
      <c r="L262" s="22"/>
      <c r="M262" s="22"/>
      <c r="N262" s="25" t="str">
        <f>HYPERLINK("http://slimages.macys.com/is/image/MCY/20549879 ")</f>
        <v xml:space="preserve">http://slimages.macys.com/is/image/MCY/20549879 </v>
      </c>
    </row>
    <row r="263" spans="1:14" ht="24.75" x14ac:dyDescent="0.25">
      <c r="A263" s="21" t="s">
        <v>6790</v>
      </c>
      <c r="B263" s="22" t="s">
        <v>6791</v>
      </c>
      <c r="C263" s="2">
        <v>1</v>
      </c>
      <c r="D263" s="23">
        <v>16.989999999999998</v>
      </c>
      <c r="E263" s="3">
        <v>16.989999999999998</v>
      </c>
      <c r="F263" s="2" t="s">
        <v>15490</v>
      </c>
      <c r="G263" s="22" t="s">
        <v>19814</v>
      </c>
      <c r="H263" s="24" t="s">
        <v>19542</v>
      </c>
      <c r="I263" s="22" t="s">
        <v>19309</v>
      </c>
      <c r="J263" s="22" t="s">
        <v>19815</v>
      </c>
      <c r="K263" s="22" t="s">
        <v>19816</v>
      </c>
      <c r="L263" s="22"/>
      <c r="M263" s="22"/>
      <c r="N263" s="25" t="str">
        <f>HYPERLINK("http://slimages.macys.com/is/image/MCY/20549879 ")</f>
        <v xml:space="preserve">http://slimages.macys.com/is/image/MCY/20549879 </v>
      </c>
    </row>
    <row r="264" spans="1:14" ht="24.75" x14ac:dyDescent="0.25">
      <c r="A264" s="21" t="s">
        <v>5827</v>
      </c>
      <c r="B264" s="22" t="s">
        <v>5828</v>
      </c>
      <c r="C264" s="2">
        <v>1</v>
      </c>
      <c r="D264" s="23">
        <v>15.99</v>
      </c>
      <c r="E264" s="3">
        <v>15.99</v>
      </c>
      <c r="F264" s="2" t="s">
        <v>13690</v>
      </c>
      <c r="G264" s="22" t="s">
        <v>19415</v>
      </c>
      <c r="H264" s="24" t="s">
        <v>19538</v>
      </c>
      <c r="I264" s="22" t="s">
        <v>19309</v>
      </c>
      <c r="J264" s="22" t="s">
        <v>19573</v>
      </c>
      <c r="K264" s="22" t="s">
        <v>19574</v>
      </c>
      <c r="L264" s="22"/>
      <c r="M264" s="22"/>
      <c r="N264" s="25" t="str">
        <f>HYPERLINK("http://slimages.macys.com/is/image/MCY/20757458 ")</f>
        <v xml:space="preserve">http://slimages.macys.com/is/image/MCY/20757458 </v>
      </c>
    </row>
    <row r="265" spans="1:14" ht="24.75" x14ac:dyDescent="0.25">
      <c r="A265" s="21" t="s">
        <v>5829</v>
      </c>
      <c r="B265" s="22" t="s">
        <v>5830</v>
      </c>
      <c r="C265" s="2">
        <v>1</v>
      </c>
      <c r="D265" s="23">
        <v>15.99</v>
      </c>
      <c r="E265" s="3">
        <v>15.99</v>
      </c>
      <c r="F265" s="2" t="s">
        <v>13690</v>
      </c>
      <c r="G265" s="22" t="s">
        <v>19415</v>
      </c>
      <c r="H265" s="24"/>
      <c r="I265" s="22" t="s">
        <v>19309</v>
      </c>
      <c r="J265" s="22" t="s">
        <v>19573</v>
      </c>
      <c r="K265" s="22" t="s">
        <v>19574</v>
      </c>
      <c r="L265" s="22"/>
      <c r="M265" s="22"/>
      <c r="N265" s="25" t="str">
        <f>HYPERLINK("http://slimages.macys.com/is/image/MCY/20757458 ")</f>
        <v xml:space="preserve">http://slimages.macys.com/is/image/MCY/20757458 </v>
      </c>
    </row>
    <row r="266" spans="1:14" ht="24.75" x14ac:dyDescent="0.25">
      <c r="A266" s="21" t="s">
        <v>13688</v>
      </c>
      <c r="B266" s="22" t="s">
        <v>13689</v>
      </c>
      <c r="C266" s="2">
        <v>1</v>
      </c>
      <c r="D266" s="23">
        <v>15.99</v>
      </c>
      <c r="E266" s="3">
        <v>15.99</v>
      </c>
      <c r="F266" s="2" t="s">
        <v>13690</v>
      </c>
      <c r="G266" s="22" t="s">
        <v>19415</v>
      </c>
      <c r="H266" s="24" t="s">
        <v>19416</v>
      </c>
      <c r="I266" s="22" t="s">
        <v>19309</v>
      </c>
      <c r="J266" s="22" t="s">
        <v>19573</v>
      </c>
      <c r="K266" s="22" t="s">
        <v>19574</v>
      </c>
      <c r="L266" s="22"/>
      <c r="M266" s="22"/>
      <c r="N266" s="25" t="str">
        <f>HYPERLINK("http://slimages.macys.com/is/image/MCY/20757458 ")</f>
        <v xml:space="preserve">http://slimages.macys.com/is/image/MCY/20757458 </v>
      </c>
    </row>
    <row r="267" spans="1:14" x14ac:dyDescent="0.25">
      <c r="A267" s="21" t="s">
        <v>5831</v>
      </c>
      <c r="B267" s="22" t="s">
        <v>5832</v>
      </c>
      <c r="C267" s="2">
        <v>1</v>
      </c>
      <c r="D267" s="23">
        <v>13.77</v>
      </c>
      <c r="E267" s="3">
        <v>13.77</v>
      </c>
      <c r="F267" s="2" t="s">
        <v>5833</v>
      </c>
      <c r="G267" s="22" t="s">
        <v>19338</v>
      </c>
      <c r="H267" s="24" t="s">
        <v>19770</v>
      </c>
      <c r="I267" s="22" t="s">
        <v>19309</v>
      </c>
      <c r="J267" s="22" t="s">
        <v>19708</v>
      </c>
      <c r="K267" s="22" t="s">
        <v>19709</v>
      </c>
      <c r="L267" s="22"/>
      <c r="M267" s="22"/>
      <c r="N267" s="25" t="str">
        <f>HYPERLINK("http://slimages.macys.com/is/image/MCY/19160855 ")</f>
        <v xml:space="preserve">http://slimages.macys.com/is/image/MCY/19160855 </v>
      </c>
    </row>
    <row r="268" spans="1:14" ht="24.75" x14ac:dyDescent="0.25">
      <c r="A268" s="21" t="s">
        <v>5834</v>
      </c>
      <c r="B268" s="22" t="s">
        <v>5835</v>
      </c>
      <c r="C268" s="2">
        <v>1</v>
      </c>
      <c r="D268" s="23">
        <v>12.5</v>
      </c>
      <c r="E268" s="3">
        <v>12.5</v>
      </c>
      <c r="F268" s="2" t="s">
        <v>5836</v>
      </c>
      <c r="G268" s="22" t="s">
        <v>19622</v>
      </c>
      <c r="H268" s="24"/>
      <c r="I268" s="22" t="s">
        <v>19309</v>
      </c>
      <c r="J268" s="22" t="s">
        <v>20076</v>
      </c>
      <c r="K268" s="22" t="s">
        <v>5837</v>
      </c>
      <c r="L268" s="22"/>
      <c r="M268" s="22"/>
      <c r="N268" s="25" t="str">
        <f>HYPERLINK("http://slimages.macys.com/is/image/MCY/17116950 ")</f>
        <v xml:space="preserve">http://slimages.macys.com/is/image/MCY/17116950 </v>
      </c>
    </row>
    <row r="269" spans="1:14" x14ac:dyDescent="0.25">
      <c r="A269" s="21" t="s">
        <v>5838</v>
      </c>
      <c r="B269" s="22" t="s">
        <v>5839</v>
      </c>
      <c r="C269" s="2">
        <v>1</v>
      </c>
      <c r="D269" s="23">
        <v>30</v>
      </c>
      <c r="E269" s="3">
        <v>30</v>
      </c>
      <c r="F269" s="2" t="s">
        <v>5840</v>
      </c>
      <c r="G269" s="22" t="s">
        <v>19333</v>
      </c>
      <c r="H269" s="24" t="s">
        <v>19770</v>
      </c>
      <c r="I269" s="22" t="s">
        <v>19309</v>
      </c>
      <c r="J269" s="22" t="s">
        <v>19417</v>
      </c>
      <c r="K269" s="22" t="s">
        <v>20110</v>
      </c>
      <c r="L269" s="22"/>
      <c r="M269" s="22"/>
      <c r="N269" s="25" t="str">
        <f>HYPERLINK("http://slimages.macys.com/is/image/MCY/21400780 ")</f>
        <v xml:space="preserve">http://slimages.macys.com/is/image/MCY/21400780 </v>
      </c>
    </row>
    <row r="270" spans="1:14" x14ac:dyDescent="0.25">
      <c r="A270" s="21" t="s">
        <v>18216</v>
      </c>
      <c r="B270" s="22" t="s">
        <v>18217</v>
      </c>
      <c r="C270" s="2">
        <v>1</v>
      </c>
      <c r="D270" s="23">
        <v>15.99</v>
      </c>
      <c r="E270" s="3">
        <v>15.99</v>
      </c>
      <c r="F270" s="2" t="s">
        <v>20223</v>
      </c>
      <c r="G270" s="22" t="s">
        <v>19477</v>
      </c>
      <c r="H270" s="24" t="s">
        <v>20135</v>
      </c>
      <c r="I270" s="22" t="s">
        <v>19309</v>
      </c>
      <c r="J270" s="22" t="s">
        <v>19849</v>
      </c>
      <c r="K270" s="22" t="s">
        <v>19850</v>
      </c>
      <c r="L270" s="22"/>
      <c r="M270" s="22"/>
      <c r="N270" s="25" t="str">
        <f>HYPERLINK("http://slimages.macys.com/is/image/MCY/1488068 ")</f>
        <v xml:space="preserve">http://slimages.macys.com/is/image/MCY/1488068 </v>
      </c>
    </row>
    <row r="271" spans="1:14" x14ac:dyDescent="0.25">
      <c r="A271" s="21" t="s">
        <v>5841</v>
      </c>
      <c r="B271" s="22" t="s">
        <v>5842</v>
      </c>
      <c r="C271" s="2">
        <v>2</v>
      </c>
      <c r="D271" s="23">
        <v>16.84</v>
      </c>
      <c r="E271" s="3">
        <v>33.68</v>
      </c>
      <c r="F271" s="2" t="s">
        <v>5843</v>
      </c>
      <c r="G271" s="22" t="s">
        <v>19333</v>
      </c>
      <c r="H271" s="24" t="s">
        <v>19330</v>
      </c>
      <c r="I271" s="22" t="s">
        <v>19309</v>
      </c>
      <c r="J271" s="22" t="s">
        <v>19708</v>
      </c>
      <c r="K271" s="22" t="s">
        <v>19709</v>
      </c>
      <c r="L271" s="22"/>
      <c r="M271" s="22"/>
      <c r="N271" s="25" t="str">
        <f>HYPERLINK("http://slimages.macys.com/is/image/MCY/21751987 ")</f>
        <v xml:space="preserve">http://slimages.macys.com/is/image/MCY/21751987 </v>
      </c>
    </row>
    <row r="272" spans="1:14" ht="24.75" x14ac:dyDescent="0.25">
      <c r="A272" s="21" t="s">
        <v>5844</v>
      </c>
      <c r="B272" s="22" t="s">
        <v>5845</v>
      </c>
      <c r="C272" s="2">
        <v>1</v>
      </c>
      <c r="D272" s="23">
        <v>12</v>
      </c>
      <c r="E272" s="3">
        <v>12</v>
      </c>
      <c r="F272" s="2" t="s">
        <v>5846</v>
      </c>
      <c r="G272" s="22" t="s">
        <v>19315</v>
      </c>
      <c r="H272" s="24" t="s">
        <v>19478</v>
      </c>
      <c r="I272" s="22" t="s">
        <v>19309</v>
      </c>
      <c r="J272" s="22" t="s">
        <v>19317</v>
      </c>
      <c r="K272" s="22" t="s">
        <v>16124</v>
      </c>
      <c r="L272" s="22" t="s">
        <v>19319</v>
      </c>
      <c r="M272" s="22" t="s">
        <v>19435</v>
      </c>
      <c r="N272" s="25" t="str">
        <f>HYPERLINK("http://slimages.macys.com/is/image/MCY/12953572 ")</f>
        <v xml:space="preserve">http://slimages.macys.com/is/image/MCY/12953572 </v>
      </c>
    </row>
    <row r="273" spans="1:14" ht="24.75" x14ac:dyDescent="0.25">
      <c r="A273" s="21" t="s">
        <v>5847</v>
      </c>
      <c r="B273" s="22" t="s">
        <v>5848</v>
      </c>
      <c r="C273" s="2">
        <v>1</v>
      </c>
      <c r="D273" s="23">
        <v>15.99</v>
      </c>
      <c r="E273" s="3">
        <v>15.99</v>
      </c>
      <c r="F273" s="2" t="s">
        <v>6815</v>
      </c>
      <c r="G273" s="22" t="s">
        <v>19431</v>
      </c>
      <c r="H273" s="24" t="s">
        <v>19364</v>
      </c>
      <c r="I273" s="22" t="s">
        <v>19309</v>
      </c>
      <c r="J273" s="22" t="s">
        <v>19454</v>
      </c>
      <c r="K273" s="22" t="s">
        <v>18654</v>
      </c>
      <c r="L273" s="22"/>
      <c r="M273" s="22"/>
      <c r="N273" s="25" t="str">
        <f>HYPERLINK("http://slimages.macys.com/is/image/MCY/21708498 ")</f>
        <v xml:space="preserve">http://slimages.macys.com/is/image/MCY/21708498 </v>
      </c>
    </row>
    <row r="274" spans="1:14" ht="24.75" x14ac:dyDescent="0.25">
      <c r="A274" s="21" t="s">
        <v>5849</v>
      </c>
      <c r="B274" s="22" t="s">
        <v>5850</v>
      </c>
      <c r="C274" s="2">
        <v>1</v>
      </c>
      <c r="D274" s="23">
        <v>15.99</v>
      </c>
      <c r="E274" s="3">
        <v>15.99</v>
      </c>
      <c r="F274" s="2" t="s">
        <v>6815</v>
      </c>
      <c r="G274" s="22" t="s">
        <v>18439</v>
      </c>
      <c r="H274" s="24" t="s">
        <v>19364</v>
      </c>
      <c r="I274" s="22" t="s">
        <v>19309</v>
      </c>
      <c r="J274" s="22" t="s">
        <v>19454</v>
      </c>
      <c r="K274" s="22" t="s">
        <v>18654</v>
      </c>
      <c r="L274" s="22"/>
      <c r="M274" s="22"/>
      <c r="N274" s="25" t="str">
        <f>HYPERLINK("http://slimages.macys.com/is/image/MCY/21708498 ")</f>
        <v xml:space="preserve">http://slimages.macys.com/is/image/MCY/21708498 </v>
      </c>
    </row>
    <row r="275" spans="1:14" x14ac:dyDescent="0.25">
      <c r="A275" s="21" t="s">
        <v>5851</v>
      </c>
      <c r="B275" s="22" t="s">
        <v>5852</v>
      </c>
      <c r="C275" s="2">
        <v>1</v>
      </c>
      <c r="D275" s="23">
        <v>21.99</v>
      </c>
      <c r="E275" s="3">
        <v>21.99</v>
      </c>
      <c r="F275" s="2" t="s">
        <v>5853</v>
      </c>
      <c r="G275" s="22" t="s">
        <v>19814</v>
      </c>
      <c r="H275" s="24" t="s">
        <v>19364</v>
      </c>
      <c r="I275" s="22" t="s">
        <v>19309</v>
      </c>
      <c r="J275" s="22" t="s">
        <v>19849</v>
      </c>
      <c r="K275" s="22" t="s">
        <v>19850</v>
      </c>
      <c r="L275" s="22"/>
      <c r="M275" s="22"/>
      <c r="N275" s="25" t="str">
        <f>HYPERLINK("http://slimages.macys.com/is/image/MCY/20752774 ")</f>
        <v xml:space="preserve">http://slimages.macys.com/is/image/MCY/20752774 </v>
      </c>
    </row>
    <row r="276" spans="1:14" x14ac:dyDescent="0.25">
      <c r="A276" s="21" t="s">
        <v>9549</v>
      </c>
      <c r="B276" s="22" t="s">
        <v>9550</v>
      </c>
      <c r="C276" s="2">
        <v>35</v>
      </c>
      <c r="D276" s="23">
        <v>32</v>
      </c>
      <c r="E276" s="3">
        <v>1120</v>
      </c>
      <c r="F276" s="2" t="s">
        <v>11026</v>
      </c>
      <c r="G276" s="22" t="s">
        <v>19351</v>
      </c>
      <c r="H276" s="24" t="s">
        <v>19770</v>
      </c>
      <c r="I276" s="22" t="s">
        <v>19309</v>
      </c>
      <c r="J276" s="22" t="s">
        <v>19417</v>
      </c>
      <c r="K276" s="22" t="s">
        <v>20110</v>
      </c>
      <c r="L276" s="22"/>
      <c r="M276" s="22"/>
      <c r="N276" s="25" t="str">
        <f>HYPERLINK("http://slimages.macys.com/is/image/MCY/21551758 ")</f>
        <v xml:space="preserve">http://slimages.macys.com/is/image/MCY/21551758 </v>
      </c>
    </row>
    <row r="277" spans="1:14" ht="24.75" x14ac:dyDescent="0.25">
      <c r="A277" s="21" t="s">
        <v>5854</v>
      </c>
      <c r="B277" s="22" t="s">
        <v>5855</v>
      </c>
      <c r="C277" s="2">
        <v>1</v>
      </c>
      <c r="D277" s="23">
        <v>16.989999999999998</v>
      </c>
      <c r="E277" s="3">
        <v>16.989999999999998</v>
      </c>
      <c r="F277" s="2" t="s">
        <v>5856</v>
      </c>
      <c r="G277" s="22" t="s">
        <v>19415</v>
      </c>
      <c r="H277" s="24" t="s">
        <v>20135</v>
      </c>
      <c r="I277" s="22" t="s">
        <v>19309</v>
      </c>
      <c r="J277" s="22" t="s">
        <v>19573</v>
      </c>
      <c r="K277" s="22" t="s">
        <v>19574</v>
      </c>
      <c r="L277" s="22"/>
      <c r="M277" s="22"/>
      <c r="N277" s="25" t="str">
        <f>HYPERLINK("http://slimages.macys.com/is/image/MCY/20142506 ")</f>
        <v xml:space="preserve">http://slimages.macys.com/is/image/MCY/20142506 </v>
      </c>
    </row>
    <row r="278" spans="1:14" ht="24.75" x14ac:dyDescent="0.25">
      <c r="A278" s="21" t="s">
        <v>6816</v>
      </c>
      <c r="B278" s="22" t="s">
        <v>6817</v>
      </c>
      <c r="C278" s="2">
        <v>1</v>
      </c>
      <c r="D278" s="23">
        <v>12.99</v>
      </c>
      <c r="E278" s="3">
        <v>12.99</v>
      </c>
      <c r="F278" s="2">
        <v>5133</v>
      </c>
      <c r="G278" s="22" t="s">
        <v>19333</v>
      </c>
      <c r="H278" s="24"/>
      <c r="I278" s="22" t="s">
        <v>19309</v>
      </c>
      <c r="J278" s="22" t="s">
        <v>20076</v>
      </c>
      <c r="K278" s="22" t="s">
        <v>20250</v>
      </c>
      <c r="L278" s="22" t="s">
        <v>19319</v>
      </c>
      <c r="M278" s="22" t="s">
        <v>19689</v>
      </c>
      <c r="N278" s="25" t="str">
        <f>HYPERLINK("http://slimages.macys.com/is/image/MCY/17906319 ")</f>
        <v xml:space="preserve">http://slimages.macys.com/is/image/MCY/17906319 </v>
      </c>
    </row>
    <row r="279" spans="1:14" ht="24.75" x14ac:dyDescent="0.25">
      <c r="A279" s="21" t="s">
        <v>13729</v>
      </c>
      <c r="B279" s="22" t="s">
        <v>13730</v>
      </c>
      <c r="C279" s="2">
        <v>1</v>
      </c>
      <c r="D279" s="23">
        <v>12.99</v>
      </c>
      <c r="E279" s="3">
        <v>12.99</v>
      </c>
      <c r="F279" s="2">
        <v>5133</v>
      </c>
      <c r="G279" s="22" t="s">
        <v>19333</v>
      </c>
      <c r="H279" s="24"/>
      <c r="I279" s="22" t="s">
        <v>19309</v>
      </c>
      <c r="J279" s="22" t="s">
        <v>20076</v>
      </c>
      <c r="K279" s="22" t="s">
        <v>20250</v>
      </c>
      <c r="L279" s="22" t="s">
        <v>19319</v>
      </c>
      <c r="M279" s="22" t="s">
        <v>19689</v>
      </c>
      <c r="N279" s="25" t="str">
        <f>HYPERLINK("http://slimages.macys.com/is/image/MCY/17906319 ")</f>
        <v xml:space="preserve">http://slimages.macys.com/is/image/MCY/17906319 </v>
      </c>
    </row>
    <row r="280" spans="1:14" x14ac:dyDescent="0.25">
      <c r="A280" s="21" t="s">
        <v>5857</v>
      </c>
      <c r="B280" s="22" t="s">
        <v>5858</v>
      </c>
      <c r="C280" s="2">
        <v>1</v>
      </c>
      <c r="D280" s="23">
        <v>24</v>
      </c>
      <c r="E280" s="3">
        <v>24</v>
      </c>
      <c r="F280" s="2" t="s">
        <v>5859</v>
      </c>
      <c r="G280" s="22" t="s">
        <v>19594</v>
      </c>
      <c r="H280" s="24"/>
      <c r="I280" s="22" t="s">
        <v>19309</v>
      </c>
      <c r="J280" s="22" t="s">
        <v>19417</v>
      </c>
      <c r="K280" s="22" t="s">
        <v>20110</v>
      </c>
      <c r="L280" s="22"/>
      <c r="M280" s="22"/>
      <c r="N280" s="25" t="str">
        <f>HYPERLINK("http://slimages.macys.com/is/image/MCY/21400772 ")</f>
        <v xml:space="preserve">http://slimages.macys.com/is/image/MCY/21400772 </v>
      </c>
    </row>
    <row r="281" spans="1:14" x14ac:dyDescent="0.25">
      <c r="A281" s="21" t="s">
        <v>10604</v>
      </c>
      <c r="B281" s="22" t="s">
        <v>10605</v>
      </c>
      <c r="C281" s="2">
        <v>1</v>
      </c>
      <c r="D281" s="23">
        <v>24</v>
      </c>
      <c r="E281" s="3">
        <v>24</v>
      </c>
      <c r="F281" s="2" t="s">
        <v>11056</v>
      </c>
      <c r="G281" s="22" t="s">
        <v>18439</v>
      </c>
      <c r="H281" s="24" t="s">
        <v>19770</v>
      </c>
      <c r="I281" s="22" t="s">
        <v>19309</v>
      </c>
      <c r="J281" s="22" t="s">
        <v>19417</v>
      </c>
      <c r="K281" s="22" t="s">
        <v>20110</v>
      </c>
      <c r="L281" s="22"/>
      <c r="M281" s="22"/>
      <c r="N281" s="25" t="str">
        <f>HYPERLINK("http://slimages.macys.com/is/image/MCY/21400727 ")</f>
        <v xml:space="preserve">http://slimages.macys.com/is/image/MCY/21400727 </v>
      </c>
    </row>
    <row r="282" spans="1:14" x14ac:dyDescent="0.25">
      <c r="A282" s="21" t="s">
        <v>5860</v>
      </c>
      <c r="B282" s="22" t="s">
        <v>5861</v>
      </c>
      <c r="C282" s="2">
        <v>1</v>
      </c>
      <c r="D282" s="23">
        <v>24</v>
      </c>
      <c r="E282" s="3">
        <v>24</v>
      </c>
      <c r="F282" s="2" t="s">
        <v>5862</v>
      </c>
      <c r="G282" s="22" t="s">
        <v>18439</v>
      </c>
      <c r="H282" s="24" t="s">
        <v>12224</v>
      </c>
      <c r="I282" s="22" t="s">
        <v>19309</v>
      </c>
      <c r="J282" s="22" t="s">
        <v>19417</v>
      </c>
      <c r="K282" s="22" t="s">
        <v>20110</v>
      </c>
      <c r="L282" s="22"/>
      <c r="M282" s="22"/>
      <c r="N282" s="25" t="str">
        <f>HYPERLINK("http://slimages.macys.com/is/image/MCY/21400727 ")</f>
        <v xml:space="preserve">http://slimages.macys.com/is/image/MCY/21400727 </v>
      </c>
    </row>
    <row r="283" spans="1:14" x14ac:dyDescent="0.25">
      <c r="A283" s="21" t="s">
        <v>8588</v>
      </c>
      <c r="B283" s="22" t="s">
        <v>8589</v>
      </c>
      <c r="C283" s="2">
        <v>1</v>
      </c>
      <c r="D283" s="23">
        <v>24</v>
      </c>
      <c r="E283" s="3">
        <v>24</v>
      </c>
      <c r="F283" s="2" t="s">
        <v>10596</v>
      </c>
      <c r="G283" s="22" t="s">
        <v>19404</v>
      </c>
      <c r="H283" s="24"/>
      <c r="I283" s="22" t="s">
        <v>19309</v>
      </c>
      <c r="J283" s="22" t="s">
        <v>19417</v>
      </c>
      <c r="K283" s="22" t="s">
        <v>20110</v>
      </c>
      <c r="L283" s="22"/>
      <c r="M283" s="22"/>
      <c r="N283" s="25" t="str">
        <f>HYPERLINK("http://slimages.macys.com/is/image/MCY/21551777 ")</f>
        <v xml:space="preserve">http://slimages.macys.com/is/image/MCY/21551777 </v>
      </c>
    </row>
    <row r="284" spans="1:14" ht="24.75" x14ac:dyDescent="0.25">
      <c r="A284" s="21" t="s">
        <v>20289</v>
      </c>
      <c r="B284" s="22" t="s">
        <v>20290</v>
      </c>
      <c r="C284" s="2">
        <v>1</v>
      </c>
      <c r="D284" s="23">
        <v>11.99</v>
      </c>
      <c r="E284" s="3">
        <v>11.99</v>
      </c>
      <c r="F284" s="2" t="s">
        <v>20291</v>
      </c>
      <c r="G284" s="22" t="s">
        <v>19357</v>
      </c>
      <c r="H284" s="24" t="s">
        <v>19538</v>
      </c>
      <c r="I284" s="22" t="s">
        <v>19309</v>
      </c>
      <c r="J284" s="22" t="s">
        <v>19573</v>
      </c>
      <c r="K284" s="22" t="s">
        <v>20256</v>
      </c>
      <c r="L284" s="22" t="s">
        <v>19319</v>
      </c>
      <c r="M284" s="22" t="s">
        <v>19358</v>
      </c>
      <c r="N284" s="25" t="str">
        <f>HYPERLINK("http://slimages.macys.com/is/image/MCY/8018016 ")</f>
        <v xml:space="preserve">http://slimages.macys.com/is/image/MCY/8018016 </v>
      </c>
    </row>
    <row r="285" spans="1:14" ht="24.75" x14ac:dyDescent="0.25">
      <c r="A285" s="21" t="s">
        <v>5863</v>
      </c>
      <c r="B285" s="22" t="s">
        <v>5864</v>
      </c>
      <c r="C285" s="2">
        <v>1</v>
      </c>
      <c r="D285" s="23">
        <v>14.12</v>
      </c>
      <c r="E285" s="3">
        <v>14.12</v>
      </c>
      <c r="F285" s="2" t="s">
        <v>5865</v>
      </c>
      <c r="G285" s="22"/>
      <c r="H285" s="24" t="s">
        <v>19345</v>
      </c>
      <c r="I285" s="22" t="s">
        <v>19309</v>
      </c>
      <c r="J285" s="22" t="s">
        <v>19602</v>
      </c>
      <c r="K285" s="22" t="s">
        <v>20041</v>
      </c>
      <c r="L285" s="22"/>
      <c r="M285" s="22"/>
      <c r="N285" s="25" t="str">
        <f>HYPERLINK("http://slimages.macys.com/is/image/MCY/20529113 ")</f>
        <v xml:space="preserve">http://slimages.macys.com/is/image/MCY/20529113 </v>
      </c>
    </row>
    <row r="286" spans="1:14" ht="24.75" x14ac:dyDescent="0.25">
      <c r="A286" s="21" t="s">
        <v>5866</v>
      </c>
      <c r="B286" s="22" t="s">
        <v>5867</v>
      </c>
      <c r="C286" s="2">
        <v>1</v>
      </c>
      <c r="D286" s="23">
        <v>14.12</v>
      </c>
      <c r="E286" s="3">
        <v>14.12</v>
      </c>
      <c r="F286" s="2" t="s">
        <v>5868</v>
      </c>
      <c r="G286" s="22"/>
      <c r="H286" s="24"/>
      <c r="I286" s="22" t="s">
        <v>19309</v>
      </c>
      <c r="J286" s="22" t="s">
        <v>19602</v>
      </c>
      <c r="K286" s="22" t="s">
        <v>20041</v>
      </c>
      <c r="L286" s="22"/>
      <c r="M286" s="22"/>
      <c r="N286" s="25" t="str">
        <f>HYPERLINK("http://slimages.macys.com/is/image/MCY/20529028 ")</f>
        <v xml:space="preserve">http://slimages.macys.com/is/image/MCY/20529028 </v>
      </c>
    </row>
    <row r="287" spans="1:14" ht="24.75" x14ac:dyDescent="0.25">
      <c r="A287" s="21" t="s">
        <v>5869</v>
      </c>
      <c r="B287" s="22" t="s">
        <v>5870</v>
      </c>
      <c r="C287" s="2">
        <v>1</v>
      </c>
      <c r="D287" s="23">
        <v>14.12</v>
      </c>
      <c r="E287" s="3">
        <v>14.12</v>
      </c>
      <c r="F287" s="2" t="s">
        <v>5868</v>
      </c>
      <c r="G287" s="22"/>
      <c r="H287" s="24" t="s">
        <v>19345</v>
      </c>
      <c r="I287" s="22" t="s">
        <v>19309</v>
      </c>
      <c r="J287" s="22" t="s">
        <v>19602</v>
      </c>
      <c r="K287" s="22" t="s">
        <v>20041</v>
      </c>
      <c r="L287" s="22"/>
      <c r="M287" s="22"/>
      <c r="N287" s="25" t="str">
        <f>HYPERLINK("http://slimages.macys.com/is/image/MCY/20529028 ")</f>
        <v xml:space="preserve">http://slimages.macys.com/is/image/MCY/20529028 </v>
      </c>
    </row>
    <row r="288" spans="1:14" ht="24.75" x14ac:dyDescent="0.25">
      <c r="A288" s="21" t="s">
        <v>5871</v>
      </c>
      <c r="B288" s="22" t="s">
        <v>5872</v>
      </c>
      <c r="C288" s="2">
        <v>1</v>
      </c>
      <c r="D288" s="23">
        <v>14.99</v>
      </c>
      <c r="E288" s="3">
        <v>14.99</v>
      </c>
      <c r="F288" s="2">
        <v>10013151100</v>
      </c>
      <c r="G288" s="22" t="s">
        <v>19618</v>
      </c>
      <c r="H288" s="24"/>
      <c r="I288" s="22" t="s">
        <v>19309</v>
      </c>
      <c r="J288" s="22" t="s">
        <v>19573</v>
      </c>
      <c r="K288" s="22" t="s">
        <v>19574</v>
      </c>
      <c r="L288" s="22"/>
      <c r="M288" s="22"/>
      <c r="N288" s="25" t="str">
        <f>HYPERLINK("http://slimages.macys.com/is/image/MCY/19755878 ")</f>
        <v xml:space="preserve">http://slimages.macys.com/is/image/MCY/19755878 </v>
      </c>
    </row>
    <row r="289" spans="1:14" ht="36.75" x14ac:dyDescent="0.25">
      <c r="A289" s="21" t="s">
        <v>20295</v>
      </c>
      <c r="B289" s="22" t="s">
        <v>20296</v>
      </c>
      <c r="C289" s="2">
        <v>4</v>
      </c>
      <c r="D289" s="23">
        <v>14.99</v>
      </c>
      <c r="E289" s="3">
        <v>59.96</v>
      </c>
      <c r="F289" s="2" t="s">
        <v>20297</v>
      </c>
      <c r="G289" s="22" t="s">
        <v>19674</v>
      </c>
      <c r="H289" s="24" t="s">
        <v>19538</v>
      </c>
      <c r="I289" s="22" t="s">
        <v>19309</v>
      </c>
      <c r="J289" s="22" t="s">
        <v>19573</v>
      </c>
      <c r="K289" s="22" t="s">
        <v>20256</v>
      </c>
      <c r="L289" s="22" t="s">
        <v>19319</v>
      </c>
      <c r="M289" s="22" t="s">
        <v>20298</v>
      </c>
      <c r="N289" s="25" t="str">
        <f>HYPERLINK("http://slimages.macys.com/is/image/MCY/3931290 ")</f>
        <v xml:space="preserve">http://slimages.macys.com/is/image/MCY/3931290 </v>
      </c>
    </row>
    <row r="290" spans="1:14" ht="24.75" x14ac:dyDescent="0.25">
      <c r="A290" s="21" t="s">
        <v>20299</v>
      </c>
      <c r="B290" s="22" t="s">
        <v>20300</v>
      </c>
      <c r="C290" s="2">
        <v>1</v>
      </c>
      <c r="D290" s="23">
        <v>14.99</v>
      </c>
      <c r="E290" s="3">
        <v>14.99</v>
      </c>
      <c r="F290" s="2" t="s">
        <v>20301</v>
      </c>
      <c r="G290" s="22" t="s">
        <v>19351</v>
      </c>
      <c r="H290" s="24" t="s">
        <v>19538</v>
      </c>
      <c r="I290" s="22" t="s">
        <v>19309</v>
      </c>
      <c r="J290" s="22" t="s">
        <v>19573</v>
      </c>
      <c r="K290" s="22" t="s">
        <v>20256</v>
      </c>
      <c r="L290" s="22" t="s">
        <v>19319</v>
      </c>
      <c r="M290" s="22" t="s">
        <v>20302</v>
      </c>
      <c r="N290" s="25" t="str">
        <f>HYPERLINK("http://slimages.macys.com/is/image/MCY/8484392 ")</f>
        <v xml:space="preserve">http://slimages.macys.com/is/image/MCY/8484392 </v>
      </c>
    </row>
    <row r="291" spans="1:14" ht="36.75" x14ac:dyDescent="0.25">
      <c r="A291" s="21" t="s">
        <v>5873</v>
      </c>
      <c r="B291" s="22" t="s">
        <v>5874</v>
      </c>
      <c r="C291" s="2">
        <v>1</v>
      </c>
      <c r="D291" s="23">
        <v>14.99</v>
      </c>
      <c r="E291" s="3">
        <v>14.99</v>
      </c>
      <c r="F291" s="2" t="s">
        <v>20297</v>
      </c>
      <c r="G291" s="22" t="s">
        <v>19674</v>
      </c>
      <c r="H291" s="24"/>
      <c r="I291" s="22" t="s">
        <v>19309</v>
      </c>
      <c r="J291" s="22" t="s">
        <v>19573</v>
      </c>
      <c r="K291" s="22" t="s">
        <v>20256</v>
      </c>
      <c r="L291" s="22" t="s">
        <v>19319</v>
      </c>
      <c r="M291" s="22" t="s">
        <v>20298</v>
      </c>
      <c r="N291" s="25" t="str">
        <f>HYPERLINK("http://slimages.macys.com/is/image/MCY/3931290 ")</f>
        <v xml:space="preserve">http://slimages.macys.com/is/image/MCY/3931290 </v>
      </c>
    </row>
    <row r="292" spans="1:14" ht="24.75" x14ac:dyDescent="0.25">
      <c r="A292" s="21" t="s">
        <v>12186</v>
      </c>
      <c r="B292" s="22" t="s">
        <v>12187</v>
      </c>
      <c r="C292" s="2">
        <v>2</v>
      </c>
      <c r="D292" s="23">
        <v>14.99</v>
      </c>
      <c r="E292" s="3">
        <v>29.98</v>
      </c>
      <c r="F292" s="2" t="s">
        <v>20301</v>
      </c>
      <c r="G292" s="22" t="s">
        <v>19351</v>
      </c>
      <c r="H292" s="24"/>
      <c r="I292" s="22" t="s">
        <v>19309</v>
      </c>
      <c r="J292" s="22" t="s">
        <v>19573</v>
      </c>
      <c r="K292" s="22" t="s">
        <v>20256</v>
      </c>
      <c r="L292" s="22" t="s">
        <v>19319</v>
      </c>
      <c r="M292" s="22" t="s">
        <v>20302</v>
      </c>
      <c r="N292" s="25" t="str">
        <f>HYPERLINK("http://slimages.macys.com/is/image/MCY/8484392 ")</f>
        <v xml:space="preserve">http://slimages.macys.com/is/image/MCY/8484392 </v>
      </c>
    </row>
    <row r="293" spans="1:14" ht="24.75" x14ac:dyDescent="0.25">
      <c r="A293" s="21" t="s">
        <v>5875</v>
      </c>
      <c r="B293" s="22" t="s">
        <v>5876</v>
      </c>
      <c r="C293" s="2">
        <v>1</v>
      </c>
      <c r="D293" s="23">
        <v>19.989999999999998</v>
      </c>
      <c r="E293" s="3">
        <v>19.989999999999998</v>
      </c>
      <c r="F293" s="2" t="s">
        <v>5877</v>
      </c>
      <c r="G293" s="22" t="s">
        <v>19338</v>
      </c>
      <c r="H293" s="24" t="s">
        <v>19339</v>
      </c>
      <c r="I293" s="22" t="s">
        <v>19309</v>
      </c>
      <c r="J293" s="22" t="s">
        <v>19815</v>
      </c>
      <c r="K293" s="22" t="s">
        <v>19816</v>
      </c>
      <c r="L293" s="22"/>
      <c r="M293" s="22"/>
      <c r="N293" s="25" t="str">
        <f>HYPERLINK("http://slimages.macys.com/is/image/MCY/20008237 ")</f>
        <v xml:space="preserve">http://slimages.macys.com/is/image/MCY/20008237 </v>
      </c>
    </row>
    <row r="294" spans="1:14" ht="24.75" x14ac:dyDescent="0.25">
      <c r="A294" s="21" t="s">
        <v>8115</v>
      </c>
      <c r="B294" s="22" t="s">
        <v>8116</v>
      </c>
      <c r="C294" s="2">
        <v>10</v>
      </c>
      <c r="D294" s="23">
        <v>24.5</v>
      </c>
      <c r="E294" s="3">
        <v>245</v>
      </c>
      <c r="F294" s="2" t="s">
        <v>8113</v>
      </c>
      <c r="G294" s="22" t="s">
        <v>19618</v>
      </c>
      <c r="H294" s="24"/>
      <c r="I294" s="22" t="s">
        <v>19309</v>
      </c>
      <c r="J294" s="22" t="s">
        <v>19613</v>
      </c>
      <c r="K294" s="22" t="s">
        <v>19614</v>
      </c>
      <c r="L294" s="22"/>
      <c r="M294" s="22"/>
      <c r="N294" s="25" t="str">
        <f>HYPERLINK("http://slimages.macys.com/is/image/MCY/21035738 ")</f>
        <v xml:space="preserve">http://slimages.macys.com/is/image/MCY/21035738 </v>
      </c>
    </row>
    <row r="295" spans="1:14" x14ac:dyDescent="0.25">
      <c r="A295" s="21" t="s">
        <v>5878</v>
      </c>
      <c r="B295" s="22" t="s">
        <v>5879</v>
      </c>
      <c r="C295" s="2">
        <v>1</v>
      </c>
      <c r="D295" s="23">
        <v>15.94</v>
      </c>
      <c r="E295" s="3">
        <v>15.94</v>
      </c>
      <c r="F295" s="2" t="s">
        <v>18269</v>
      </c>
      <c r="G295" s="22" t="s">
        <v>19635</v>
      </c>
      <c r="H295" s="24" t="s">
        <v>19416</v>
      </c>
      <c r="I295" s="22" t="s">
        <v>19309</v>
      </c>
      <c r="J295" s="22" t="s">
        <v>19708</v>
      </c>
      <c r="K295" s="22" t="s">
        <v>19709</v>
      </c>
      <c r="L295" s="22"/>
      <c r="M295" s="22"/>
      <c r="N295" s="25" t="str">
        <f>HYPERLINK("http://slimages.macys.com/is/image/MCY/22296994 ")</f>
        <v xml:space="preserve">http://slimages.macys.com/is/image/MCY/22296994 </v>
      </c>
    </row>
    <row r="296" spans="1:14" x14ac:dyDescent="0.25">
      <c r="A296" s="21" t="s">
        <v>6831</v>
      </c>
      <c r="B296" s="22" t="s">
        <v>6832</v>
      </c>
      <c r="C296" s="2">
        <v>1</v>
      </c>
      <c r="D296" s="23">
        <v>15.94</v>
      </c>
      <c r="E296" s="3">
        <v>15.94</v>
      </c>
      <c r="F296" s="2" t="s">
        <v>11720</v>
      </c>
      <c r="G296" s="22" t="s">
        <v>19351</v>
      </c>
      <c r="H296" s="24" t="s">
        <v>20159</v>
      </c>
      <c r="I296" s="22" t="s">
        <v>19309</v>
      </c>
      <c r="J296" s="22" t="s">
        <v>19708</v>
      </c>
      <c r="K296" s="22" t="s">
        <v>19709</v>
      </c>
      <c r="L296" s="22"/>
      <c r="M296" s="22"/>
      <c r="N296" s="25" t="str">
        <f>HYPERLINK("http://slimages.macys.com/is/image/MCY/22296907 ")</f>
        <v xml:space="preserve">http://slimages.macys.com/is/image/MCY/22296907 </v>
      </c>
    </row>
    <row r="297" spans="1:14" x14ac:dyDescent="0.25">
      <c r="A297" s="21" t="s">
        <v>13755</v>
      </c>
      <c r="B297" s="22" t="s">
        <v>13756</v>
      </c>
      <c r="C297" s="2">
        <v>1</v>
      </c>
      <c r="D297" s="23">
        <v>15.93</v>
      </c>
      <c r="E297" s="3">
        <v>15.93</v>
      </c>
      <c r="F297" s="2" t="s">
        <v>13757</v>
      </c>
      <c r="G297" s="22" t="s">
        <v>19323</v>
      </c>
      <c r="H297" s="24" t="s">
        <v>19324</v>
      </c>
      <c r="I297" s="22" t="s">
        <v>19309</v>
      </c>
      <c r="J297" s="22" t="s">
        <v>19708</v>
      </c>
      <c r="K297" s="22" t="s">
        <v>19709</v>
      </c>
      <c r="L297" s="22"/>
      <c r="M297" s="22"/>
      <c r="N297" s="25" t="str">
        <f>HYPERLINK("http://slimages.macys.com/is/image/MCY/21409026 ")</f>
        <v xml:space="preserve">http://slimages.macys.com/is/image/MCY/21409026 </v>
      </c>
    </row>
    <row r="298" spans="1:14" ht="24.75" x14ac:dyDescent="0.25">
      <c r="A298" s="21" t="s">
        <v>20313</v>
      </c>
      <c r="B298" s="22" t="s">
        <v>19913</v>
      </c>
      <c r="C298" s="2">
        <v>1</v>
      </c>
      <c r="D298" s="23">
        <v>16.989999999999998</v>
      </c>
      <c r="E298" s="3">
        <v>16.989999999999998</v>
      </c>
      <c r="F298" s="2" t="s">
        <v>20311</v>
      </c>
      <c r="G298" s="22" t="s">
        <v>19713</v>
      </c>
      <c r="H298" s="24" t="s">
        <v>19384</v>
      </c>
      <c r="I298" s="22" t="s">
        <v>19309</v>
      </c>
      <c r="J298" s="22" t="s">
        <v>19573</v>
      </c>
      <c r="K298" s="22" t="s">
        <v>19574</v>
      </c>
      <c r="L298" s="22"/>
      <c r="M298" s="22"/>
      <c r="N298" s="25" t="str">
        <f>HYPERLINK("http://slimages.macys.com/is/image/MCY/1597998 ")</f>
        <v xml:space="preserve">http://slimages.macys.com/is/image/MCY/1597998 </v>
      </c>
    </row>
    <row r="299" spans="1:14" ht="24.75" x14ac:dyDescent="0.25">
      <c r="A299" s="21" t="s">
        <v>13185</v>
      </c>
      <c r="B299" s="22" t="s">
        <v>13186</v>
      </c>
      <c r="C299" s="2">
        <v>1</v>
      </c>
      <c r="D299" s="23">
        <v>16.989999999999998</v>
      </c>
      <c r="E299" s="3">
        <v>16.989999999999998</v>
      </c>
      <c r="F299" s="2" t="s">
        <v>20311</v>
      </c>
      <c r="G299" s="22" t="s">
        <v>19713</v>
      </c>
      <c r="H299" s="24" t="s">
        <v>19416</v>
      </c>
      <c r="I299" s="22" t="s">
        <v>19309</v>
      </c>
      <c r="J299" s="22" t="s">
        <v>19573</v>
      </c>
      <c r="K299" s="22" t="s">
        <v>19574</v>
      </c>
      <c r="L299" s="22"/>
      <c r="M299" s="22"/>
      <c r="N299" s="25" t="str">
        <f>HYPERLINK("http://slimages.macys.com/is/image/MCY/1597998 ")</f>
        <v xml:space="preserve">http://slimages.macys.com/is/image/MCY/1597998 </v>
      </c>
    </row>
    <row r="300" spans="1:14" ht="24.75" x14ac:dyDescent="0.25">
      <c r="A300" s="21" t="s">
        <v>20312</v>
      </c>
      <c r="B300" s="22" t="s">
        <v>19916</v>
      </c>
      <c r="C300" s="2">
        <v>1</v>
      </c>
      <c r="D300" s="23">
        <v>16.989999999999998</v>
      </c>
      <c r="E300" s="3">
        <v>16.989999999999998</v>
      </c>
      <c r="F300" s="2" t="s">
        <v>20311</v>
      </c>
      <c r="G300" s="22" t="s">
        <v>19713</v>
      </c>
      <c r="H300" s="24"/>
      <c r="I300" s="22" t="s">
        <v>19309</v>
      </c>
      <c r="J300" s="22" t="s">
        <v>19573</v>
      </c>
      <c r="K300" s="22" t="s">
        <v>19574</v>
      </c>
      <c r="L300" s="22"/>
      <c r="M300" s="22"/>
      <c r="N300" s="25" t="str">
        <f>HYPERLINK("http://slimages.macys.com/is/image/MCY/1597998 ")</f>
        <v xml:space="preserve">http://slimages.macys.com/is/image/MCY/1597998 </v>
      </c>
    </row>
    <row r="301" spans="1:14" ht="24.75" x14ac:dyDescent="0.25">
      <c r="A301" s="21" t="s">
        <v>5880</v>
      </c>
      <c r="B301" s="22" t="s">
        <v>5881</v>
      </c>
      <c r="C301" s="2">
        <v>1</v>
      </c>
      <c r="D301" s="23">
        <v>14.99</v>
      </c>
      <c r="E301" s="3">
        <v>14.99</v>
      </c>
      <c r="F301" s="2" t="s">
        <v>11727</v>
      </c>
      <c r="G301" s="22" t="s">
        <v>19513</v>
      </c>
      <c r="H301" s="24" t="s">
        <v>19361</v>
      </c>
      <c r="I301" s="22" t="s">
        <v>19309</v>
      </c>
      <c r="J301" s="22" t="s">
        <v>19815</v>
      </c>
      <c r="K301" s="22" t="s">
        <v>19816</v>
      </c>
      <c r="L301" s="22"/>
      <c r="M301" s="22"/>
      <c r="N301" s="25" t="str">
        <f>HYPERLINK("http://slimages.macys.com/is/image/MCY/1097196 ")</f>
        <v xml:space="preserve">http://slimages.macys.com/is/image/MCY/1097196 </v>
      </c>
    </row>
    <row r="302" spans="1:14" ht="24.75" x14ac:dyDescent="0.25">
      <c r="A302" s="21" t="s">
        <v>5882</v>
      </c>
      <c r="B302" s="22" t="s">
        <v>5883</v>
      </c>
      <c r="C302" s="2">
        <v>1</v>
      </c>
      <c r="D302" s="23">
        <v>13.99</v>
      </c>
      <c r="E302" s="3">
        <v>13.99</v>
      </c>
      <c r="F302" s="2" t="s">
        <v>5884</v>
      </c>
      <c r="G302" s="22"/>
      <c r="H302" s="24" t="s">
        <v>19345</v>
      </c>
      <c r="I302" s="22" t="s">
        <v>19309</v>
      </c>
      <c r="J302" s="22" t="s">
        <v>19595</v>
      </c>
      <c r="K302" s="22" t="s">
        <v>19596</v>
      </c>
      <c r="L302" s="22"/>
      <c r="M302" s="22"/>
      <c r="N302" s="25" t="str">
        <f>HYPERLINK("http://slimages.macys.com/is/image/MCY/21623020 ")</f>
        <v xml:space="preserve">http://slimages.macys.com/is/image/MCY/21623020 </v>
      </c>
    </row>
    <row r="303" spans="1:14" ht="24.75" x14ac:dyDescent="0.25">
      <c r="A303" s="21" t="s">
        <v>5885</v>
      </c>
      <c r="B303" s="22" t="s">
        <v>5886</v>
      </c>
      <c r="C303" s="2">
        <v>1</v>
      </c>
      <c r="D303" s="23">
        <v>13.99</v>
      </c>
      <c r="E303" s="3">
        <v>13.99</v>
      </c>
      <c r="F303" s="2" t="s">
        <v>5887</v>
      </c>
      <c r="G303" s="22" t="s">
        <v>19323</v>
      </c>
      <c r="H303" s="24" t="s">
        <v>19377</v>
      </c>
      <c r="I303" s="22" t="s">
        <v>19309</v>
      </c>
      <c r="J303" s="22" t="s">
        <v>19595</v>
      </c>
      <c r="K303" s="22" t="s">
        <v>19596</v>
      </c>
      <c r="L303" s="22"/>
      <c r="M303" s="22"/>
      <c r="N303" s="25" t="str">
        <f>HYPERLINK("http://slimages.macys.com/is/image/MCY/21623040 ")</f>
        <v xml:space="preserve">http://slimages.macys.com/is/image/MCY/21623040 </v>
      </c>
    </row>
    <row r="304" spans="1:14" ht="24.75" x14ac:dyDescent="0.25">
      <c r="A304" s="21" t="s">
        <v>5888</v>
      </c>
      <c r="B304" s="22" t="s">
        <v>5889</v>
      </c>
      <c r="C304" s="2">
        <v>1</v>
      </c>
      <c r="D304" s="23">
        <v>14.99</v>
      </c>
      <c r="E304" s="3">
        <v>14.99</v>
      </c>
      <c r="F304" s="2" t="s">
        <v>5890</v>
      </c>
      <c r="G304" s="22" t="s">
        <v>19528</v>
      </c>
      <c r="H304" s="24" t="s">
        <v>19345</v>
      </c>
      <c r="I304" s="22" t="s">
        <v>19309</v>
      </c>
      <c r="J304" s="22" t="s">
        <v>19595</v>
      </c>
      <c r="K304" s="22" t="s">
        <v>19596</v>
      </c>
      <c r="L304" s="22"/>
      <c r="M304" s="22"/>
      <c r="N304" s="25" t="str">
        <f>HYPERLINK("http://slimages.macys.com/is/image/MCY/20191109 ")</f>
        <v xml:space="preserve">http://slimages.macys.com/is/image/MCY/20191109 </v>
      </c>
    </row>
    <row r="305" spans="1:14" ht="24.75" x14ac:dyDescent="0.25">
      <c r="A305" s="21" t="s">
        <v>5891</v>
      </c>
      <c r="B305" s="22" t="s">
        <v>5892</v>
      </c>
      <c r="C305" s="2">
        <v>1</v>
      </c>
      <c r="D305" s="23">
        <v>28</v>
      </c>
      <c r="E305" s="3">
        <v>28</v>
      </c>
      <c r="F305" s="2" t="s">
        <v>5893</v>
      </c>
      <c r="G305" s="22" t="s">
        <v>19439</v>
      </c>
      <c r="H305" s="24" t="s">
        <v>20109</v>
      </c>
      <c r="I305" s="22" t="s">
        <v>19309</v>
      </c>
      <c r="J305" s="22" t="s">
        <v>19417</v>
      </c>
      <c r="K305" s="22" t="s">
        <v>20110</v>
      </c>
      <c r="L305" s="22"/>
      <c r="M305" s="22"/>
      <c r="N305" s="25" t="str">
        <f>HYPERLINK("http://slimages.macys.com/is/image/MCY/21551796 ")</f>
        <v xml:space="preserve">http://slimages.macys.com/is/image/MCY/21551796 </v>
      </c>
    </row>
    <row r="306" spans="1:14" ht="24.75" x14ac:dyDescent="0.25">
      <c r="A306" s="21" t="s">
        <v>5894</v>
      </c>
      <c r="B306" s="22" t="s">
        <v>5895</v>
      </c>
      <c r="C306" s="2">
        <v>1</v>
      </c>
      <c r="D306" s="23">
        <v>28</v>
      </c>
      <c r="E306" s="3">
        <v>28</v>
      </c>
      <c r="F306" s="2" t="s">
        <v>18351</v>
      </c>
      <c r="G306" s="22" t="s">
        <v>19439</v>
      </c>
      <c r="H306" s="24" t="s">
        <v>19770</v>
      </c>
      <c r="I306" s="22" t="s">
        <v>19309</v>
      </c>
      <c r="J306" s="22" t="s">
        <v>19417</v>
      </c>
      <c r="K306" s="22" t="s">
        <v>20110</v>
      </c>
      <c r="L306" s="22"/>
      <c r="M306" s="22"/>
      <c r="N306" s="25" t="str">
        <f>HYPERLINK("http://slimages.macys.com/is/image/MCY/21551796 ")</f>
        <v xml:space="preserve">http://slimages.macys.com/is/image/MCY/21551796 </v>
      </c>
    </row>
    <row r="307" spans="1:14" ht="24.75" x14ac:dyDescent="0.25">
      <c r="A307" s="21" t="s">
        <v>5896</v>
      </c>
      <c r="B307" s="22" t="s">
        <v>5897</v>
      </c>
      <c r="C307" s="2">
        <v>1</v>
      </c>
      <c r="D307" s="23">
        <v>15.99</v>
      </c>
      <c r="E307" s="3">
        <v>15.99</v>
      </c>
      <c r="F307" s="2" t="s">
        <v>18354</v>
      </c>
      <c r="G307" s="22" t="s">
        <v>19814</v>
      </c>
      <c r="H307" s="24" t="s">
        <v>19308</v>
      </c>
      <c r="I307" s="22" t="s">
        <v>19309</v>
      </c>
      <c r="J307" s="22" t="s">
        <v>19815</v>
      </c>
      <c r="K307" s="22" t="s">
        <v>19816</v>
      </c>
      <c r="L307" s="22"/>
      <c r="M307" s="22"/>
      <c r="N307" s="25" t="str">
        <f>HYPERLINK("http://slimages.macys.com/is/image/MCY/1290415 ")</f>
        <v xml:space="preserve">http://slimages.macys.com/is/image/MCY/1290415 </v>
      </c>
    </row>
    <row r="308" spans="1:14" x14ac:dyDescent="0.25">
      <c r="A308" s="21" t="s">
        <v>18355</v>
      </c>
      <c r="B308" s="22" t="s">
        <v>18356</v>
      </c>
      <c r="C308" s="2">
        <v>1</v>
      </c>
      <c r="D308" s="23">
        <v>15.13</v>
      </c>
      <c r="E308" s="3">
        <v>15.13</v>
      </c>
      <c r="F308" s="2" t="s">
        <v>18357</v>
      </c>
      <c r="G308" s="22" t="s">
        <v>19338</v>
      </c>
      <c r="H308" s="24" t="s">
        <v>19770</v>
      </c>
      <c r="I308" s="22" t="s">
        <v>19309</v>
      </c>
      <c r="J308" s="22" t="s">
        <v>19708</v>
      </c>
      <c r="K308" s="22" t="s">
        <v>19709</v>
      </c>
      <c r="L308" s="22"/>
      <c r="M308" s="22"/>
      <c r="N308" s="25" t="str">
        <f>HYPERLINK("http://slimages.macys.com/is/image/MCY/21184050 ")</f>
        <v xml:space="preserve">http://slimages.macys.com/is/image/MCY/21184050 </v>
      </c>
    </row>
    <row r="309" spans="1:14" x14ac:dyDescent="0.25">
      <c r="A309" s="21" t="s">
        <v>12207</v>
      </c>
      <c r="B309" s="22" t="s">
        <v>12208</v>
      </c>
      <c r="C309" s="2">
        <v>1</v>
      </c>
      <c r="D309" s="23">
        <v>15.13</v>
      </c>
      <c r="E309" s="3">
        <v>15.13</v>
      </c>
      <c r="F309" s="2" t="s">
        <v>13793</v>
      </c>
      <c r="G309" s="22"/>
      <c r="H309" s="24" t="s">
        <v>19770</v>
      </c>
      <c r="I309" s="22" t="s">
        <v>19309</v>
      </c>
      <c r="J309" s="22" t="s">
        <v>19708</v>
      </c>
      <c r="K309" s="22" t="s">
        <v>19709</v>
      </c>
      <c r="L309" s="22"/>
      <c r="M309" s="22"/>
      <c r="N309" s="25" t="str">
        <f>HYPERLINK("http://slimages.macys.com/is/image/MCY/21752166 ")</f>
        <v xml:space="preserve">http://slimages.macys.com/is/image/MCY/21752166 </v>
      </c>
    </row>
    <row r="310" spans="1:14" x14ac:dyDescent="0.25">
      <c r="A310" s="21" t="s">
        <v>5898</v>
      </c>
      <c r="B310" s="22" t="s">
        <v>5899</v>
      </c>
      <c r="C310" s="2">
        <v>1</v>
      </c>
      <c r="D310" s="23">
        <v>15.13</v>
      </c>
      <c r="E310" s="3">
        <v>15.13</v>
      </c>
      <c r="F310" s="2" t="s">
        <v>13793</v>
      </c>
      <c r="G310" s="22"/>
      <c r="H310" s="24" t="s">
        <v>19367</v>
      </c>
      <c r="I310" s="22" t="s">
        <v>19309</v>
      </c>
      <c r="J310" s="22" t="s">
        <v>19708</v>
      </c>
      <c r="K310" s="22" t="s">
        <v>19709</v>
      </c>
      <c r="L310" s="22"/>
      <c r="M310" s="22"/>
      <c r="N310" s="25" t="str">
        <f>HYPERLINK("http://slimages.macys.com/is/image/MCY/21752166 ")</f>
        <v xml:space="preserve">http://slimages.macys.com/is/image/MCY/21752166 </v>
      </c>
    </row>
    <row r="311" spans="1:14" x14ac:dyDescent="0.25">
      <c r="A311" s="21" t="s">
        <v>5900</v>
      </c>
      <c r="B311" s="22" t="s">
        <v>5901</v>
      </c>
      <c r="C311" s="2">
        <v>1</v>
      </c>
      <c r="D311" s="23">
        <v>15.04</v>
      </c>
      <c r="E311" s="3">
        <v>15.04</v>
      </c>
      <c r="F311" s="2" t="s">
        <v>5902</v>
      </c>
      <c r="G311" s="22" t="s">
        <v>19351</v>
      </c>
      <c r="H311" s="24" t="s">
        <v>19416</v>
      </c>
      <c r="I311" s="22" t="s">
        <v>19309</v>
      </c>
      <c r="J311" s="22" t="s">
        <v>19708</v>
      </c>
      <c r="K311" s="22" t="s">
        <v>19709</v>
      </c>
      <c r="L311" s="22"/>
      <c r="M311" s="22"/>
      <c r="N311" s="25" t="str">
        <f>HYPERLINK("http://slimages.macys.com/is/image/MCY/22596353 ")</f>
        <v xml:space="preserve">http://slimages.macys.com/is/image/MCY/22596353 </v>
      </c>
    </row>
    <row r="312" spans="1:14" x14ac:dyDescent="0.25">
      <c r="A312" s="21" t="s">
        <v>5903</v>
      </c>
      <c r="B312" s="22" t="s">
        <v>5904</v>
      </c>
      <c r="C312" s="2">
        <v>1</v>
      </c>
      <c r="D312" s="23">
        <v>15.13</v>
      </c>
      <c r="E312" s="3">
        <v>15.13</v>
      </c>
      <c r="F312" s="2" t="s">
        <v>5905</v>
      </c>
      <c r="G312" s="22" t="s">
        <v>19338</v>
      </c>
      <c r="H312" s="24" t="s">
        <v>20152</v>
      </c>
      <c r="I312" s="22" t="s">
        <v>19309</v>
      </c>
      <c r="J312" s="22" t="s">
        <v>19708</v>
      </c>
      <c r="K312" s="22" t="s">
        <v>19709</v>
      </c>
      <c r="L312" s="22"/>
      <c r="M312" s="22"/>
      <c r="N312" s="25" t="str">
        <f>HYPERLINK("http://slimages.macys.com/is/image/MCY/21414189 ")</f>
        <v xml:space="preserve">http://slimages.macys.com/is/image/MCY/21414189 </v>
      </c>
    </row>
    <row r="313" spans="1:14" x14ac:dyDescent="0.25">
      <c r="A313" s="21" t="s">
        <v>5906</v>
      </c>
      <c r="B313" s="22" t="s">
        <v>5907</v>
      </c>
      <c r="C313" s="2">
        <v>1</v>
      </c>
      <c r="D313" s="23">
        <v>15.13</v>
      </c>
      <c r="E313" s="3">
        <v>15.13</v>
      </c>
      <c r="F313" s="2" t="s">
        <v>5905</v>
      </c>
      <c r="G313" s="22" t="s">
        <v>19338</v>
      </c>
      <c r="H313" s="24" t="s">
        <v>19324</v>
      </c>
      <c r="I313" s="22" t="s">
        <v>19309</v>
      </c>
      <c r="J313" s="22" t="s">
        <v>19708</v>
      </c>
      <c r="K313" s="22" t="s">
        <v>19709</v>
      </c>
      <c r="L313" s="22"/>
      <c r="M313" s="22"/>
      <c r="N313" s="25" t="str">
        <f>HYPERLINK("http://slimages.macys.com/is/image/MCY/21414189 ")</f>
        <v xml:space="preserve">http://slimages.macys.com/is/image/MCY/21414189 </v>
      </c>
    </row>
    <row r="314" spans="1:14" x14ac:dyDescent="0.25">
      <c r="A314" s="21" t="s">
        <v>5908</v>
      </c>
      <c r="B314" s="22" t="s">
        <v>5909</v>
      </c>
      <c r="C314" s="2">
        <v>2</v>
      </c>
      <c r="D314" s="23">
        <v>15.13</v>
      </c>
      <c r="E314" s="3">
        <v>30.26</v>
      </c>
      <c r="F314" s="2" t="s">
        <v>18360</v>
      </c>
      <c r="G314" s="22" t="s">
        <v>18361</v>
      </c>
      <c r="H314" s="24" t="s">
        <v>19330</v>
      </c>
      <c r="I314" s="22" t="s">
        <v>19309</v>
      </c>
      <c r="J314" s="22" t="s">
        <v>19708</v>
      </c>
      <c r="K314" s="22" t="s">
        <v>19709</v>
      </c>
      <c r="L314" s="22"/>
      <c r="M314" s="22"/>
      <c r="N314" s="25" t="str">
        <f>HYPERLINK("http://slimages.macys.com/is/image/MCY/21758813 ")</f>
        <v xml:space="preserve">http://slimages.macys.com/is/image/MCY/21758813 </v>
      </c>
    </row>
    <row r="315" spans="1:14" x14ac:dyDescent="0.25">
      <c r="A315" s="21" t="s">
        <v>7639</v>
      </c>
      <c r="B315" s="22" t="s">
        <v>7640</v>
      </c>
      <c r="C315" s="2">
        <v>1</v>
      </c>
      <c r="D315" s="23">
        <v>15.13</v>
      </c>
      <c r="E315" s="3">
        <v>15.13</v>
      </c>
      <c r="F315" s="2" t="s">
        <v>12206</v>
      </c>
      <c r="G315" s="22" t="s">
        <v>19351</v>
      </c>
      <c r="H315" s="24" t="s">
        <v>20152</v>
      </c>
      <c r="I315" s="22" t="s">
        <v>19309</v>
      </c>
      <c r="J315" s="22" t="s">
        <v>19708</v>
      </c>
      <c r="K315" s="22" t="s">
        <v>19709</v>
      </c>
      <c r="L315" s="22"/>
      <c r="M315" s="22"/>
      <c r="N315" s="25" t="str">
        <f>HYPERLINK("http://slimages.macys.com/is/image/MCY/21751709 ")</f>
        <v xml:space="preserve">http://slimages.macys.com/is/image/MCY/21751709 </v>
      </c>
    </row>
    <row r="316" spans="1:14" x14ac:dyDescent="0.25">
      <c r="A316" s="21" t="s">
        <v>5910</v>
      </c>
      <c r="B316" s="22" t="s">
        <v>5911</v>
      </c>
      <c r="C316" s="2">
        <v>1</v>
      </c>
      <c r="D316" s="23">
        <v>15.13</v>
      </c>
      <c r="E316" s="3">
        <v>15.13</v>
      </c>
      <c r="F316" s="2" t="s">
        <v>5912</v>
      </c>
      <c r="G316" s="22" t="s">
        <v>19594</v>
      </c>
      <c r="H316" s="24" t="s">
        <v>19330</v>
      </c>
      <c r="I316" s="22" t="s">
        <v>19309</v>
      </c>
      <c r="J316" s="22" t="s">
        <v>19708</v>
      </c>
      <c r="K316" s="22" t="s">
        <v>19709</v>
      </c>
      <c r="L316" s="22"/>
      <c r="M316" s="22"/>
      <c r="N316" s="25" t="str">
        <f>HYPERLINK("http://slimages.macys.com/is/image/MCY/21758271 ")</f>
        <v xml:space="preserve">http://slimages.macys.com/is/image/MCY/21758271 </v>
      </c>
    </row>
    <row r="317" spans="1:14" x14ac:dyDescent="0.25">
      <c r="A317" s="21" t="s">
        <v>12200</v>
      </c>
      <c r="B317" s="22" t="s">
        <v>12201</v>
      </c>
      <c r="C317" s="2">
        <v>1</v>
      </c>
      <c r="D317" s="23">
        <v>15.13</v>
      </c>
      <c r="E317" s="3">
        <v>15.13</v>
      </c>
      <c r="F317" s="2" t="s">
        <v>13583</v>
      </c>
      <c r="G317" s="22" t="s">
        <v>19323</v>
      </c>
      <c r="H317" s="24" t="s">
        <v>19416</v>
      </c>
      <c r="I317" s="22" t="s">
        <v>19309</v>
      </c>
      <c r="J317" s="22" t="s">
        <v>19708</v>
      </c>
      <c r="K317" s="22" t="s">
        <v>19709</v>
      </c>
      <c r="L317" s="22"/>
      <c r="M317" s="22"/>
      <c r="N317" s="25" t="str">
        <f>HYPERLINK("http://slimages.macys.com/is/image/MCY/21757920 ")</f>
        <v xml:space="preserve">http://slimages.macys.com/is/image/MCY/21757920 </v>
      </c>
    </row>
    <row r="318" spans="1:14" x14ac:dyDescent="0.25">
      <c r="A318" s="21" t="s">
        <v>5913</v>
      </c>
      <c r="B318" s="22" t="s">
        <v>5914</v>
      </c>
      <c r="C318" s="2">
        <v>1</v>
      </c>
      <c r="D318" s="23">
        <v>15.13</v>
      </c>
      <c r="E318" s="3">
        <v>15.13</v>
      </c>
      <c r="F318" s="2" t="s">
        <v>5912</v>
      </c>
      <c r="G318" s="22" t="s">
        <v>19594</v>
      </c>
      <c r="H318" s="24" t="s">
        <v>19367</v>
      </c>
      <c r="I318" s="22" t="s">
        <v>19309</v>
      </c>
      <c r="J318" s="22" t="s">
        <v>19708</v>
      </c>
      <c r="K318" s="22" t="s">
        <v>19709</v>
      </c>
      <c r="L318" s="22"/>
      <c r="M318" s="22"/>
      <c r="N318" s="25" t="str">
        <f>HYPERLINK("http://slimages.macys.com/is/image/MCY/21758271 ")</f>
        <v xml:space="preserve">http://slimages.macys.com/is/image/MCY/21758271 </v>
      </c>
    </row>
    <row r="319" spans="1:14" x14ac:dyDescent="0.25">
      <c r="A319" s="21" t="s">
        <v>18358</v>
      </c>
      <c r="B319" s="22" t="s">
        <v>18359</v>
      </c>
      <c r="C319" s="2">
        <v>1</v>
      </c>
      <c r="D319" s="23">
        <v>15.13</v>
      </c>
      <c r="E319" s="3">
        <v>15.13</v>
      </c>
      <c r="F319" s="2" t="s">
        <v>18360</v>
      </c>
      <c r="G319" s="22" t="s">
        <v>18361</v>
      </c>
      <c r="H319" s="24" t="s">
        <v>19324</v>
      </c>
      <c r="I319" s="22" t="s">
        <v>19309</v>
      </c>
      <c r="J319" s="22" t="s">
        <v>19708</v>
      </c>
      <c r="K319" s="22" t="s">
        <v>19709</v>
      </c>
      <c r="L319" s="22"/>
      <c r="M319" s="22"/>
      <c r="N319" s="25" t="str">
        <f>HYPERLINK("http://slimages.macys.com/is/image/MCY/21758813 ")</f>
        <v xml:space="preserve">http://slimages.macys.com/is/image/MCY/21758813 </v>
      </c>
    </row>
    <row r="320" spans="1:14" x14ac:dyDescent="0.25">
      <c r="A320" s="21" t="s">
        <v>13205</v>
      </c>
      <c r="B320" s="22" t="s">
        <v>13206</v>
      </c>
      <c r="C320" s="2">
        <v>1</v>
      </c>
      <c r="D320" s="23">
        <v>14.93</v>
      </c>
      <c r="E320" s="3">
        <v>14.93</v>
      </c>
      <c r="F320" s="2" t="s">
        <v>13207</v>
      </c>
      <c r="G320" s="22" t="s">
        <v>19338</v>
      </c>
      <c r="H320" s="24" t="s">
        <v>19770</v>
      </c>
      <c r="I320" s="22" t="s">
        <v>19309</v>
      </c>
      <c r="J320" s="22" t="s">
        <v>19708</v>
      </c>
      <c r="K320" s="22" t="s">
        <v>19709</v>
      </c>
      <c r="L320" s="22"/>
      <c r="M320" s="22"/>
      <c r="N320" s="25" t="str">
        <f t="shared" ref="N320:N325" si="0">HYPERLINK("http://slimages.macys.com/is/image/MCY/22596065 ")</f>
        <v xml:space="preserve">http://slimages.macys.com/is/image/MCY/22596065 </v>
      </c>
    </row>
    <row r="321" spans="1:14" x14ac:dyDescent="0.25">
      <c r="A321" s="21" t="s">
        <v>12214</v>
      </c>
      <c r="B321" s="22" t="s">
        <v>12215</v>
      </c>
      <c r="C321" s="2">
        <v>1</v>
      </c>
      <c r="D321" s="23">
        <v>14.93</v>
      </c>
      <c r="E321" s="3">
        <v>14.93</v>
      </c>
      <c r="F321" s="2" t="s">
        <v>13207</v>
      </c>
      <c r="G321" s="22" t="s">
        <v>19338</v>
      </c>
      <c r="H321" s="24" t="s">
        <v>19367</v>
      </c>
      <c r="I321" s="22" t="s">
        <v>19309</v>
      </c>
      <c r="J321" s="22" t="s">
        <v>19708</v>
      </c>
      <c r="K321" s="22" t="s">
        <v>19709</v>
      </c>
      <c r="L321" s="22"/>
      <c r="M321" s="22"/>
      <c r="N321" s="25" t="str">
        <f t="shared" si="0"/>
        <v xml:space="preserve">http://slimages.macys.com/is/image/MCY/22596065 </v>
      </c>
    </row>
    <row r="322" spans="1:14" x14ac:dyDescent="0.25">
      <c r="A322" s="21" t="s">
        <v>5915</v>
      </c>
      <c r="B322" s="22" t="s">
        <v>5916</v>
      </c>
      <c r="C322" s="2">
        <v>1</v>
      </c>
      <c r="D322" s="23">
        <v>14.93</v>
      </c>
      <c r="E322" s="3">
        <v>14.93</v>
      </c>
      <c r="F322" s="2" t="s">
        <v>13207</v>
      </c>
      <c r="G322" s="22" t="s">
        <v>19338</v>
      </c>
      <c r="H322" s="24" t="s">
        <v>19324</v>
      </c>
      <c r="I322" s="22" t="s">
        <v>19309</v>
      </c>
      <c r="J322" s="22" t="s">
        <v>19708</v>
      </c>
      <c r="K322" s="22" t="s">
        <v>19709</v>
      </c>
      <c r="L322" s="22"/>
      <c r="M322" s="22"/>
      <c r="N322" s="25" t="str">
        <f t="shared" si="0"/>
        <v xml:space="preserve">http://slimages.macys.com/is/image/MCY/22596065 </v>
      </c>
    </row>
    <row r="323" spans="1:14" x14ac:dyDescent="0.25">
      <c r="A323" s="21" t="s">
        <v>5917</v>
      </c>
      <c r="B323" s="22" t="s">
        <v>5918</v>
      </c>
      <c r="C323" s="2">
        <v>1</v>
      </c>
      <c r="D323" s="23">
        <v>14.93</v>
      </c>
      <c r="E323" s="3">
        <v>14.93</v>
      </c>
      <c r="F323" s="2" t="s">
        <v>13207</v>
      </c>
      <c r="G323" s="22" t="s">
        <v>19338</v>
      </c>
      <c r="H323" s="24" t="s">
        <v>19330</v>
      </c>
      <c r="I323" s="22" t="s">
        <v>19309</v>
      </c>
      <c r="J323" s="22" t="s">
        <v>19708</v>
      </c>
      <c r="K323" s="22" t="s">
        <v>19709</v>
      </c>
      <c r="L323" s="22"/>
      <c r="M323" s="22"/>
      <c r="N323" s="25" t="str">
        <f t="shared" si="0"/>
        <v xml:space="preserve">http://slimages.macys.com/is/image/MCY/22596065 </v>
      </c>
    </row>
    <row r="324" spans="1:14" x14ac:dyDescent="0.25">
      <c r="A324" s="21" t="s">
        <v>10624</v>
      </c>
      <c r="B324" s="22" t="s">
        <v>10625</v>
      </c>
      <c r="C324" s="2">
        <v>1</v>
      </c>
      <c r="D324" s="23">
        <v>14.93</v>
      </c>
      <c r="E324" s="3">
        <v>14.93</v>
      </c>
      <c r="F324" s="2" t="s">
        <v>13207</v>
      </c>
      <c r="G324" s="22" t="s">
        <v>19338</v>
      </c>
      <c r="H324" s="24" t="s">
        <v>20159</v>
      </c>
      <c r="I324" s="22" t="s">
        <v>19309</v>
      </c>
      <c r="J324" s="22" t="s">
        <v>19708</v>
      </c>
      <c r="K324" s="22" t="s">
        <v>19709</v>
      </c>
      <c r="L324" s="22"/>
      <c r="M324" s="22"/>
      <c r="N324" s="25" t="str">
        <f t="shared" si="0"/>
        <v xml:space="preserve">http://slimages.macys.com/is/image/MCY/22596065 </v>
      </c>
    </row>
    <row r="325" spans="1:14" x14ac:dyDescent="0.25">
      <c r="A325" s="21" t="s">
        <v>5919</v>
      </c>
      <c r="B325" s="22" t="s">
        <v>5920</v>
      </c>
      <c r="C325" s="2">
        <v>1</v>
      </c>
      <c r="D325" s="23">
        <v>14.93</v>
      </c>
      <c r="E325" s="3">
        <v>14.93</v>
      </c>
      <c r="F325" s="2" t="s">
        <v>13207</v>
      </c>
      <c r="G325" s="22" t="s">
        <v>19338</v>
      </c>
      <c r="H325" s="24" t="s">
        <v>19416</v>
      </c>
      <c r="I325" s="22" t="s">
        <v>19309</v>
      </c>
      <c r="J325" s="22" t="s">
        <v>19708</v>
      </c>
      <c r="K325" s="22" t="s">
        <v>19709</v>
      </c>
      <c r="L325" s="22"/>
      <c r="M325" s="22"/>
      <c r="N325" s="25" t="str">
        <f t="shared" si="0"/>
        <v xml:space="preserve">http://slimages.macys.com/is/image/MCY/22596065 </v>
      </c>
    </row>
    <row r="326" spans="1:14" x14ac:dyDescent="0.25">
      <c r="A326" s="21" t="s">
        <v>5921</v>
      </c>
      <c r="B326" s="22" t="s">
        <v>5922</v>
      </c>
      <c r="C326" s="2">
        <v>1</v>
      </c>
      <c r="D326" s="23">
        <v>14.93</v>
      </c>
      <c r="E326" s="3">
        <v>14.93</v>
      </c>
      <c r="F326" s="2" t="s">
        <v>18373</v>
      </c>
      <c r="G326" s="22" t="s">
        <v>19333</v>
      </c>
      <c r="H326" s="24" t="s">
        <v>19770</v>
      </c>
      <c r="I326" s="22" t="s">
        <v>19309</v>
      </c>
      <c r="J326" s="22" t="s">
        <v>19708</v>
      </c>
      <c r="K326" s="22" t="s">
        <v>19709</v>
      </c>
      <c r="L326" s="22"/>
      <c r="M326" s="22"/>
      <c r="N326" s="25" t="str">
        <f>HYPERLINK("http://slimages.macys.com/is/image/MCY/22596466 ")</f>
        <v xml:space="preserve">http://slimages.macys.com/is/image/MCY/22596466 </v>
      </c>
    </row>
    <row r="327" spans="1:14" x14ac:dyDescent="0.25">
      <c r="A327" s="21" t="s">
        <v>5923</v>
      </c>
      <c r="B327" s="22" t="s">
        <v>5924</v>
      </c>
      <c r="C327" s="2">
        <v>1</v>
      </c>
      <c r="D327" s="23">
        <v>14.93</v>
      </c>
      <c r="E327" s="3">
        <v>14.93</v>
      </c>
      <c r="F327" s="2" t="s">
        <v>18373</v>
      </c>
      <c r="G327" s="22" t="s">
        <v>19333</v>
      </c>
      <c r="H327" s="24" t="s">
        <v>20152</v>
      </c>
      <c r="I327" s="22" t="s">
        <v>19309</v>
      </c>
      <c r="J327" s="22" t="s">
        <v>19708</v>
      </c>
      <c r="K327" s="22" t="s">
        <v>19709</v>
      </c>
      <c r="L327" s="22"/>
      <c r="M327" s="22"/>
      <c r="N327" s="25" t="str">
        <f>HYPERLINK("http://slimages.macys.com/is/image/MCY/22596466 ")</f>
        <v xml:space="preserve">http://slimages.macys.com/is/image/MCY/22596466 </v>
      </c>
    </row>
    <row r="328" spans="1:14" x14ac:dyDescent="0.25">
      <c r="A328" s="21" t="s">
        <v>5925</v>
      </c>
      <c r="B328" s="22" t="s">
        <v>5926</v>
      </c>
      <c r="C328" s="2">
        <v>1</v>
      </c>
      <c r="D328" s="23">
        <v>14.93</v>
      </c>
      <c r="E328" s="3">
        <v>14.93</v>
      </c>
      <c r="F328" s="2" t="s">
        <v>18373</v>
      </c>
      <c r="G328" s="22" t="s">
        <v>19333</v>
      </c>
      <c r="H328" s="24" t="s">
        <v>19324</v>
      </c>
      <c r="I328" s="22" t="s">
        <v>19309</v>
      </c>
      <c r="J328" s="22" t="s">
        <v>19708</v>
      </c>
      <c r="K328" s="22" t="s">
        <v>19709</v>
      </c>
      <c r="L328" s="22"/>
      <c r="M328" s="22"/>
      <c r="N328" s="25" t="str">
        <f>HYPERLINK("http://slimages.macys.com/is/image/MCY/22596466 ")</f>
        <v xml:space="preserve">http://slimages.macys.com/is/image/MCY/22596466 </v>
      </c>
    </row>
    <row r="329" spans="1:14" x14ac:dyDescent="0.25">
      <c r="A329" s="21" t="s">
        <v>5927</v>
      </c>
      <c r="B329" s="22" t="s">
        <v>5928</v>
      </c>
      <c r="C329" s="2">
        <v>1</v>
      </c>
      <c r="D329" s="23">
        <v>14.93</v>
      </c>
      <c r="E329" s="3">
        <v>14.93</v>
      </c>
      <c r="F329" s="2" t="s">
        <v>18373</v>
      </c>
      <c r="G329" s="22" t="s">
        <v>19333</v>
      </c>
      <c r="H329" s="24" t="s">
        <v>19416</v>
      </c>
      <c r="I329" s="22" t="s">
        <v>19309</v>
      </c>
      <c r="J329" s="22" t="s">
        <v>19708</v>
      </c>
      <c r="K329" s="22" t="s">
        <v>19709</v>
      </c>
      <c r="L329" s="22"/>
      <c r="M329" s="22"/>
      <c r="N329" s="25" t="str">
        <f>HYPERLINK("http://slimages.macys.com/is/image/MCY/22596466 ")</f>
        <v xml:space="preserve">http://slimages.macys.com/is/image/MCY/22596466 </v>
      </c>
    </row>
    <row r="330" spans="1:14" x14ac:dyDescent="0.25">
      <c r="A330" s="21" t="s">
        <v>18371</v>
      </c>
      <c r="B330" s="22" t="s">
        <v>18372</v>
      </c>
      <c r="C330" s="2">
        <v>1</v>
      </c>
      <c r="D330" s="23">
        <v>14.93</v>
      </c>
      <c r="E330" s="3">
        <v>14.93</v>
      </c>
      <c r="F330" s="2" t="s">
        <v>18373</v>
      </c>
      <c r="G330" s="22" t="s">
        <v>19333</v>
      </c>
      <c r="H330" s="24" t="s">
        <v>19367</v>
      </c>
      <c r="I330" s="22" t="s">
        <v>19309</v>
      </c>
      <c r="J330" s="22" t="s">
        <v>19708</v>
      </c>
      <c r="K330" s="22" t="s">
        <v>19709</v>
      </c>
      <c r="L330" s="22"/>
      <c r="M330" s="22"/>
      <c r="N330" s="25" t="str">
        <f>HYPERLINK("http://slimages.macys.com/is/image/MCY/22596466 ")</f>
        <v xml:space="preserve">http://slimages.macys.com/is/image/MCY/22596466 </v>
      </c>
    </row>
    <row r="331" spans="1:14" x14ac:dyDescent="0.25">
      <c r="A331" s="21" t="s">
        <v>9829</v>
      </c>
      <c r="B331" s="22" t="s">
        <v>9830</v>
      </c>
      <c r="C331" s="2">
        <v>1</v>
      </c>
      <c r="D331" s="23">
        <v>14.93</v>
      </c>
      <c r="E331" s="3">
        <v>14.93</v>
      </c>
      <c r="F331" s="2" t="s">
        <v>13210</v>
      </c>
      <c r="G331" s="22" t="s">
        <v>18361</v>
      </c>
      <c r="H331" s="24" t="s">
        <v>19324</v>
      </c>
      <c r="I331" s="22" t="s">
        <v>19309</v>
      </c>
      <c r="J331" s="22" t="s">
        <v>19708</v>
      </c>
      <c r="K331" s="22" t="s">
        <v>19709</v>
      </c>
      <c r="L331" s="22"/>
      <c r="M331" s="22"/>
      <c r="N331" s="25" t="str">
        <f>HYPERLINK("http://slimages.macys.com/is/image/MCY/22596280 ")</f>
        <v xml:space="preserve">http://slimages.macys.com/is/image/MCY/22596280 </v>
      </c>
    </row>
    <row r="332" spans="1:14" ht="24.75" x14ac:dyDescent="0.25">
      <c r="A332" s="21" t="s">
        <v>5929</v>
      </c>
      <c r="B332" s="22" t="s">
        <v>5930</v>
      </c>
      <c r="C332" s="2">
        <v>2</v>
      </c>
      <c r="D332" s="23">
        <v>22</v>
      </c>
      <c r="E332" s="3">
        <v>44</v>
      </c>
      <c r="F332" s="2" t="s">
        <v>16175</v>
      </c>
      <c r="G332" s="22" t="s">
        <v>19404</v>
      </c>
      <c r="H332" s="24" t="s">
        <v>12224</v>
      </c>
      <c r="I332" s="22" t="s">
        <v>19309</v>
      </c>
      <c r="J332" s="22" t="s">
        <v>19417</v>
      </c>
      <c r="K332" s="22" t="s">
        <v>20110</v>
      </c>
      <c r="L332" s="22"/>
      <c r="M332" s="22"/>
      <c r="N332" s="25" t="str">
        <f>HYPERLINK("http://slimages.macys.com/is/image/MCY/21735554 ")</f>
        <v xml:space="preserve">http://slimages.macys.com/is/image/MCY/21735554 </v>
      </c>
    </row>
    <row r="333" spans="1:14" x14ac:dyDescent="0.25">
      <c r="A333" s="21" t="s">
        <v>5931</v>
      </c>
      <c r="B333" s="22" t="s">
        <v>5932</v>
      </c>
      <c r="C333" s="2">
        <v>1</v>
      </c>
      <c r="D333" s="23">
        <v>30</v>
      </c>
      <c r="E333" s="3">
        <v>30</v>
      </c>
      <c r="F333" s="2" t="s">
        <v>5933</v>
      </c>
      <c r="G333" s="22" t="s">
        <v>19357</v>
      </c>
      <c r="H333" s="24" t="s">
        <v>19968</v>
      </c>
      <c r="I333" s="22" t="s">
        <v>19309</v>
      </c>
      <c r="J333" s="22" t="s">
        <v>19417</v>
      </c>
      <c r="K333" s="22" t="s">
        <v>18317</v>
      </c>
      <c r="L333" s="22"/>
      <c r="M333" s="22"/>
      <c r="N333" s="25" t="str">
        <f>HYPERLINK("http://slimages.macys.com/is/image/MCY/21614926 ")</f>
        <v xml:space="preserve">http://slimages.macys.com/is/image/MCY/21614926 </v>
      </c>
    </row>
    <row r="334" spans="1:14" x14ac:dyDescent="0.25">
      <c r="A334" s="21" t="s">
        <v>11076</v>
      </c>
      <c r="B334" s="22" t="s">
        <v>11077</v>
      </c>
      <c r="C334" s="2">
        <v>30</v>
      </c>
      <c r="D334" s="23">
        <v>30</v>
      </c>
      <c r="E334" s="3">
        <v>900</v>
      </c>
      <c r="F334" s="2" t="s">
        <v>11078</v>
      </c>
      <c r="G334" s="22" t="s">
        <v>19333</v>
      </c>
      <c r="H334" s="24" t="s">
        <v>19968</v>
      </c>
      <c r="I334" s="22" t="s">
        <v>19309</v>
      </c>
      <c r="J334" s="22" t="s">
        <v>19417</v>
      </c>
      <c r="K334" s="22" t="s">
        <v>18317</v>
      </c>
      <c r="L334" s="22"/>
      <c r="M334" s="22"/>
      <c r="N334" s="25" t="str">
        <f>HYPERLINK("http://slimages.macys.com/is/image/MCY/21614931 ")</f>
        <v xml:space="preserve">http://slimages.macys.com/is/image/MCY/21614931 </v>
      </c>
    </row>
    <row r="335" spans="1:14" ht="24.75" x14ac:dyDescent="0.25">
      <c r="A335" s="21" t="s">
        <v>10629</v>
      </c>
      <c r="B335" s="22" t="s">
        <v>10630</v>
      </c>
      <c r="C335" s="2">
        <v>3</v>
      </c>
      <c r="D335" s="23">
        <v>22</v>
      </c>
      <c r="E335" s="3">
        <v>66</v>
      </c>
      <c r="F335" s="2" t="s">
        <v>16175</v>
      </c>
      <c r="G335" s="22" t="s">
        <v>19404</v>
      </c>
      <c r="H335" s="24"/>
      <c r="I335" s="22" t="s">
        <v>19309</v>
      </c>
      <c r="J335" s="22" t="s">
        <v>19417</v>
      </c>
      <c r="K335" s="22" t="s">
        <v>20110</v>
      </c>
      <c r="L335" s="22"/>
      <c r="M335" s="22"/>
      <c r="N335" s="25" t="str">
        <f>HYPERLINK("http://slimages.macys.com/is/image/MCY/21735554 ")</f>
        <v xml:space="preserve">http://slimages.macys.com/is/image/MCY/21735554 </v>
      </c>
    </row>
    <row r="336" spans="1:14" ht="24.75" x14ac:dyDescent="0.25">
      <c r="A336" s="21" t="s">
        <v>5934</v>
      </c>
      <c r="B336" s="22" t="s">
        <v>5935</v>
      </c>
      <c r="C336" s="2">
        <v>1</v>
      </c>
      <c r="D336" s="23">
        <v>17.989999999999998</v>
      </c>
      <c r="E336" s="3">
        <v>17.989999999999998</v>
      </c>
      <c r="F336" s="2" t="s">
        <v>5936</v>
      </c>
      <c r="G336" s="22" t="s">
        <v>19342</v>
      </c>
      <c r="H336" s="24" t="s">
        <v>19416</v>
      </c>
      <c r="I336" s="22" t="s">
        <v>19309</v>
      </c>
      <c r="J336" s="22" t="s">
        <v>19385</v>
      </c>
      <c r="K336" s="22" t="s">
        <v>15725</v>
      </c>
      <c r="L336" s="22"/>
      <c r="M336" s="22"/>
      <c r="N336" s="25" t="str">
        <f>HYPERLINK("http://slimages.macys.com/is/image/MCY/21176909 ")</f>
        <v xml:space="preserve">http://slimages.macys.com/is/image/MCY/21176909 </v>
      </c>
    </row>
    <row r="337" spans="1:14" ht="24.75" x14ac:dyDescent="0.25">
      <c r="A337" s="21" t="s">
        <v>16176</v>
      </c>
      <c r="B337" s="22" t="s">
        <v>16177</v>
      </c>
      <c r="C337" s="2">
        <v>1</v>
      </c>
      <c r="D337" s="23">
        <v>17.989999999999998</v>
      </c>
      <c r="E337" s="3">
        <v>17.989999999999998</v>
      </c>
      <c r="F337" s="2" t="s">
        <v>16178</v>
      </c>
      <c r="G337" s="22" t="s">
        <v>19342</v>
      </c>
      <c r="H337" s="24" t="s">
        <v>19330</v>
      </c>
      <c r="I337" s="22" t="s">
        <v>19309</v>
      </c>
      <c r="J337" s="22" t="s">
        <v>19491</v>
      </c>
      <c r="K337" s="22" t="s">
        <v>15725</v>
      </c>
      <c r="L337" s="22"/>
      <c r="M337" s="22"/>
      <c r="N337" s="25" t="str">
        <f>HYPERLINK("http://slimages.macys.com/is/image/MCY/21176908 ")</f>
        <v xml:space="preserve">http://slimages.macys.com/is/image/MCY/21176908 </v>
      </c>
    </row>
    <row r="338" spans="1:14" ht="24.75" x14ac:dyDescent="0.25">
      <c r="A338" s="21" t="s">
        <v>5937</v>
      </c>
      <c r="B338" s="22" t="s">
        <v>5938</v>
      </c>
      <c r="C338" s="2">
        <v>1</v>
      </c>
      <c r="D338" s="23">
        <v>17.989999999999998</v>
      </c>
      <c r="E338" s="3">
        <v>17.989999999999998</v>
      </c>
      <c r="F338" s="2" t="s">
        <v>5939</v>
      </c>
      <c r="G338" s="22" t="s">
        <v>19342</v>
      </c>
      <c r="H338" s="24" t="s">
        <v>19416</v>
      </c>
      <c r="I338" s="22" t="s">
        <v>19309</v>
      </c>
      <c r="J338" s="22" t="s">
        <v>19491</v>
      </c>
      <c r="K338" s="22" t="s">
        <v>15725</v>
      </c>
      <c r="L338" s="22"/>
      <c r="M338" s="22"/>
      <c r="N338" s="25" t="str">
        <f>HYPERLINK("http://slimages.macys.com/is/image/MCY/21176913 ")</f>
        <v xml:space="preserve">http://slimages.macys.com/is/image/MCY/21176913 </v>
      </c>
    </row>
    <row r="339" spans="1:14" ht="24.75" x14ac:dyDescent="0.25">
      <c r="A339" s="21" t="s">
        <v>16173</v>
      </c>
      <c r="B339" s="22" t="s">
        <v>16174</v>
      </c>
      <c r="C339" s="2">
        <v>5</v>
      </c>
      <c r="D339" s="23">
        <v>22</v>
      </c>
      <c r="E339" s="3">
        <v>110</v>
      </c>
      <c r="F339" s="2" t="s">
        <v>16175</v>
      </c>
      <c r="G339" s="22" t="s">
        <v>19404</v>
      </c>
      <c r="H339" s="24" t="s">
        <v>20109</v>
      </c>
      <c r="I339" s="22" t="s">
        <v>19309</v>
      </c>
      <c r="J339" s="22" t="s">
        <v>19417</v>
      </c>
      <c r="K339" s="22" t="s">
        <v>20110</v>
      </c>
      <c r="L339" s="22"/>
      <c r="M339" s="22"/>
      <c r="N339" s="25" t="str">
        <f>HYPERLINK("http://slimages.macys.com/is/image/MCY/21735554 ")</f>
        <v xml:space="preserve">http://slimages.macys.com/is/image/MCY/21735554 </v>
      </c>
    </row>
    <row r="340" spans="1:14" ht="24.75" x14ac:dyDescent="0.25">
      <c r="A340" s="21" t="s">
        <v>5940</v>
      </c>
      <c r="B340" s="22" t="s">
        <v>5941</v>
      </c>
      <c r="C340" s="2">
        <v>1</v>
      </c>
      <c r="D340" s="23">
        <v>17.989999999999998</v>
      </c>
      <c r="E340" s="3">
        <v>17.989999999999998</v>
      </c>
      <c r="F340" s="2" t="s">
        <v>5942</v>
      </c>
      <c r="G340" s="22" t="s">
        <v>19342</v>
      </c>
      <c r="H340" s="24" t="s">
        <v>19330</v>
      </c>
      <c r="I340" s="22" t="s">
        <v>19309</v>
      </c>
      <c r="J340" s="22" t="s">
        <v>19385</v>
      </c>
      <c r="K340" s="22" t="s">
        <v>15725</v>
      </c>
      <c r="L340" s="22"/>
      <c r="M340" s="22"/>
      <c r="N340" s="25" t="str">
        <f>HYPERLINK("http://slimages.macys.com/is/image/MCY/21176911 ")</f>
        <v xml:space="preserve">http://slimages.macys.com/is/image/MCY/21176911 </v>
      </c>
    </row>
    <row r="341" spans="1:14" ht="24.75" x14ac:dyDescent="0.25">
      <c r="A341" s="21" t="s">
        <v>13227</v>
      </c>
      <c r="B341" s="22" t="s">
        <v>13228</v>
      </c>
      <c r="C341" s="2">
        <v>1</v>
      </c>
      <c r="D341" s="23">
        <v>11.99</v>
      </c>
      <c r="E341" s="3">
        <v>11.99</v>
      </c>
      <c r="F341" s="2">
        <v>100007432</v>
      </c>
      <c r="G341" s="22" t="s">
        <v>19338</v>
      </c>
      <c r="H341" s="24" t="s">
        <v>18168</v>
      </c>
      <c r="I341" s="22" t="s">
        <v>19309</v>
      </c>
      <c r="J341" s="22" t="s">
        <v>19573</v>
      </c>
      <c r="K341" s="22" t="s">
        <v>20256</v>
      </c>
      <c r="L341" s="22" t="s">
        <v>19319</v>
      </c>
      <c r="M341" s="22" t="s">
        <v>20257</v>
      </c>
      <c r="N341" s="25" t="str">
        <f>HYPERLINK("http://slimages.macys.com/is/image/MCY/9157890 ")</f>
        <v xml:space="preserve">http://slimages.macys.com/is/image/MCY/9157890 </v>
      </c>
    </row>
    <row r="342" spans="1:14" ht="24.75" x14ac:dyDescent="0.25">
      <c r="A342" s="21" t="s">
        <v>5943</v>
      </c>
      <c r="B342" s="22" t="s">
        <v>5944</v>
      </c>
      <c r="C342" s="2">
        <v>1</v>
      </c>
      <c r="D342" s="23">
        <v>12.99</v>
      </c>
      <c r="E342" s="3">
        <v>12.99</v>
      </c>
      <c r="F342" s="2" t="s">
        <v>12247</v>
      </c>
      <c r="G342" s="22" t="s">
        <v>19315</v>
      </c>
      <c r="H342" s="24"/>
      <c r="I342" s="22" t="s">
        <v>19309</v>
      </c>
      <c r="J342" s="22" t="s">
        <v>20076</v>
      </c>
      <c r="K342" s="22" t="s">
        <v>12199</v>
      </c>
      <c r="L342" s="22" t="s">
        <v>19319</v>
      </c>
      <c r="M342" s="22" t="s">
        <v>12712</v>
      </c>
      <c r="N342" s="25" t="str">
        <f>HYPERLINK("http://slimages.macys.com/is/image/MCY/14890413 ")</f>
        <v xml:space="preserve">http://slimages.macys.com/is/image/MCY/14890413 </v>
      </c>
    </row>
    <row r="343" spans="1:14" ht="24.75" x14ac:dyDescent="0.25">
      <c r="A343" s="21" t="s">
        <v>12248</v>
      </c>
      <c r="B343" s="22" t="s">
        <v>12249</v>
      </c>
      <c r="C343" s="2">
        <v>1</v>
      </c>
      <c r="D343" s="23">
        <v>12.99</v>
      </c>
      <c r="E343" s="3">
        <v>12.99</v>
      </c>
      <c r="F343" s="2" t="s">
        <v>12247</v>
      </c>
      <c r="G343" s="22" t="s">
        <v>19315</v>
      </c>
      <c r="H343" s="24"/>
      <c r="I343" s="22" t="s">
        <v>19309</v>
      </c>
      <c r="J343" s="22" t="s">
        <v>20076</v>
      </c>
      <c r="K343" s="22" t="s">
        <v>12199</v>
      </c>
      <c r="L343" s="22" t="s">
        <v>19319</v>
      </c>
      <c r="M343" s="22" t="s">
        <v>12712</v>
      </c>
      <c r="N343" s="25" t="str">
        <f>HYPERLINK("http://slimages.macys.com/is/image/MCY/14890413 ")</f>
        <v xml:space="preserve">http://slimages.macys.com/is/image/MCY/14890413 </v>
      </c>
    </row>
    <row r="344" spans="1:14" ht="24.75" x14ac:dyDescent="0.25">
      <c r="A344" s="21" t="s">
        <v>12245</v>
      </c>
      <c r="B344" s="22" t="s">
        <v>12246</v>
      </c>
      <c r="C344" s="2">
        <v>1</v>
      </c>
      <c r="D344" s="23">
        <v>12.99</v>
      </c>
      <c r="E344" s="3">
        <v>12.99</v>
      </c>
      <c r="F344" s="2" t="s">
        <v>12247</v>
      </c>
      <c r="G344" s="22" t="s">
        <v>19315</v>
      </c>
      <c r="H344" s="24"/>
      <c r="I344" s="22" t="s">
        <v>19309</v>
      </c>
      <c r="J344" s="22" t="s">
        <v>20076</v>
      </c>
      <c r="K344" s="22" t="s">
        <v>12199</v>
      </c>
      <c r="L344" s="22" t="s">
        <v>19319</v>
      </c>
      <c r="M344" s="22" t="s">
        <v>12712</v>
      </c>
      <c r="N344" s="25" t="str">
        <f>HYPERLINK("http://slimages.macys.com/is/image/MCY/14890413 ")</f>
        <v xml:space="preserve">http://slimages.macys.com/is/image/MCY/14890413 </v>
      </c>
    </row>
    <row r="345" spans="1:14" x14ac:dyDescent="0.25">
      <c r="A345" s="21" t="s">
        <v>8127</v>
      </c>
      <c r="B345" s="22" t="s">
        <v>8128</v>
      </c>
      <c r="C345" s="2">
        <v>17</v>
      </c>
      <c r="D345" s="23">
        <v>22.5</v>
      </c>
      <c r="E345" s="3">
        <v>382.5</v>
      </c>
      <c r="F345" s="2" t="s">
        <v>18338</v>
      </c>
      <c r="G345" s="22" t="s">
        <v>19351</v>
      </c>
      <c r="H345" s="24" t="s">
        <v>19361</v>
      </c>
      <c r="I345" s="22" t="s">
        <v>19309</v>
      </c>
      <c r="J345" s="22" t="s">
        <v>19688</v>
      </c>
      <c r="K345" s="22" t="s">
        <v>19614</v>
      </c>
      <c r="L345" s="22"/>
      <c r="M345" s="22"/>
      <c r="N345" s="25" t="str">
        <f>HYPERLINK("http://slimages.macys.com/is/image/MCY/21035864 ")</f>
        <v xml:space="preserve">http://slimages.macys.com/is/image/MCY/21035864 </v>
      </c>
    </row>
    <row r="346" spans="1:14" x14ac:dyDescent="0.25">
      <c r="A346" s="21" t="s">
        <v>8131</v>
      </c>
      <c r="B346" s="22" t="s">
        <v>8132</v>
      </c>
      <c r="C346" s="2">
        <v>4</v>
      </c>
      <c r="D346" s="23">
        <v>22.5</v>
      </c>
      <c r="E346" s="3">
        <v>90</v>
      </c>
      <c r="F346" s="2" t="s">
        <v>13234</v>
      </c>
      <c r="G346" s="22" t="s">
        <v>19351</v>
      </c>
      <c r="H346" s="24" t="s">
        <v>19542</v>
      </c>
      <c r="I346" s="22" t="s">
        <v>19309</v>
      </c>
      <c r="J346" s="22" t="s">
        <v>19688</v>
      </c>
      <c r="K346" s="22" t="s">
        <v>19614</v>
      </c>
      <c r="L346" s="22"/>
      <c r="M346" s="22"/>
      <c r="N346" s="25" t="str">
        <f>HYPERLINK("http://slimages.macys.com/is/image/MCY/21035872 ")</f>
        <v xml:space="preserve">http://slimages.macys.com/is/image/MCY/21035872 </v>
      </c>
    </row>
    <row r="347" spans="1:14" x14ac:dyDescent="0.25">
      <c r="A347" s="21" t="s">
        <v>9583</v>
      </c>
      <c r="B347" s="22" t="s">
        <v>9584</v>
      </c>
      <c r="C347" s="2">
        <v>5</v>
      </c>
      <c r="D347" s="23">
        <v>22.5</v>
      </c>
      <c r="E347" s="3">
        <v>112.5</v>
      </c>
      <c r="F347" s="2" t="s">
        <v>18338</v>
      </c>
      <c r="G347" s="22" t="s">
        <v>19351</v>
      </c>
      <c r="H347" s="24" t="s">
        <v>19395</v>
      </c>
      <c r="I347" s="22" t="s">
        <v>19309</v>
      </c>
      <c r="J347" s="22" t="s">
        <v>19688</v>
      </c>
      <c r="K347" s="22" t="s">
        <v>19614</v>
      </c>
      <c r="L347" s="22"/>
      <c r="M347" s="22"/>
      <c r="N347" s="25" t="str">
        <f>HYPERLINK("http://slimages.macys.com/is/image/MCY/21035864 ")</f>
        <v xml:space="preserve">http://slimages.macys.com/is/image/MCY/21035864 </v>
      </c>
    </row>
    <row r="348" spans="1:14" x14ac:dyDescent="0.25">
      <c r="A348" s="21" t="s">
        <v>9581</v>
      </c>
      <c r="B348" s="22" t="s">
        <v>9582</v>
      </c>
      <c r="C348" s="2">
        <v>4</v>
      </c>
      <c r="D348" s="23">
        <v>22.5</v>
      </c>
      <c r="E348" s="3">
        <v>90</v>
      </c>
      <c r="F348" s="2" t="s">
        <v>18338</v>
      </c>
      <c r="G348" s="22" t="s">
        <v>19351</v>
      </c>
      <c r="H348" s="24" t="s">
        <v>19345</v>
      </c>
      <c r="I348" s="22" t="s">
        <v>19309</v>
      </c>
      <c r="J348" s="22" t="s">
        <v>19688</v>
      </c>
      <c r="K348" s="22" t="s">
        <v>19614</v>
      </c>
      <c r="L348" s="22"/>
      <c r="M348" s="22"/>
      <c r="N348" s="25" t="str">
        <f>HYPERLINK("http://slimages.macys.com/is/image/MCY/21035862 ")</f>
        <v xml:space="preserve">http://slimages.macys.com/is/image/MCY/21035862 </v>
      </c>
    </row>
    <row r="349" spans="1:14" x14ac:dyDescent="0.25">
      <c r="A349" s="21" t="s">
        <v>8125</v>
      </c>
      <c r="B349" s="22" t="s">
        <v>8126</v>
      </c>
      <c r="C349" s="2">
        <v>2</v>
      </c>
      <c r="D349" s="23">
        <v>22.5</v>
      </c>
      <c r="E349" s="3">
        <v>45</v>
      </c>
      <c r="F349" s="2" t="s">
        <v>13234</v>
      </c>
      <c r="G349" s="22" t="s">
        <v>19351</v>
      </c>
      <c r="H349" s="24" t="s">
        <v>19361</v>
      </c>
      <c r="I349" s="22" t="s">
        <v>19309</v>
      </c>
      <c r="J349" s="22" t="s">
        <v>19688</v>
      </c>
      <c r="K349" s="22" t="s">
        <v>19614</v>
      </c>
      <c r="L349" s="22"/>
      <c r="M349" s="22"/>
      <c r="N349" s="25" t="str">
        <f>HYPERLINK("http://slimages.macys.com/is/image/MCY/21035872 ")</f>
        <v xml:space="preserve">http://slimages.macys.com/is/image/MCY/21035872 </v>
      </c>
    </row>
    <row r="350" spans="1:14" x14ac:dyDescent="0.25">
      <c r="A350" s="21" t="s">
        <v>18336</v>
      </c>
      <c r="B350" s="22" t="s">
        <v>18337</v>
      </c>
      <c r="C350" s="2">
        <v>8</v>
      </c>
      <c r="D350" s="23">
        <v>22.5</v>
      </c>
      <c r="E350" s="3">
        <v>180</v>
      </c>
      <c r="F350" s="2" t="s">
        <v>18338</v>
      </c>
      <c r="G350" s="22" t="s">
        <v>19351</v>
      </c>
      <c r="H350" s="24" t="s">
        <v>19334</v>
      </c>
      <c r="I350" s="22" t="s">
        <v>19309</v>
      </c>
      <c r="J350" s="22" t="s">
        <v>19688</v>
      </c>
      <c r="K350" s="22" t="s">
        <v>19614</v>
      </c>
      <c r="L350" s="22"/>
      <c r="M350" s="22"/>
      <c r="N350" s="25" t="str">
        <f>HYPERLINK("http://slimages.macys.com/is/image/MCY/21035862 ")</f>
        <v xml:space="preserve">http://slimages.macys.com/is/image/MCY/21035862 </v>
      </c>
    </row>
    <row r="351" spans="1:14" ht="24.75" x14ac:dyDescent="0.25">
      <c r="A351" s="21" t="s">
        <v>5945</v>
      </c>
      <c r="B351" s="22" t="s">
        <v>5946</v>
      </c>
      <c r="C351" s="2">
        <v>1</v>
      </c>
      <c r="D351" s="23">
        <v>12.81</v>
      </c>
      <c r="E351" s="3">
        <v>12.81</v>
      </c>
      <c r="F351" s="2" t="s">
        <v>5947</v>
      </c>
      <c r="G351" s="22" t="s">
        <v>19357</v>
      </c>
      <c r="H351" s="24" t="s">
        <v>19345</v>
      </c>
      <c r="I351" s="22" t="s">
        <v>19309</v>
      </c>
      <c r="J351" s="22" t="s">
        <v>19602</v>
      </c>
      <c r="K351" s="22" t="s">
        <v>20041</v>
      </c>
      <c r="L351" s="22"/>
      <c r="M351" s="22"/>
      <c r="N351" s="25" t="str">
        <f>HYPERLINK("http://slimages.macys.com/is/image/MCY/21723886 ")</f>
        <v xml:space="preserve">http://slimages.macys.com/is/image/MCY/21723886 </v>
      </c>
    </row>
    <row r="352" spans="1:14" ht="24.75" x14ac:dyDescent="0.25">
      <c r="A352" s="21" t="s">
        <v>10644</v>
      </c>
      <c r="B352" s="22" t="s">
        <v>10645</v>
      </c>
      <c r="C352" s="2">
        <v>1</v>
      </c>
      <c r="D352" s="23">
        <v>13.99</v>
      </c>
      <c r="E352" s="3">
        <v>13.99</v>
      </c>
      <c r="F352" s="2" t="s">
        <v>16199</v>
      </c>
      <c r="G352" s="22" t="s">
        <v>18439</v>
      </c>
      <c r="H352" s="24" t="s">
        <v>19330</v>
      </c>
      <c r="I352" s="22" t="s">
        <v>19309</v>
      </c>
      <c r="J352" s="22" t="s">
        <v>19573</v>
      </c>
      <c r="K352" s="22" t="s">
        <v>19574</v>
      </c>
      <c r="L352" s="22"/>
      <c r="M352" s="22"/>
      <c r="N352" s="25" t="str">
        <f>HYPERLINK("http://slimages.macys.com/is/image/MCY/20757807 ")</f>
        <v xml:space="preserve">http://slimages.macys.com/is/image/MCY/20757807 </v>
      </c>
    </row>
    <row r="353" spans="1:14" ht="24.75" x14ac:dyDescent="0.25">
      <c r="A353" s="21" t="s">
        <v>16200</v>
      </c>
      <c r="B353" s="22" t="s">
        <v>16201</v>
      </c>
      <c r="C353" s="2">
        <v>1</v>
      </c>
      <c r="D353" s="23">
        <v>13.99</v>
      </c>
      <c r="E353" s="3">
        <v>13.99</v>
      </c>
      <c r="F353" s="2" t="s">
        <v>16199</v>
      </c>
      <c r="G353" s="22" t="s">
        <v>18439</v>
      </c>
      <c r="H353" s="24" t="s">
        <v>19384</v>
      </c>
      <c r="I353" s="22" t="s">
        <v>19309</v>
      </c>
      <c r="J353" s="22" t="s">
        <v>19573</v>
      </c>
      <c r="K353" s="22" t="s">
        <v>19574</v>
      </c>
      <c r="L353" s="22"/>
      <c r="M353" s="22"/>
      <c r="N353" s="25" t="str">
        <f>HYPERLINK("http://slimages.macys.com/is/image/MCY/20757807 ")</f>
        <v xml:space="preserve">http://slimages.macys.com/is/image/MCY/20757807 </v>
      </c>
    </row>
    <row r="354" spans="1:14" x14ac:dyDescent="0.25">
      <c r="A354" s="21" t="s">
        <v>5948</v>
      </c>
      <c r="B354" s="22" t="s">
        <v>5949</v>
      </c>
      <c r="C354" s="2">
        <v>1</v>
      </c>
      <c r="D354" s="23">
        <v>9.99</v>
      </c>
      <c r="E354" s="3">
        <v>9.99</v>
      </c>
      <c r="F354" s="2" t="s">
        <v>5950</v>
      </c>
      <c r="G354" s="22" t="s">
        <v>19618</v>
      </c>
      <c r="H354" s="24" t="s">
        <v>19352</v>
      </c>
      <c r="I354" s="22" t="s">
        <v>19309</v>
      </c>
      <c r="J354" s="22" t="s">
        <v>19310</v>
      </c>
      <c r="K354" s="22" t="s">
        <v>19873</v>
      </c>
      <c r="L354" s="22"/>
      <c r="M354" s="22"/>
      <c r="N354" s="25" t="str">
        <f>HYPERLINK("http://slimages.macys.com/is/image/MCY/21551329 ")</f>
        <v xml:space="preserve">http://slimages.macys.com/is/image/MCY/21551329 </v>
      </c>
    </row>
    <row r="355" spans="1:14" x14ac:dyDescent="0.25">
      <c r="A355" s="21" t="s">
        <v>5951</v>
      </c>
      <c r="B355" s="22" t="s">
        <v>5952</v>
      </c>
      <c r="C355" s="2">
        <v>1</v>
      </c>
      <c r="D355" s="23">
        <v>13.99</v>
      </c>
      <c r="E355" s="3">
        <v>13.99</v>
      </c>
      <c r="F355" s="2" t="s">
        <v>5953</v>
      </c>
      <c r="G355" s="22" t="s">
        <v>19670</v>
      </c>
      <c r="H355" s="24" t="s">
        <v>19361</v>
      </c>
      <c r="I355" s="22" t="s">
        <v>19309</v>
      </c>
      <c r="J355" s="22" t="s">
        <v>19849</v>
      </c>
      <c r="K355" s="22" t="s">
        <v>19850</v>
      </c>
      <c r="L355" s="22"/>
      <c r="M355" s="22"/>
      <c r="N355" s="25" t="str">
        <f>HYPERLINK("http://slimages.macys.com/is/image/MCY/21270317 ")</f>
        <v xml:space="preserve">http://slimages.macys.com/is/image/MCY/21270317 </v>
      </c>
    </row>
    <row r="356" spans="1:14" x14ac:dyDescent="0.25">
      <c r="A356" s="21" t="s">
        <v>18458</v>
      </c>
      <c r="B356" s="22" t="s">
        <v>18459</v>
      </c>
      <c r="C356" s="2">
        <v>1</v>
      </c>
      <c r="D356" s="23">
        <v>13.99</v>
      </c>
      <c r="E356" s="3">
        <v>13.99</v>
      </c>
      <c r="F356" s="2" t="s">
        <v>18457</v>
      </c>
      <c r="G356" s="22" t="s">
        <v>19670</v>
      </c>
      <c r="H356" s="24" t="s">
        <v>19542</v>
      </c>
      <c r="I356" s="22" t="s">
        <v>19309</v>
      </c>
      <c r="J356" s="22" t="s">
        <v>19849</v>
      </c>
      <c r="K356" s="22" t="s">
        <v>19850</v>
      </c>
      <c r="L356" s="22"/>
      <c r="M356" s="22"/>
      <c r="N356" s="25" t="str">
        <f>HYPERLINK("http://slimages.macys.com/is/image/MCY/21270275 ")</f>
        <v xml:space="preserve">http://slimages.macys.com/is/image/MCY/21270275 </v>
      </c>
    </row>
    <row r="357" spans="1:14" x14ac:dyDescent="0.25">
      <c r="A357" s="21" t="s">
        <v>5954</v>
      </c>
      <c r="B357" s="22" t="s">
        <v>5955</v>
      </c>
      <c r="C357" s="2">
        <v>1</v>
      </c>
      <c r="D357" s="23">
        <v>18.11</v>
      </c>
      <c r="E357" s="3">
        <v>18.11</v>
      </c>
      <c r="F357" s="2" t="s">
        <v>5953</v>
      </c>
      <c r="G357" s="22" t="s">
        <v>19670</v>
      </c>
      <c r="H357" s="24" t="s">
        <v>20089</v>
      </c>
      <c r="I357" s="22" t="s">
        <v>19309</v>
      </c>
      <c r="J357" s="22" t="s">
        <v>19849</v>
      </c>
      <c r="K357" s="22" t="s">
        <v>19850</v>
      </c>
      <c r="L357" s="22"/>
      <c r="M357" s="22"/>
      <c r="N357" s="25" t="str">
        <f>HYPERLINK("http://slimages.macys.com/is/image/MCY/21270317 ")</f>
        <v xml:space="preserve">http://slimages.macys.com/is/image/MCY/21270317 </v>
      </c>
    </row>
    <row r="358" spans="1:14" x14ac:dyDescent="0.25">
      <c r="A358" s="21" t="s">
        <v>5956</v>
      </c>
      <c r="B358" s="22" t="s">
        <v>5957</v>
      </c>
      <c r="C358" s="2">
        <v>1</v>
      </c>
      <c r="D358" s="23">
        <v>13.99</v>
      </c>
      <c r="E358" s="3">
        <v>13.99</v>
      </c>
      <c r="F358" s="2" t="s">
        <v>5953</v>
      </c>
      <c r="G358" s="22" t="s">
        <v>19670</v>
      </c>
      <c r="H358" s="24" t="s">
        <v>19542</v>
      </c>
      <c r="I358" s="22" t="s">
        <v>19309</v>
      </c>
      <c r="J358" s="22" t="s">
        <v>19849</v>
      </c>
      <c r="K358" s="22" t="s">
        <v>19850</v>
      </c>
      <c r="L358" s="22"/>
      <c r="M358" s="22"/>
      <c r="N358" s="25" t="str">
        <f>HYPERLINK("http://slimages.macys.com/is/image/MCY/21270317 ")</f>
        <v xml:space="preserve">http://slimages.macys.com/is/image/MCY/21270317 </v>
      </c>
    </row>
    <row r="359" spans="1:14" x14ac:dyDescent="0.25">
      <c r="A359" s="21" t="s">
        <v>10658</v>
      </c>
      <c r="B359" s="22" t="s">
        <v>10659</v>
      </c>
      <c r="C359" s="2">
        <v>1</v>
      </c>
      <c r="D359" s="23">
        <v>15.99</v>
      </c>
      <c r="E359" s="3">
        <v>15.99</v>
      </c>
      <c r="F359" s="2" t="s">
        <v>18462</v>
      </c>
      <c r="G359" s="22" t="s">
        <v>19477</v>
      </c>
      <c r="H359" s="24" t="s">
        <v>19361</v>
      </c>
      <c r="I359" s="22" t="s">
        <v>19309</v>
      </c>
      <c r="J359" s="22" t="s">
        <v>19849</v>
      </c>
      <c r="K359" s="22" t="s">
        <v>19850</v>
      </c>
      <c r="L359" s="22"/>
      <c r="M359" s="22"/>
      <c r="N359" s="25" t="str">
        <f>HYPERLINK("http://slimages.macys.com/is/image/MCY/20549437 ")</f>
        <v xml:space="preserve">http://slimages.macys.com/is/image/MCY/20549437 </v>
      </c>
    </row>
    <row r="360" spans="1:14" x14ac:dyDescent="0.25">
      <c r="A360" s="21" t="s">
        <v>16209</v>
      </c>
      <c r="B360" s="22" t="s">
        <v>16210</v>
      </c>
      <c r="C360" s="2">
        <v>1</v>
      </c>
      <c r="D360" s="23">
        <v>15.99</v>
      </c>
      <c r="E360" s="3">
        <v>15.99</v>
      </c>
      <c r="F360" s="2" t="s">
        <v>18462</v>
      </c>
      <c r="G360" s="22" t="s">
        <v>19477</v>
      </c>
      <c r="H360" s="24" t="s">
        <v>20089</v>
      </c>
      <c r="I360" s="22" t="s">
        <v>19309</v>
      </c>
      <c r="J360" s="22" t="s">
        <v>19849</v>
      </c>
      <c r="K360" s="22" t="s">
        <v>19850</v>
      </c>
      <c r="L360" s="22"/>
      <c r="M360" s="22"/>
      <c r="N360" s="25" t="str">
        <f>HYPERLINK("http://slimages.macys.com/is/image/MCY/20549437 ")</f>
        <v xml:space="preserve">http://slimages.macys.com/is/image/MCY/20549437 </v>
      </c>
    </row>
    <row r="361" spans="1:14" x14ac:dyDescent="0.25">
      <c r="A361" s="21" t="s">
        <v>13244</v>
      </c>
      <c r="B361" s="22" t="s">
        <v>13245</v>
      </c>
      <c r="C361" s="2">
        <v>1</v>
      </c>
      <c r="D361" s="23">
        <v>13.99</v>
      </c>
      <c r="E361" s="3">
        <v>13.99</v>
      </c>
      <c r="F361" s="2" t="s">
        <v>16497</v>
      </c>
      <c r="G361" s="22" t="s">
        <v>19674</v>
      </c>
      <c r="H361" s="24" t="s">
        <v>19364</v>
      </c>
      <c r="I361" s="22" t="s">
        <v>19309</v>
      </c>
      <c r="J361" s="22" t="s">
        <v>19849</v>
      </c>
      <c r="K361" s="22" t="s">
        <v>19850</v>
      </c>
      <c r="L361" s="22"/>
      <c r="M361" s="22"/>
      <c r="N361" s="25" t="str">
        <f>HYPERLINK("http://slimages.macys.com/is/image/MCY/21270437 ")</f>
        <v xml:space="preserve">http://slimages.macys.com/is/image/MCY/21270437 </v>
      </c>
    </row>
    <row r="362" spans="1:14" x14ac:dyDescent="0.25">
      <c r="A362" s="21" t="s">
        <v>10662</v>
      </c>
      <c r="B362" s="22" t="s">
        <v>10663</v>
      </c>
      <c r="C362" s="2">
        <v>1</v>
      </c>
      <c r="D362" s="23">
        <v>13.99</v>
      </c>
      <c r="E362" s="3">
        <v>13.99</v>
      </c>
      <c r="F362" s="2" t="s">
        <v>16497</v>
      </c>
      <c r="G362" s="22" t="s">
        <v>19674</v>
      </c>
      <c r="H362" s="24" t="s">
        <v>19797</v>
      </c>
      <c r="I362" s="22" t="s">
        <v>19309</v>
      </c>
      <c r="J362" s="22" t="s">
        <v>19849</v>
      </c>
      <c r="K362" s="22" t="s">
        <v>19850</v>
      </c>
      <c r="L362" s="22"/>
      <c r="M362" s="22"/>
      <c r="N362" s="25" t="str">
        <f>HYPERLINK("http://slimages.macys.com/is/image/MCY/21270437 ")</f>
        <v xml:space="preserve">http://slimages.macys.com/is/image/MCY/21270437 </v>
      </c>
    </row>
    <row r="363" spans="1:14" x14ac:dyDescent="0.25">
      <c r="A363" s="21" t="s">
        <v>9862</v>
      </c>
      <c r="B363" s="22" t="s">
        <v>9863</v>
      </c>
      <c r="C363" s="2">
        <v>1</v>
      </c>
      <c r="D363" s="23">
        <v>16.989999999999998</v>
      </c>
      <c r="E363" s="3">
        <v>16.989999999999998</v>
      </c>
      <c r="F363" s="2" t="s">
        <v>9864</v>
      </c>
      <c r="G363" s="22" t="s">
        <v>19670</v>
      </c>
      <c r="H363" s="24" t="s">
        <v>20089</v>
      </c>
      <c r="I363" s="22" t="s">
        <v>19309</v>
      </c>
      <c r="J363" s="22" t="s">
        <v>19849</v>
      </c>
      <c r="K363" s="22" t="s">
        <v>19850</v>
      </c>
      <c r="L363" s="22"/>
      <c r="M363" s="22"/>
      <c r="N363" s="25" t="str">
        <f>HYPERLINK("http://slimages.macys.com/is/image/MCY/21270746 ")</f>
        <v xml:space="preserve">http://slimages.macys.com/is/image/MCY/21270746 </v>
      </c>
    </row>
    <row r="364" spans="1:14" x14ac:dyDescent="0.25">
      <c r="A364" s="21" t="s">
        <v>9869</v>
      </c>
      <c r="B364" s="22" t="s">
        <v>9870</v>
      </c>
      <c r="C364" s="2">
        <v>1</v>
      </c>
      <c r="D364" s="23">
        <v>13.77</v>
      </c>
      <c r="E364" s="3">
        <v>13.77</v>
      </c>
      <c r="F364" s="2" t="s">
        <v>18476</v>
      </c>
      <c r="G364" s="22"/>
      <c r="H364" s="24" t="s">
        <v>19770</v>
      </c>
      <c r="I364" s="22" t="s">
        <v>19309</v>
      </c>
      <c r="J364" s="22" t="s">
        <v>19708</v>
      </c>
      <c r="K364" s="22" t="s">
        <v>19709</v>
      </c>
      <c r="L364" s="22"/>
      <c r="M364" s="22"/>
      <c r="N364" s="25" t="str">
        <f>HYPERLINK("http://slimages.macys.com/is/image/MCY/21758809 ")</f>
        <v xml:space="preserve">http://slimages.macys.com/is/image/MCY/21758809 </v>
      </c>
    </row>
    <row r="365" spans="1:14" x14ac:dyDescent="0.25">
      <c r="A365" s="21" t="s">
        <v>5958</v>
      </c>
      <c r="B365" s="22" t="s">
        <v>5959</v>
      </c>
      <c r="C365" s="2">
        <v>1</v>
      </c>
      <c r="D365" s="23">
        <v>8.99</v>
      </c>
      <c r="E365" s="3">
        <v>8.99</v>
      </c>
      <c r="F365" s="2" t="s">
        <v>5960</v>
      </c>
      <c r="G365" s="22" t="s">
        <v>19351</v>
      </c>
      <c r="H365" s="24" t="s">
        <v>19364</v>
      </c>
      <c r="I365" s="22" t="s">
        <v>19309</v>
      </c>
      <c r="J365" s="22" t="s">
        <v>19310</v>
      </c>
      <c r="K365" s="22" t="s">
        <v>19873</v>
      </c>
      <c r="L365" s="22"/>
      <c r="M365" s="22"/>
      <c r="N365" s="25" t="str">
        <f>HYPERLINK("http://slimages.macys.com/is/image/MCY/19503985 ")</f>
        <v xml:space="preserve">http://slimages.macys.com/is/image/MCY/19503985 </v>
      </c>
    </row>
    <row r="366" spans="1:14" x14ac:dyDescent="0.25">
      <c r="A366" s="21" t="s">
        <v>6887</v>
      </c>
      <c r="B366" s="22" t="s">
        <v>6888</v>
      </c>
      <c r="C366" s="2">
        <v>2</v>
      </c>
      <c r="D366" s="23">
        <v>13.68</v>
      </c>
      <c r="E366" s="3">
        <v>27.36</v>
      </c>
      <c r="F366" s="2" t="s">
        <v>6889</v>
      </c>
      <c r="G366" s="22" t="s">
        <v>19357</v>
      </c>
      <c r="H366" s="24" t="s">
        <v>20159</v>
      </c>
      <c r="I366" s="22" t="s">
        <v>19309</v>
      </c>
      <c r="J366" s="22" t="s">
        <v>19708</v>
      </c>
      <c r="K366" s="22" t="s">
        <v>19709</v>
      </c>
      <c r="L366" s="22"/>
      <c r="M366" s="22"/>
      <c r="N366" s="25" t="str">
        <f>HYPERLINK("http://slimages.macys.com/is/image/MCY/22405578 ")</f>
        <v xml:space="preserve">http://slimages.macys.com/is/image/MCY/22405578 </v>
      </c>
    </row>
    <row r="367" spans="1:14" x14ac:dyDescent="0.25">
      <c r="A367" s="21" t="s">
        <v>5961</v>
      </c>
      <c r="B367" s="22" t="s">
        <v>5962</v>
      </c>
      <c r="C367" s="2">
        <v>1</v>
      </c>
      <c r="D367" s="23">
        <v>13.77</v>
      </c>
      <c r="E367" s="3">
        <v>13.77</v>
      </c>
      <c r="F367" s="2" t="s">
        <v>16513</v>
      </c>
      <c r="G367" s="22" t="s">
        <v>19670</v>
      </c>
      <c r="H367" s="24" t="s">
        <v>19770</v>
      </c>
      <c r="I367" s="22" t="s">
        <v>19309</v>
      </c>
      <c r="J367" s="22" t="s">
        <v>19708</v>
      </c>
      <c r="K367" s="22" t="s">
        <v>19709</v>
      </c>
      <c r="L367" s="22"/>
      <c r="M367" s="22"/>
      <c r="N367" s="25" t="str">
        <f>HYPERLINK("http://slimages.macys.com/is/image/MCY/21414216 ")</f>
        <v xml:space="preserve">http://slimages.macys.com/is/image/MCY/21414216 </v>
      </c>
    </row>
    <row r="368" spans="1:14" x14ac:dyDescent="0.25">
      <c r="A368" s="21" t="s">
        <v>10688</v>
      </c>
      <c r="B368" s="22" t="s">
        <v>10689</v>
      </c>
      <c r="C368" s="2">
        <v>1</v>
      </c>
      <c r="D368" s="23">
        <v>16.989999999999998</v>
      </c>
      <c r="E368" s="3">
        <v>16.989999999999998</v>
      </c>
      <c r="F368" s="2" t="s">
        <v>9864</v>
      </c>
      <c r="G368" s="22" t="s">
        <v>19670</v>
      </c>
      <c r="H368" s="24" t="s">
        <v>19907</v>
      </c>
      <c r="I368" s="22" t="s">
        <v>19309</v>
      </c>
      <c r="J368" s="22" t="s">
        <v>19849</v>
      </c>
      <c r="K368" s="22" t="s">
        <v>19850</v>
      </c>
      <c r="L368" s="22"/>
      <c r="M368" s="22"/>
      <c r="N368" s="25" t="str">
        <f>HYPERLINK("http://slimages.macys.com/is/image/MCY/21270746 ")</f>
        <v xml:space="preserve">http://slimages.macys.com/is/image/MCY/21270746 </v>
      </c>
    </row>
    <row r="369" spans="1:14" x14ac:dyDescent="0.25">
      <c r="A369" s="21" t="s">
        <v>16631</v>
      </c>
      <c r="B369" s="22" t="s">
        <v>16632</v>
      </c>
      <c r="C369" s="2">
        <v>3</v>
      </c>
      <c r="D369" s="23">
        <v>10.99</v>
      </c>
      <c r="E369" s="3">
        <v>32.97</v>
      </c>
      <c r="F369" s="2" t="s">
        <v>16624</v>
      </c>
      <c r="G369" s="22" t="s">
        <v>19674</v>
      </c>
      <c r="H369" s="24" t="s">
        <v>19364</v>
      </c>
      <c r="I369" s="22" t="s">
        <v>19309</v>
      </c>
      <c r="J369" s="22" t="s">
        <v>19849</v>
      </c>
      <c r="K369" s="22" t="s">
        <v>19850</v>
      </c>
      <c r="L369" s="22"/>
      <c r="M369" s="22"/>
      <c r="N369" s="25" t="str">
        <f>HYPERLINK("http://slimages.macys.com/is/image/MCY/1650136 ")</f>
        <v xml:space="preserve">http://slimages.macys.com/is/image/MCY/1650136 </v>
      </c>
    </row>
    <row r="370" spans="1:14" x14ac:dyDescent="0.25">
      <c r="A370" s="21" t="s">
        <v>16629</v>
      </c>
      <c r="B370" s="22" t="s">
        <v>16630</v>
      </c>
      <c r="C370" s="2">
        <v>4</v>
      </c>
      <c r="D370" s="23">
        <v>10.99</v>
      </c>
      <c r="E370" s="3">
        <v>43.96</v>
      </c>
      <c r="F370" s="2" t="s">
        <v>16624</v>
      </c>
      <c r="G370" s="22" t="s">
        <v>19674</v>
      </c>
      <c r="H370" s="24" t="s">
        <v>19352</v>
      </c>
      <c r="I370" s="22" t="s">
        <v>19309</v>
      </c>
      <c r="J370" s="22" t="s">
        <v>19849</v>
      </c>
      <c r="K370" s="22" t="s">
        <v>19850</v>
      </c>
      <c r="L370" s="22"/>
      <c r="M370" s="22"/>
      <c r="N370" s="25" t="str">
        <f>HYPERLINK("http://slimages.macys.com/is/image/MCY/1650136 ")</f>
        <v xml:space="preserve">http://slimages.macys.com/is/image/MCY/1650136 </v>
      </c>
    </row>
    <row r="371" spans="1:14" x14ac:dyDescent="0.25">
      <c r="A371" s="21" t="s">
        <v>11108</v>
      </c>
      <c r="B371" s="22" t="s">
        <v>11109</v>
      </c>
      <c r="C371" s="2">
        <v>2</v>
      </c>
      <c r="D371" s="23">
        <v>10.99</v>
      </c>
      <c r="E371" s="3">
        <v>21.98</v>
      </c>
      <c r="F371" s="2" t="s">
        <v>16624</v>
      </c>
      <c r="G371" s="22" t="s">
        <v>19674</v>
      </c>
      <c r="H371" s="24" t="s">
        <v>19797</v>
      </c>
      <c r="I371" s="22" t="s">
        <v>19309</v>
      </c>
      <c r="J371" s="22" t="s">
        <v>19849</v>
      </c>
      <c r="K371" s="22" t="s">
        <v>19850</v>
      </c>
      <c r="L371" s="22"/>
      <c r="M371" s="22"/>
      <c r="N371" s="25" t="str">
        <f>HYPERLINK("http://slimages.macys.com/is/image/MCY/1650136 ")</f>
        <v xml:space="preserve">http://slimages.macys.com/is/image/MCY/1650136 </v>
      </c>
    </row>
    <row r="372" spans="1:14" x14ac:dyDescent="0.25">
      <c r="A372" s="21" t="s">
        <v>7698</v>
      </c>
      <c r="B372" s="22" t="s">
        <v>7699</v>
      </c>
      <c r="C372" s="2">
        <v>2</v>
      </c>
      <c r="D372" s="23">
        <v>10.99</v>
      </c>
      <c r="E372" s="3">
        <v>21.98</v>
      </c>
      <c r="F372" s="2" t="s">
        <v>16624</v>
      </c>
      <c r="G372" s="22" t="s">
        <v>19674</v>
      </c>
      <c r="H372" s="24" t="s">
        <v>19339</v>
      </c>
      <c r="I372" s="22" t="s">
        <v>19309</v>
      </c>
      <c r="J372" s="22" t="s">
        <v>19849</v>
      </c>
      <c r="K372" s="22" t="s">
        <v>19850</v>
      </c>
      <c r="L372" s="22"/>
      <c r="M372" s="22"/>
      <c r="N372" s="25" t="str">
        <f>HYPERLINK("http://slimages.macys.com/is/image/MCY/1650136 ")</f>
        <v xml:space="preserve">http://slimages.macys.com/is/image/MCY/1650136 </v>
      </c>
    </row>
    <row r="373" spans="1:14" ht="24.75" x14ac:dyDescent="0.25">
      <c r="A373" s="21" t="s">
        <v>5963</v>
      </c>
      <c r="B373" s="22" t="s">
        <v>5964</v>
      </c>
      <c r="C373" s="2">
        <v>1</v>
      </c>
      <c r="D373" s="23">
        <v>11.99</v>
      </c>
      <c r="E373" s="3">
        <v>11.99</v>
      </c>
      <c r="F373" s="2" t="s">
        <v>5965</v>
      </c>
      <c r="G373" s="22" t="s">
        <v>19323</v>
      </c>
      <c r="H373" s="24" t="s">
        <v>19339</v>
      </c>
      <c r="I373" s="22" t="s">
        <v>19309</v>
      </c>
      <c r="J373" s="22" t="s">
        <v>20076</v>
      </c>
      <c r="K373" s="22" t="s">
        <v>20077</v>
      </c>
      <c r="L373" s="22"/>
      <c r="M373" s="22"/>
      <c r="N373" s="25" t="str">
        <f>HYPERLINK("http://slimages.macys.com/is/image/MCY/17459195 ")</f>
        <v xml:space="preserve">http://slimages.macys.com/is/image/MCY/17459195 </v>
      </c>
    </row>
    <row r="374" spans="1:14" x14ac:dyDescent="0.25">
      <c r="A374" s="21" t="s">
        <v>5966</v>
      </c>
      <c r="B374" s="22" t="s">
        <v>5967</v>
      </c>
      <c r="C374" s="2">
        <v>1</v>
      </c>
      <c r="D374" s="23">
        <v>12.99</v>
      </c>
      <c r="E374" s="3">
        <v>12.99</v>
      </c>
      <c r="F374" s="2" t="s">
        <v>5968</v>
      </c>
      <c r="G374" s="22" t="s">
        <v>19467</v>
      </c>
      <c r="H374" s="24" t="s">
        <v>20135</v>
      </c>
      <c r="I374" s="22" t="s">
        <v>19309</v>
      </c>
      <c r="J374" s="22" t="s">
        <v>19849</v>
      </c>
      <c r="K374" s="22" t="s">
        <v>19850</v>
      </c>
      <c r="L374" s="22"/>
      <c r="M374" s="22"/>
      <c r="N374" s="25" t="str">
        <f>HYPERLINK("http://slimages.macys.com/is/image/MCY/21270289 ")</f>
        <v xml:space="preserve">http://slimages.macys.com/is/image/MCY/21270289 </v>
      </c>
    </row>
    <row r="375" spans="1:14" x14ac:dyDescent="0.25">
      <c r="A375" s="21" t="s">
        <v>5969</v>
      </c>
      <c r="B375" s="22" t="s">
        <v>5970</v>
      </c>
      <c r="C375" s="2">
        <v>1</v>
      </c>
      <c r="D375" s="23">
        <v>12.99</v>
      </c>
      <c r="E375" s="3">
        <v>12.99</v>
      </c>
      <c r="F375" s="2" t="s">
        <v>5968</v>
      </c>
      <c r="G375" s="22" t="s">
        <v>19467</v>
      </c>
      <c r="H375" s="24" t="s">
        <v>20089</v>
      </c>
      <c r="I375" s="22" t="s">
        <v>19309</v>
      </c>
      <c r="J375" s="22" t="s">
        <v>19849</v>
      </c>
      <c r="K375" s="22" t="s">
        <v>19850</v>
      </c>
      <c r="L375" s="22"/>
      <c r="M375" s="22"/>
      <c r="N375" s="25" t="str">
        <f>HYPERLINK("http://slimages.macys.com/is/image/MCY/21270289 ")</f>
        <v xml:space="preserve">http://slimages.macys.com/is/image/MCY/21270289 </v>
      </c>
    </row>
    <row r="376" spans="1:14" ht="24.75" x14ac:dyDescent="0.25">
      <c r="A376" s="21" t="s">
        <v>13253</v>
      </c>
      <c r="B376" s="22" t="s">
        <v>16520</v>
      </c>
      <c r="C376" s="2">
        <v>2</v>
      </c>
      <c r="D376" s="23">
        <v>11.91</v>
      </c>
      <c r="E376" s="3">
        <v>23.82</v>
      </c>
      <c r="F376" s="2" t="s">
        <v>18524</v>
      </c>
      <c r="G376" s="22"/>
      <c r="H376" s="24" t="s">
        <v>19392</v>
      </c>
      <c r="I376" s="22" t="s">
        <v>19309</v>
      </c>
      <c r="J376" s="22" t="s">
        <v>19602</v>
      </c>
      <c r="K376" s="22" t="s">
        <v>20041</v>
      </c>
      <c r="L376" s="22"/>
      <c r="M376" s="22"/>
      <c r="N376" s="25" t="str">
        <f>HYPERLINK("http://slimages.macys.com/is/image/MCY/21420574 ")</f>
        <v xml:space="preserve">http://slimages.macys.com/is/image/MCY/21420574 </v>
      </c>
    </row>
    <row r="377" spans="1:14" ht="24.75" x14ac:dyDescent="0.25">
      <c r="A377" s="21" t="s">
        <v>5971</v>
      </c>
      <c r="B377" s="22" t="s">
        <v>13255</v>
      </c>
      <c r="C377" s="2">
        <v>1</v>
      </c>
      <c r="D377" s="23">
        <v>11.91</v>
      </c>
      <c r="E377" s="3">
        <v>11.91</v>
      </c>
      <c r="F377" s="2" t="s">
        <v>16521</v>
      </c>
      <c r="G377" s="22"/>
      <c r="H377" s="24" t="s">
        <v>19345</v>
      </c>
      <c r="I377" s="22" t="s">
        <v>19309</v>
      </c>
      <c r="J377" s="22" t="s">
        <v>19602</v>
      </c>
      <c r="K377" s="22" t="s">
        <v>20041</v>
      </c>
      <c r="L377" s="22"/>
      <c r="M377" s="22"/>
      <c r="N377" s="25" t="str">
        <f>HYPERLINK("http://slimages.macys.com/is/image/MCY/21420666 ")</f>
        <v xml:space="preserve">http://slimages.macys.com/is/image/MCY/21420666 </v>
      </c>
    </row>
    <row r="378" spans="1:14" x14ac:dyDescent="0.25">
      <c r="A378" s="21" t="s">
        <v>5972</v>
      </c>
      <c r="B378" s="22" t="s">
        <v>5973</v>
      </c>
      <c r="C378" s="2">
        <v>1</v>
      </c>
      <c r="D378" s="23">
        <v>12.99</v>
      </c>
      <c r="E378" s="3">
        <v>12.99</v>
      </c>
      <c r="F378" s="2" t="s">
        <v>5974</v>
      </c>
      <c r="G378" s="22" t="s">
        <v>19315</v>
      </c>
      <c r="H378" s="24" t="s">
        <v>19361</v>
      </c>
      <c r="I378" s="22" t="s">
        <v>19309</v>
      </c>
      <c r="J378" s="22" t="s">
        <v>19849</v>
      </c>
      <c r="K378" s="22" t="s">
        <v>19850</v>
      </c>
      <c r="L378" s="22"/>
      <c r="M378" s="22"/>
      <c r="N378" s="25" t="str">
        <f>HYPERLINK("http://slimages.macys.com/is/image/MCY/21178912 ")</f>
        <v xml:space="preserve">http://slimages.macys.com/is/image/MCY/21178912 </v>
      </c>
    </row>
    <row r="379" spans="1:14" ht="24.75" x14ac:dyDescent="0.25">
      <c r="A379" s="21" t="s">
        <v>5975</v>
      </c>
      <c r="B379" s="22" t="s">
        <v>5976</v>
      </c>
      <c r="C379" s="2">
        <v>1</v>
      </c>
      <c r="D379" s="23">
        <v>8.99</v>
      </c>
      <c r="E379" s="3">
        <v>8.99</v>
      </c>
      <c r="F379" s="2" t="s">
        <v>7715</v>
      </c>
      <c r="G379" s="22" t="s">
        <v>19333</v>
      </c>
      <c r="H379" s="24" t="s">
        <v>19345</v>
      </c>
      <c r="I379" s="22" t="s">
        <v>19309</v>
      </c>
      <c r="J379" s="22" t="s">
        <v>19447</v>
      </c>
      <c r="K379" s="22" t="s">
        <v>20146</v>
      </c>
      <c r="L379" s="22"/>
      <c r="M379" s="22"/>
      <c r="N379" s="25" t="str">
        <f>HYPERLINK("http://slimages.macys.com/is/image/MCY/20676959 ")</f>
        <v xml:space="preserve">http://slimages.macys.com/is/image/MCY/20676959 </v>
      </c>
    </row>
    <row r="380" spans="1:14" ht="24.75" x14ac:dyDescent="0.25">
      <c r="A380" s="21" t="s">
        <v>5977</v>
      </c>
      <c r="B380" s="22" t="s">
        <v>5978</v>
      </c>
      <c r="C380" s="2">
        <v>1</v>
      </c>
      <c r="D380" s="23">
        <v>12</v>
      </c>
      <c r="E380" s="3">
        <v>12</v>
      </c>
      <c r="F380" s="2" t="s">
        <v>5979</v>
      </c>
      <c r="G380" s="22" t="s">
        <v>19879</v>
      </c>
      <c r="H380" s="24" t="s">
        <v>19416</v>
      </c>
      <c r="I380" s="22" t="s">
        <v>19309</v>
      </c>
      <c r="J380" s="22" t="s">
        <v>19491</v>
      </c>
      <c r="K380" s="22" t="s">
        <v>18197</v>
      </c>
      <c r="L380" s="22"/>
      <c r="M380" s="22"/>
      <c r="N380" s="25" t="str">
        <f>HYPERLINK("http://slimages.macys.com/is/image/MCY/20284246 ")</f>
        <v xml:space="preserve">http://slimages.macys.com/is/image/MCY/20284246 </v>
      </c>
    </row>
    <row r="381" spans="1:14" ht="24.75" x14ac:dyDescent="0.25">
      <c r="A381" s="21" t="s">
        <v>5980</v>
      </c>
      <c r="B381" s="22" t="s">
        <v>5981</v>
      </c>
      <c r="C381" s="2">
        <v>1</v>
      </c>
      <c r="D381" s="23">
        <v>17.989999999999998</v>
      </c>
      <c r="E381" s="3">
        <v>17.989999999999998</v>
      </c>
      <c r="F381" s="2" t="s">
        <v>5982</v>
      </c>
      <c r="G381" s="22" t="s">
        <v>19333</v>
      </c>
      <c r="H381" s="24" t="s">
        <v>19432</v>
      </c>
      <c r="I381" s="22" t="s">
        <v>19309</v>
      </c>
      <c r="J381" s="22" t="s">
        <v>19815</v>
      </c>
      <c r="K381" s="22" t="s">
        <v>6863</v>
      </c>
      <c r="L381" s="22"/>
      <c r="M381" s="22"/>
      <c r="N381" s="25" t="str">
        <f>HYPERLINK("http://slimages.macys.com/is/image/MCY/19937356 ")</f>
        <v xml:space="preserve">http://slimages.macys.com/is/image/MCY/19937356 </v>
      </c>
    </row>
    <row r="382" spans="1:14" ht="24.75" x14ac:dyDescent="0.25">
      <c r="A382" s="21" t="s">
        <v>5983</v>
      </c>
      <c r="B382" s="22" t="s">
        <v>5984</v>
      </c>
      <c r="C382" s="2">
        <v>1</v>
      </c>
      <c r="D382" s="23">
        <v>11.99</v>
      </c>
      <c r="E382" s="3">
        <v>11.99</v>
      </c>
      <c r="F382" s="2" t="s">
        <v>5985</v>
      </c>
      <c r="G382" s="22" t="s">
        <v>19415</v>
      </c>
      <c r="H382" s="24" t="s">
        <v>19339</v>
      </c>
      <c r="I382" s="22" t="s">
        <v>19309</v>
      </c>
      <c r="J382" s="22" t="s">
        <v>19454</v>
      </c>
      <c r="K382" s="22" t="s">
        <v>18654</v>
      </c>
      <c r="L382" s="22"/>
      <c r="M382" s="22"/>
      <c r="N382" s="25" t="str">
        <f>HYPERLINK("http://slimages.macys.com/is/image/MCY/21708492 ")</f>
        <v xml:space="preserve">http://slimages.macys.com/is/image/MCY/21708492 </v>
      </c>
    </row>
    <row r="383" spans="1:14" ht="24.75" x14ac:dyDescent="0.25">
      <c r="A383" s="21" t="s">
        <v>18582</v>
      </c>
      <c r="B383" s="22" t="s">
        <v>18583</v>
      </c>
      <c r="C383" s="2">
        <v>1</v>
      </c>
      <c r="D383" s="23">
        <v>14.99</v>
      </c>
      <c r="E383" s="3">
        <v>14.99</v>
      </c>
      <c r="F383" s="2" t="s">
        <v>18584</v>
      </c>
      <c r="G383" s="22" t="s">
        <v>19315</v>
      </c>
      <c r="H383" s="24" t="s">
        <v>19392</v>
      </c>
      <c r="I383" s="22" t="s">
        <v>19309</v>
      </c>
      <c r="J383" s="22" t="s">
        <v>19815</v>
      </c>
      <c r="K383" s="22" t="s">
        <v>19816</v>
      </c>
      <c r="L383" s="22"/>
      <c r="M383" s="22"/>
      <c r="N383" s="25" t="str">
        <f>HYPERLINK("http://slimages.macys.com/is/image/MCY/1197280 ")</f>
        <v xml:space="preserve">http://slimages.macys.com/is/image/MCY/1197280 </v>
      </c>
    </row>
    <row r="384" spans="1:14" ht="24.75" x14ac:dyDescent="0.25">
      <c r="A384" s="21" t="s">
        <v>16542</v>
      </c>
      <c r="B384" s="22" t="s">
        <v>16543</v>
      </c>
      <c r="C384" s="2">
        <v>1</v>
      </c>
      <c r="D384" s="23">
        <v>14.99</v>
      </c>
      <c r="E384" s="3">
        <v>14.99</v>
      </c>
      <c r="F384" s="2" t="s">
        <v>18584</v>
      </c>
      <c r="G384" s="22" t="s">
        <v>19315</v>
      </c>
      <c r="H384" s="24" t="s">
        <v>19542</v>
      </c>
      <c r="I384" s="22" t="s">
        <v>19309</v>
      </c>
      <c r="J384" s="22" t="s">
        <v>19815</v>
      </c>
      <c r="K384" s="22" t="s">
        <v>19816</v>
      </c>
      <c r="L384" s="22"/>
      <c r="M384" s="22"/>
      <c r="N384" s="25" t="str">
        <f>HYPERLINK("http://slimages.macys.com/is/image/MCY/20815181 ")</f>
        <v xml:space="preserve">http://slimages.macys.com/is/image/MCY/20815181 </v>
      </c>
    </row>
    <row r="385" spans="1:14" ht="24.75" x14ac:dyDescent="0.25">
      <c r="A385" s="21" t="s">
        <v>6895</v>
      </c>
      <c r="B385" s="22" t="s">
        <v>6896</v>
      </c>
      <c r="C385" s="2">
        <v>1</v>
      </c>
      <c r="D385" s="23">
        <v>14.99</v>
      </c>
      <c r="E385" s="3">
        <v>14.99</v>
      </c>
      <c r="F385" s="2" t="s">
        <v>18584</v>
      </c>
      <c r="G385" s="22" t="s">
        <v>19814</v>
      </c>
      <c r="H385" s="24" t="s">
        <v>19432</v>
      </c>
      <c r="I385" s="22" t="s">
        <v>19309</v>
      </c>
      <c r="J385" s="22" t="s">
        <v>19815</v>
      </c>
      <c r="K385" s="22" t="s">
        <v>19816</v>
      </c>
      <c r="L385" s="22"/>
      <c r="M385" s="22"/>
      <c r="N385" s="25" t="str">
        <f>HYPERLINK("http://slimages.macys.com/is/image/MCY/20815181 ")</f>
        <v xml:space="preserve">http://slimages.macys.com/is/image/MCY/20815181 </v>
      </c>
    </row>
    <row r="386" spans="1:14" ht="24.75" x14ac:dyDescent="0.25">
      <c r="A386" s="21" t="s">
        <v>5986</v>
      </c>
      <c r="B386" s="22" t="s">
        <v>5987</v>
      </c>
      <c r="C386" s="2">
        <v>2</v>
      </c>
      <c r="D386" s="23">
        <v>14.99</v>
      </c>
      <c r="E386" s="3">
        <v>29.98</v>
      </c>
      <c r="F386" s="2" t="s">
        <v>18584</v>
      </c>
      <c r="G386" s="22" t="s">
        <v>19814</v>
      </c>
      <c r="H386" s="24" t="s">
        <v>20135</v>
      </c>
      <c r="I386" s="22" t="s">
        <v>19309</v>
      </c>
      <c r="J386" s="22" t="s">
        <v>19815</v>
      </c>
      <c r="K386" s="22" t="s">
        <v>19816</v>
      </c>
      <c r="L386" s="22"/>
      <c r="M386" s="22"/>
      <c r="N386" s="25" t="str">
        <f>HYPERLINK("http://slimages.macys.com/is/image/MCY/20815181 ")</f>
        <v xml:space="preserve">http://slimages.macys.com/is/image/MCY/20815181 </v>
      </c>
    </row>
    <row r="387" spans="1:14" ht="24.75" x14ac:dyDescent="0.25">
      <c r="A387" s="21" t="s">
        <v>5988</v>
      </c>
      <c r="B387" s="22" t="s">
        <v>5989</v>
      </c>
      <c r="C387" s="2">
        <v>1</v>
      </c>
      <c r="D387" s="23">
        <v>8.99</v>
      </c>
      <c r="E387" s="3">
        <v>8.99</v>
      </c>
      <c r="F387" s="2" t="s">
        <v>9917</v>
      </c>
      <c r="G387" s="22" t="s">
        <v>19801</v>
      </c>
      <c r="H387" s="24" t="s">
        <v>19352</v>
      </c>
      <c r="I387" s="22" t="s">
        <v>19309</v>
      </c>
      <c r="J387" s="22" t="s">
        <v>19310</v>
      </c>
      <c r="K387" s="22" t="s">
        <v>19873</v>
      </c>
      <c r="L387" s="22"/>
      <c r="M387" s="22"/>
      <c r="N387" s="25" t="str">
        <f>HYPERLINK("http://slimages.macys.com/is/image/MCY/21551321 ")</f>
        <v xml:space="preserve">http://slimages.macys.com/is/image/MCY/21551321 </v>
      </c>
    </row>
    <row r="388" spans="1:14" x14ac:dyDescent="0.25">
      <c r="A388" s="21" t="s">
        <v>5990</v>
      </c>
      <c r="B388" s="22" t="s">
        <v>5991</v>
      </c>
      <c r="C388" s="2">
        <v>1</v>
      </c>
      <c r="D388" s="23">
        <v>7.99</v>
      </c>
      <c r="E388" s="3">
        <v>7.99</v>
      </c>
      <c r="F388" s="2" t="s">
        <v>16559</v>
      </c>
      <c r="G388" s="22" t="s">
        <v>19351</v>
      </c>
      <c r="H388" s="24" t="s">
        <v>19339</v>
      </c>
      <c r="I388" s="22" t="s">
        <v>19309</v>
      </c>
      <c r="J388" s="22" t="s">
        <v>19310</v>
      </c>
      <c r="K388" s="22" t="s">
        <v>19873</v>
      </c>
      <c r="L388" s="22"/>
      <c r="M388" s="22"/>
      <c r="N388" s="25" t="str">
        <f>HYPERLINK("http://slimages.macys.com/is/image/MCY/21551570 ")</f>
        <v xml:space="preserve">http://slimages.macys.com/is/image/MCY/21551570 </v>
      </c>
    </row>
    <row r="389" spans="1:14" x14ac:dyDescent="0.25">
      <c r="A389" s="21" t="s">
        <v>5992</v>
      </c>
      <c r="B389" s="22" t="s">
        <v>5993</v>
      </c>
      <c r="C389" s="2">
        <v>1</v>
      </c>
      <c r="D389" s="23">
        <v>7.99</v>
      </c>
      <c r="E389" s="3">
        <v>7.99</v>
      </c>
      <c r="F389" s="2" t="s">
        <v>6902</v>
      </c>
      <c r="G389" s="22" t="s">
        <v>19467</v>
      </c>
      <c r="H389" s="24" t="s">
        <v>19364</v>
      </c>
      <c r="I389" s="22" t="s">
        <v>19309</v>
      </c>
      <c r="J389" s="22" t="s">
        <v>19310</v>
      </c>
      <c r="K389" s="22" t="s">
        <v>19873</v>
      </c>
      <c r="L389" s="22"/>
      <c r="M389" s="22"/>
      <c r="N389" s="25" t="str">
        <f>HYPERLINK("http://slimages.macys.com/is/image/MCY/21030922 ")</f>
        <v xml:space="preserve">http://slimages.macys.com/is/image/MCY/21030922 </v>
      </c>
    </row>
    <row r="390" spans="1:14" x14ac:dyDescent="0.25">
      <c r="A390" s="21" t="s">
        <v>5994</v>
      </c>
      <c r="B390" s="22" t="s">
        <v>5995</v>
      </c>
      <c r="C390" s="2">
        <v>1</v>
      </c>
      <c r="D390" s="23">
        <v>7.99</v>
      </c>
      <c r="E390" s="3">
        <v>7.99</v>
      </c>
      <c r="F390" s="2" t="s">
        <v>6902</v>
      </c>
      <c r="G390" s="22" t="s">
        <v>19467</v>
      </c>
      <c r="H390" s="24" t="s">
        <v>19339</v>
      </c>
      <c r="I390" s="22" t="s">
        <v>19309</v>
      </c>
      <c r="J390" s="22" t="s">
        <v>19310</v>
      </c>
      <c r="K390" s="22" t="s">
        <v>19873</v>
      </c>
      <c r="L390" s="22"/>
      <c r="M390" s="22"/>
      <c r="N390" s="25" t="str">
        <f>HYPERLINK("http://slimages.macys.com/is/image/MCY/21030922 ")</f>
        <v xml:space="preserve">http://slimages.macys.com/is/image/MCY/21030922 </v>
      </c>
    </row>
    <row r="391" spans="1:14" ht="24.75" x14ac:dyDescent="0.25">
      <c r="A391" s="21" t="s">
        <v>5996</v>
      </c>
      <c r="B391" s="22" t="s">
        <v>5997</v>
      </c>
      <c r="C391" s="2">
        <v>1</v>
      </c>
      <c r="D391" s="23">
        <v>13.99</v>
      </c>
      <c r="E391" s="3">
        <v>13.99</v>
      </c>
      <c r="F391" s="2" t="s">
        <v>18608</v>
      </c>
      <c r="G391" s="22" t="s">
        <v>19674</v>
      </c>
      <c r="H391" s="24" t="s">
        <v>19324</v>
      </c>
      <c r="I391" s="22" t="s">
        <v>19309</v>
      </c>
      <c r="J391" s="22" t="s">
        <v>19573</v>
      </c>
      <c r="K391" s="22" t="s">
        <v>19574</v>
      </c>
      <c r="L391" s="22"/>
      <c r="M391" s="22"/>
      <c r="N391" s="25" t="str">
        <f>HYPERLINK("http://slimages.macys.com/is/image/MCY/18424257 ")</f>
        <v xml:space="preserve">http://slimages.macys.com/is/image/MCY/18424257 </v>
      </c>
    </row>
    <row r="392" spans="1:14" ht="24.75" x14ac:dyDescent="0.25">
      <c r="A392" s="21" t="s">
        <v>18609</v>
      </c>
      <c r="B392" s="22" t="s">
        <v>18610</v>
      </c>
      <c r="C392" s="2">
        <v>1</v>
      </c>
      <c r="D392" s="23">
        <v>11.99</v>
      </c>
      <c r="E392" s="3">
        <v>11.99</v>
      </c>
      <c r="F392" s="2" t="s">
        <v>18611</v>
      </c>
      <c r="G392" s="22" t="s">
        <v>19906</v>
      </c>
      <c r="H392" s="24" t="s">
        <v>19330</v>
      </c>
      <c r="I392" s="22" t="s">
        <v>19309</v>
      </c>
      <c r="J392" s="22" t="s">
        <v>19573</v>
      </c>
      <c r="K392" s="22" t="s">
        <v>19574</v>
      </c>
      <c r="L392" s="22"/>
      <c r="M392" s="22"/>
      <c r="N392" s="25" t="str">
        <f>HYPERLINK("http://slimages.macys.com/is/image/MCY/21361512 ")</f>
        <v xml:space="preserve">http://slimages.macys.com/is/image/MCY/21361512 </v>
      </c>
    </row>
    <row r="393" spans="1:14" ht="24.75" x14ac:dyDescent="0.25">
      <c r="A393" s="21" t="s">
        <v>5998</v>
      </c>
      <c r="B393" s="22" t="s">
        <v>5999</v>
      </c>
      <c r="C393" s="2">
        <v>1</v>
      </c>
      <c r="D393" s="23">
        <v>11.99</v>
      </c>
      <c r="E393" s="3">
        <v>11.99</v>
      </c>
      <c r="F393" s="2" t="s">
        <v>6000</v>
      </c>
      <c r="G393" s="22" t="s">
        <v>19338</v>
      </c>
      <c r="H393" s="24" t="s">
        <v>19361</v>
      </c>
      <c r="I393" s="22" t="s">
        <v>19309</v>
      </c>
      <c r="J393" s="22" t="s">
        <v>19908</v>
      </c>
      <c r="K393" s="22" t="s">
        <v>19524</v>
      </c>
      <c r="L393" s="22"/>
      <c r="M393" s="22"/>
      <c r="N393" s="25" t="str">
        <f>HYPERLINK("http://slimages.macys.com/is/image/MCY/20691887 ")</f>
        <v xml:space="preserve">http://slimages.macys.com/is/image/MCY/20691887 </v>
      </c>
    </row>
    <row r="394" spans="1:14" ht="24.75" x14ac:dyDescent="0.25">
      <c r="A394" s="21" t="s">
        <v>6001</v>
      </c>
      <c r="B394" s="22" t="s">
        <v>6002</v>
      </c>
      <c r="C394" s="2">
        <v>1</v>
      </c>
      <c r="D394" s="23">
        <v>8.99</v>
      </c>
      <c r="E394" s="3">
        <v>8.99</v>
      </c>
      <c r="F394" s="2" t="s">
        <v>16637</v>
      </c>
      <c r="G394" s="22" t="s">
        <v>19713</v>
      </c>
      <c r="H394" s="24" t="s">
        <v>19364</v>
      </c>
      <c r="I394" s="22" t="s">
        <v>19309</v>
      </c>
      <c r="J394" s="22" t="s">
        <v>19815</v>
      </c>
      <c r="K394" s="22" t="s">
        <v>19816</v>
      </c>
      <c r="L394" s="22"/>
      <c r="M394" s="22"/>
      <c r="N394" s="25" t="str">
        <f>HYPERLINK("http://slimages.macys.com/is/image/MCY/21769912 ")</f>
        <v xml:space="preserve">http://slimages.macys.com/is/image/MCY/21769912 </v>
      </c>
    </row>
    <row r="395" spans="1:14" ht="24.75" x14ac:dyDescent="0.25">
      <c r="A395" s="21" t="s">
        <v>6003</v>
      </c>
      <c r="B395" s="22" t="s">
        <v>6004</v>
      </c>
      <c r="C395" s="2">
        <v>1</v>
      </c>
      <c r="D395" s="23">
        <v>8.25</v>
      </c>
      <c r="E395" s="3">
        <v>8.25</v>
      </c>
      <c r="F395" s="2" t="s">
        <v>16596</v>
      </c>
      <c r="G395" s="22" t="s">
        <v>19351</v>
      </c>
      <c r="H395" s="24" t="s">
        <v>19345</v>
      </c>
      <c r="I395" s="22" t="s">
        <v>19309</v>
      </c>
      <c r="J395" s="22" t="s">
        <v>19447</v>
      </c>
      <c r="K395" s="22" t="s">
        <v>20146</v>
      </c>
      <c r="L395" s="22"/>
      <c r="M395" s="22"/>
      <c r="N395" s="25" t="str">
        <f>HYPERLINK("http://slimages.macys.com/is/image/MCY/19941190 ")</f>
        <v xml:space="preserve">http://slimages.macys.com/is/image/MCY/19941190 </v>
      </c>
    </row>
    <row r="396" spans="1:14" ht="24.75" x14ac:dyDescent="0.25">
      <c r="A396" s="21" t="s">
        <v>9920</v>
      </c>
      <c r="B396" s="22" t="s">
        <v>9921</v>
      </c>
      <c r="C396" s="2">
        <v>1</v>
      </c>
      <c r="D396" s="23">
        <v>13.27</v>
      </c>
      <c r="E396" s="3">
        <v>13.27</v>
      </c>
      <c r="F396" s="2" t="s">
        <v>12358</v>
      </c>
      <c r="G396" s="22"/>
      <c r="H396" s="24" t="s">
        <v>19324</v>
      </c>
      <c r="I396" s="22" t="s">
        <v>19309</v>
      </c>
      <c r="J396" s="22" t="s">
        <v>19708</v>
      </c>
      <c r="K396" s="22" t="s">
        <v>19754</v>
      </c>
      <c r="L396" s="22"/>
      <c r="M396" s="22"/>
      <c r="N396" s="25" t="str">
        <f>HYPERLINK("http://slimages.macys.com/is/image/MCY/21758696 ")</f>
        <v xml:space="preserve">http://slimages.macys.com/is/image/MCY/21758696 </v>
      </c>
    </row>
    <row r="397" spans="1:14" x14ac:dyDescent="0.25">
      <c r="A397" s="21" t="s">
        <v>16295</v>
      </c>
      <c r="B397" s="22" t="s">
        <v>16296</v>
      </c>
      <c r="C397" s="2">
        <v>1</v>
      </c>
      <c r="D397" s="23">
        <v>13.27</v>
      </c>
      <c r="E397" s="3">
        <v>13.27</v>
      </c>
      <c r="F397" s="2" t="s">
        <v>16292</v>
      </c>
      <c r="G397" s="22"/>
      <c r="H397" s="24" t="s">
        <v>19330</v>
      </c>
      <c r="I397" s="22" t="s">
        <v>19309</v>
      </c>
      <c r="J397" s="22" t="s">
        <v>19708</v>
      </c>
      <c r="K397" s="22" t="s">
        <v>19754</v>
      </c>
      <c r="L397" s="22"/>
      <c r="M397" s="22"/>
      <c r="N397" s="25" t="str">
        <f>HYPERLINK("http://slimages.macys.com/is/image/MCY/21758168 ")</f>
        <v xml:space="preserve">http://slimages.macys.com/is/image/MCY/21758168 </v>
      </c>
    </row>
    <row r="398" spans="1:14" ht="24.75" x14ac:dyDescent="0.25">
      <c r="A398" s="21" t="s">
        <v>13279</v>
      </c>
      <c r="B398" s="22" t="s">
        <v>13280</v>
      </c>
      <c r="C398" s="2">
        <v>1</v>
      </c>
      <c r="D398" s="23">
        <v>10.91</v>
      </c>
      <c r="E398" s="3">
        <v>10.91</v>
      </c>
      <c r="F398" s="2" t="s">
        <v>16602</v>
      </c>
      <c r="G398" s="22" t="s">
        <v>19357</v>
      </c>
      <c r="H398" s="24" t="s">
        <v>19345</v>
      </c>
      <c r="I398" s="22" t="s">
        <v>19309</v>
      </c>
      <c r="J398" s="22" t="s">
        <v>19602</v>
      </c>
      <c r="K398" s="22" t="s">
        <v>20041</v>
      </c>
      <c r="L398" s="22"/>
      <c r="M398" s="22"/>
      <c r="N398" s="25" t="str">
        <f>HYPERLINK("http://slimages.macys.com/is/image/MCY/21723141 ")</f>
        <v xml:space="preserve">http://slimages.macys.com/is/image/MCY/21723141 </v>
      </c>
    </row>
    <row r="399" spans="1:14" ht="24.75" x14ac:dyDescent="0.25">
      <c r="A399" s="21" t="s">
        <v>16603</v>
      </c>
      <c r="B399" s="22" t="s">
        <v>16604</v>
      </c>
      <c r="C399" s="2">
        <v>1</v>
      </c>
      <c r="D399" s="23">
        <v>10.91</v>
      </c>
      <c r="E399" s="3">
        <v>10.91</v>
      </c>
      <c r="F399" s="2" t="s">
        <v>16605</v>
      </c>
      <c r="G399" s="22" t="s">
        <v>19594</v>
      </c>
      <c r="H399" s="24" t="s">
        <v>19334</v>
      </c>
      <c r="I399" s="22" t="s">
        <v>19309</v>
      </c>
      <c r="J399" s="22" t="s">
        <v>19602</v>
      </c>
      <c r="K399" s="22" t="s">
        <v>20041</v>
      </c>
      <c r="L399" s="22"/>
      <c r="M399" s="22"/>
      <c r="N399" s="25" t="str">
        <f>HYPERLINK("http://slimages.macys.com/is/image/MCY/21723141 ")</f>
        <v xml:space="preserve">http://slimages.macys.com/is/image/MCY/21723141 </v>
      </c>
    </row>
    <row r="400" spans="1:14" ht="24.75" x14ac:dyDescent="0.25">
      <c r="A400" s="21" t="s">
        <v>13273</v>
      </c>
      <c r="B400" s="22" t="s">
        <v>13274</v>
      </c>
      <c r="C400" s="2">
        <v>1</v>
      </c>
      <c r="D400" s="23">
        <v>10.91</v>
      </c>
      <c r="E400" s="3">
        <v>10.91</v>
      </c>
      <c r="F400" s="2" t="s">
        <v>16599</v>
      </c>
      <c r="G400" s="22" t="s">
        <v>19323</v>
      </c>
      <c r="H400" s="24" t="s">
        <v>19345</v>
      </c>
      <c r="I400" s="22" t="s">
        <v>19309</v>
      </c>
      <c r="J400" s="22" t="s">
        <v>19602</v>
      </c>
      <c r="K400" s="22" t="s">
        <v>20041</v>
      </c>
      <c r="L400" s="22"/>
      <c r="M400" s="22"/>
      <c r="N400" s="25" t="str">
        <f>HYPERLINK("http://slimages.macys.com/is/image/MCY/21723141 ")</f>
        <v xml:space="preserve">http://slimages.macys.com/is/image/MCY/21723141 </v>
      </c>
    </row>
    <row r="401" spans="1:14" ht="24.75" x14ac:dyDescent="0.25">
      <c r="A401" s="21" t="s">
        <v>9922</v>
      </c>
      <c r="B401" s="22" t="s">
        <v>9923</v>
      </c>
      <c r="C401" s="2">
        <v>1</v>
      </c>
      <c r="D401" s="23">
        <v>10.91</v>
      </c>
      <c r="E401" s="3">
        <v>10.91</v>
      </c>
      <c r="F401" s="2" t="s">
        <v>18650</v>
      </c>
      <c r="G401" s="22"/>
      <c r="H401" s="24" t="s">
        <v>19392</v>
      </c>
      <c r="I401" s="22" t="s">
        <v>19309</v>
      </c>
      <c r="J401" s="22" t="s">
        <v>19602</v>
      </c>
      <c r="K401" s="22" t="s">
        <v>19603</v>
      </c>
      <c r="L401" s="22"/>
      <c r="M401" s="22"/>
      <c r="N401" s="25" t="str">
        <f>HYPERLINK("http://slimages.macys.com/is/image/MCY/21420990 ")</f>
        <v xml:space="preserve">http://slimages.macys.com/is/image/MCY/21420990 </v>
      </c>
    </row>
    <row r="402" spans="1:14" ht="24.75" x14ac:dyDescent="0.25">
      <c r="A402" s="21" t="s">
        <v>18648</v>
      </c>
      <c r="B402" s="22" t="s">
        <v>18649</v>
      </c>
      <c r="C402" s="2">
        <v>1</v>
      </c>
      <c r="D402" s="23">
        <v>10.91</v>
      </c>
      <c r="E402" s="3">
        <v>10.91</v>
      </c>
      <c r="F402" s="2" t="s">
        <v>18650</v>
      </c>
      <c r="G402" s="22"/>
      <c r="H402" s="24" t="s">
        <v>19334</v>
      </c>
      <c r="I402" s="22" t="s">
        <v>19309</v>
      </c>
      <c r="J402" s="22" t="s">
        <v>19602</v>
      </c>
      <c r="K402" s="22" t="s">
        <v>19603</v>
      </c>
      <c r="L402" s="22"/>
      <c r="M402" s="22"/>
      <c r="N402" s="25" t="str">
        <f>HYPERLINK("http://slimages.macys.com/is/image/MCY/21420990 ")</f>
        <v xml:space="preserve">http://slimages.macys.com/is/image/MCY/21420990 </v>
      </c>
    </row>
    <row r="403" spans="1:14" x14ac:dyDescent="0.25">
      <c r="A403" s="21" t="s">
        <v>9926</v>
      </c>
      <c r="B403" s="22" t="s">
        <v>9927</v>
      </c>
      <c r="C403" s="2">
        <v>1</v>
      </c>
      <c r="D403" s="23">
        <v>13.27</v>
      </c>
      <c r="E403" s="3">
        <v>13.27</v>
      </c>
      <c r="F403" s="2" t="s">
        <v>9928</v>
      </c>
      <c r="G403" s="22"/>
      <c r="H403" s="24" t="s">
        <v>19324</v>
      </c>
      <c r="I403" s="22" t="s">
        <v>19309</v>
      </c>
      <c r="J403" s="22" t="s">
        <v>19708</v>
      </c>
      <c r="K403" s="22" t="s">
        <v>19754</v>
      </c>
      <c r="L403" s="22"/>
      <c r="M403" s="22"/>
      <c r="N403" s="25" t="str">
        <f>HYPERLINK("http://slimages.macys.com/is/image/MCY/21414782 ")</f>
        <v xml:space="preserve">http://slimages.macys.com/is/image/MCY/21414782 </v>
      </c>
    </row>
    <row r="404" spans="1:14" ht="24.75" x14ac:dyDescent="0.25">
      <c r="A404" s="21" t="s">
        <v>6005</v>
      </c>
      <c r="B404" s="22" t="s">
        <v>6006</v>
      </c>
      <c r="C404" s="2">
        <v>2</v>
      </c>
      <c r="D404" s="23">
        <v>10.99</v>
      </c>
      <c r="E404" s="3">
        <v>21.98</v>
      </c>
      <c r="F404" s="2" t="s">
        <v>16313</v>
      </c>
      <c r="G404" s="22" t="s">
        <v>19879</v>
      </c>
      <c r="H404" s="24" t="s">
        <v>19797</v>
      </c>
      <c r="I404" s="22" t="s">
        <v>19309</v>
      </c>
      <c r="J404" s="22" t="s">
        <v>19353</v>
      </c>
      <c r="K404" s="22" t="s">
        <v>19524</v>
      </c>
      <c r="L404" s="22"/>
      <c r="M404" s="22"/>
      <c r="N404" s="25" t="str">
        <f>HYPERLINK("http://slimages.macys.com/is/image/MCY/1111487 ")</f>
        <v xml:space="preserve">http://slimages.macys.com/is/image/MCY/1111487 </v>
      </c>
    </row>
    <row r="405" spans="1:14" ht="24.75" x14ac:dyDescent="0.25">
      <c r="A405" s="21" t="s">
        <v>16311</v>
      </c>
      <c r="B405" s="22" t="s">
        <v>16312</v>
      </c>
      <c r="C405" s="2">
        <v>2</v>
      </c>
      <c r="D405" s="23">
        <v>10.99</v>
      </c>
      <c r="E405" s="3">
        <v>21.98</v>
      </c>
      <c r="F405" s="2" t="s">
        <v>16313</v>
      </c>
      <c r="G405" s="22" t="s">
        <v>19879</v>
      </c>
      <c r="H405" s="24" t="s">
        <v>19364</v>
      </c>
      <c r="I405" s="22" t="s">
        <v>19309</v>
      </c>
      <c r="J405" s="22" t="s">
        <v>19353</v>
      </c>
      <c r="K405" s="22" t="s">
        <v>19524</v>
      </c>
      <c r="L405" s="22"/>
      <c r="M405" s="22"/>
      <c r="N405" s="25" t="str">
        <f>HYPERLINK("http://slimages.macys.com/is/image/MCY/1111487 ")</f>
        <v xml:space="preserve">http://slimages.macys.com/is/image/MCY/1111487 </v>
      </c>
    </row>
    <row r="406" spans="1:14" ht="24.75" x14ac:dyDescent="0.25">
      <c r="A406" s="21" t="s">
        <v>8991</v>
      </c>
      <c r="B406" s="22" t="s">
        <v>8992</v>
      </c>
      <c r="C406" s="2">
        <v>3</v>
      </c>
      <c r="D406" s="23">
        <v>10.99</v>
      </c>
      <c r="E406" s="3">
        <v>32.97</v>
      </c>
      <c r="F406" s="2" t="s">
        <v>16313</v>
      </c>
      <c r="G406" s="22" t="s">
        <v>19879</v>
      </c>
      <c r="H406" s="24" t="s">
        <v>19352</v>
      </c>
      <c r="I406" s="22" t="s">
        <v>19309</v>
      </c>
      <c r="J406" s="22" t="s">
        <v>19353</v>
      </c>
      <c r="K406" s="22" t="s">
        <v>19524</v>
      </c>
      <c r="L406" s="22"/>
      <c r="M406" s="22"/>
      <c r="N406" s="25" t="str">
        <f>HYPERLINK("http://slimages.macys.com/is/image/MCY/20846576 ")</f>
        <v xml:space="preserve">http://slimages.macys.com/is/image/MCY/20846576 </v>
      </c>
    </row>
    <row r="407" spans="1:14" x14ac:dyDescent="0.25">
      <c r="A407" s="21" t="s">
        <v>8993</v>
      </c>
      <c r="B407" s="22" t="s">
        <v>8994</v>
      </c>
      <c r="C407" s="2">
        <v>1</v>
      </c>
      <c r="D407" s="23">
        <v>11.99</v>
      </c>
      <c r="E407" s="3">
        <v>11.99</v>
      </c>
      <c r="F407" s="2" t="s">
        <v>18663</v>
      </c>
      <c r="G407" s="22" t="s">
        <v>19585</v>
      </c>
      <c r="H407" s="24" t="s">
        <v>19797</v>
      </c>
      <c r="I407" s="22" t="s">
        <v>19309</v>
      </c>
      <c r="J407" s="22" t="s">
        <v>19849</v>
      </c>
      <c r="K407" s="22" t="s">
        <v>19850</v>
      </c>
      <c r="L407" s="22"/>
      <c r="M407" s="22"/>
      <c r="N407" s="25" t="str">
        <f>HYPERLINK("http://slimages.macys.com/is/image/MCY/20752422 ")</f>
        <v xml:space="preserve">http://slimages.macys.com/is/image/MCY/20752422 </v>
      </c>
    </row>
    <row r="408" spans="1:14" x14ac:dyDescent="0.25">
      <c r="A408" s="21" t="s">
        <v>6007</v>
      </c>
      <c r="B408" s="22" t="s">
        <v>6008</v>
      </c>
      <c r="C408" s="2">
        <v>1</v>
      </c>
      <c r="D408" s="23">
        <v>10.23</v>
      </c>
      <c r="E408" s="3">
        <v>10.23</v>
      </c>
      <c r="F408" s="2" t="s">
        <v>6009</v>
      </c>
      <c r="G408" s="22" t="s">
        <v>19315</v>
      </c>
      <c r="H408" s="24" t="s">
        <v>19432</v>
      </c>
      <c r="I408" s="22" t="s">
        <v>19309</v>
      </c>
      <c r="J408" s="22" t="s">
        <v>19514</v>
      </c>
      <c r="K408" s="22" t="s">
        <v>19406</v>
      </c>
      <c r="L408" s="22"/>
      <c r="M408" s="22"/>
      <c r="N408" s="25" t="str">
        <f>HYPERLINK("http://slimages.macys.com/is/image/MCY/19772038 ")</f>
        <v xml:space="preserve">http://slimages.macys.com/is/image/MCY/19772038 </v>
      </c>
    </row>
    <row r="409" spans="1:14" ht="24.75" x14ac:dyDescent="0.25">
      <c r="A409" s="21" t="s">
        <v>6010</v>
      </c>
      <c r="B409" s="22" t="s">
        <v>6011</v>
      </c>
      <c r="C409" s="2">
        <v>1</v>
      </c>
      <c r="D409" s="23">
        <v>7.99</v>
      </c>
      <c r="E409" s="3">
        <v>7.99</v>
      </c>
      <c r="F409" s="2" t="s">
        <v>6012</v>
      </c>
      <c r="G409" s="22" t="s">
        <v>19315</v>
      </c>
      <c r="H409" s="24" t="s">
        <v>19339</v>
      </c>
      <c r="I409" s="22" t="s">
        <v>19309</v>
      </c>
      <c r="J409" s="22" t="s">
        <v>19447</v>
      </c>
      <c r="K409" s="22" t="s">
        <v>19873</v>
      </c>
      <c r="L409" s="22"/>
      <c r="M409" s="22"/>
      <c r="N409" s="25" t="str">
        <f>HYPERLINK("http://slimages.macys.com/is/image/MCY/19835146 ")</f>
        <v xml:space="preserve">http://slimages.macys.com/is/image/MCY/19835146 </v>
      </c>
    </row>
    <row r="410" spans="1:14" x14ac:dyDescent="0.25">
      <c r="A410" s="21" t="s">
        <v>6013</v>
      </c>
      <c r="B410" s="22" t="s">
        <v>6014</v>
      </c>
      <c r="C410" s="2">
        <v>1</v>
      </c>
      <c r="D410" s="23">
        <v>7.99</v>
      </c>
      <c r="E410" s="3">
        <v>7.99</v>
      </c>
      <c r="F410" s="2" t="s">
        <v>16643</v>
      </c>
      <c r="G410" s="22" t="s">
        <v>19467</v>
      </c>
      <c r="H410" s="24" t="s">
        <v>19364</v>
      </c>
      <c r="I410" s="22" t="s">
        <v>19309</v>
      </c>
      <c r="J410" s="22" t="s">
        <v>19310</v>
      </c>
      <c r="K410" s="22" t="s">
        <v>19873</v>
      </c>
      <c r="L410" s="22"/>
      <c r="M410" s="22"/>
      <c r="N410" s="25" t="str">
        <f>HYPERLINK("http://slimages.macys.com/is/image/MCY/19933432 ")</f>
        <v xml:space="preserve">http://slimages.macys.com/is/image/MCY/19933432 </v>
      </c>
    </row>
    <row r="411" spans="1:14" x14ac:dyDescent="0.25">
      <c r="A411" s="21" t="s">
        <v>6015</v>
      </c>
      <c r="B411" s="22" t="s">
        <v>6016</v>
      </c>
      <c r="C411" s="2">
        <v>1</v>
      </c>
      <c r="D411" s="23">
        <v>7.99</v>
      </c>
      <c r="E411" s="3">
        <v>7.99</v>
      </c>
      <c r="F411" s="2" t="s">
        <v>6017</v>
      </c>
      <c r="G411" s="22" t="s">
        <v>19467</v>
      </c>
      <c r="H411" s="24" t="s">
        <v>19364</v>
      </c>
      <c r="I411" s="22" t="s">
        <v>19309</v>
      </c>
      <c r="J411" s="22" t="s">
        <v>19310</v>
      </c>
      <c r="K411" s="22" t="s">
        <v>19873</v>
      </c>
      <c r="L411" s="22"/>
      <c r="M411" s="22"/>
      <c r="N411" s="25" t="str">
        <f>HYPERLINK("http://slimages.macys.com/is/image/MCY/20004944 ")</f>
        <v xml:space="preserve">http://slimages.macys.com/is/image/MCY/20004944 </v>
      </c>
    </row>
    <row r="412" spans="1:14" x14ac:dyDescent="0.25">
      <c r="A412" s="21" t="s">
        <v>6018</v>
      </c>
      <c r="B412" s="22" t="s">
        <v>6019</v>
      </c>
      <c r="C412" s="2">
        <v>1</v>
      </c>
      <c r="D412" s="23">
        <v>7.99</v>
      </c>
      <c r="E412" s="3">
        <v>7.99</v>
      </c>
      <c r="F412" s="2" t="s">
        <v>6020</v>
      </c>
      <c r="G412" s="22" t="s">
        <v>19351</v>
      </c>
      <c r="H412" s="24" t="s">
        <v>19364</v>
      </c>
      <c r="I412" s="22" t="s">
        <v>19309</v>
      </c>
      <c r="J412" s="22" t="s">
        <v>19310</v>
      </c>
      <c r="K412" s="22" t="s">
        <v>19873</v>
      </c>
      <c r="L412" s="22"/>
      <c r="M412" s="22"/>
      <c r="N412" s="25" t="str">
        <f>HYPERLINK("http://slimages.macys.com/is/image/MCY/20005200 ")</f>
        <v xml:space="preserve">http://slimages.macys.com/is/image/MCY/20005200 </v>
      </c>
    </row>
    <row r="413" spans="1:14" x14ac:dyDescent="0.25">
      <c r="A413" s="21" t="s">
        <v>6021</v>
      </c>
      <c r="B413" s="22" t="s">
        <v>6022</v>
      </c>
      <c r="C413" s="2">
        <v>1</v>
      </c>
      <c r="D413" s="23">
        <v>7.99</v>
      </c>
      <c r="E413" s="3">
        <v>7.99</v>
      </c>
      <c r="F413" s="2" t="s">
        <v>6020</v>
      </c>
      <c r="G413" s="22" t="s">
        <v>19333</v>
      </c>
      <c r="H413" s="24" t="s">
        <v>19364</v>
      </c>
      <c r="I413" s="22" t="s">
        <v>19309</v>
      </c>
      <c r="J413" s="22" t="s">
        <v>19310</v>
      </c>
      <c r="K413" s="22" t="s">
        <v>19873</v>
      </c>
      <c r="L413" s="22"/>
      <c r="M413" s="22"/>
      <c r="N413" s="25" t="str">
        <f>HYPERLINK("http://slimages.macys.com/is/image/MCY/20005200 ")</f>
        <v xml:space="preserve">http://slimages.macys.com/is/image/MCY/20005200 </v>
      </c>
    </row>
    <row r="414" spans="1:14" x14ac:dyDescent="0.25">
      <c r="A414" s="21" t="s">
        <v>12375</v>
      </c>
      <c r="B414" s="22" t="s">
        <v>12376</v>
      </c>
      <c r="C414" s="2">
        <v>1</v>
      </c>
      <c r="D414" s="23">
        <v>12.99</v>
      </c>
      <c r="E414" s="3">
        <v>12.99</v>
      </c>
      <c r="F414" s="2" t="s">
        <v>12374</v>
      </c>
      <c r="G414" s="22" t="s">
        <v>19674</v>
      </c>
      <c r="H414" s="24" t="s">
        <v>19361</v>
      </c>
      <c r="I414" s="22" t="s">
        <v>19309</v>
      </c>
      <c r="J414" s="22" t="s">
        <v>19849</v>
      </c>
      <c r="K414" s="22" t="s">
        <v>19850</v>
      </c>
      <c r="L414" s="22"/>
      <c r="M414" s="22"/>
      <c r="N414" s="25" t="str">
        <f>HYPERLINK("http://slimages.macys.com/is/image/MCY/21270325 ")</f>
        <v xml:space="preserve">http://slimages.macys.com/is/image/MCY/21270325 </v>
      </c>
    </row>
    <row r="415" spans="1:14" x14ac:dyDescent="0.25">
      <c r="A415" s="21" t="s">
        <v>12372</v>
      </c>
      <c r="B415" s="22" t="s">
        <v>12373</v>
      </c>
      <c r="C415" s="2">
        <v>1</v>
      </c>
      <c r="D415" s="23">
        <v>12.99</v>
      </c>
      <c r="E415" s="3">
        <v>12.99</v>
      </c>
      <c r="F415" s="2" t="s">
        <v>12374</v>
      </c>
      <c r="G415" s="22" t="s">
        <v>19674</v>
      </c>
      <c r="H415" s="24" t="s">
        <v>19542</v>
      </c>
      <c r="I415" s="22" t="s">
        <v>19309</v>
      </c>
      <c r="J415" s="22" t="s">
        <v>19849</v>
      </c>
      <c r="K415" s="22" t="s">
        <v>19850</v>
      </c>
      <c r="L415" s="22"/>
      <c r="M415" s="22"/>
      <c r="N415" s="25" t="str">
        <f>HYPERLINK("http://slimages.macys.com/is/image/MCY/21270325 ")</f>
        <v xml:space="preserve">http://slimages.macys.com/is/image/MCY/21270325 </v>
      </c>
    </row>
    <row r="416" spans="1:14" x14ac:dyDescent="0.25">
      <c r="A416" s="21" t="s">
        <v>6023</v>
      </c>
      <c r="B416" s="22" t="s">
        <v>6024</v>
      </c>
      <c r="C416" s="2">
        <v>2</v>
      </c>
      <c r="D416" s="23">
        <v>12.99</v>
      </c>
      <c r="E416" s="3">
        <v>25.98</v>
      </c>
      <c r="F416" s="2" t="s">
        <v>12374</v>
      </c>
      <c r="G416" s="22" t="s">
        <v>19674</v>
      </c>
      <c r="H416" s="24" t="s">
        <v>20089</v>
      </c>
      <c r="I416" s="22" t="s">
        <v>19309</v>
      </c>
      <c r="J416" s="22" t="s">
        <v>19849</v>
      </c>
      <c r="K416" s="22" t="s">
        <v>19850</v>
      </c>
      <c r="L416" s="22"/>
      <c r="M416" s="22"/>
      <c r="N416" s="25" t="str">
        <f>HYPERLINK("http://slimages.macys.com/is/image/MCY/21270325 ")</f>
        <v xml:space="preserve">http://slimages.macys.com/is/image/MCY/21270325 </v>
      </c>
    </row>
    <row r="417" spans="1:14" ht="24.75" x14ac:dyDescent="0.25">
      <c r="A417" s="21" t="s">
        <v>18675</v>
      </c>
      <c r="B417" s="22" t="s">
        <v>18676</v>
      </c>
      <c r="C417" s="2">
        <v>1</v>
      </c>
      <c r="D417" s="23">
        <v>9.99</v>
      </c>
      <c r="E417" s="3">
        <v>9.99</v>
      </c>
      <c r="F417" s="2">
        <v>10015240800</v>
      </c>
      <c r="G417" s="22" t="s">
        <v>19351</v>
      </c>
      <c r="H417" s="24"/>
      <c r="I417" s="22" t="s">
        <v>19309</v>
      </c>
      <c r="J417" s="22" t="s">
        <v>19573</v>
      </c>
      <c r="K417" s="22" t="s">
        <v>19574</v>
      </c>
      <c r="L417" s="22"/>
      <c r="M417" s="22"/>
      <c r="N417" s="25" t="str">
        <f>HYPERLINK("http://slimages.macys.com/is/image/MCY/2023449 ")</f>
        <v xml:space="preserve">http://slimages.macys.com/is/image/MCY/2023449 </v>
      </c>
    </row>
    <row r="418" spans="1:14" ht="24.75" x14ac:dyDescent="0.25">
      <c r="A418" s="21" t="s">
        <v>18673</v>
      </c>
      <c r="B418" s="22" t="s">
        <v>18674</v>
      </c>
      <c r="C418" s="2">
        <v>1</v>
      </c>
      <c r="D418" s="23">
        <v>9.99</v>
      </c>
      <c r="E418" s="3">
        <v>9.99</v>
      </c>
      <c r="F418" s="2">
        <v>10015240700</v>
      </c>
      <c r="G418" s="22" t="s">
        <v>19315</v>
      </c>
      <c r="H418" s="24"/>
      <c r="I418" s="22" t="s">
        <v>19309</v>
      </c>
      <c r="J418" s="22" t="s">
        <v>19573</v>
      </c>
      <c r="K418" s="22" t="s">
        <v>19574</v>
      </c>
      <c r="L418" s="22"/>
      <c r="M418" s="22"/>
      <c r="N418" s="25" t="str">
        <f>HYPERLINK("http://slimages.macys.com/is/image/MCY/2023449 ")</f>
        <v xml:space="preserve">http://slimages.macys.com/is/image/MCY/2023449 </v>
      </c>
    </row>
    <row r="419" spans="1:14" ht="24.75" x14ac:dyDescent="0.25">
      <c r="A419" s="21" t="s">
        <v>18692</v>
      </c>
      <c r="B419" s="22" t="s">
        <v>18693</v>
      </c>
      <c r="C419" s="2">
        <v>1</v>
      </c>
      <c r="D419" s="23">
        <v>9.99</v>
      </c>
      <c r="E419" s="3">
        <v>9.99</v>
      </c>
      <c r="F419" s="2" t="s">
        <v>18689</v>
      </c>
      <c r="G419" s="22" t="s">
        <v>19351</v>
      </c>
      <c r="H419" s="24" t="s">
        <v>19538</v>
      </c>
      <c r="I419" s="22" t="s">
        <v>19309</v>
      </c>
      <c r="J419" s="22" t="s">
        <v>19573</v>
      </c>
      <c r="K419" s="22" t="s">
        <v>19574</v>
      </c>
      <c r="L419" s="22"/>
      <c r="M419" s="22"/>
      <c r="N419" s="25" t="str">
        <f>HYPERLINK("http://slimages.macys.com/is/image/MCY/1679025 ")</f>
        <v xml:space="preserve">http://slimages.macys.com/is/image/MCY/1679025 </v>
      </c>
    </row>
    <row r="420" spans="1:14" x14ac:dyDescent="0.25">
      <c r="A420" s="21" t="s">
        <v>6025</v>
      </c>
      <c r="B420" s="22" t="s">
        <v>6026</v>
      </c>
      <c r="C420" s="2">
        <v>1</v>
      </c>
      <c r="D420" s="23">
        <v>11.93</v>
      </c>
      <c r="E420" s="3">
        <v>11.93</v>
      </c>
      <c r="F420" s="2" t="s">
        <v>16333</v>
      </c>
      <c r="G420" s="22" t="s">
        <v>19357</v>
      </c>
      <c r="H420" s="24" t="s">
        <v>20159</v>
      </c>
      <c r="I420" s="22" t="s">
        <v>19309</v>
      </c>
      <c r="J420" s="22" t="s">
        <v>19708</v>
      </c>
      <c r="K420" s="22" t="s">
        <v>19709</v>
      </c>
      <c r="L420" s="22"/>
      <c r="M420" s="22"/>
      <c r="N420" s="25" t="str">
        <f>HYPERLINK("http://slimages.macys.com/is/image/MCY/21726492 ")</f>
        <v xml:space="preserve">http://slimages.macys.com/is/image/MCY/21726492 </v>
      </c>
    </row>
    <row r="421" spans="1:14" ht="24.75" x14ac:dyDescent="0.25">
      <c r="A421" s="21" t="s">
        <v>8447</v>
      </c>
      <c r="B421" s="22" t="s">
        <v>8448</v>
      </c>
      <c r="C421" s="2">
        <v>18</v>
      </c>
      <c r="D421" s="23">
        <v>13.99</v>
      </c>
      <c r="E421" s="3">
        <v>251.82</v>
      </c>
      <c r="F421" s="2" t="s">
        <v>16688</v>
      </c>
      <c r="G421" s="22" t="s">
        <v>19518</v>
      </c>
      <c r="H421" s="24" t="s">
        <v>19538</v>
      </c>
      <c r="I421" s="22" t="s">
        <v>19309</v>
      </c>
      <c r="J421" s="22" t="s">
        <v>19573</v>
      </c>
      <c r="K421" s="22" t="s">
        <v>19574</v>
      </c>
      <c r="L421" s="22"/>
      <c r="M421" s="22"/>
      <c r="N421" s="25" t="str">
        <f>HYPERLINK("http://slimages.macys.com/is/image/MCY/1554876 ")</f>
        <v xml:space="preserve">http://slimages.macys.com/is/image/MCY/1554876 </v>
      </c>
    </row>
    <row r="422" spans="1:14" ht="24.75" x14ac:dyDescent="0.25">
      <c r="A422" s="21" t="s">
        <v>16686</v>
      </c>
      <c r="B422" s="22" t="s">
        <v>16687</v>
      </c>
      <c r="C422" s="2">
        <v>18</v>
      </c>
      <c r="D422" s="23">
        <v>13.99</v>
      </c>
      <c r="E422" s="3">
        <v>251.82</v>
      </c>
      <c r="F422" s="2" t="s">
        <v>16688</v>
      </c>
      <c r="G422" s="22" t="s">
        <v>19518</v>
      </c>
      <c r="H422" s="24" t="s">
        <v>19384</v>
      </c>
      <c r="I422" s="22" t="s">
        <v>19309</v>
      </c>
      <c r="J422" s="22" t="s">
        <v>19573</v>
      </c>
      <c r="K422" s="22" t="s">
        <v>19574</v>
      </c>
      <c r="L422" s="22"/>
      <c r="M422" s="22"/>
      <c r="N422" s="25" t="str">
        <f>HYPERLINK("http://slimages.macys.com/is/image/MCY/21361108 ")</f>
        <v xml:space="preserve">http://slimages.macys.com/is/image/MCY/21361108 </v>
      </c>
    </row>
    <row r="423" spans="1:14" ht="24.75" x14ac:dyDescent="0.25">
      <c r="A423" s="21" t="s">
        <v>6027</v>
      </c>
      <c r="B423" s="22" t="s">
        <v>6028</v>
      </c>
      <c r="C423" s="2">
        <v>1</v>
      </c>
      <c r="D423" s="23">
        <v>10.99</v>
      </c>
      <c r="E423" s="3">
        <v>10.99</v>
      </c>
      <c r="F423" s="2" t="s">
        <v>6029</v>
      </c>
      <c r="G423" s="22" t="s">
        <v>19814</v>
      </c>
      <c r="H423" s="24" t="s">
        <v>19352</v>
      </c>
      <c r="I423" s="22" t="s">
        <v>19309</v>
      </c>
      <c r="J423" s="22" t="s">
        <v>19353</v>
      </c>
      <c r="K423" s="22" t="s">
        <v>19524</v>
      </c>
      <c r="L423" s="22"/>
      <c r="M423" s="22"/>
      <c r="N423" s="25" t="str">
        <f>HYPERLINK("http://slimages.macys.com/is/image/MCY/21083372 ")</f>
        <v xml:space="preserve">http://slimages.macys.com/is/image/MCY/21083372 </v>
      </c>
    </row>
    <row r="424" spans="1:14" ht="24.75" x14ac:dyDescent="0.25">
      <c r="A424" s="21" t="s">
        <v>7757</v>
      </c>
      <c r="B424" s="22" t="s">
        <v>7758</v>
      </c>
      <c r="C424" s="2">
        <v>1</v>
      </c>
      <c r="D424" s="23">
        <v>7.99</v>
      </c>
      <c r="E424" s="3">
        <v>7.99</v>
      </c>
      <c r="F424" s="2" t="s">
        <v>7759</v>
      </c>
      <c r="G424" s="22" t="s">
        <v>19351</v>
      </c>
      <c r="H424" s="24" t="s">
        <v>19377</v>
      </c>
      <c r="I424" s="22" t="s">
        <v>19309</v>
      </c>
      <c r="J424" s="22" t="s">
        <v>19447</v>
      </c>
      <c r="K424" s="22" t="s">
        <v>20146</v>
      </c>
      <c r="L424" s="22"/>
      <c r="M424" s="22"/>
      <c r="N424" s="25" t="str">
        <f>HYPERLINK("http://slimages.macys.com/is/image/MCY/19091743 ")</f>
        <v xml:space="preserve">http://slimages.macys.com/is/image/MCY/19091743 </v>
      </c>
    </row>
    <row r="425" spans="1:14" ht="24.75" x14ac:dyDescent="0.25">
      <c r="A425" s="21" t="s">
        <v>9018</v>
      </c>
      <c r="B425" s="22" t="s">
        <v>9019</v>
      </c>
      <c r="C425" s="2">
        <v>1</v>
      </c>
      <c r="D425" s="23">
        <v>7.99</v>
      </c>
      <c r="E425" s="3">
        <v>7.99</v>
      </c>
      <c r="F425" s="2" t="s">
        <v>18717</v>
      </c>
      <c r="G425" s="22" t="s">
        <v>19906</v>
      </c>
      <c r="H425" s="24" t="s">
        <v>19542</v>
      </c>
      <c r="I425" s="22" t="s">
        <v>19309</v>
      </c>
      <c r="J425" s="22" t="s">
        <v>19849</v>
      </c>
      <c r="K425" s="22" t="s">
        <v>19850</v>
      </c>
      <c r="L425" s="22"/>
      <c r="M425" s="22"/>
      <c r="N425" s="25" t="str">
        <f>HYPERLINK("http://slimages.macys.com/is/image/MCY/1928300 ")</f>
        <v xml:space="preserve">http://slimages.macys.com/is/image/MCY/1928300 </v>
      </c>
    </row>
    <row r="426" spans="1:14" x14ac:dyDescent="0.25">
      <c r="A426" s="21" t="s">
        <v>6030</v>
      </c>
      <c r="B426" s="22" t="s">
        <v>6031</v>
      </c>
      <c r="C426" s="2">
        <v>1</v>
      </c>
      <c r="D426" s="23">
        <v>6.99</v>
      </c>
      <c r="E426" s="3">
        <v>6.99</v>
      </c>
      <c r="F426" s="2" t="s">
        <v>9970</v>
      </c>
      <c r="G426" s="22" t="s">
        <v>19801</v>
      </c>
      <c r="H426" s="24" t="s">
        <v>19432</v>
      </c>
      <c r="I426" s="22" t="s">
        <v>19309</v>
      </c>
      <c r="J426" s="22" t="s">
        <v>19310</v>
      </c>
      <c r="K426" s="22" t="s">
        <v>19468</v>
      </c>
      <c r="L426" s="22"/>
      <c r="M426" s="22"/>
      <c r="N426" s="25" t="str">
        <f>HYPERLINK("http://slimages.macys.com/is/image/MCY/21184212 ")</f>
        <v xml:space="preserve">http://slimages.macys.com/is/image/MCY/21184212 </v>
      </c>
    </row>
    <row r="427" spans="1:14" ht="24.75" x14ac:dyDescent="0.25">
      <c r="A427" s="21" t="s">
        <v>6940</v>
      </c>
      <c r="B427" s="22" t="s">
        <v>6941</v>
      </c>
      <c r="C427" s="2">
        <v>1</v>
      </c>
      <c r="D427" s="23">
        <v>10.99</v>
      </c>
      <c r="E427" s="3">
        <v>10.99</v>
      </c>
      <c r="F427" s="2" t="s">
        <v>13946</v>
      </c>
      <c r="G427" s="22" t="s">
        <v>19674</v>
      </c>
      <c r="H427" s="24" t="s">
        <v>19352</v>
      </c>
      <c r="I427" s="22" t="s">
        <v>19309</v>
      </c>
      <c r="J427" s="22" t="s">
        <v>19353</v>
      </c>
      <c r="K427" s="22" t="s">
        <v>19524</v>
      </c>
      <c r="L427" s="22"/>
      <c r="M427" s="22"/>
      <c r="N427" s="25" t="str">
        <f>HYPERLINK("http://slimages.macys.com/is/image/MCY/21083376 ")</f>
        <v xml:space="preserve">http://slimages.macys.com/is/image/MCY/21083376 </v>
      </c>
    </row>
    <row r="428" spans="1:14" ht="24.75" x14ac:dyDescent="0.25">
      <c r="A428" s="21" t="s">
        <v>8321</v>
      </c>
      <c r="B428" s="22" t="s">
        <v>8322</v>
      </c>
      <c r="C428" s="2">
        <v>1</v>
      </c>
      <c r="D428" s="23">
        <v>10.99</v>
      </c>
      <c r="E428" s="3">
        <v>10.99</v>
      </c>
      <c r="F428" s="2" t="s">
        <v>13319</v>
      </c>
      <c r="G428" s="22" t="s">
        <v>19415</v>
      </c>
      <c r="H428" s="24" t="s">
        <v>19364</v>
      </c>
      <c r="I428" s="22" t="s">
        <v>19309</v>
      </c>
      <c r="J428" s="22" t="s">
        <v>19353</v>
      </c>
      <c r="K428" s="22" t="s">
        <v>19524</v>
      </c>
      <c r="L428" s="22"/>
      <c r="M428" s="22"/>
      <c r="N428" s="25" t="str">
        <f>HYPERLINK("http://slimages.macys.com/is/image/MCY/21083368 ")</f>
        <v xml:space="preserve">http://slimages.macys.com/is/image/MCY/21083368 </v>
      </c>
    </row>
    <row r="429" spans="1:14" ht="24.75" x14ac:dyDescent="0.25">
      <c r="A429" s="21" t="s">
        <v>9629</v>
      </c>
      <c r="B429" s="22" t="s">
        <v>9630</v>
      </c>
      <c r="C429" s="2">
        <v>1</v>
      </c>
      <c r="D429" s="23">
        <v>10.99</v>
      </c>
      <c r="E429" s="3">
        <v>10.99</v>
      </c>
      <c r="F429" s="2" t="s">
        <v>13319</v>
      </c>
      <c r="G429" s="22" t="s">
        <v>19415</v>
      </c>
      <c r="H429" s="24" t="s">
        <v>19339</v>
      </c>
      <c r="I429" s="22" t="s">
        <v>19309</v>
      </c>
      <c r="J429" s="22" t="s">
        <v>19353</v>
      </c>
      <c r="K429" s="22" t="s">
        <v>19524</v>
      </c>
      <c r="L429" s="22"/>
      <c r="M429" s="22"/>
      <c r="N429" s="25" t="str">
        <f>HYPERLINK("http://slimages.macys.com/is/image/MCY/21083368 ")</f>
        <v xml:space="preserve">http://slimages.macys.com/is/image/MCY/21083368 </v>
      </c>
    </row>
    <row r="430" spans="1:14" ht="24.75" x14ac:dyDescent="0.25">
      <c r="A430" s="21" t="s">
        <v>6032</v>
      </c>
      <c r="B430" s="22" t="s">
        <v>6033</v>
      </c>
      <c r="C430" s="2">
        <v>1</v>
      </c>
      <c r="D430" s="23">
        <v>10.99</v>
      </c>
      <c r="E430" s="3">
        <v>10.99</v>
      </c>
      <c r="F430" s="2" t="s">
        <v>13319</v>
      </c>
      <c r="G430" s="22" t="s">
        <v>19415</v>
      </c>
      <c r="H430" s="24" t="s">
        <v>19352</v>
      </c>
      <c r="I430" s="22" t="s">
        <v>19309</v>
      </c>
      <c r="J430" s="22" t="s">
        <v>19353</v>
      </c>
      <c r="K430" s="22" t="s">
        <v>19524</v>
      </c>
      <c r="L430" s="22"/>
      <c r="M430" s="22"/>
      <c r="N430" s="25" t="str">
        <f>HYPERLINK("http://slimages.macys.com/is/image/MCY/21083368 ")</f>
        <v xml:space="preserve">http://slimages.macys.com/is/image/MCY/21083368 </v>
      </c>
    </row>
    <row r="431" spans="1:14" ht="24.75" x14ac:dyDescent="0.25">
      <c r="A431" s="21" t="s">
        <v>6034</v>
      </c>
      <c r="B431" s="22" t="s">
        <v>6035</v>
      </c>
      <c r="C431" s="2">
        <v>1</v>
      </c>
      <c r="D431" s="23">
        <v>18.11</v>
      </c>
      <c r="E431" s="3">
        <v>18.11</v>
      </c>
      <c r="F431" s="2" t="s">
        <v>6944</v>
      </c>
      <c r="G431" s="22" t="s">
        <v>19333</v>
      </c>
      <c r="H431" s="24" t="s">
        <v>19352</v>
      </c>
      <c r="I431" s="22" t="s">
        <v>19309</v>
      </c>
      <c r="J431" s="22" t="s">
        <v>19353</v>
      </c>
      <c r="K431" s="22" t="s">
        <v>19524</v>
      </c>
      <c r="L431" s="22"/>
      <c r="M431" s="22"/>
      <c r="N431" s="25" t="str">
        <f>HYPERLINK("http://slimages.macys.com/is/image/MCY/21083381 ")</f>
        <v xml:space="preserve">http://slimages.macys.com/is/image/MCY/21083381 </v>
      </c>
    </row>
    <row r="432" spans="1:14" ht="24.75" x14ac:dyDescent="0.25">
      <c r="A432" s="21" t="s">
        <v>13952</v>
      </c>
      <c r="B432" s="22" t="s">
        <v>13953</v>
      </c>
      <c r="C432" s="2">
        <v>1</v>
      </c>
      <c r="D432" s="23">
        <v>10.99</v>
      </c>
      <c r="E432" s="3">
        <v>10.99</v>
      </c>
      <c r="F432" s="2" t="s">
        <v>13951</v>
      </c>
      <c r="G432" s="22" t="s">
        <v>19618</v>
      </c>
      <c r="H432" s="24" t="s">
        <v>19352</v>
      </c>
      <c r="I432" s="22" t="s">
        <v>19309</v>
      </c>
      <c r="J432" s="22" t="s">
        <v>19353</v>
      </c>
      <c r="K432" s="22" t="s">
        <v>19524</v>
      </c>
      <c r="L432" s="22"/>
      <c r="M432" s="22"/>
      <c r="N432" s="25" t="str">
        <f>HYPERLINK("http://slimages.macys.com/is/image/MCY/21694521 ")</f>
        <v xml:space="preserve">http://slimages.macys.com/is/image/MCY/21694521 </v>
      </c>
    </row>
    <row r="433" spans="1:14" ht="24.75" x14ac:dyDescent="0.25">
      <c r="A433" s="21" t="s">
        <v>12403</v>
      </c>
      <c r="B433" s="22" t="s">
        <v>12404</v>
      </c>
      <c r="C433" s="2">
        <v>1</v>
      </c>
      <c r="D433" s="23">
        <v>10.99</v>
      </c>
      <c r="E433" s="3">
        <v>10.99</v>
      </c>
      <c r="F433" s="2" t="s">
        <v>13316</v>
      </c>
      <c r="G433" s="22" t="s">
        <v>19351</v>
      </c>
      <c r="H433" s="24" t="s">
        <v>19364</v>
      </c>
      <c r="I433" s="22" t="s">
        <v>19309</v>
      </c>
      <c r="J433" s="22" t="s">
        <v>19353</v>
      </c>
      <c r="K433" s="22" t="s">
        <v>19524</v>
      </c>
      <c r="L433" s="22"/>
      <c r="M433" s="22"/>
      <c r="N433" s="25" t="str">
        <f>HYPERLINK("http://slimages.macys.com/is/image/MCY/21083383 ")</f>
        <v xml:space="preserve">http://slimages.macys.com/is/image/MCY/21083383 </v>
      </c>
    </row>
    <row r="434" spans="1:14" ht="24.75" x14ac:dyDescent="0.25">
      <c r="A434" s="21" t="s">
        <v>6036</v>
      </c>
      <c r="B434" s="22" t="s">
        <v>6037</v>
      </c>
      <c r="C434" s="2">
        <v>1</v>
      </c>
      <c r="D434" s="23">
        <v>10.99</v>
      </c>
      <c r="E434" s="3">
        <v>10.99</v>
      </c>
      <c r="F434" s="2" t="s">
        <v>13319</v>
      </c>
      <c r="G434" s="22" t="s">
        <v>19333</v>
      </c>
      <c r="H434" s="24" t="s">
        <v>19797</v>
      </c>
      <c r="I434" s="22" t="s">
        <v>19309</v>
      </c>
      <c r="J434" s="22" t="s">
        <v>19353</v>
      </c>
      <c r="K434" s="22" t="s">
        <v>19524</v>
      </c>
      <c r="L434" s="22"/>
      <c r="M434" s="22"/>
      <c r="N434" s="25" t="str">
        <f>HYPERLINK("http://slimages.macys.com/is/image/MCY/21083368 ")</f>
        <v xml:space="preserve">http://slimages.macys.com/is/image/MCY/21083368 </v>
      </c>
    </row>
    <row r="435" spans="1:14" ht="24.75" x14ac:dyDescent="0.25">
      <c r="A435" s="21" t="s">
        <v>6038</v>
      </c>
      <c r="B435" s="22" t="s">
        <v>6039</v>
      </c>
      <c r="C435" s="2">
        <v>1</v>
      </c>
      <c r="D435" s="23">
        <v>10.99</v>
      </c>
      <c r="E435" s="3">
        <v>10.99</v>
      </c>
      <c r="F435" s="2" t="s">
        <v>6944</v>
      </c>
      <c r="G435" s="22" t="s">
        <v>19333</v>
      </c>
      <c r="H435" s="24" t="s">
        <v>19339</v>
      </c>
      <c r="I435" s="22" t="s">
        <v>19309</v>
      </c>
      <c r="J435" s="22" t="s">
        <v>19353</v>
      </c>
      <c r="K435" s="22" t="s">
        <v>19524</v>
      </c>
      <c r="L435" s="22"/>
      <c r="M435" s="22"/>
      <c r="N435" s="25" t="str">
        <f>HYPERLINK("http://slimages.macys.com/is/image/MCY/21083381 ")</f>
        <v xml:space="preserve">http://slimages.macys.com/is/image/MCY/21083381 </v>
      </c>
    </row>
    <row r="436" spans="1:14" ht="24.75" x14ac:dyDescent="0.25">
      <c r="A436" s="21" t="s">
        <v>6040</v>
      </c>
      <c r="B436" s="22" t="s">
        <v>6041</v>
      </c>
      <c r="C436" s="2">
        <v>1</v>
      </c>
      <c r="D436" s="23">
        <v>18.11</v>
      </c>
      <c r="E436" s="3">
        <v>18.11</v>
      </c>
      <c r="F436" s="2" t="s">
        <v>13319</v>
      </c>
      <c r="G436" s="22" t="s">
        <v>19415</v>
      </c>
      <c r="H436" s="24" t="s">
        <v>19797</v>
      </c>
      <c r="I436" s="22" t="s">
        <v>19309</v>
      </c>
      <c r="J436" s="22" t="s">
        <v>19353</v>
      </c>
      <c r="K436" s="22" t="s">
        <v>19524</v>
      </c>
      <c r="L436" s="22"/>
      <c r="M436" s="22"/>
      <c r="N436" s="25" t="str">
        <f>HYPERLINK("http://slimages.macys.com/is/image/MCY/21083368 ")</f>
        <v xml:space="preserve">http://slimages.macys.com/is/image/MCY/21083368 </v>
      </c>
    </row>
    <row r="437" spans="1:14" x14ac:dyDescent="0.25">
      <c r="A437" s="21" t="s">
        <v>6042</v>
      </c>
      <c r="B437" s="22" t="s">
        <v>6043</v>
      </c>
      <c r="C437" s="2">
        <v>2</v>
      </c>
      <c r="D437" s="23">
        <v>9.99</v>
      </c>
      <c r="E437" s="3">
        <v>19.98</v>
      </c>
      <c r="F437" s="2" t="s">
        <v>6044</v>
      </c>
      <c r="G437" s="22" t="s">
        <v>19670</v>
      </c>
      <c r="H437" s="24" t="s">
        <v>19377</v>
      </c>
      <c r="I437" s="22" t="s">
        <v>19309</v>
      </c>
      <c r="J437" s="22" t="s">
        <v>19849</v>
      </c>
      <c r="K437" s="22" t="s">
        <v>19850</v>
      </c>
      <c r="L437" s="22"/>
      <c r="M437" s="22"/>
      <c r="N437" s="25" t="str">
        <f>HYPERLINK("http://slimages.macys.com/is/image/MCY/20949588 ")</f>
        <v xml:space="preserve">http://slimages.macys.com/is/image/MCY/20949588 </v>
      </c>
    </row>
    <row r="438" spans="1:14" x14ac:dyDescent="0.25">
      <c r="A438" s="21" t="s">
        <v>16354</v>
      </c>
      <c r="B438" s="22" t="s">
        <v>16355</v>
      </c>
      <c r="C438" s="2">
        <v>1</v>
      </c>
      <c r="D438" s="23">
        <v>9.99</v>
      </c>
      <c r="E438" s="3">
        <v>9.99</v>
      </c>
      <c r="F438" s="2" t="s">
        <v>16356</v>
      </c>
      <c r="G438" s="22" t="s">
        <v>19351</v>
      </c>
      <c r="H438" s="24" t="s">
        <v>20089</v>
      </c>
      <c r="I438" s="22" t="s">
        <v>19309</v>
      </c>
      <c r="J438" s="22" t="s">
        <v>19849</v>
      </c>
      <c r="K438" s="22" t="s">
        <v>19850</v>
      </c>
      <c r="L438" s="22"/>
      <c r="M438" s="22"/>
      <c r="N438" s="25" t="str">
        <f>HYPERLINK("http://slimages.macys.com/is/image/MCY/20752010 ")</f>
        <v xml:space="preserve">http://slimages.macys.com/is/image/MCY/20752010 </v>
      </c>
    </row>
    <row r="439" spans="1:14" x14ac:dyDescent="0.25">
      <c r="A439" s="21" t="s">
        <v>6045</v>
      </c>
      <c r="B439" s="22" t="s">
        <v>6046</v>
      </c>
      <c r="C439" s="2">
        <v>1</v>
      </c>
      <c r="D439" s="23">
        <v>9.66</v>
      </c>
      <c r="E439" s="3">
        <v>9.66</v>
      </c>
      <c r="F439" s="2" t="s">
        <v>6047</v>
      </c>
      <c r="G439" s="22" t="s">
        <v>19315</v>
      </c>
      <c r="H439" s="24" t="s">
        <v>19392</v>
      </c>
      <c r="I439" s="22" t="s">
        <v>19309</v>
      </c>
      <c r="J439" s="22" t="s">
        <v>19514</v>
      </c>
      <c r="K439" s="22" t="s">
        <v>19406</v>
      </c>
      <c r="L439" s="22"/>
      <c r="M439" s="22"/>
      <c r="N439" s="25" t="str">
        <f>HYPERLINK("http://slimages.macys.com/is/image/MCY/19771916 ")</f>
        <v xml:space="preserve">http://slimages.macys.com/is/image/MCY/19771916 </v>
      </c>
    </row>
    <row r="440" spans="1:14" ht="24.75" x14ac:dyDescent="0.25">
      <c r="A440" s="21" t="s">
        <v>13324</v>
      </c>
      <c r="B440" s="22" t="s">
        <v>13325</v>
      </c>
      <c r="C440" s="2">
        <v>1</v>
      </c>
      <c r="D440" s="23">
        <v>13.99</v>
      </c>
      <c r="E440" s="3">
        <v>13.99</v>
      </c>
      <c r="F440" s="2" t="s">
        <v>18729</v>
      </c>
      <c r="G440" s="22" t="s">
        <v>19415</v>
      </c>
      <c r="H440" s="24" t="s">
        <v>19324</v>
      </c>
      <c r="I440" s="22" t="s">
        <v>19309</v>
      </c>
      <c r="J440" s="22" t="s">
        <v>19573</v>
      </c>
      <c r="K440" s="22" t="s">
        <v>19574</v>
      </c>
      <c r="L440" s="22"/>
      <c r="M440" s="22"/>
      <c r="N440" s="25" t="str">
        <f>HYPERLINK("http://slimages.macys.com/is/image/MCY/1520506 ")</f>
        <v xml:space="preserve">http://slimages.macys.com/is/image/MCY/1520506 </v>
      </c>
    </row>
    <row r="441" spans="1:14" ht="24.75" x14ac:dyDescent="0.25">
      <c r="A441" s="21" t="s">
        <v>16703</v>
      </c>
      <c r="B441" s="22" t="s">
        <v>16704</v>
      </c>
      <c r="C441" s="2">
        <v>1</v>
      </c>
      <c r="D441" s="23">
        <v>13.99</v>
      </c>
      <c r="E441" s="3">
        <v>13.99</v>
      </c>
      <c r="F441" s="2" t="s">
        <v>18729</v>
      </c>
      <c r="G441" s="22" t="s">
        <v>19415</v>
      </c>
      <c r="H441" s="24" t="s">
        <v>19330</v>
      </c>
      <c r="I441" s="22" t="s">
        <v>19309</v>
      </c>
      <c r="J441" s="22" t="s">
        <v>19573</v>
      </c>
      <c r="K441" s="22" t="s">
        <v>19574</v>
      </c>
      <c r="L441" s="22"/>
      <c r="M441" s="22"/>
      <c r="N441" s="25" t="str">
        <f>HYPERLINK("http://slimages.macys.com/is/image/MCY/1956290 ")</f>
        <v xml:space="preserve">http://slimages.macys.com/is/image/MCY/1956290 </v>
      </c>
    </row>
    <row r="442" spans="1:14" ht="24.75" x14ac:dyDescent="0.25">
      <c r="A442" s="21" t="s">
        <v>6048</v>
      </c>
      <c r="B442" s="22" t="s">
        <v>6049</v>
      </c>
      <c r="C442" s="2">
        <v>1</v>
      </c>
      <c r="D442" s="23">
        <v>9.99</v>
      </c>
      <c r="E442" s="3">
        <v>9.99</v>
      </c>
      <c r="F442" s="2" t="s">
        <v>16716</v>
      </c>
      <c r="G442" s="22" t="s">
        <v>19431</v>
      </c>
      <c r="H442" s="24" t="s">
        <v>20089</v>
      </c>
      <c r="I442" s="22" t="s">
        <v>19309</v>
      </c>
      <c r="J442" s="22" t="s">
        <v>19908</v>
      </c>
      <c r="K442" s="22" t="s">
        <v>19524</v>
      </c>
      <c r="L442" s="22"/>
      <c r="M442" s="22"/>
      <c r="N442" s="25" t="str">
        <f>HYPERLINK("http://slimages.macys.com/is/image/MCY/21727207 ")</f>
        <v xml:space="preserve">http://slimages.macys.com/is/image/MCY/21727207 </v>
      </c>
    </row>
    <row r="443" spans="1:14" ht="24.75" x14ac:dyDescent="0.25">
      <c r="A443" s="21" t="s">
        <v>9030</v>
      </c>
      <c r="B443" s="22" t="s">
        <v>9031</v>
      </c>
      <c r="C443" s="2">
        <v>1</v>
      </c>
      <c r="D443" s="23">
        <v>9.99</v>
      </c>
      <c r="E443" s="3">
        <v>9.99</v>
      </c>
      <c r="F443" s="2" t="s">
        <v>16716</v>
      </c>
      <c r="G443" s="22" t="s">
        <v>19431</v>
      </c>
      <c r="H443" s="24" t="s">
        <v>19361</v>
      </c>
      <c r="I443" s="22" t="s">
        <v>19309</v>
      </c>
      <c r="J443" s="22" t="s">
        <v>19908</v>
      </c>
      <c r="K443" s="22" t="s">
        <v>19524</v>
      </c>
      <c r="L443" s="22"/>
      <c r="M443" s="22"/>
      <c r="N443" s="25" t="str">
        <f>HYPERLINK("http://slimages.macys.com/is/image/MCY/21727207 ")</f>
        <v xml:space="preserve">http://slimages.macys.com/is/image/MCY/21727207 </v>
      </c>
    </row>
    <row r="444" spans="1:14" ht="24.75" x14ac:dyDescent="0.25">
      <c r="A444" s="21" t="s">
        <v>9028</v>
      </c>
      <c r="B444" s="22" t="s">
        <v>9029</v>
      </c>
      <c r="C444" s="2">
        <v>1</v>
      </c>
      <c r="D444" s="23">
        <v>9.99</v>
      </c>
      <c r="E444" s="3">
        <v>9.99</v>
      </c>
      <c r="F444" s="2" t="s">
        <v>16716</v>
      </c>
      <c r="G444" s="22" t="s">
        <v>19357</v>
      </c>
      <c r="H444" s="24" t="s">
        <v>19542</v>
      </c>
      <c r="I444" s="22" t="s">
        <v>19309</v>
      </c>
      <c r="J444" s="22" t="s">
        <v>19908</v>
      </c>
      <c r="K444" s="22" t="s">
        <v>19524</v>
      </c>
      <c r="L444" s="22"/>
      <c r="M444" s="22"/>
      <c r="N444" s="25" t="str">
        <f>HYPERLINK("http://slimages.macys.com/is/image/MCY/21727207 ")</f>
        <v xml:space="preserve">http://slimages.macys.com/is/image/MCY/21727207 </v>
      </c>
    </row>
    <row r="445" spans="1:14" ht="24.75" x14ac:dyDescent="0.25">
      <c r="A445" s="21" t="s">
        <v>16719</v>
      </c>
      <c r="B445" s="22" t="s">
        <v>16720</v>
      </c>
      <c r="C445" s="2">
        <v>1</v>
      </c>
      <c r="D445" s="23">
        <v>9.99</v>
      </c>
      <c r="E445" s="3">
        <v>9.99</v>
      </c>
      <c r="F445" s="2" t="s">
        <v>16716</v>
      </c>
      <c r="G445" s="22" t="s">
        <v>19431</v>
      </c>
      <c r="H445" s="24" t="s">
        <v>19542</v>
      </c>
      <c r="I445" s="22" t="s">
        <v>19309</v>
      </c>
      <c r="J445" s="22" t="s">
        <v>19908</v>
      </c>
      <c r="K445" s="22" t="s">
        <v>19524</v>
      </c>
      <c r="L445" s="22"/>
      <c r="M445" s="22"/>
      <c r="N445" s="25" t="str">
        <f>HYPERLINK("http://slimages.macys.com/is/image/MCY/21727207 ")</f>
        <v xml:space="preserve">http://slimages.macys.com/is/image/MCY/21727207 </v>
      </c>
    </row>
    <row r="446" spans="1:14" ht="24.75" x14ac:dyDescent="0.25">
      <c r="A446" s="21" t="s">
        <v>9026</v>
      </c>
      <c r="B446" s="22" t="s">
        <v>9027</v>
      </c>
      <c r="C446" s="2">
        <v>1</v>
      </c>
      <c r="D446" s="23">
        <v>9.99</v>
      </c>
      <c r="E446" s="3">
        <v>9.99</v>
      </c>
      <c r="F446" s="2" t="s">
        <v>16716</v>
      </c>
      <c r="G446" s="22" t="s">
        <v>19431</v>
      </c>
      <c r="H446" s="24" t="s">
        <v>19377</v>
      </c>
      <c r="I446" s="22" t="s">
        <v>19309</v>
      </c>
      <c r="J446" s="22" t="s">
        <v>19908</v>
      </c>
      <c r="K446" s="22" t="s">
        <v>19524</v>
      </c>
      <c r="L446" s="22"/>
      <c r="M446" s="22"/>
      <c r="N446" s="25" t="str">
        <f>HYPERLINK("http://slimages.macys.com/is/image/MCY/21727207 ")</f>
        <v xml:space="preserve">http://slimages.macys.com/is/image/MCY/21727207 </v>
      </c>
    </row>
    <row r="447" spans="1:14" ht="24.75" x14ac:dyDescent="0.25">
      <c r="A447" s="21" t="s">
        <v>6050</v>
      </c>
      <c r="B447" s="22" t="s">
        <v>6051</v>
      </c>
      <c r="C447" s="2">
        <v>2</v>
      </c>
      <c r="D447" s="23">
        <v>11.99</v>
      </c>
      <c r="E447" s="3">
        <v>23.98</v>
      </c>
      <c r="F447" s="2" t="s">
        <v>6052</v>
      </c>
      <c r="G447" s="22" t="s">
        <v>19315</v>
      </c>
      <c r="H447" s="24" t="s">
        <v>19339</v>
      </c>
      <c r="I447" s="22" t="s">
        <v>19309</v>
      </c>
      <c r="J447" s="22" t="s">
        <v>19565</v>
      </c>
      <c r="K447" s="22" t="s">
        <v>18548</v>
      </c>
      <c r="L447" s="22"/>
      <c r="M447" s="22"/>
      <c r="N447" s="25" t="str">
        <f>HYPERLINK("http://slimages.macys.com/is/image/MCY/16647601 ")</f>
        <v xml:space="preserve">http://slimages.macys.com/is/image/MCY/16647601 </v>
      </c>
    </row>
    <row r="448" spans="1:14" x14ac:dyDescent="0.25">
      <c r="A448" s="21" t="s">
        <v>6053</v>
      </c>
      <c r="B448" s="22" t="s">
        <v>6054</v>
      </c>
      <c r="C448" s="2">
        <v>1</v>
      </c>
      <c r="D448" s="23">
        <v>11.38</v>
      </c>
      <c r="E448" s="3">
        <v>11.38</v>
      </c>
      <c r="F448" s="2" t="s">
        <v>6055</v>
      </c>
      <c r="G448" s="22" t="s">
        <v>19357</v>
      </c>
      <c r="H448" s="24" t="s">
        <v>19367</v>
      </c>
      <c r="I448" s="22" t="s">
        <v>19309</v>
      </c>
      <c r="J448" s="22" t="s">
        <v>19708</v>
      </c>
      <c r="K448" s="22" t="s">
        <v>19709</v>
      </c>
      <c r="L448" s="22"/>
      <c r="M448" s="22"/>
      <c r="N448" s="25" t="str">
        <f>HYPERLINK("http://slimages.macys.com/is/image/MCY/20529119 ")</f>
        <v xml:space="preserve">http://slimages.macys.com/is/image/MCY/20529119 </v>
      </c>
    </row>
    <row r="449" spans="1:14" x14ac:dyDescent="0.25">
      <c r="A449" s="21" t="s">
        <v>6056</v>
      </c>
      <c r="B449" s="22" t="s">
        <v>6057</v>
      </c>
      <c r="C449" s="2">
        <v>1</v>
      </c>
      <c r="D449" s="23">
        <v>18.11</v>
      </c>
      <c r="E449" s="3">
        <v>18.11</v>
      </c>
      <c r="F449" s="2" t="s">
        <v>13963</v>
      </c>
      <c r="G449" s="22"/>
      <c r="H449" s="24" t="s">
        <v>19770</v>
      </c>
      <c r="I449" s="22" t="s">
        <v>19309</v>
      </c>
      <c r="J449" s="22" t="s">
        <v>19708</v>
      </c>
      <c r="K449" s="22" t="s">
        <v>19709</v>
      </c>
      <c r="L449" s="22"/>
      <c r="M449" s="22"/>
      <c r="N449" s="25" t="str">
        <f>HYPERLINK("http://slimages.macys.com/is/image/MCY/21414194 ")</f>
        <v xml:space="preserve">http://slimages.macys.com/is/image/MCY/21414194 </v>
      </c>
    </row>
    <row r="450" spans="1:14" ht="24.75" x14ac:dyDescent="0.25">
      <c r="A450" s="21" t="s">
        <v>9048</v>
      </c>
      <c r="B450" s="22" t="s">
        <v>9049</v>
      </c>
      <c r="C450" s="2">
        <v>1</v>
      </c>
      <c r="D450" s="23">
        <v>11.99</v>
      </c>
      <c r="E450" s="3">
        <v>11.99</v>
      </c>
      <c r="F450" s="2" t="s">
        <v>18757</v>
      </c>
      <c r="G450" s="22" t="s">
        <v>19814</v>
      </c>
      <c r="H450" s="24" t="s">
        <v>20135</v>
      </c>
      <c r="I450" s="22" t="s">
        <v>19309</v>
      </c>
      <c r="J450" s="22" t="s">
        <v>19908</v>
      </c>
      <c r="K450" s="22" t="s">
        <v>19524</v>
      </c>
      <c r="L450" s="22"/>
      <c r="M450" s="22"/>
      <c r="N450" s="25" t="str">
        <f>HYPERLINK("http://slimages.macys.com/is/image/MCY/21243378 ")</f>
        <v xml:space="preserve">http://slimages.macys.com/is/image/MCY/21243378 </v>
      </c>
    </row>
    <row r="451" spans="1:14" ht="24.75" x14ac:dyDescent="0.25">
      <c r="A451" s="21" t="s">
        <v>6058</v>
      </c>
      <c r="B451" s="22" t="s">
        <v>6059</v>
      </c>
      <c r="C451" s="2">
        <v>1</v>
      </c>
      <c r="D451" s="23">
        <v>11.99</v>
      </c>
      <c r="E451" s="3">
        <v>11.99</v>
      </c>
      <c r="F451" s="2" t="s">
        <v>18757</v>
      </c>
      <c r="G451" s="22" t="s">
        <v>19814</v>
      </c>
      <c r="H451" s="24" t="s">
        <v>20089</v>
      </c>
      <c r="I451" s="22" t="s">
        <v>19309</v>
      </c>
      <c r="J451" s="22" t="s">
        <v>19908</v>
      </c>
      <c r="K451" s="22" t="s">
        <v>19524</v>
      </c>
      <c r="L451" s="22"/>
      <c r="M451" s="22"/>
      <c r="N451" s="25" t="str">
        <f>HYPERLINK("http://slimages.macys.com/is/image/MCY/21243378 ")</f>
        <v xml:space="preserve">http://slimages.macys.com/is/image/MCY/21243378 </v>
      </c>
    </row>
    <row r="452" spans="1:14" ht="24.75" x14ac:dyDescent="0.25">
      <c r="A452" s="21" t="s">
        <v>13334</v>
      </c>
      <c r="B452" s="22" t="s">
        <v>13335</v>
      </c>
      <c r="C452" s="2">
        <v>1</v>
      </c>
      <c r="D452" s="23">
        <v>10.99</v>
      </c>
      <c r="E452" s="3">
        <v>10.99</v>
      </c>
      <c r="F452" s="2" t="s">
        <v>18763</v>
      </c>
      <c r="G452" s="22" t="s">
        <v>18764</v>
      </c>
      <c r="H452" s="24" t="s">
        <v>19384</v>
      </c>
      <c r="I452" s="22" t="s">
        <v>19309</v>
      </c>
      <c r="J452" s="22" t="s">
        <v>19573</v>
      </c>
      <c r="K452" s="22" t="s">
        <v>19574</v>
      </c>
      <c r="L452" s="22"/>
      <c r="M452" s="22"/>
      <c r="N452" s="25" t="str">
        <f>HYPERLINK("http://slimages.macys.com/is/image/MCY/17720840 ")</f>
        <v xml:space="preserve">http://slimages.macys.com/is/image/MCY/17720840 </v>
      </c>
    </row>
    <row r="453" spans="1:14" ht="24.75" x14ac:dyDescent="0.25">
      <c r="A453" s="21" t="s">
        <v>13332</v>
      </c>
      <c r="B453" s="22" t="s">
        <v>13333</v>
      </c>
      <c r="C453" s="2">
        <v>1</v>
      </c>
      <c r="D453" s="23">
        <v>10.99</v>
      </c>
      <c r="E453" s="3">
        <v>10.99</v>
      </c>
      <c r="F453" s="2" t="s">
        <v>18763</v>
      </c>
      <c r="G453" s="22" t="s">
        <v>18764</v>
      </c>
      <c r="H453" s="24" t="s">
        <v>19538</v>
      </c>
      <c r="I453" s="22" t="s">
        <v>19309</v>
      </c>
      <c r="J453" s="22" t="s">
        <v>19573</v>
      </c>
      <c r="K453" s="22" t="s">
        <v>19574</v>
      </c>
      <c r="L453" s="22"/>
      <c r="M453" s="22"/>
      <c r="N453" s="25" t="str">
        <f>HYPERLINK("http://slimages.macys.com/is/image/MCY/17720840 ")</f>
        <v xml:space="preserve">http://slimages.macys.com/is/image/MCY/17720840 </v>
      </c>
    </row>
    <row r="454" spans="1:14" ht="24.75" x14ac:dyDescent="0.25">
      <c r="A454" s="21" t="s">
        <v>6060</v>
      </c>
      <c r="B454" s="22" t="s">
        <v>6061</v>
      </c>
      <c r="C454" s="2">
        <v>2</v>
      </c>
      <c r="D454" s="23">
        <v>10.99</v>
      </c>
      <c r="E454" s="3">
        <v>21.98</v>
      </c>
      <c r="F454" s="2" t="s">
        <v>9052</v>
      </c>
      <c r="G454" s="22" t="s">
        <v>19674</v>
      </c>
      <c r="H454" s="24" t="s">
        <v>19364</v>
      </c>
      <c r="I454" s="22" t="s">
        <v>19309</v>
      </c>
      <c r="J454" s="22" t="s">
        <v>19353</v>
      </c>
      <c r="K454" s="22" t="s">
        <v>19524</v>
      </c>
      <c r="L454" s="22"/>
      <c r="M454" s="22"/>
      <c r="N454" s="25" t="str">
        <f>HYPERLINK("http://slimages.macys.com/is/image/MCY/21694564 ")</f>
        <v xml:space="preserve">http://slimages.macys.com/is/image/MCY/21694564 </v>
      </c>
    </row>
    <row r="455" spans="1:14" ht="24.75" x14ac:dyDescent="0.25">
      <c r="A455" s="21" t="s">
        <v>6062</v>
      </c>
      <c r="B455" s="22" t="s">
        <v>6063</v>
      </c>
      <c r="C455" s="2">
        <v>1</v>
      </c>
      <c r="D455" s="23">
        <v>10.99</v>
      </c>
      <c r="E455" s="3">
        <v>10.99</v>
      </c>
      <c r="F455" s="2" t="s">
        <v>9052</v>
      </c>
      <c r="G455" s="22" t="s">
        <v>19674</v>
      </c>
      <c r="H455" s="24" t="s">
        <v>19797</v>
      </c>
      <c r="I455" s="22" t="s">
        <v>19309</v>
      </c>
      <c r="J455" s="22" t="s">
        <v>19353</v>
      </c>
      <c r="K455" s="22" t="s">
        <v>19524</v>
      </c>
      <c r="L455" s="22"/>
      <c r="M455" s="22"/>
      <c r="N455" s="25" t="str">
        <f>HYPERLINK("http://slimages.macys.com/is/image/MCY/21694564 ")</f>
        <v xml:space="preserve">http://slimages.macys.com/is/image/MCY/21694564 </v>
      </c>
    </row>
    <row r="456" spans="1:14" ht="24.75" x14ac:dyDescent="0.25">
      <c r="A456" s="21" t="s">
        <v>6064</v>
      </c>
      <c r="B456" s="22" t="s">
        <v>6065</v>
      </c>
      <c r="C456" s="2">
        <v>1</v>
      </c>
      <c r="D456" s="23">
        <v>10.99</v>
      </c>
      <c r="E456" s="3">
        <v>10.99</v>
      </c>
      <c r="F456" s="2" t="s">
        <v>9052</v>
      </c>
      <c r="G456" s="22" t="s">
        <v>19674</v>
      </c>
      <c r="H456" s="24" t="s">
        <v>19352</v>
      </c>
      <c r="I456" s="22" t="s">
        <v>19309</v>
      </c>
      <c r="J456" s="22" t="s">
        <v>19353</v>
      </c>
      <c r="K456" s="22" t="s">
        <v>19524</v>
      </c>
      <c r="L456" s="22"/>
      <c r="M456" s="22"/>
      <c r="N456" s="25" t="str">
        <f>HYPERLINK("http://slimages.macys.com/is/image/MCY/21694564 ")</f>
        <v xml:space="preserve">http://slimages.macys.com/is/image/MCY/21694564 </v>
      </c>
    </row>
    <row r="457" spans="1:14" ht="24.75" x14ac:dyDescent="0.25">
      <c r="A457" s="21" t="s">
        <v>18768</v>
      </c>
      <c r="B457" s="22" t="s">
        <v>18769</v>
      </c>
      <c r="C457" s="2">
        <v>4</v>
      </c>
      <c r="D457" s="23">
        <v>10.99</v>
      </c>
      <c r="E457" s="3">
        <v>43.96</v>
      </c>
      <c r="F457" s="2" t="s">
        <v>18770</v>
      </c>
      <c r="G457" s="22" t="s">
        <v>19323</v>
      </c>
      <c r="H457" s="24" t="s">
        <v>19352</v>
      </c>
      <c r="I457" s="22" t="s">
        <v>19309</v>
      </c>
      <c r="J457" s="22" t="s">
        <v>19353</v>
      </c>
      <c r="K457" s="22" t="s">
        <v>19524</v>
      </c>
      <c r="L457" s="22"/>
      <c r="M457" s="22"/>
      <c r="N457" s="25" t="str">
        <f>HYPERLINK("http://slimages.macys.com/is/image/MCY/20846572 ")</f>
        <v xml:space="preserve">http://slimages.macys.com/is/image/MCY/20846572 </v>
      </c>
    </row>
    <row r="458" spans="1:14" ht="24.75" x14ac:dyDescent="0.25">
      <c r="A458" s="21" t="s">
        <v>16750</v>
      </c>
      <c r="B458" s="22" t="s">
        <v>16751</v>
      </c>
      <c r="C458" s="2">
        <v>3</v>
      </c>
      <c r="D458" s="23">
        <v>10.99</v>
      </c>
      <c r="E458" s="3">
        <v>32.97</v>
      </c>
      <c r="F458" s="2" t="s">
        <v>18770</v>
      </c>
      <c r="G458" s="22" t="s">
        <v>19323</v>
      </c>
      <c r="H458" s="24" t="s">
        <v>19364</v>
      </c>
      <c r="I458" s="22" t="s">
        <v>19309</v>
      </c>
      <c r="J458" s="22" t="s">
        <v>19353</v>
      </c>
      <c r="K458" s="22" t="s">
        <v>19524</v>
      </c>
      <c r="L458" s="22"/>
      <c r="M458" s="22"/>
      <c r="N458" s="25" t="str">
        <f>HYPERLINK("http://slimages.macys.com/is/image/MCY/20846572 ")</f>
        <v xml:space="preserve">http://slimages.macys.com/is/image/MCY/20846572 </v>
      </c>
    </row>
    <row r="459" spans="1:14" ht="24.75" x14ac:dyDescent="0.25">
      <c r="A459" s="21" t="s">
        <v>9984</v>
      </c>
      <c r="B459" s="22" t="s">
        <v>9985</v>
      </c>
      <c r="C459" s="2">
        <v>1</v>
      </c>
      <c r="D459" s="23">
        <v>10.99</v>
      </c>
      <c r="E459" s="3">
        <v>10.99</v>
      </c>
      <c r="F459" s="2" t="s">
        <v>9986</v>
      </c>
      <c r="G459" s="22" t="s">
        <v>19323</v>
      </c>
      <c r="H459" s="24" t="s">
        <v>19352</v>
      </c>
      <c r="I459" s="22" t="s">
        <v>19309</v>
      </c>
      <c r="J459" s="22" t="s">
        <v>19353</v>
      </c>
      <c r="K459" s="22" t="s">
        <v>19524</v>
      </c>
      <c r="L459" s="22"/>
      <c r="M459" s="22"/>
      <c r="N459" s="25" t="str">
        <f>HYPERLINK("http://slimages.macys.com/is/image/MCY/20440807 ")</f>
        <v xml:space="preserve">http://slimages.macys.com/is/image/MCY/20440807 </v>
      </c>
    </row>
    <row r="460" spans="1:14" ht="24.75" x14ac:dyDescent="0.25">
      <c r="A460" s="21" t="s">
        <v>16746</v>
      </c>
      <c r="B460" s="22" t="s">
        <v>16747</v>
      </c>
      <c r="C460" s="2">
        <v>2</v>
      </c>
      <c r="D460" s="23">
        <v>10.99</v>
      </c>
      <c r="E460" s="3">
        <v>21.98</v>
      </c>
      <c r="F460" s="2" t="s">
        <v>18770</v>
      </c>
      <c r="G460" s="22" t="s">
        <v>19323</v>
      </c>
      <c r="H460" s="24" t="s">
        <v>19797</v>
      </c>
      <c r="I460" s="22" t="s">
        <v>19309</v>
      </c>
      <c r="J460" s="22" t="s">
        <v>19353</v>
      </c>
      <c r="K460" s="22" t="s">
        <v>19524</v>
      </c>
      <c r="L460" s="22"/>
      <c r="M460" s="22"/>
      <c r="N460" s="25" t="str">
        <f>HYPERLINK("http://slimages.macys.com/is/image/MCY/20846572 ")</f>
        <v xml:space="preserve">http://slimages.macys.com/is/image/MCY/20846572 </v>
      </c>
    </row>
    <row r="461" spans="1:14" ht="24.75" x14ac:dyDescent="0.25">
      <c r="A461" s="21" t="s">
        <v>9058</v>
      </c>
      <c r="B461" s="22" t="s">
        <v>9059</v>
      </c>
      <c r="C461" s="2">
        <v>1</v>
      </c>
      <c r="D461" s="23">
        <v>10.99</v>
      </c>
      <c r="E461" s="3">
        <v>10.99</v>
      </c>
      <c r="F461" s="2" t="s">
        <v>18767</v>
      </c>
      <c r="G461" s="22" t="s">
        <v>19351</v>
      </c>
      <c r="H461" s="24" t="s">
        <v>19339</v>
      </c>
      <c r="I461" s="22" t="s">
        <v>19309</v>
      </c>
      <c r="J461" s="22" t="s">
        <v>19353</v>
      </c>
      <c r="K461" s="22" t="s">
        <v>19524</v>
      </c>
      <c r="L461" s="22"/>
      <c r="M461" s="22"/>
      <c r="N461" s="25" t="str">
        <f>HYPERLINK("http://slimages.macys.com/is/image/MCY/1426558 ")</f>
        <v xml:space="preserve">http://slimages.macys.com/is/image/MCY/1426558 </v>
      </c>
    </row>
    <row r="462" spans="1:14" ht="24.75" x14ac:dyDescent="0.25">
      <c r="A462" s="21" t="s">
        <v>6066</v>
      </c>
      <c r="B462" s="22" t="s">
        <v>6067</v>
      </c>
      <c r="C462" s="2">
        <v>1</v>
      </c>
      <c r="D462" s="23">
        <v>10.99</v>
      </c>
      <c r="E462" s="3">
        <v>10.99</v>
      </c>
      <c r="F462" s="2" t="s">
        <v>18767</v>
      </c>
      <c r="G462" s="22" t="s">
        <v>19351</v>
      </c>
      <c r="H462" s="24" t="s">
        <v>19797</v>
      </c>
      <c r="I462" s="22" t="s">
        <v>19309</v>
      </c>
      <c r="J462" s="22" t="s">
        <v>19353</v>
      </c>
      <c r="K462" s="22" t="s">
        <v>19524</v>
      </c>
      <c r="L462" s="22"/>
      <c r="M462" s="22"/>
      <c r="N462" s="25" t="str">
        <f>HYPERLINK("http://slimages.macys.com/is/image/MCY/21694630 ")</f>
        <v xml:space="preserve">http://slimages.macys.com/is/image/MCY/21694630 </v>
      </c>
    </row>
    <row r="463" spans="1:14" ht="24.75" x14ac:dyDescent="0.25">
      <c r="A463" s="21" t="s">
        <v>9050</v>
      </c>
      <c r="B463" s="22" t="s">
        <v>9051</v>
      </c>
      <c r="C463" s="2">
        <v>1</v>
      </c>
      <c r="D463" s="23">
        <v>10.99</v>
      </c>
      <c r="E463" s="3">
        <v>10.99</v>
      </c>
      <c r="F463" s="2" t="s">
        <v>9052</v>
      </c>
      <c r="G463" s="22" t="s">
        <v>19674</v>
      </c>
      <c r="H463" s="24" t="s">
        <v>19339</v>
      </c>
      <c r="I463" s="22" t="s">
        <v>19309</v>
      </c>
      <c r="J463" s="22" t="s">
        <v>19353</v>
      </c>
      <c r="K463" s="22" t="s">
        <v>19524</v>
      </c>
      <c r="L463" s="22"/>
      <c r="M463" s="22"/>
      <c r="N463" s="25" t="str">
        <f>HYPERLINK("http://slimages.macys.com/is/image/MCY/21694564 ")</f>
        <v xml:space="preserve">http://slimages.macys.com/is/image/MCY/21694564 </v>
      </c>
    </row>
    <row r="464" spans="1:14" ht="24.75" x14ac:dyDescent="0.25">
      <c r="A464" s="21" t="s">
        <v>6068</v>
      </c>
      <c r="B464" s="22" t="s">
        <v>6069</v>
      </c>
      <c r="C464" s="2">
        <v>1</v>
      </c>
      <c r="D464" s="23">
        <v>11.99</v>
      </c>
      <c r="E464" s="3">
        <v>11.99</v>
      </c>
      <c r="F464" s="2" t="s">
        <v>6070</v>
      </c>
      <c r="G464" s="22" t="s">
        <v>19351</v>
      </c>
      <c r="H464" s="24" t="s">
        <v>19542</v>
      </c>
      <c r="I464" s="22" t="s">
        <v>19309</v>
      </c>
      <c r="J464" s="22" t="s">
        <v>19908</v>
      </c>
      <c r="K464" s="22" t="s">
        <v>19524</v>
      </c>
      <c r="L464" s="22"/>
      <c r="M464" s="22"/>
      <c r="N464" s="25" t="str">
        <f>HYPERLINK("http://slimages.macys.com/is/image/MCY/21243372 ")</f>
        <v xml:space="preserve">http://slimages.macys.com/is/image/MCY/21243372 </v>
      </c>
    </row>
    <row r="465" spans="1:14" ht="24.75" x14ac:dyDescent="0.25">
      <c r="A465" s="21" t="s">
        <v>18774</v>
      </c>
      <c r="B465" s="22" t="s">
        <v>18775</v>
      </c>
      <c r="C465" s="2">
        <v>2</v>
      </c>
      <c r="D465" s="23">
        <v>9.99</v>
      </c>
      <c r="E465" s="3">
        <v>19.98</v>
      </c>
      <c r="F465" s="2" t="s">
        <v>18773</v>
      </c>
      <c r="G465" s="22" t="s">
        <v>19422</v>
      </c>
      <c r="H465" s="24" t="s">
        <v>19770</v>
      </c>
      <c r="I465" s="22" t="s">
        <v>19309</v>
      </c>
      <c r="J465" s="22" t="s">
        <v>19573</v>
      </c>
      <c r="K465" s="22" t="s">
        <v>19574</v>
      </c>
      <c r="L465" s="22"/>
      <c r="M465" s="22"/>
      <c r="N465" s="25" t="str">
        <f>HYPERLINK("http://slimages.macys.com/is/image/MCY/1646328 ")</f>
        <v xml:space="preserve">http://slimages.macys.com/is/image/MCY/1646328 </v>
      </c>
    </row>
    <row r="466" spans="1:14" ht="24.75" x14ac:dyDescent="0.25">
      <c r="A466" s="21" t="s">
        <v>12420</v>
      </c>
      <c r="B466" s="22" t="s">
        <v>12421</v>
      </c>
      <c r="C466" s="2">
        <v>1</v>
      </c>
      <c r="D466" s="23">
        <v>9.99</v>
      </c>
      <c r="E466" s="3">
        <v>9.99</v>
      </c>
      <c r="F466" s="2" t="s">
        <v>18773</v>
      </c>
      <c r="G466" s="22" t="s">
        <v>19422</v>
      </c>
      <c r="H466" s="24" t="s">
        <v>19324</v>
      </c>
      <c r="I466" s="22" t="s">
        <v>19309</v>
      </c>
      <c r="J466" s="22" t="s">
        <v>19573</v>
      </c>
      <c r="K466" s="22" t="s">
        <v>19574</v>
      </c>
      <c r="L466" s="22"/>
      <c r="M466" s="22"/>
      <c r="N466" s="25" t="str">
        <f>HYPERLINK("http://slimages.macys.com/is/image/MCY/1322715 ")</f>
        <v xml:space="preserve">http://slimages.macys.com/is/image/MCY/1322715 </v>
      </c>
    </row>
    <row r="467" spans="1:14" ht="24.75" x14ac:dyDescent="0.25">
      <c r="A467" s="21" t="s">
        <v>6071</v>
      </c>
      <c r="B467" s="22" t="s">
        <v>6072</v>
      </c>
      <c r="C467" s="2">
        <v>1</v>
      </c>
      <c r="D467" s="23">
        <v>9.99</v>
      </c>
      <c r="E467" s="3">
        <v>9.99</v>
      </c>
      <c r="F467" s="2" t="s">
        <v>18773</v>
      </c>
      <c r="G467" s="22" t="s">
        <v>19422</v>
      </c>
      <c r="H467" s="24" t="s">
        <v>19330</v>
      </c>
      <c r="I467" s="22" t="s">
        <v>19309</v>
      </c>
      <c r="J467" s="22" t="s">
        <v>19573</v>
      </c>
      <c r="K467" s="22" t="s">
        <v>19574</v>
      </c>
      <c r="L467" s="22"/>
      <c r="M467" s="22"/>
      <c r="N467" s="25" t="str">
        <f>HYPERLINK("http://slimages.macys.com/is/image/MCY/1322715 ")</f>
        <v xml:space="preserve">http://slimages.macys.com/is/image/MCY/1322715 </v>
      </c>
    </row>
    <row r="468" spans="1:14" ht="24.75" x14ac:dyDescent="0.25">
      <c r="A468" s="21" t="s">
        <v>18776</v>
      </c>
      <c r="B468" s="22" t="s">
        <v>18777</v>
      </c>
      <c r="C468" s="2">
        <v>3</v>
      </c>
      <c r="D468" s="23">
        <v>9.99</v>
      </c>
      <c r="E468" s="3">
        <v>29.97</v>
      </c>
      <c r="F468" s="2" t="s">
        <v>18773</v>
      </c>
      <c r="G468" s="22" t="s">
        <v>19422</v>
      </c>
      <c r="H468" s="24"/>
      <c r="I468" s="22" t="s">
        <v>19309</v>
      </c>
      <c r="J468" s="22" t="s">
        <v>19573</v>
      </c>
      <c r="K468" s="22" t="s">
        <v>19574</v>
      </c>
      <c r="L468" s="22"/>
      <c r="M468" s="22"/>
      <c r="N468" s="25" t="str">
        <f>HYPERLINK("http://slimages.macys.com/is/image/MCY/1322715 ")</f>
        <v xml:space="preserve">http://slimages.macys.com/is/image/MCY/1322715 </v>
      </c>
    </row>
    <row r="469" spans="1:14" ht="24.75" x14ac:dyDescent="0.25">
      <c r="A469" s="21" t="s">
        <v>18798</v>
      </c>
      <c r="B469" s="22" t="s">
        <v>18799</v>
      </c>
      <c r="C469" s="2">
        <v>1</v>
      </c>
      <c r="D469" s="23">
        <v>10.99</v>
      </c>
      <c r="E469" s="3">
        <v>10.99</v>
      </c>
      <c r="F469" s="2" t="s">
        <v>18795</v>
      </c>
      <c r="G469" s="22" t="s">
        <v>19713</v>
      </c>
      <c r="H469" s="24"/>
      <c r="I469" s="22" t="s">
        <v>19309</v>
      </c>
      <c r="J469" s="22" t="s">
        <v>19573</v>
      </c>
      <c r="K469" s="22" t="s">
        <v>19574</v>
      </c>
      <c r="L469" s="22"/>
      <c r="M469" s="22"/>
      <c r="N469" s="25" t="str">
        <f>HYPERLINK("http://slimages.macys.com/is/image/MCY/1663589 ")</f>
        <v xml:space="preserve">http://slimages.macys.com/is/image/MCY/1663589 </v>
      </c>
    </row>
    <row r="470" spans="1:14" ht="24.75" x14ac:dyDescent="0.25">
      <c r="A470" s="21" t="s">
        <v>13349</v>
      </c>
      <c r="B470" s="22" t="s">
        <v>13350</v>
      </c>
      <c r="C470" s="2">
        <v>1</v>
      </c>
      <c r="D470" s="23">
        <v>10.99</v>
      </c>
      <c r="E470" s="3">
        <v>10.99</v>
      </c>
      <c r="F470" s="2" t="s">
        <v>18795</v>
      </c>
      <c r="G470" s="22" t="s">
        <v>19713</v>
      </c>
      <c r="H470" s="24" t="s">
        <v>19538</v>
      </c>
      <c r="I470" s="22" t="s">
        <v>19309</v>
      </c>
      <c r="J470" s="22" t="s">
        <v>19573</v>
      </c>
      <c r="K470" s="22" t="s">
        <v>19574</v>
      </c>
      <c r="L470" s="22"/>
      <c r="M470" s="22"/>
      <c r="N470" s="25" t="str">
        <f>HYPERLINK("http://slimages.macys.com/is/image/MCY/1660803 ")</f>
        <v xml:space="preserve">http://slimages.macys.com/is/image/MCY/1660803 </v>
      </c>
    </row>
    <row r="471" spans="1:14" ht="24.75" x14ac:dyDescent="0.25">
      <c r="A471" s="21" t="s">
        <v>6073</v>
      </c>
      <c r="B471" s="22" t="s">
        <v>6074</v>
      </c>
      <c r="C471" s="2">
        <v>1</v>
      </c>
      <c r="D471" s="23">
        <v>10.99</v>
      </c>
      <c r="E471" s="3">
        <v>10.99</v>
      </c>
      <c r="F471" s="2" t="s">
        <v>6075</v>
      </c>
      <c r="G471" s="22" t="s">
        <v>19462</v>
      </c>
      <c r="H471" s="24" t="s">
        <v>19364</v>
      </c>
      <c r="I471" s="22" t="s">
        <v>19309</v>
      </c>
      <c r="J471" s="22" t="s">
        <v>19353</v>
      </c>
      <c r="K471" s="22" t="s">
        <v>19524</v>
      </c>
      <c r="L471" s="22"/>
      <c r="M471" s="22"/>
      <c r="N471" s="25" t="str">
        <f>HYPERLINK("http://slimages.macys.com/is/image/MCY/22125321 ")</f>
        <v xml:space="preserve">http://slimages.macys.com/is/image/MCY/22125321 </v>
      </c>
    </row>
    <row r="472" spans="1:14" ht="24.75" x14ac:dyDescent="0.25">
      <c r="A472" s="21" t="s">
        <v>18800</v>
      </c>
      <c r="B472" s="22" t="s">
        <v>18801</v>
      </c>
      <c r="C472" s="2">
        <v>1</v>
      </c>
      <c r="D472" s="23">
        <v>10.99</v>
      </c>
      <c r="E472" s="3">
        <v>10.99</v>
      </c>
      <c r="F472" s="2" t="s">
        <v>18802</v>
      </c>
      <c r="G472" s="22" t="s">
        <v>18439</v>
      </c>
      <c r="H472" s="24" t="s">
        <v>19797</v>
      </c>
      <c r="I472" s="22" t="s">
        <v>19309</v>
      </c>
      <c r="J472" s="22" t="s">
        <v>19353</v>
      </c>
      <c r="K472" s="22" t="s">
        <v>19524</v>
      </c>
      <c r="L472" s="22"/>
      <c r="M472" s="22"/>
      <c r="N472" s="25" t="str">
        <f>HYPERLINK("http://slimages.macys.com/is/image/MCY/21694557 ")</f>
        <v xml:space="preserve">http://slimages.macys.com/is/image/MCY/21694557 </v>
      </c>
    </row>
    <row r="473" spans="1:14" x14ac:dyDescent="0.25">
      <c r="A473" s="21" t="s">
        <v>6076</v>
      </c>
      <c r="B473" s="22" t="s">
        <v>6077</v>
      </c>
      <c r="C473" s="2">
        <v>1</v>
      </c>
      <c r="D473" s="23">
        <v>9.99</v>
      </c>
      <c r="E473" s="3">
        <v>9.99</v>
      </c>
      <c r="F473" s="2" t="s">
        <v>6078</v>
      </c>
      <c r="G473" s="22" t="s">
        <v>19467</v>
      </c>
      <c r="H473" s="24" t="s">
        <v>19377</v>
      </c>
      <c r="I473" s="22" t="s">
        <v>19309</v>
      </c>
      <c r="J473" s="22" t="s">
        <v>19849</v>
      </c>
      <c r="K473" s="22" t="s">
        <v>19850</v>
      </c>
      <c r="L473" s="22"/>
      <c r="M473" s="22"/>
      <c r="N473" s="25" t="str">
        <f>HYPERLINK("http://slimages.macys.com/is/image/MCY/20949674 ")</f>
        <v xml:space="preserve">http://slimages.macys.com/is/image/MCY/20949674 </v>
      </c>
    </row>
    <row r="474" spans="1:14" x14ac:dyDescent="0.25">
      <c r="A474" s="21" t="s">
        <v>6079</v>
      </c>
      <c r="B474" s="22" t="s">
        <v>6080</v>
      </c>
      <c r="C474" s="2">
        <v>2</v>
      </c>
      <c r="D474" s="23">
        <v>9.99</v>
      </c>
      <c r="E474" s="3">
        <v>19.98</v>
      </c>
      <c r="F474" s="2" t="s">
        <v>6078</v>
      </c>
      <c r="G474" s="22" t="s">
        <v>19467</v>
      </c>
      <c r="H474" s="24" t="s">
        <v>20089</v>
      </c>
      <c r="I474" s="22" t="s">
        <v>19309</v>
      </c>
      <c r="J474" s="22" t="s">
        <v>19849</v>
      </c>
      <c r="K474" s="22" t="s">
        <v>19850</v>
      </c>
      <c r="L474" s="22"/>
      <c r="M474" s="22"/>
      <c r="N474" s="25" t="str">
        <f>HYPERLINK("http://slimages.macys.com/is/image/MCY/20949674 ")</f>
        <v xml:space="preserve">http://slimages.macys.com/is/image/MCY/20949674 </v>
      </c>
    </row>
    <row r="475" spans="1:14" x14ac:dyDescent="0.25">
      <c r="A475" s="21" t="s">
        <v>16804</v>
      </c>
      <c r="B475" s="22" t="s">
        <v>16805</v>
      </c>
      <c r="C475" s="2">
        <v>1</v>
      </c>
      <c r="D475" s="23">
        <v>11.99</v>
      </c>
      <c r="E475" s="3">
        <v>11.99</v>
      </c>
      <c r="F475" s="2" t="s">
        <v>16803</v>
      </c>
      <c r="G475" s="22" t="s">
        <v>19431</v>
      </c>
      <c r="H475" s="24" t="s">
        <v>19339</v>
      </c>
      <c r="I475" s="22" t="s">
        <v>19309</v>
      </c>
      <c r="J475" s="22" t="s">
        <v>19849</v>
      </c>
      <c r="K475" s="22" t="s">
        <v>19850</v>
      </c>
      <c r="L475" s="22"/>
      <c r="M475" s="22"/>
      <c r="N475" s="25" t="str">
        <f>HYPERLINK("http://slimages.macys.com/is/image/MCY/20752030 ")</f>
        <v xml:space="preserve">http://slimages.macys.com/is/image/MCY/20752030 </v>
      </c>
    </row>
    <row r="476" spans="1:14" x14ac:dyDescent="0.25">
      <c r="A476" s="21" t="s">
        <v>9086</v>
      </c>
      <c r="B476" s="22" t="s">
        <v>9087</v>
      </c>
      <c r="C476" s="2">
        <v>1</v>
      </c>
      <c r="D476" s="23">
        <v>11.99</v>
      </c>
      <c r="E476" s="3">
        <v>11.99</v>
      </c>
      <c r="F476" s="2" t="s">
        <v>16803</v>
      </c>
      <c r="G476" s="22" t="s">
        <v>19670</v>
      </c>
      <c r="H476" s="24" t="s">
        <v>19339</v>
      </c>
      <c r="I476" s="22" t="s">
        <v>19309</v>
      </c>
      <c r="J476" s="22" t="s">
        <v>19849</v>
      </c>
      <c r="K476" s="22" t="s">
        <v>19850</v>
      </c>
      <c r="L476" s="22"/>
      <c r="M476" s="22"/>
      <c r="N476" s="25" t="str">
        <f>HYPERLINK("http://slimages.macys.com/is/image/MCY/20752030 ")</f>
        <v xml:space="preserve">http://slimages.macys.com/is/image/MCY/20752030 </v>
      </c>
    </row>
    <row r="477" spans="1:14" x14ac:dyDescent="0.25">
      <c r="A477" s="21" t="s">
        <v>16818</v>
      </c>
      <c r="B477" s="22" t="s">
        <v>16819</v>
      </c>
      <c r="C477" s="2">
        <v>1</v>
      </c>
      <c r="D477" s="23">
        <v>11.99</v>
      </c>
      <c r="E477" s="3">
        <v>11.99</v>
      </c>
      <c r="F477" s="2" t="s">
        <v>16803</v>
      </c>
      <c r="G477" s="22" t="s">
        <v>19670</v>
      </c>
      <c r="H477" s="24" t="s">
        <v>19797</v>
      </c>
      <c r="I477" s="22" t="s">
        <v>19309</v>
      </c>
      <c r="J477" s="22" t="s">
        <v>19849</v>
      </c>
      <c r="K477" s="22" t="s">
        <v>19850</v>
      </c>
      <c r="L477" s="22"/>
      <c r="M477" s="22"/>
      <c r="N477" s="25" t="str">
        <f>HYPERLINK("http://slimages.macys.com/is/image/MCY/20752030 ")</f>
        <v xml:space="preserve">http://slimages.macys.com/is/image/MCY/20752030 </v>
      </c>
    </row>
    <row r="478" spans="1:14" x14ac:dyDescent="0.25">
      <c r="A478" s="21" t="s">
        <v>6081</v>
      </c>
      <c r="B478" s="22" t="s">
        <v>6082</v>
      </c>
      <c r="C478" s="2">
        <v>1</v>
      </c>
      <c r="D478" s="23">
        <v>8.3000000000000007</v>
      </c>
      <c r="E478" s="3">
        <v>8.3000000000000007</v>
      </c>
      <c r="F478" s="2" t="s">
        <v>6083</v>
      </c>
      <c r="G478" s="22" t="s">
        <v>19622</v>
      </c>
      <c r="H478" s="24"/>
      <c r="I478" s="22" t="s">
        <v>19309</v>
      </c>
      <c r="J478" s="22" t="s">
        <v>19417</v>
      </c>
      <c r="K478" s="22" t="s">
        <v>6084</v>
      </c>
      <c r="L478" s="22" t="s">
        <v>19319</v>
      </c>
      <c r="M478" s="22" t="s">
        <v>17531</v>
      </c>
      <c r="N478" s="25" t="str">
        <f>HYPERLINK("http://slimages.macys.com/is/image/MCY/16643161 ")</f>
        <v xml:space="preserve">http://slimages.macys.com/is/image/MCY/16643161 </v>
      </c>
    </row>
    <row r="479" spans="1:14" x14ac:dyDescent="0.25">
      <c r="A479" s="21" t="s">
        <v>6085</v>
      </c>
      <c r="B479" s="22" t="s">
        <v>6086</v>
      </c>
      <c r="C479" s="2">
        <v>1</v>
      </c>
      <c r="D479" s="23">
        <v>13.99</v>
      </c>
      <c r="E479" s="3">
        <v>13.99</v>
      </c>
      <c r="F479" s="2" t="s">
        <v>16822</v>
      </c>
      <c r="G479" s="22" t="s">
        <v>19307</v>
      </c>
      <c r="H479" s="24" t="s">
        <v>19345</v>
      </c>
      <c r="I479" s="22" t="s">
        <v>19309</v>
      </c>
      <c r="J479" s="22" t="s">
        <v>19310</v>
      </c>
      <c r="K479" s="22" t="s">
        <v>19440</v>
      </c>
      <c r="L479" s="22"/>
      <c r="M479" s="22"/>
      <c r="N479" s="25" t="str">
        <f>HYPERLINK("http://slimages.macys.com/is/image/MCY/21628405 ")</f>
        <v xml:space="preserve">http://slimages.macys.com/is/image/MCY/21628405 </v>
      </c>
    </row>
    <row r="480" spans="1:14" ht="24.75" x14ac:dyDescent="0.25">
      <c r="A480" s="21" t="s">
        <v>9093</v>
      </c>
      <c r="B480" s="22" t="s">
        <v>9094</v>
      </c>
      <c r="C480" s="2">
        <v>1</v>
      </c>
      <c r="D480" s="23">
        <v>11.99</v>
      </c>
      <c r="E480" s="3">
        <v>11.99</v>
      </c>
      <c r="F480" s="2" t="s">
        <v>18820</v>
      </c>
      <c r="G480" s="22" t="s">
        <v>18821</v>
      </c>
      <c r="H480" s="24"/>
      <c r="I480" s="22" t="s">
        <v>19309</v>
      </c>
      <c r="J480" s="22" t="s">
        <v>20076</v>
      </c>
      <c r="K480" s="22" t="s">
        <v>18822</v>
      </c>
      <c r="L480" s="22"/>
      <c r="M480" s="22"/>
      <c r="N480" s="25" t="str">
        <f>HYPERLINK("http://slimages.macys.com/is/image/MCY/21333000 ")</f>
        <v xml:space="preserve">http://slimages.macys.com/is/image/MCY/21333000 </v>
      </c>
    </row>
    <row r="481" spans="1:14" x14ac:dyDescent="0.25">
      <c r="A481" s="21" t="s">
        <v>6982</v>
      </c>
      <c r="B481" s="22" t="s">
        <v>6983</v>
      </c>
      <c r="C481" s="2">
        <v>1</v>
      </c>
      <c r="D481" s="23">
        <v>10.47</v>
      </c>
      <c r="E481" s="3">
        <v>10.47</v>
      </c>
      <c r="F481" s="2" t="s">
        <v>6984</v>
      </c>
      <c r="G481" s="22"/>
      <c r="H481" s="24" t="s">
        <v>20159</v>
      </c>
      <c r="I481" s="22" t="s">
        <v>19309</v>
      </c>
      <c r="J481" s="22" t="s">
        <v>19708</v>
      </c>
      <c r="K481" s="22" t="s">
        <v>19709</v>
      </c>
      <c r="L481" s="22"/>
      <c r="M481" s="22"/>
      <c r="N481" s="25" t="str">
        <f>HYPERLINK("http://slimages.macys.com/is/image/MCY/21411388 ")</f>
        <v xml:space="preserve">http://slimages.macys.com/is/image/MCY/21411388 </v>
      </c>
    </row>
    <row r="482" spans="1:14" x14ac:dyDescent="0.25">
      <c r="A482" s="21" t="s">
        <v>16832</v>
      </c>
      <c r="B482" s="22" t="s">
        <v>16833</v>
      </c>
      <c r="C482" s="2">
        <v>1</v>
      </c>
      <c r="D482" s="23">
        <v>10.47</v>
      </c>
      <c r="E482" s="3">
        <v>10.47</v>
      </c>
      <c r="F482" s="2" t="s">
        <v>16834</v>
      </c>
      <c r="G482" s="22"/>
      <c r="H482" s="24" t="s">
        <v>20159</v>
      </c>
      <c r="I482" s="22" t="s">
        <v>19309</v>
      </c>
      <c r="J482" s="22" t="s">
        <v>19708</v>
      </c>
      <c r="K482" s="22" t="s">
        <v>19709</v>
      </c>
      <c r="L482" s="22"/>
      <c r="M482" s="22"/>
      <c r="N482" s="25" t="str">
        <f>HYPERLINK("http://slimages.macys.com/is/image/MCY/21411388 ")</f>
        <v xml:space="preserve">http://slimages.macys.com/is/image/MCY/21411388 </v>
      </c>
    </row>
    <row r="483" spans="1:14" x14ac:dyDescent="0.25">
      <c r="A483" s="21" t="s">
        <v>6087</v>
      </c>
      <c r="B483" s="22" t="s">
        <v>6088</v>
      </c>
      <c r="C483" s="2">
        <v>1</v>
      </c>
      <c r="D483" s="23">
        <v>10.47</v>
      </c>
      <c r="E483" s="3">
        <v>10.47</v>
      </c>
      <c r="F483" s="2" t="s">
        <v>6089</v>
      </c>
      <c r="G483" s="22" t="s">
        <v>19814</v>
      </c>
      <c r="H483" s="24" t="s">
        <v>19330</v>
      </c>
      <c r="I483" s="22" t="s">
        <v>19309</v>
      </c>
      <c r="J483" s="22" t="s">
        <v>19708</v>
      </c>
      <c r="K483" s="22" t="s">
        <v>19709</v>
      </c>
      <c r="L483" s="22"/>
      <c r="M483" s="22"/>
      <c r="N483" s="25" t="str">
        <f>HYPERLINK("http://slimages.macys.com/is/image/MCY/21411366 ")</f>
        <v xml:space="preserve">http://slimages.macys.com/is/image/MCY/21411366 </v>
      </c>
    </row>
    <row r="484" spans="1:14" x14ac:dyDescent="0.25">
      <c r="A484" s="21" t="s">
        <v>6090</v>
      </c>
      <c r="B484" s="22" t="s">
        <v>6091</v>
      </c>
      <c r="C484" s="2">
        <v>1</v>
      </c>
      <c r="D484" s="23">
        <v>10.47</v>
      </c>
      <c r="E484" s="3">
        <v>10.47</v>
      </c>
      <c r="F484" s="2" t="s">
        <v>16411</v>
      </c>
      <c r="G484" s="22"/>
      <c r="H484" s="24" t="s">
        <v>19330</v>
      </c>
      <c r="I484" s="22" t="s">
        <v>19309</v>
      </c>
      <c r="J484" s="22" t="s">
        <v>19708</v>
      </c>
      <c r="K484" s="22" t="s">
        <v>19709</v>
      </c>
      <c r="L484" s="22"/>
      <c r="M484" s="22"/>
      <c r="N484" s="25" t="str">
        <f>HYPERLINK("http://slimages.macys.com/is/image/MCY/21411414 ")</f>
        <v xml:space="preserve">http://slimages.macys.com/is/image/MCY/21411414 </v>
      </c>
    </row>
    <row r="485" spans="1:14" x14ac:dyDescent="0.25">
      <c r="A485" s="21" t="s">
        <v>6092</v>
      </c>
      <c r="B485" s="22" t="s">
        <v>16374</v>
      </c>
      <c r="C485" s="2">
        <v>1</v>
      </c>
      <c r="D485" s="23">
        <v>10.47</v>
      </c>
      <c r="E485" s="3">
        <v>10.47</v>
      </c>
      <c r="F485" s="2" t="s">
        <v>6093</v>
      </c>
      <c r="G485" s="22" t="s">
        <v>19594</v>
      </c>
      <c r="H485" s="24" t="s">
        <v>19367</v>
      </c>
      <c r="I485" s="22" t="s">
        <v>19309</v>
      </c>
      <c r="J485" s="22" t="s">
        <v>19708</v>
      </c>
      <c r="K485" s="22" t="s">
        <v>19709</v>
      </c>
      <c r="L485" s="22"/>
      <c r="M485" s="22"/>
      <c r="N485" s="25" t="str">
        <f>HYPERLINK("http://slimages.macys.com/is/image/MCY/21412388 ")</f>
        <v xml:space="preserve">http://slimages.macys.com/is/image/MCY/21412388 </v>
      </c>
    </row>
    <row r="486" spans="1:14" x14ac:dyDescent="0.25">
      <c r="A486" s="21" t="s">
        <v>6094</v>
      </c>
      <c r="B486" s="22" t="s">
        <v>6095</v>
      </c>
      <c r="C486" s="2">
        <v>1</v>
      </c>
      <c r="D486" s="23">
        <v>10.47</v>
      </c>
      <c r="E486" s="3">
        <v>10.47</v>
      </c>
      <c r="F486" s="2" t="s">
        <v>16834</v>
      </c>
      <c r="G486" s="22"/>
      <c r="H486" s="24" t="s">
        <v>19367</v>
      </c>
      <c r="I486" s="22" t="s">
        <v>19309</v>
      </c>
      <c r="J486" s="22" t="s">
        <v>19708</v>
      </c>
      <c r="K486" s="22" t="s">
        <v>19709</v>
      </c>
      <c r="L486" s="22"/>
      <c r="M486" s="22"/>
      <c r="N486" s="25" t="str">
        <f>HYPERLINK("http://slimages.macys.com/is/image/MCY/21411388 ")</f>
        <v xml:space="preserve">http://slimages.macys.com/is/image/MCY/21411388 </v>
      </c>
    </row>
    <row r="487" spans="1:14" x14ac:dyDescent="0.25">
      <c r="A487" s="21" t="s">
        <v>6096</v>
      </c>
      <c r="B487" s="22" t="s">
        <v>6097</v>
      </c>
      <c r="C487" s="2">
        <v>1</v>
      </c>
      <c r="D487" s="23">
        <v>18.11</v>
      </c>
      <c r="E487" s="3">
        <v>18.11</v>
      </c>
      <c r="F487" s="2" t="s">
        <v>6089</v>
      </c>
      <c r="G487" s="22" t="s">
        <v>19814</v>
      </c>
      <c r="H487" s="24" t="s">
        <v>19770</v>
      </c>
      <c r="I487" s="22" t="s">
        <v>19309</v>
      </c>
      <c r="J487" s="22" t="s">
        <v>19708</v>
      </c>
      <c r="K487" s="22" t="s">
        <v>19709</v>
      </c>
      <c r="L487" s="22"/>
      <c r="M487" s="22"/>
      <c r="N487" s="25" t="str">
        <f>HYPERLINK("http://slimages.macys.com/is/image/MCY/21411366 ")</f>
        <v xml:space="preserve">http://slimages.macys.com/is/image/MCY/21411366 </v>
      </c>
    </row>
    <row r="488" spans="1:14" x14ac:dyDescent="0.25">
      <c r="A488" s="21" t="s">
        <v>6098</v>
      </c>
      <c r="B488" s="22" t="s">
        <v>6099</v>
      </c>
      <c r="C488" s="2">
        <v>1</v>
      </c>
      <c r="D488" s="23">
        <v>10.47</v>
      </c>
      <c r="E488" s="3">
        <v>10.47</v>
      </c>
      <c r="F488" s="2" t="s">
        <v>6984</v>
      </c>
      <c r="G488" s="22"/>
      <c r="H488" s="24" t="s">
        <v>19324</v>
      </c>
      <c r="I488" s="22" t="s">
        <v>19309</v>
      </c>
      <c r="J488" s="22" t="s">
        <v>19708</v>
      </c>
      <c r="K488" s="22" t="s">
        <v>19709</v>
      </c>
      <c r="L488" s="22"/>
      <c r="M488" s="22"/>
      <c r="N488" s="25" t="str">
        <f>HYPERLINK("http://slimages.macys.com/is/image/MCY/21411388 ")</f>
        <v xml:space="preserve">http://slimages.macys.com/is/image/MCY/21411388 </v>
      </c>
    </row>
    <row r="489" spans="1:14" x14ac:dyDescent="0.25">
      <c r="A489" s="21" t="s">
        <v>6100</v>
      </c>
      <c r="B489" s="22" t="s">
        <v>6101</v>
      </c>
      <c r="C489" s="2">
        <v>1</v>
      </c>
      <c r="D489" s="23">
        <v>10.47</v>
      </c>
      <c r="E489" s="3">
        <v>10.47</v>
      </c>
      <c r="F489" s="2" t="s">
        <v>6102</v>
      </c>
      <c r="G489" s="22" t="s">
        <v>19431</v>
      </c>
      <c r="H489" s="24" t="s">
        <v>20159</v>
      </c>
      <c r="I489" s="22" t="s">
        <v>19309</v>
      </c>
      <c r="J489" s="22" t="s">
        <v>19708</v>
      </c>
      <c r="K489" s="22" t="s">
        <v>19709</v>
      </c>
      <c r="L489" s="22"/>
      <c r="M489" s="22"/>
      <c r="N489" s="25" t="str">
        <f>HYPERLINK("http://slimages.macys.com/is/image/MCY/21411388 ")</f>
        <v xml:space="preserve">http://slimages.macys.com/is/image/MCY/21411388 </v>
      </c>
    </row>
    <row r="490" spans="1:14" x14ac:dyDescent="0.25">
      <c r="A490" s="21" t="s">
        <v>6103</v>
      </c>
      <c r="B490" s="22" t="s">
        <v>6104</v>
      </c>
      <c r="C490" s="2">
        <v>1</v>
      </c>
      <c r="D490" s="23">
        <v>10.47</v>
      </c>
      <c r="E490" s="3">
        <v>10.47</v>
      </c>
      <c r="F490" s="2" t="s">
        <v>6105</v>
      </c>
      <c r="G490" s="22" t="s">
        <v>19594</v>
      </c>
      <c r="H490" s="24" t="s">
        <v>19367</v>
      </c>
      <c r="I490" s="22" t="s">
        <v>19309</v>
      </c>
      <c r="J490" s="22" t="s">
        <v>19708</v>
      </c>
      <c r="K490" s="22" t="s">
        <v>19709</v>
      </c>
      <c r="L490" s="22"/>
      <c r="M490" s="22"/>
      <c r="N490" s="25" t="str">
        <f>HYPERLINK("http://slimages.macys.com/is/image/MCY/21411414 ")</f>
        <v xml:space="preserve">http://slimages.macys.com/is/image/MCY/21411414 </v>
      </c>
    </row>
    <row r="491" spans="1:14" x14ac:dyDescent="0.25">
      <c r="A491" s="21" t="s">
        <v>16424</v>
      </c>
      <c r="B491" s="22" t="s">
        <v>16425</v>
      </c>
      <c r="C491" s="2">
        <v>1</v>
      </c>
      <c r="D491" s="23">
        <v>9.99</v>
      </c>
      <c r="E491" s="3">
        <v>9.99</v>
      </c>
      <c r="F491" s="2" t="s">
        <v>16419</v>
      </c>
      <c r="G491" s="22" t="s">
        <v>19477</v>
      </c>
      <c r="H491" s="24" t="s">
        <v>20135</v>
      </c>
      <c r="I491" s="22" t="s">
        <v>19309</v>
      </c>
      <c r="J491" s="22" t="s">
        <v>19849</v>
      </c>
      <c r="K491" s="22" t="s">
        <v>19850</v>
      </c>
      <c r="L491" s="22"/>
      <c r="M491" s="22"/>
      <c r="N491" s="25" t="str">
        <f>HYPERLINK("http://slimages.macys.com/is/image/MCY/1449793 ")</f>
        <v xml:space="preserve">http://slimages.macys.com/is/image/MCY/1449793 </v>
      </c>
    </row>
    <row r="492" spans="1:14" x14ac:dyDescent="0.25">
      <c r="A492" s="21" t="s">
        <v>6106</v>
      </c>
      <c r="B492" s="22" t="s">
        <v>6107</v>
      </c>
      <c r="C492" s="2">
        <v>2</v>
      </c>
      <c r="D492" s="23">
        <v>9.99</v>
      </c>
      <c r="E492" s="3">
        <v>19.98</v>
      </c>
      <c r="F492" s="2" t="s">
        <v>16419</v>
      </c>
      <c r="G492" s="22" t="s">
        <v>19477</v>
      </c>
      <c r="H492" s="24" t="s">
        <v>19907</v>
      </c>
      <c r="I492" s="22" t="s">
        <v>19309</v>
      </c>
      <c r="J492" s="22" t="s">
        <v>19849</v>
      </c>
      <c r="K492" s="22" t="s">
        <v>19850</v>
      </c>
      <c r="L492" s="22"/>
      <c r="M492" s="22"/>
      <c r="N492" s="25" t="str">
        <f>HYPERLINK("http://slimages.macys.com/is/image/MCY/20949597 ")</f>
        <v xml:space="preserve">http://slimages.macys.com/is/image/MCY/20949597 </v>
      </c>
    </row>
    <row r="493" spans="1:14" x14ac:dyDescent="0.25">
      <c r="A493" s="21" t="s">
        <v>16417</v>
      </c>
      <c r="B493" s="22" t="s">
        <v>16418</v>
      </c>
      <c r="C493" s="2">
        <v>2</v>
      </c>
      <c r="D493" s="23">
        <v>9.99</v>
      </c>
      <c r="E493" s="3">
        <v>19.98</v>
      </c>
      <c r="F493" s="2" t="s">
        <v>16419</v>
      </c>
      <c r="G493" s="22" t="s">
        <v>19477</v>
      </c>
      <c r="H493" s="24" t="s">
        <v>19542</v>
      </c>
      <c r="I493" s="22" t="s">
        <v>19309</v>
      </c>
      <c r="J493" s="22" t="s">
        <v>19849</v>
      </c>
      <c r="K493" s="22" t="s">
        <v>19850</v>
      </c>
      <c r="L493" s="22"/>
      <c r="M493" s="22"/>
      <c r="N493" s="25" t="str">
        <f>HYPERLINK("http://slimages.macys.com/is/image/MCY/1449793 ")</f>
        <v xml:space="preserve">http://slimages.macys.com/is/image/MCY/1449793 </v>
      </c>
    </row>
    <row r="494" spans="1:14" x14ac:dyDescent="0.25">
      <c r="A494" s="21" t="s">
        <v>16426</v>
      </c>
      <c r="B494" s="22" t="s">
        <v>16427</v>
      </c>
      <c r="C494" s="2">
        <v>2</v>
      </c>
      <c r="D494" s="23">
        <v>7.99</v>
      </c>
      <c r="E494" s="3">
        <v>15.98</v>
      </c>
      <c r="F494" s="2" t="s">
        <v>16840</v>
      </c>
      <c r="G494" s="22" t="s">
        <v>19431</v>
      </c>
      <c r="H494" s="24" t="s">
        <v>20089</v>
      </c>
      <c r="I494" s="22" t="s">
        <v>19309</v>
      </c>
      <c r="J494" s="22" t="s">
        <v>19849</v>
      </c>
      <c r="K494" s="22" t="s">
        <v>19850</v>
      </c>
      <c r="L494" s="22"/>
      <c r="M494" s="22"/>
      <c r="N494" s="25" t="str">
        <f>HYPERLINK("http://slimages.macys.com/is/image/MCY/19068277 ")</f>
        <v xml:space="preserve">http://slimages.macys.com/is/image/MCY/19068277 </v>
      </c>
    </row>
    <row r="495" spans="1:14" x14ac:dyDescent="0.25">
      <c r="A495" s="21" t="s">
        <v>9111</v>
      </c>
      <c r="B495" s="22" t="s">
        <v>9112</v>
      </c>
      <c r="C495" s="2">
        <v>1</v>
      </c>
      <c r="D495" s="23">
        <v>6.99</v>
      </c>
      <c r="E495" s="3">
        <v>6.99</v>
      </c>
      <c r="F495" s="2" t="s">
        <v>18841</v>
      </c>
      <c r="G495" s="22" t="s">
        <v>19674</v>
      </c>
      <c r="H495" s="24" t="s">
        <v>19797</v>
      </c>
      <c r="I495" s="22" t="s">
        <v>19309</v>
      </c>
      <c r="J495" s="22" t="s">
        <v>19849</v>
      </c>
      <c r="K495" s="22" t="s">
        <v>19850</v>
      </c>
      <c r="L495" s="22"/>
      <c r="M495" s="22"/>
      <c r="N495" s="25" t="str">
        <f>HYPERLINK("http://slimages.macys.com/is/image/MCY/19068309 ")</f>
        <v xml:space="preserve">http://slimages.macys.com/is/image/MCY/19068309 </v>
      </c>
    </row>
    <row r="496" spans="1:14" ht="24.75" x14ac:dyDescent="0.25">
      <c r="A496" s="21" t="s">
        <v>16845</v>
      </c>
      <c r="B496" s="22" t="s">
        <v>16846</v>
      </c>
      <c r="C496" s="2">
        <v>2</v>
      </c>
      <c r="D496" s="23">
        <v>6.99</v>
      </c>
      <c r="E496" s="3">
        <v>13.98</v>
      </c>
      <c r="F496" s="2" t="s">
        <v>18841</v>
      </c>
      <c r="G496" s="22" t="s">
        <v>19955</v>
      </c>
      <c r="H496" s="24" t="s">
        <v>19339</v>
      </c>
      <c r="I496" s="22" t="s">
        <v>19309</v>
      </c>
      <c r="J496" s="22" t="s">
        <v>19849</v>
      </c>
      <c r="K496" s="22" t="s">
        <v>19850</v>
      </c>
      <c r="L496" s="22"/>
      <c r="M496" s="22"/>
      <c r="N496" s="25" t="str">
        <f>HYPERLINK("http://slimages.macys.com/is/image/MCY/22503910 ")</f>
        <v xml:space="preserve">http://slimages.macys.com/is/image/MCY/22503910 </v>
      </c>
    </row>
    <row r="497" spans="1:14" x14ac:dyDescent="0.25">
      <c r="A497" s="21" t="s">
        <v>6108</v>
      </c>
      <c r="B497" s="22" t="s">
        <v>6109</v>
      </c>
      <c r="C497" s="2">
        <v>1</v>
      </c>
      <c r="D497" s="23">
        <v>9.99</v>
      </c>
      <c r="E497" s="3">
        <v>9.99</v>
      </c>
      <c r="F497" s="2" t="s">
        <v>16855</v>
      </c>
      <c r="G497" s="22" t="s">
        <v>19670</v>
      </c>
      <c r="H497" s="24" t="s">
        <v>19542</v>
      </c>
      <c r="I497" s="22" t="s">
        <v>19309</v>
      </c>
      <c r="J497" s="22" t="s">
        <v>19849</v>
      </c>
      <c r="K497" s="22" t="s">
        <v>19850</v>
      </c>
      <c r="L497" s="22"/>
      <c r="M497" s="22"/>
      <c r="N497" s="25" t="str">
        <f>HYPERLINK("http://slimages.macys.com/is/image/MCY/20549003 ")</f>
        <v xml:space="preserve">http://slimages.macys.com/is/image/MCY/20549003 </v>
      </c>
    </row>
    <row r="498" spans="1:14" x14ac:dyDescent="0.25">
      <c r="A498" s="21" t="s">
        <v>6110</v>
      </c>
      <c r="B498" s="22" t="s">
        <v>6111</v>
      </c>
      <c r="C498" s="2">
        <v>1</v>
      </c>
      <c r="D498" s="23">
        <v>9.99</v>
      </c>
      <c r="E498" s="3">
        <v>9.99</v>
      </c>
      <c r="F498" s="2" t="s">
        <v>16855</v>
      </c>
      <c r="G498" s="22" t="s">
        <v>19670</v>
      </c>
      <c r="H498" s="24" t="s">
        <v>20089</v>
      </c>
      <c r="I498" s="22" t="s">
        <v>19309</v>
      </c>
      <c r="J498" s="22" t="s">
        <v>19849</v>
      </c>
      <c r="K498" s="22" t="s">
        <v>19850</v>
      </c>
      <c r="L498" s="22"/>
      <c r="M498" s="22"/>
      <c r="N498" s="25" t="str">
        <f>HYPERLINK("http://slimages.macys.com/is/image/MCY/20549003 ")</f>
        <v xml:space="preserve">http://slimages.macys.com/is/image/MCY/20549003 </v>
      </c>
    </row>
    <row r="499" spans="1:14" x14ac:dyDescent="0.25">
      <c r="A499" s="21" t="s">
        <v>6112</v>
      </c>
      <c r="B499" s="22" t="s">
        <v>6113</v>
      </c>
      <c r="C499" s="2">
        <v>1</v>
      </c>
      <c r="D499" s="23">
        <v>7.7</v>
      </c>
      <c r="E499" s="3">
        <v>7.7</v>
      </c>
      <c r="F499" s="2" t="s">
        <v>6114</v>
      </c>
      <c r="G499" s="22" t="s">
        <v>19622</v>
      </c>
      <c r="H499" s="24"/>
      <c r="I499" s="22" t="s">
        <v>19309</v>
      </c>
      <c r="J499" s="22" t="s">
        <v>19417</v>
      </c>
      <c r="K499" s="22" t="s">
        <v>6084</v>
      </c>
      <c r="L499" s="22" t="s">
        <v>19319</v>
      </c>
      <c r="M499" s="22" t="s">
        <v>17531</v>
      </c>
      <c r="N499" s="25" t="str">
        <f>HYPERLINK("http://slimages.macys.com/is/image/MCY/16643160 ")</f>
        <v xml:space="preserve">http://slimages.macys.com/is/image/MCY/16643160 </v>
      </c>
    </row>
    <row r="500" spans="1:14" ht="24.75" x14ac:dyDescent="0.25">
      <c r="A500" s="21" t="s">
        <v>18864</v>
      </c>
      <c r="B500" s="22" t="s">
        <v>18865</v>
      </c>
      <c r="C500" s="2">
        <v>1</v>
      </c>
      <c r="D500" s="23">
        <v>10.99</v>
      </c>
      <c r="E500" s="3">
        <v>10.99</v>
      </c>
      <c r="F500" s="2" t="s">
        <v>18866</v>
      </c>
      <c r="G500" s="22" t="s">
        <v>19351</v>
      </c>
      <c r="H500" s="24" t="s">
        <v>19324</v>
      </c>
      <c r="I500" s="22" t="s">
        <v>19309</v>
      </c>
      <c r="J500" s="22" t="s">
        <v>19573</v>
      </c>
      <c r="K500" s="22" t="s">
        <v>19574</v>
      </c>
      <c r="L500" s="22"/>
      <c r="M500" s="22"/>
      <c r="N500" s="25" t="str">
        <f>HYPERLINK("http://slimages.macys.com/is/image/MCY/21088530 ")</f>
        <v xml:space="preserve">http://slimages.macys.com/is/image/MCY/21088530 </v>
      </c>
    </row>
    <row r="501" spans="1:14" ht="24.75" x14ac:dyDescent="0.25">
      <c r="A501" s="21" t="s">
        <v>6115</v>
      </c>
      <c r="B501" s="22" t="s">
        <v>6116</v>
      </c>
      <c r="C501" s="2">
        <v>1</v>
      </c>
      <c r="D501" s="23">
        <v>8.99</v>
      </c>
      <c r="E501" s="3">
        <v>8.99</v>
      </c>
      <c r="F501" s="2" t="s">
        <v>16881</v>
      </c>
      <c r="G501" s="22" t="s">
        <v>19431</v>
      </c>
      <c r="H501" s="24" t="s">
        <v>19361</v>
      </c>
      <c r="I501" s="22" t="s">
        <v>19309</v>
      </c>
      <c r="J501" s="22" t="s">
        <v>19815</v>
      </c>
      <c r="K501" s="22" t="s">
        <v>19816</v>
      </c>
      <c r="L501" s="22"/>
      <c r="M501" s="22"/>
      <c r="N501" s="25" t="str">
        <f>HYPERLINK("http://slimages.macys.com/is/image/MCY/21341659 ")</f>
        <v xml:space="preserve">http://slimages.macys.com/is/image/MCY/21341659 </v>
      </c>
    </row>
    <row r="502" spans="1:14" ht="24.75" x14ac:dyDescent="0.25">
      <c r="A502" s="21" t="s">
        <v>6117</v>
      </c>
      <c r="B502" s="22" t="s">
        <v>6118</v>
      </c>
      <c r="C502" s="2">
        <v>1</v>
      </c>
      <c r="D502" s="23">
        <v>7.99</v>
      </c>
      <c r="E502" s="3">
        <v>7.99</v>
      </c>
      <c r="F502" s="2" t="s">
        <v>6119</v>
      </c>
      <c r="G502" s="22" t="s">
        <v>19431</v>
      </c>
      <c r="H502" s="24" t="s">
        <v>20135</v>
      </c>
      <c r="I502" s="22" t="s">
        <v>19309</v>
      </c>
      <c r="J502" s="22" t="s">
        <v>19573</v>
      </c>
      <c r="K502" s="22" t="s">
        <v>19574</v>
      </c>
      <c r="L502" s="22"/>
      <c r="M502" s="22"/>
      <c r="N502" s="25" t="str">
        <f>HYPERLINK("http://slimages.macys.com/is/image/MCY/19977391 ")</f>
        <v xml:space="preserve">http://slimages.macys.com/is/image/MCY/19977391 </v>
      </c>
    </row>
    <row r="503" spans="1:14" ht="24.75" x14ac:dyDescent="0.25">
      <c r="A503" s="21" t="s">
        <v>16888</v>
      </c>
      <c r="B503" s="22" t="s">
        <v>16889</v>
      </c>
      <c r="C503" s="2">
        <v>1</v>
      </c>
      <c r="D503" s="23">
        <v>9.99</v>
      </c>
      <c r="E503" s="3">
        <v>9.99</v>
      </c>
      <c r="F503" s="2" t="s">
        <v>18881</v>
      </c>
      <c r="G503" s="22" t="s">
        <v>19333</v>
      </c>
      <c r="H503" s="24" t="s">
        <v>19352</v>
      </c>
      <c r="I503" s="22" t="s">
        <v>19309</v>
      </c>
      <c r="J503" s="22" t="s">
        <v>19353</v>
      </c>
      <c r="K503" s="22" t="s">
        <v>19524</v>
      </c>
      <c r="L503" s="22"/>
      <c r="M503" s="22"/>
      <c r="N503" s="25" t="str">
        <f>HYPERLINK("http://slimages.macys.com/is/image/MCY/1484637 ")</f>
        <v xml:space="preserve">http://slimages.macys.com/is/image/MCY/1484637 </v>
      </c>
    </row>
    <row r="504" spans="1:14" ht="24.75" x14ac:dyDescent="0.25">
      <c r="A504" s="21" t="s">
        <v>6120</v>
      </c>
      <c r="B504" s="22" t="s">
        <v>6121</v>
      </c>
      <c r="C504" s="2">
        <v>1</v>
      </c>
      <c r="D504" s="23">
        <v>8.41</v>
      </c>
      <c r="E504" s="3">
        <v>8.41</v>
      </c>
      <c r="F504" s="2" t="s">
        <v>6122</v>
      </c>
      <c r="G504" s="22"/>
      <c r="H504" s="24" t="s">
        <v>19392</v>
      </c>
      <c r="I504" s="22" t="s">
        <v>19309</v>
      </c>
      <c r="J504" s="22" t="s">
        <v>19602</v>
      </c>
      <c r="K504" s="22" t="s">
        <v>20041</v>
      </c>
      <c r="L504" s="22"/>
      <c r="M504" s="22"/>
      <c r="N504" s="25" t="str">
        <f>HYPERLINK("http://slimages.macys.com/is/image/MCY/21421520 ")</f>
        <v xml:space="preserve">http://slimages.macys.com/is/image/MCY/21421520 </v>
      </c>
    </row>
    <row r="505" spans="1:14" ht="24.75" x14ac:dyDescent="0.25">
      <c r="A505" s="21" t="s">
        <v>10053</v>
      </c>
      <c r="B505" s="22" t="s">
        <v>10054</v>
      </c>
      <c r="C505" s="2">
        <v>1</v>
      </c>
      <c r="D505" s="23">
        <v>8.42</v>
      </c>
      <c r="E505" s="3">
        <v>8.42</v>
      </c>
      <c r="F505" s="2" t="s">
        <v>16460</v>
      </c>
      <c r="G505" s="22"/>
      <c r="H505" s="24" t="s">
        <v>19392</v>
      </c>
      <c r="I505" s="22" t="s">
        <v>19309</v>
      </c>
      <c r="J505" s="22" t="s">
        <v>19602</v>
      </c>
      <c r="K505" s="22" t="s">
        <v>20041</v>
      </c>
      <c r="L505" s="22"/>
      <c r="M505" s="22"/>
      <c r="N505" s="25" t="str">
        <f>HYPERLINK("http://slimages.macys.com/is/image/MCY/21722988 ")</f>
        <v xml:space="preserve">http://slimages.macys.com/is/image/MCY/21722988 </v>
      </c>
    </row>
    <row r="506" spans="1:14" ht="24.75" x14ac:dyDescent="0.25">
      <c r="A506" s="21" t="s">
        <v>16458</v>
      </c>
      <c r="B506" s="22" t="s">
        <v>16459</v>
      </c>
      <c r="C506" s="2">
        <v>1</v>
      </c>
      <c r="D506" s="23">
        <v>8.42</v>
      </c>
      <c r="E506" s="3">
        <v>8.42</v>
      </c>
      <c r="F506" s="2" t="s">
        <v>16460</v>
      </c>
      <c r="G506" s="22"/>
      <c r="H506" s="24"/>
      <c r="I506" s="22" t="s">
        <v>19309</v>
      </c>
      <c r="J506" s="22" t="s">
        <v>19602</v>
      </c>
      <c r="K506" s="22" t="s">
        <v>20041</v>
      </c>
      <c r="L506" s="22"/>
      <c r="M506" s="22"/>
      <c r="N506" s="25" t="str">
        <f>HYPERLINK("http://slimages.macys.com/is/image/MCY/21722988 ")</f>
        <v xml:space="preserve">http://slimages.macys.com/is/image/MCY/21722988 </v>
      </c>
    </row>
    <row r="507" spans="1:14" ht="24.75" x14ac:dyDescent="0.25">
      <c r="A507" s="21" t="s">
        <v>10051</v>
      </c>
      <c r="B507" s="22" t="s">
        <v>10052</v>
      </c>
      <c r="C507" s="2">
        <v>1</v>
      </c>
      <c r="D507" s="23">
        <v>8.42</v>
      </c>
      <c r="E507" s="3">
        <v>8.42</v>
      </c>
      <c r="F507" s="2" t="s">
        <v>16463</v>
      </c>
      <c r="G507" s="22"/>
      <c r="H507" s="24" t="s">
        <v>19345</v>
      </c>
      <c r="I507" s="22" t="s">
        <v>19309</v>
      </c>
      <c r="J507" s="22" t="s">
        <v>19602</v>
      </c>
      <c r="K507" s="22" t="s">
        <v>20041</v>
      </c>
      <c r="L507" s="22"/>
      <c r="M507" s="22"/>
      <c r="N507" s="25" t="str">
        <f>HYPERLINK("http://slimages.macys.com/is/image/MCY/21722988 ")</f>
        <v xml:space="preserve">http://slimages.macys.com/is/image/MCY/21722988 </v>
      </c>
    </row>
    <row r="508" spans="1:14" ht="24.75" x14ac:dyDescent="0.25">
      <c r="A508" s="21" t="s">
        <v>16877</v>
      </c>
      <c r="B508" s="22" t="s">
        <v>16878</v>
      </c>
      <c r="C508" s="2">
        <v>1</v>
      </c>
      <c r="D508" s="23">
        <v>9.99</v>
      </c>
      <c r="E508" s="3">
        <v>9.99</v>
      </c>
      <c r="F508" s="2" t="s">
        <v>18881</v>
      </c>
      <c r="G508" s="22" t="s">
        <v>19415</v>
      </c>
      <c r="H508" s="24" t="s">
        <v>19364</v>
      </c>
      <c r="I508" s="22" t="s">
        <v>19309</v>
      </c>
      <c r="J508" s="22" t="s">
        <v>19353</v>
      </c>
      <c r="K508" s="22" t="s">
        <v>19524</v>
      </c>
      <c r="L508" s="22"/>
      <c r="M508" s="22"/>
      <c r="N508" s="25" t="str">
        <f>HYPERLINK("http://slimages.macys.com/is/image/MCY/21083388 ")</f>
        <v xml:space="preserve">http://slimages.macys.com/is/image/MCY/21083388 </v>
      </c>
    </row>
    <row r="509" spans="1:14" x14ac:dyDescent="0.25">
      <c r="A509" s="21" t="s">
        <v>6123</v>
      </c>
      <c r="B509" s="22" t="s">
        <v>6124</v>
      </c>
      <c r="C509" s="2">
        <v>1</v>
      </c>
      <c r="D509" s="23">
        <v>9.44</v>
      </c>
      <c r="E509" s="3">
        <v>9.44</v>
      </c>
      <c r="F509" s="2" t="s">
        <v>6125</v>
      </c>
      <c r="G509" s="22" t="s">
        <v>19357</v>
      </c>
      <c r="H509" s="24" t="s">
        <v>20159</v>
      </c>
      <c r="I509" s="22" t="s">
        <v>19309</v>
      </c>
      <c r="J509" s="22" t="s">
        <v>19708</v>
      </c>
      <c r="K509" s="22" t="s">
        <v>19709</v>
      </c>
      <c r="L509" s="22"/>
      <c r="M509" s="22"/>
      <c r="N509" s="25" t="str">
        <f>HYPERLINK("http://slimages.macys.com/is/image/MCY/21726391 ")</f>
        <v xml:space="preserve">http://slimages.macys.com/is/image/MCY/21726391 </v>
      </c>
    </row>
    <row r="510" spans="1:14" ht="24.75" x14ac:dyDescent="0.25">
      <c r="A510" s="21" t="s">
        <v>6126</v>
      </c>
      <c r="B510" s="22" t="s">
        <v>6127</v>
      </c>
      <c r="C510" s="2">
        <v>1</v>
      </c>
      <c r="D510" s="23">
        <v>7.99</v>
      </c>
      <c r="E510" s="3">
        <v>7.99</v>
      </c>
      <c r="F510" s="2" t="s">
        <v>16915</v>
      </c>
      <c r="G510" s="22" t="s">
        <v>19351</v>
      </c>
      <c r="H510" s="24" t="s">
        <v>19542</v>
      </c>
      <c r="I510" s="22" t="s">
        <v>19309</v>
      </c>
      <c r="J510" s="22" t="s">
        <v>19908</v>
      </c>
      <c r="K510" s="22" t="s">
        <v>19524</v>
      </c>
      <c r="L510" s="22"/>
      <c r="M510" s="22"/>
      <c r="N510" s="25" t="str">
        <f>HYPERLINK("http://slimages.macys.com/is/image/MCY/21070317 ")</f>
        <v xml:space="preserve">http://slimages.macys.com/is/image/MCY/21070317 </v>
      </c>
    </row>
    <row r="511" spans="1:14" ht="24.75" x14ac:dyDescent="0.25">
      <c r="A511" s="21" t="s">
        <v>6128</v>
      </c>
      <c r="B511" s="22" t="s">
        <v>6129</v>
      </c>
      <c r="C511" s="2">
        <v>1</v>
      </c>
      <c r="D511" s="23">
        <v>7.99</v>
      </c>
      <c r="E511" s="3">
        <v>7.99</v>
      </c>
      <c r="F511" s="2" t="s">
        <v>18889</v>
      </c>
      <c r="G511" s="22" t="s">
        <v>19674</v>
      </c>
      <c r="H511" s="24" t="s">
        <v>19377</v>
      </c>
      <c r="I511" s="22" t="s">
        <v>19309</v>
      </c>
      <c r="J511" s="22" t="s">
        <v>19908</v>
      </c>
      <c r="K511" s="22" t="s">
        <v>19524</v>
      </c>
      <c r="L511" s="22"/>
      <c r="M511" s="22"/>
      <c r="N511" s="25" t="str">
        <f>HYPERLINK("http://slimages.macys.com/is/image/MCY/21578893 ")</f>
        <v xml:space="preserve">http://slimages.macys.com/is/image/MCY/21578893 </v>
      </c>
    </row>
    <row r="512" spans="1:14" ht="24.75" x14ac:dyDescent="0.25">
      <c r="A512" s="21" t="s">
        <v>6130</v>
      </c>
      <c r="B512" s="22" t="s">
        <v>6131</v>
      </c>
      <c r="C512" s="2">
        <v>1</v>
      </c>
      <c r="D512" s="23">
        <v>7.99</v>
      </c>
      <c r="E512" s="3">
        <v>7.99</v>
      </c>
      <c r="F512" s="2" t="s">
        <v>18889</v>
      </c>
      <c r="G512" s="22" t="s">
        <v>19351</v>
      </c>
      <c r="H512" s="24" t="s">
        <v>20089</v>
      </c>
      <c r="I512" s="22" t="s">
        <v>19309</v>
      </c>
      <c r="J512" s="22" t="s">
        <v>19908</v>
      </c>
      <c r="K512" s="22" t="s">
        <v>19524</v>
      </c>
      <c r="L512" s="22"/>
      <c r="M512" s="22"/>
      <c r="N512" s="25" t="str">
        <f>HYPERLINK("http://slimages.macys.com/is/image/MCY/1414223 ")</f>
        <v xml:space="preserve">http://slimages.macys.com/is/image/MCY/1414223 </v>
      </c>
    </row>
    <row r="513" spans="1:14" ht="24.75" x14ac:dyDescent="0.25">
      <c r="A513" s="21" t="s">
        <v>6132</v>
      </c>
      <c r="B513" s="22" t="s">
        <v>6133</v>
      </c>
      <c r="C513" s="2">
        <v>2</v>
      </c>
      <c r="D513" s="23">
        <v>7.99</v>
      </c>
      <c r="E513" s="3">
        <v>15.98</v>
      </c>
      <c r="F513" s="2" t="s">
        <v>18889</v>
      </c>
      <c r="G513" s="22" t="s">
        <v>19351</v>
      </c>
      <c r="H513" s="24" t="s">
        <v>19907</v>
      </c>
      <c r="I513" s="22" t="s">
        <v>19309</v>
      </c>
      <c r="J513" s="22" t="s">
        <v>19908</v>
      </c>
      <c r="K513" s="22" t="s">
        <v>19524</v>
      </c>
      <c r="L513" s="22"/>
      <c r="M513" s="22"/>
      <c r="N513" s="25" t="str">
        <f>HYPERLINK("http://slimages.macys.com/is/image/MCY/1414223 ")</f>
        <v xml:space="preserve">http://slimages.macys.com/is/image/MCY/1414223 </v>
      </c>
    </row>
    <row r="514" spans="1:14" ht="24.75" x14ac:dyDescent="0.25">
      <c r="A514" s="21" t="s">
        <v>6134</v>
      </c>
      <c r="B514" s="22" t="s">
        <v>6135</v>
      </c>
      <c r="C514" s="2">
        <v>2</v>
      </c>
      <c r="D514" s="23">
        <v>7.99</v>
      </c>
      <c r="E514" s="3">
        <v>15.98</v>
      </c>
      <c r="F514" s="2" t="s">
        <v>18889</v>
      </c>
      <c r="G514" s="22" t="s">
        <v>19351</v>
      </c>
      <c r="H514" s="24" t="s">
        <v>19361</v>
      </c>
      <c r="I514" s="22" t="s">
        <v>19309</v>
      </c>
      <c r="J514" s="22" t="s">
        <v>19908</v>
      </c>
      <c r="K514" s="22" t="s">
        <v>19524</v>
      </c>
      <c r="L514" s="22"/>
      <c r="M514" s="22"/>
      <c r="N514" s="25" t="str">
        <f>HYPERLINK("http://slimages.macys.com/is/image/MCY/21578893 ")</f>
        <v xml:space="preserve">http://slimages.macys.com/is/image/MCY/21578893 </v>
      </c>
    </row>
    <row r="515" spans="1:14" ht="24.75" x14ac:dyDescent="0.25">
      <c r="A515" s="21" t="s">
        <v>6136</v>
      </c>
      <c r="B515" s="22" t="s">
        <v>6137</v>
      </c>
      <c r="C515" s="2">
        <v>1</v>
      </c>
      <c r="D515" s="23">
        <v>7.99</v>
      </c>
      <c r="E515" s="3">
        <v>7.99</v>
      </c>
      <c r="F515" s="2" t="s">
        <v>18889</v>
      </c>
      <c r="G515" s="22" t="s">
        <v>19351</v>
      </c>
      <c r="H515" s="24" t="s">
        <v>19377</v>
      </c>
      <c r="I515" s="22" t="s">
        <v>19309</v>
      </c>
      <c r="J515" s="22" t="s">
        <v>19908</v>
      </c>
      <c r="K515" s="22" t="s">
        <v>19524</v>
      </c>
      <c r="L515" s="22"/>
      <c r="M515" s="22"/>
      <c r="N515" s="25" t="str">
        <f>HYPERLINK("http://slimages.macys.com/is/image/MCY/1414223 ")</f>
        <v xml:space="preserve">http://slimages.macys.com/is/image/MCY/1414223 </v>
      </c>
    </row>
    <row r="516" spans="1:14" ht="24.75" x14ac:dyDescent="0.25">
      <c r="A516" s="21" t="s">
        <v>6138</v>
      </c>
      <c r="B516" s="22" t="s">
        <v>6139</v>
      </c>
      <c r="C516" s="2">
        <v>1</v>
      </c>
      <c r="D516" s="23">
        <v>7.99</v>
      </c>
      <c r="E516" s="3">
        <v>7.99</v>
      </c>
      <c r="F516" s="2" t="s">
        <v>16915</v>
      </c>
      <c r="G516" s="22" t="s">
        <v>19351</v>
      </c>
      <c r="H516" s="24" t="s">
        <v>19377</v>
      </c>
      <c r="I516" s="22" t="s">
        <v>19309</v>
      </c>
      <c r="J516" s="22" t="s">
        <v>19908</v>
      </c>
      <c r="K516" s="22" t="s">
        <v>19524</v>
      </c>
      <c r="L516" s="22"/>
      <c r="M516" s="22"/>
      <c r="N516" s="25" t="str">
        <f>HYPERLINK("http://slimages.macys.com/is/image/MCY/21070317 ")</f>
        <v xml:space="preserve">http://slimages.macys.com/is/image/MCY/21070317 </v>
      </c>
    </row>
    <row r="517" spans="1:14" x14ac:dyDescent="0.25">
      <c r="A517" s="21" t="s">
        <v>14648</v>
      </c>
      <c r="B517" s="22" t="s">
        <v>14649</v>
      </c>
      <c r="C517" s="2">
        <v>3</v>
      </c>
      <c r="D517" s="23">
        <v>11.99</v>
      </c>
      <c r="E517" s="3">
        <v>35.97</v>
      </c>
      <c r="F517" s="2" t="s">
        <v>14643</v>
      </c>
      <c r="G517" s="22" t="s">
        <v>19513</v>
      </c>
      <c r="H517" s="24" t="s">
        <v>19339</v>
      </c>
      <c r="I517" s="22" t="s">
        <v>19309</v>
      </c>
      <c r="J517" s="22" t="s">
        <v>19849</v>
      </c>
      <c r="K517" s="22" t="s">
        <v>19850</v>
      </c>
      <c r="L517" s="22"/>
      <c r="M517" s="22"/>
      <c r="N517" s="25" t="str">
        <f>HYPERLINK("http://slimages.macys.com/is/image/MCY/21278245 ")</f>
        <v xml:space="preserve">http://slimages.macys.com/is/image/MCY/21278245 </v>
      </c>
    </row>
    <row r="518" spans="1:14" x14ac:dyDescent="0.25">
      <c r="A518" s="21" t="s">
        <v>14641</v>
      </c>
      <c r="B518" s="22" t="s">
        <v>14642</v>
      </c>
      <c r="C518" s="2">
        <v>1</v>
      </c>
      <c r="D518" s="23">
        <v>11.99</v>
      </c>
      <c r="E518" s="3">
        <v>11.99</v>
      </c>
      <c r="F518" s="2" t="s">
        <v>14643</v>
      </c>
      <c r="G518" s="22" t="s">
        <v>19513</v>
      </c>
      <c r="H518" s="24" t="s">
        <v>19352</v>
      </c>
      <c r="I518" s="22" t="s">
        <v>19309</v>
      </c>
      <c r="J518" s="22" t="s">
        <v>19849</v>
      </c>
      <c r="K518" s="22" t="s">
        <v>19850</v>
      </c>
      <c r="L518" s="22"/>
      <c r="M518" s="22"/>
      <c r="N518" s="25" t="str">
        <f>HYPERLINK("http://slimages.macys.com/is/image/MCY/21278245 ")</f>
        <v xml:space="preserve">http://slimages.macys.com/is/image/MCY/21278245 </v>
      </c>
    </row>
    <row r="519" spans="1:14" x14ac:dyDescent="0.25">
      <c r="A519" s="21" t="s">
        <v>9151</v>
      </c>
      <c r="B519" s="22" t="s">
        <v>9152</v>
      </c>
      <c r="C519" s="2">
        <v>2</v>
      </c>
      <c r="D519" s="23">
        <v>9.99</v>
      </c>
      <c r="E519" s="3">
        <v>19.98</v>
      </c>
      <c r="F519" s="2" t="s">
        <v>9150</v>
      </c>
      <c r="G519" s="22" t="s">
        <v>19674</v>
      </c>
      <c r="H519" s="24" t="s">
        <v>19377</v>
      </c>
      <c r="I519" s="22" t="s">
        <v>19309</v>
      </c>
      <c r="J519" s="22" t="s">
        <v>19849</v>
      </c>
      <c r="K519" s="22" t="s">
        <v>19850</v>
      </c>
      <c r="L519" s="22"/>
      <c r="M519" s="22"/>
      <c r="N519" s="25" t="str">
        <f>HYPERLINK("http://slimages.macys.com/is/image/MCY/21351632 ")</f>
        <v xml:space="preserve">http://slimages.macys.com/is/image/MCY/21351632 </v>
      </c>
    </row>
    <row r="520" spans="1:14" x14ac:dyDescent="0.25">
      <c r="A520" s="21" t="s">
        <v>9153</v>
      </c>
      <c r="B520" s="22" t="s">
        <v>9154</v>
      </c>
      <c r="C520" s="2">
        <v>2</v>
      </c>
      <c r="D520" s="23">
        <v>9.99</v>
      </c>
      <c r="E520" s="3">
        <v>19.98</v>
      </c>
      <c r="F520" s="2" t="s">
        <v>9150</v>
      </c>
      <c r="G520" s="22" t="s">
        <v>19674</v>
      </c>
      <c r="H520" s="24" t="s">
        <v>20135</v>
      </c>
      <c r="I520" s="22" t="s">
        <v>19309</v>
      </c>
      <c r="J520" s="22" t="s">
        <v>19849</v>
      </c>
      <c r="K520" s="22" t="s">
        <v>19850</v>
      </c>
      <c r="L520" s="22"/>
      <c r="M520" s="22"/>
      <c r="N520" s="25" t="str">
        <f>HYPERLINK("http://slimages.macys.com/is/image/MCY/21351632 ")</f>
        <v xml:space="preserve">http://slimages.macys.com/is/image/MCY/21351632 </v>
      </c>
    </row>
    <row r="521" spans="1:14" ht="24.75" x14ac:dyDescent="0.25">
      <c r="A521" s="21" t="s">
        <v>18904</v>
      </c>
      <c r="B521" s="22" t="s">
        <v>18905</v>
      </c>
      <c r="C521" s="2">
        <v>1</v>
      </c>
      <c r="D521" s="23">
        <v>7.99</v>
      </c>
      <c r="E521" s="3">
        <v>7.99</v>
      </c>
      <c r="F521" s="2" t="s">
        <v>18906</v>
      </c>
      <c r="G521" s="22" t="s">
        <v>19333</v>
      </c>
      <c r="H521" s="24" t="s">
        <v>19907</v>
      </c>
      <c r="I521" s="22" t="s">
        <v>19309</v>
      </c>
      <c r="J521" s="22" t="s">
        <v>19908</v>
      </c>
      <c r="K521" s="22" t="s">
        <v>19524</v>
      </c>
      <c r="L521" s="22"/>
      <c r="M521" s="22"/>
      <c r="N521" s="25" t="str">
        <f>HYPERLINK("http://slimages.macys.com/is/image/MCY/1415038 ")</f>
        <v xml:space="preserve">http://slimages.macys.com/is/image/MCY/1415038 </v>
      </c>
    </row>
    <row r="522" spans="1:14" ht="24.75" x14ac:dyDescent="0.25">
      <c r="A522" s="21" t="s">
        <v>6140</v>
      </c>
      <c r="B522" s="22" t="s">
        <v>6141</v>
      </c>
      <c r="C522" s="2">
        <v>1</v>
      </c>
      <c r="D522" s="23">
        <v>7.99</v>
      </c>
      <c r="E522" s="3">
        <v>7.99</v>
      </c>
      <c r="F522" s="2" t="s">
        <v>7036</v>
      </c>
      <c r="G522" s="22" t="s">
        <v>19674</v>
      </c>
      <c r="H522" s="24" t="s">
        <v>19361</v>
      </c>
      <c r="I522" s="22" t="s">
        <v>19309</v>
      </c>
      <c r="J522" s="22" t="s">
        <v>19908</v>
      </c>
      <c r="K522" s="22" t="s">
        <v>19524</v>
      </c>
      <c r="L522" s="22"/>
      <c r="M522" s="22"/>
      <c r="N522" s="25" t="str">
        <f>HYPERLINK("http://slimages.macys.com/is/image/MCY/21070277 ")</f>
        <v xml:space="preserve">http://slimages.macys.com/is/image/MCY/21070277 </v>
      </c>
    </row>
    <row r="523" spans="1:14" ht="24.75" x14ac:dyDescent="0.25">
      <c r="A523" s="21" t="s">
        <v>9165</v>
      </c>
      <c r="B523" s="22" t="s">
        <v>9166</v>
      </c>
      <c r="C523" s="2">
        <v>1</v>
      </c>
      <c r="D523" s="23">
        <v>7.99</v>
      </c>
      <c r="E523" s="3">
        <v>7.99</v>
      </c>
      <c r="F523" s="2" t="s">
        <v>14658</v>
      </c>
      <c r="G523" s="22" t="s">
        <v>19670</v>
      </c>
      <c r="H523" s="24" t="s">
        <v>19542</v>
      </c>
      <c r="I523" s="22" t="s">
        <v>19309</v>
      </c>
      <c r="J523" s="22" t="s">
        <v>19908</v>
      </c>
      <c r="K523" s="22" t="s">
        <v>19524</v>
      </c>
      <c r="L523" s="22"/>
      <c r="M523" s="22"/>
      <c r="N523" s="25" t="str">
        <f>HYPERLINK("http://slimages.macys.com/is/image/MCY/21070312 ")</f>
        <v xml:space="preserve">http://slimages.macys.com/is/image/MCY/21070312 </v>
      </c>
    </row>
    <row r="524" spans="1:14" ht="24.75" x14ac:dyDescent="0.25">
      <c r="A524" s="21" t="s">
        <v>7039</v>
      </c>
      <c r="B524" s="22" t="s">
        <v>7040</v>
      </c>
      <c r="C524" s="2">
        <v>1</v>
      </c>
      <c r="D524" s="23">
        <v>7.99</v>
      </c>
      <c r="E524" s="3">
        <v>7.99</v>
      </c>
      <c r="F524" s="2" t="s">
        <v>11122</v>
      </c>
      <c r="G524" s="22"/>
      <c r="H524" s="24" t="s">
        <v>7041</v>
      </c>
      <c r="I524" s="22" t="s">
        <v>19309</v>
      </c>
      <c r="J524" s="22" t="s">
        <v>20076</v>
      </c>
      <c r="K524" s="22" t="s">
        <v>11123</v>
      </c>
      <c r="L524" s="22" t="s">
        <v>19319</v>
      </c>
      <c r="M524" s="22" t="s">
        <v>19764</v>
      </c>
      <c r="N524" s="25" t="str">
        <f>HYPERLINK("http://slimages.macys.com/is/image/MCY/9998193 ")</f>
        <v xml:space="preserve">http://slimages.macys.com/is/image/MCY/9998193 </v>
      </c>
    </row>
    <row r="525" spans="1:14" x14ac:dyDescent="0.25">
      <c r="A525" s="21" t="s">
        <v>10068</v>
      </c>
      <c r="B525" s="22" t="s">
        <v>10069</v>
      </c>
      <c r="C525" s="2">
        <v>2</v>
      </c>
      <c r="D525" s="23">
        <v>5.99</v>
      </c>
      <c r="E525" s="3">
        <v>11.98</v>
      </c>
      <c r="F525" s="2" t="s">
        <v>18921</v>
      </c>
      <c r="G525" s="22" t="s">
        <v>19315</v>
      </c>
      <c r="H525" s="24" t="s">
        <v>19907</v>
      </c>
      <c r="I525" s="22" t="s">
        <v>19309</v>
      </c>
      <c r="J525" s="22" t="s">
        <v>19849</v>
      </c>
      <c r="K525" s="22" t="s">
        <v>19850</v>
      </c>
      <c r="L525" s="22"/>
      <c r="M525" s="22"/>
      <c r="N525" s="25" t="str">
        <f>HYPERLINK("http://slimages.macys.com/is/image/MCY/1099306 ")</f>
        <v xml:space="preserve">http://slimages.macys.com/is/image/MCY/1099306 </v>
      </c>
    </row>
    <row r="526" spans="1:14" x14ac:dyDescent="0.25">
      <c r="A526" s="21" t="s">
        <v>6142</v>
      </c>
      <c r="B526" s="22" t="s">
        <v>6143</v>
      </c>
      <c r="C526" s="2">
        <v>2</v>
      </c>
      <c r="D526" s="23">
        <v>5.99</v>
      </c>
      <c r="E526" s="3">
        <v>11.98</v>
      </c>
      <c r="F526" s="2" t="s">
        <v>18921</v>
      </c>
      <c r="G526" s="22" t="s">
        <v>19315</v>
      </c>
      <c r="H526" s="24" t="s">
        <v>19542</v>
      </c>
      <c r="I526" s="22" t="s">
        <v>19309</v>
      </c>
      <c r="J526" s="22" t="s">
        <v>19849</v>
      </c>
      <c r="K526" s="22" t="s">
        <v>19850</v>
      </c>
      <c r="L526" s="22"/>
      <c r="M526" s="22"/>
      <c r="N526" s="25" t="str">
        <f>HYPERLINK("http://slimages.macys.com/is/image/MCY/19068346 ")</f>
        <v xml:space="preserve">http://slimages.macys.com/is/image/MCY/19068346 </v>
      </c>
    </row>
    <row r="527" spans="1:14" x14ac:dyDescent="0.25">
      <c r="A527" s="21" t="s">
        <v>12507</v>
      </c>
      <c r="B527" s="22" t="s">
        <v>12508</v>
      </c>
      <c r="C527" s="2">
        <v>1</v>
      </c>
      <c r="D527" s="23">
        <v>5.99</v>
      </c>
      <c r="E527" s="3">
        <v>5.99</v>
      </c>
      <c r="F527" s="2" t="s">
        <v>18921</v>
      </c>
      <c r="G527" s="22" t="s">
        <v>19315</v>
      </c>
      <c r="H527" s="24" t="s">
        <v>20135</v>
      </c>
      <c r="I527" s="22" t="s">
        <v>19309</v>
      </c>
      <c r="J527" s="22" t="s">
        <v>19849</v>
      </c>
      <c r="K527" s="22" t="s">
        <v>19850</v>
      </c>
      <c r="L527" s="22"/>
      <c r="M527" s="22"/>
      <c r="N527" s="25" t="str">
        <f>HYPERLINK("http://slimages.macys.com/is/image/MCY/19068346 ")</f>
        <v xml:space="preserve">http://slimages.macys.com/is/image/MCY/19068346 </v>
      </c>
    </row>
    <row r="528" spans="1:14" x14ac:dyDescent="0.25">
      <c r="A528" s="21" t="s">
        <v>16936</v>
      </c>
      <c r="B528" s="22" t="s">
        <v>16937</v>
      </c>
      <c r="C528" s="2">
        <v>1</v>
      </c>
      <c r="D528" s="23">
        <v>5.99</v>
      </c>
      <c r="E528" s="3">
        <v>5.99</v>
      </c>
      <c r="F528" s="2" t="s">
        <v>18921</v>
      </c>
      <c r="G528" s="22" t="s">
        <v>19315</v>
      </c>
      <c r="H528" s="24" t="s">
        <v>19361</v>
      </c>
      <c r="I528" s="22" t="s">
        <v>19309</v>
      </c>
      <c r="J528" s="22" t="s">
        <v>19849</v>
      </c>
      <c r="K528" s="22" t="s">
        <v>19850</v>
      </c>
      <c r="L528" s="22"/>
      <c r="M528" s="22"/>
      <c r="N528" s="25" t="str">
        <f>HYPERLINK("http://slimages.macys.com/is/image/MCY/19068346 ")</f>
        <v xml:space="preserve">http://slimages.macys.com/is/image/MCY/19068346 </v>
      </c>
    </row>
    <row r="529" spans="1:14" x14ac:dyDescent="0.25">
      <c r="A529" s="21" t="s">
        <v>10066</v>
      </c>
      <c r="B529" s="22" t="s">
        <v>10067</v>
      </c>
      <c r="C529" s="2">
        <v>3</v>
      </c>
      <c r="D529" s="23">
        <v>5.99</v>
      </c>
      <c r="E529" s="3">
        <v>17.97</v>
      </c>
      <c r="F529" s="2" t="s">
        <v>18921</v>
      </c>
      <c r="G529" s="22" t="s">
        <v>19315</v>
      </c>
      <c r="H529" s="24" t="s">
        <v>19377</v>
      </c>
      <c r="I529" s="22" t="s">
        <v>19309</v>
      </c>
      <c r="J529" s="22" t="s">
        <v>19849</v>
      </c>
      <c r="K529" s="22" t="s">
        <v>19850</v>
      </c>
      <c r="L529" s="22"/>
      <c r="M529" s="22"/>
      <c r="N529" s="25" t="str">
        <f>HYPERLINK("http://slimages.macys.com/is/image/MCY/1099306 ")</f>
        <v xml:space="preserve">http://slimages.macys.com/is/image/MCY/1099306 </v>
      </c>
    </row>
    <row r="530" spans="1:14" ht="24.75" x14ac:dyDescent="0.25">
      <c r="A530" s="21" t="s">
        <v>6144</v>
      </c>
      <c r="B530" s="22" t="s">
        <v>6145</v>
      </c>
      <c r="C530" s="2">
        <v>1</v>
      </c>
      <c r="D530" s="23">
        <v>7.99</v>
      </c>
      <c r="E530" s="3">
        <v>7.99</v>
      </c>
      <c r="F530" s="2" t="s">
        <v>16952</v>
      </c>
      <c r="G530" s="22" t="s">
        <v>18439</v>
      </c>
      <c r="H530" s="24" t="s">
        <v>19907</v>
      </c>
      <c r="I530" s="22" t="s">
        <v>19309</v>
      </c>
      <c r="J530" s="22" t="s">
        <v>19908</v>
      </c>
      <c r="K530" s="22" t="s">
        <v>19524</v>
      </c>
      <c r="L530" s="22"/>
      <c r="M530" s="22"/>
      <c r="N530" s="25" t="str">
        <f>HYPERLINK("http://slimages.macys.com/is/image/MCY/22029054 ")</f>
        <v xml:space="preserve">http://slimages.macys.com/is/image/MCY/22029054 </v>
      </c>
    </row>
    <row r="531" spans="1:14" ht="24.75" x14ac:dyDescent="0.25">
      <c r="A531" s="21" t="s">
        <v>7052</v>
      </c>
      <c r="B531" s="22" t="s">
        <v>7053</v>
      </c>
      <c r="C531" s="2">
        <v>4</v>
      </c>
      <c r="D531" s="23">
        <v>7.99</v>
      </c>
      <c r="E531" s="3">
        <v>31.96</v>
      </c>
      <c r="F531" s="2" t="s">
        <v>18924</v>
      </c>
      <c r="G531" s="22" t="s">
        <v>19674</v>
      </c>
      <c r="H531" s="24" t="s">
        <v>19377</v>
      </c>
      <c r="I531" s="22" t="s">
        <v>19309</v>
      </c>
      <c r="J531" s="22" t="s">
        <v>19908</v>
      </c>
      <c r="K531" s="22" t="s">
        <v>19524</v>
      </c>
      <c r="L531" s="22"/>
      <c r="M531" s="22"/>
      <c r="N531" s="25" t="str">
        <f>HYPERLINK("http://slimages.macys.com/is/image/MCY/21070271 ")</f>
        <v xml:space="preserve">http://slimages.macys.com/is/image/MCY/21070271 </v>
      </c>
    </row>
    <row r="532" spans="1:14" ht="24.75" x14ac:dyDescent="0.25">
      <c r="A532" s="21" t="s">
        <v>6146</v>
      </c>
      <c r="B532" s="22" t="s">
        <v>6147</v>
      </c>
      <c r="C532" s="2">
        <v>2</v>
      </c>
      <c r="D532" s="23">
        <v>7.99</v>
      </c>
      <c r="E532" s="3">
        <v>15.98</v>
      </c>
      <c r="F532" s="2" t="s">
        <v>18924</v>
      </c>
      <c r="G532" s="22" t="s">
        <v>19674</v>
      </c>
      <c r="H532" s="24" t="s">
        <v>20135</v>
      </c>
      <c r="I532" s="22" t="s">
        <v>19309</v>
      </c>
      <c r="J532" s="22" t="s">
        <v>19908</v>
      </c>
      <c r="K532" s="22" t="s">
        <v>19524</v>
      </c>
      <c r="L532" s="22"/>
      <c r="M532" s="22"/>
      <c r="N532" s="25" t="str">
        <f>HYPERLINK("http://slimages.macys.com/is/image/MCY/21070271 ")</f>
        <v xml:space="preserve">http://slimages.macys.com/is/image/MCY/21070271 </v>
      </c>
    </row>
    <row r="533" spans="1:14" ht="24.75" x14ac:dyDescent="0.25">
      <c r="A533" s="21" t="s">
        <v>6148</v>
      </c>
      <c r="B533" s="22" t="s">
        <v>6149</v>
      </c>
      <c r="C533" s="2">
        <v>1</v>
      </c>
      <c r="D533" s="23">
        <v>7.99</v>
      </c>
      <c r="E533" s="3">
        <v>7.99</v>
      </c>
      <c r="F533" s="2" t="s">
        <v>16949</v>
      </c>
      <c r="G533" s="22" t="s">
        <v>19351</v>
      </c>
      <c r="H533" s="24" t="s">
        <v>20089</v>
      </c>
      <c r="I533" s="22" t="s">
        <v>19309</v>
      </c>
      <c r="J533" s="22" t="s">
        <v>19908</v>
      </c>
      <c r="K533" s="22" t="s">
        <v>19524</v>
      </c>
      <c r="L533" s="22"/>
      <c r="M533" s="22"/>
      <c r="N533" s="25" t="str">
        <f>HYPERLINK("http://slimages.macys.com/is/image/MCY/21243386 ")</f>
        <v xml:space="preserve">http://slimages.macys.com/is/image/MCY/21243386 </v>
      </c>
    </row>
    <row r="534" spans="1:14" ht="24.75" x14ac:dyDescent="0.25">
      <c r="A534" s="21" t="s">
        <v>6150</v>
      </c>
      <c r="B534" s="22" t="s">
        <v>6151</v>
      </c>
      <c r="C534" s="2">
        <v>1</v>
      </c>
      <c r="D534" s="23">
        <v>7.99</v>
      </c>
      <c r="E534" s="3">
        <v>7.99</v>
      </c>
      <c r="F534" s="2" t="s">
        <v>7056</v>
      </c>
      <c r="G534" s="22" t="s">
        <v>19415</v>
      </c>
      <c r="H534" s="24" t="s">
        <v>19377</v>
      </c>
      <c r="I534" s="22" t="s">
        <v>19309</v>
      </c>
      <c r="J534" s="22" t="s">
        <v>19908</v>
      </c>
      <c r="K534" s="22" t="s">
        <v>19524</v>
      </c>
      <c r="L534" s="22"/>
      <c r="M534" s="22"/>
      <c r="N534" s="25" t="str">
        <f>HYPERLINK("http://slimages.macys.com/is/image/MCY/21070272 ")</f>
        <v xml:space="preserve">http://slimages.macys.com/is/image/MCY/21070272 </v>
      </c>
    </row>
    <row r="535" spans="1:14" ht="24.75" x14ac:dyDescent="0.25">
      <c r="A535" s="21" t="s">
        <v>7059</v>
      </c>
      <c r="B535" s="22" t="s">
        <v>7060</v>
      </c>
      <c r="C535" s="2">
        <v>6</v>
      </c>
      <c r="D535" s="23">
        <v>7.99</v>
      </c>
      <c r="E535" s="3">
        <v>47.94</v>
      </c>
      <c r="F535" s="2" t="s">
        <v>18924</v>
      </c>
      <c r="G535" s="22" t="s">
        <v>19674</v>
      </c>
      <c r="H535" s="24" t="s">
        <v>20089</v>
      </c>
      <c r="I535" s="22" t="s">
        <v>19309</v>
      </c>
      <c r="J535" s="22" t="s">
        <v>19908</v>
      </c>
      <c r="K535" s="22" t="s">
        <v>19524</v>
      </c>
      <c r="L535" s="22"/>
      <c r="M535" s="22"/>
      <c r="N535" s="25" t="str">
        <f>HYPERLINK("http://slimages.macys.com/is/image/MCY/21070271 ")</f>
        <v xml:space="preserve">http://slimages.macys.com/is/image/MCY/21070271 </v>
      </c>
    </row>
    <row r="536" spans="1:14" ht="24.75" x14ac:dyDescent="0.25">
      <c r="A536" s="21" t="s">
        <v>18922</v>
      </c>
      <c r="B536" s="22" t="s">
        <v>18923</v>
      </c>
      <c r="C536" s="2">
        <v>7</v>
      </c>
      <c r="D536" s="23">
        <v>7.99</v>
      </c>
      <c r="E536" s="3">
        <v>55.93</v>
      </c>
      <c r="F536" s="2" t="s">
        <v>18924</v>
      </c>
      <c r="G536" s="22" t="s">
        <v>19674</v>
      </c>
      <c r="H536" s="24" t="s">
        <v>19361</v>
      </c>
      <c r="I536" s="22" t="s">
        <v>19309</v>
      </c>
      <c r="J536" s="22" t="s">
        <v>19908</v>
      </c>
      <c r="K536" s="22" t="s">
        <v>19524</v>
      </c>
      <c r="L536" s="22"/>
      <c r="M536" s="22"/>
      <c r="N536" s="25" t="str">
        <f>HYPERLINK("http://slimages.macys.com/is/image/MCY/21070271 ")</f>
        <v xml:space="preserve">http://slimages.macys.com/is/image/MCY/21070271 </v>
      </c>
    </row>
    <row r="537" spans="1:14" ht="24.75" x14ac:dyDescent="0.25">
      <c r="A537" s="21" t="s">
        <v>6152</v>
      </c>
      <c r="B537" s="22" t="s">
        <v>6153</v>
      </c>
      <c r="C537" s="2">
        <v>1</v>
      </c>
      <c r="D537" s="23">
        <v>7.99</v>
      </c>
      <c r="E537" s="3">
        <v>7.99</v>
      </c>
      <c r="F537" s="2" t="s">
        <v>18935</v>
      </c>
      <c r="G537" s="22" t="s">
        <v>19333</v>
      </c>
      <c r="H537" s="24" t="s">
        <v>19542</v>
      </c>
      <c r="I537" s="22" t="s">
        <v>19309</v>
      </c>
      <c r="J537" s="22" t="s">
        <v>19908</v>
      </c>
      <c r="K537" s="22" t="s">
        <v>19524</v>
      </c>
      <c r="L537" s="22"/>
      <c r="M537" s="22"/>
      <c r="N537" s="25" t="str">
        <f>HYPERLINK("http://slimages.macys.com/is/image/MCY/21070276 ")</f>
        <v xml:space="preserve">http://slimages.macys.com/is/image/MCY/21070276 </v>
      </c>
    </row>
    <row r="538" spans="1:14" ht="24.75" x14ac:dyDescent="0.25">
      <c r="A538" s="21" t="s">
        <v>6154</v>
      </c>
      <c r="B538" s="22" t="s">
        <v>6155</v>
      </c>
      <c r="C538" s="2">
        <v>2</v>
      </c>
      <c r="D538" s="23">
        <v>7.99</v>
      </c>
      <c r="E538" s="3">
        <v>15.98</v>
      </c>
      <c r="F538" s="2" t="s">
        <v>18935</v>
      </c>
      <c r="G538" s="22" t="s">
        <v>19814</v>
      </c>
      <c r="H538" s="24" t="s">
        <v>19377</v>
      </c>
      <c r="I538" s="22" t="s">
        <v>19309</v>
      </c>
      <c r="J538" s="22" t="s">
        <v>19908</v>
      </c>
      <c r="K538" s="22" t="s">
        <v>19524</v>
      </c>
      <c r="L538" s="22"/>
      <c r="M538" s="22"/>
      <c r="N538" s="25" t="str">
        <f>HYPERLINK("http://slimages.macys.com/is/image/MCY/21070276 ")</f>
        <v xml:space="preserve">http://slimages.macys.com/is/image/MCY/21070276 </v>
      </c>
    </row>
    <row r="539" spans="1:14" ht="24.75" x14ac:dyDescent="0.25">
      <c r="A539" s="21" t="s">
        <v>6156</v>
      </c>
      <c r="B539" s="22" t="s">
        <v>6157</v>
      </c>
      <c r="C539" s="2">
        <v>1</v>
      </c>
      <c r="D539" s="23">
        <v>7.99</v>
      </c>
      <c r="E539" s="3">
        <v>7.99</v>
      </c>
      <c r="F539" s="2" t="s">
        <v>16949</v>
      </c>
      <c r="G539" s="22" t="s">
        <v>19351</v>
      </c>
      <c r="H539" s="24" t="s">
        <v>19361</v>
      </c>
      <c r="I539" s="22" t="s">
        <v>19309</v>
      </c>
      <c r="J539" s="22" t="s">
        <v>19908</v>
      </c>
      <c r="K539" s="22" t="s">
        <v>19524</v>
      </c>
      <c r="L539" s="22"/>
      <c r="M539" s="22"/>
      <c r="N539" s="25" t="str">
        <f>HYPERLINK("http://slimages.macys.com/is/image/MCY/21243386 ")</f>
        <v xml:space="preserve">http://slimages.macys.com/is/image/MCY/21243386 </v>
      </c>
    </row>
    <row r="540" spans="1:14" ht="24.75" x14ac:dyDescent="0.25">
      <c r="A540" s="21" t="s">
        <v>7063</v>
      </c>
      <c r="B540" s="22" t="s">
        <v>7064</v>
      </c>
      <c r="C540" s="2">
        <v>1</v>
      </c>
      <c r="D540" s="23">
        <v>18.11</v>
      </c>
      <c r="E540" s="3">
        <v>18.11</v>
      </c>
      <c r="F540" s="2" t="s">
        <v>18935</v>
      </c>
      <c r="G540" s="22" t="s">
        <v>19814</v>
      </c>
      <c r="H540" s="24" t="s">
        <v>19542</v>
      </c>
      <c r="I540" s="22" t="s">
        <v>19309</v>
      </c>
      <c r="J540" s="22" t="s">
        <v>19908</v>
      </c>
      <c r="K540" s="22" t="s">
        <v>19524</v>
      </c>
      <c r="L540" s="22"/>
      <c r="M540" s="22"/>
      <c r="N540" s="25" t="str">
        <f>HYPERLINK("http://slimages.macys.com/is/image/MCY/21070276 ")</f>
        <v xml:space="preserve">http://slimages.macys.com/is/image/MCY/21070276 </v>
      </c>
    </row>
    <row r="541" spans="1:14" ht="24.75" x14ac:dyDescent="0.25">
      <c r="A541" s="21" t="s">
        <v>6158</v>
      </c>
      <c r="B541" s="22" t="s">
        <v>6159</v>
      </c>
      <c r="C541" s="2">
        <v>1</v>
      </c>
      <c r="D541" s="23">
        <v>7.99</v>
      </c>
      <c r="E541" s="3">
        <v>7.99</v>
      </c>
      <c r="F541" s="2" t="s">
        <v>18935</v>
      </c>
      <c r="G541" s="22" t="s">
        <v>19333</v>
      </c>
      <c r="H541" s="24" t="s">
        <v>19907</v>
      </c>
      <c r="I541" s="22" t="s">
        <v>19309</v>
      </c>
      <c r="J541" s="22" t="s">
        <v>19908</v>
      </c>
      <c r="K541" s="22" t="s">
        <v>19524</v>
      </c>
      <c r="L541" s="22"/>
      <c r="M541" s="22"/>
      <c r="N541" s="25" t="str">
        <f>HYPERLINK("http://slimages.macys.com/is/image/MCY/21070276 ")</f>
        <v xml:space="preserve">http://slimages.macys.com/is/image/MCY/21070276 </v>
      </c>
    </row>
    <row r="542" spans="1:14" ht="24.75" x14ac:dyDescent="0.25">
      <c r="A542" s="21" t="s">
        <v>16943</v>
      </c>
      <c r="B542" s="22" t="s">
        <v>16944</v>
      </c>
      <c r="C542" s="2">
        <v>1</v>
      </c>
      <c r="D542" s="23">
        <v>7.99</v>
      </c>
      <c r="E542" s="3">
        <v>7.99</v>
      </c>
      <c r="F542" s="2" t="s">
        <v>18935</v>
      </c>
      <c r="G542" s="22" t="s">
        <v>19333</v>
      </c>
      <c r="H542" s="24" t="s">
        <v>20089</v>
      </c>
      <c r="I542" s="22" t="s">
        <v>19309</v>
      </c>
      <c r="J542" s="22" t="s">
        <v>19908</v>
      </c>
      <c r="K542" s="22" t="s">
        <v>19524</v>
      </c>
      <c r="L542" s="22"/>
      <c r="M542" s="22"/>
      <c r="N542" s="25" t="str">
        <f>HYPERLINK("http://slimages.macys.com/is/image/MCY/21070276 ")</f>
        <v xml:space="preserve">http://slimages.macys.com/is/image/MCY/21070276 </v>
      </c>
    </row>
    <row r="543" spans="1:14" ht="24.75" x14ac:dyDescent="0.25">
      <c r="A543" s="21" t="s">
        <v>6160</v>
      </c>
      <c r="B543" s="22" t="s">
        <v>6161</v>
      </c>
      <c r="C543" s="2">
        <v>2</v>
      </c>
      <c r="D543" s="23">
        <v>7.99</v>
      </c>
      <c r="E543" s="3">
        <v>15.98</v>
      </c>
      <c r="F543" s="2" t="s">
        <v>18935</v>
      </c>
      <c r="G543" s="22" t="s">
        <v>19333</v>
      </c>
      <c r="H543" s="24" t="s">
        <v>19361</v>
      </c>
      <c r="I543" s="22" t="s">
        <v>19309</v>
      </c>
      <c r="J543" s="22" t="s">
        <v>19908</v>
      </c>
      <c r="K543" s="22" t="s">
        <v>19524</v>
      </c>
      <c r="L543" s="22"/>
      <c r="M543" s="22"/>
      <c r="N543" s="25" t="str">
        <f>HYPERLINK("http://slimages.macys.com/is/image/MCY/21070276 ")</f>
        <v xml:space="preserve">http://slimages.macys.com/is/image/MCY/21070276 </v>
      </c>
    </row>
    <row r="544" spans="1:14" ht="24.75" x14ac:dyDescent="0.25">
      <c r="A544" s="21" t="s">
        <v>6162</v>
      </c>
      <c r="B544" s="22" t="s">
        <v>6163</v>
      </c>
      <c r="C544" s="2">
        <v>1</v>
      </c>
      <c r="D544" s="23">
        <v>7.99</v>
      </c>
      <c r="E544" s="3">
        <v>7.99</v>
      </c>
      <c r="F544" s="2" t="s">
        <v>18935</v>
      </c>
      <c r="G544" s="22" t="s">
        <v>19333</v>
      </c>
      <c r="H544" s="24" t="s">
        <v>19377</v>
      </c>
      <c r="I544" s="22" t="s">
        <v>19309</v>
      </c>
      <c r="J544" s="22" t="s">
        <v>19908</v>
      </c>
      <c r="K544" s="22" t="s">
        <v>19524</v>
      </c>
      <c r="L544" s="22"/>
      <c r="M544" s="22"/>
      <c r="N544" s="25" t="str">
        <f>HYPERLINK("http://slimages.macys.com/is/image/MCY/21070276 ")</f>
        <v xml:space="preserve">http://slimages.macys.com/is/image/MCY/21070276 </v>
      </c>
    </row>
    <row r="545" spans="1:14" ht="24.75" x14ac:dyDescent="0.25">
      <c r="A545" s="21" t="s">
        <v>6164</v>
      </c>
      <c r="B545" s="22" t="s">
        <v>6165</v>
      </c>
      <c r="C545" s="2">
        <v>1</v>
      </c>
      <c r="D545" s="23">
        <v>7.99</v>
      </c>
      <c r="E545" s="3">
        <v>7.99</v>
      </c>
      <c r="F545" s="2" t="s">
        <v>7908</v>
      </c>
      <c r="G545" s="22" t="s">
        <v>19415</v>
      </c>
      <c r="H545" s="24" t="s">
        <v>19377</v>
      </c>
      <c r="I545" s="22" t="s">
        <v>19309</v>
      </c>
      <c r="J545" s="22" t="s">
        <v>19908</v>
      </c>
      <c r="K545" s="22" t="s">
        <v>19524</v>
      </c>
      <c r="L545" s="22"/>
      <c r="M545" s="22"/>
      <c r="N545" s="25" t="str">
        <f>HYPERLINK("http://slimages.macys.com/is/image/MCY/21070273 ")</f>
        <v xml:space="preserve">http://slimages.macys.com/is/image/MCY/21070273 </v>
      </c>
    </row>
    <row r="546" spans="1:14" ht="24.75" x14ac:dyDescent="0.25">
      <c r="A546" s="21" t="s">
        <v>7061</v>
      </c>
      <c r="B546" s="22" t="s">
        <v>7062</v>
      </c>
      <c r="C546" s="2">
        <v>4</v>
      </c>
      <c r="D546" s="23">
        <v>7.99</v>
      </c>
      <c r="E546" s="3">
        <v>31.96</v>
      </c>
      <c r="F546" s="2" t="s">
        <v>18924</v>
      </c>
      <c r="G546" s="22" t="s">
        <v>19674</v>
      </c>
      <c r="H546" s="24" t="s">
        <v>19907</v>
      </c>
      <c r="I546" s="22" t="s">
        <v>19309</v>
      </c>
      <c r="J546" s="22" t="s">
        <v>19908</v>
      </c>
      <c r="K546" s="22" t="s">
        <v>19524</v>
      </c>
      <c r="L546" s="22"/>
      <c r="M546" s="22"/>
      <c r="N546" s="25" t="str">
        <f>HYPERLINK("http://slimages.macys.com/is/image/MCY/21070271 ")</f>
        <v xml:space="preserve">http://slimages.macys.com/is/image/MCY/21070271 </v>
      </c>
    </row>
    <row r="547" spans="1:14" ht="24.75" x14ac:dyDescent="0.25">
      <c r="A547" s="21" t="s">
        <v>7050</v>
      </c>
      <c r="B547" s="22" t="s">
        <v>7051</v>
      </c>
      <c r="C547" s="2">
        <v>5</v>
      </c>
      <c r="D547" s="23">
        <v>18.11</v>
      </c>
      <c r="E547" s="3">
        <v>90.55</v>
      </c>
      <c r="F547" s="2" t="s">
        <v>18924</v>
      </c>
      <c r="G547" s="22" t="s">
        <v>19674</v>
      </c>
      <c r="H547" s="24" t="s">
        <v>19542</v>
      </c>
      <c r="I547" s="22" t="s">
        <v>19309</v>
      </c>
      <c r="J547" s="22" t="s">
        <v>19908</v>
      </c>
      <c r="K547" s="22" t="s">
        <v>19524</v>
      </c>
      <c r="L547" s="22"/>
      <c r="M547" s="22"/>
      <c r="N547" s="25" t="str">
        <f>HYPERLINK("http://slimages.macys.com/is/image/MCY/21070271 ")</f>
        <v xml:space="preserve">http://slimages.macys.com/is/image/MCY/21070271 </v>
      </c>
    </row>
    <row r="548" spans="1:14" ht="24.75" x14ac:dyDescent="0.25">
      <c r="A548" s="21" t="s">
        <v>6166</v>
      </c>
      <c r="B548" s="22" t="s">
        <v>6167</v>
      </c>
      <c r="C548" s="2">
        <v>1</v>
      </c>
      <c r="D548" s="23">
        <v>7.99</v>
      </c>
      <c r="E548" s="3">
        <v>7.99</v>
      </c>
      <c r="F548" s="2" t="s">
        <v>6168</v>
      </c>
      <c r="G548" s="22" t="s">
        <v>19518</v>
      </c>
      <c r="H548" s="24" t="s">
        <v>19907</v>
      </c>
      <c r="I548" s="22" t="s">
        <v>19309</v>
      </c>
      <c r="J548" s="22" t="s">
        <v>19454</v>
      </c>
      <c r="K548" s="22" t="s">
        <v>19524</v>
      </c>
      <c r="L548" s="22"/>
      <c r="M548" s="22"/>
      <c r="N548" s="25" t="str">
        <f>HYPERLINK("http://slimages.macys.com/is/image/MCY/19844167 ")</f>
        <v xml:space="preserve">http://slimages.macys.com/is/image/MCY/19844167 </v>
      </c>
    </row>
    <row r="549" spans="1:14" x14ac:dyDescent="0.25">
      <c r="A549" s="21" t="s">
        <v>10074</v>
      </c>
      <c r="B549" s="22" t="s">
        <v>10075</v>
      </c>
      <c r="C549" s="2">
        <v>1</v>
      </c>
      <c r="D549" s="23">
        <v>7.99</v>
      </c>
      <c r="E549" s="3">
        <v>7.99</v>
      </c>
      <c r="F549" s="2" t="s">
        <v>16840</v>
      </c>
      <c r="G549" s="22" t="s">
        <v>19674</v>
      </c>
      <c r="H549" s="24" t="s">
        <v>19377</v>
      </c>
      <c r="I549" s="22" t="s">
        <v>19309</v>
      </c>
      <c r="J549" s="22" t="s">
        <v>19849</v>
      </c>
      <c r="K549" s="22" t="s">
        <v>19850</v>
      </c>
      <c r="L549" s="22"/>
      <c r="M549" s="22"/>
      <c r="N549" s="25" t="str">
        <f t="shared" ref="N549:N563" si="1">HYPERLINK("http://slimages.macys.com/is/image/MCY/19068277 ")</f>
        <v xml:space="preserve">http://slimages.macys.com/is/image/MCY/19068277 </v>
      </c>
    </row>
    <row r="550" spans="1:14" x14ac:dyDescent="0.25">
      <c r="A550" s="21" t="s">
        <v>14672</v>
      </c>
      <c r="B550" s="22" t="s">
        <v>14673</v>
      </c>
      <c r="C550" s="2">
        <v>1</v>
      </c>
      <c r="D550" s="23">
        <v>7.99</v>
      </c>
      <c r="E550" s="3">
        <v>7.99</v>
      </c>
      <c r="F550" s="2" t="s">
        <v>16840</v>
      </c>
      <c r="G550" s="22" t="s">
        <v>19618</v>
      </c>
      <c r="H550" s="24" t="s">
        <v>19542</v>
      </c>
      <c r="I550" s="22" t="s">
        <v>19309</v>
      </c>
      <c r="J550" s="22" t="s">
        <v>19849</v>
      </c>
      <c r="K550" s="22" t="s">
        <v>19850</v>
      </c>
      <c r="L550" s="22"/>
      <c r="M550" s="22"/>
      <c r="N550" s="25" t="str">
        <f t="shared" si="1"/>
        <v xml:space="preserve">http://slimages.macys.com/is/image/MCY/19068277 </v>
      </c>
    </row>
    <row r="551" spans="1:14" x14ac:dyDescent="0.25">
      <c r="A551" s="21" t="s">
        <v>14678</v>
      </c>
      <c r="B551" s="22" t="s">
        <v>14679</v>
      </c>
      <c r="C551" s="2">
        <v>1</v>
      </c>
      <c r="D551" s="23">
        <v>7.99</v>
      </c>
      <c r="E551" s="3">
        <v>7.99</v>
      </c>
      <c r="F551" s="2" t="s">
        <v>16840</v>
      </c>
      <c r="G551" s="22" t="s">
        <v>19618</v>
      </c>
      <c r="H551" s="24" t="s">
        <v>19361</v>
      </c>
      <c r="I551" s="22" t="s">
        <v>19309</v>
      </c>
      <c r="J551" s="22" t="s">
        <v>19849</v>
      </c>
      <c r="K551" s="22" t="s">
        <v>19850</v>
      </c>
      <c r="L551" s="22"/>
      <c r="M551" s="22"/>
      <c r="N551" s="25" t="str">
        <f t="shared" si="1"/>
        <v xml:space="preserve">http://slimages.macys.com/is/image/MCY/19068277 </v>
      </c>
    </row>
    <row r="552" spans="1:14" x14ac:dyDescent="0.25">
      <c r="A552" s="21" t="s">
        <v>16971</v>
      </c>
      <c r="B552" s="22" t="s">
        <v>16972</v>
      </c>
      <c r="C552" s="2">
        <v>2</v>
      </c>
      <c r="D552" s="23">
        <v>7.99</v>
      </c>
      <c r="E552" s="3">
        <v>15.98</v>
      </c>
      <c r="F552" s="2" t="s">
        <v>16840</v>
      </c>
      <c r="G552" s="22" t="s">
        <v>19618</v>
      </c>
      <c r="H552" s="24" t="s">
        <v>19907</v>
      </c>
      <c r="I552" s="22" t="s">
        <v>19309</v>
      </c>
      <c r="J552" s="22" t="s">
        <v>19849</v>
      </c>
      <c r="K552" s="22" t="s">
        <v>19850</v>
      </c>
      <c r="L552" s="22"/>
      <c r="M552" s="22"/>
      <c r="N552" s="25" t="str">
        <f t="shared" si="1"/>
        <v xml:space="preserve">http://slimages.macys.com/is/image/MCY/19068277 </v>
      </c>
    </row>
    <row r="553" spans="1:14" x14ac:dyDescent="0.25">
      <c r="A553" s="21" t="s">
        <v>6169</v>
      </c>
      <c r="B553" s="22" t="s">
        <v>6170</v>
      </c>
      <c r="C553" s="2">
        <v>2</v>
      </c>
      <c r="D553" s="23">
        <v>7.99</v>
      </c>
      <c r="E553" s="3">
        <v>15.98</v>
      </c>
      <c r="F553" s="2" t="s">
        <v>16840</v>
      </c>
      <c r="G553" s="22" t="s">
        <v>19674</v>
      </c>
      <c r="H553" s="24" t="s">
        <v>19361</v>
      </c>
      <c r="I553" s="22" t="s">
        <v>19309</v>
      </c>
      <c r="J553" s="22" t="s">
        <v>19849</v>
      </c>
      <c r="K553" s="22" t="s">
        <v>19850</v>
      </c>
      <c r="L553" s="22"/>
      <c r="M553" s="22"/>
      <c r="N553" s="25" t="str">
        <f t="shared" si="1"/>
        <v xml:space="preserve">http://slimages.macys.com/is/image/MCY/19068277 </v>
      </c>
    </row>
    <row r="554" spans="1:14" x14ac:dyDescent="0.25">
      <c r="A554" s="21" t="s">
        <v>6171</v>
      </c>
      <c r="B554" s="22" t="s">
        <v>6172</v>
      </c>
      <c r="C554" s="2">
        <v>1</v>
      </c>
      <c r="D554" s="23">
        <v>7.99</v>
      </c>
      <c r="E554" s="3">
        <v>7.99</v>
      </c>
      <c r="F554" s="2" t="s">
        <v>16840</v>
      </c>
      <c r="G554" s="22" t="s">
        <v>19674</v>
      </c>
      <c r="H554" s="24" t="s">
        <v>20089</v>
      </c>
      <c r="I554" s="22" t="s">
        <v>19309</v>
      </c>
      <c r="J554" s="22" t="s">
        <v>19849</v>
      </c>
      <c r="K554" s="22" t="s">
        <v>19850</v>
      </c>
      <c r="L554" s="22"/>
      <c r="M554" s="22"/>
      <c r="N554" s="25" t="str">
        <f t="shared" si="1"/>
        <v xml:space="preserve">http://slimages.macys.com/is/image/MCY/19068277 </v>
      </c>
    </row>
    <row r="555" spans="1:14" x14ac:dyDescent="0.25">
      <c r="A555" s="21" t="s">
        <v>16965</v>
      </c>
      <c r="B555" s="22" t="s">
        <v>16966</v>
      </c>
      <c r="C555" s="2">
        <v>5</v>
      </c>
      <c r="D555" s="23">
        <v>7.99</v>
      </c>
      <c r="E555" s="3">
        <v>39.950000000000003</v>
      </c>
      <c r="F555" s="2" t="s">
        <v>16840</v>
      </c>
      <c r="G555" s="22" t="s">
        <v>19467</v>
      </c>
      <c r="H555" s="24" t="s">
        <v>19907</v>
      </c>
      <c r="I555" s="22" t="s">
        <v>19309</v>
      </c>
      <c r="J555" s="22" t="s">
        <v>19849</v>
      </c>
      <c r="K555" s="22" t="s">
        <v>19850</v>
      </c>
      <c r="L555" s="22"/>
      <c r="M555" s="22"/>
      <c r="N555" s="25" t="str">
        <f t="shared" si="1"/>
        <v xml:space="preserve">http://slimages.macys.com/is/image/MCY/19068277 </v>
      </c>
    </row>
    <row r="556" spans="1:14" x14ac:dyDescent="0.25">
      <c r="A556" s="21" t="s">
        <v>14676</v>
      </c>
      <c r="B556" s="22" t="s">
        <v>14677</v>
      </c>
      <c r="C556" s="2">
        <v>4</v>
      </c>
      <c r="D556" s="23">
        <v>7.99</v>
      </c>
      <c r="E556" s="3">
        <v>31.96</v>
      </c>
      <c r="F556" s="2" t="s">
        <v>16840</v>
      </c>
      <c r="G556" s="22" t="s">
        <v>19618</v>
      </c>
      <c r="H556" s="24" t="s">
        <v>20089</v>
      </c>
      <c r="I556" s="22" t="s">
        <v>19309</v>
      </c>
      <c r="J556" s="22" t="s">
        <v>19849</v>
      </c>
      <c r="K556" s="22" t="s">
        <v>19850</v>
      </c>
      <c r="L556" s="22"/>
      <c r="M556" s="22"/>
      <c r="N556" s="25" t="str">
        <f t="shared" si="1"/>
        <v xml:space="preserve">http://slimages.macys.com/is/image/MCY/19068277 </v>
      </c>
    </row>
    <row r="557" spans="1:14" x14ac:dyDescent="0.25">
      <c r="A557" s="21" t="s">
        <v>16969</v>
      </c>
      <c r="B557" s="22" t="s">
        <v>16970</v>
      </c>
      <c r="C557" s="2">
        <v>2</v>
      </c>
      <c r="D557" s="23">
        <v>7.99</v>
      </c>
      <c r="E557" s="3">
        <v>15.98</v>
      </c>
      <c r="F557" s="2" t="s">
        <v>16840</v>
      </c>
      <c r="G557" s="22" t="s">
        <v>19467</v>
      </c>
      <c r="H557" s="24" t="s">
        <v>20135</v>
      </c>
      <c r="I557" s="22" t="s">
        <v>19309</v>
      </c>
      <c r="J557" s="22" t="s">
        <v>19849</v>
      </c>
      <c r="K557" s="22" t="s">
        <v>19850</v>
      </c>
      <c r="L557" s="22"/>
      <c r="M557" s="22"/>
      <c r="N557" s="25" t="str">
        <f t="shared" si="1"/>
        <v xml:space="preserve">http://slimages.macys.com/is/image/MCY/19068277 </v>
      </c>
    </row>
    <row r="558" spans="1:14" x14ac:dyDescent="0.25">
      <c r="A558" s="21" t="s">
        <v>6173</v>
      </c>
      <c r="B558" s="22" t="s">
        <v>6174</v>
      </c>
      <c r="C558" s="2">
        <v>1</v>
      </c>
      <c r="D558" s="23">
        <v>7.99</v>
      </c>
      <c r="E558" s="3">
        <v>7.99</v>
      </c>
      <c r="F558" s="2" t="s">
        <v>16840</v>
      </c>
      <c r="G558" s="22" t="s">
        <v>19674</v>
      </c>
      <c r="H558" s="24" t="s">
        <v>19542</v>
      </c>
      <c r="I558" s="22" t="s">
        <v>19309</v>
      </c>
      <c r="J558" s="22" t="s">
        <v>19849</v>
      </c>
      <c r="K558" s="22" t="s">
        <v>19850</v>
      </c>
      <c r="L558" s="22"/>
      <c r="M558" s="22"/>
      <c r="N558" s="25" t="str">
        <f t="shared" si="1"/>
        <v xml:space="preserve">http://slimages.macys.com/is/image/MCY/19068277 </v>
      </c>
    </row>
    <row r="559" spans="1:14" x14ac:dyDescent="0.25">
      <c r="A559" s="21" t="s">
        <v>10072</v>
      </c>
      <c r="B559" s="22" t="s">
        <v>10073</v>
      </c>
      <c r="C559" s="2">
        <v>4</v>
      </c>
      <c r="D559" s="23">
        <v>7.99</v>
      </c>
      <c r="E559" s="3">
        <v>31.96</v>
      </c>
      <c r="F559" s="2" t="s">
        <v>16840</v>
      </c>
      <c r="G559" s="22" t="s">
        <v>19467</v>
      </c>
      <c r="H559" s="24" t="s">
        <v>19377</v>
      </c>
      <c r="I559" s="22" t="s">
        <v>19309</v>
      </c>
      <c r="J559" s="22" t="s">
        <v>19849</v>
      </c>
      <c r="K559" s="22" t="s">
        <v>19850</v>
      </c>
      <c r="L559" s="22"/>
      <c r="M559" s="22"/>
      <c r="N559" s="25" t="str">
        <f t="shared" si="1"/>
        <v xml:space="preserve">http://slimages.macys.com/is/image/MCY/19068277 </v>
      </c>
    </row>
    <row r="560" spans="1:14" x14ac:dyDescent="0.25">
      <c r="A560" s="21" t="s">
        <v>14104</v>
      </c>
      <c r="B560" s="22" t="s">
        <v>14105</v>
      </c>
      <c r="C560" s="2">
        <v>7</v>
      </c>
      <c r="D560" s="23">
        <v>7.99</v>
      </c>
      <c r="E560" s="3">
        <v>55.93</v>
      </c>
      <c r="F560" s="2" t="s">
        <v>16840</v>
      </c>
      <c r="G560" s="22" t="s">
        <v>19467</v>
      </c>
      <c r="H560" s="24" t="s">
        <v>19542</v>
      </c>
      <c r="I560" s="22" t="s">
        <v>19309</v>
      </c>
      <c r="J560" s="22" t="s">
        <v>19849</v>
      </c>
      <c r="K560" s="22" t="s">
        <v>19850</v>
      </c>
      <c r="L560" s="22"/>
      <c r="M560" s="22"/>
      <c r="N560" s="25" t="str">
        <f t="shared" si="1"/>
        <v xml:space="preserve">http://slimages.macys.com/is/image/MCY/19068277 </v>
      </c>
    </row>
    <row r="561" spans="1:14" x14ac:dyDescent="0.25">
      <c r="A561" s="21" t="s">
        <v>16967</v>
      </c>
      <c r="B561" s="22" t="s">
        <v>16968</v>
      </c>
      <c r="C561" s="2">
        <v>5</v>
      </c>
      <c r="D561" s="23">
        <v>7.99</v>
      </c>
      <c r="E561" s="3">
        <v>39.950000000000003</v>
      </c>
      <c r="F561" s="2" t="s">
        <v>16840</v>
      </c>
      <c r="G561" s="22" t="s">
        <v>19467</v>
      </c>
      <c r="H561" s="24" t="s">
        <v>19361</v>
      </c>
      <c r="I561" s="22" t="s">
        <v>19309</v>
      </c>
      <c r="J561" s="22" t="s">
        <v>19849</v>
      </c>
      <c r="K561" s="22" t="s">
        <v>19850</v>
      </c>
      <c r="L561" s="22"/>
      <c r="M561" s="22"/>
      <c r="N561" s="25" t="str">
        <f t="shared" si="1"/>
        <v xml:space="preserve">http://slimages.macys.com/is/image/MCY/19068277 </v>
      </c>
    </row>
    <row r="562" spans="1:14" x14ac:dyDescent="0.25">
      <c r="A562" s="21" t="s">
        <v>14670</v>
      </c>
      <c r="B562" s="22" t="s">
        <v>14671</v>
      </c>
      <c r="C562" s="2">
        <v>2</v>
      </c>
      <c r="D562" s="23">
        <v>7.99</v>
      </c>
      <c r="E562" s="3">
        <v>15.98</v>
      </c>
      <c r="F562" s="2" t="s">
        <v>16840</v>
      </c>
      <c r="G562" s="22" t="s">
        <v>19618</v>
      </c>
      <c r="H562" s="24" t="s">
        <v>19377</v>
      </c>
      <c r="I562" s="22" t="s">
        <v>19309</v>
      </c>
      <c r="J562" s="22" t="s">
        <v>19849</v>
      </c>
      <c r="K562" s="22" t="s">
        <v>19850</v>
      </c>
      <c r="L562" s="22"/>
      <c r="M562" s="22"/>
      <c r="N562" s="25" t="str">
        <f t="shared" si="1"/>
        <v xml:space="preserve">http://slimages.macys.com/is/image/MCY/19068277 </v>
      </c>
    </row>
    <row r="563" spans="1:14" x14ac:dyDescent="0.25">
      <c r="A563" s="21" t="s">
        <v>10070</v>
      </c>
      <c r="B563" s="22" t="s">
        <v>10071</v>
      </c>
      <c r="C563" s="2">
        <v>2</v>
      </c>
      <c r="D563" s="23">
        <v>7.99</v>
      </c>
      <c r="E563" s="3">
        <v>15.98</v>
      </c>
      <c r="F563" s="2" t="s">
        <v>16840</v>
      </c>
      <c r="G563" s="22" t="s">
        <v>19467</v>
      </c>
      <c r="H563" s="24" t="s">
        <v>20089</v>
      </c>
      <c r="I563" s="22" t="s">
        <v>19309</v>
      </c>
      <c r="J563" s="22" t="s">
        <v>19849</v>
      </c>
      <c r="K563" s="22" t="s">
        <v>19850</v>
      </c>
      <c r="L563" s="22"/>
      <c r="M563" s="22"/>
      <c r="N563" s="25" t="str">
        <f t="shared" si="1"/>
        <v xml:space="preserve">http://slimages.macys.com/is/image/MCY/19068277 </v>
      </c>
    </row>
    <row r="564" spans="1:14" ht="24.75" x14ac:dyDescent="0.25">
      <c r="A564" s="21" t="s">
        <v>14111</v>
      </c>
      <c r="B564" s="22" t="s">
        <v>14112</v>
      </c>
      <c r="C564" s="2">
        <v>1</v>
      </c>
      <c r="D564" s="23">
        <v>7.99</v>
      </c>
      <c r="E564" s="3">
        <v>7.99</v>
      </c>
      <c r="F564" s="2" t="s">
        <v>14113</v>
      </c>
      <c r="G564" s="22" t="s">
        <v>19333</v>
      </c>
      <c r="H564" s="24" t="s">
        <v>20135</v>
      </c>
      <c r="I564" s="22" t="s">
        <v>19309</v>
      </c>
      <c r="J564" s="22" t="s">
        <v>19908</v>
      </c>
      <c r="K564" s="22" t="s">
        <v>19524</v>
      </c>
      <c r="L564" s="22"/>
      <c r="M564" s="22"/>
      <c r="N564" s="25" t="str">
        <f>HYPERLINK("http://slimages.macys.com/is/image/MCY/21070257 ")</f>
        <v xml:space="preserve">http://slimages.macys.com/is/image/MCY/21070257 </v>
      </c>
    </row>
    <row r="565" spans="1:14" ht="24.75" x14ac:dyDescent="0.25">
      <c r="A565" s="21" t="s">
        <v>6175</v>
      </c>
      <c r="B565" s="22" t="s">
        <v>6176</v>
      </c>
      <c r="C565" s="2">
        <v>1</v>
      </c>
      <c r="D565" s="23">
        <v>7.99</v>
      </c>
      <c r="E565" s="3">
        <v>7.99</v>
      </c>
      <c r="F565" s="2" t="s">
        <v>17003</v>
      </c>
      <c r="G565" s="22" t="s">
        <v>19333</v>
      </c>
      <c r="H565" s="24" t="s">
        <v>19361</v>
      </c>
      <c r="I565" s="22" t="s">
        <v>19309</v>
      </c>
      <c r="J565" s="22" t="s">
        <v>19908</v>
      </c>
      <c r="K565" s="22" t="s">
        <v>19524</v>
      </c>
      <c r="L565" s="22"/>
      <c r="M565" s="22"/>
      <c r="N565" s="25" t="str">
        <f>HYPERLINK("http://slimages.macys.com/is/image/MCY/21070268 ")</f>
        <v xml:space="preserve">http://slimages.macys.com/is/image/MCY/21070268 </v>
      </c>
    </row>
    <row r="566" spans="1:14" ht="24.75" x14ac:dyDescent="0.25">
      <c r="A566" s="21" t="s">
        <v>14685</v>
      </c>
      <c r="B566" s="22" t="s">
        <v>14686</v>
      </c>
      <c r="C566" s="2">
        <v>2</v>
      </c>
      <c r="D566" s="23">
        <v>7.99</v>
      </c>
      <c r="E566" s="3">
        <v>15.98</v>
      </c>
      <c r="F566" s="2" t="s">
        <v>18954</v>
      </c>
      <c r="G566" s="22" t="s">
        <v>19415</v>
      </c>
      <c r="H566" s="24" t="s">
        <v>20089</v>
      </c>
      <c r="I566" s="22" t="s">
        <v>19309</v>
      </c>
      <c r="J566" s="22" t="s">
        <v>19908</v>
      </c>
      <c r="K566" s="22" t="s">
        <v>19524</v>
      </c>
      <c r="L566" s="22"/>
      <c r="M566" s="22"/>
      <c r="N566" s="25" t="str">
        <f>HYPERLINK("http://slimages.macys.com/is/image/MCY/21070261 ")</f>
        <v xml:space="preserve">http://slimages.macys.com/is/image/MCY/21070261 </v>
      </c>
    </row>
    <row r="567" spans="1:14" ht="24.75" x14ac:dyDescent="0.25">
      <c r="A567" s="21" t="s">
        <v>7087</v>
      </c>
      <c r="B567" s="22" t="s">
        <v>7088</v>
      </c>
      <c r="C567" s="2">
        <v>2</v>
      </c>
      <c r="D567" s="23">
        <v>7.99</v>
      </c>
      <c r="E567" s="3">
        <v>15.98</v>
      </c>
      <c r="F567" s="2" t="s">
        <v>18954</v>
      </c>
      <c r="G567" s="22" t="s">
        <v>19333</v>
      </c>
      <c r="H567" s="24" t="s">
        <v>19542</v>
      </c>
      <c r="I567" s="22" t="s">
        <v>19309</v>
      </c>
      <c r="J567" s="22" t="s">
        <v>19908</v>
      </c>
      <c r="K567" s="22" t="s">
        <v>19524</v>
      </c>
      <c r="L567" s="22"/>
      <c r="M567" s="22"/>
      <c r="N567" s="25" t="str">
        <f>HYPERLINK("http://slimages.macys.com/is/image/MCY/21070261 ")</f>
        <v xml:space="preserve">http://slimages.macys.com/is/image/MCY/21070261 </v>
      </c>
    </row>
    <row r="568" spans="1:14" ht="24.75" x14ac:dyDescent="0.25">
      <c r="A568" s="21" t="s">
        <v>6177</v>
      </c>
      <c r="B568" s="22" t="s">
        <v>6178</v>
      </c>
      <c r="C568" s="2">
        <v>1</v>
      </c>
      <c r="D568" s="23">
        <v>7.99</v>
      </c>
      <c r="E568" s="3">
        <v>7.99</v>
      </c>
      <c r="F568" s="2" t="s">
        <v>6179</v>
      </c>
      <c r="G568" s="22" t="s">
        <v>19351</v>
      </c>
      <c r="H568" s="24" t="s">
        <v>19907</v>
      </c>
      <c r="I568" s="22" t="s">
        <v>19309</v>
      </c>
      <c r="J568" s="22" t="s">
        <v>19908</v>
      </c>
      <c r="K568" s="22" t="s">
        <v>19524</v>
      </c>
      <c r="L568" s="22"/>
      <c r="M568" s="22"/>
      <c r="N568" s="25" t="str">
        <f>HYPERLINK("http://slimages.macys.com/is/image/MCY/21243369 ")</f>
        <v xml:space="preserve">http://slimages.macys.com/is/image/MCY/21243369 </v>
      </c>
    </row>
    <row r="569" spans="1:14" ht="24.75" x14ac:dyDescent="0.25">
      <c r="A569" s="21" t="s">
        <v>6180</v>
      </c>
      <c r="B569" s="22" t="s">
        <v>6181</v>
      </c>
      <c r="C569" s="2">
        <v>1</v>
      </c>
      <c r="D569" s="23">
        <v>7.99</v>
      </c>
      <c r="E569" s="3">
        <v>7.99</v>
      </c>
      <c r="F569" s="2" t="s">
        <v>9189</v>
      </c>
      <c r="G569" s="22" t="s">
        <v>19814</v>
      </c>
      <c r="H569" s="24" t="s">
        <v>20135</v>
      </c>
      <c r="I569" s="22" t="s">
        <v>19309</v>
      </c>
      <c r="J569" s="22" t="s">
        <v>19908</v>
      </c>
      <c r="K569" s="22" t="s">
        <v>19524</v>
      </c>
      <c r="L569" s="22"/>
      <c r="M569" s="22"/>
      <c r="N569" s="25" t="str">
        <f>HYPERLINK("http://slimages.macys.com/is/image/MCY/21070266 ")</f>
        <v xml:space="preserve">http://slimages.macys.com/is/image/MCY/21070266 </v>
      </c>
    </row>
    <row r="570" spans="1:14" ht="24.75" x14ac:dyDescent="0.25">
      <c r="A570" s="21" t="s">
        <v>6182</v>
      </c>
      <c r="B570" s="22" t="s">
        <v>6183</v>
      </c>
      <c r="C570" s="2">
        <v>2</v>
      </c>
      <c r="D570" s="23">
        <v>7.99</v>
      </c>
      <c r="E570" s="3">
        <v>15.98</v>
      </c>
      <c r="F570" s="2" t="s">
        <v>18954</v>
      </c>
      <c r="G570" s="22" t="s">
        <v>19415</v>
      </c>
      <c r="H570" s="24" t="s">
        <v>19361</v>
      </c>
      <c r="I570" s="22" t="s">
        <v>19309</v>
      </c>
      <c r="J570" s="22" t="s">
        <v>19908</v>
      </c>
      <c r="K570" s="22" t="s">
        <v>19524</v>
      </c>
      <c r="L570" s="22"/>
      <c r="M570" s="22"/>
      <c r="N570" s="25" t="str">
        <f>HYPERLINK("http://slimages.macys.com/is/image/MCY/21070261 ")</f>
        <v xml:space="preserve">http://slimages.macys.com/is/image/MCY/21070261 </v>
      </c>
    </row>
    <row r="571" spans="1:14" ht="24.75" x14ac:dyDescent="0.25">
      <c r="A571" s="21" t="s">
        <v>6184</v>
      </c>
      <c r="B571" s="22" t="s">
        <v>6185</v>
      </c>
      <c r="C571" s="2">
        <v>1</v>
      </c>
      <c r="D571" s="23">
        <v>7.99</v>
      </c>
      <c r="E571" s="3">
        <v>7.99</v>
      </c>
      <c r="F571" s="2" t="s">
        <v>16984</v>
      </c>
      <c r="G571" s="22" t="s">
        <v>19431</v>
      </c>
      <c r="H571" s="24" t="s">
        <v>19377</v>
      </c>
      <c r="I571" s="22" t="s">
        <v>19309</v>
      </c>
      <c r="J571" s="22" t="s">
        <v>19908</v>
      </c>
      <c r="K571" s="22" t="s">
        <v>19524</v>
      </c>
      <c r="L571" s="22"/>
      <c r="M571" s="22"/>
      <c r="N571" s="25" t="str">
        <f>HYPERLINK("http://slimages.macys.com/is/image/MCY/1554688 ")</f>
        <v xml:space="preserve">http://slimages.macys.com/is/image/MCY/1554688 </v>
      </c>
    </row>
    <row r="572" spans="1:14" ht="24.75" x14ac:dyDescent="0.25">
      <c r="A572" s="21" t="s">
        <v>9180</v>
      </c>
      <c r="B572" s="22" t="s">
        <v>9181</v>
      </c>
      <c r="C572" s="2">
        <v>2</v>
      </c>
      <c r="D572" s="23">
        <v>7.99</v>
      </c>
      <c r="E572" s="3">
        <v>15.98</v>
      </c>
      <c r="F572" s="2" t="s">
        <v>18954</v>
      </c>
      <c r="G572" s="22" t="s">
        <v>19415</v>
      </c>
      <c r="H572" s="24" t="s">
        <v>19542</v>
      </c>
      <c r="I572" s="22" t="s">
        <v>19309</v>
      </c>
      <c r="J572" s="22" t="s">
        <v>19908</v>
      </c>
      <c r="K572" s="22" t="s">
        <v>19524</v>
      </c>
      <c r="L572" s="22"/>
      <c r="M572" s="22"/>
      <c r="N572" s="25" t="str">
        <f>HYPERLINK("http://slimages.macys.com/is/image/MCY/21070261 ")</f>
        <v xml:space="preserve">http://slimages.macys.com/is/image/MCY/21070261 </v>
      </c>
    </row>
    <row r="573" spans="1:14" ht="24.75" x14ac:dyDescent="0.25">
      <c r="A573" s="21" t="s">
        <v>6186</v>
      </c>
      <c r="B573" s="22" t="s">
        <v>6187</v>
      </c>
      <c r="C573" s="2">
        <v>1</v>
      </c>
      <c r="D573" s="23">
        <v>7.99</v>
      </c>
      <c r="E573" s="3">
        <v>7.99</v>
      </c>
      <c r="F573" s="2" t="s">
        <v>9189</v>
      </c>
      <c r="G573" s="22" t="s">
        <v>19814</v>
      </c>
      <c r="H573" s="24" t="s">
        <v>19361</v>
      </c>
      <c r="I573" s="22" t="s">
        <v>19309</v>
      </c>
      <c r="J573" s="22" t="s">
        <v>19908</v>
      </c>
      <c r="K573" s="22" t="s">
        <v>19524</v>
      </c>
      <c r="L573" s="22"/>
      <c r="M573" s="22"/>
      <c r="N573" s="25" t="str">
        <f>HYPERLINK("http://slimages.macys.com/is/image/MCY/21070266 ")</f>
        <v xml:space="preserve">http://slimages.macys.com/is/image/MCY/21070266 </v>
      </c>
    </row>
    <row r="574" spans="1:14" ht="24.75" x14ac:dyDescent="0.25">
      <c r="A574" s="21" t="s">
        <v>9190</v>
      </c>
      <c r="B574" s="22" t="s">
        <v>9191</v>
      </c>
      <c r="C574" s="2">
        <v>1</v>
      </c>
      <c r="D574" s="23">
        <v>7.99</v>
      </c>
      <c r="E574" s="3">
        <v>7.99</v>
      </c>
      <c r="F574" s="2" t="s">
        <v>18954</v>
      </c>
      <c r="G574" s="22" t="s">
        <v>19333</v>
      </c>
      <c r="H574" s="24" t="s">
        <v>20135</v>
      </c>
      <c r="I574" s="22" t="s">
        <v>19309</v>
      </c>
      <c r="J574" s="22" t="s">
        <v>19908</v>
      </c>
      <c r="K574" s="22" t="s">
        <v>19524</v>
      </c>
      <c r="L574" s="22"/>
      <c r="M574" s="22"/>
      <c r="N574" s="25" t="str">
        <f>HYPERLINK("http://slimages.macys.com/is/image/MCY/21070261 ")</f>
        <v xml:space="preserve">http://slimages.macys.com/is/image/MCY/21070261 </v>
      </c>
    </row>
    <row r="575" spans="1:14" ht="24.75" x14ac:dyDescent="0.25">
      <c r="A575" s="21" t="s">
        <v>6188</v>
      </c>
      <c r="B575" s="22" t="s">
        <v>6189</v>
      </c>
      <c r="C575" s="2">
        <v>1</v>
      </c>
      <c r="D575" s="23">
        <v>7.99</v>
      </c>
      <c r="E575" s="3">
        <v>7.99</v>
      </c>
      <c r="F575" s="2" t="s">
        <v>18954</v>
      </c>
      <c r="G575" s="22" t="s">
        <v>19415</v>
      </c>
      <c r="H575" s="24" t="s">
        <v>20135</v>
      </c>
      <c r="I575" s="22" t="s">
        <v>19309</v>
      </c>
      <c r="J575" s="22" t="s">
        <v>19908</v>
      </c>
      <c r="K575" s="22" t="s">
        <v>19524</v>
      </c>
      <c r="L575" s="22"/>
      <c r="M575" s="22"/>
      <c r="N575" s="25" t="str">
        <f>HYPERLINK("http://slimages.macys.com/is/image/MCY/21070261 ")</f>
        <v xml:space="preserve">http://slimages.macys.com/is/image/MCY/21070261 </v>
      </c>
    </row>
    <row r="576" spans="1:14" ht="24.75" x14ac:dyDescent="0.25">
      <c r="A576" s="21" t="s">
        <v>6190</v>
      </c>
      <c r="B576" s="22" t="s">
        <v>6191</v>
      </c>
      <c r="C576" s="2">
        <v>1</v>
      </c>
      <c r="D576" s="23">
        <v>7.99</v>
      </c>
      <c r="E576" s="3">
        <v>7.99</v>
      </c>
      <c r="F576" s="2" t="s">
        <v>6179</v>
      </c>
      <c r="G576" s="22" t="s">
        <v>19351</v>
      </c>
      <c r="H576" s="24" t="s">
        <v>20135</v>
      </c>
      <c r="I576" s="22" t="s">
        <v>19309</v>
      </c>
      <c r="J576" s="22" t="s">
        <v>19908</v>
      </c>
      <c r="K576" s="22" t="s">
        <v>19524</v>
      </c>
      <c r="L576" s="22"/>
      <c r="M576" s="22"/>
      <c r="N576" s="25" t="str">
        <f>HYPERLINK("http://slimages.macys.com/is/image/MCY/21243369 ")</f>
        <v xml:space="preserve">http://slimages.macys.com/is/image/MCY/21243369 </v>
      </c>
    </row>
    <row r="577" spans="1:14" ht="24.75" x14ac:dyDescent="0.25">
      <c r="A577" s="21" t="s">
        <v>16992</v>
      </c>
      <c r="B577" s="22" t="s">
        <v>16993</v>
      </c>
      <c r="C577" s="2">
        <v>1</v>
      </c>
      <c r="D577" s="23">
        <v>7.99</v>
      </c>
      <c r="E577" s="3">
        <v>7.99</v>
      </c>
      <c r="F577" s="2" t="s">
        <v>16984</v>
      </c>
      <c r="G577" s="22" t="s">
        <v>19431</v>
      </c>
      <c r="H577" s="24" t="s">
        <v>20089</v>
      </c>
      <c r="I577" s="22" t="s">
        <v>19309</v>
      </c>
      <c r="J577" s="22" t="s">
        <v>19908</v>
      </c>
      <c r="K577" s="22" t="s">
        <v>19524</v>
      </c>
      <c r="L577" s="22"/>
      <c r="M577" s="22"/>
      <c r="N577" s="25" t="str">
        <f>HYPERLINK("http://slimages.macys.com/is/image/MCY/1554688 ")</f>
        <v xml:space="preserve">http://slimages.macys.com/is/image/MCY/1554688 </v>
      </c>
    </row>
    <row r="578" spans="1:14" ht="24.75" x14ac:dyDescent="0.25">
      <c r="A578" s="21" t="s">
        <v>6192</v>
      </c>
      <c r="B578" s="22" t="s">
        <v>6193</v>
      </c>
      <c r="C578" s="2">
        <v>3</v>
      </c>
      <c r="D578" s="23">
        <v>6.99</v>
      </c>
      <c r="E578" s="3">
        <v>20.97</v>
      </c>
      <c r="F578" s="2" t="s">
        <v>6194</v>
      </c>
      <c r="G578" s="22" t="s">
        <v>19315</v>
      </c>
      <c r="H578" s="24" t="s">
        <v>19352</v>
      </c>
      <c r="I578" s="22" t="s">
        <v>19309</v>
      </c>
      <c r="J578" s="22" t="s">
        <v>19353</v>
      </c>
      <c r="K578" s="22" t="s">
        <v>19354</v>
      </c>
      <c r="L578" s="22"/>
      <c r="M578" s="22"/>
      <c r="N578" s="25" t="str">
        <f>HYPERLINK("http://slimages.macys.com/is/image/MCY/20737579 ")</f>
        <v xml:space="preserve">http://slimages.macys.com/is/image/MCY/20737579 </v>
      </c>
    </row>
    <row r="579" spans="1:14" ht="24.75" x14ac:dyDescent="0.25">
      <c r="A579" s="21" t="s">
        <v>6195</v>
      </c>
      <c r="B579" s="22" t="s">
        <v>6196</v>
      </c>
      <c r="C579" s="2">
        <v>1</v>
      </c>
      <c r="D579" s="23">
        <v>6.99</v>
      </c>
      <c r="E579" s="3">
        <v>6.99</v>
      </c>
      <c r="F579" s="2" t="s">
        <v>6197</v>
      </c>
      <c r="G579" s="22" t="s">
        <v>19422</v>
      </c>
      <c r="H579" s="24" t="s">
        <v>20135</v>
      </c>
      <c r="I579" s="22" t="s">
        <v>19309</v>
      </c>
      <c r="J579" s="22" t="s">
        <v>19908</v>
      </c>
      <c r="K579" s="22" t="s">
        <v>19354</v>
      </c>
      <c r="L579" s="22"/>
      <c r="M579" s="22"/>
      <c r="N579" s="25" t="str">
        <f>HYPERLINK("http://slimages.macys.com/is/image/MCY/21563108 ")</f>
        <v xml:space="preserve">http://slimages.macys.com/is/image/MCY/21563108 </v>
      </c>
    </row>
    <row r="580" spans="1:14" x14ac:dyDescent="0.25">
      <c r="A580" s="21" t="s">
        <v>6198</v>
      </c>
      <c r="B580" s="22" t="s">
        <v>6199</v>
      </c>
      <c r="C580" s="2">
        <v>1</v>
      </c>
      <c r="D580" s="23">
        <v>8.3000000000000007</v>
      </c>
      <c r="E580" s="3">
        <v>8.3000000000000007</v>
      </c>
      <c r="F580" s="2" t="s">
        <v>9667</v>
      </c>
      <c r="G580" s="22" t="s">
        <v>19431</v>
      </c>
      <c r="H580" s="24" t="s">
        <v>19416</v>
      </c>
      <c r="I580" s="22" t="s">
        <v>19309</v>
      </c>
      <c r="J580" s="22" t="s">
        <v>19708</v>
      </c>
      <c r="K580" s="22" t="s">
        <v>19709</v>
      </c>
      <c r="L580" s="22"/>
      <c r="M580" s="22"/>
      <c r="N580" s="25" t="str">
        <f>HYPERLINK("http://slimages.macys.com/is/image/MCY/21726415 ")</f>
        <v xml:space="preserve">http://slimages.macys.com/is/image/MCY/21726415 </v>
      </c>
    </row>
    <row r="581" spans="1:14" x14ac:dyDescent="0.25">
      <c r="A581" s="21" t="s">
        <v>6200</v>
      </c>
      <c r="B581" s="22" t="s">
        <v>18268</v>
      </c>
      <c r="C581" s="2">
        <v>1</v>
      </c>
      <c r="D581" s="23">
        <v>8.3000000000000007</v>
      </c>
      <c r="E581" s="3">
        <v>8.3000000000000007</v>
      </c>
      <c r="F581" s="2" t="s">
        <v>7994</v>
      </c>
      <c r="G581" s="22" t="s">
        <v>19635</v>
      </c>
      <c r="H581" s="24" t="s">
        <v>19330</v>
      </c>
      <c r="I581" s="22" t="s">
        <v>19309</v>
      </c>
      <c r="J581" s="22" t="s">
        <v>19708</v>
      </c>
      <c r="K581" s="22" t="s">
        <v>19709</v>
      </c>
      <c r="L581" s="22"/>
      <c r="M581" s="22"/>
      <c r="N581" s="25" t="str">
        <f>HYPERLINK("http://slimages.macys.com/is/image/MCY/21726389 ")</f>
        <v xml:space="preserve">http://slimages.macys.com/is/image/MCY/21726389 </v>
      </c>
    </row>
    <row r="582" spans="1:14" x14ac:dyDescent="0.25">
      <c r="A582" s="21" t="s">
        <v>6201</v>
      </c>
      <c r="B582" s="22" t="s">
        <v>4359</v>
      </c>
      <c r="C582" s="2">
        <v>1</v>
      </c>
      <c r="D582" s="23">
        <v>8.25</v>
      </c>
      <c r="E582" s="3">
        <v>8.25</v>
      </c>
      <c r="F582" s="2" t="s">
        <v>4360</v>
      </c>
      <c r="G582" s="22" t="s">
        <v>19338</v>
      </c>
      <c r="H582" s="24" t="s">
        <v>20159</v>
      </c>
      <c r="I582" s="22" t="s">
        <v>19309</v>
      </c>
      <c r="J582" s="22" t="s">
        <v>19708</v>
      </c>
      <c r="K582" s="22" t="s">
        <v>19709</v>
      </c>
      <c r="L582" s="22"/>
      <c r="M582" s="22"/>
      <c r="N582" s="25" t="str">
        <f>HYPERLINK("http://slimages.macys.com/is/image/MCY/22405574 ")</f>
        <v xml:space="preserve">http://slimages.macys.com/is/image/MCY/22405574 </v>
      </c>
    </row>
    <row r="583" spans="1:14" ht="24.75" x14ac:dyDescent="0.25">
      <c r="A583" s="21" t="s">
        <v>13441</v>
      </c>
      <c r="B583" s="22" t="s">
        <v>13442</v>
      </c>
      <c r="C583" s="2">
        <v>1</v>
      </c>
      <c r="D583" s="23">
        <v>7.99</v>
      </c>
      <c r="E583" s="3">
        <v>7.99</v>
      </c>
      <c r="F583" s="2" t="s">
        <v>13443</v>
      </c>
      <c r="G583" s="22" t="s">
        <v>19618</v>
      </c>
      <c r="H583" s="24" t="s">
        <v>19907</v>
      </c>
      <c r="I583" s="22" t="s">
        <v>19309</v>
      </c>
      <c r="J583" s="22" t="s">
        <v>19573</v>
      </c>
      <c r="K583" s="22" t="s">
        <v>19574</v>
      </c>
      <c r="L583" s="22"/>
      <c r="M583" s="22"/>
      <c r="N583" s="25" t="str">
        <f>HYPERLINK("http://slimages.macys.com/is/image/MCY/1573861 ")</f>
        <v xml:space="preserve">http://slimages.macys.com/is/image/MCY/1573861 </v>
      </c>
    </row>
    <row r="584" spans="1:14" ht="24.75" x14ac:dyDescent="0.25">
      <c r="A584" s="21" t="s">
        <v>10079</v>
      </c>
      <c r="B584" s="22" t="s">
        <v>10080</v>
      </c>
      <c r="C584" s="2">
        <v>1</v>
      </c>
      <c r="D584" s="23">
        <v>7.99</v>
      </c>
      <c r="E584" s="3">
        <v>7.99</v>
      </c>
      <c r="F584" s="2" t="s">
        <v>10081</v>
      </c>
      <c r="G584" s="22" t="s">
        <v>19431</v>
      </c>
      <c r="H584" s="24" t="s">
        <v>19907</v>
      </c>
      <c r="I584" s="22" t="s">
        <v>19309</v>
      </c>
      <c r="J584" s="22" t="s">
        <v>19573</v>
      </c>
      <c r="K584" s="22" t="s">
        <v>19574</v>
      </c>
      <c r="L584" s="22"/>
      <c r="M584" s="22"/>
      <c r="N584" s="25" t="str">
        <f>HYPERLINK("http://slimages.macys.com/is/image/MCY/21209149 ")</f>
        <v xml:space="preserve">http://slimages.macys.com/is/image/MCY/21209149 </v>
      </c>
    </row>
    <row r="585" spans="1:14" ht="24.75" x14ac:dyDescent="0.25">
      <c r="A585" s="21" t="s">
        <v>4361</v>
      </c>
      <c r="B585" s="22" t="s">
        <v>4362</v>
      </c>
      <c r="C585" s="2">
        <v>1</v>
      </c>
      <c r="D585" s="23">
        <v>6.99</v>
      </c>
      <c r="E585" s="3">
        <v>6.99</v>
      </c>
      <c r="F585" s="2" t="s">
        <v>19009</v>
      </c>
      <c r="G585" s="22" t="s">
        <v>19351</v>
      </c>
      <c r="H585" s="24" t="s">
        <v>19364</v>
      </c>
      <c r="I585" s="22" t="s">
        <v>19309</v>
      </c>
      <c r="J585" s="22" t="s">
        <v>19353</v>
      </c>
      <c r="K585" s="22" t="s">
        <v>19354</v>
      </c>
      <c r="L585" s="22"/>
      <c r="M585" s="22"/>
      <c r="N585" s="25" t="str">
        <f>HYPERLINK("http://slimages.macys.com/is/image/MCY/21563007 ")</f>
        <v xml:space="preserve">http://slimages.macys.com/is/image/MCY/21563007 </v>
      </c>
    </row>
    <row r="586" spans="1:14" ht="24.75" x14ac:dyDescent="0.25">
      <c r="A586" s="21" t="s">
        <v>19007</v>
      </c>
      <c r="B586" s="22" t="s">
        <v>19008</v>
      </c>
      <c r="C586" s="2">
        <v>2</v>
      </c>
      <c r="D586" s="23">
        <v>6.99</v>
      </c>
      <c r="E586" s="3">
        <v>13.98</v>
      </c>
      <c r="F586" s="2" t="s">
        <v>19009</v>
      </c>
      <c r="G586" s="22" t="s">
        <v>19351</v>
      </c>
      <c r="H586" s="24" t="s">
        <v>19797</v>
      </c>
      <c r="I586" s="22" t="s">
        <v>19309</v>
      </c>
      <c r="J586" s="22" t="s">
        <v>19353</v>
      </c>
      <c r="K586" s="22" t="s">
        <v>19354</v>
      </c>
      <c r="L586" s="22"/>
      <c r="M586" s="22"/>
      <c r="N586" s="25" t="str">
        <f>HYPERLINK("http://slimages.macys.com/is/image/MCY/21563007 ")</f>
        <v xml:space="preserve">http://slimages.macys.com/is/image/MCY/21563007 </v>
      </c>
    </row>
    <row r="587" spans="1:14" ht="24.75" x14ac:dyDescent="0.25">
      <c r="A587" s="21" t="s">
        <v>4363</v>
      </c>
      <c r="B587" s="22" t="s">
        <v>4364</v>
      </c>
      <c r="C587" s="2">
        <v>1</v>
      </c>
      <c r="D587" s="23">
        <v>7.99</v>
      </c>
      <c r="E587" s="3">
        <v>7.99</v>
      </c>
      <c r="F587" s="2" t="s">
        <v>7144</v>
      </c>
      <c r="G587" s="22" t="s">
        <v>19415</v>
      </c>
      <c r="H587" s="24" t="s">
        <v>20089</v>
      </c>
      <c r="I587" s="22" t="s">
        <v>19309</v>
      </c>
      <c r="J587" s="22" t="s">
        <v>19573</v>
      </c>
      <c r="K587" s="22" t="s">
        <v>19574</v>
      </c>
      <c r="L587" s="22"/>
      <c r="M587" s="22"/>
      <c r="N587" s="25" t="str">
        <f>HYPERLINK("http://slimages.macys.com/is/image/MCY/18421986 ")</f>
        <v xml:space="preserve">http://slimages.macys.com/is/image/MCY/18421986 </v>
      </c>
    </row>
    <row r="588" spans="1:14" ht="24.75" x14ac:dyDescent="0.25">
      <c r="A588" s="21" t="s">
        <v>4365</v>
      </c>
      <c r="B588" s="22" t="s">
        <v>4366</v>
      </c>
      <c r="C588" s="2">
        <v>1</v>
      </c>
      <c r="D588" s="23">
        <v>7.99</v>
      </c>
      <c r="E588" s="3">
        <v>7.99</v>
      </c>
      <c r="F588" s="2" t="s">
        <v>4367</v>
      </c>
      <c r="G588" s="22" t="s">
        <v>19618</v>
      </c>
      <c r="H588" s="24" t="s">
        <v>20089</v>
      </c>
      <c r="I588" s="22" t="s">
        <v>19309</v>
      </c>
      <c r="J588" s="22" t="s">
        <v>19573</v>
      </c>
      <c r="K588" s="22" t="s">
        <v>19574</v>
      </c>
      <c r="L588" s="22"/>
      <c r="M588" s="22"/>
      <c r="N588" s="25" t="str">
        <f>HYPERLINK("http://slimages.macys.com/is/image/MCY/21088377 ")</f>
        <v xml:space="preserve">http://slimages.macys.com/is/image/MCY/21088377 </v>
      </c>
    </row>
    <row r="589" spans="1:14" ht="24.75" x14ac:dyDescent="0.25">
      <c r="A589" s="21" t="s">
        <v>4368</v>
      </c>
      <c r="B589" s="22" t="s">
        <v>4369</v>
      </c>
      <c r="C589" s="2">
        <v>4</v>
      </c>
      <c r="D589" s="23">
        <v>7.99</v>
      </c>
      <c r="E589" s="3">
        <v>31.96</v>
      </c>
      <c r="F589" s="2" t="s">
        <v>4367</v>
      </c>
      <c r="G589" s="22" t="s">
        <v>19618</v>
      </c>
      <c r="H589" s="24" t="s">
        <v>19907</v>
      </c>
      <c r="I589" s="22" t="s">
        <v>19309</v>
      </c>
      <c r="J589" s="22" t="s">
        <v>19573</v>
      </c>
      <c r="K589" s="22" t="s">
        <v>19574</v>
      </c>
      <c r="L589" s="22"/>
      <c r="M589" s="22"/>
      <c r="N589" s="25" t="str">
        <f>HYPERLINK("http://slimages.macys.com/is/image/MCY/21088377 ")</f>
        <v xml:space="preserve">http://slimages.macys.com/is/image/MCY/21088377 </v>
      </c>
    </row>
    <row r="590" spans="1:14" ht="24.75" x14ac:dyDescent="0.25">
      <c r="A590" s="21" t="s">
        <v>12558</v>
      </c>
      <c r="B590" s="22" t="s">
        <v>12559</v>
      </c>
      <c r="C590" s="2">
        <v>1</v>
      </c>
      <c r="D590" s="23">
        <v>7.99</v>
      </c>
      <c r="E590" s="3">
        <v>7.99</v>
      </c>
      <c r="F590" s="2" t="s">
        <v>12560</v>
      </c>
      <c r="G590" s="22" t="s">
        <v>19351</v>
      </c>
      <c r="H590" s="24" t="s">
        <v>19907</v>
      </c>
      <c r="I590" s="22" t="s">
        <v>19309</v>
      </c>
      <c r="J590" s="22" t="s">
        <v>19573</v>
      </c>
      <c r="K590" s="22" t="s">
        <v>19574</v>
      </c>
      <c r="L590" s="22"/>
      <c r="M590" s="22"/>
      <c r="N590" s="25" t="str">
        <f>HYPERLINK("http://slimages.macys.com/is/image/MCY/20753669 ")</f>
        <v xml:space="preserve">http://slimages.macys.com/is/image/MCY/20753669 </v>
      </c>
    </row>
    <row r="591" spans="1:14" ht="24.75" x14ac:dyDescent="0.25">
      <c r="A591" s="21" t="s">
        <v>4370</v>
      </c>
      <c r="B591" s="22" t="s">
        <v>4371</v>
      </c>
      <c r="C591" s="2">
        <v>1</v>
      </c>
      <c r="D591" s="23">
        <v>7.99</v>
      </c>
      <c r="E591" s="3">
        <v>7.99</v>
      </c>
      <c r="F591" s="2" t="s">
        <v>12565</v>
      </c>
      <c r="G591" s="22" t="s">
        <v>19351</v>
      </c>
      <c r="H591" s="24" t="s">
        <v>20089</v>
      </c>
      <c r="I591" s="22" t="s">
        <v>19309</v>
      </c>
      <c r="J591" s="22" t="s">
        <v>19573</v>
      </c>
      <c r="K591" s="22" t="s">
        <v>19574</v>
      </c>
      <c r="L591" s="22"/>
      <c r="M591" s="22"/>
      <c r="N591" s="25" t="str">
        <f>HYPERLINK("http://slimages.macys.com/is/image/MCY/1124651 ")</f>
        <v xml:space="preserve">http://slimages.macys.com/is/image/MCY/1124651 </v>
      </c>
    </row>
    <row r="592" spans="1:14" ht="24.75" x14ac:dyDescent="0.25">
      <c r="A592" s="21" t="s">
        <v>4372</v>
      </c>
      <c r="B592" s="22" t="s">
        <v>4373</v>
      </c>
      <c r="C592" s="2">
        <v>3</v>
      </c>
      <c r="D592" s="23">
        <v>7.99</v>
      </c>
      <c r="E592" s="3">
        <v>23.97</v>
      </c>
      <c r="F592" s="2" t="s">
        <v>4374</v>
      </c>
      <c r="G592" s="22" t="s">
        <v>19351</v>
      </c>
      <c r="H592" s="24" t="s">
        <v>19907</v>
      </c>
      <c r="I592" s="22" t="s">
        <v>19309</v>
      </c>
      <c r="J592" s="22" t="s">
        <v>19573</v>
      </c>
      <c r="K592" s="22" t="s">
        <v>19574</v>
      </c>
      <c r="L592" s="22"/>
      <c r="M592" s="22"/>
      <c r="N592" s="25" t="str">
        <f>HYPERLINK("http://slimages.macys.com/is/image/MCY/1151739 ")</f>
        <v xml:space="preserve">http://slimages.macys.com/is/image/MCY/1151739 </v>
      </c>
    </row>
    <row r="593" spans="1:14" ht="24.75" x14ac:dyDescent="0.25">
      <c r="A593" s="21" t="s">
        <v>4375</v>
      </c>
      <c r="B593" s="22" t="s">
        <v>4376</v>
      </c>
      <c r="C593" s="2">
        <v>1</v>
      </c>
      <c r="D593" s="23">
        <v>7.99</v>
      </c>
      <c r="E593" s="3">
        <v>7.99</v>
      </c>
      <c r="F593" s="2" t="s">
        <v>4377</v>
      </c>
      <c r="G593" s="22" t="s">
        <v>19351</v>
      </c>
      <c r="H593" s="24" t="s">
        <v>19907</v>
      </c>
      <c r="I593" s="22" t="s">
        <v>19309</v>
      </c>
      <c r="J593" s="22" t="s">
        <v>19573</v>
      </c>
      <c r="K593" s="22" t="s">
        <v>19574</v>
      </c>
      <c r="L593" s="22"/>
      <c r="M593" s="22"/>
      <c r="N593" s="25" t="str">
        <f>HYPERLINK("http://slimages.macys.com/is/image/MCY/21088493 ")</f>
        <v xml:space="preserve">http://slimages.macys.com/is/image/MCY/21088493 </v>
      </c>
    </row>
    <row r="594" spans="1:14" ht="24.75" x14ac:dyDescent="0.25">
      <c r="A594" s="21" t="s">
        <v>8341</v>
      </c>
      <c r="B594" s="22" t="s">
        <v>8342</v>
      </c>
      <c r="C594" s="2">
        <v>1</v>
      </c>
      <c r="D594" s="23">
        <v>7.99</v>
      </c>
      <c r="E594" s="3">
        <v>7.99</v>
      </c>
      <c r="F594" s="2" t="s">
        <v>11129</v>
      </c>
      <c r="G594" s="22" t="s">
        <v>19351</v>
      </c>
      <c r="H594" s="24" t="s">
        <v>19907</v>
      </c>
      <c r="I594" s="22" t="s">
        <v>19309</v>
      </c>
      <c r="J594" s="22" t="s">
        <v>19573</v>
      </c>
      <c r="K594" s="22" t="s">
        <v>19574</v>
      </c>
      <c r="L594" s="22"/>
      <c r="M594" s="22"/>
      <c r="N594" s="25" t="str">
        <f>HYPERLINK("http://slimages.macys.com/is/image/MCY/1610409 ")</f>
        <v xml:space="preserve">http://slimages.macys.com/is/image/MCY/1610409 </v>
      </c>
    </row>
    <row r="595" spans="1:14" ht="24.75" x14ac:dyDescent="0.25">
      <c r="A595" s="21" t="s">
        <v>9203</v>
      </c>
      <c r="B595" s="22" t="s">
        <v>9204</v>
      </c>
      <c r="C595" s="2">
        <v>2</v>
      </c>
      <c r="D595" s="23">
        <v>6.99</v>
      </c>
      <c r="E595" s="3">
        <v>13.98</v>
      </c>
      <c r="F595" s="2">
        <v>10013625700</v>
      </c>
      <c r="G595" s="22" t="s">
        <v>19585</v>
      </c>
      <c r="H595" s="24" t="s">
        <v>19770</v>
      </c>
      <c r="I595" s="22" t="s">
        <v>19309</v>
      </c>
      <c r="J595" s="22" t="s">
        <v>19573</v>
      </c>
      <c r="K595" s="22" t="s">
        <v>19574</v>
      </c>
      <c r="L595" s="22"/>
      <c r="M595" s="22"/>
      <c r="N595" s="25" t="str">
        <f>HYPERLINK("http://slimages.macys.com/is/image/MCY/20142519 ")</f>
        <v xml:space="preserve">http://slimages.macys.com/is/image/MCY/20142519 </v>
      </c>
    </row>
    <row r="596" spans="1:14" ht="24.75" x14ac:dyDescent="0.25">
      <c r="A596" s="21" t="s">
        <v>6207</v>
      </c>
      <c r="B596" s="22" t="s">
        <v>6208</v>
      </c>
      <c r="C596" s="2">
        <v>1</v>
      </c>
      <c r="D596" s="23">
        <v>7.99</v>
      </c>
      <c r="E596" s="3">
        <v>7.99</v>
      </c>
      <c r="F596" s="2" t="s">
        <v>6206</v>
      </c>
      <c r="G596" s="22" t="s">
        <v>19351</v>
      </c>
      <c r="H596" s="24" t="s">
        <v>19907</v>
      </c>
      <c r="I596" s="22" t="s">
        <v>19309</v>
      </c>
      <c r="J596" s="22" t="s">
        <v>19573</v>
      </c>
      <c r="K596" s="22" t="s">
        <v>19574</v>
      </c>
      <c r="L596" s="22"/>
      <c r="M596" s="22"/>
      <c r="N596" s="25" t="str">
        <f>HYPERLINK("http://slimages.macys.com/is/image/MCY/1122116 ")</f>
        <v xml:space="preserve">http://slimages.macys.com/is/image/MCY/1122116 </v>
      </c>
    </row>
    <row r="597" spans="1:14" x14ac:dyDescent="0.25">
      <c r="A597" s="21" t="s">
        <v>4378</v>
      </c>
      <c r="B597" s="22" t="s">
        <v>4379</v>
      </c>
      <c r="C597" s="2">
        <v>1</v>
      </c>
      <c r="D597" s="23">
        <v>5.99</v>
      </c>
      <c r="E597" s="3">
        <v>5.99</v>
      </c>
      <c r="F597" s="2" t="s">
        <v>13433</v>
      </c>
      <c r="G597" s="22" t="s">
        <v>19477</v>
      </c>
      <c r="H597" s="24" t="s">
        <v>20089</v>
      </c>
      <c r="I597" s="22" t="s">
        <v>19309</v>
      </c>
      <c r="J597" s="22" t="s">
        <v>19849</v>
      </c>
      <c r="K597" s="22" t="s">
        <v>19850</v>
      </c>
      <c r="L597" s="22"/>
      <c r="M597" s="22"/>
      <c r="N597" s="25" t="str">
        <f>HYPERLINK("http://slimages.macys.com/is/image/MCY/20549051 ")</f>
        <v xml:space="preserve">http://slimages.macys.com/is/image/MCY/20549051 </v>
      </c>
    </row>
    <row r="598" spans="1:14" x14ac:dyDescent="0.25">
      <c r="A598" s="21" t="s">
        <v>4380</v>
      </c>
      <c r="B598" s="22" t="s">
        <v>4381</v>
      </c>
      <c r="C598" s="2">
        <v>1</v>
      </c>
      <c r="D598" s="23">
        <v>5.99</v>
      </c>
      <c r="E598" s="3">
        <v>5.99</v>
      </c>
      <c r="F598" s="2" t="s">
        <v>13433</v>
      </c>
      <c r="G598" s="22" t="s">
        <v>19477</v>
      </c>
      <c r="H598" s="24" t="s">
        <v>19377</v>
      </c>
      <c r="I598" s="22" t="s">
        <v>19309</v>
      </c>
      <c r="J598" s="22" t="s">
        <v>19849</v>
      </c>
      <c r="K598" s="22" t="s">
        <v>19850</v>
      </c>
      <c r="L598" s="22"/>
      <c r="M598" s="22"/>
      <c r="N598" s="25" t="str">
        <f>HYPERLINK("http://slimages.macys.com/is/image/MCY/20549051 ")</f>
        <v xml:space="preserve">http://slimages.macys.com/is/image/MCY/20549051 </v>
      </c>
    </row>
    <row r="599" spans="1:14" x14ac:dyDescent="0.25">
      <c r="A599" s="21" t="s">
        <v>4382</v>
      </c>
      <c r="B599" s="22" t="s">
        <v>4383</v>
      </c>
      <c r="C599" s="2">
        <v>2</v>
      </c>
      <c r="D599" s="23">
        <v>5.99</v>
      </c>
      <c r="E599" s="3">
        <v>11.98</v>
      </c>
      <c r="F599" s="2" t="s">
        <v>13433</v>
      </c>
      <c r="G599" s="22" t="s">
        <v>19477</v>
      </c>
      <c r="H599" s="24" t="s">
        <v>19542</v>
      </c>
      <c r="I599" s="22" t="s">
        <v>19309</v>
      </c>
      <c r="J599" s="22" t="s">
        <v>19849</v>
      </c>
      <c r="K599" s="22" t="s">
        <v>19850</v>
      </c>
      <c r="L599" s="22"/>
      <c r="M599" s="22"/>
      <c r="N599" s="25" t="str">
        <f>HYPERLINK("http://slimages.macys.com/is/image/MCY/20549051 ")</f>
        <v xml:space="preserve">http://slimages.macys.com/is/image/MCY/20549051 </v>
      </c>
    </row>
    <row r="600" spans="1:14" ht="24.75" x14ac:dyDescent="0.25">
      <c r="A600" s="21" t="s">
        <v>13444</v>
      </c>
      <c r="B600" s="22" t="s">
        <v>13445</v>
      </c>
      <c r="C600" s="2">
        <v>1</v>
      </c>
      <c r="D600" s="23">
        <v>6.99</v>
      </c>
      <c r="E600" s="3">
        <v>6.99</v>
      </c>
      <c r="F600" s="2" t="s">
        <v>13446</v>
      </c>
      <c r="G600" s="22" t="s">
        <v>19513</v>
      </c>
      <c r="H600" s="24" t="s">
        <v>19538</v>
      </c>
      <c r="I600" s="22" t="s">
        <v>19309</v>
      </c>
      <c r="J600" s="22" t="s">
        <v>19573</v>
      </c>
      <c r="K600" s="22" t="s">
        <v>19574</v>
      </c>
      <c r="L600" s="22"/>
      <c r="M600" s="22"/>
      <c r="N600" s="25" t="str">
        <f>HYPERLINK("http://slimages.macys.com/is/image/MCY/13531635 ")</f>
        <v xml:space="preserve">http://slimages.macys.com/is/image/MCY/13531635 </v>
      </c>
    </row>
    <row r="601" spans="1:14" x14ac:dyDescent="0.25">
      <c r="A601" s="21" t="s">
        <v>9212</v>
      </c>
      <c r="B601" s="22" t="s">
        <v>9213</v>
      </c>
      <c r="C601" s="2">
        <v>1</v>
      </c>
      <c r="D601" s="23">
        <v>6.99</v>
      </c>
      <c r="E601" s="3">
        <v>6.99</v>
      </c>
      <c r="F601" s="2" t="s">
        <v>19035</v>
      </c>
      <c r="G601" s="22" t="s">
        <v>19351</v>
      </c>
      <c r="H601" s="24" t="s">
        <v>19797</v>
      </c>
      <c r="I601" s="22" t="s">
        <v>19309</v>
      </c>
      <c r="J601" s="22" t="s">
        <v>19849</v>
      </c>
      <c r="K601" s="22" t="s">
        <v>19850</v>
      </c>
      <c r="L601" s="22"/>
      <c r="M601" s="22"/>
      <c r="N601" s="25" t="str">
        <f>HYPERLINK("http://slimages.macys.com/is/image/MCY/19068309 ")</f>
        <v xml:space="preserve">http://slimages.macys.com/is/image/MCY/19068309 </v>
      </c>
    </row>
    <row r="602" spans="1:14" ht="24.75" x14ac:dyDescent="0.25">
      <c r="A602" s="21" t="s">
        <v>19044</v>
      </c>
      <c r="B602" s="22" t="s">
        <v>19045</v>
      </c>
      <c r="C602" s="2">
        <v>1</v>
      </c>
      <c r="D602" s="23">
        <v>5.99</v>
      </c>
      <c r="E602" s="3">
        <v>5.99</v>
      </c>
      <c r="F602" s="2" t="s">
        <v>19043</v>
      </c>
      <c r="G602" s="22" t="s">
        <v>19415</v>
      </c>
      <c r="H602" s="24" t="s">
        <v>19384</v>
      </c>
      <c r="I602" s="22" t="s">
        <v>19309</v>
      </c>
      <c r="J602" s="22" t="s">
        <v>19573</v>
      </c>
      <c r="K602" s="22" t="s">
        <v>19574</v>
      </c>
      <c r="L602" s="22"/>
      <c r="M602" s="22"/>
      <c r="N602" s="25" t="str">
        <f>HYPERLINK("http://slimages.macys.com/is/image/MCY/21209612 ")</f>
        <v xml:space="preserve">http://slimages.macys.com/is/image/MCY/21209612 </v>
      </c>
    </row>
    <row r="603" spans="1:14" ht="24.75" x14ac:dyDescent="0.25">
      <c r="A603" s="21" t="s">
        <v>4384</v>
      </c>
      <c r="B603" s="22" t="s">
        <v>4385</v>
      </c>
      <c r="C603" s="2">
        <v>1</v>
      </c>
      <c r="D603" s="23">
        <v>7.99</v>
      </c>
      <c r="E603" s="3">
        <v>7.99</v>
      </c>
      <c r="F603" s="2" t="s">
        <v>9216</v>
      </c>
      <c r="G603" s="22" t="s">
        <v>19618</v>
      </c>
      <c r="H603" s="24" t="s">
        <v>20135</v>
      </c>
      <c r="I603" s="22" t="s">
        <v>19309</v>
      </c>
      <c r="J603" s="22" t="s">
        <v>19573</v>
      </c>
      <c r="K603" s="22" t="s">
        <v>19574</v>
      </c>
      <c r="L603" s="22"/>
      <c r="M603" s="22"/>
      <c r="N603" s="25" t="str">
        <f>HYPERLINK("http://slimages.macys.com/is/image/MCY/21088469 ")</f>
        <v xml:space="preserve">http://slimages.macys.com/is/image/MCY/21088469 </v>
      </c>
    </row>
    <row r="604" spans="1:14" ht="24.75" x14ac:dyDescent="0.25">
      <c r="A604" s="21" t="s">
        <v>14740</v>
      </c>
      <c r="B604" s="22" t="s">
        <v>14741</v>
      </c>
      <c r="C604" s="2">
        <v>18</v>
      </c>
      <c r="D604" s="23">
        <v>7.99</v>
      </c>
      <c r="E604" s="3">
        <v>143.82</v>
      </c>
      <c r="F604" s="2" t="s">
        <v>19040</v>
      </c>
      <c r="G604" s="22" t="s">
        <v>19906</v>
      </c>
      <c r="H604" s="24" t="s">
        <v>20135</v>
      </c>
      <c r="I604" s="22" t="s">
        <v>19309</v>
      </c>
      <c r="J604" s="22" t="s">
        <v>19573</v>
      </c>
      <c r="K604" s="22" t="s">
        <v>19574</v>
      </c>
      <c r="L604" s="22"/>
      <c r="M604" s="22"/>
      <c r="N604" s="25" t="str">
        <f>HYPERLINK("http://slimages.macys.com/is/image/MCY/21209467 ")</f>
        <v xml:space="preserve">http://slimages.macys.com/is/image/MCY/21209467 </v>
      </c>
    </row>
    <row r="605" spans="1:14" ht="24.75" x14ac:dyDescent="0.25">
      <c r="A605" s="21" t="s">
        <v>4386</v>
      </c>
      <c r="B605" s="22" t="s">
        <v>4387</v>
      </c>
      <c r="C605" s="2">
        <v>1</v>
      </c>
      <c r="D605" s="23">
        <v>7.99</v>
      </c>
      <c r="E605" s="3">
        <v>7.99</v>
      </c>
      <c r="F605" s="2" t="s">
        <v>4388</v>
      </c>
      <c r="G605" s="22" t="s">
        <v>19415</v>
      </c>
      <c r="H605" s="24" t="s">
        <v>19907</v>
      </c>
      <c r="I605" s="22" t="s">
        <v>19309</v>
      </c>
      <c r="J605" s="22" t="s">
        <v>19573</v>
      </c>
      <c r="K605" s="22" t="s">
        <v>19574</v>
      </c>
      <c r="L605" s="22"/>
      <c r="M605" s="22"/>
      <c r="N605" s="25" t="str">
        <f>HYPERLINK("http://slimages.macys.com/is/image/MCY/19977792 ")</f>
        <v xml:space="preserve">http://slimages.macys.com/is/image/MCY/19977792 </v>
      </c>
    </row>
    <row r="606" spans="1:14" ht="24.75" x14ac:dyDescent="0.25">
      <c r="A606" s="21" t="s">
        <v>7108</v>
      </c>
      <c r="B606" s="22" t="s">
        <v>7109</v>
      </c>
      <c r="C606" s="2">
        <v>2</v>
      </c>
      <c r="D606" s="23">
        <v>7.99</v>
      </c>
      <c r="E606" s="3">
        <v>15.98</v>
      </c>
      <c r="F606" s="2" t="s">
        <v>7107</v>
      </c>
      <c r="G606" s="22" t="s">
        <v>19674</v>
      </c>
      <c r="H606" s="24" t="s">
        <v>19907</v>
      </c>
      <c r="I606" s="22" t="s">
        <v>19309</v>
      </c>
      <c r="J606" s="22" t="s">
        <v>19573</v>
      </c>
      <c r="K606" s="22" t="s">
        <v>19574</v>
      </c>
      <c r="L606" s="22"/>
      <c r="M606" s="22"/>
      <c r="N606" s="25" t="str">
        <f>HYPERLINK("http://slimages.macys.com/is/image/MCY/1104358 ")</f>
        <v xml:space="preserve">http://slimages.macys.com/is/image/MCY/1104358 </v>
      </c>
    </row>
    <row r="607" spans="1:14" ht="24.75" x14ac:dyDescent="0.25">
      <c r="A607" s="21" t="s">
        <v>7105</v>
      </c>
      <c r="B607" s="22" t="s">
        <v>7106</v>
      </c>
      <c r="C607" s="2">
        <v>2</v>
      </c>
      <c r="D607" s="23">
        <v>7.99</v>
      </c>
      <c r="E607" s="3">
        <v>15.98</v>
      </c>
      <c r="F607" s="2" t="s">
        <v>7107</v>
      </c>
      <c r="G607" s="22" t="s">
        <v>19674</v>
      </c>
      <c r="H607" s="24" t="s">
        <v>20135</v>
      </c>
      <c r="I607" s="22" t="s">
        <v>19309</v>
      </c>
      <c r="J607" s="22" t="s">
        <v>19573</v>
      </c>
      <c r="K607" s="22" t="s">
        <v>19574</v>
      </c>
      <c r="L607" s="22"/>
      <c r="M607" s="22"/>
      <c r="N607" s="25" t="str">
        <f>HYPERLINK("http://slimages.macys.com/is/image/MCY/1104358 ")</f>
        <v xml:space="preserve">http://slimages.macys.com/is/image/MCY/1104358 </v>
      </c>
    </row>
    <row r="608" spans="1:14" ht="24.75" x14ac:dyDescent="0.25">
      <c r="A608" s="21" t="s">
        <v>4389</v>
      </c>
      <c r="B608" s="22" t="s">
        <v>4390</v>
      </c>
      <c r="C608" s="2">
        <v>1</v>
      </c>
      <c r="D608" s="23">
        <v>7.99</v>
      </c>
      <c r="E608" s="3">
        <v>7.99</v>
      </c>
      <c r="F608" s="2" t="s">
        <v>4391</v>
      </c>
      <c r="G608" s="22" t="s">
        <v>19585</v>
      </c>
      <c r="H608" s="24" t="s">
        <v>19907</v>
      </c>
      <c r="I608" s="22" t="s">
        <v>19309</v>
      </c>
      <c r="J608" s="22" t="s">
        <v>19573</v>
      </c>
      <c r="K608" s="22" t="s">
        <v>19574</v>
      </c>
      <c r="L608" s="22"/>
      <c r="M608" s="22"/>
      <c r="N608" s="25" t="str">
        <f>HYPERLINK("http://slimages.macys.com/is/image/MCY/1151739 ")</f>
        <v xml:space="preserve">http://slimages.macys.com/is/image/MCY/1151739 </v>
      </c>
    </row>
    <row r="609" spans="1:14" ht="24.75" x14ac:dyDescent="0.25">
      <c r="A609" s="21" t="s">
        <v>4392</v>
      </c>
      <c r="B609" s="22" t="s">
        <v>4393</v>
      </c>
      <c r="C609" s="2">
        <v>2</v>
      </c>
      <c r="D609" s="23">
        <v>7.99</v>
      </c>
      <c r="E609" s="3">
        <v>15.98</v>
      </c>
      <c r="F609" s="2" t="s">
        <v>4391</v>
      </c>
      <c r="G609" s="22" t="s">
        <v>19585</v>
      </c>
      <c r="H609" s="24" t="s">
        <v>20089</v>
      </c>
      <c r="I609" s="22" t="s">
        <v>19309</v>
      </c>
      <c r="J609" s="22" t="s">
        <v>19573</v>
      </c>
      <c r="K609" s="22" t="s">
        <v>19574</v>
      </c>
      <c r="L609" s="22"/>
      <c r="M609" s="22"/>
      <c r="N609" s="25" t="str">
        <f>HYPERLINK("http://slimages.macys.com/is/image/MCY/1151739 ")</f>
        <v xml:space="preserve">http://slimages.macys.com/is/image/MCY/1151739 </v>
      </c>
    </row>
    <row r="610" spans="1:14" ht="24.75" x14ac:dyDescent="0.25">
      <c r="A610" s="21" t="s">
        <v>4394</v>
      </c>
      <c r="B610" s="22" t="s">
        <v>4395</v>
      </c>
      <c r="C610" s="2">
        <v>1</v>
      </c>
      <c r="D610" s="23">
        <v>6.99</v>
      </c>
      <c r="E610" s="3">
        <v>6.99</v>
      </c>
      <c r="F610" s="2" t="s">
        <v>19072</v>
      </c>
      <c r="G610" s="22" t="s">
        <v>19585</v>
      </c>
      <c r="H610" s="24" t="s">
        <v>19364</v>
      </c>
      <c r="I610" s="22" t="s">
        <v>19309</v>
      </c>
      <c r="J610" s="22" t="s">
        <v>19353</v>
      </c>
      <c r="K610" s="22" t="s">
        <v>19354</v>
      </c>
      <c r="L610" s="22"/>
      <c r="M610" s="22"/>
      <c r="N610" s="25" t="str">
        <f>HYPERLINK("http://slimages.macys.com/is/image/MCY/20737632 ")</f>
        <v xml:space="preserve">http://slimages.macys.com/is/image/MCY/20737632 </v>
      </c>
    </row>
    <row r="611" spans="1:14" ht="24.75" x14ac:dyDescent="0.25">
      <c r="A611" s="21" t="s">
        <v>4396</v>
      </c>
      <c r="B611" s="22" t="s">
        <v>4397</v>
      </c>
      <c r="C611" s="2">
        <v>1</v>
      </c>
      <c r="D611" s="23">
        <v>6.99</v>
      </c>
      <c r="E611" s="3">
        <v>6.99</v>
      </c>
      <c r="F611" s="2" t="s">
        <v>19072</v>
      </c>
      <c r="G611" s="22" t="s">
        <v>19585</v>
      </c>
      <c r="H611" s="24" t="s">
        <v>19352</v>
      </c>
      <c r="I611" s="22" t="s">
        <v>19309</v>
      </c>
      <c r="J611" s="22" t="s">
        <v>19353</v>
      </c>
      <c r="K611" s="22" t="s">
        <v>19354</v>
      </c>
      <c r="L611" s="22"/>
      <c r="M611" s="22"/>
      <c r="N611" s="25" t="str">
        <f>HYPERLINK("http://slimages.macys.com/is/image/MCY/20737633 ")</f>
        <v xml:space="preserve">http://slimages.macys.com/is/image/MCY/20737633 </v>
      </c>
    </row>
    <row r="612" spans="1:14" ht="24.75" x14ac:dyDescent="0.25">
      <c r="A612" s="21" t="s">
        <v>9224</v>
      </c>
      <c r="B612" s="22" t="s">
        <v>9225</v>
      </c>
      <c r="C612" s="2">
        <v>1</v>
      </c>
      <c r="D612" s="23">
        <v>7.99</v>
      </c>
      <c r="E612" s="3">
        <v>7.99</v>
      </c>
      <c r="F612" s="2" t="s">
        <v>9219</v>
      </c>
      <c r="G612" s="22" t="s">
        <v>19794</v>
      </c>
      <c r="H612" s="24" t="s">
        <v>20089</v>
      </c>
      <c r="I612" s="22" t="s">
        <v>19309</v>
      </c>
      <c r="J612" s="22" t="s">
        <v>19573</v>
      </c>
      <c r="K612" s="22" t="s">
        <v>19574</v>
      </c>
      <c r="L612" s="22"/>
      <c r="M612" s="22"/>
      <c r="N612" s="25" t="str">
        <f>HYPERLINK("http://slimages.macys.com/is/image/MCY/21209342 ")</f>
        <v xml:space="preserve">http://slimages.macys.com/is/image/MCY/21209342 </v>
      </c>
    </row>
    <row r="613" spans="1:14" ht="24.75" x14ac:dyDescent="0.25">
      <c r="A613" s="21" t="s">
        <v>5271</v>
      </c>
      <c r="B613" s="22" t="s">
        <v>5272</v>
      </c>
      <c r="C613" s="2">
        <v>2</v>
      </c>
      <c r="D613" s="23">
        <v>4.99</v>
      </c>
      <c r="E613" s="3">
        <v>9.98</v>
      </c>
      <c r="F613" s="2">
        <v>4101</v>
      </c>
      <c r="G613" s="22" t="s">
        <v>19422</v>
      </c>
      <c r="H613" s="24" t="s">
        <v>19364</v>
      </c>
      <c r="I613" s="22" t="s">
        <v>19309</v>
      </c>
      <c r="J613" s="22" t="s">
        <v>20076</v>
      </c>
      <c r="K613" s="22" t="s">
        <v>20077</v>
      </c>
      <c r="L613" s="22"/>
      <c r="M613" s="22"/>
      <c r="N613" s="25" t="str">
        <f>HYPERLINK("http://slimages.macys.com/is/image/MCY/19939990 ")</f>
        <v xml:space="preserve">http://slimages.macys.com/is/image/MCY/19939990 </v>
      </c>
    </row>
    <row r="614" spans="1:14" ht="24.75" x14ac:dyDescent="0.25">
      <c r="A614" s="21" t="s">
        <v>4398</v>
      </c>
      <c r="B614" s="22" t="s">
        <v>4399</v>
      </c>
      <c r="C614" s="2">
        <v>1</v>
      </c>
      <c r="D614" s="23">
        <v>4.99</v>
      </c>
      <c r="E614" s="3">
        <v>4.99</v>
      </c>
      <c r="F614" s="2">
        <v>4101</v>
      </c>
      <c r="G614" s="22" t="s">
        <v>19422</v>
      </c>
      <c r="H614" s="24" t="s">
        <v>19339</v>
      </c>
      <c r="I614" s="22" t="s">
        <v>19309</v>
      </c>
      <c r="J614" s="22" t="s">
        <v>20076</v>
      </c>
      <c r="K614" s="22" t="s">
        <v>20077</v>
      </c>
      <c r="L614" s="22"/>
      <c r="M614" s="22"/>
      <c r="N614" s="25" t="str">
        <f>HYPERLINK("http://slimages.macys.com/is/image/MCY/19939990 ")</f>
        <v xml:space="preserve">http://slimages.macys.com/is/image/MCY/19939990 </v>
      </c>
    </row>
    <row r="615" spans="1:14" ht="24.75" x14ac:dyDescent="0.25">
      <c r="A615" s="21" t="s">
        <v>9229</v>
      </c>
      <c r="B615" s="22" t="s">
        <v>9230</v>
      </c>
      <c r="C615" s="2">
        <v>1</v>
      </c>
      <c r="D615" s="23">
        <v>4.99</v>
      </c>
      <c r="E615" s="3">
        <v>4.99</v>
      </c>
      <c r="F615" s="2">
        <v>4101</v>
      </c>
      <c r="G615" s="22" t="s">
        <v>19422</v>
      </c>
      <c r="H615" s="24" t="s">
        <v>19797</v>
      </c>
      <c r="I615" s="22" t="s">
        <v>19309</v>
      </c>
      <c r="J615" s="22" t="s">
        <v>20076</v>
      </c>
      <c r="K615" s="22" t="s">
        <v>20077</v>
      </c>
      <c r="L615" s="22"/>
      <c r="M615" s="22"/>
      <c r="N615" s="25" t="str">
        <f>HYPERLINK("http://slimages.macys.com/is/image/MCY/19939990 ")</f>
        <v xml:space="preserve">http://slimages.macys.com/is/image/MCY/19939990 </v>
      </c>
    </row>
    <row r="616" spans="1:14" ht="24.75" x14ac:dyDescent="0.25">
      <c r="A616" s="21" t="s">
        <v>4400</v>
      </c>
      <c r="B616" s="22" t="s">
        <v>4401</v>
      </c>
      <c r="C616" s="2">
        <v>1</v>
      </c>
      <c r="D616" s="23">
        <v>6.99</v>
      </c>
      <c r="E616" s="3">
        <v>6.99</v>
      </c>
      <c r="F616" s="2" t="s">
        <v>4402</v>
      </c>
      <c r="G616" s="22" t="s">
        <v>19618</v>
      </c>
      <c r="H616" s="24" t="s">
        <v>19352</v>
      </c>
      <c r="I616" s="22" t="s">
        <v>19309</v>
      </c>
      <c r="J616" s="22" t="s">
        <v>19565</v>
      </c>
      <c r="K616" s="22" t="s">
        <v>18514</v>
      </c>
      <c r="L616" s="22"/>
      <c r="M616" s="22"/>
      <c r="N616" s="25" t="str">
        <f>HYPERLINK("http://slimages.macys.com/is/image/MCY/20732902 ")</f>
        <v xml:space="preserve">http://slimages.macys.com/is/image/MCY/20732902 </v>
      </c>
    </row>
    <row r="617" spans="1:14" ht="24.75" x14ac:dyDescent="0.25">
      <c r="A617" s="21" t="s">
        <v>11141</v>
      </c>
      <c r="B617" s="22" t="s">
        <v>11142</v>
      </c>
      <c r="C617" s="2">
        <v>1</v>
      </c>
      <c r="D617" s="23">
        <v>18.11</v>
      </c>
      <c r="E617" s="3">
        <v>18.11</v>
      </c>
      <c r="F617" s="2" t="s">
        <v>11143</v>
      </c>
      <c r="G617" s="22" t="s">
        <v>19670</v>
      </c>
      <c r="H617" s="24" t="s">
        <v>20135</v>
      </c>
      <c r="I617" s="22" t="s">
        <v>19309</v>
      </c>
      <c r="J617" s="22" t="s">
        <v>19573</v>
      </c>
      <c r="K617" s="22" t="s">
        <v>19574</v>
      </c>
      <c r="L617" s="22"/>
      <c r="M617" s="22"/>
      <c r="N617" s="25" t="str">
        <f>HYPERLINK("http://slimages.macys.com/is/image/MCY/21209533 ")</f>
        <v xml:space="preserve">http://slimages.macys.com/is/image/MCY/21209533 </v>
      </c>
    </row>
    <row r="618" spans="1:14" ht="24.75" x14ac:dyDescent="0.25">
      <c r="A618" s="21" t="s">
        <v>4403</v>
      </c>
      <c r="B618" s="22" t="s">
        <v>4404</v>
      </c>
      <c r="C618" s="2">
        <v>1</v>
      </c>
      <c r="D618" s="23">
        <v>7.99</v>
      </c>
      <c r="E618" s="3">
        <v>7.99</v>
      </c>
      <c r="F618" s="2" t="s">
        <v>9239</v>
      </c>
      <c r="G618" s="22" t="s">
        <v>19618</v>
      </c>
      <c r="H618" s="24" t="s">
        <v>20135</v>
      </c>
      <c r="I618" s="22" t="s">
        <v>19309</v>
      </c>
      <c r="J618" s="22" t="s">
        <v>19573</v>
      </c>
      <c r="K618" s="22" t="s">
        <v>19574</v>
      </c>
      <c r="L618" s="22"/>
      <c r="M618" s="22"/>
      <c r="N618" s="25" t="str">
        <f>HYPERLINK("http://slimages.macys.com/is/image/MCY/19977762 ")</f>
        <v xml:space="preserve">http://slimages.macys.com/is/image/MCY/19977762 </v>
      </c>
    </row>
    <row r="619" spans="1:14" ht="24.75" x14ac:dyDescent="0.25">
      <c r="A619" s="21" t="s">
        <v>14793</v>
      </c>
      <c r="B619" s="22" t="s">
        <v>14794</v>
      </c>
      <c r="C619" s="2">
        <v>1</v>
      </c>
      <c r="D619" s="23">
        <v>5.99</v>
      </c>
      <c r="E619" s="3">
        <v>5.99</v>
      </c>
      <c r="F619" s="2" t="s">
        <v>19129</v>
      </c>
      <c r="G619" s="22" t="s">
        <v>19467</v>
      </c>
      <c r="H619" s="24" t="s">
        <v>19324</v>
      </c>
      <c r="I619" s="22" t="s">
        <v>19309</v>
      </c>
      <c r="J619" s="22" t="s">
        <v>19573</v>
      </c>
      <c r="K619" s="22" t="s">
        <v>19574</v>
      </c>
      <c r="L619" s="22"/>
      <c r="M619" s="22"/>
      <c r="N619" s="25" t="str">
        <f>HYPERLINK("http://slimages.macys.com/is/image/MCY/1905756 ")</f>
        <v xml:space="preserve">http://slimages.macys.com/is/image/MCY/1905756 </v>
      </c>
    </row>
    <row r="620" spans="1:14" ht="24.75" x14ac:dyDescent="0.25">
      <c r="A620" s="21" t="s">
        <v>19130</v>
      </c>
      <c r="B620" s="22" t="s">
        <v>19131</v>
      </c>
      <c r="C620" s="2">
        <v>2</v>
      </c>
      <c r="D620" s="23">
        <v>5.99</v>
      </c>
      <c r="E620" s="3">
        <v>11.98</v>
      </c>
      <c r="F620" s="2" t="s">
        <v>19129</v>
      </c>
      <c r="G620" s="22" t="s">
        <v>19467</v>
      </c>
      <c r="H620" s="24" t="s">
        <v>19384</v>
      </c>
      <c r="I620" s="22" t="s">
        <v>19309</v>
      </c>
      <c r="J620" s="22" t="s">
        <v>19573</v>
      </c>
      <c r="K620" s="22" t="s">
        <v>19574</v>
      </c>
      <c r="L620" s="22"/>
      <c r="M620" s="22"/>
      <c r="N620" s="25" t="str">
        <f>HYPERLINK("http://slimages.macys.com/is/image/MCY/1905756 ")</f>
        <v xml:space="preserve">http://slimages.macys.com/is/image/MCY/1905756 </v>
      </c>
    </row>
    <row r="621" spans="1:14" ht="24.75" x14ac:dyDescent="0.25">
      <c r="A621" s="21" t="s">
        <v>19127</v>
      </c>
      <c r="B621" s="22" t="s">
        <v>19128</v>
      </c>
      <c r="C621" s="2">
        <v>1</v>
      </c>
      <c r="D621" s="23">
        <v>5.99</v>
      </c>
      <c r="E621" s="3">
        <v>5.99</v>
      </c>
      <c r="F621" s="2" t="s">
        <v>19129</v>
      </c>
      <c r="G621" s="22" t="s">
        <v>19467</v>
      </c>
      <c r="H621" s="24" t="s">
        <v>19538</v>
      </c>
      <c r="I621" s="22" t="s">
        <v>19309</v>
      </c>
      <c r="J621" s="22" t="s">
        <v>19573</v>
      </c>
      <c r="K621" s="22" t="s">
        <v>19574</v>
      </c>
      <c r="L621" s="22"/>
      <c r="M621" s="22"/>
      <c r="N621" s="25" t="str">
        <f>HYPERLINK("http://slimages.macys.com/is/image/MCY/1905756 ")</f>
        <v xml:space="preserve">http://slimages.macys.com/is/image/MCY/1905756 </v>
      </c>
    </row>
    <row r="622" spans="1:14" ht="24.75" x14ac:dyDescent="0.25">
      <c r="A622" s="21" t="s">
        <v>4405</v>
      </c>
      <c r="B622" s="22" t="s">
        <v>4406</v>
      </c>
      <c r="C622" s="2">
        <v>1</v>
      </c>
      <c r="D622" s="23">
        <v>7.99</v>
      </c>
      <c r="E622" s="3">
        <v>7.99</v>
      </c>
      <c r="F622" s="2" t="s">
        <v>8370</v>
      </c>
      <c r="G622" s="22" t="s">
        <v>19415</v>
      </c>
      <c r="H622" s="24" t="s">
        <v>19907</v>
      </c>
      <c r="I622" s="22" t="s">
        <v>19309</v>
      </c>
      <c r="J622" s="22" t="s">
        <v>19573</v>
      </c>
      <c r="K622" s="22" t="s">
        <v>19574</v>
      </c>
      <c r="L622" s="22"/>
      <c r="M622" s="22"/>
      <c r="N622" s="25" t="str">
        <f>HYPERLINK("http://slimages.macys.com/is/image/MCY/1610409 ")</f>
        <v xml:space="preserve">http://slimages.macys.com/is/image/MCY/1610409 </v>
      </c>
    </row>
    <row r="623" spans="1:14" ht="24.75" x14ac:dyDescent="0.25">
      <c r="A623" s="21" t="s">
        <v>11149</v>
      </c>
      <c r="B623" s="22" t="s">
        <v>11150</v>
      </c>
      <c r="C623" s="2">
        <v>1</v>
      </c>
      <c r="D623" s="23">
        <v>7.99</v>
      </c>
      <c r="E623" s="3">
        <v>7.99</v>
      </c>
      <c r="F623" s="2" t="s">
        <v>11146</v>
      </c>
      <c r="G623" s="22" t="s">
        <v>19351</v>
      </c>
      <c r="H623" s="24" t="s">
        <v>19907</v>
      </c>
      <c r="I623" s="22" t="s">
        <v>19309</v>
      </c>
      <c r="J623" s="22" t="s">
        <v>19573</v>
      </c>
      <c r="K623" s="22" t="s">
        <v>19574</v>
      </c>
      <c r="L623" s="22"/>
      <c r="M623" s="22"/>
      <c r="N623" s="25" t="str">
        <f>HYPERLINK("http://slimages.macys.com/is/image/MCY/21209295 ")</f>
        <v xml:space="preserve">http://slimages.macys.com/is/image/MCY/21209295 </v>
      </c>
    </row>
    <row r="624" spans="1:14" ht="24.75" x14ac:dyDescent="0.25">
      <c r="A624" s="21" t="s">
        <v>4407</v>
      </c>
      <c r="B624" s="22" t="s">
        <v>4408</v>
      </c>
      <c r="C624" s="2">
        <v>1</v>
      </c>
      <c r="D624" s="23">
        <v>7.99</v>
      </c>
      <c r="E624" s="3">
        <v>7.99</v>
      </c>
      <c r="F624" s="2" t="s">
        <v>4409</v>
      </c>
      <c r="G624" s="22" t="s">
        <v>19713</v>
      </c>
      <c r="H624" s="24" t="s">
        <v>19907</v>
      </c>
      <c r="I624" s="22" t="s">
        <v>19309</v>
      </c>
      <c r="J624" s="22" t="s">
        <v>19573</v>
      </c>
      <c r="K624" s="22" t="s">
        <v>19574</v>
      </c>
      <c r="L624" s="22"/>
      <c r="M624" s="22"/>
      <c r="N624" s="25" t="str">
        <f>HYPERLINK("http://slimages.macys.com/is/image/MCY/20753464 ")</f>
        <v xml:space="preserve">http://slimages.macys.com/is/image/MCY/20753464 </v>
      </c>
    </row>
    <row r="625" spans="1:14" ht="24.75" x14ac:dyDescent="0.25">
      <c r="A625" s="21" t="s">
        <v>4410</v>
      </c>
      <c r="B625" s="22" t="s">
        <v>4411</v>
      </c>
      <c r="C625" s="2">
        <v>1</v>
      </c>
      <c r="D625" s="23">
        <v>5.99</v>
      </c>
      <c r="E625" s="3">
        <v>5.99</v>
      </c>
      <c r="F625" s="2" t="s">
        <v>4412</v>
      </c>
      <c r="G625" s="22" t="s">
        <v>19618</v>
      </c>
      <c r="H625" s="24" t="s">
        <v>19538</v>
      </c>
      <c r="I625" s="22" t="s">
        <v>19309</v>
      </c>
      <c r="J625" s="22" t="s">
        <v>19573</v>
      </c>
      <c r="K625" s="22" t="s">
        <v>19574</v>
      </c>
      <c r="L625" s="22"/>
      <c r="M625" s="22"/>
      <c r="N625" s="25" t="str">
        <f>HYPERLINK("http://slimages.macys.com/is/image/MCY/21361711 ")</f>
        <v xml:space="preserve">http://slimages.macys.com/is/image/MCY/21361711 </v>
      </c>
    </row>
    <row r="626" spans="1:14" ht="24.75" x14ac:dyDescent="0.25">
      <c r="A626" s="21" t="s">
        <v>10115</v>
      </c>
      <c r="B626" s="22" t="s">
        <v>10116</v>
      </c>
      <c r="C626" s="2">
        <v>1</v>
      </c>
      <c r="D626" s="23">
        <v>7.99</v>
      </c>
      <c r="E626" s="3">
        <v>7.99</v>
      </c>
      <c r="F626" s="2" t="s">
        <v>14826</v>
      </c>
      <c r="G626" s="22" t="s">
        <v>19415</v>
      </c>
      <c r="H626" s="24"/>
      <c r="I626" s="22" t="s">
        <v>19309</v>
      </c>
      <c r="J626" s="22" t="s">
        <v>19573</v>
      </c>
      <c r="K626" s="22" t="s">
        <v>19574</v>
      </c>
      <c r="L626" s="22"/>
      <c r="M626" s="22"/>
      <c r="N626" s="25" t="str">
        <f>HYPERLINK("http://slimages.macys.com/is/image/MCY/21209212 ")</f>
        <v xml:space="preserve">http://slimages.macys.com/is/image/MCY/21209212 </v>
      </c>
    </row>
    <row r="627" spans="1:14" ht="24.75" x14ac:dyDescent="0.25">
      <c r="A627" s="21" t="s">
        <v>4413</v>
      </c>
      <c r="B627" s="22" t="s">
        <v>4414</v>
      </c>
      <c r="C627" s="2">
        <v>1</v>
      </c>
      <c r="D627" s="23">
        <v>6.99</v>
      </c>
      <c r="E627" s="3">
        <v>6.99</v>
      </c>
      <c r="F627" s="2" t="s">
        <v>4415</v>
      </c>
      <c r="G627" s="22" t="s">
        <v>19713</v>
      </c>
      <c r="H627" s="24" t="s">
        <v>19324</v>
      </c>
      <c r="I627" s="22" t="s">
        <v>19309</v>
      </c>
      <c r="J627" s="22" t="s">
        <v>19573</v>
      </c>
      <c r="K627" s="22" t="s">
        <v>19574</v>
      </c>
      <c r="L627" s="22"/>
      <c r="M627" s="22"/>
      <c r="N627" s="25" t="str">
        <f>HYPERLINK("http://slimages.macys.com/is/image/MCY/19588509 ")</f>
        <v xml:space="preserve">http://slimages.macys.com/is/image/MCY/19588509 </v>
      </c>
    </row>
    <row r="628" spans="1:14" ht="24.75" x14ac:dyDescent="0.25">
      <c r="A628" s="21" t="s">
        <v>5297</v>
      </c>
      <c r="B628" s="22" t="s">
        <v>5298</v>
      </c>
      <c r="C628" s="2">
        <v>2</v>
      </c>
      <c r="D628" s="23">
        <v>7.99</v>
      </c>
      <c r="E628" s="3">
        <v>15.98</v>
      </c>
      <c r="F628" s="2" t="s">
        <v>9270</v>
      </c>
      <c r="G628" s="22" t="s">
        <v>19618</v>
      </c>
      <c r="H628" s="24" t="s">
        <v>20135</v>
      </c>
      <c r="I628" s="22" t="s">
        <v>19309</v>
      </c>
      <c r="J628" s="22" t="s">
        <v>19573</v>
      </c>
      <c r="K628" s="22" t="s">
        <v>19574</v>
      </c>
      <c r="L628" s="22"/>
      <c r="M628" s="22"/>
      <c r="N628" s="25" t="str">
        <f>HYPERLINK("http://slimages.macys.com/is/image/MCY/21089253 ")</f>
        <v xml:space="preserve">http://slimages.macys.com/is/image/MCY/21089253 </v>
      </c>
    </row>
    <row r="629" spans="1:14" ht="24.75" x14ac:dyDescent="0.25">
      <c r="A629" s="21" t="s">
        <v>14839</v>
      </c>
      <c r="B629" s="22" t="s">
        <v>14840</v>
      </c>
      <c r="C629" s="2">
        <v>1</v>
      </c>
      <c r="D629" s="23">
        <v>5.99</v>
      </c>
      <c r="E629" s="3">
        <v>5.99</v>
      </c>
      <c r="F629" s="2" t="s">
        <v>19140</v>
      </c>
      <c r="G629" s="22" t="s">
        <v>19674</v>
      </c>
      <c r="H629" s="24" t="s">
        <v>19416</v>
      </c>
      <c r="I629" s="22" t="s">
        <v>19309</v>
      </c>
      <c r="J629" s="22" t="s">
        <v>19573</v>
      </c>
      <c r="K629" s="22" t="s">
        <v>19574</v>
      </c>
      <c r="L629" s="22"/>
      <c r="M629" s="22"/>
      <c r="N629" s="25" t="str">
        <f>HYPERLINK("http://slimages.macys.com/is/image/MCY/21970109 ")</f>
        <v xml:space="preserve">http://slimages.macys.com/is/image/MCY/21970109 </v>
      </c>
    </row>
    <row r="630" spans="1:14" ht="24.75" x14ac:dyDescent="0.25">
      <c r="A630" s="21" t="s">
        <v>14837</v>
      </c>
      <c r="B630" s="22" t="s">
        <v>14838</v>
      </c>
      <c r="C630" s="2">
        <v>1</v>
      </c>
      <c r="D630" s="23">
        <v>5.99</v>
      </c>
      <c r="E630" s="3">
        <v>5.99</v>
      </c>
      <c r="F630" s="2" t="s">
        <v>17168</v>
      </c>
      <c r="G630" s="22" t="s">
        <v>19618</v>
      </c>
      <c r="H630" s="24" t="s">
        <v>19384</v>
      </c>
      <c r="I630" s="22" t="s">
        <v>19309</v>
      </c>
      <c r="J630" s="22" t="s">
        <v>19573</v>
      </c>
      <c r="K630" s="22" t="s">
        <v>19574</v>
      </c>
      <c r="L630" s="22"/>
      <c r="M630" s="22"/>
      <c r="N630" s="25" t="str">
        <f>HYPERLINK("http://slimages.macys.com/is/image/MCY/21088377 ")</f>
        <v xml:space="preserve">http://slimages.macys.com/is/image/MCY/21088377 </v>
      </c>
    </row>
    <row r="631" spans="1:14" ht="24.75" x14ac:dyDescent="0.25">
      <c r="A631" s="21" t="s">
        <v>14835</v>
      </c>
      <c r="B631" s="22" t="s">
        <v>14836</v>
      </c>
      <c r="C631" s="2">
        <v>1</v>
      </c>
      <c r="D631" s="23">
        <v>5.99</v>
      </c>
      <c r="E631" s="3">
        <v>5.99</v>
      </c>
      <c r="F631" s="2" t="s">
        <v>19145</v>
      </c>
      <c r="G631" s="22" t="s">
        <v>19618</v>
      </c>
      <c r="H631" s="24" t="s">
        <v>19416</v>
      </c>
      <c r="I631" s="22" t="s">
        <v>19309</v>
      </c>
      <c r="J631" s="22" t="s">
        <v>19573</v>
      </c>
      <c r="K631" s="22" t="s">
        <v>19574</v>
      </c>
      <c r="L631" s="22"/>
      <c r="M631" s="22"/>
      <c r="N631" s="25" t="str">
        <f>HYPERLINK("http://slimages.macys.com/is/image/MCY/21970089 ")</f>
        <v xml:space="preserve">http://slimages.macys.com/is/image/MCY/21970089 </v>
      </c>
    </row>
    <row r="632" spans="1:14" ht="24.75" x14ac:dyDescent="0.25">
      <c r="A632" s="21" t="s">
        <v>6276</v>
      </c>
      <c r="B632" s="22" t="s">
        <v>6277</v>
      </c>
      <c r="C632" s="2">
        <v>2</v>
      </c>
      <c r="D632" s="23">
        <v>5.99</v>
      </c>
      <c r="E632" s="3">
        <v>11.98</v>
      </c>
      <c r="F632" s="2" t="s">
        <v>17168</v>
      </c>
      <c r="G632" s="22" t="s">
        <v>19618</v>
      </c>
      <c r="H632" s="24" t="s">
        <v>19416</v>
      </c>
      <c r="I632" s="22" t="s">
        <v>19309</v>
      </c>
      <c r="J632" s="22" t="s">
        <v>19573</v>
      </c>
      <c r="K632" s="22" t="s">
        <v>19574</v>
      </c>
      <c r="L632" s="22"/>
      <c r="M632" s="22"/>
      <c r="N632" s="25" t="str">
        <f>HYPERLINK("http://slimages.macys.com/is/image/MCY/21088377 ")</f>
        <v xml:space="preserve">http://slimages.macys.com/is/image/MCY/21088377 </v>
      </c>
    </row>
    <row r="633" spans="1:14" ht="24.75" x14ac:dyDescent="0.25">
      <c r="A633" s="21" t="s">
        <v>14833</v>
      </c>
      <c r="B633" s="22" t="s">
        <v>14834</v>
      </c>
      <c r="C633" s="2">
        <v>2</v>
      </c>
      <c r="D633" s="23">
        <v>5.99</v>
      </c>
      <c r="E633" s="3">
        <v>11.98</v>
      </c>
      <c r="F633" s="2" t="s">
        <v>19145</v>
      </c>
      <c r="G633" s="22" t="s">
        <v>19618</v>
      </c>
      <c r="H633" s="24" t="s">
        <v>19324</v>
      </c>
      <c r="I633" s="22" t="s">
        <v>19309</v>
      </c>
      <c r="J633" s="22" t="s">
        <v>19573</v>
      </c>
      <c r="K633" s="22" t="s">
        <v>19574</v>
      </c>
      <c r="L633" s="22"/>
      <c r="M633" s="22"/>
      <c r="N633" s="25" t="str">
        <f>HYPERLINK("http://slimages.macys.com/is/image/MCY/21970089 ")</f>
        <v xml:space="preserve">http://slimages.macys.com/is/image/MCY/21970089 </v>
      </c>
    </row>
    <row r="634" spans="1:14" ht="24.75" x14ac:dyDescent="0.25">
      <c r="A634" s="21" t="s">
        <v>4416</v>
      </c>
      <c r="B634" s="22" t="s">
        <v>4417</v>
      </c>
      <c r="C634" s="2">
        <v>1</v>
      </c>
      <c r="D634" s="23">
        <v>5.99</v>
      </c>
      <c r="E634" s="3">
        <v>5.99</v>
      </c>
      <c r="F634" s="2" t="s">
        <v>9278</v>
      </c>
      <c r="G634" s="22" t="s">
        <v>19674</v>
      </c>
      <c r="H634" s="24" t="s">
        <v>19538</v>
      </c>
      <c r="I634" s="22" t="s">
        <v>19309</v>
      </c>
      <c r="J634" s="22" t="s">
        <v>19573</v>
      </c>
      <c r="K634" s="22" t="s">
        <v>19574</v>
      </c>
      <c r="L634" s="22"/>
      <c r="M634" s="22"/>
      <c r="N634" s="25" t="str">
        <f>HYPERLINK("http://slimages.macys.com/is/image/MCY/20551327 ")</f>
        <v xml:space="preserve">http://slimages.macys.com/is/image/MCY/20551327 </v>
      </c>
    </row>
    <row r="635" spans="1:14" ht="24.75" x14ac:dyDescent="0.25">
      <c r="A635" s="21" t="s">
        <v>4418</v>
      </c>
      <c r="B635" s="22" t="s">
        <v>4419</v>
      </c>
      <c r="C635" s="2">
        <v>1</v>
      </c>
      <c r="D635" s="23">
        <v>7.99</v>
      </c>
      <c r="E635" s="3">
        <v>7.99</v>
      </c>
      <c r="F635" s="2" t="s">
        <v>4420</v>
      </c>
      <c r="G635" s="22" t="s">
        <v>19351</v>
      </c>
      <c r="H635" s="24" t="s">
        <v>20135</v>
      </c>
      <c r="I635" s="22" t="s">
        <v>19309</v>
      </c>
      <c r="J635" s="22" t="s">
        <v>19573</v>
      </c>
      <c r="K635" s="22" t="s">
        <v>19574</v>
      </c>
      <c r="L635" s="22"/>
      <c r="M635" s="22"/>
      <c r="N635" s="25" t="str">
        <f>HYPERLINK("http://slimages.macys.com/is/image/MCY/17661733 ")</f>
        <v xml:space="preserve">http://slimages.macys.com/is/image/MCY/17661733 </v>
      </c>
    </row>
    <row r="636" spans="1:14" ht="24.75" x14ac:dyDescent="0.25">
      <c r="A636" s="21" t="s">
        <v>4421</v>
      </c>
      <c r="B636" s="22" t="s">
        <v>4422</v>
      </c>
      <c r="C636" s="2">
        <v>2</v>
      </c>
      <c r="D636" s="23">
        <v>6.99</v>
      </c>
      <c r="E636" s="3">
        <v>13.98</v>
      </c>
      <c r="F636" s="2" t="s">
        <v>4423</v>
      </c>
      <c r="G636" s="22" t="s">
        <v>19713</v>
      </c>
      <c r="H636" s="24"/>
      <c r="I636" s="22" t="s">
        <v>19309</v>
      </c>
      <c r="J636" s="22" t="s">
        <v>19573</v>
      </c>
      <c r="K636" s="22" t="s">
        <v>19574</v>
      </c>
      <c r="L636" s="22"/>
      <c r="M636" s="22"/>
      <c r="N636" s="25" t="str">
        <f>HYPERLINK("http://slimages.macys.com/is/image/MCY/20753587 ")</f>
        <v xml:space="preserve">http://slimages.macys.com/is/image/MCY/20753587 </v>
      </c>
    </row>
    <row r="637" spans="1:14" ht="24.75" x14ac:dyDescent="0.25">
      <c r="A637" s="21" t="s">
        <v>4424</v>
      </c>
      <c r="B637" s="22" t="s">
        <v>4425</v>
      </c>
      <c r="C637" s="2">
        <v>2</v>
      </c>
      <c r="D637" s="23">
        <v>6.99</v>
      </c>
      <c r="E637" s="3">
        <v>13.98</v>
      </c>
      <c r="F637" s="2" t="s">
        <v>4423</v>
      </c>
      <c r="G637" s="22" t="s">
        <v>19713</v>
      </c>
      <c r="H637" s="24" t="s">
        <v>19384</v>
      </c>
      <c r="I637" s="22" t="s">
        <v>19309</v>
      </c>
      <c r="J637" s="22" t="s">
        <v>19573</v>
      </c>
      <c r="K637" s="22" t="s">
        <v>19574</v>
      </c>
      <c r="L637" s="22"/>
      <c r="M637" s="22"/>
      <c r="N637" s="25" t="str">
        <f>HYPERLINK("http://slimages.macys.com/is/image/MCY/20753587 ")</f>
        <v xml:space="preserve">http://slimages.macys.com/is/image/MCY/20753587 </v>
      </c>
    </row>
    <row r="638" spans="1:14" ht="24.75" x14ac:dyDescent="0.25">
      <c r="A638" s="21" t="s">
        <v>14856</v>
      </c>
      <c r="B638" s="22" t="s">
        <v>14857</v>
      </c>
      <c r="C638" s="2">
        <v>1</v>
      </c>
      <c r="D638" s="23">
        <v>5.99</v>
      </c>
      <c r="E638" s="3">
        <v>5.99</v>
      </c>
      <c r="F638" s="2" t="s">
        <v>14858</v>
      </c>
      <c r="G638" s="22" t="s">
        <v>19351</v>
      </c>
      <c r="H638" s="24" t="s">
        <v>19384</v>
      </c>
      <c r="I638" s="22" t="s">
        <v>19309</v>
      </c>
      <c r="J638" s="22" t="s">
        <v>19573</v>
      </c>
      <c r="K638" s="22" t="s">
        <v>19574</v>
      </c>
      <c r="L638" s="22"/>
      <c r="M638" s="22"/>
      <c r="N638" s="25" t="str">
        <f>HYPERLINK("http://slimages.macys.com/is/image/MCY/21088493 ")</f>
        <v xml:space="preserve">http://slimages.macys.com/is/image/MCY/21088493 </v>
      </c>
    </row>
    <row r="639" spans="1:14" ht="24.75" x14ac:dyDescent="0.25">
      <c r="A639" s="21" t="s">
        <v>9283</v>
      </c>
      <c r="B639" s="22" t="s">
        <v>9284</v>
      </c>
      <c r="C639" s="2">
        <v>1</v>
      </c>
      <c r="D639" s="23">
        <v>5.99</v>
      </c>
      <c r="E639" s="3">
        <v>5.99</v>
      </c>
      <c r="F639" s="2" t="s">
        <v>14858</v>
      </c>
      <c r="G639" s="22" t="s">
        <v>19351</v>
      </c>
      <c r="H639" s="24" t="s">
        <v>19330</v>
      </c>
      <c r="I639" s="22" t="s">
        <v>19309</v>
      </c>
      <c r="J639" s="22" t="s">
        <v>19573</v>
      </c>
      <c r="K639" s="22" t="s">
        <v>19574</v>
      </c>
      <c r="L639" s="22"/>
      <c r="M639" s="22"/>
      <c r="N639" s="25" t="str">
        <f>HYPERLINK("http://slimages.macys.com/is/image/MCY/21088493 ")</f>
        <v xml:space="preserve">http://slimages.macys.com/is/image/MCY/21088493 </v>
      </c>
    </row>
    <row r="640" spans="1:14" ht="24.75" x14ac:dyDescent="0.25">
      <c r="A640" s="21" t="s">
        <v>4426</v>
      </c>
      <c r="B640" s="22" t="s">
        <v>4427</v>
      </c>
      <c r="C640" s="2">
        <v>4</v>
      </c>
      <c r="D640" s="23">
        <v>7.99</v>
      </c>
      <c r="E640" s="3">
        <v>31.96</v>
      </c>
      <c r="F640" s="2" t="s">
        <v>5308</v>
      </c>
      <c r="G640" s="22" t="s">
        <v>19415</v>
      </c>
      <c r="H640" s="24" t="s">
        <v>19907</v>
      </c>
      <c r="I640" s="22" t="s">
        <v>19309</v>
      </c>
      <c r="J640" s="22" t="s">
        <v>19573</v>
      </c>
      <c r="K640" s="22" t="s">
        <v>19574</v>
      </c>
      <c r="L640" s="22"/>
      <c r="M640" s="22"/>
      <c r="N640" s="25" t="str">
        <f>HYPERLINK("http://slimages.macys.com/is/image/MCY/1124651 ")</f>
        <v xml:space="preserve">http://slimages.macys.com/is/image/MCY/1124651 </v>
      </c>
    </row>
    <row r="641" spans="1:14" ht="24.75" x14ac:dyDescent="0.25">
      <c r="A641" s="21" t="s">
        <v>5306</v>
      </c>
      <c r="B641" s="22" t="s">
        <v>5307</v>
      </c>
      <c r="C641" s="2">
        <v>1</v>
      </c>
      <c r="D641" s="23">
        <v>7.99</v>
      </c>
      <c r="E641" s="3">
        <v>7.99</v>
      </c>
      <c r="F641" s="2" t="s">
        <v>5308</v>
      </c>
      <c r="G641" s="22" t="s">
        <v>19415</v>
      </c>
      <c r="H641" s="24" t="s">
        <v>20135</v>
      </c>
      <c r="I641" s="22" t="s">
        <v>19309</v>
      </c>
      <c r="J641" s="22" t="s">
        <v>19573</v>
      </c>
      <c r="K641" s="22" t="s">
        <v>19574</v>
      </c>
      <c r="L641" s="22"/>
      <c r="M641" s="22"/>
      <c r="N641" s="25" t="str">
        <f>HYPERLINK("http://slimages.macys.com/is/image/MCY/1124651 ")</f>
        <v xml:space="preserve">http://slimages.macys.com/is/image/MCY/1124651 </v>
      </c>
    </row>
    <row r="642" spans="1:14" ht="24.75" x14ac:dyDescent="0.25">
      <c r="A642" s="21" t="s">
        <v>4428</v>
      </c>
      <c r="B642" s="22" t="s">
        <v>4429</v>
      </c>
      <c r="C642" s="2">
        <v>1</v>
      </c>
      <c r="D642" s="23">
        <v>5.99</v>
      </c>
      <c r="E642" s="3">
        <v>5.99</v>
      </c>
      <c r="F642" s="2" t="s">
        <v>13486</v>
      </c>
      <c r="G642" s="22" t="s">
        <v>19618</v>
      </c>
      <c r="H642" s="24" t="s">
        <v>19538</v>
      </c>
      <c r="I642" s="22" t="s">
        <v>19309</v>
      </c>
      <c r="J642" s="22" t="s">
        <v>19573</v>
      </c>
      <c r="K642" s="22" t="s">
        <v>19574</v>
      </c>
      <c r="L642" s="22"/>
      <c r="M642" s="22"/>
      <c r="N642" s="25" t="str">
        <f>HYPERLINK("http://slimages.macys.com/is/image/MCY/21088451 ")</f>
        <v xml:space="preserve">http://slimages.macys.com/is/image/MCY/21088451 </v>
      </c>
    </row>
    <row r="643" spans="1:14" ht="24.75" x14ac:dyDescent="0.25">
      <c r="A643" s="21" t="s">
        <v>4430</v>
      </c>
      <c r="B643" s="22" t="s">
        <v>4431</v>
      </c>
      <c r="C643" s="2">
        <v>1</v>
      </c>
      <c r="D643" s="23">
        <v>5.99</v>
      </c>
      <c r="E643" s="3">
        <v>5.99</v>
      </c>
      <c r="F643" s="2" t="s">
        <v>19173</v>
      </c>
      <c r="G643" s="22" t="s">
        <v>19415</v>
      </c>
      <c r="H643" s="24" t="s">
        <v>19384</v>
      </c>
      <c r="I643" s="22" t="s">
        <v>19309</v>
      </c>
      <c r="J643" s="22" t="s">
        <v>19573</v>
      </c>
      <c r="K643" s="22" t="s">
        <v>19574</v>
      </c>
      <c r="L643" s="22"/>
      <c r="M643" s="22"/>
      <c r="N643" s="25" t="str">
        <f>HYPERLINK("http://slimages.macys.com/is/image/MCY/20759956 ")</f>
        <v xml:space="preserve">http://slimages.macys.com/is/image/MCY/20759956 </v>
      </c>
    </row>
    <row r="644" spans="1:14" ht="24.75" x14ac:dyDescent="0.25">
      <c r="A644" s="21" t="s">
        <v>17186</v>
      </c>
      <c r="B644" s="22" t="s">
        <v>17187</v>
      </c>
      <c r="C644" s="2">
        <v>1</v>
      </c>
      <c r="D644" s="23">
        <v>5.99</v>
      </c>
      <c r="E644" s="3">
        <v>5.99</v>
      </c>
      <c r="F644" s="2" t="s">
        <v>19180</v>
      </c>
      <c r="G644" s="22" t="s">
        <v>19477</v>
      </c>
      <c r="H644" s="24" t="s">
        <v>19330</v>
      </c>
      <c r="I644" s="22" t="s">
        <v>19309</v>
      </c>
      <c r="J644" s="22" t="s">
        <v>19573</v>
      </c>
      <c r="K644" s="22" t="s">
        <v>19574</v>
      </c>
      <c r="L644" s="22"/>
      <c r="M644" s="22"/>
      <c r="N644" s="25" t="str">
        <f>HYPERLINK("http://slimages.macys.com/is/image/MCY/1521972 ")</f>
        <v xml:space="preserve">http://slimages.macys.com/is/image/MCY/1521972 </v>
      </c>
    </row>
    <row r="645" spans="1:14" ht="24.75" x14ac:dyDescent="0.25">
      <c r="A645" s="21" t="s">
        <v>19181</v>
      </c>
      <c r="B645" s="22" t="s">
        <v>19182</v>
      </c>
      <c r="C645" s="2">
        <v>1</v>
      </c>
      <c r="D645" s="23">
        <v>5.99</v>
      </c>
      <c r="E645" s="3">
        <v>5.99</v>
      </c>
      <c r="F645" s="2" t="s">
        <v>19180</v>
      </c>
      <c r="G645" s="22" t="s">
        <v>19477</v>
      </c>
      <c r="H645" s="24" t="s">
        <v>19416</v>
      </c>
      <c r="I645" s="22" t="s">
        <v>19309</v>
      </c>
      <c r="J645" s="22" t="s">
        <v>19573</v>
      </c>
      <c r="K645" s="22" t="s">
        <v>19574</v>
      </c>
      <c r="L645" s="22"/>
      <c r="M645" s="22"/>
      <c r="N645" s="25" t="str">
        <f>HYPERLINK("http://slimages.macys.com/is/image/MCY/1521972 ")</f>
        <v xml:space="preserve">http://slimages.macys.com/is/image/MCY/1521972 </v>
      </c>
    </row>
    <row r="646" spans="1:14" ht="24.75" x14ac:dyDescent="0.25">
      <c r="A646" s="21" t="s">
        <v>4432</v>
      </c>
      <c r="B646" s="22" t="s">
        <v>4433</v>
      </c>
      <c r="C646" s="2">
        <v>1</v>
      </c>
      <c r="D646" s="23">
        <v>6.99</v>
      </c>
      <c r="E646" s="3">
        <v>6.99</v>
      </c>
      <c r="F646" s="2" t="s">
        <v>19192</v>
      </c>
      <c r="G646" s="22" t="s">
        <v>19315</v>
      </c>
      <c r="H646" s="24" t="s">
        <v>19384</v>
      </c>
      <c r="I646" s="22" t="s">
        <v>19309</v>
      </c>
      <c r="J646" s="22" t="s">
        <v>19573</v>
      </c>
      <c r="K646" s="22" t="s">
        <v>19574</v>
      </c>
      <c r="L646" s="22"/>
      <c r="M646" s="22"/>
      <c r="N646" s="25" t="str">
        <f>HYPERLINK("http://slimages.macys.com/is/image/MCY/1655977 ")</f>
        <v xml:space="preserve">http://slimages.macys.com/is/image/MCY/1655977 </v>
      </c>
    </row>
    <row r="647" spans="1:14" ht="24.75" x14ac:dyDescent="0.25">
      <c r="A647" s="21" t="s">
        <v>4434</v>
      </c>
      <c r="B647" s="22" t="s">
        <v>4435</v>
      </c>
      <c r="C647" s="2">
        <v>1</v>
      </c>
      <c r="D647" s="23">
        <v>5.99</v>
      </c>
      <c r="E647" s="3">
        <v>5.99</v>
      </c>
      <c r="F647" s="2" t="s">
        <v>4436</v>
      </c>
      <c r="G647" s="22" t="s">
        <v>19585</v>
      </c>
      <c r="H647" s="24" t="s">
        <v>19384</v>
      </c>
      <c r="I647" s="22" t="s">
        <v>19309</v>
      </c>
      <c r="J647" s="22" t="s">
        <v>19573</v>
      </c>
      <c r="K647" s="22" t="s">
        <v>19574</v>
      </c>
      <c r="L647" s="22"/>
      <c r="M647" s="22"/>
      <c r="N647" s="25" t="str">
        <f>HYPERLINK("http://slimages.macys.com/is/image/MCY/19977824 ")</f>
        <v xml:space="preserve">http://slimages.macys.com/is/image/MCY/19977824 </v>
      </c>
    </row>
    <row r="648" spans="1:14" ht="24.75" x14ac:dyDescent="0.25">
      <c r="A648" s="21" t="s">
        <v>14288</v>
      </c>
      <c r="B648" s="22" t="s">
        <v>14289</v>
      </c>
      <c r="C648" s="2">
        <v>1</v>
      </c>
      <c r="D648" s="23">
        <v>6.99</v>
      </c>
      <c r="E648" s="3">
        <v>6.99</v>
      </c>
      <c r="F648" s="2" t="s">
        <v>19192</v>
      </c>
      <c r="G648" s="22" t="s">
        <v>19315</v>
      </c>
      <c r="H648" s="24" t="s">
        <v>19416</v>
      </c>
      <c r="I648" s="22" t="s">
        <v>19309</v>
      </c>
      <c r="J648" s="22" t="s">
        <v>19573</v>
      </c>
      <c r="K648" s="22" t="s">
        <v>19574</v>
      </c>
      <c r="L648" s="22"/>
      <c r="M648" s="22"/>
      <c r="N648" s="25" t="str">
        <f>HYPERLINK("http://slimages.macys.com/is/image/MCY/1655977 ")</f>
        <v xml:space="preserve">http://slimages.macys.com/is/image/MCY/1655977 </v>
      </c>
    </row>
    <row r="649" spans="1:14" ht="24.75" x14ac:dyDescent="0.25">
      <c r="A649" s="21" t="s">
        <v>7183</v>
      </c>
      <c r="B649" s="22" t="s">
        <v>7184</v>
      </c>
      <c r="C649" s="2">
        <v>18</v>
      </c>
      <c r="D649" s="23">
        <v>5.99</v>
      </c>
      <c r="E649" s="3">
        <v>107.82</v>
      </c>
      <c r="F649" s="2" t="s">
        <v>17203</v>
      </c>
      <c r="G649" s="22" t="s">
        <v>19415</v>
      </c>
      <c r="H649" s="24" t="s">
        <v>19324</v>
      </c>
      <c r="I649" s="22" t="s">
        <v>19309</v>
      </c>
      <c r="J649" s="22" t="s">
        <v>19573</v>
      </c>
      <c r="K649" s="22" t="s">
        <v>19574</v>
      </c>
      <c r="L649" s="22"/>
      <c r="M649" s="22"/>
      <c r="N649" s="25" t="str">
        <f>HYPERLINK("http://slimages.macys.com/is/image/MCY/20757989 ")</f>
        <v xml:space="preserve">http://slimages.macys.com/is/image/MCY/20757989 </v>
      </c>
    </row>
    <row r="650" spans="1:14" ht="24.75" x14ac:dyDescent="0.25">
      <c r="A650" s="21" t="s">
        <v>4437</v>
      </c>
      <c r="B650" s="22" t="s">
        <v>4438</v>
      </c>
      <c r="C650" s="2">
        <v>1</v>
      </c>
      <c r="D650" s="23">
        <v>6.99</v>
      </c>
      <c r="E650" s="3">
        <v>6.99</v>
      </c>
      <c r="F650" s="2" t="s">
        <v>12650</v>
      </c>
      <c r="G650" s="22" t="s">
        <v>19585</v>
      </c>
      <c r="H650" s="24" t="s">
        <v>19330</v>
      </c>
      <c r="I650" s="22" t="s">
        <v>19309</v>
      </c>
      <c r="J650" s="22" t="s">
        <v>19573</v>
      </c>
      <c r="K650" s="22" t="s">
        <v>19574</v>
      </c>
      <c r="L650" s="22"/>
      <c r="M650" s="22"/>
      <c r="N650" s="25" t="str">
        <f>HYPERLINK("http://slimages.macys.com/is/image/MCY/19977735 ")</f>
        <v xml:space="preserve">http://slimages.macys.com/is/image/MCY/19977735 </v>
      </c>
    </row>
    <row r="651" spans="1:14" ht="24.75" x14ac:dyDescent="0.25">
      <c r="A651" s="21" t="s">
        <v>11162</v>
      </c>
      <c r="B651" s="22" t="s">
        <v>11163</v>
      </c>
      <c r="C651" s="2">
        <v>1</v>
      </c>
      <c r="D651" s="23">
        <v>7.99</v>
      </c>
      <c r="E651" s="3">
        <v>7.99</v>
      </c>
      <c r="F651" s="2" t="s">
        <v>11164</v>
      </c>
      <c r="G651" s="22" t="s">
        <v>19467</v>
      </c>
      <c r="H651" s="24" t="s">
        <v>20135</v>
      </c>
      <c r="I651" s="22" t="s">
        <v>19309</v>
      </c>
      <c r="J651" s="22" t="s">
        <v>19573</v>
      </c>
      <c r="K651" s="22" t="s">
        <v>19574</v>
      </c>
      <c r="L651" s="22"/>
      <c r="M651" s="22"/>
      <c r="N651" s="25" t="str">
        <f>HYPERLINK("http://slimages.macys.com/is/image/MCY/21905243 ")</f>
        <v xml:space="preserve">http://slimages.macys.com/is/image/MCY/21905243 </v>
      </c>
    </row>
    <row r="652" spans="1:14" ht="24.75" x14ac:dyDescent="0.25">
      <c r="A652" s="21" t="s">
        <v>17188</v>
      </c>
      <c r="B652" s="22" t="s">
        <v>17189</v>
      </c>
      <c r="C652" s="2">
        <v>1</v>
      </c>
      <c r="D652" s="23">
        <v>5.99</v>
      </c>
      <c r="E652" s="3">
        <v>5.99</v>
      </c>
      <c r="F652" s="2" t="s">
        <v>17190</v>
      </c>
      <c r="G652" s="22" t="s">
        <v>19674</v>
      </c>
      <c r="H652" s="24" t="s">
        <v>19538</v>
      </c>
      <c r="I652" s="22" t="s">
        <v>19309</v>
      </c>
      <c r="J652" s="22" t="s">
        <v>19573</v>
      </c>
      <c r="K652" s="22" t="s">
        <v>19574</v>
      </c>
      <c r="L652" s="22"/>
      <c r="M652" s="22"/>
      <c r="N652" s="25" t="str">
        <f>HYPERLINK("http://slimages.macys.com/is/image/MCY/21209566 ")</f>
        <v xml:space="preserve">http://slimages.macys.com/is/image/MCY/21209566 </v>
      </c>
    </row>
    <row r="653" spans="1:14" ht="24.75" x14ac:dyDescent="0.25">
      <c r="A653" s="21" t="s">
        <v>10138</v>
      </c>
      <c r="B653" s="22" t="s">
        <v>10139</v>
      </c>
      <c r="C653" s="2">
        <v>1</v>
      </c>
      <c r="D653" s="23">
        <v>7.99</v>
      </c>
      <c r="E653" s="3">
        <v>7.99</v>
      </c>
      <c r="F653" s="2" t="s">
        <v>10137</v>
      </c>
      <c r="G653" s="22" t="s">
        <v>19713</v>
      </c>
      <c r="H653" s="24" t="s">
        <v>19384</v>
      </c>
      <c r="I653" s="22" t="s">
        <v>19309</v>
      </c>
      <c r="J653" s="22" t="s">
        <v>19573</v>
      </c>
      <c r="K653" s="22" t="s">
        <v>19574</v>
      </c>
      <c r="L653" s="22"/>
      <c r="M653" s="22"/>
      <c r="N653" s="25" t="str">
        <f>HYPERLINK("http://slimages.macys.com/is/image/MCY/1439038 ")</f>
        <v xml:space="preserve">http://slimages.macys.com/is/image/MCY/1439038 </v>
      </c>
    </row>
    <row r="654" spans="1:14" ht="24.75" x14ac:dyDescent="0.25">
      <c r="A654" s="21" t="s">
        <v>6304</v>
      </c>
      <c r="B654" s="22" t="s">
        <v>6305</v>
      </c>
      <c r="C654" s="2">
        <v>1</v>
      </c>
      <c r="D654" s="23">
        <v>6.99</v>
      </c>
      <c r="E654" s="3">
        <v>6.99</v>
      </c>
      <c r="F654" s="2" t="s">
        <v>6306</v>
      </c>
      <c r="G654" s="22" t="s">
        <v>19351</v>
      </c>
      <c r="H654" s="24" t="s">
        <v>20135</v>
      </c>
      <c r="I654" s="22" t="s">
        <v>19309</v>
      </c>
      <c r="J654" s="22" t="s">
        <v>19908</v>
      </c>
      <c r="K654" s="22" t="s">
        <v>19354</v>
      </c>
      <c r="L654" s="22"/>
      <c r="M654" s="22"/>
      <c r="N654" s="25" t="str">
        <f>HYPERLINK("http://slimages.macys.com/is/image/MCY/20737533 ")</f>
        <v xml:space="preserve">http://slimages.macys.com/is/image/MCY/20737533 </v>
      </c>
    </row>
    <row r="655" spans="1:14" ht="24.75" x14ac:dyDescent="0.25">
      <c r="A655" s="21" t="s">
        <v>4439</v>
      </c>
      <c r="B655" s="22" t="s">
        <v>4440</v>
      </c>
      <c r="C655" s="2">
        <v>1</v>
      </c>
      <c r="D655" s="23">
        <v>6.99</v>
      </c>
      <c r="E655" s="3">
        <v>6.99</v>
      </c>
      <c r="F655" s="2" t="s">
        <v>4441</v>
      </c>
      <c r="G655" s="22" t="s">
        <v>19674</v>
      </c>
      <c r="H655" s="24" t="s">
        <v>19377</v>
      </c>
      <c r="I655" s="22" t="s">
        <v>19309</v>
      </c>
      <c r="J655" s="22" t="s">
        <v>19908</v>
      </c>
      <c r="K655" s="22" t="s">
        <v>19354</v>
      </c>
      <c r="L655" s="22"/>
      <c r="M655" s="22"/>
      <c r="N655" s="25" t="str">
        <f>HYPERLINK("http://slimages.macys.com/is/image/MCY/20737537 ")</f>
        <v xml:space="preserve">http://slimages.macys.com/is/image/MCY/20737537 </v>
      </c>
    </row>
    <row r="656" spans="1:14" ht="24.75" x14ac:dyDescent="0.25">
      <c r="A656" s="21" t="s">
        <v>4442</v>
      </c>
      <c r="B656" s="22" t="s">
        <v>4443</v>
      </c>
      <c r="C656" s="2">
        <v>1</v>
      </c>
      <c r="D656" s="23">
        <v>6.99</v>
      </c>
      <c r="E656" s="3">
        <v>6.99</v>
      </c>
      <c r="F656" s="2" t="s">
        <v>6306</v>
      </c>
      <c r="G656" s="22" t="s">
        <v>19351</v>
      </c>
      <c r="H656" s="24" t="s">
        <v>19377</v>
      </c>
      <c r="I656" s="22" t="s">
        <v>19309</v>
      </c>
      <c r="J656" s="22" t="s">
        <v>19908</v>
      </c>
      <c r="K656" s="22" t="s">
        <v>19354</v>
      </c>
      <c r="L656" s="22"/>
      <c r="M656" s="22"/>
      <c r="N656" s="25" t="str">
        <f>HYPERLINK("http://slimages.macys.com/is/image/MCY/20737533 ")</f>
        <v xml:space="preserve">http://slimages.macys.com/is/image/MCY/20737533 </v>
      </c>
    </row>
    <row r="657" spans="1:14" ht="24.75" x14ac:dyDescent="0.25">
      <c r="A657" s="21" t="s">
        <v>14892</v>
      </c>
      <c r="B657" s="22" t="s">
        <v>14893</v>
      </c>
      <c r="C657" s="2">
        <v>2</v>
      </c>
      <c r="D657" s="23">
        <v>6.99</v>
      </c>
      <c r="E657" s="3">
        <v>13.98</v>
      </c>
      <c r="F657" s="2" t="s">
        <v>14894</v>
      </c>
      <c r="G657" s="22" t="s">
        <v>19351</v>
      </c>
      <c r="H657" s="24" t="s">
        <v>19538</v>
      </c>
      <c r="I657" s="22" t="s">
        <v>19309</v>
      </c>
      <c r="J657" s="22" t="s">
        <v>19573</v>
      </c>
      <c r="K657" s="22" t="s">
        <v>19574</v>
      </c>
      <c r="L657" s="22"/>
      <c r="M657" s="22"/>
      <c r="N657" s="25" t="str">
        <f>HYPERLINK("http://slimages.macys.com/is/image/MCY/17565512 ")</f>
        <v xml:space="preserve">http://slimages.macys.com/is/image/MCY/17565512 </v>
      </c>
    </row>
    <row r="658" spans="1:14" ht="24.75" x14ac:dyDescent="0.25">
      <c r="A658" s="21" t="s">
        <v>9304</v>
      </c>
      <c r="B658" s="22" t="s">
        <v>9305</v>
      </c>
      <c r="C658" s="2">
        <v>1</v>
      </c>
      <c r="D658" s="23">
        <v>5.99</v>
      </c>
      <c r="E658" s="3">
        <v>5.99</v>
      </c>
      <c r="F658" s="2" t="s">
        <v>19224</v>
      </c>
      <c r="G658" s="22" t="s">
        <v>18821</v>
      </c>
      <c r="H658" s="24" t="s">
        <v>19330</v>
      </c>
      <c r="I658" s="22" t="s">
        <v>19309</v>
      </c>
      <c r="J658" s="22" t="s">
        <v>19573</v>
      </c>
      <c r="K658" s="22" t="s">
        <v>19574</v>
      </c>
      <c r="L658" s="22"/>
      <c r="M658" s="22"/>
      <c r="N658" s="25" t="str">
        <f>HYPERLINK("http://slimages.macys.com/is/image/MCY/21905230 ")</f>
        <v xml:space="preserve">http://slimages.macys.com/is/image/MCY/21905230 </v>
      </c>
    </row>
    <row r="659" spans="1:14" ht="24.75" x14ac:dyDescent="0.25">
      <c r="A659" s="21" t="s">
        <v>9306</v>
      </c>
      <c r="B659" s="22" t="s">
        <v>9307</v>
      </c>
      <c r="C659" s="2">
        <v>1</v>
      </c>
      <c r="D659" s="23">
        <v>6.99</v>
      </c>
      <c r="E659" s="3">
        <v>6.99</v>
      </c>
      <c r="F659" s="2" t="s">
        <v>9308</v>
      </c>
      <c r="G659" s="22" t="s">
        <v>19467</v>
      </c>
      <c r="H659" s="24" t="s">
        <v>19416</v>
      </c>
      <c r="I659" s="22" t="s">
        <v>19309</v>
      </c>
      <c r="J659" s="22" t="s">
        <v>19573</v>
      </c>
      <c r="K659" s="22" t="s">
        <v>19574</v>
      </c>
      <c r="L659" s="22"/>
      <c r="M659" s="22"/>
      <c r="N659" s="25" t="str">
        <f>HYPERLINK("http://slimages.macys.com/is/image/MCY/20436636 ")</f>
        <v xml:space="preserve">http://slimages.macys.com/is/image/MCY/20436636 </v>
      </c>
    </row>
    <row r="660" spans="1:14" ht="24.75" x14ac:dyDescent="0.25">
      <c r="A660" s="21" t="s">
        <v>17212</v>
      </c>
      <c r="B660" s="22" t="s">
        <v>17213</v>
      </c>
      <c r="C660" s="2">
        <v>1</v>
      </c>
      <c r="D660" s="23">
        <v>5.99</v>
      </c>
      <c r="E660" s="3">
        <v>5.99</v>
      </c>
      <c r="F660" s="2" t="s">
        <v>17214</v>
      </c>
      <c r="G660" s="22" t="s">
        <v>19351</v>
      </c>
      <c r="H660" s="24" t="s">
        <v>19384</v>
      </c>
      <c r="I660" s="22" t="s">
        <v>19309</v>
      </c>
      <c r="J660" s="22" t="s">
        <v>19573</v>
      </c>
      <c r="K660" s="22" t="s">
        <v>19574</v>
      </c>
      <c r="L660" s="22"/>
      <c r="M660" s="22"/>
      <c r="N660" s="25" t="str">
        <f>HYPERLINK("http://slimages.macys.com/is/image/MCY/20753665 ")</f>
        <v xml:space="preserve">http://slimages.macys.com/is/image/MCY/20753665 </v>
      </c>
    </row>
    <row r="661" spans="1:14" ht="24.75" x14ac:dyDescent="0.25">
      <c r="A661" s="21" t="s">
        <v>19235</v>
      </c>
      <c r="B661" s="22" t="s">
        <v>19236</v>
      </c>
      <c r="C661" s="2">
        <v>1</v>
      </c>
      <c r="D661" s="23">
        <v>5.99</v>
      </c>
      <c r="E661" s="3">
        <v>5.99</v>
      </c>
      <c r="F661" s="2" t="s">
        <v>19232</v>
      </c>
      <c r="G661" s="22" t="s">
        <v>19467</v>
      </c>
      <c r="H661" s="24" t="s">
        <v>19324</v>
      </c>
      <c r="I661" s="22" t="s">
        <v>19309</v>
      </c>
      <c r="J661" s="22" t="s">
        <v>19573</v>
      </c>
      <c r="K661" s="22" t="s">
        <v>19574</v>
      </c>
      <c r="L661" s="22"/>
      <c r="M661" s="22"/>
      <c r="N661" s="25" t="str">
        <f>HYPERLINK("http://slimages.macys.com/is/image/MCY/21209505 ")</f>
        <v xml:space="preserve">http://slimages.macys.com/is/image/MCY/21209505 </v>
      </c>
    </row>
    <row r="662" spans="1:14" ht="24.75" x14ac:dyDescent="0.25">
      <c r="A662" s="21" t="s">
        <v>10732</v>
      </c>
      <c r="B662" s="22" t="s">
        <v>10733</v>
      </c>
      <c r="C662" s="2">
        <v>2</v>
      </c>
      <c r="D662" s="23">
        <v>6.99</v>
      </c>
      <c r="E662" s="3">
        <v>13.98</v>
      </c>
      <c r="F662" s="2" t="s">
        <v>14924</v>
      </c>
      <c r="G662" s="22" t="s">
        <v>19763</v>
      </c>
      <c r="H662" s="24" t="s">
        <v>19324</v>
      </c>
      <c r="I662" s="22" t="s">
        <v>19309</v>
      </c>
      <c r="J662" s="22" t="s">
        <v>19573</v>
      </c>
      <c r="K662" s="22" t="s">
        <v>19574</v>
      </c>
      <c r="L662" s="22"/>
      <c r="M662" s="22"/>
      <c r="N662" s="25" t="str">
        <f>HYPERLINK("http://slimages.macys.com/is/image/MCY/19507666 ")</f>
        <v xml:space="preserve">http://slimages.macys.com/is/image/MCY/19507666 </v>
      </c>
    </row>
    <row r="663" spans="1:14" ht="24.75" x14ac:dyDescent="0.25">
      <c r="A663" s="21" t="s">
        <v>10730</v>
      </c>
      <c r="B663" s="22" t="s">
        <v>10731</v>
      </c>
      <c r="C663" s="2">
        <v>1</v>
      </c>
      <c r="D663" s="23">
        <v>6.99</v>
      </c>
      <c r="E663" s="3">
        <v>6.99</v>
      </c>
      <c r="F663" s="2" t="s">
        <v>14924</v>
      </c>
      <c r="G663" s="22" t="s">
        <v>19763</v>
      </c>
      <c r="H663" s="24" t="s">
        <v>19384</v>
      </c>
      <c r="I663" s="22" t="s">
        <v>19309</v>
      </c>
      <c r="J663" s="22" t="s">
        <v>19573</v>
      </c>
      <c r="K663" s="22" t="s">
        <v>19574</v>
      </c>
      <c r="L663" s="22"/>
      <c r="M663" s="22"/>
      <c r="N663" s="25" t="str">
        <f>HYPERLINK("http://slimages.macys.com/is/image/MCY/19507666 ")</f>
        <v xml:space="preserve">http://slimages.macys.com/is/image/MCY/19507666 </v>
      </c>
    </row>
    <row r="664" spans="1:14" ht="24.75" x14ac:dyDescent="0.25">
      <c r="A664" s="21" t="s">
        <v>10734</v>
      </c>
      <c r="B664" s="22" t="s">
        <v>10735</v>
      </c>
      <c r="C664" s="2">
        <v>2</v>
      </c>
      <c r="D664" s="23">
        <v>6.99</v>
      </c>
      <c r="E664" s="3">
        <v>13.98</v>
      </c>
      <c r="F664" s="2" t="s">
        <v>14924</v>
      </c>
      <c r="G664" s="22" t="s">
        <v>19763</v>
      </c>
      <c r="H664" s="24" t="s">
        <v>19538</v>
      </c>
      <c r="I664" s="22" t="s">
        <v>19309</v>
      </c>
      <c r="J664" s="22" t="s">
        <v>19573</v>
      </c>
      <c r="K664" s="22" t="s">
        <v>19574</v>
      </c>
      <c r="L664" s="22"/>
      <c r="M664" s="22"/>
      <c r="N664" s="25" t="str">
        <f>HYPERLINK("http://slimages.macys.com/is/image/MCY/19507666 ")</f>
        <v xml:space="preserve">http://slimages.macys.com/is/image/MCY/19507666 </v>
      </c>
    </row>
    <row r="665" spans="1:14" ht="24.75" x14ac:dyDescent="0.25">
      <c r="A665" s="21" t="s">
        <v>6325</v>
      </c>
      <c r="B665" s="22" t="s">
        <v>6326</v>
      </c>
      <c r="C665" s="2">
        <v>1</v>
      </c>
      <c r="D665" s="23">
        <v>6.99</v>
      </c>
      <c r="E665" s="3">
        <v>6.99</v>
      </c>
      <c r="F665" s="2" t="s">
        <v>14924</v>
      </c>
      <c r="G665" s="22" t="s">
        <v>19763</v>
      </c>
      <c r="H665" s="24" t="s">
        <v>19330</v>
      </c>
      <c r="I665" s="22" t="s">
        <v>19309</v>
      </c>
      <c r="J665" s="22" t="s">
        <v>19573</v>
      </c>
      <c r="K665" s="22" t="s">
        <v>19574</v>
      </c>
      <c r="L665" s="22"/>
      <c r="M665" s="22"/>
      <c r="N665" s="25" t="str">
        <f>HYPERLINK("http://slimages.macys.com/is/image/MCY/19507666 ")</f>
        <v xml:space="preserve">http://slimages.macys.com/is/image/MCY/19507666 </v>
      </c>
    </row>
    <row r="666" spans="1:14" ht="24.75" x14ac:dyDescent="0.25">
      <c r="A666" s="21" t="s">
        <v>14922</v>
      </c>
      <c r="B666" s="22" t="s">
        <v>14923</v>
      </c>
      <c r="C666" s="2">
        <v>2</v>
      </c>
      <c r="D666" s="23">
        <v>6.99</v>
      </c>
      <c r="E666" s="3">
        <v>13.98</v>
      </c>
      <c r="F666" s="2" t="s">
        <v>14924</v>
      </c>
      <c r="G666" s="22" t="s">
        <v>19763</v>
      </c>
      <c r="H666" s="24" t="s">
        <v>19416</v>
      </c>
      <c r="I666" s="22" t="s">
        <v>19309</v>
      </c>
      <c r="J666" s="22" t="s">
        <v>19573</v>
      </c>
      <c r="K666" s="22" t="s">
        <v>19574</v>
      </c>
      <c r="L666" s="22"/>
      <c r="M666" s="22"/>
      <c r="N666" s="25" t="str">
        <f>HYPERLINK("http://slimages.macys.com/is/image/MCY/19507666 ")</f>
        <v xml:space="preserve">http://slimages.macys.com/is/image/MCY/19507666 </v>
      </c>
    </row>
    <row r="667" spans="1:14" ht="24.75" x14ac:dyDescent="0.25">
      <c r="A667" s="21" t="s">
        <v>9311</v>
      </c>
      <c r="B667" s="22" t="s">
        <v>9312</v>
      </c>
      <c r="C667" s="2">
        <v>1</v>
      </c>
      <c r="D667" s="23">
        <v>5.99</v>
      </c>
      <c r="E667" s="3">
        <v>5.99</v>
      </c>
      <c r="F667" s="2" t="s">
        <v>14927</v>
      </c>
      <c r="G667" s="22" t="s">
        <v>19618</v>
      </c>
      <c r="H667" s="24" t="s">
        <v>19416</v>
      </c>
      <c r="I667" s="22" t="s">
        <v>19309</v>
      </c>
      <c r="J667" s="22" t="s">
        <v>19573</v>
      </c>
      <c r="K667" s="22" t="s">
        <v>19574</v>
      </c>
      <c r="L667" s="22"/>
      <c r="M667" s="22"/>
      <c r="N667" s="25" t="str">
        <f>HYPERLINK("http://slimages.macys.com/is/image/MCY/21088408 ")</f>
        <v xml:space="preserve">http://slimages.macys.com/is/image/MCY/21088408 </v>
      </c>
    </row>
    <row r="668" spans="1:14" ht="24.75" x14ac:dyDescent="0.25">
      <c r="A668" s="21" t="s">
        <v>5331</v>
      </c>
      <c r="B668" s="22" t="s">
        <v>5332</v>
      </c>
      <c r="C668" s="2">
        <v>1</v>
      </c>
      <c r="D668" s="23">
        <v>5.99</v>
      </c>
      <c r="E668" s="3">
        <v>5.99</v>
      </c>
      <c r="F668" s="2" t="s">
        <v>5333</v>
      </c>
      <c r="G668" s="22" t="s">
        <v>19674</v>
      </c>
      <c r="H668" s="24" t="s">
        <v>19538</v>
      </c>
      <c r="I668" s="22" t="s">
        <v>19309</v>
      </c>
      <c r="J668" s="22" t="s">
        <v>19573</v>
      </c>
      <c r="K668" s="22" t="s">
        <v>19574</v>
      </c>
      <c r="L668" s="22"/>
      <c r="M668" s="22"/>
      <c r="N668" s="25" t="str">
        <f>HYPERLINK("http://slimages.macys.com/is/image/MCY/1124650 ")</f>
        <v xml:space="preserve">http://slimages.macys.com/is/image/MCY/1124650 </v>
      </c>
    </row>
    <row r="669" spans="1:14" ht="24.75" x14ac:dyDescent="0.25">
      <c r="A669" s="21" t="s">
        <v>5334</v>
      </c>
      <c r="B669" s="22" t="s">
        <v>5335</v>
      </c>
      <c r="C669" s="2">
        <v>1</v>
      </c>
      <c r="D669" s="23">
        <v>5.99</v>
      </c>
      <c r="E669" s="3">
        <v>5.99</v>
      </c>
      <c r="F669" s="2" t="s">
        <v>5333</v>
      </c>
      <c r="G669" s="22" t="s">
        <v>19674</v>
      </c>
      <c r="H669" s="24" t="s">
        <v>19384</v>
      </c>
      <c r="I669" s="22" t="s">
        <v>19309</v>
      </c>
      <c r="J669" s="22" t="s">
        <v>19573</v>
      </c>
      <c r="K669" s="22" t="s">
        <v>19574</v>
      </c>
      <c r="L669" s="22"/>
      <c r="M669" s="22"/>
      <c r="N669" s="25" t="str">
        <f>HYPERLINK("http://slimages.macys.com/is/image/MCY/1117134 ")</f>
        <v xml:space="preserve">http://slimages.macys.com/is/image/MCY/1117134 </v>
      </c>
    </row>
    <row r="670" spans="1:14" ht="24.75" x14ac:dyDescent="0.25">
      <c r="A670" s="21" t="s">
        <v>4444</v>
      </c>
      <c r="B670" s="22" t="s">
        <v>4445</v>
      </c>
      <c r="C670" s="2">
        <v>1</v>
      </c>
      <c r="D670" s="23">
        <v>6.99</v>
      </c>
      <c r="E670" s="3">
        <v>6.99</v>
      </c>
      <c r="F670" s="2" t="s">
        <v>4446</v>
      </c>
      <c r="G670" s="22" t="s">
        <v>19467</v>
      </c>
      <c r="H670" s="24" t="s">
        <v>19538</v>
      </c>
      <c r="I670" s="22" t="s">
        <v>19309</v>
      </c>
      <c r="J670" s="22" t="s">
        <v>19573</v>
      </c>
      <c r="K670" s="22" t="s">
        <v>19574</v>
      </c>
      <c r="L670" s="22"/>
      <c r="M670" s="22"/>
      <c r="N670" s="25" t="str">
        <f>HYPERLINK("http://slimages.macys.com/is/image/MCY/19977363 ")</f>
        <v xml:space="preserve">http://slimages.macys.com/is/image/MCY/19977363 </v>
      </c>
    </row>
    <row r="671" spans="1:14" ht="24.75" x14ac:dyDescent="0.25">
      <c r="A671" s="21" t="s">
        <v>19262</v>
      </c>
      <c r="B671" s="22" t="s">
        <v>19263</v>
      </c>
      <c r="C671" s="2">
        <v>1</v>
      </c>
      <c r="D671" s="23">
        <v>5.99</v>
      </c>
      <c r="E671" s="3">
        <v>5.99</v>
      </c>
      <c r="F671" s="2" t="s">
        <v>19261</v>
      </c>
      <c r="G671" s="22" t="s">
        <v>19674</v>
      </c>
      <c r="H671" s="24" t="s">
        <v>19384</v>
      </c>
      <c r="I671" s="22" t="s">
        <v>19309</v>
      </c>
      <c r="J671" s="22" t="s">
        <v>19573</v>
      </c>
      <c r="K671" s="22" t="s">
        <v>19574</v>
      </c>
      <c r="L671" s="22"/>
      <c r="M671" s="22"/>
      <c r="N671" s="25" t="str">
        <f>HYPERLINK("http://slimages.macys.com/is/image/MCY/21209261 ")</f>
        <v xml:space="preserve">http://slimages.macys.com/is/image/MCY/21209261 </v>
      </c>
    </row>
    <row r="672" spans="1:14" ht="24.75" x14ac:dyDescent="0.25">
      <c r="A672" s="21" t="s">
        <v>4447</v>
      </c>
      <c r="B672" s="22" t="s">
        <v>4448</v>
      </c>
      <c r="C672" s="2">
        <v>1</v>
      </c>
      <c r="D672" s="23">
        <v>5.99</v>
      </c>
      <c r="E672" s="3">
        <v>5.99</v>
      </c>
      <c r="F672" s="2" t="s">
        <v>4449</v>
      </c>
      <c r="G672" s="22" t="s">
        <v>19585</v>
      </c>
      <c r="H672" s="24" t="s">
        <v>19416</v>
      </c>
      <c r="I672" s="22" t="s">
        <v>19309</v>
      </c>
      <c r="J672" s="22" t="s">
        <v>19573</v>
      </c>
      <c r="K672" s="22" t="s">
        <v>19574</v>
      </c>
      <c r="L672" s="22"/>
      <c r="M672" s="22"/>
      <c r="N672" s="25" t="str">
        <f>HYPERLINK("http://slimages.macys.com/is/image/MCY/1104393 ")</f>
        <v xml:space="preserve">http://slimages.macys.com/is/image/MCY/1104393 </v>
      </c>
    </row>
    <row r="673" spans="1:14" ht="24.75" x14ac:dyDescent="0.25">
      <c r="A673" s="21" t="s">
        <v>4450</v>
      </c>
      <c r="B673" s="22" t="s">
        <v>4451</v>
      </c>
      <c r="C673" s="2">
        <v>1</v>
      </c>
      <c r="D673" s="23">
        <v>5.99</v>
      </c>
      <c r="E673" s="3">
        <v>5.99</v>
      </c>
      <c r="F673" s="2" t="s">
        <v>17245</v>
      </c>
      <c r="G673" s="22" t="s">
        <v>19431</v>
      </c>
      <c r="H673" s="24" t="s">
        <v>19416</v>
      </c>
      <c r="I673" s="22" t="s">
        <v>19309</v>
      </c>
      <c r="J673" s="22" t="s">
        <v>19573</v>
      </c>
      <c r="K673" s="22" t="s">
        <v>19574</v>
      </c>
      <c r="L673" s="22"/>
      <c r="M673" s="22"/>
      <c r="N673" s="25" t="str">
        <f>HYPERLINK("http://slimages.macys.com/is/image/MCY/1523158 ")</f>
        <v xml:space="preserve">http://slimages.macys.com/is/image/MCY/1523158 </v>
      </c>
    </row>
    <row r="674" spans="1:14" ht="24.75" x14ac:dyDescent="0.25">
      <c r="A674" s="21" t="s">
        <v>11176</v>
      </c>
      <c r="B674" s="22" t="s">
        <v>11177</v>
      </c>
      <c r="C674" s="2">
        <v>1</v>
      </c>
      <c r="D674" s="23">
        <v>5.99</v>
      </c>
      <c r="E674" s="3">
        <v>5.99</v>
      </c>
      <c r="F674" s="2" t="s">
        <v>17257</v>
      </c>
      <c r="G674" s="22" t="s">
        <v>19431</v>
      </c>
      <c r="H674" s="24" t="s">
        <v>19330</v>
      </c>
      <c r="I674" s="22" t="s">
        <v>19309</v>
      </c>
      <c r="J674" s="22" t="s">
        <v>19573</v>
      </c>
      <c r="K674" s="22" t="s">
        <v>19574</v>
      </c>
      <c r="L674" s="22"/>
      <c r="M674" s="22"/>
      <c r="N674" s="25" t="str">
        <f>HYPERLINK("http://slimages.macys.com/is/image/MCY/21209617 ")</f>
        <v xml:space="preserve">http://slimages.macys.com/is/image/MCY/21209617 </v>
      </c>
    </row>
    <row r="675" spans="1:14" ht="24.75" x14ac:dyDescent="0.25">
      <c r="A675" s="21" t="s">
        <v>14974</v>
      </c>
      <c r="B675" s="22" t="s">
        <v>14975</v>
      </c>
      <c r="C675" s="2">
        <v>1</v>
      </c>
      <c r="D675" s="23">
        <v>5.99</v>
      </c>
      <c r="E675" s="3">
        <v>5.99</v>
      </c>
      <c r="F675" s="2" t="s">
        <v>19273</v>
      </c>
      <c r="G675" s="22" t="s">
        <v>19794</v>
      </c>
      <c r="H675" s="24" t="s">
        <v>19384</v>
      </c>
      <c r="I675" s="22" t="s">
        <v>19309</v>
      </c>
      <c r="J675" s="22" t="s">
        <v>19573</v>
      </c>
      <c r="K675" s="22" t="s">
        <v>19574</v>
      </c>
      <c r="L675" s="22"/>
      <c r="M675" s="22"/>
      <c r="N675" s="25" t="str">
        <f>HYPERLINK("http://slimages.macys.com/is/image/MCY/21209112 ")</f>
        <v xml:space="preserve">http://slimages.macys.com/is/image/MCY/21209112 </v>
      </c>
    </row>
    <row r="676" spans="1:14" ht="24.75" x14ac:dyDescent="0.25">
      <c r="A676" s="21" t="s">
        <v>14972</v>
      </c>
      <c r="B676" s="22" t="s">
        <v>14973</v>
      </c>
      <c r="C676" s="2">
        <v>1</v>
      </c>
      <c r="D676" s="23">
        <v>5.99</v>
      </c>
      <c r="E676" s="3">
        <v>5.99</v>
      </c>
      <c r="F676" s="2" t="s">
        <v>19273</v>
      </c>
      <c r="G676" s="22" t="s">
        <v>19794</v>
      </c>
      <c r="H676" s="24" t="s">
        <v>19324</v>
      </c>
      <c r="I676" s="22" t="s">
        <v>19309</v>
      </c>
      <c r="J676" s="22" t="s">
        <v>19573</v>
      </c>
      <c r="K676" s="22" t="s">
        <v>19574</v>
      </c>
      <c r="L676" s="22"/>
      <c r="M676" s="22"/>
      <c r="N676" s="25" t="str">
        <f>HYPERLINK("http://slimages.macys.com/is/image/MCY/21209112 ")</f>
        <v xml:space="preserve">http://slimages.macys.com/is/image/MCY/21209112 </v>
      </c>
    </row>
    <row r="677" spans="1:14" ht="24.75" x14ac:dyDescent="0.25">
      <c r="A677" s="21" t="s">
        <v>17391</v>
      </c>
      <c r="B677" s="22" t="s">
        <v>17392</v>
      </c>
      <c r="C677" s="2">
        <v>1</v>
      </c>
      <c r="D677" s="23">
        <v>5.99</v>
      </c>
      <c r="E677" s="3">
        <v>5.99</v>
      </c>
      <c r="F677" s="2" t="s">
        <v>17384</v>
      </c>
      <c r="G677" s="22" t="s">
        <v>18439</v>
      </c>
      <c r="H677" s="24" t="s">
        <v>19324</v>
      </c>
      <c r="I677" s="22" t="s">
        <v>19309</v>
      </c>
      <c r="J677" s="22" t="s">
        <v>19573</v>
      </c>
      <c r="K677" s="22" t="s">
        <v>19574</v>
      </c>
      <c r="L677" s="22"/>
      <c r="M677" s="22"/>
      <c r="N677" s="25" t="str">
        <f>HYPERLINK("http://slimages.macys.com/is/image/MCY/1905756 ")</f>
        <v xml:space="preserve">http://slimages.macys.com/is/image/MCY/1905756 </v>
      </c>
    </row>
    <row r="678" spans="1:14" ht="24.75" x14ac:dyDescent="0.25">
      <c r="A678" s="21" t="s">
        <v>17387</v>
      </c>
      <c r="B678" s="22" t="s">
        <v>17388</v>
      </c>
      <c r="C678" s="2">
        <v>1</v>
      </c>
      <c r="D678" s="23">
        <v>5.99</v>
      </c>
      <c r="E678" s="3">
        <v>5.99</v>
      </c>
      <c r="F678" s="2" t="s">
        <v>17384</v>
      </c>
      <c r="G678" s="22" t="s">
        <v>18439</v>
      </c>
      <c r="H678" s="24" t="s">
        <v>19538</v>
      </c>
      <c r="I678" s="22" t="s">
        <v>19309</v>
      </c>
      <c r="J678" s="22" t="s">
        <v>19573</v>
      </c>
      <c r="K678" s="22" t="s">
        <v>19574</v>
      </c>
      <c r="L678" s="22"/>
      <c r="M678" s="22"/>
      <c r="N678" s="25" t="str">
        <f>HYPERLINK("http://slimages.macys.com/is/image/MCY/1905756 ")</f>
        <v xml:space="preserve">http://slimages.macys.com/is/image/MCY/1905756 </v>
      </c>
    </row>
    <row r="679" spans="1:14" ht="24.75" x14ac:dyDescent="0.25">
      <c r="A679" s="21" t="s">
        <v>4452</v>
      </c>
      <c r="B679" s="22" t="s">
        <v>4453</v>
      </c>
      <c r="C679" s="2">
        <v>1</v>
      </c>
      <c r="D679" s="23">
        <v>7.99</v>
      </c>
      <c r="E679" s="3">
        <v>7.99</v>
      </c>
      <c r="F679" s="2" t="s">
        <v>10754</v>
      </c>
      <c r="G679" s="22" t="s">
        <v>19467</v>
      </c>
      <c r="H679" s="24" t="s">
        <v>19907</v>
      </c>
      <c r="I679" s="22" t="s">
        <v>19309</v>
      </c>
      <c r="J679" s="22" t="s">
        <v>19573</v>
      </c>
      <c r="K679" s="22" t="s">
        <v>19574</v>
      </c>
      <c r="L679" s="22"/>
      <c r="M679" s="22"/>
      <c r="N679" s="25" t="str">
        <f>HYPERLINK("http://slimages.macys.com/is/image/MCY/16605973 ")</f>
        <v xml:space="preserve">http://slimages.macys.com/is/image/MCY/16605973 </v>
      </c>
    </row>
    <row r="680" spans="1:14" ht="24.75" x14ac:dyDescent="0.25">
      <c r="A680" s="21" t="s">
        <v>4454</v>
      </c>
      <c r="B680" s="22" t="s">
        <v>4455</v>
      </c>
      <c r="C680" s="2">
        <v>1</v>
      </c>
      <c r="D680" s="23">
        <v>7.99</v>
      </c>
      <c r="E680" s="3">
        <v>7.99</v>
      </c>
      <c r="F680" s="2" t="s">
        <v>10754</v>
      </c>
      <c r="G680" s="22" t="s">
        <v>19467</v>
      </c>
      <c r="H680" s="24" t="s">
        <v>20135</v>
      </c>
      <c r="I680" s="22" t="s">
        <v>19309</v>
      </c>
      <c r="J680" s="22" t="s">
        <v>19573</v>
      </c>
      <c r="K680" s="22" t="s">
        <v>19574</v>
      </c>
      <c r="L680" s="22"/>
      <c r="M680" s="22"/>
      <c r="N680" s="25" t="str">
        <f>HYPERLINK("http://slimages.macys.com/is/image/MCY/16605973 ")</f>
        <v xml:space="preserve">http://slimages.macys.com/is/image/MCY/16605973 </v>
      </c>
    </row>
    <row r="681" spans="1:14" ht="24.75" x14ac:dyDescent="0.25">
      <c r="A681" s="21" t="s">
        <v>10752</v>
      </c>
      <c r="B681" s="22" t="s">
        <v>10753</v>
      </c>
      <c r="C681" s="2">
        <v>1</v>
      </c>
      <c r="D681" s="23">
        <v>7.99</v>
      </c>
      <c r="E681" s="3">
        <v>7.99</v>
      </c>
      <c r="F681" s="2" t="s">
        <v>10754</v>
      </c>
      <c r="G681" s="22" t="s">
        <v>19467</v>
      </c>
      <c r="H681" s="24" t="s">
        <v>20089</v>
      </c>
      <c r="I681" s="22" t="s">
        <v>19309</v>
      </c>
      <c r="J681" s="22" t="s">
        <v>19573</v>
      </c>
      <c r="K681" s="22" t="s">
        <v>19574</v>
      </c>
      <c r="L681" s="22"/>
      <c r="M681" s="22"/>
      <c r="N681" s="25" t="str">
        <f>HYPERLINK("http://slimages.macys.com/is/image/MCY/16605973 ")</f>
        <v xml:space="preserve">http://slimages.macys.com/is/image/MCY/16605973 </v>
      </c>
    </row>
    <row r="682" spans="1:14" ht="24.75" x14ac:dyDescent="0.25">
      <c r="A682" s="21" t="s">
        <v>13525</v>
      </c>
      <c r="B682" s="22" t="s">
        <v>13526</v>
      </c>
      <c r="C682" s="2">
        <v>3</v>
      </c>
      <c r="D682" s="23">
        <v>5.99</v>
      </c>
      <c r="E682" s="3">
        <v>17.97</v>
      </c>
      <c r="F682" s="2" t="s">
        <v>13522</v>
      </c>
      <c r="G682" s="22" t="s">
        <v>19763</v>
      </c>
      <c r="H682" s="24" t="s">
        <v>19538</v>
      </c>
      <c r="I682" s="22" t="s">
        <v>19309</v>
      </c>
      <c r="J682" s="22" t="s">
        <v>19573</v>
      </c>
      <c r="K682" s="22" t="s">
        <v>19574</v>
      </c>
      <c r="L682" s="22"/>
      <c r="M682" s="22"/>
      <c r="N682" s="25" t="str">
        <f>HYPERLINK("http://slimages.macys.com/is/image/MCY/19521011 ")</f>
        <v xml:space="preserve">http://slimages.macys.com/is/image/MCY/19521011 </v>
      </c>
    </row>
    <row r="683" spans="1:14" ht="24.75" x14ac:dyDescent="0.25">
      <c r="A683" s="21" t="s">
        <v>13523</v>
      </c>
      <c r="B683" s="22" t="s">
        <v>13524</v>
      </c>
      <c r="C683" s="2">
        <v>2</v>
      </c>
      <c r="D683" s="23">
        <v>5.99</v>
      </c>
      <c r="E683" s="3">
        <v>11.98</v>
      </c>
      <c r="F683" s="2" t="s">
        <v>13522</v>
      </c>
      <c r="G683" s="22" t="s">
        <v>19763</v>
      </c>
      <c r="H683" s="24" t="s">
        <v>19384</v>
      </c>
      <c r="I683" s="22" t="s">
        <v>19309</v>
      </c>
      <c r="J683" s="22" t="s">
        <v>19573</v>
      </c>
      <c r="K683" s="22" t="s">
        <v>19574</v>
      </c>
      <c r="L683" s="22"/>
      <c r="M683" s="22"/>
      <c r="N683" s="25" t="str">
        <f>HYPERLINK("http://slimages.macys.com/is/image/MCY/19521011 ")</f>
        <v xml:space="preserve">http://slimages.macys.com/is/image/MCY/19521011 </v>
      </c>
    </row>
    <row r="684" spans="1:14" ht="24.75" x14ac:dyDescent="0.25">
      <c r="A684" s="21" t="s">
        <v>13527</v>
      </c>
      <c r="B684" s="22" t="s">
        <v>13528</v>
      </c>
      <c r="C684" s="2">
        <v>2</v>
      </c>
      <c r="D684" s="23">
        <v>5.99</v>
      </c>
      <c r="E684" s="3">
        <v>11.98</v>
      </c>
      <c r="F684" s="2" t="s">
        <v>17408</v>
      </c>
      <c r="G684" s="22" t="s">
        <v>19467</v>
      </c>
      <c r="H684" s="24" t="s">
        <v>19324</v>
      </c>
      <c r="I684" s="22" t="s">
        <v>19309</v>
      </c>
      <c r="J684" s="22" t="s">
        <v>19573</v>
      </c>
      <c r="K684" s="22" t="s">
        <v>19574</v>
      </c>
      <c r="L684" s="22"/>
      <c r="M684" s="22"/>
      <c r="N684" s="25" t="str">
        <f>HYPERLINK("http://slimages.macys.com/is/image/MCY/21970244 ")</f>
        <v xml:space="preserve">http://slimages.macys.com/is/image/MCY/21970244 </v>
      </c>
    </row>
    <row r="685" spans="1:14" ht="24.75" x14ac:dyDescent="0.25">
      <c r="A685" s="21" t="s">
        <v>9743</v>
      </c>
      <c r="B685" s="22" t="s">
        <v>9744</v>
      </c>
      <c r="C685" s="2">
        <v>1</v>
      </c>
      <c r="D685" s="23">
        <v>5.99</v>
      </c>
      <c r="E685" s="3">
        <v>5.99</v>
      </c>
      <c r="F685" s="2" t="s">
        <v>17411</v>
      </c>
      <c r="G685" s="22" t="s">
        <v>19351</v>
      </c>
      <c r="H685" s="24" t="s">
        <v>19330</v>
      </c>
      <c r="I685" s="22" t="s">
        <v>19309</v>
      </c>
      <c r="J685" s="22" t="s">
        <v>19573</v>
      </c>
      <c r="K685" s="22" t="s">
        <v>19574</v>
      </c>
      <c r="L685" s="22"/>
      <c r="M685" s="22"/>
      <c r="N685" s="25" t="str">
        <f>HYPERLINK("http://slimages.macys.com/is/image/MCY/1537013 ")</f>
        <v xml:space="preserve">http://slimages.macys.com/is/image/MCY/1537013 </v>
      </c>
    </row>
    <row r="686" spans="1:14" ht="24.75" x14ac:dyDescent="0.25">
      <c r="A686" s="21" t="s">
        <v>17409</v>
      </c>
      <c r="B686" s="22" t="s">
        <v>17410</v>
      </c>
      <c r="C686" s="2">
        <v>3</v>
      </c>
      <c r="D686" s="23">
        <v>5.99</v>
      </c>
      <c r="E686" s="3">
        <v>17.97</v>
      </c>
      <c r="F686" s="2" t="s">
        <v>17411</v>
      </c>
      <c r="G686" s="22" t="s">
        <v>19351</v>
      </c>
      <c r="H686" s="24" t="s">
        <v>19416</v>
      </c>
      <c r="I686" s="22" t="s">
        <v>19309</v>
      </c>
      <c r="J686" s="22" t="s">
        <v>19573</v>
      </c>
      <c r="K686" s="22" t="s">
        <v>19574</v>
      </c>
      <c r="L686" s="22"/>
      <c r="M686" s="22"/>
      <c r="N686" s="25" t="str">
        <f>HYPERLINK("http://slimages.macys.com/is/image/MCY/1537013 ")</f>
        <v xml:space="preserve">http://slimages.macys.com/is/image/MCY/1537013 </v>
      </c>
    </row>
    <row r="687" spans="1:14" ht="24.75" x14ac:dyDescent="0.25">
      <c r="A687" s="21" t="s">
        <v>10189</v>
      </c>
      <c r="B687" s="22" t="s">
        <v>10190</v>
      </c>
      <c r="C687" s="2">
        <v>1</v>
      </c>
      <c r="D687" s="23">
        <v>5.99</v>
      </c>
      <c r="E687" s="3">
        <v>5.99</v>
      </c>
      <c r="F687" s="2" t="s">
        <v>17411</v>
      </c>
      <c r="G687" s="22" t="s">
        <v>19351</v>
      </c>
      <c r="H687" s="24" t="s">
        <v>19538</v>
      </c>
      <c r="I687" s="22" t="s">
        <v>19309</v>
      </c>
      <c r="J687" s="22" t="s">
        <v>19573</v>
      </c>
      <c r="K687" s="22" t="s">
        <v>19574</v>
      </c>
      <c r="L687" s="22"/>
      <c r="M687" s="22"/>
      <c r="N687" s="25" t="str">
        <f>HYPERLINK("http://slimages.macys.com/is/image/MCY/1537013 ")</f>
        <v xml:space="preserve">http://slimages.macys.com/is/image/MCY/1537013 </v>
      </c>
    </row>
    <row r="688" spans="1:14" ht="24.75" x14ac:dyDescent="0.25">
      <c r="A688" s="21" t="s">
        <v>11180</v>
      </c>
      <c r="B688" s="22" t="s">
        <v>11181</v>
      </c>
      <c r="C688" s="2">
        <v>1</v>
      </c>
      <c r="D688" s="23">
        <v>5.99</v>
      </c>
      <c r="E688" s="3">
        <v>5.99</v>
      </c>
      <c r="F688" s="2" t="s">
        <v>17411</v>
      </c>
      <c r="G688" s="22" t="s">
        <v>19351</v>
      </c>
      <c r="H688" s="24" t="s">
        <v>19324</v>
      </c>
      <c r="I688" s="22" t="s">
        <v>19309</v>
      </c>
      <c r="J688" s="22" t="s">
        <v>19573</v>
      </c>
      <c r="K688" s="22" t="s">
        <v>19574</v>
      </c>
      <c r="L688" s="22"/>
      <c r="M688" s="22"/>
      <c r="N688" s="25" t="str">
        <f>HYPERLINK("http://slimages.macys.com/is/image/MCY/1537013 ")</f>
        <v xml:space="preserve">http://slimages.macys.com/is/image/MCY/1537013 </v>
      </c>
    </row>
    <row r="689" spans="1:14" ht="24.75" x14ac:dyDescent="0.25">
      <c r="A689" s="21" t="s">
        <v>14991</v>
      </c>
      <c r="B689" s="22" t="s">
        <v>14992</v>
      </c>
      <c r="C689" s="2">
        <v>1</v>
      </c>
      <c r="D689" s="23">
        <v>5.99</v>
      </c>
      <c r="E689" s="3">
        <v>5.99</v>
      </c>
      <c r="F689" s="2" t="s">
        <v>17280</v>
      </c>
      <c r="G689" s="22" t="s">
        <v>19618</v>
      </c>
      <c r="H689" s="24" t="s">
        <v>19416</v>
      </c>
      <c r="I689" s="22" t="s">
        <v>19309</v>
      </c>
      <c r="J689" s="22" t="s">
        <v>19573</v>
      </c>
      <c r="K689" s="22" t="s">
        <v>19574</v>
      </c>
      <c r="L689" s="22"/>
      <c r="M689" s="22"/>
      <c r="N689" s="25" t="str">
        <f>HYPERLINK("http://slimages.macys.com/is/image/MCY/20839692 ")</f>
        <v xml:space="preserve">http://slimages.macys.com/is/image/MCY/20839692 </v>
      </c>
    </row>
    <row r="690" spans="1:14" ht="24.75" x14ac:dyDescent="0.25">
      <c r="A690" s="21" t="s">
        <v>13529</v>
      </c>
      <c r="B690" s="22" t="s">
        <v>13530</v>
      </c>
      <c r="C690" s="2">
        <v>1</v>
      </c>
      <c r="D690" s="23">
        <v>5.99</v>
      </c>
      <c r="E690" s="3">
        <v>5.99</v>
      </c>
      <c r="F690" s="2" t="s">
        <v>17283</v>
      </c>
      <c r="G690" s="22" t="s">
        <v>19618</v>
      </c>
      <c r="H690" s="24" t="s">
        <v>19416</v>
      </c>
      <c r="I690" s="22" t="s">
        <v>19309</v>
      </c>
      <c r="J690" s="22" t="s">
        <v>19573</v>
      </c>
      <c r="K690" s="22" t="s">
        <v>19574</v>
      </c>
      <c r="L690" s="22"/>
      <c r="M690" s="22"/>
      <c r="N690" s="25" t="str">
        <f>HYPERLINK("http://slimages.macys.com/is/image/MCY/21089253 ")</f>
        <v xml:space="preserve">http://slimages.macys.com/is/image/MCY/21089253 </v>
      </c>
    </row>
    <row r="691" spans="1:14" ht="24.75" x14ac:dyDescent="0.25">
      <c r="A691" s="21" t="s">
        <v>4456</v>
      </c>
      <c r="B691" s="22" t="s">
        <v>4457</v>
      </c>
      <c r="C691" s="2">
        <v>1</v>
      </c>
      <c r="D691" s="23">
        <v>5.99</v>
      </c>
      <c r="E691" s="3">
        <v>5.99</v>
      </c>
      <c r="F691" s="2" t="s">
        <v>17283</v>
      </c>
      <c r="G691" s="22" t="s">
        <v>19618</v>
      </c>
      <c r="H691" s="24" t="s">
        <v>19324</v>
      </c>
      <c r="I691" s="22" t="s">
        <v>19309</v>
      </c>
      <c r="J691" s="22" t="s">
        <v>19573</v>
      </c>
      <c r="K691" s="22" t="s">
        <v>19574</v>
      </c>
      <c r="L691" s="22"/>
      <c r="M691" s="22"/>
      <c r="N691" s="25" t="str">
        <f>HYPERLINK("http://slimages.macys.com/is/image/MCY/21089253 ")</f>
        <v xml:space="preserve">http://slimages.macys.com/is/image/MCY/21089253 </v>
      </c>
    </row>
    <row r="692" spans="1:14" ht="24.75" x14ac:dyDescent="0.25">
      <c r="A692" s="21" t="s">
        <v>4458</v>
      </c>
      <c r="B692" s="22" t="s">
        <v>4459</v>
      </c>
      <c r="C692" s="2">
        <v>1</v>
      </c>
      <c r="D692" s="23">
        <v>5.99</v>
      </c>
      <c r="E692" s="3">
        <v>5.99</v>
      </c>
      <c r="F692" s="2" t="s">
        <v>5340</v>
      </c>
      <c r="G692" s="22" t="s">
        <v>19462</v>
      </c>
      <c r="H692" s="24" t="s">
        <v>19330</v>
      </c>
      <c r="I692" s="22" t="s">
        <v>19309</v>
      </c>
      <c r="J692" s="22" t="s">
        <v>19573</v>
      </c>
      <c r="K692" s="22" t="s">
        <v>19574</v>
      </c>
      <c r="L692" s="22"/>
      <c r="M692" s="22"/>
      <c r="N692" s="25" t="str">
        <f>HYPERLINK("http://slimages.macys.com/is/image/MCY/1104393 ")</f>
        <v xml:space="preserve">http://slimages.macys.com/is/image/MCY/1104393 </v>
      </c>
    </row>
    <row r="693" spans="1:14" ht="24.75" x14ac:dyDescent="0.25">
      <c r="A693" s="21" t="s">
        <v>4460</v>
      </c>
      <c r="B693" s="22" t="s">
        <v>4461</v>
      </c>
      <c r="C693" s="2">
        <v>1</v>
      </c>
      <c r="D693" s="23">
        <v>5.99</v>
      </c>
      <c r="E693" s="3">
        <v>5.99</v>
      </c>
      <c r="F693" s="2" t="s">
        <v>5340</v>
      </c>
      <c r="G693" s="22" t="s">
        <v>19462</v>
      </c>
      <c r="H693" s="24" t="s">
        <v>19384</v>
      </c>
      <c r="I693" s="22" t="s">
        <v>19309</v>
      </c>
      <c r="J693" s="22" t="s">
        <v>19573</v>
      </c>
      <c r="K693" s="22" t="s">
        <v>19574</v>
      </c>
      <c r="L693" s="22"/>
      <c r="M693" s="22"/>
      <c r="N693" s="25" t="str">
        <f>HYPERLINK("http://slimages.macys.com/is/image/MCY/1117134 ")</f>
        <v xml:space="preserve">http://slimages.macys.com/is/image/MCY/1117134 </v>
      </c>
    </row>
    <row r="694" spans="1:14" ht="24.75" x14ac:dyDescent="0.25">
      <c r="A694" s="21" t="s">
        <v>4462</v>
      </c>
      <c r="B694" s="22" t="s">
        <v>4463</v>
      </c>
      <c r="C694" s="2">
        <v>1</v>
      </c>
      <c r="D694" s="23">
        <v>5.99</v>
      </c>
      <c r="E694" s="3">
        <v>5.99</v>
      </c>
      <c r="F694" s="2" t="s">
        <v>17420</v>
      </c>
      <c r="G694" s="22" t="s">
        <v>19462</v>
      </c>
      <c r="H694" s="24" t="s">
        <v>19330</v>
      </c>
      <c r="I694" s="22" t="s">
        <v>19309</v>
      </c>
      <c r="J694" s="22" t="s">
        <v>19573</v>
      </c>
      <c r="K694" s="22" t="s">
        <v>19574</v>
      </c>
      <c r="L694" s="22"/>
      <c r="M694" s="22"/>
      <c r="N694" s="25" t="str">
        <f>HYPERLINK("http://slimages.macys.com/is/image/MCY/1522011 ")</f>
        <v xml:space="preserve">http://slimages.macys.com/is/image/MCY/1522011 </v>
      </c>
    </row>
    <row r="695" spans="1:14" ht="24.75" x14ac:dyDescent="0.25">
      <c r="A695" s="21" t="s">
        <v>6348</v>
      </c>
      <c r="B695" s="22" t="s">
        <v>6349</v>
      </c>
      <c r="C695" s="2">
        <v>1</v>
      </c>
      <c r="D695" s="23">
        <v>5.99</v>
      </c>
      <c r="E695" s="3">
        <v>5.99</v>
      </c>
      <c r="F695" s="2" t="s">
        <v>17417</v>
      </c>
      <c r="G695" s="22" t="s">
        <v>19351</v>
      </c>
      <c r="H695" s="24" t="s">
        <v>19416</v>
      </c>
      <c r="I695" s="22" t="s">
        <v>19309</v>
      </c>
      <c r="J695" s="22" t="s">
        <v>19573</v>
      </c>
      <c r="K695" s="22" t="s">
        <v>19574</v>
      </c>
      <c r="L695" s="22"/>
      <c r="M695" s="22"/>
      <c r="N695" s="25" t="str">
        <f>HYPERLINK("http://slimages.macys.com/is/image/MCY/21209473 ")</f>
        <v xml:space="preserve">http://slimages.macys.com/is/image/MCY/21209473 </v>
      </c>
    </row>
    <row r="696" spans="1:14" ht="24.75" x14ac:dyDescent="0.25">
      <c r="A696" s="21" t="s">
        <v>4464</v>
      </c>
      <c r="B696" s="22" t="s">
        <v>4465</v>
      </c>
      <c r="C696" s="2">
        <v>1</v>
      </c>
      <c r="D696" s="23">
        <v>5.99</v>
      </c>
      <c r="E696" s="3">
        <v>5.99</v>
      </c>
      <c r="F696" s="2" t="s">
        <v>9354</v>
      </c>
      <c r="G696" s="22" t="s">
        <v>19415</v>
      </c>
      <c r="H696" s="24" t="s">
        <v>19416</v>
      </c>
      <c r="I696" s="22" t="s">
        <v>19309</v>
      </c>
      <c r="J696" s="22" t="s">
        <v>19573</v>
      </c>
      <c r="K696" s="22" t="s">
        <v>19574</v>
      </c>
      <c r="L696" s="22"/>
      <c r="M696" s="22"/>
      <c r="N696" s="25" t="str">
        <f>HYPERLINK("http://slimages.macys.com/is/image/MCY/20550756 ")</f>
        <v xml:space="preserve">http://slimages.macys.com/is/image/MCY/20550756 </v>
      </c>
    </row>
    <row r="697" spans="1:14" ht="24.75" x14ac:dyDescent="0.25">
      <c r="A697" s="21" t="s">
        <v>5341</v>
      </c>
      <c r="B697" s="22" t="s">
        <v>5342</v>
      </c>
      <c r="C697" s="2">
        <v>1</v>
      </c>
      <c r="D697" s="23">
        <v>18.11</v>
      </c>
      <c r="E697" s="3">
        <v>18.11</v>
      </c>
      <c r="F697" s="2" t="s">
        <v>9354</v>
      </c>
      <c r="G697" s="22" t="s">
        <v>19415</v>
      </c>
      <c r="H697" s="24" t="s">
        <v>19538</v>
      </c>
      <c r="I697" s="22" t="s">
        <v>19309</v>
      </c>
      <c r="J697" s="22" t="s">
        <v>19573</v>
      </c>
      <c r="K697" s="22" t="s">
        <v>19574</v>
      </c>
      <c r="L697" s="22"/>
      <c r="M697" s="22"/>
      <c r="N697" s="25" t="str">
        <f>HYPERLINK("http://slimages.macys.com/is/image/MCY/20550756 ")</f>
        <v xml:space="preserve">http://slimages.macys.com/is/image/MCY/20550756 </v>
      </c>
    </row>
    <row r="698" spans="1:14" ht="24.75" x14ac:dyDescent="0.25">
      <c r="A698" s="21" t="s">
        <v>17441</v>
      </c>
      <c r="B698" s="22" t="s">
        <v>17442</v>
      </c>
      <c r="C698" s="2">
        <v>1</v>
      </c>
      <c r="D698" s="23">
        <v>5.99</v>
      </c>
      <c r="E698" s="3">
        <v>5.99</v>
      </c>
      <c r="F698" s="2" t="s">
        <v>17440</v>
      </c>
      <c r="G698" s="22" t="s">
        <v>19415</v>
      </c>
      <c r="H698" s="24" t="s">
        <v>19384</v>
      </c>
      <c r="I698" s="22" t="s">
        <v>19309</v>
      </c>
      <c r="J698" s="22" t="s">
        <v>19573</v>
      </c>
      <c r="K698" s="22" t="s">
        <v>19574</v>
      </c>
      <c r="L698" s="22"/>
      <c r="M698" s="22"/>
      <c r="N698" s="25" t="str">
        <f>HYPERLINK("http://slimages.macys.com/is/image/MCY/21209026 ")</f>
        <v xml:space="preserve">http://slimages.macys.com/is/image/MCY/21209026 </v>
      </c>
    </row>
    <row r="699" spans="1:14" ht="24.75" x14ac:dyDescent="0.25">
      <c r="A699" s="21" t="s">
        <v>9352</v>
      </c>
      <c r="B699" s="22" t="s">
        <v>9353</v>
      </c>
      <c r="C699" s="2">
        <v>1</v>
      </c>
      <c r="D699" s="23">
        <v>5.99</v>
      </c>
      <c r="E699" s="3">
        <v>5.99</v>
      </c>
      <c r="F699" s="2" t="s">
        <v>9354</v>
      </c>
      <c r="G699" s="22" t="s">
        <v>19415</v>
      </c>
      <c r="H699" s="24" t="s">
        <v>19384</v>
      </c>
      <c r="I699" s="22" t="s">
        <v>19309</v>
      </c>
      <c r="J699" s="22" t="s">
        <v>19573</v>
      </c>
      <c r="K699" s="22" t="s">
        <v>19574</v>
      </c>
      <c r="L699" s="22"/>
      <c r="M699" s="22"/>
      <c r="N699" s="25" t="str">
        <f>HYPERLINK("http://slimages.macys.com/is/image/MCY/20550756 ")</f>
        <v xml:space="preserve">http://slimages.macys.com/is/image/MCY/20550756 </v>
      </c>
    </row>
    <row r="700" spans="1:14" ht="24.75" x14ac:dyDescent="0.25">
      <c r="A700" s="21" t="s">
        <v>9355</v>
      </c>
      <c r="B700" s="22" t="s">
        <v>9356</v>
      </c>
      <c r="C700" s="2">
        <v>3</v>
      </c>
      <c r="D700" s="23">
        <v>5.99</v>
      </c>
      <c r="E700" s="3">
        <v>17.97</v>
      </c>
      <c r="F700" s="2" t="s">
        <v>9354</v>
      </c>
      <c r="G700" s="22" t="s">
        <v>19415</v>
      </c>
      <c r="H700" s="24" t="s">
        <v>19330</v>
      </c>
      <c r="I700" s="22" t="s">
        <v>19309</v>
      </c>
      <c r="J700" s="22" t="s">
        <v>19573</v>
      </c>
      <c r="K700" s="22" t="s">
        <v>19574</v>
      </c>
      <c r="L700" s="22"/>
      <c r="M700" s="22"/>
      <c r="N700" s="25" t="str">
        <f>HYPERLINK("http://slimages.macys.com/is/image/MCY/20550756 ")</f>
        <v xml:space="preserve">http://slimages.macys.com/is/image/MCY/20550756 </v>
      </c>
    </row>
    <row r="701" spans="1:14" ht="24.75" x14ac:dyDescent="0.25">
      <c r="A701" s="21" t="s">
        <v>4466</v>
      </c>
      <c r="B701" s="22" t="s">
        <v>4467</v>
      </c>
      <c r="C701" s="2">
        <v>1</v>
      </c>
      <c r="D701" s="23">
        <v>39.99</v>
      </c>
      <c r="E701" s="3">
        <v>39.99</v>
      </c>
      <c r="F701" s="2" t="s">
        <v>17319</v>
      </c>
      <c r="G701" s="22" t="s">
        <v>19630</v>
      </c>
      <c r="H701" s="24" t="s">
        <v>19330</v>
      </c>
      <c r="I701" s="22" t="s">
        <v>19309</v>
      </c>
      <c r="J701" s="22" t="s">
        <v>19385</v>
      </c>
      <c r="K701" s="22" t="s">
        <v>19487</v>
      </c>
      <c r="L701" s="22"/>
      <c r="M701" s="22"/>
      <c r="N701" s="25"/>
    </row>
    <row r="702" spans="1:14" ht="24.75" x14ac:dyDescent="0.25">
      <c r="A702" s="21" t="s">
        <v>14362</v>
      </c>
      <c r="B702" s="22" t="s">
        <v>14363</v>
      </c>
      <c r="C702" s="2">
        <v>1</v>
      </c>
      <c r="D702" s="23">
        <v>33.99</v>
      </c>
      <c r="E702" s="3">
        <v>33.99</v>
      </c>
      <c r="F702" s="2" t="s">
        <v>17592</v>
      </c>
      <c r="G702" s="22" t="s">
        <v>19422</v>
      </c>
      <c r="H702" s="24" t="s">
        <v>19384</v>
      </c>
      <c r="I702" s="22" t="s">
        <v>19309</v>
      </c>
      <c r="J702" s="22" t="s">
        <v>19385</v>
      </c>
      <c r="K702" s="22" t="s">
        <v>19386</v>
      </c>
      <c r="L702" s="22"/>
      <c r="M702" s="22"/>
      <c r="N702" s="25"/>
    </row>
    <row r="703" spans="1:14" ht="24.75" x14ac:dyDescent="0.25">
      <c r="A703" s="21" t="s">
        <v>5356</v>
      </c>
      <c r="B703" s="22" t="s">
        <v>5357</v>
      </c>
      <c r="C703" s="2">
        <v>1</v>
      </c>
      <c r="D703" s="23">
        <v>34.99</v>
      </c>
      <c r="E703" s="3">
        <v>34.99</v>
      </c>
      <c r="F703" s="2" t="s">
        <v>10208</v>
      </c>
      <c r="G703" s="22" t="s">
        <v>11254</v>
      </c>
      <c r="H703" s="24" t="s">
        <v>19384</v>
      </c>
      <c r="I703" s="22" t="s">
        <v>19309</v>
      </c>
      <c r="J703" s="22" t="s">
        <v>19385</v>
      </c>
      <c r="K703" s="22" t="s">
        <v>19487</v>
      </c>
      <c r="L703" s="22"/>
      <c r="M703" s="22"/>
      <c r="N703" s="25"/>
    </row>
    <row r="704" spans="1:14" ht="24.75" x14ac:dyDescent="0.25">
      <c r="A704" s="21" t="s">
        <v>10209</v>
      </c>
      <c r="B704" s="22" t="s">
        <v>10210</v>
      </c>
      <c r="C704" s="2">
        <v>1</v>
      </c>
      <c r="D704" s="23">
        <v>34.99</v>
      </c>
      <c r="E704" s="3">
        <v>34.99</v>
      </c>
      <c r="F704" s="2" t="s">
        <v>10208</v>
      </c>
      <c r="G704" s="22" t="s">
        <v>11254</v>
      </c>
      <c r="H704" s="24" t="s">
        <v>19416</v>
      </c>
      <c r="I704" s="22" t="s">
        <v>19309</v>
      </c>
      <c r="J704" s="22" t="s">
        <v>19385</v>
      </c>
      <c r="K704" s="22" t="s">
        <v>19487</v>
      </c>
      <c r="L704" s="22"/>
      <c r="M704" s="22"/>
      <c r="N704" s="25"/>
    </row>
    <row r="705" spans="1:14" x14ac:dyDescent="0.25">
      <c r="A705" s="21" t="s">
        <v>4468</v>
      </c>
      <c r="B705" s="22" t="s">
        <v>10779</v>
      </c>
      <c r="C705" s="2">
        <v>1</v>
      </c>
      <c r="D705" s="23">
        <v>40</v>
      </c>
      <c r="E705" s="3">
        <v>40</v>
      </c>
      <c r="F705" s="2" t="s">
        <v>10782</v>
      </c>
      <c r="G705" s="22" t="s">
        <v>19338</v>
      </c>
      <c r="H705" s="24" t="s">
        <v>19478</v>
      </c>
      <c r="I705" s="22" t="s">
        <v>19309</v>
      </c>
      <c r="J705" s="22" t="s">
        <v>17328</v>
      </c>
      <c r="K705" s="22" t="s">
        <v>17329</v>
      </c>
      <c r="L705" s="22"/>
      <c r="M705" s="22"/>
      <c r="N705" s="25"/>
    </row>
    <row r="706" spans="1:14" ht="24.75" x14ac:dyDescent="0.25">
      <c r="A706" s="21" t="s">
        <v>4469</v>
      </c>
      <c r="B706" s="22" t="s">
        <v>4470</v>
      </c>
      <c r="C706" s="2">
        <v>1</v>
      </c>
      <c r="D706" s="23">
        <v>29.99</v>
      </c>
      <c r="E706" s="3">
        <v>29.99</v>
      </c>
      <c r="F706" s="2" t="s">
        <v>4471</v>
      </c>
      <c r="G706" s="22" t="s">
        <v>19323</v>
      </c>
      <c r="H706" s="24" t="s">
        <v>19330</v>
      </c>
      <c r="I706" s="22" t="s">
        <v>19309</v>
      </c>
      <c r="J706" s="22" t="s">
        <v>19385</v>
      </c>
      <c r="K706" s="22" t="s">
        <v>19487</v>
      </c>
      <c r="L706" s="22"/>
      <c r="M706" s="22"/>
      <c r="N706" s="25"/>
    </row>
    <row r="707" spans="1:14" ht="24.75" x14ac:dyDescent="0.25">
      <c r="A707" s="21" t="s">
        <v>4472</v>
      </c>
      <c r="B707" s="22" t="s">
        <v>4473</v>
      </c>
      <c r="C707" s="2">
        <v>1</v>
      </c>
      <c r="D707" s="23">
        <v>26.23</v>
      </c>
      <c r="E707" s="3">
        <v>26.23</v>
      </c>
      <c r="F707" s="2" t="s">
        <v>4474</v>
      </c>
      <c r="G707" s="22"/>
      <c r="H707" s="24" t="s">
        <v>19361</v>
      </c>
      <c r="I707" s="22" t="s">
        <v>19309</v>
      </c>
      <c r="J707" s="22" t="s">
        <v>19602</v>
      </c>
      <c r="K707" s="22" t="s">
        <v>19603</v>
      </c>
      <c r="L707" s="22"/>
      <c r="M707" s="22"/>
      <c r="N707" s="25"/>
    </row>
    <row r="708" spans="1:14" ht="24.75" x14ac:dyDescent="0.25">
      <c r="A708" s="21" t="s">
        <v>17489</v>
      </c>
      <c r="B708" s="22" t="s">
        <v>17490</v>
      </c>
      <c r="C708" s="2">
        <v>1</v>
      </c>
      <c r="D708" s="23">
        <v>26.99</v>
      </c>
      <c r="E708" s="3">
        <v>26.99</v>
      </c>
      <c r="F708" s="2" t="s">
        <v>17488</v>
      </c>
      <c r="G708" s="22" t="s">
        <v>19357</v>
      </c>
      <c r="H708" s="24" t="s">
        <v>19324</v>
      </c>
      <c r="I708" s="22" t="s">
        <v>19309</v>
      </c>
      <c r="J708" s="22" t="s">
        <v>19385</v>
      </c>
      <c r="K708" s="22" t="s">
        <v>19487</v>
      </c>
      <c r="L708" s="22"/>
      <c r="M708" s="22"/>
      <c r="N708" s="25"/>
    </row>
    <row r="709" spans="1:14" x14ac:dyDescent="0.25">
      <c r="A709" s="21" t="s">
        <v>4475</v>
      </c>
      <c r="B709" s="22" t="s">
        <v>4476</v>
      </c>
      <c r="C709" s="2">
        <v>1</v>
      </c>
      <c r="D709" s="23">
        <v>24.65</v>
      </c>
      <c r="E709" s="3">
        <v>24.65</v>
      </c>
      <c r="F709" s="2" t="s">
        <v>10803</v>
      </c>
      <c r="G709" s="22" t="s">
        <v>18361</v>
      </c>
      <c r="H709" s="24" t="s">
        <v>19330</v>
      </c>
      <c r="I709" s="22" t="s">
        <v>19309</v>
      </c>
      <c r="J709" s="22" t="s">
        <v>19708</v>
      </c>
      <c r="K709" s="22" t="s">
        <v>19709</v>
      </c>
      <c r="L709" s="22"/>
      <c r="M709" s="22"/>
      <c r="N709" s="25"/>
    </row>
    <row r="710" spans="1:14" x14ac:dyDescent="0.25">
      <c r="A710" s="21" t="s">
        <v>4477</v>
      </c>
      <c r="B710" s="22" t="s">
        <v>4478</v>
      </c>
      <c r="C710" s="2">
        <v>1</v>
      </c>
      <c r="D710" s="23">
        <v>17.100000000000001</v>
      </c>
      <c r="E710" s="3">
        <v>17.100000000000001</v>
      </c>
      <c r="F710" s="2" t="s">
        <v>9373</v>
      </c>
      <c r="G710" s="22" t="s">
        <v>19342</v>
      </c>
      <c r="H710" s="24" t="s">
        <v>19770</v>
      </c>
      <c r="I710" s="22" t="s">
        <v>19309</v>
      </c>
      <c r="J710" s="22" t="s">
        <v>19708</v>
      </c>
      <c r="K710" s="22" t="s">
        <v>19709</v>
      </c>
      <c r="L710" s="22"/>
      <c r="M710" s="22"/>
      <c r="N710" s="25"/>
    </row>
    <row r="711" spans="1:14" ht="24.75" x14ac:dyDescent="0.25">
      <c r="A711" s="21" t="s">
        <v>13568</v>
      </c>
      <c r="B711" s="22" t="s">
        <v>13569</v>
      </c>
      <c r="C711" s="2">
        <v>1</v>
      </c>
      <c r="D711" s="23">
        <v>18.61</v>
      </c>
      <c r="E711" s="3">
        <v>18.61</v>
      </c>
      <c r="F711" s="2" t="s">
        <v>15352</v>
      </c>
      <c r="G711" s="22"/>
      <c r="H711" s="24" t="s">
        <v>19392</v>
      </c>
      <c r="I711" s="22" t="s">
        <v>19309</v>
      </c>
      <c r="J711" s="22" t="s">
        <v>19602</v>
      </c>
      <c r="K711" s="22" t="s">
        <v>20041</v>
      </c>
      <c r="L711" s="22"/>
      <c r="M711" s="22"/>
      <c r="N711" s="25"/>
    </row>
    <row r="712" spans="1:14" ht="24.75" x14ac:dyDescent="0.25">
      <c r="A712" s="21" t="s">
        <v>4479</v>
      </c>
      <c r="B712" s="22" t="s">
        <v>4480</v>
      </c>
      <c r="C712" s="2">
        <v>1</v>
      </c>
      <c r="D712" s="23">
        <v>18.22</v>
      </c>
      <c r="E712" s="3">
        <v>18.22</v>
      </c>
      <c r="F712" s="2" t="s">
        <v>4481</v>
      </c>
      <c r="G712" s="22"/>
      <c r="H712" s="24" t="s">
        <v>19478</v>
      </c>
      <c r="I712" s="22" t="s">
        <v>19309</v>
      </c>
      <c r="J712" s="22" t="s">
        <v>19602</v>
      </c>
      <c r="K712" s="22" t="s">
        <v>19603</v>
      </c>
      <c r="L712" s="22"/>
      <c r="M712" s="22"/>
      <c r="N712" s="25"/>
    </row>
    <row r="713" spans="1:14" ht="24.75" x14ac:dyDescent="0.25">
      <c r="A713" s="21" t="s">
        <v>4482</v>
      </c>
      <c r="B713" s="22" t="s">
        <v>4483</v>
      </c>
      <c r="C713" s="2">
        <v>1</v>
      </c>
      <c r="D713" s="23">
        <v>18.22</v>
      </c>
      <c r="E713" s="3">
        <v>18.22</v>
      </c>
      <c r="F713" s="2" t="s">
        <v>4484</v>
      </c>
      <c r="G713" s="22"/>
      <c r="H713" s="24" t="s">
        <v>19478</v>
      </c>
      <c r="I713" s="22" t="s">
        <v>19309</v>
      </c>
      <c r="J713" s="22" t="s">
        <v>19602</v>
      </c>
      <c r="K713" s="22" t="s">
        <v>19603</v>
      </c>
      <c r="L713" s="22"/>
      <c r="M713" s="22"/>
      <c r="N713" s="25"/>
    </row>
    <row r="714" spans="1:14" ht="24.75" x14ac:dyDescent="0.25">
      <c r="A714" s="21" t="s">
        <v>4485</v>
      </c>
      <c r="B714" s="22" t="s">
        <v>4486</v>
      </c>
      <c r="C714" s="2">
        <v>1</v>
      </c>
      <c r="D714" s="23">
        <v>26.56</v>
      </c>
      <c r="E714" s="3">
        <v>26.56</v>
      </c>
      <c r="F714" s="2" t="s">
        <v>4487</v>
      </c>
      <c r="G714" s="22" t="s">
        <v>18073</v>
      </c>
      <c r="H714" s="24" t="s">
        <v>19364</v>
      </c>
      <c r="I714" s="22" t="s">
        <v>19309</v>
      </c>
      <c r="J714" s="22" t="s">
        <v>19595</v>
      </c>
      <c r="K714" s="22" t="s">
        <v>19423</v>
      </c>
      <c r="L714" s="22"/>
      <c r="M714" s="22"/>
      <c r="N714" s="25"/>
    </row>
    <row r="715" spans="1:14" ht="24.75" x14ac:dyDescent="0.25">
      <c r="A715" s="21" t="s">
        <v>4488</v>
      </c>
      <c r="B715" s="22" t="s">
        <v>4486</v>
      </c>
      <c r="C715" s="2">
        <v>1</v>
      </c>
      <c r="D715" s="23">
        <v>26.56</v>
      </c>
      <c r="E715" s="3">
        <v>26.56</v>
      </c>
      <c r="F715" s="2" t="s">
        <v>4487</v>
      </c>
      <c r="G715" s="22" t="s">
        <v>18073</v>
      </c>
      <c r="H715" s="24" t="s">
        <v>19797</v>
      </c>
      <c r="I715" s="22" t="s">
        <v>19309</v>
      </c>
      <c r="J715" s="22" t="s">
        <v>19595</v>
      </c>
      <c r="K715" s="22" t="s">
        <v>19423</v>
      </c>
      <c r="L715" s="22"/>
      <c r="M715" s="22"/>
      <c r="N715" s="25"/>
    </row>
    <row r="716" spans="1:14" ht="24.75" x14ac:dyDescent="0.25">
      <c r="A716" s="21" t="s">
        <v>4489</v>
      </c>
      <c r="B716" s="22" t="s">
        <v>4490</v>
      </c>
      <c r="C716" s="2">
        <v>1</v>
      </c>
      <c r="D716" s="23">
        <v>23</v>
      </c>
      <c r="E716" s="3">
        <v>23</v>
      </c>
      <c r="F716" s="2" t="s">
        <v>20031</v>
      </c>
      <c r="G716" s="22" t="s">
        <v>18821</v>
      </c>
      <c r="H716" s="24" t="s">
        <v>19364</v>
      </c>
      <c r="I716" s="22" t="s">
        <v>19309</v>
      </c>
      <c r="J716" s="22" t="s">
        <v>19595</v>
      </c>
      <c r="K716" s="22" t="s">
        <v>19423</v>
      </c>
      <c r="L716" s="22"/>
      <c r="M716" s="22"/>
      <c r="N716" s="25"/>
    </row>
    <row r="717" spans="1:14" ht="24.75" x14ac:dyDescent="0.25">
      <c r="A717" s="21" t="s">
        <v>8634</v>
      </c>
      <c r="B717" s="22" t="s">
        <v>8635</v>
      </c>
      <c r="C717" s="2">
        <v>1</v>
      </c>
      <c r="D717" s="23">
        <v>13.88</v>
      </c>
      <c r="E717" s="3">
        <v>13.88</v>
      </c>
      <c r="F717" s="2" t="s">
        <v>11210</v>
      </c>
      <c r="G717" s="22" t="s">
        <v>19415</v>
      </c>
      <c r="H717" s="24" t="s">
        <v>19339</v>
      </c>
      <c r="I717" s="22" t="s">
        <v>19309</v>
      </c>
      <c r="J717" s="22" t="s">
        <v>19565</v>
      </c>
      <c r="K717" s="22" t="s">
        <v>18548</v>
      </c>
      <c r="L717" s="22"/>
      <c r="M717" s="22"/>
      <c r="N717" s="25"/>
    </row>
    <row r="718" spans="1:14" x14ac:dyDescent="0.25">
      <c r="A718" s="21" t="s">
        <v>10231</v>
      </c>
      <c r="B718" s="22" t="s">
        <v>10232</v>
      </c>
      <c r="C718" s="2">
        <v>2</v>
      </c>
      <c r="D718" s="23">
        <v>15.83</v>
      </c>
      <c r="E718" s="3">
        <v>31.66</v>
      </c>
      <c r="F718" s="2" t="s">
        <v>18272</v>
      </c>
      <c r="G718" s="22" t="s">
        <v>19351</v>
      </c>
      <c r="H718" s="24" t="s">
        <v>20159</v>
      </c>
      <c r="I718" s="22" t="s">
        <v>19309</v>
      </c>
      <c r="J718" s="22" t="s">
        <v>19708</v>
      </c>
      <c r="K718" s="22" t="s">
        <v>19709</v>
      </c>
      <c r="L718" s="22"/>
      <c r="M718" s="22"/>
      <c r="N718" s="25"/>
    </row>
    <row r="719" spans="1:14" x14ac:dyDescent="0.25">
      <c r="A719" s="21" t="s">
        <v>4491</v>
      </c>
      <c r="B719" s="22" t="s">
        <v>4492</v>
      </c>
      <c r="C719" s="2">
        <v>1</v>
      </c>
      <c r="D719" s="23">
        <v>15.13</v>
      </c>
      <c r="E719" s="3">
        <v>15.13</v>
      </c>
      <c r="F719" s="2" t="s">
        <v>13191</v>
      </c>
      <c r="G719" s="22" t="s">
        <v>19357</v>
      </c>
      <c r="H719" s="24" t="s">
        <v>19324</v>
      </c>
      <c r="I719" s="22" t="s">
        <v>19309</v>
      </c>
      <c r="J719" s="22" t="s">
        <v>19708</v>
      </c>
      <c r="K719" s="22" t="s">
        <v>19709</v>
      </c>
      <c r="L719" s="22"/>
      <c r="M719" s="22"/>
      <c r="N719" s="25"/>
    </row>
    <row r="720" spans="1:14" x14ac:dyDescent="0.25">
      <c r="A720" s="21" t="s">
        <v>4493</v>
      </c>
      <c r="B720" s="22" t="s">
        <v>4494</v>
      </c>
      <c r="C720" s="2">
        <v>1</v>
      </c>
      <c r="D720" s="23">
        <v>15.13</v>
      </c>
      <c r="E720" s="3">
        <v>15.13</v>
      </c>
      <c r="F720" s="2" t="s">
        <v>4495</v>
      </c>
      <c r="G720" s="22" t="s">
        <v>19879</v>
      </c>
      <c r="H720" s="24" t="s">
        <v>19367</v>
      </c>
      <c r="I720" s="22" t="s">
        <v>19309</v>
      </c>
      <c r="J720" s="22" t="s">
        <v>19708</v>
      </c>
      <c r="K720" s="22" t="s">
        <v>19709</v>
      </c>
      <c r="L720" s="22"/>
      <c r="M720" s="22"/>
      <c r="N720" s="25"/>
    </row>
    <row r="721" spans="1:14" x14ac:dyDescent="0.25">
      <c r="A721" s="21" t="s">
        <v>4496</v>
      </c>
      <c r="B721" s="22" t="s">
        <v>4497</v>
      </c>
      <c r="C721" s="2">
        <v>1</v>
      </c>
      <c r="D721" s="23">
        <v>15.04</v>
      </c>
      <c r="E721" s="3">
        <v>15.04</v>
      </c>
      <c r="F721" s="2" t="s">
        <v>4498</v>
      </c>
      <c r="G721" s="22" t="s">
        <v>19323</v>
      </c>
      <c r="H721" s="24" t="s">
        <v>19324</v>
      </c>
      <c r="I721" s="22" t="s">
        <v>19309</v>
      </c>
      <c r="J721" s="22" t="s">
        <v>19708</v>
      </c>
      <c r="K721" s="22" t="s">
        <v>19709</v>
      </c>
      <c r="L721" s="22"/>
      <c r="M721" s="22"/>
      <c r="N721" s="25"/>
    </row>
    <row r="722" spans="1:14" x14ac:dyDescent="0.25">
      <c r="A722" s="21" t="s">
        <v>4499</v>
      </c>
      <c r="B722" s="22" t="s">
        <v>4500</v>
      </c>
      <c r="C722" s="2">
        <v>1</v>
      </c>
      <c r="D722" s="23">
        <v>15.13</v>
      </c>
      <c r="E722" s="3">
        <v>15.13</v>
      </c>
      <c r="F722" s="2" t="s">
        <v>13200</v>
      </c>
      <c r="G722" s="22" t="s">
        <v>19594</v>
      </c>
      <c r="H722" s="24" t="s">
        <v>19367</v>
      </c>
      <c r="I722" s="22" t="s">
        <v>19309</v>
      </c>
      <c r="J722" s="22" t="s">
        <v>19708</v>
      </c>
      <c r="K722" s="22" t="s">
        <v>19709</v>
      </c>
      <c r="L722" s="22"/>
      <c r="M722" s="22"/>
      <c r="N722" s="25"/>
    </row>
    <row r="723" spans="1:14" x14ac:dyDescent="0.25">
      <c r="A723" s="21" t="s">
        <v>4501</v>
      </c>
      <c r="B723" s="22" t="s">
        <v>4502</v>
      </c>
      <c r="C723" s="2">
        <v>1</v>
      </c>
      <c r="D723" s="23">
        <v>15.13</v>
      </c>
      <c r="E723" s="3">
        <v>15.13</v>
      </c>
      <c r="F723" s="2" t="s">
        <v>13191</v>
      </c>
      <c r="G723" s="22" t="s">
        <v>19357</v>
      </c>
      <c r="H723" s="24" t="s">
        <v>19770</v>
      </c>
      <c r="I723" s="22" t="s">
        <v>19309</v>
      </c>
      <c r="J723" s="22" t="s">
        <v>19708</v>
      </c>
      <c r="K723" s="22" t="s">
        <v>19709</v>
      </c>
      <c r="L723" s="22"/>
      <c r="M723" s="22"/>
      <c r="N723" s="25"/>
    </row>
    <row r="724" spans="1:14" ht="24.75" x14ac:dyDescent="0.25">
      <c r="A724" s="21" t="s">
        <v>4503</v>
      </c>
      <c r="B724" s="22" t="s">
        <v>4504</v>
      </c>
      <c r="C724" s="2">
        <v>1</v>
      </c>
      <c r="D724" s="23">
        <v>15.99</v>
      </c>
      <c r="E724" s="3">
        <v>15.99</v>
      </c>
      <c r="F724" s="2" t="s">
        <v>15049</v>
      </c>
      <c r="G724" s="22" t="s">
        <v>19342</v>
      </c>
      <c r="H724" s="24" t="s">
        <v>19384</v>
      </c>
      <c r="I724" s="22" t="s">
        <v>19309</v>
      </c>
      <c r="J724" s="22" t="s">
        <v>19385</v>
      </c>
      <c r="K724" s="22" t="s">
        <v>19614</v>
      </c>
      <c r="L724" s="22"/>
      <c r="M724" s="22"/>
      <c r="N724" s="25"/>
    </row>
    <row r="725" spans="1:14" ht="24.75" x14ac:dyDescent="0.25">
      <c r="A725" s="21" t="s">
        <v>4505</v>
      </c>
      <c r="B725" s="22" t="s">
        <v>13587</v>
      </c>
      <c r="C725" s="2">
        <v>1</v>
      </c>
      <c r="D725" s="23">
        <v>8.99</v>
      </c>
      <c r="E725" s="3">
        <v>8.99</v>
      </c>
      <c r="F725" s="2" t="s">
        <v>13588</v>
      </c>
      <c r="G725" s="22" t="s">
        <v>15203</v>
      </c>
      <c r="H725" s="24" t="s">
        <v>19542</v>
      </c>
      <c r="I725" s="22" t="s">
        <v>19309</v>
      </c>
      <c r="J725" s="22" t="s">
        <v>19447</v>
      </c>
      <c r="K725" s="22" t="s">
        <v>20146</v>
      </c>
      <c r="L725" s="22"/>
      <c r="M725" s="22"/>
      <c r="N725" s="25"/>
    </row>
    <row r="726" spans="1:14" ht="24.75" x14ac:dyDescent="0.25">
      <c r="A726" s="21" t="s">
        <v>4506</v>
      </c>
      <c r="B726" s="22" t="s">
        <v>4507</v>
      </c>
      <c r="C726" s="2">
        <v>1</v>
      </c>
      <c r="D726" s="23">
        <v>11.99</v>
      </c>
      <c r="E726" s="3">
        <v>11.99</v>
      </c>
      <c r="F726" s="2" t="s">
        <v>4508</v>
      </c>
      <c r="G726" s="22" t="s">
        <v>19357</v>
      </c>
      <c r="H726" s="24" t="s">
        <v>19352</v>
      </c>
      <c r="I726" s="22" t="s">
        <v>19309</v>
      </c>
      <c r="J726" s="22" t="s">
        <v>19454</v>
      </c>
      <c r="K726" s="22" t="s">
        <v>18654</v>
      </c>
      <c r="L726" s="22"/>
      <c r="M726" s="22"/>
      <c r="N726" s="25"/>
    </row>
    <row r="727" spans="1:14" x14ac:dyDescent="0.25">
      <c r="A727" s="21" t="s">
        <v>4509</v>
      </c>
      <c r="B727" s="22" t="s">
        <v>4510</v>
      </c>
      <c r="C727" s="2">
        <v>1</v>
      </c>
      <c r="D727" s="23">
        <v>16</v>
      </c>
      <c r="E727" s="3">
        <v>16</v>
      </c>
      <c r="F727" s="2" t="s">
        <v>4511</v>
      </c>
      <c r="G727" s="22" t="s">
        <v>19814</v>
      </c>
      <c r="H727" s="24" t="s">
        <v>20152</v>
      </c>
      <c r="I727" s="22" t="s">
        <v>19309</v>
      </c>
      <c r="J727" s="22" t="s">
        <v>19708</v>
      </c>
      <c r="K727" s="22" t="s">
        <v>19709</v>
      </c>
      <c r="L727" s="22"/>
      <c r="M727" s="22"/>
      <c r="N727" s="25"/>
    </row>
  </sheetData>
  <phoneticPr fontId="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7"/>
  <sheetViews>
    <sheetView workbookViewId="0">
      <selection activeCell="D15" sqref="D15"/>
    </sheetView>
  </sheetViews>
  <sheetFormatPr defaultRowHeight="15" x14ac:dyDescent="0.25"/>
  <cols>
    <col min="1" max="1" width="14.140625" bestFit="1" customWidth="1"/>
    <col min="2" max="2" width="53.140625" customWidth="1"/>
    <col min="3" max="3" width="12.42578125" bestFit="1" customWidth="1"/>
    <col min="4" max="4" width="15" customWidth="1"/>
    <col min="5" max="5" width="8.5703125" bestFit="1" customWidth="1"/>
    <col min="6" max="6" width="16.85546875" bestFit="1" customWidth="1"/>
    <col min="7" max="7" width="11.42578125" customWidth="1"/>
    <col min="8" max="8" width="10" bestFit="1" customWidth="1"/>
    <col min="9" max="9" width="8.140625" bestFit="1" customWidth="1"/>
    <col min="10" max="10" width="12.140625" customWidth="1"/>
    <col min="11" max="11" width="36.5703125" bestFit="1" customWidth="1"/>
    <col min="12" max="12" width="17.5703125" bestFit="1" customWidth="1"/>
    <col min="13" max="13" width="20.5703125" bestFit="1" customWidth="1"/>
    <col min="14" max="14" width="48.140625" bestFit="1" customWidth="1"/>
  </cols>
  <sheetData>
    <row r="1" spans="1:14" ht="36" x14ac:dyDescent="0.25">
      <c r="A1" s="1" t="s">
        <v>19291</v>
      </c>
      <c r="B1" s="1" t="s">
        <v>19292</v>
      </c>
      <c r="C1" s="1" t="s">
        <v>19293</v>
      </c>
      <c r="D1" s="1" t="s">
        <v>19284</v>
      </c>
      <c r="E1" s="1" t="s">
        <v>19294</v>
      </c>
      <c r="F1" s="1" t="s">
        <v>19295</v>
      </c>
      <c r="G1" s="1" t="s">
        <v>19296</v>
      </c>
      <c r="H1" s="1" t="s">
        <v>19297</v>
      </c>
      <c r="I1" s="1" t="s">
        <v>19298</v>
      </c>
      <c r="J1" s="1" t="s">
        <v>19299</v>
      </c>
      <c r="K1" s="1" t="s">
        <v>19300</v>
      </c>
      <c r="L1" s="1" t="s">
        <v>19301</v>
      </c>
      <c r="M1" s="1" t="s">
        <v>19302</v>
      </c>
      <c r="N1" s="1" t="s">
        <v>19303</v>
      </c>
    </row>
    <row r="2" spans="1:14" x14ac:dyDescent="0.25">
      <c r="A2" s="21" t="s">
        <v>19304</v>
      </c>
      <c r="B2" s="22" t="s">
        <v>19305</v>
      </c>
      <c r="C2" s="2">
        <v>1</v>
      </c>
      <c r="D2" s="23">
        <v>58.99</v>
      </c>
      <c r="E2" s="3">
        <v>58.99</v>
      </c>
      <c r="F2" s="2" t="s">
        <v>19306</v>
      </c>
      <c r="G2" s="22" t="s">
        <v>19307</v>
      </c>
      <c r="H2" s="24" t="s">
        <v>19308</v>
      </c>
      <c r="I2" s="22" t="s">
        <v>19309</v>
      </c>
      <c r="J2" s="22" t="s">
        <v>19310</v>
      </c>
      <c r="K2" s="22" t="s">
        <v>19311</v>
      </c>
      <c r="L2" s="22"/>
      <c r="M2" s="22"/>
      <c r="N2" s="25" t="str">
        <f>HYPERLINK("http://slimages.macys.com/is/image/MCY/18618521 ")</f>
        <v xml:space="preserve">http://slimages.macys.com/is/image/MCY/18618521 </v>
      </c>
    </row>
    <row r="3" spans="1:14" ht="24.75" x14ac:dyDescent="0.25">
      <c r="A3" s="21" t="s">
        <v>19312</v>
      </c>
      <c r="B3" s="22" t="s">
        <v>19313</v>
      </c>
      <c r="C3" s="2">
        <v>1</v>
      </c>
      <c r="D3" s="23">
        <v>79.989999999999995</v>
      </c>
      <c r="E3" s="3">
        <v>79.989999999999995</v>
      </c>
      <c r="F3" s="2" t="s">
        <v>19314</v>
      </c>
      <c r="G3" s="22" t="s">
        <v>19315</v>
      </c>
      <c r="H3" s="24" t="s">
        <v>19316</v>
      </c>
      <c r="I3" s="22" t="s">
        <v>19309</v>
      </c>
      <c r="J3" s="22" t="s">
        <v>19317</v>
      </c>
      <c r="K3" s="22" t="s">
        <v>19318</v>
      </c>
      <c r="L3" s="22" t="s">
        <v>19319</v>
      </c>
      <c r="M3" s="22" t="s">
        <v>19320</v>
      </c>
      <c r="N3" s="25" t="str">
        <f>HYPERLINK("http://slimages.macys.com/is/image/MCY/11252408 ")</f>
        <v xml:space="preserve">http://slimages.macys.com/is/image/MCY/11252408 </v>
      </c>
    </row>
    <row r="4" spans="1:14" ht="36.75" x14ac:dyDescent="0.25">
      <c r="A4" s="21" t="s">
        <v>19321</v>
      </c>
      <c r="B4" s="22" t="s">
        <v>19322</v>
      </c>
      <c r="C4" s="2">
        <v>1</v>
      </c>
      <c r="D4" s="23">
        <v>65</v>
      </c>
      <c r="E4" s="3">
        <v>65</v>
      </c>
      <c r="F4" s="2">
        <v>310874033001</v>
      </c>
      <c r="G4" s="22" t="s">
        <v>19323</v>
      </c>
      <c r="H4" s="24" t="s">
        <v>19324</v>
      </c>
      <c r="I4" s="22" t="s">
        <v>19309</v>
      </c>
      <c r="J4" s="22" t="s">
        <v>19325</v>
      </c>
      <c r="K4" s="22" t="s">
        <v>19326</v>
      </c>
      <c r="L4" s="22" t="s">
        <v>19319</v>
      </c>
      <c r="M4" s="22" t="s">
        <v>19327</v>
      </c>
      <c r="N4" s="25" t="str">
        <f>HYPERLINK("http://images.bloomingdales.com/is/image/BLM/12239490 ")</f>
        <v xml:space="preserve">http://images.bloomingdales.com/is/image/BLM/12239490 </v>
      </c>
    </row>
    <row r="5" spans="1:14" ht="24.75" x14ac:dyDescent="0.25">
      <c r="A5" s="21" t="s">
        <v>19328</v>
      </c>
      <c r="B5" s="22" t="s">
        <v>19329</v>
      </c>
      <c r="C5" s="2">
        <v>1</v>
      </c>
      <c r="D5" s="23">
        <v>65</v>
      </c>
      <c r="E5" s="3">
        <v>65</v>
      </c>
      <c r="F5" s="2">
        <v>310874033001</v>
      </c>
      <c r="G5" s="22" t="s">
        <v>19323</v>
      </c>
      <c r="H5" s="24" t="s">
        <v>19330</v>
      </c>
      <c r="I5" s="22" t="s">
        <v>19309</v>
      </c>
      <c r="J5" s="22" t="s">
        <v>19325</v>
      </c>
      <c r="K5" s="22" t="s">
        <v>19326</v>
      </c>
      <c r="L5" s="22"/>
      <c r="M5" s="22"/>
      <c r="N5" s="25" t="str">
        <f>HYPERLINK("http://slimages.macys.com/is/image/MCY/22118876 ")</f>
        <v xml:space="preserve">http://slimages.macys.com/is/image/MCY/22118876 </v>
      </c>
    </row>
    <row r="6" spans="1:14" ht="24.75" x14ac:dyDescent="0.25">
      <c r="A6" s="21" t="s">
        <v>19331</v>
      </c>
      <c r="B6" s="22" t="s">
        <v>19332</v>
      </c>
      <c r="C6" s="2">
        <v>1</v>
      </c>
      <c r="D6" s="23">
        <v>59.5</v>
      </c>
      <c r="E6" s="3">
        <v>59.5</v>
      </c>
      <c r="F6" s="2">
        <v>321855041003</v>
      </c>
      <c r="G6" s="22" t="s">
        <v>19333</v>
      </c>
      <c r="H6" s="24" t="s">
        <v>19334</v>
      </c>
      <c r="I6" s="22" t="s">
        <v>19309</v>
      </c>
      <c r="J6" s="22" t="s">
        <v>19335</v>
      </c>
      <c r="K6" s="22" t="s">
        <v>19326</v>
      </c>
      <c r="L6" s="22"/>
      <c r="M6" s="22"/>
      <c r="N6" s="25" t="str">
        <f>HYPERLINK("http://slimages.macys.com/is/image/MCY/20141718 ")</f>
        <v xml:space="preserve">http://slimages.macys.com/is/image/MCY/20141718 </v>
      </c>
    </row>
    <row r="7" spans="1:14" ht="24.75" x14ac:dyDescent="0.25">
      <c r="A7" s="21" t="s">
        <v>19336</v>
      </c>
      <c r="B7" s="22" t="s">
        <v>19337</v>
      </c>
      <c r="C7" s="2">
        <v>1</v>
      </c>
      <c r="D7" s="23">
        <v>58.99</v>
      </c>
      <c r="E7" s="3">
        <v>58.99</v>
      </c>
      <c r="F7" s="2" t="s">
        <v>19306</v>
      </c>
      <c r="G7" s="22" t="s">
        <v>19338</v>
      </c>
      <c r="H7" s="24" t="s">
        <v>19339</v>
      </c>
      <c r="I7" s="22" t="s">
        <v>19309</v>
      </c>
      <c r="J7" s="22" t="s">
        <v>19310</v>
      </c>
      <c r="K7" s="22" t="s">
        <v>19311</v>
      </c>
      <c r="L7" s="22"/>
      <c r="M7" s="22"/>
      <c r="N7" s="25" t="str">
        <f>HYPERLINK("http://slimages.macys.com/is/image/MCY/18618521 ")</f>
        <v xml:space="preserve">http://slimages.macys.com/is/image/MCY/18618521 </v>
      </c>
    </row>
    <row r="8" spans="1:14" ht="24.75" x14ac:dyDescent="0.25">
      <c r="A8" s="21" t="s">
        <v>19340</v>
      </c>
      <c r="B8" s="22" t="s">
        <v>19341</v>
      </c>
      <c r="C8" s="2">
        <v>2</v>
      </c>
      <c r="D8" s="23">
        <v>49.5</v>
      </c>
      <c r="E8" s="3">
        <v>99</v>
      </c>
      <c r="F8" s="2">
        <v>323870759001</v>
      </c>
      <c r="G8" s="22" t="s">
        <v>19342</v>
      </c>
      <c r="H8" s="24" t="s">
        <v>19308</v>
      </c>
      <c r="I8" s="22" t="s">
        <v>19309</v>
      </c>
      <c r="J8" s="22" t="s">
        <v>19335</v>
      </c>
      <c r="K8" s="22" t="s">
        <v>19326</v>
      </c>
      <c r="L8" s="22"/>
      <c r="M8" s="22"/>
      <c r="N8" s="25" t="str">
        <f>HYPERLINK("http://slimages.macys.com/is/image/MCY/21990658 ")</f>
        <v xml:space="preserve">http://slimages.macys.com/is/image/MCY/21990658 </v>
      </c>
    </row>
    <row r="9" spans="1:14" ht="24.75" x14ac:dyDescent="0.25">
      <c r="A9" s="21" t="s">
        <v>19343</v>
      </c>
      <c r="B9" s="22" t="s">
        <v>19344</v>
      </c>
      <c r="C9" s="2">
        <v>1</v>
      </c>
      <c r="D9" s="23">
        <v>45</v>
      </c>
      <c r="E9" s="3">
        <v>45</v>
      </c>
      <c r="F9" s="2">
        <v>321844627002</v>
      </c>
      <c r="G9" s="22" t="s">
        <v>19333</v>
      </c>
      <c r="H9" s="24" t="s">
        <v>19345</v>
      </c>
      <c r="I9" s="22" t="s">
        <v>19309</v>
      </c>
      <c r="J9" s="22" t="s">
        <v>19335</v>
      </c>
      <c r="K9" s="22" t="s">
        <v>19326</v>
      </c>
      <c r="L9" s="22"/>
      <c r="M9" s="22"/>
      <c r="N9" s="25" t="str">
        <f>HYPERLINK("http://slimages.macys.com/is/image/MCY/21850263 ")</f>
        <v xml:space="preserve">http://slimages.macys.com/is/image/MCY/21850263 </v>
      </c>
    </row>
    <row r="10" spans="1:14" ht="24.75" x14ac:dyDescent="0.25">
      <c r="A10" s="21" t="s">
        <v>19346</v>
      </c>
      <c r="B10" s="22" t="s">
        <v>19347</v>
      </c>
      <c r="C10" s="2">
        <v>1</v>
      </c>
      <c r="D10" s="23">
        <v>45</v>
      </c>
      <c r="E10" s="3">
        <v>45</v>
      </c>
      <c r="F10" s="2">
        <v>321870933001</v>
      </c>
      <c r="G10" s="22" t="s">
        <v>19338</v>
      </c>
      <c r="H10" s="24" t="s">
        <v>19345</v>
      </c>
      <c r="I10" s="22" t="s">
        <v>19309</v>
      </c>
      <c r="J10" s="22" t="s">
        <v>19335</v>
      </c>
      <c r="K10" s="22" t="s">
        <v>19326</v>
      </c>
      <c r="L10" s="22"/>
      <c r="M10" s="22"/>
      <c r="N10" s="25" t="str">
        <f>HYPERLINK("http://slimages.macys.com/is/image/MCY/21850336 ")</f>
        <v xml:space="preserve">http://slimages.macys.com/is/image/MCY/21850336 </v>
      </c>
    </row>
    <row r="11" spans="1:14" ht="24.75" x14ac:dyDescent="0.25">
      <c r="A11" s="21" t="s">
        <v>19348</v>
      </c>
      <c r="B11" s="22" t="s">
        <v>19349</v>
      </c>
      <c r="C11" s="2">
        <v>1</v>
      </c>
      <c r="D11" s="23">
        <v>24.99</v>
      </c>
      <c r="E11" s="3">
        <v>24.99</v>
      </c>
      <c r="F11" s="2" t="s">
        <v>19350</v>
      </c>
      <c r="G11" s="22" t="s">
        <v>19351</v>
      </c>
      <c r="H11" s="24" t="s">
        <v>19352</v>
      </c>
      <c r="I11" s="22" t="s">
        <v>19309</v>
      </c>
      <c r="J11" s="22" t="s">
        <v>19353</v>
      </c>
      <c r="K11" s="22" t="s">
        <v>19354</v>
      </c>
      <c r="L11" s="22"/>
      <c r="M11" s="22"/>
      <c r="N11" s="25" t="str">
        <f>HYPERLINK("http://slimages.macys.com/is/image/MCY/22400869 ")</f>
        <v xml:space="preserve">http://slimages.macys.com/is/image/MCY/22400869 </v>
      </c>
    </row>
    <row r="12" spans="1:14" ht="24.75" x14ac:dyDescent="0.25">
      <c r="A12" s="21" t="s">
        <v>19355</v>
      </c>
      <c r="B12" s="22" t="s">
        <v>19356</v>
      </c>
      <c r="C12" s="2">
        <v>1</v>
      </c>
      <c r="D12" s="23">
        <v>39.5</v>
      </c>
      <c r="E12" s="3">
        <v>39.5</v>
      </c>
      <c r="F12" s="2">
        <v>323873970001</v>
      </c>
      <c r="G12" s="22" t="s">
        <v>19357</v>
      </c>
      <c r="H12" s="24" t="s">
        <v>19308</v>
      </c>
      <c r="I12" s="22" t="s">
        <v>19309</v>
      </c>
      <c r="J12" s="22" t="s">
        <v>19335</v>
      </c>
      <c r="K12" s="22" t="s">
        <v>19326</v>
      </c>
      <c r="L12" s="22" t="s">
        <v>19319</v>
      </c>
      <c r="M12" s="22" t="s">
        <v>19358</v>
      </c>
      <c r="N12" s="25" t="str">
        <f>HYPERLINK("http://images.bloomingdales.com/is/image/BLM/12289196 ")</f>
        <v xml:space="preserve">http://images.bloomingdales.com/is/image/BLM/12289196 </v>
      </c>
    </row>
    <row r="13" spans="1:14" ht="24.75" x14ac:dyDescent="0.25">
      <c r="A13" s="21" t="s">
        <v>19359</v>
      </c>
      <c r="B13" s="22" t="s">
        <v>19360</v>
      </c>
      <c r="C13" s="2">
        <v>1</v>
      </c>
      <c r="D13" s="23">
        <v>39.5</v>
      </c>
      <c r="E13" s="3">
        <v>39.5</v>
      </c>
      <c r="F13" s="2">
        <v>322866776015</v>
      </c>
      <c r="G13" s="22" t="s">
        <v>19351</v>
      </c>
      <c r="H13" s="24" t="s">
        <v>19361</v>
      </c>
      <c r="I13" s="22" t="s">
        <v>19309</v>
      </c>
      <c r="J13" s="22" t="s">
        <v>19335</v>
      </c>
      <c r="K13" s="22" t="s">
        <v>19326</v>
      </c>
      <c r="L13" s="22"/>
      <c r="M13" s="22"/>
      <c r="N13" s="25" t="str">
        <f>HYPERLINK("http://slimages.macys.com/is/image/MCY/22268722 ")</f>
        <v xml:space="preserve">http://slimages.macys.com/is/image/MCY/22268722 </v>
      </c>
    </row>
    <row r="14" spans="1:14" ht="24.75" x14ac:dyDescent="0.25">
      <c r="A14" s="21" t="s">
        <v>19362</v>
      </c>
      <c r="B14" s="22" t="s">
        <v>19363</v>
      </c>
      <c r="C14" s="2">
        <v>1</v>
      </c>
      <c r="D14" s="23">
        <v>39.5</v>
      </c>
      <c r="E14" s="3">
        <v>39.5</v>
      </c>
      <c r="F14" s="2">
        <v>323873970001</v>
      </c>
      <c r="G14" s="22" t="s">
        <v>19357</v>
      </c>
      <c r="H14" s="24" t="s">
        <v>19364</v>
      </c>
      <c r="I14" s="22" t="s">
        <v>19309</v>
      </c>
      <c r="J14" s="22" t="s">
        <v>19335</v>
      </c>
      <c r="K14" s="22" t="s">
        <v>19326</v>
      </c>
      <c r="L14" s="22"/>
      <c r="M14" s="22"/>
      <c r="N14" s="25" t="str">
        <f>HYPERLINK("http://slimages.macys.com/is/image/MCY/21850709 ")</f>
        <v xml:space="preserve">http://slimages.macys.com/is/image/MCY/21850709 </v>
      </c>
    </row>
    <row r="15" spans="1:14" ht="24.75" x14ac:dyDescent="0.25">
      <c r="A15" s="21" t="s">
        <v>19365</v>
      </c>
      <c r="B15" s="22" t="s">
        <v>19366</v>
      </c>
      <c r="C15" s="2">
        <v>1</v>
      </c>
      <c r="D15" s="23">
        <v>39.5</v>
      </c>
      <c r="E15" s="3">
        <v>39.5</v>
      </c>
      <c r="F15" s="2">
        <v>310873356001</v>
      </c>
      <c r="G15" s="22" t="s">
        <v>19323</v>
      </c>
      <c r="H15" s="24" t="s">
        <v>19367</v>
      </c>
      <c r="I15" s="22" t="s">
        <v>19309</v>
      </c>
      <c r="J15" s="22" t="s">
        <v>19325</v>
      </c>
      <c r="K15" s="22" t="s">
        <v>19326</v>
      </c>
      <c r="L15" s="22"/>
      <c r="M15" s="22"/>
      <c r="N15" s="25" t="str">
        <f>HYPERLINK("http://slimages.macys.com/is/image/MCY/22118864 ")</f>
        <v xml:space="preserve">http://slimages.macys.com/is/image/MCY/22118864 </v>
      </c>
    </row>
    <row r="16" spans="1:14" ht="24.75" x14ac:dyDescent="0.25">
      <c r="A16" s="21" t="s">
        <v>19368</v>
      </c>
      <c r="B16" s="22" t="s">
        <v>19369</v>
      </c>
      <c r="C16" s="2">
        <v>1</v>
      </c>
      <c r="D16" s="23">
        <v>39.5</v>
      </c>
      <c r="E16" s="3">
        <v>39.5</v>
      </c>
      <c r="F16" s="2">
        <v>323873970001</v>
      </c>
      <c r="G16" s="22" t="s">
        <v>19357</v>
      </c>
      <c r="H16" s="24" t="s">
        <v>19339</v>
      </c>
      <c r="I16" s="22" t="s">
        <v>19309</v>
      </c>
      <c r="J16" s="22" t="s">
        <v>19335</v>
      </c>
      <c r="K16" s="22" t="s">
        <v>19326</v>
      </c>
      <c r="L16" s="22"/>
      <c r="M16" s="22"/>
      <c r="N16" s="25" t="str">
        <f>HYPERLINK("http://slimages.macys.com/is/image/MCY/21850709 ")</f>
        <v xml:space="preserve">http://slimages.macys.com/is/image/MCY/21850709 </v>
      </c>
    </row>
    <row r="17" spans="1:14" ht="24.75" x14ac:dyDescent="0.25">
      <c r="A17" s="21" t="s">
        <v>19370</v>
      </c>
      <c r="B17" s="22" t="s">
        <v>19371</v>
      </c>
      <c r="C17" s="2">
        <v>1</v>
      </c>
      <c r="D17" s="23">
        <v>39.5</v>
      </c>
      <c r="E17" s="3">
        <v>39.5</v>
      </c>
      <c r="F17" s="2">
        <v>323867158046</v>
      </c>
      <c r="G17" s="22" t="s">
        <v>19333</v>
      </c>
      <c r="H17" s="24" t="s">
        <v>19364</v>
      </c>
      <c r="I17" s="22" t="s">
        <v>19309</v>
      </c>
      <c r="J17" s="22" t="s">
        <v>19335</v>
      </c>
      <c r="K17" s="22" t="s">
        <v>19326</v>
      </c>
      <c r="L17" s="22"/>
      <c r="M17" s="22"/>
      <c r="N17" s="25" t="str">
        <f>HYPERLINK("http://slimages.macys.com/is/image/MCY/21997275 ")</f>
        <v xml:space="preserve">http://slimages.macys.com/is/image/MCY/21997275 </v>
      </c>
    </row>
    <row r="18" spans="1:14" ht="24.75" x14ac:dyDescent="0.25">
      <c r="A18" s="21" t="s">
        <v>19372</v>
      </c>
      <c r="B18" s="22" t="s">
        <v>19373</v>
      </c>
      <c r="C18" s="2">
        <v>1</v>
      </c>
      <c r="D18" s="23">
        <v>39.5</v>
      </c>
      <c r="E18" s="3">
        <v>39.5</v>
      </c>
      <c r="F18" s="2">
        <v>321866776015</v>
      </c>
      <c r="G18" s="22" t="s">
        <v>19351</v>
      </c>
      <c r="H18" s="24" t="s">
        <v>19345</v>
      </c>
      <c r="I18" s="22" t="s">
        <v>19309</v>
      </c>
      <c r="J18" s="22" t="s">
        <v>19335</v>
      </c>
      <c r="K18" s="22" t="s">
        <v>19326</v>
      </c>
      <c r="L18" s="22"/>
      <c r="M18" s="22"/>
      <c r="N18" s="25" t="str">
        <f>HYPERLINK("http://slimages.macys.com/is/image/MCY/22269125 ")</f>
        <v xml:space="preserve">http://slimages.macys.com/is/image/MCY/22269125 </v>
      </c>
    </row>
    <row r="19" spans="1:14" ht="24.75" x14ac:dyDescent="0.25">
      <c r="A19" s="21" t="s">
        <v>19374</v>
      </c>
      <c r="B19" s="22" t="s">
        <v>19375</v>
      </c>
      <c r="C19" s="2">
        <v>1</v>
      </c>
      <c r="D19" s="23">
        <v>49.99</v>
      </c>
      <c r="E19" s="3">
        <v>49.99</v>
      </c>
      <c r="F19" s="2" t="s">
        <v>19376</v>
      </c>
      <c r="G19" s="22" t="s">
        <v>19333</v>
      </c>
      <c r="H19" s="24" t="s">
        <v>19377</v>
      </c>
      <c r="I19" s="22" t="s">
        <v>19309</v>
      </c>
      <c r="J19" s="22" t="s">
        <v>19378</v>
      </c>
      <c r="K19" s="22" t="s">
        <v>19379</v>
      </c>
      <c r="L19" s="22"/>
      <c r="M19" s="22"/>
      <c r="N19" s="25" t="str">
        <f>HYPERLINK("http://slimages.macys.com/is/image/MCY/20450645 ")</f>
        <v xml:space="preserve">http://slimages.macys.com/is/image/MCY/20450645 </v>
      </c>
    </row>
    <row r="20" spans="1:14" ht="24.75" x14ac:dyDescent="0.25">
      <c r="A20" s="21" t="s">
        <v>19380</v>
      </c>
      <c r="B20" s="22" t="s">
        <v>19381</v>
      </c>
      <c r="C20" s="2">
        <v>1</v>
      </c>
      <c r="D20" s="23">
        <v>49.99</v>
      </c>
      <c r="E20" s="3">
        <v>49.99</v>
      </c>
      <c r="F20" s="2" t="s">
        <v>19382</v>
      </c>
      <c r="G20" s="22" t="s">
        <v>19383</v>
      </c>
      <c r="H20" s="24" t="s">
        <v>19384</v>
      </c>
      <c r="I20" s="22" t="s">
        <v>19309</v>
      </c>
      <c r="J20" s="22" t="s">
        <v>19385</v>
      </c>
      <c r="K20" s="22" t="s">
        <v>19386</v>
      </c>
      <c r="L20" s="22"/>
      <c r="M20" s="22"/>
      <c r="N20" s="25" t="str">
        <f>HYPERLINK("http://slimages.macys.com/is/image/MCY/21465553 ")</f>
        <v xml:space="preserve">http://slimages.macys.com/is/image/MCY/21465553 </v>
      </c>
    </row>
    <row r="21" spans="1:14" ht="24.75" x14ac:dyDescent="0.25">
      <c r="A21" s="21" t="s">
        <v>19387</v>
      </c>
      <c r="B21" s="22" t="s">
        <v>19388</v>
      </c>
      <c r="C21" s="2">
        <v>1</v>
      </c>
      <c r="D21" s="23">
        <v>35</v>
      </c>
      <c r="E21" s="3">
        <v>35</v>
      </c>
      <c r="F21" s="2">
        <v>311866616001</v>
      </c>
      <c r="G21" s="22" t="s">
        <v>19333</v>
      </c>
      <c r="H21" s="24" t="s">
        <v>19334</v>
      </c>
      <c r="I21" s="22" t="s">
        <v>19309</v>
      </c>
      <c r="J21" s="22" t="s">
        <v>19389</v>
      </c>
      <c r="K21" s="22" t="s">
        <v>19326</v>
      </c>
      <c r="L21" s="22"/>
      <c r="M21" s="22"/>
      <c r="N21" s="25" t="str">
        <f>HYPERLINK("http://slimages.macys.com/is/image/MCY/21863114 ")</f>
        <v xml:space="preserve">http://slimages.macys.com/is/image/MCY/21863114 </v>
      </c>
    </row>
    <row r="22" spans="1:14" ht="24.75" x14ac:dyDescent="0.25">
      <c r="A22" s="21" t="s">
        <v>19390</v>
      </c>
      <c r="B22" s="22" t="s">
        <v>19391</v>
      </c>
      <c r="C22" s="2">
        <v>1</v>
      </c>
      <c r="D22" s="23">
        <v>35</v>
      </c>
      <c r="E22" s="3">
        <v>35</v>
      </c>
      <c r="F22" s="2">
        <v>321867158053</v>
      </c>
      <c r="G22" s="22" t="s">
        <v>19338</v>
      </c>
      <c r="H22" s="24" t="s">
        <v>19392</v>
      </c>
      <c r="I22" s="22" t="s">
        <v>19309</v>
      </c>
      <c r="J22" s="22" t="s">
        <v>19335</v>
      </c>
      <c r="K22" s="22" t="s">
        <v>19326</v>
      </c>
      <c r="L22" s="22"/>
      <c r="M22" s="22"/>
      <c r="N22" s="25" t="str">
        <f>HYPERLINK("http://slimages.macys.com/is/image/MCY/21715407 ")</f>
        <v xml:space="preserve">http://slimages.macys.com/is/image/MCY/21715407 </v>
      </c>
    </row>
    <row r="23" spans="1:14" ht="24.75" x14ac:dyDescent="0.25">
      <c r="A23" s="21" t="s">
        <v>19393</v>
      </c>
      <c r="B23" s="22" t="s">
        <v>19394</v>
      </c>
      <c r="C23" s="2">
        <v>1</v>
      </c>
      <c r="D23" s="23">
        <v>35</v>
      </c>
      <c r="E23" s="3">
        <v>35</v>
      </c>
      <c r="F23" s="2">
        <v>322867158051</v>
      </c>
      <c r="G23" s="22" t="s">
        <v>19338</v>
      </c>
      <c r="H23" s="24" t="s">
        <v>19395</v>
      </c>
      <c r="I23" s="22" t="s">
        <v>19309</v>
      </c>
      <c r="J23" s="22" t="s">
        <v>19335</v>
      </c>
      <c r="K23" s="22" t="s">
        <v>19326</v>
      </c>
      <c r="L23" s="22"/>
      <c r="M23" s="22"/>
      <c r="N23" s="25" t="str">
        <f>HYPERLINK("http://slimages.macys.com/is/image/MCY/22007482 ")</f>
        <v xml:space="preserve">http://slimages.macys.com/is/image/MCY/22007482 </v>
      </c>
    </row>
    <row r="24" spans="1:14" ht="24.75" x14ac:dyDescent="0.25">
      <c r="A24" s="21" t="s">
        <v>19396</v>
      </c>
      <c r="B24" s="22" t="s">
        <v>19397</v>
      </c>
      <c r="C24" s="2">
        <v>2</v>
      </c>
      <c r="D24" s="23">
        <v>44.99</v>
      </c>
      <c r="E24" s="3">
        <v>89.98</v>
      </c>
      <c r="F24" s="2" t="s">
        <v>19398</v>
      </c>
      <c r="G24" s="22" t="s">
        <v>19333</v>
      </c>
      <c r="H24" s="24" t="s">
        <v>19399</v>
      </c>
      <c r="I24" s="22" t="s">
        <v>19309</v>
      </c>
      <c r="J24" s="22" t="s">
        <v>19400</v>
      </c>
      <c r="K24" s="22" t="s">
        <v>19386</v>
      </c>
      <c r="L24" s="22"/>
      <c r="M24" s="22"/>
      <c r="N24" s="25" t="str">
        <f>HYPERLINK("http://slimages.macys.com/is/image/MCY/20340310 ")</f>
        <v xml:space="preserve">http://slimages.macys.com/is/image/MCY/20340310 </v>
      </c>
    </row>
    <row r="25" spans="1:14" ht="36.75" x14ac:dyDescent="0.25">
      <c r="A25" s="21" t="s">
        <v>19401</v>
      </c>
      <c r="B25" s="22" t="s">
        <v>19402</v>
      </c>
      <c r="C25" s="2">
        <v>1</v>
      </c>
      <c r="D25" s="23">
        <v>32.950000000000003</v>
      </c>
      <c r="E25" s="3">
        <v>32.950000000000003</v>
      </c>
      <c r="F25" s="2" t="s">
        <v>19403</v>
      </c>
      <c r="G25" s="22" t="s">
        <v>19404</v>
      </c>
      <c r="H25" s="24" t="s">
        <v>19399</v>
      </c>
      <c r="I25" s="22" t="s">
        <v>19309</v>
      </c>
      <c r="J25" s="22" t="s">
        <v>19405</v>
      </c>
      <c r="K25" s="22" t="s">
        <v>19406</v>
      </c>
      <c r="L25" s="22" t="s">
        <v>19319</v>
      </c>
      <c r="M25" s="22" t="s">
        <v>19407</v>
      </c>
      <c r="N25" s="25" t="str">
        <f>HYPERLINK("http://slimages.macys.com/is/image/MCY/10180512 ")</f>
        <v xml:space="preserve">http://slimages.macys.com/is/image/MCY/10180512 </v>
      </c>
    </row>
    <row r="26" spans="1:14" ht="24.75" x14ac:dyDescent="0.25">
      <c r="A26" s="21" t="s">
        <v>19408</v>
      </c>
      <c r="B26" s="22" t="s">
        <v>19409</v>
      </c>
      <c r="C26" s="2">
        <v>1</v>
      </c>
      <c r="D26" s="23">
        <v>34.99</v>
      </c>
      <c r="E26" s="3">
        <v>34.99</v>
      </c>
      <c r="F26" s="2" t="s">
        <v>19410</v>
      </c>
      <c r="G26" s="22"/>
      <c r="H26" s="24" t="s">
        <v>19324</v>
      </c>
      <c r="I26" s="22" t="s">
        <v>19309</v>
      </c>
      <c r="J26" s="22" t="s">
        <v>19385</v>
      </c>
      <c r="K26" s="22" t="s">
        <v>19411</v>
      </c>
      <c r="L26" s="22"/>
      <c r="M26" s="22"/>
      <c r="N26" s="25" t="str">
        <f>HYPERLINK("http://slimages.macys.com/is/image/MCY/21628398 ")</f>
        <v xml:space="preserve">http://slimages.macys.com/is/image/MCY/21628398 </v>
      </c>
    </row>
    <row r="27" spans="1:14" x14ac:dyDescent="0.25">
      <c r="A27" s="21" t="s">
        <v>19412</v>
      </c>
      <c r="B27" s="22" t="s">
        <v>19413</v>
      </c>
      <c r="C27" s="2">
        <v>1</v>
      </c>
      <c r="D27" s="23">
        <v>42</v>
      </c>
      <c r="E27" s="3">
        <v>42</v>
      </c>
      <c r="F27" s="2" t="s">
        <v>19414</v>
      </c>
      <c r="G27" s="22" t="s">
        <v>19415</v>
      </c>
      <c r="H27" s="24" t="s">
        <v>19416</v>
      </c>
      <c r="I27" s="22" t="s">
        <v>19309</v>
      </c>
      <c r="J27" s="22" t="s">
        <v>19417</v>
      </c>
      <c r="K27" s="22" t="s">
        <v>19418</v>
      </c>
      <c r="L27" s="22"/>
      <c r="M27" s="22"/>
      <c r="N27" s="25" t="str">
        <f>HYPERLINK("http://slimages.macys.com/is/image/MCY/18306554 ")</f>
        <v xml:space="preserve">http://slimages.macys.com/is/image/MCY/18306554 </v>
      </c>
    </row>
    <row r="28" spans="1:14" ht="24.75" x14ac:dyDescent="0.25">
      <c r="A28" s="21" t="s">
        <v>19419</v>
      </c>
      <c r="B28" s="22" t="s">
        <v>19420</v>
      </c>
      <c r="C28" s="2">
        <v>1</v>
      </c>
      <c r="D28" s="23">
        <v>41.99</v>
      </c>
      <c r="E28" s="3">
        <v>41.99</v>
      </c>
      <c r="F28" s="2" t="s">
        <v>19421</v>
      </c>
      <c r="G28" s="22" t="s">
        <v>19422</v>
      </c>
      <c r="H28" s="24" t="s">
        <v>19316</v>
      </c>
      <c r="I28" s="22" t="s">
        <v>19309</v>
      </c>
      <c r="J28" s="22" t="s">
        <v>19400</v>
      </c>
      <c r="K28" s="22" t="s">
        <v>19423</v>
      </c>
      <c r="L28" s="22"/>
      <c r="M28" s="22"/>
      <c r="N28" s="25" t="str">
        <f>HYPERLINK("http://slimages.macys.com/is/image/MCY/21621724 ")</f>
        <v xml:space="preserve">http://slimages.macys.com/is/image/MCY/21621724 </v>
      </c>
    </row>
    <row r="29" spans="1:14" ht="24.75" x14ac:dyDescent="0.25">
      <c r="A29" s="21" t="s">
        <v>19424</v>
      </c>
      <c r="B29" s="22" t="s">
        <v>19425</v>
      </c>
      <c r="C29" s="2">
        <v>1</v>
      </c>
      <c r="D29" s="23">
        <v>41.99</v>
      </c>
      <c r="E29" s="3">
        <v>41.99</v>
      </c>
      <c r="F29" s="2" t="s">
        <v>19426</v>
      </c>
      <c r="G29" s="22" t="s">
        <v>19427</v>
      </c>
      <c r="H29" s="24" t="s">
        <v>19399</v>
      </c>
      <c r="I29" s="22" t="s">
        <v>19309</v>
      </c>
      <c r="J29" s="22" t="s">
        <v>19400</v>
      </c>
      <c r="K29" s="22" t="s">
        <v>19423</v>
      </c>
      <c r="L29" s="22"/>
      <c r="M29" s="22"/>
      <c r="N29" s="25" t="str">
        <f>HYPERLINK("http://slimages.macys.com/is/image/MCY/21621729 ")</f>
        <v xml:space="preserve">http://slimages.macys.com/is/image/MCY/21621729 </v>
      </c>
    </row>
    <row r="30" spans="1:14" x14ac:dyDescent="0.25">
      <c r="A30" s="21" t="s">
        <v>19428</v>
      </c>
      <c r="B30" s="22" t="s">
        <v>19429</v>
      </c>
      <c r="C30" s="2">
        <v>1</v>
      </c>
      <c r="D30" s="23">
        <v>31.99</v>
      </c>
      <c r="E30" s="3">
        <v>31.99</v>
      </c>
      <c r="F30" s="2" t="s">
        <v>19430</v>
      </c>
      <c r="G30" s="22" t="s">
        <v>19431</v>
      </c>
      <c r="H30" s="24" t="s">
        <v>19432</v>
      </c>
      <c r="I30" s="22" t="s">
        <v>19309</v>
      </c>
      <c r="J30" s="22" t="s">
        <v>19310</v>
      </c>
      <c r="K30" s="22" t="s">
        <v>19433</v>
      </c>
      <c r="L30" s="22" t="s">
        <v>19434</v>
      </c>
      <c r="M30" s="22" t="s">
        <v>19435</v>
      </c>
      <c r="N30" s="25" t="str">
        <f>HYPERLINK("http://images.bloomingdales.com/is/image/BLM/11925867 ")</f>
        <v xml:space="preserve">http://images.bloomingdales.com/is/image/BLM/11925867 </v>
      </c>
    </row>
    <row r="31" spans="1:14" ht="24.75" x14ac:dyDescent="0.25">
      <c r="A31" s="21" t="s">
        <v>19436</v>
      </c>
      <c r="B31" s="22" t="s">
        <v>19437</v>
      </c>
      <c r="C31" s="2">
        <v>1</v>
      </c>
      <c r="D31" s="23">
        <v>29.99</v>
      </c>
      <c r="E31" s="3">
        <v>29.99</v>
      </c>
      <c r="F31" s="2" t="s">
        <v>19438</v>
      </c>
      <c r="G31" s="22" t="s">
        <v>19439</v>
      </c>
      <c r="H31" s="24" t="s">
        <v>19345</v>
      </c>
      <c r="I31" s="22" t="s">
        <v>19309</v>
      </c>
      <c r="J31" s="22" t="s">
        <v>19310</v>
      </c>
      <c r="K31" s="22" t="s">
        <v>19440</v>
      </c>
      <c r="L31" s="22"/>
      <c r="M31" s="22"/>
      <c r="N31" s="25" t="str">
        <f>HYPERLINK("http://slimages.macys.com/is/image/MCY/20923536 ")</f>
        <v xml:space="preserve">http://slimages.macys.com/is/image/MCY/20923536 </v>
      </c>
    </row>
    <row r="32" spans="1:14" ht="24.75" x14ac:dyDescent="0.25">
      <c r="A32" s="21" t="s">
        <v>19441</v>
      </c>
      <c r="B32" s="22" t="s">
        <v>19442</v>
      </c>
      <c r="C32" s="2">
        <v>1</v>
      </c>
      <c r="D32" s="23">
        <v>33.99</v>
      </c>
      <c r="E32" s="3">
        <v>33.99</v>
      </c>
      <c r="F32" s="2" t="s">
        <v>19443</v>
      </c>
      <c r="G32" s="22" t="s">
        <v>19351</v>
      </c>
      <c r="H32" s="24" t="s">
        <v>19330</v>
      </c>
      <c r="I32" s="22" t="s">
        <v>19309</v>
      </c>
      <c r="J32" s="22" t="s">
        <v>19385</v>
      </c>
      <c r="K32" s="22" t="s">
        <v>19386</v>
      </c>
      <c r="L32" s="22"/>
      <c r="M32" s="22"/>
      <c r="N32" s="25" t="str">
        <f>HYPERLINK("http://slimages.macys.com/is/image/MCY/22175297 ")</f>
        <v xml:space="preserve">http://slimages.macys.com/is/image/MCY/22175297 </v>
      </c>
    </row>
    <row r="33" spans="1:14" ht="24.75" x14ac:dyDescent="0.25">
      <c r="A33" s="21" t="s">
        <v>19444</v>
      </c>
      <c r="B33" s="22" t="s">
        <v>19445</v>
      </c>
      <c r="C33" s="2">
        <v>1</v>
      </c>
      <c r="D33" s="23">
        <v>28.99</v>
      </c>
      <c r="E33" s="3">
        <v>28.99</v>
      </c>
      <c r="F33" s="2" t="s">
        <v>19446</v>
      </c>
      <c r="G33" s="22" t="s">
        <v>19422</v>
      </c>
      <c r="H33" s="24" t="s">
        <v>19364</v>
      </c>
      <c r="I33" s="22" t="s">
        <v>19309</v>
      </c>
      <c r="J33" s="22" t="s">
        <v>19447</v>
      </c>
      <c r="K33" s="22" t="s">
        <v>19311</v>
      </c>
      <c r="L33" s="22"/>
      <c r="M33" s="22"/>
      <c r="N33" s="25" t="str">
        <f>HYPERLINK("http://slimages.macys.com/is/image/MCY/21494733 ")</f>
        <v xml:space="preserve">http://slimages.macys.com/is/image/MCY/21494733 </v>
      </c>
    </row>
    <row r="34" spans="1:14" ht="24.75" x14ac:dyDescent="0.25">
      <c r="A34" s="21" t="s">
        <v>19448</v>
      </c>
      <c r="B34" s="22" t="s">
        <v>19449</v>
      </c>
      <c r="C34" s="2">
        <v>1</v>
      </c>
      <c r="D34" s="23">
        <v>19.989999999999998</v>
      </c>
      <c r="E34" s="3">
        <v>19.989999999999998</v>
      </c>
      <c r="F34" s="2" t="s">
        <v>19450</v>
      </c>
      <c r="G34" s="22" t="s">
        <v>19351</v>
      </c>
      <c r="H34" s="24" t="s">
        <v>19339</v>
      </c>
      <c r="I34" s="22" t="s">
        <v>19309</v>
      </c>
      <c r="J34" s="22" t="s">
        <v>19353</v>
      </c>
      <c r="K34" s="22" t="s">
        <v>19354</v>
      </c>
      <c r="L34" s="22"/>
      <c r="M34" s="22"/>
      <c r="N34" s="25" t="str">
        <f>HYPERLINK("http://slimages.macys.com/is/image/MCY/22400924 ")</f>
        <v xml:space="preserve">http://slimages.macys.com/is/image/MCY/22400924 </v>
      </c>
    </row>
    <row r="35" spans="1:14" ht="24.75" x14ac:dyDescent="0.25">
      <c r="A35" s="21" t="s">
        <v>19451</v>
      </c>
      <c r="B35" s="22" t="s">
        <v>19452</v>
      </c>
      <c r="C35" s="2">
        <v>1</v>
      </c>
      <c r="D35" s="23">
        <v>20.99</v>
      </c>
      <c r="E35" s="3">
        <v>20.99</v>
      </c>
      <c r="F35" s="2" t="s">
        <v>19453</v>
      </c>
      <c r="G35" s="22" t="s">
        <v>19431</v>
      </c>
      <c r="H35" s="24" t="s">
        <v>19308</v>
      </c>
      <c r="I35" s="22" t="s">
        <v>19309</v>
      </c>
      <c r="J35" s="22" t="s">
        <v>19454</v>
      </c>
      <c r="K35" s="22" t="s">
        <v>19354</v>
      </c>
      <c r="L35" s="22"/>
      <c r="M35" s="22"/>
      <c r="N35" s="25" t="str">
        <f>HYPERLINK("http://slimages.macys.com/is/image/MCY/1667507 ")</f>
        <v xml:space="preserve">http://slimages.macys.com/is/image/MCY/1667507 </v>
      </c>
    </row>
    <row r="36" spans="1:14" ht="24.75" x14ac:dyDescent="0.25">
      <c r="A36" s="21" t="s">
        <v>19455</v>
      </c>
      <c r="B36" s="22" t="s">
        <v>19456</v>
      </c>
      <c r="C36" s="2">
        <v>1</v>
      </c>
      <c r="D36" s="23">
        <v>25.99</v>
      </c>
      <c r="E36" s="3">
        <v>25.99</v>
      </c>
      <c r="F36" s="2" t="s">
        <v>19457</v>
      </c>
      <c r="G36" s="22" t="s">
        <v>19351</v>
      </c>
      <c r="H36" s="24" t="s">
        <v>19324</v>
      </c>
      <c r="I36" s="22" t="s">
        <v>19309</v>
      </c>
      <c r="J36" s="22" t="s">
        <v>19385</v>
      </c>
      <c r="K36" s="22" t="s">
        <v>19458</v>
      </c>
      <c r="L36" s="22"/>
      <c r="M36" s="22"/>
      <c r="N36" s="25" t="str">
        <f>HYPERLINK("http://slimages.macys.com/is/image/MCY/21183480 ")</f>
        <v xml:space="preserve">http://slimages.macys.com/is/image/MCY/21183480 </v>
      </c>
    </row>
    <row r="37" spans="1:14" ht="24.75" x14ac:dyDescent="0.25">
      <c r="A37" s="21" t="s">
        <v>19459</v>
      </c>
      <c r="B37" s="22" t="s">
        <v>19460</v>
      </c>
      <c r="C37" s="2">
        <v>1</v>
      </c>
      <c r="D37" s="23">
        <v>28.99</v>
      </c>
      <c r="E37" s="3">
        <v>28.99</v>
      </c>
      <c r="F37" s="2" t="s">
        <v>19461</v>
      </c>
      <c r="G37" s="22" t="s">
        <v>19462</v>
      </c>
      <c r="H37" s="24" t="s">
        <v>19416</v>
      </c>
      <c r="I37" s="22" t="s">
        <v>19309</v>
      </c>
      <c r="J37" s="22" t="s">
        <v>19385</v>
      </c>
      <c r="K37" s="22" t="s">
        <v>19463</v>
      </c>
      <c r="L37" s="22"/>
      <c r="M37" s="22"/>
      <c r="N37" s="25" t="str">
        <f>HYPERLINK("http://slimages.macys.com/is/image/MCY/21423842 ")</f>
        <v xml:space="preserve">http://slimages.macys.com/is/image/MCY/21423842 </v>
      </c>
    </row>
    <row r="38" spans="1:14" ht="24.75" x14ac:dyDescent="0.25">
      <c r="A38" s="21" t="s">
        <v>19464</v>
      </c>
      <c r="B38" s="22" t="s">
        <v>19465</v>
      </c>
      <c r="C38" s="2">
        <v>1</v>
      </c>
      <c r="D38" s="23">
        <v>24.99</v>
      </c>
      <c r="E38" s="3">
        <v>24.99</v>
      </c>
      <c r="F38" s="2" t="s">
        <v>19466</v>
      </c>
      <c r="G38" s="22" t="s">
        <v>19467</v>
      </c>
      <c r="H38" s="24" t="s">
        <v>19432</v>
      </c>
      <c r="I38" s="22" t="s">
        <v>19309</v>
      </c>
      <c r="J38" s="22" t="s">
        <v>19310</v>
      </c>
      <c r="K38" s="22" t="s">
        <v>19468</v>
      </c>
      <c r="L38" s="22"/>
      <c r="M38" s="22"/>
      <c r="N38" s="25" t="str">
        <f>HYPERLINK("http://slimages.macys.com/is/image/MCY/20189640 ")</f>
        <v xml:space="preserve">http://slimages.macys.com/is/image/MCY/20189640 </v>
      </c>
    </row>
    <row r="39" spans="1:14" ht="24.75" x14ac:dyDescent="0.25">
      <c r="A39" s="21" t="s">
        <v>19469</v>
      </c>
      <c r="B39" s="22" t="s">
        <v>19470</v>
      </c>
      <c r="C39" s="2">
        <v>1</v>
      </c>
      <c r="D39" s="23">
        <v>24.99</v>
      </c>
      <c r="E39" s="3">
        <v>24.99</v>
      </c>
      <c r="F39" s="2" t="s">
        <v>19466</v>
      </c>
      <c r="G39" s="22" t="s">
        <v>19467</v>
      </c>
      <c r="H39" s="24" t="s">
        <v>19334</v>
      </c>
      <c r="I39" s="22" t="s">
        <v>19309</v>
      </c>
      <c r="J39" s="22" t="s">
        <v>19310</v>
      </c>
      <c r="K39" s="22" t="s">
        <v>19468</v>
      </c>
      <c r="L39" s="22"/>
      <c r="M39" s="22"/>
      <c r="N39" s="25" t="str">
        <f>HYPERLINK("http://slimages.macys.com/is/image/MCY/20189642 ")</f>
        <v xml:space="preserve">http://slimages.macys.com/is/image/MCY/20189642 </v>
      </c>
    </row>
    <row r="40" spans="1:14" x14ac:dyDescent="0.25">
      <c r="A40" s="21" t="s">
        <v>19471</v>
      </c>
      <c r="B40" s="22" t="s">
        <v>19472</v>
      </c>
      <c r="C40" s="2">
        <v>1</v>
      </c>
      <c r="D40" s="23">
        <v>28.99</v>
      </c>
      <c r="E40" s="3">
        <v>28.99</v>
      </c>
      <c r="F40" s="2" t="s">
        <v>19473</v>
      </c>
      <c r="G40" s="22" t="s">
        <v>19307</v>
      </c>
      <c r="H40" s="24" t="s">
        <v>19345</v>
      </c>
      <c r="I40" s="22" t="s">
        <v>19309</v>
      </c>
      <c r="J40" s="22" t="s">
        <v>19310</v>
      </c>
      <c r="K40" s="22" t="s">
        <v>19433</v>
      </c>
      <c r="L40" s="22"/>
      <c r="M40" s="22"/>
      <c r="N40" s="25" t="str">
        <f>HYPERLINK("http://slimages.macys.com/is/image/MCY/21364717 ")</f>
        <v xml:space="preserve">http://slimages.macys.com/is/image/MCY/21364717 </v>
      </c>
    </row>
    <row r="41" spans="1:14" ht="24.75" x14ac:dyDescent="0.25">
      <c r="A41" s="21" t="s">
        <v>19474</v>
      </c>
      <c r="B41" s="22" t="s">
        <v>19475</v>
      </c>
      <c r="C41" s="2">
        <v>1</v>
      </c>
      <c r="D41" s="23">
        <v>34.99</v>
      </c>
      <c r="E41" s="3">
        <v>34.99</v>
      </c>
      <c r="F41" s="2" t="s">
        <v>19476</v>
      </c>
      <c r="G41" s="22" t="s">
        <v>19477</v>
      </c>
      <c r="H41" s="24" t="s">
        <v>19478</v>
      </c>
      <c r="I41" s="22" t="s">
        <v>19309</v>
      </c>
      <c r="J41" s="22" t="s">
        <v>19400</v>
      </c>
      <c r="K41" s="22" t="s">
        <v>19479</v>
      </c>
      <c r="L41" s="22"/>
      <c r="M41" s="22"/>
      <c r="N41" s="25" t="str">
        <f>HYPERLINK("http://slimages.macys.com/is/image/MCY/21068975 ")</f>
        <v xml:space="preserve">http://slimages.macys.com/is/image/MCY/21068975 </v>
      </c>
    </row>
    <row r="42" spans="1:14" ht="24.75" x14ac:dyDescent="0.25">
      <c r="A42" s="21" t="s">
        <v>19480</v>
      </c>
      <c r="B42" s="22" t="s">
        <v>19481</v>
      </c>
      <c r="C42" s="2">
        <v>1</v>
      </c>
      <c r="D42" s="23">
        <v>29.99</v>
      </c>
      <c r="E42" s="3">
        <v>29.99</v>
      </c>
      <c r="F42" s="2" t="s">
        <v>19482</v>
      </c>
      <c r="G42" s="22" t="s">
        <v>19483</v>
      </c>
      <c r="H42" s="24" t="s">
        <v>19324</v>
      </c>
      <c r="I42" s="22" t="s">
        <v>19309</v>
      </c>
      <c r="J42" s="22" t="s">
        <v>19385</v>
      </c>
      <c r="K42" s="22" t="s">
        <v>19386</v>
      </c>
      <c r="L42" s="22"/>
      <c r="M42" s="22"/>
      <c r="N42" s="25" t="str">
        <f>HYPERLINK("http://slimages.macys.com/is/image/MCY/22297122 ")</f>
        <v xml:space="preserve">http://slimages.macys.com/is/image/MCY/22297122 </v>
      </c>
    </row>
    <row r="43" spans="1:14" ht="24.75" x14ac:dyDescent="0.25">
      <c r="A43" s="21" t="s">
        <v>19484</v>
      </c>
      <c r="B43" s="22" t="s">
        <v>19485</v>
      </c>
      <c r="C43" s="2">
        <v>1</v>
      </c>
      <c r="D43" s="23">
        <v>26.99</v>
      </c>
      <c r="E43" s="3">
        <v>26.99</v>
      </c>
      <c r="F43" s="2" t="s">
        <v>19486</v>
      </c>
      <c r="G43" s="22" t="s">
        <v>19415</v>
      </c>
      <c r="H43" s="24" t="s">
        <v>19384</v>
      </c>
      <c r="I43" s="22" t="s">
        <v>19309</v>
      </c>
      <c r="J43" s="22" t="s">
        <v>19385</v>
      </c>
      <c r="K43" s="22" t="s">
        <v>19487</v>
      </c>
      <c r="L43" s="22"/>
      <c r="M43" s="22"/>
      <c r="N43" s="25" t="str">
        <f>HYPERLINK("http://slimages.macys.com/is/image/MCY/21856821 ")</f>
        <v xml:space="preserve">http://slimages.macys.com/is/image/MCY/21856821 </v>
      </c>
    </row>
    <row r="44" spans="1:14" ht="24.75" x14ac:dyDescent="0.25">
      <c r="A44" s="21" t="s">
        <v>19488</v>
      </c>
      <c r="B44" s="22" t="s">
        <v>19489</v>
      </c>
      <c r="C44" s="2">
        <v>1</v>
      </c>
      <c r="D44" s="23">
        <v>27.99</v>
      </c>
      <c r="E44" s="3">
        <v>27.99</v>
      </c>
      <c r="F44" s="2" t="s">
        <v>19490</v>
      </c>
      <c r="G44" s="22" t="s">
        <v>19333</v>
      </c>
      <c r="H44" s="24" t="s">
        <v>19416</v>
      </c>
      <c r="I44" s="22" t="s">
        <v>19309</v>
      </c>
      <c r="J44" s="22" t="s">
        <v>19491</v>
      </c>
      <c r="K44" s="22" t="s">
        <v>19463</v>
      </c>
      <c r="L44" s="22"/>
      <c r="M44" s="22"/>
      <c r="N44" s="25" t="str">
        <f>HYPERLINK("http://slimages.macys.com/is/image/MCY/21374621 ")</f>
        <v xml:space="preserve">http://slimages.macys.com/is/image/MCY/21374621 </v>
      </c>
    </row>
    <row r="45" spans="1:14" ht="24.75" x14ac:dyDescent="0.25">
      <c r="A45" s="21" t="s">
        <v>19492</v>
      </c>
      <c r="B45" s="22" t="s">
        <v>19493</v>
      </c>
      <c r="C45" s="2">
        <v>1</v>
      </c>
      <c r="D45" s="23">
        <v>34.99</v>
      </c>
      <c r="E45" s="3">
        <v>34.99</v>
      </c>
      <c r="F45" s="2" t="s">
        <v>19494</v>
      </c>
      <c r="G45" s="22" t="s">
        <v>19315</v>
      </c>
      <c r="H45" s="24" t="s">
        <v>19399</v>
      </c>
      <c r="I45" s="22" t="s">
        <v>19309</v>
      </c>
      <c r="J45" s="22" t="s">
        <v>19400</v>
      </c>
      <c r="K45" s="22" t="s">
        <v>19479</v>
      </c>
      <c r="L45" s="22"/>
      <c r="M45" s="22"/>
      <c r="N45" s="25" t="str">
        <f>HYPERLINK("http://slimages.macys.com/is/image/MCY/21683553 ")</f>
        <v xml:space="preserve">http://slimages.macys.com/is/image/MCY/21683553 </v>
      </c>
    </row>
    <row r="46" spans="1:14" ht="24.75" x14ac:dyDescent="0.25">
      <c r="A46" s="21" t="s">
        <v>19495</v>
      </c>
      <c r="B46" s="22" t="s">
        <v>19496</v>
      </c>
      <c r="C46" s="2">
        <v>1</v>
      </c>
      <c r="D46" s="23">
        <v>34.99</v>
      </c>
      <c r="E46" s="3">
        <v>34.99</v>
      </c>
      <c r="F46" s="2" t="s">
        <v>19497</v>
      </c>
      <c r="G46" s="22" t="s">
        <v>19498</v>
      </c>
      <c r="H46" s="24"/>
      <c r="I46" s="22" t="s">
        <v>19309</v>
      </c>
      <c r="J46" s="22" t="s">
        <v>19400</v>
      </c>
      <c r="K46" s="22" t="s">
        <v>19479</v>
      </c>
      <c r="L46" s="22"/>
      <c r="M46" s="22"/>
      <c r="N46" s="25" t="str">
        <f>HYPERLINK("http://slimages.macys.com/is/image/MCY/21683546 ")</f>
        <v xml:space="preserve">http://slimages.macys.com/is/image/MCY/21683546 </v>
      </c>
    </row>
    <row r="47" spans="1:14" ht="24.75" x14ac:dyDescent="0.25">
      <c r="A47" s="21" t="s">
        <v>19499</v>
      </c>
      <c r="B47" s="22" t="s">
        <v>19500</v>
      </c>
      <c r="C47" s="2">
        <v>1</v>
      </c>
      <c r="D47" s="23">
        <v>34.99</v>
      </c>
      <c r="E47" s="3">
        <v>34.99</v>
      </c>
      <c r="F47" s="2" t="s">
        <v>19494</v>
      </c>
      <c r="G47" s="22" t="s">
        <v>19315</v>
      </c>
      <c r="H47" s="24" t="s">
        <v>19501</v>
      </c>
      <c r="I47" s="22" t="s">
        <v>19309</v>
      </c>
      <c r="J47" s="22" t="s">
        <v>19400</v>
      </c>
      <c r="K47" s="22" t="s">
        <v>19479</v>
      </c>
      <c r="L47" s="22"/>
      <c r="M47" s="22"/>
      <c r="N47" s="25" t="str">
        <f>HYPERLINK("http://slimages.macys.com/is/image/MCY/21683553 ")</f>
        <v xml:space="preserve">http://slimages.macys.com/is/image/MCY/21683553 </v>
      </c>
    </row>
    <row r="48" spans="1:14" ht="24.75" x14ac:dyDescent="0.25">
      <c r="A48" s="21" t="s">
        <v>19502</v>
      </c>
      <c r="B48" s="22" t="s">
        <v>19503</v>
      </c>
      <c r="C48" s="2">
        <v>1</v>
      </c>
      <c r="D48" s="23">
        <v>34.99</v>
      </c>
      <c r="E48" s="3">
        <v>34.99</v>
      </c>
      <c r="F48" s="2" t="s">
        <v>19504</v>
      </c>
      <c r="G48" s="22" t="s">
        <v>19351</v>
      </c>
      <c r="H48" s="24" t="s">
        <v>19316</v>
      </c>
      <c r="I48" s="22" t="s">
        <v>19309</v>
      </c>
      <c r="J48" s="22" t="s">
        <v>19400</v>
      </c>
      <c r="K48" s="22" t="s">
        <v>19479</v>
      </c>
      <c r="L48" s="22"/>
      <c r="M48" s="22"/>
      <c r="N48" s="25" t="str">
        <f>HYPERLINK("http://slimages.macys.com/is/image/MCY/21683538 ")</f>
        <v xml:space="preserve">http://slimages.macys.com/is/image/MCY/21683538 </v>
      </c>
    </row>
    <row r="49" spans="1:14" ht="24.75" x14ac:dyDescent="0.25">
      <c r="A49" s="21" t="s">
        <v>19505</v>
      </c>
      <c r="B49" s="22" t="s">
        <v>19506</v>
      </c>
      <c r="C49" s="2">
        <v>1</v>
      </c>
      <c r="D49" s="23">
        <v>26.99</v>
      </c>
      <c r="E49" s="3">
        <v>26.99</v>
      </c>
      <c r="F49" s="2" t="s">
        <v>19507</v>
      </c>
      <c r="G49" s="22" t="s">
        <v>19415</v>
      </c>
      <c r="H49" s="24" t="s">
        <v>19316</v>
      </c>
      <c r="I49" s="22" t="s">
        <v>19309</v>
      </c>
      <c r="J49" s="22" t="s">
        <v>19508</v>
      </c>
      <c r="K49" s="22" t="s">
        <v>19509</v>
      </c>
      <c r="L49" s="22"/>
      <c r="M49" s="22"/>
      <c r="N49" s="25" t="str">
        <f>HYPERLINK("http://slimages.macys.com/is/image/MCY/22153737 ")</f>
        <v xml:space="preserve">http://slimages.macys.com/is/image/MCY/22153737 </v>
      </c>
    </row>
    <row r="50" spans="1:14" x14ac:dyDescent="0.25">
      <c r="A50" s="21" t="s">
        <v>19510</v>
      </c>
      <c r="B50" s="22" t="s">
        <v>19511</v>
      </c>
      <c r="C50" s="2">
        <v>1</v>
      </c>
      <c r="D50" s="23">
        <v>27.27</v>
      </c>
      <c r="E50" s="3">
        <v>27.27</v>
      </c>
      <c r="F50" s="2" t="s">
        <v>19512</v>
      </c>
      <c r="G50" s="22" t="s">
        <v>19513</v>
      </c>
      <c r="H50" s="24" t="s">
        <v>19334</v>
      </c>
      <c r="I50" s="22" t="s">
        <v>19309</v>
      </c>
      <c r="J50" s="22" t="s">
        <v>19514</v>
      </c>
      <c r="K50" s="22" t="s">
        <v>19406</v>
      </c>
      <c r="L50" s="22"/>
      <c r="M50" s="22"/>
      <c r="N50" s="25" t="str">
        <f>HYPERLINK("http://slimages.macys.com/is/image/MCY/21168670 ")</f>
        <v xml:space="preserve">http://slimages.macys.com/is/image/MCY/21168670 </v>
      </c>
    </row>
    <row r="51" spans="1:14" ht="24.75" x14ac:dyDescent="0.25">
      <c r="A51" s="21" t="s">
        <v>19515</v>
      </c>
      <c r="B51" s="22" t="s">
        <v>19516</v>
      </c>
      <c r="C51" s="2">
        <v>1</v>
      </c>
      <c r="D51" s="23">
        <v>40</v>
      </c>
      <c r="E51" s="3">
        <v>40</v>
      </c>
      <c r="F51" s="2" t="s">
        <v>19517</v>
      </c>
      <c r="G51" s="22" t="s">
        <v>19518</v>
      </c>
      <c r="H51" s="24" t="s">
        <v>19364</v>
      </c>
      <c r="I51" s="22" t="s">
        <v>19309</v>
      </c>
      <c r="J51" s="22" t="s">
        <v>19519</v>
      </c>
      <c r="K51" s="22" t="s">
        <v>19520</v>
      </c>
      <c r="L51" s="22"/>
      <c r="M51" s="22"/>
      <c r="N51" s="25" t="str">
        <f>HYPERLINK("http://slimages.macys.com/is/image/MCY/21190768 ")</f>
        <v xml:space="preserve">http://slimages.macys.com/is/image/MCY/21190768 </v>
      </c>
    </row>
    <row r="52" spans="1:14" ht="24.75" x14ac:dyDescent="0.25">
      <c r="A52" s="21" t="s">
        <v>19521</v>
      </c>
      <c r="B52" s="22" t="s">
        <v>19522</v>
      </c>
      <c r="C52" s="2">
        <v>1</v>
      </c>
      <c r="D52" s="23">
        <v>28.99</v>
      </c>
      <c r="E52" s="3">
        <v>28.99</v>
      </c>
      <c r="F52" s="2" t="s">
        <v>19523</v>
      </c>
      <c r="G52" s="22" t="s">
        <v>19333</v>
      </c>
      <c r="H52" s="24"/>
      <c r="I52" s="22" t="s">
        <v>19309</v>
      </c>
      <c r="J52" s="22" t="s">
        <v>19353</v>
      </c>
      <c r="K52" s="22" t="s">
        <v>19524</v>
      </c>
      <c r="L52" s="22"/>
      <c r="M52" s="22"/>
      <c r="N52" s="25" t="str">
        <f>HYPERLINK("http://slimages.macys.com/is/image/MCY/21275466 ")</f>
        <v xml:space="preserve">http://slimages.macys.com/is/image/MCY/21275466 </v>
      </c>
    </row>
    <row r="53" spans="1:14" ht="24.75" x14ac:dyDescent="0.25">
      <c r="A53" s="21" t="s">
        <v>19525</v>
      </c>
      <c r="B53" s="22" t="s">
        <v>19526</v>
      </c>
      <c r="C53" s="2">
        <v>1</v>
      </c>
      <c r="D53" s="23">
        <v>24.99</v>
      </c>
      <c r="E53" s="3">
        <v>24.99</v>
      </c>
      <c r="F53" s="2" t="s">
        <v>19527</v>
      </c>
      <c r="G53" s="22" t="s">
        <v>19528</v>
      </c>
      <c r="H53" s="24" t="s">
        <v>19352</v>
      </c>
      <c r="I53" s="22" t="s">
        <v>19309</v>
      </c>
      <c r="J53" s="22" t="s">
        <v>19310</v>
      </c>
      <c r="K53" s="22" t="s">
        <v>19529</v>
      </c>
      <c r="L53" s="22"/>
      <c r="M53" s="22"/>
      <c r="N53" s="25" t="str">
        <f>HYPERLINK("http://slimages.macys.com/is/image/MCY/21646847 ")</f>
        <v xml:space="preserve">http://slimages.macys.com/is/image/MCY/21646847 </v>
      </c>
    </row>
    <row r="54" spans="1:14" ht="24.75" x14ac:dyDescent="0.25">
      <c r="A54" s="21" t="s">
        <v>19530</v>
      </c>
      <c r="B54" s="22" t="s">
        <v>19531</v>
      </c>
      <c r="C54" s="2">
        <v>1</v>
      </c>
      <c r="D54" s="23">
        <v>25.99</v>
      </c>
      <c r="E54" s="3">
        <v>25.99</v>
      </c>
      <c r="F54" s="2" t="s">
        <v>19532</v>
      </c>
      <c r="G54" s="22" t="s">
        <v>19315</v>
      </c>
      <c r="H54" s="24" t="s">
        <v>19352</v>
      </c>
      <c r="I54" s="22" t="s">
        <v>19309</v>
      </c>
      <c r="J54" s="22" t="s">
        <v>19447</v>
      </c>
      <c r="K54" s="22" t="s">
        <v>19533</v>
      </c>
      <c r="L54" s="22"/>
      <c r="M54" s="22"/>
      <c r="N54" s="25" t="str">
        <f>HYPERLINK("http://slimages.macys.com/is/image/MCY/19589537 ")</f>
        <v xml:space="preserve">http://slimages.macys.com/is/image/MCY/19589537 </v>
      </c>
    </row>
    <row r="55" spans="1:14" ht="24.75" x14ac:dyDescent="0.25">
      <c r="A55" s="21" t="s">
        <v>19534</v>
      </c>
      <c r="B55" s="22" t="s">
        <v>19535</v>
      </c>
      <c r="C55" s="2">
        <v>1</v>
      </c>
      <c r="D55" s="23">
        <v>26.99</v>
      </c>
      <c r="E55" s="3">
        <v>26.99</v>
      </c>
      <c r="F55" s="2" t="s">
        <v>19536</v>
      </c>
      <c r="G55" s="22" t="s">
        <v>19537</v>
      </c>
      <c r="H55" s="24" t="s">
        <v>19538</v>
      </c>
      <c r="I55" s="22" t="s">
        <v>19309</v>
      </c>
      <c r="J55" s="22" t="s">
        <v>19385</v>
      </c>
      <c r="K55" s="22" t="s">
        <v>19487</v>
      </c>
      <c r="L55" s="22"/>
      <c r="M55" s="22"/>
      <c r="N55" s="25" t="str">
        <f>HYPERLINK("http://slimages.macys.com/is/image/MCY/21436883 ")</f>
        <v xml:space="preserve">http://slimages.macys.com/is/image/MCY/21436883 </v>
      </c>
    </row>
    <row r="56" spans="1:14" x14ac:dyDescent="0.25">
      <c r="A56" s="21" t="s">
        <v>19539</v>
      </c>
      <c r="B56" s="22" t="s">
        <v>19540</v>
      </c>
      <c r="C56" s="2">
        <v>1</v>
      </c>
      <c r="D56" s="23">
        <v>21.99</v>
      </c>
      <c r="E56" s="3">
        <v>21.99</v>
      </c>
      <c r="F56" s="2" t="s">
        <v>19541</v>
      </c>
      <c r="G56" s="22" t="s">
        <v>19307</v>
      </c>
      <c r="H56" s="24" t="s">
        <v>19542</v>
      </c>
      <c r="I56" s="22" t="s">
        <v>19309</v>
      </c>
      <c r="J56" s="22" t="s">
        <v>19310</v>
      </c>
      <c r="K56" s="22" t="s">
        <v>19433</v>
      </c>
      <c r="L56" s="22"/>
      <c r="M56" s="22"/>
      <c r="N56" s="25" t="str">
        <f>HYPERLINK("http://slimages.macys.com/is/image/MCY/18045447 ")</f>
        <v xml:space="preserve">http://slimages.macys.com/is/image/MCY/18045447 </v>
      </c>
    </row>
    <row r="57" spans="1:14" x14ac:dyDescent="0.25">
      <c r="A57" s="21" t="s">
        <v>19543</v>
      </c>
      <c r="B57" s="22" t="s">
        <v>19544</v>
      </c>
      <c r="C57" s="2">
        <v>1</v>
      </c>
      <c r="D57" s="23">
        <v>27.5</v>
      </c>
      <c r="E57" s="3">
        <v>27.5</v>
      </c>
      <c r="F57" s="2" t="s">
        <v>19545</v>
      </c>
      <c r="G57" s="22" t="s">
        <v>19342</v>
      </c>
      <c r="H57" s="24" t="s">
        <v>19392</v>
      </c>
      <c r="I57" s="22" t="s">
        <v>19309</v>
      </c>
      <c r="J57" s="22" t="s">
        <v>19514</v>
      </c>
      <c r="K57" s="22" t="s">
        <v>19546</v>
      </c>
      <c r="L57" s="22"/>
      <c r="M57" s="22"/>
      <c r="N57" s="25" t="str">
        <f>HYPERLINK("http://slimages.macys.com/is/image/MCY/20989455 ")</f>
        <v xml:space="preserve">http://slimages.macys.com/is/image/MCY/20989455 </v>
      </c>
    </row>
    <row r="58" spans="1:14" ht="24.75" x14ac:dyDescent="0.25">
      <c r="A58" s="21" t="s">
        <v>19547</v>
      </c>
      <c r="B58" s="22" t="s">
        <v>19548</v>
      </c>
      <c r="C58" s="2">
        <v>1</v>
      </c>
      <c r="D58" s="23">
        <v>28.99</v>
      </c>
      <c r="E58" s="3">
        <v>28.99</v>
      </c>
      <c r="F58" s="2" t="s">
        <v>19549</v>
      </c>
      <c r="G58" s="22" t="s">
        <v>19342</v>
      </c>
      <c r="H58" s="24" t="s">
        <v>19542</v>
      </c>
      <c r="I58" s="22" t="s">
        <v>19309</v>
      </c>
      <c r="J58" s="22" t="s">
        <v>19550</v>
      </c>
      <c r="K58" s="22" t="s">
        <v>19546</v>
      </c>
      <c r="L58" s="22"/>
      <c r="M58" s="22"/>
      <c r="N58" s="25" t="str">
        <f>HYPERLINK("http://slimages.macys.com/is/image/MCY/21210093 ")</f>
        <v xml:space="preserve">http://slimages.macys.com/is/image/MCY/21210093 </v>
      </c>
    </row>
    <row r="59" spans="1:14" ht="24.75" x14ac:dyDescent="0.25">
      <c r="A59" s="21" t="s">
        <v>19551</v>
      </c>
      <c r="B59" s="22" t="s">
        <v>19552</v>
      </c>
      <c r="C59" s="2">
        <v>1</v>
      </c>
      <c r="D59" s="23">
        <v>28.99</v>
      </c>
      <c r="E59" s="3">
        <v>28.99</v>
      </c>
      <c r="F59" s="2" t="s">
        <v>19553</v>
      </c>
      <c r="G59" s="22" t="s">
        <v>19342</v>
      </c>
      <c r="H59" s="24" t="s">
        <v>19542</v>
      </c>
      <c r="I59" s="22" t="s">
        <v>19309</v>
      </c>
      <c r="J59" s="22" t="s">
        <v>19550</v>
      </c>
      <c r="K59" s="22" t="s">
        <v>19554</v>
      </c>
      <c r="L59" s="22"/>
      <c r="M59" s="22"/>
      <c r="N59" s="25" t="str">
        <f>HYPERLINK("http://slimages.macys.com/is/image/MCY/21204882 ")</f>
        <v xml:space="preserve">http://slimages.macys.com/is/image/MCY/21204882 </v>
      </c>
    </row>
    <row r="60" spans="1:14" ht="24.75" x14ac:dyDescent="0.25">
      <c r="A60" s="21" t="s">
        <v>19555</v>
      </c>
      <c r="B60" s="22" t="s">
        <v>19556</v>
      </c>
      <c r="C60" s="2">
        <v>1</v>
      </c>
      <c r="D60" s="23">
        <v>32.5</v>
      </c>
      <c r="E60" s="3">
        <v>32.5</v>
      </c>
      <c r="F60" s="2" t="s">
        <v>19557</v>
      </c>
      <c r="G60" s="22" t="s">
        <v>19315</v>
      </c>
      <c r="H60" s="24" t="s">
        <v>19558</v>
      </c>
      <c r="I60" s="22" t="s">
        <v>19309</v>
      </c>
      <c r="J60" s="22" t="s">
        <v>19559</v>
      </c>
      <c r="K60" s="22" t="s">
        <v>19560</v>
      </c>
      <c r="L60" s="22" t="s">
        <v>19319</v>
      </c>
      <c r="M60" s="22" t="s">
        <v>19561</v>
      </c>
      <c r="N60" s="25" t="str">
        <f>HYPERLINK("http://slimages.macys.com/is/image/MCY/9524844 ")</f>
        <v xml:space="preserve">http://slimages.macys.com/is/image/MCY/9524844 </v>
      </c>
    </row>
    <row r="61" spans="1:14" ht="24.75" x14ac:dyDescent="0.25">
      <c r="A61" s="21" t="s">
        <v>19562</v>
      </c>
      <c r="B61" s="22" t="s">
        <v>19563</v>
      </c>
      <c r="C61" s="2">
        <v>1</v>
      </c>
      <c r="D61" s="23">
        <v>25</v>
      </c>
      <c r="E61" s="3">
        <v>25</v>
      </c>
      <c r="F61" s="2" t="s">
        <v>19564</v>
      </c>
      <c r="G61" s="22" t="s">
        <v>19315</v>
      </c>
      <c r="H61" s="24"/>
      <c r="I61" s="22" t="s">
        <v>19309</v>
      </c>
      <c r="J61" s="22" t="s">
        <v>19565</v>
      </c>
      <c r="K61" s="22" t="s">
        <v>19566</v>
      </c>
      <c r="L61" s="22"/>
      <c r="M61" s="22"/>
      <c r="N61" s="25" t="str">
        <f>HYPERLINK("http://slimages.macys.com/is/image/MCY/21294502 ")</f>
        <v xml:space="preserve">http://slimages.macys.com/is/image/MCY/21294502 </v>
      </c>
    </row>
    <row r="62" spans="1:14" x14ac:dyDescent="0.25">
      <c r="A62" s="21" t="s">
        <v>19567</v>
      </c>
      <c r="B62" s="22" t="s">
        <v>19568</v>
      </c>
      <c r="C62" s="2">
        <v>1</v>
      </c>
      <c r="D62" s="23">
        <v>25.99</v>
      </c>
      <c r="E62" s="3">
        <v>25.99</v>
      </c>
      <c r="F62" s="2" t="s">
        <v>19569</v>
      </c>
      <c r="G62" s="22" t="s">
        <v>19333</v>
      </c>
      <c r="H62" s="24" t="s">
        <v>19395</v>
      </c>
      <c r="I62" s="22" t="s">
        <v>19309</v>
      </c>
      <c r="J62" s="22" t="s">
        <v>19310</v>
      </c>
      <c r="K62" s="22" t="s">
        <v>19433</v>
      </c>
      <c r="L62" s="22"/>
      <c r="M62" s="22"/>
      <c r="N62" s="25" t="str">
        <f>HYPERLINK("http://slimages.macys.com/is/image/MCY/21964510 ")</f>
        <v xml:space="preserve">http://slimages.macys.com/is/image/MCY/21964510 </v>
      </c>
    </row>
    <row r="63" spans="1:14" ht="24.75" x14ac:dyDescent="0.25">
      <c r="A63" s="21" t="s">
        <v>19570</v>
      </c>
      <c r="B63" s="22" t="s">
        <v>19571</v>
      </c>
      <c r="C63" s="2">
        <v>2</v>
      </c>
      <c r="D63" s="23">
        <v>28.99</v>
      </c>
      <c r="E63" s="3">
        <v>57.98</v>
      </c>
      <c r="F63" s="2" t="s">
        <v>19572</v>
      </c>
      <c r="G63" s="22" t="s">
        <v>19315</v>
      </c>
      <c r="H63" s="24"/>
      <c r="I63" s="22" t="s">
        <v>19309</v>
      </c>
      <c r="J63" s="22" t="s">
        <v>19573</v>
      </c>
      <c r="K63" s="22" t="s">
        <v>19574</v>
      </c>
      <c r="L63" s="22"/>
      <c r="M63" s="22"/>
      <c r="N63" s="25" t="str">
        <f>HYPERLINK("http://slimages.macys.com/is/image/MCY/21731366 ")</f>
        <v xml:space="preserve">http://slimages.macys.com/is/image/MCY/21731366 </v>
      </c>
    </row>
    <row r="64" spans="1:14" x14ac:dyDescent="0.25">
      <c r="A64" s="21" t="s">
        <v>19575</v>
      </c>
      <c r="B64" s="22" t="s">
        <v>19576</v>
      </c>
      <c r="C64" s="2">
        <v>1</v>
      </c>
      <c r="D64" s="23">
        <v>23</v>
      </c>
      <c r="E64" s="3">
        <v>23</v>
      </c>
      <c r="F64" s="2" t="s">
        <v>19577</v>
      </c>
      <c r="G64" s="22" t="s">
        <v>19338</v>
      </c>
      <c r="H64" s="24" t="s">
        <v>19339</v>
      </c>
      <c r="I64" s="22" t="s">
        <v>19309</v>
      </c>
      <c r="J64" s="22" t="s">
        <v>19310</v>
      </c>
      <c r="K64" s="22" t="s">
        <v>19311</v>
      </c>
      <c r="L64" s="22"/>
      <c r="M64" s="22"/>
      <c r="N64" s="25" t="str">
        <f>HYPERLINK("http://slimages.macys.com/is/image/MCY/17974133 ")</f>
        <v xml:space="preserve">http://slimages.macys.com/is/image/MCY/17974133 </v>
      </c>
    </row>
    <row r="65" spans="1:14" ht="48.75" x14ac:dyDescent="0.25">
      <c r="A65" s="21" t="s">
        <v>19578</v>
      </c>
      <c r="B65" s="22" t="s">
        <v>19579</v>
      </c>
      <c r="C65" s="2">
        <v>1</v>
      </c>
      <c r="D65" s="23">
        <v>27.99</v>
      </c>
      <c r="E65" s="3">
        <v>27.99</v>
      </c>
      <c r="F65" s="2" t="s">
        <v>19580</v>
      </c>
      <c r="G65" s="22" t="s">
        <v>19351</v>
      </c>
      <c r="H65" s="24" t="s">
        <v>19416</v>
      </c>
      <c r="I65" s="22" t="s">
        <v>19309</v>
      </c>
      <c r="J65" s="22" t="s">
        <v>19385</v>
      </c>
      <c r="K65" s="22" t="s">
        <v>19406</v>
      </c>
      <c r="L65" s="22" t="s">
        <v>19319</v>
      </c>
      <c r="M65" s="22" t="s">
        <v>19581</v>
      </c>
      <c r="N65" s="25" t="str">
        <f>HYPERLINK("http://slimages.macys.com/is/image/MCY/14802571 ")</f>
        <v xml:space="preserve">http://slimages.macys.com/is/image/MCY/14802571 </v>
      </c>
    </row>
    <row r="66" spans="1:14" ht="24.75" x14ac:dyDescent="0.25">
      <c r="A66" s="21" t="s">
        <v>19582</v>
      </c>
      <c r="B66" s="22" t="s">
        <v>19583</v>
      </c>
      <c r="C66" s="2">
        <v>1</v>
      </c>
      <c r="D66" s="23">
        <v>26.99</v>
      </c>
      <c r="E66" s="3">
        <v>26.99</v>
      </c>
      <c r="F66" s="2" t="s">
        <v>19584</v>
      </c>
      <c r="G66" s="22" t="s">
        <v>19585</v>
      </c>
      <c r="H66" s="24" t="s">
        <v>19416</v>
      </c>
      <c r="I66" s="22" t="s">
        <v>19309</v>
      </c>
      <c r="J66" s="22" t="s">
        <v>19573</v>
      </c>
      <c r="K66" s="22" t="s">
        <v>19574</v>
      </c>
      <c r="L66" s="22"/>
      <c r="M66" s="22"/>
      <c r="N66" s="25" t="str">
        <f>HYPERLINK("http://slimages.macys.com/is/image/MCY/21088504 ")</f>
        <v xml:space="preserve">http://slimages.macys.com/is/image/MCY/21088504 </v>
      </c>
    </row>
    <row r="67" spans="1:14" ht="24.75" x14ac:dyDescent="0.25">
      <c r="A67" s="21" t="s">
        <v>19586</v>
      </c>
      <c r="B67" s="22" t="s">
        <v>19587</v>
      </c>
      <c r="C67" s="2">
        <v>1</v>
      </c>
      <c r="D67" s="23">
        <v>26.99</v>
      </c>
      <c r="E67" s="3">
        <v>26.99</v>
      </c>
      <c r="F67" s="2" t="s">
        <v>19588</v>
      </c>
      <c r="G67" s="22" t="s">
        <v>19351</v>
      </c>
      <c r="H67" s="24" t="s">
        <v>19324</v>
      </c>
      <c r="I67" s="22" t="s">
        <v>19309</v>
      </c>
      <c r="J67" s="22" t="s">
        <v>19573</v>
      </c>
      <c r="K67" s="22" t="s">
        <v>19574</v>
      </c>
      <c r="L67" s="22"/>
      <c r="M67" s="22"/>
      <c r="N67" s="25" t="str">
        <f>HYPERLINK("http://slimages.macys.com/is/image/MCY/20142463 ")</f>
        <v xml:space="preserve">http://slimages.macys.com/is/image/MCY/20142463 </v>
      </c>
    </row>
    <row r="68" spans="1:14" ht="24.75" x14ac:dyDescent="0.25">
      <c r="A68" s="21" t="s">
        <v>19589</v>
      </c>
      <c r="B68" s="22" t="s">
        <v>19590</v>
      </c>
      <c r="C68" s="2">
        <v>1</v>
      </c>
      <c r="D68" s="23">
        <v>26.99</v>
      </c>
      <c r="E68" s="3">
        <v>26.99</v>
      </c>
      <c r="F68" s="2" t="s">
        <v>19588</v>
      </c>
      <c r="G68" s="22" t="s">
        <v>19351</v>
      </c>
      <c r="H68" s="24" t="s">
        <v>19330</v>
      </c>
      <c r="I68" s="22" t="s">
        <v>19309</v>
      </c>
      <c r="J68" s="22" t="s">
        <v>19573</v>
      </c>
      <c r="K68" s="22" t="s">
        <v>19574</v>
      </c>
      <c r="L68" s="22"/>
      <c r="M68" s="22"/>
      <c r="N68" s="25" t="str">
        <f>HYPERLINK("http://slimages.macys.com/is/image/MCY/20142463 ")</f>
        <v xml:space="preserve">http://slimages.macys.com/is/image/MCY/20142463 </v>
      </c>
    </row>
    <row r="69" spans="1:14" ht="24.75" x14ac:dyDescent="0.25">
      <c r="A69" s="21" t="s">
        <v>19591</v>
      </c>
      <c r="B69" s="22" t="s">
        <v>19592</v>
      </c>
      <c r="C69" s="2">
        <v>3</v>
      </c>
      <c r="D69" s="23">
        <v>26.99</v>
      </c>
      <c r="E69" s="3">
        <v>80.97</v>
      </c>
      <c r="F69" s="2" t="s">
        <v>19593</v>
      </c>
      <c r="G69" s="22" t="s">
        <v>19594</v>
      </c>
      <c r="H69" s="24" t="s">
        <v>19395</v>
      </c>
      <c r="I69" s="22" t="s">
        <v>19309</v>
      </c>
      <c r="J69" s="22" t="s">
        <v>19595</v>
      </c>
      <c r="K69" s="22" t="s">
        <v>19596</v>
      </c>
      <c r="L69" s="22"/>
      <c r="M69" s="22"/>
      <c r="N69" s="25" t="str">
        <f>HYPERLINK("http://slimages.macys.com/is/image/MCY/21623080 ")</f>
        <v xml:space="preserve">http://slimages.macys.com/is/image/MCY/21623080 </v>
      </c>
    </row>
    <row r="70" spans="1:14" ht="24.75" x14ac:dyDescent="0.25">
      <c r="A70" s="21" t="s">
        <v>19597</v>
      </c>
      <c r="B70" s="22" t="s">
        <v>19598</v>
      </c>
      <c r="C70" s="2">
        <v>1</v>
      </c>
      <c r="D70" s="23">
        <v>26.99</v>
      </c>
      <c r="E70" s="3">
        <v>26.99</v>
      </c>
      <c r="F70" s="2" t="s">
        <v>19593</v>
      </c>
      <c r="G70" s="22" t="s">
        <v>19594</v>
      </c>
      <c r="H70" s="24" t="s">
        <v>19334</v>
      </c>
      <c r="I70" s="22" t="s">
        <v>19309</v>
      </c>
      <c r="J70" s="22" t="s">
        <v>19595</v>
      </c>
      <c r="K70" s="22" t="s">
        <v>19596</v>
      </c>
      <c r="L70" s="22"/>
      <c r="M70" s="22"/>
      <c r="N70" s="25" t="str">
        <f>HYPERLINK("http://slimages.macys.com/is/image/MCY/21622966 ")</f>
        <v xml:space="preserve">http://slimages.macys.com/is/image/MCY/21622966 </v>
      </c>
    </row>
    <row r="71" spans="1:14" ht="24.75" x14ac:dyDescent="0.25">
      <c r="A71" s="21" t="s">
        <v>19599</v>
      </c>
      <c r="B71" s="22" t="s">
        <v>19600</v>
      </c>
      <c r="C71" s="2">
        <v>1</v>
      </c>
      <c r="D71" s="23">
        <v>26.23</v>
      </c>
      <c r="E71" s="3">
        <v>26.23</v>
      </c>
      <c r="F71" s="2" t="s">
        <v>19601</v>
      </c>
      <c r="G71" s="22"/>
      <c r="H71" s="24" t="s">
        <v>19361</v>
      </c>
      <c r="I71" s="22" t="s">
        <v>19309</v>
      </c>
      <c r="J71" s="22" t="s">
        <v>19602</v>
      </c>
      <c r="K71" s="22" t="s">
        <v>19603</v>
      </c>
      <c r="L71" s="22"/>
      <c r="M71" s="22"/>
      <c r="N71" s="25" t="str">
        <f>HYPERLINK("http://slimages.macys.com/is/image/MCY/21421881 ")</f>
        <v xml:space="preserve">http://slimages.macys.com/is/image/MCY/21421881 </v>
      </c>
    </row>
    <row r="72" spans="1:14" ht="24.75" x14ac:dyDescent="0.25">
      <c r="A72" s="21" t="s">
        <v>19604</v>
      </c>
      <c r="B72" s="22" t="s">
        <v>19605</v>
      </c>
      <c r="C72" s="2">
        <v>1</v>
      </c>
      <c r="D72" s="23">
        <v>26.07</v>
      </c>
      <c r="E72" s="3">
        <v>26.07</v>
      </c>
      <c r="F72" s="2" t="s">
        <v>19606</v>
      </c>
      <c r="G72" s="22"/>
      <c r="H72" s="24" t="s">
        <v>19399</v>
      </c>
      <c r="I72" s="22" t="s">
        <v>19309</v>
      </c>
      <c r="J72" s="22" t="s">
        <v>19602</v>
      </c>
      <c r="K72" s="22" t="s">
        <v>19603</v>
      </c>
      <c r="L72" s="22"/>
      <c r="M72" s="22"/>
      <c r="N72" s="25" t="str">
        <f>HYPERLINK("http://slimages.macys.com/is/image/MCY/22406057 ")</f>
        <v xml:space="preserve">http://slimages.macys.com/is/image/MCY/22406057 </v>
      </c>
    </row>
    <row r="73" spans="1:14" ht="24.75" x14ac:dyDescent="0.25">
      <c r="A73" s="21" t="s">
        <v>19607</v>
      </c>
      <c r="B73" s="22" t="s">
        <v>19608</v>
      </c>
      <c r="C73" s="2">
        <v>1</v>
      </c>
      <c r="D73" s="23">
        <v>24.99</v>
      </c>
      <c r="E73" s="3">
        <v>24.99</v>
      </c>
      <c r="F73" s="2" t="s">
        <v>19609</v>
      </c>
      <c r="G73" s="22" t="s">
        <v>19342</v>
      </c>
      <c r="H73" s="24" t="s">
        <v>19416</v>
      </c>
      <c r="I73" s="22" t="s">
        <v>19309</v>
      </c>
      <c r="J73" s="22" t="s">
        <v>19491</v>
      </c>
      <c r="K73" s="22" t="s">
        <v>19554</v>
      </c>
      <c r="L73" s="22"/>
      <c r="M73" s="22"/>
      <c r="N73" s="25" t="str">
        <f>HYPERLINK("http://slimages.macys.com/is/image/MCY/21483061 ")</f>
        <v xml:space="preserve">http://slimages.macys.com/is/image/MCY/21483061 </v>
      </c>
    </row>
    <row r="74" spans="1:14" ht="24.75" x14ac:dyDescent="0.25">
      <c r="A74" s="21" t="s">
        <v>19610</v>
      </c>
      <c r="B74" s="22" t="s">
        <v>19611</v>
      </c>
      <c r="C74" s="2">
        <v>1</v>
      </c>
      <c r="D74" s="23">
        <v>37.5</v>
      </c>
      <c r="E74" s="3">
        <v>37.5</v>
      </c>
      <c r="F74" s="2" t="s">
        <v>19612</v>
      </c>
      <c r="G74" s="22" t="s">
        <v>19351</v>
      </c>
      <c r="H74" s="24"/>
      <c r="I74" s="22" t="s">
        <v>19309</v>
      </c>
      <c r="J74" s="22" t="s">
        <v>19613</v>
      </c>
      <c r="K74" s="22" t="s">
        <v>19614</v>
      </c>
      <c r="L74" s="22"/>
      <c r="M74" s="22"/>
      <c r="N74" s="25" t="str">
        <f>HYPERLINK("http://slimages.macys.com/is/image/MCY/21939930 ")</f>
        <v xml:space="preserve">http://slimages.macys.com/is/image/MCY/21939930 </v>
      </c>
    </row>
    <row r="75" spans="1:14" ht="24.75" x14ac:dyDescent="0.25">
      <c r="A75" s="21" t="s">
        <v>19615</v>
      </c>
      <c r="B75" s="22" t="s">
        <v>19616</v>
      </c>
      <c r="C75" s="2">
        <v>1</v>
      </c>
      <c r="D75" s="23">
        <v>37.5</v>
      </c>
      <c r="E75" s="3">
        <v>37.5</v>
      </c>
      <c r="F75" s="2" t="s">
        <v>19617</v>
      </c>
      <c r="G75" s="22" t="s">
        <v>19618</v>
      </c>
      <c r="H75" s="24"/>
      <c r="I75" s="22" t="s">
        <v>19309</v>
      </c>
      <c r="J75" s="22" t="s">
        <v>19613</v>
      </c>
      <c r="K75" s="22" t="s">
        <v>19614</v>
      </c>
      <c r="L75" s="22"/>
      <c r="M75" s="22"/>
      <c r="N75" s="25" t="str">
        <f>HYPERLINK("http://slimages.macys.com/is/image/MCY/21035813 ")</f>
        <v xml:space="preserve">http://slimages.macys.com/is/image/MCY/21035813 </v>
      </c>
    </row>
    <row r="76" spans="1:14" x14ac:dyDescent="0.25">
      <c r="A76" s="21" t="s">
        <v>19619</v>
      </c>
      <c r="B76" s="22" t="s">
        <v>19620</v>
      </c>
      <c r="C76" s="2">
        <v>1</v>
      </c>
      <c r="D76" s="23">
        <v>21.99</v>
      </c>
      <c r="E76" s="3">
        <v>21.99</v>
      </c>
      <c r="F76" s="2" t="s">
        <v>19621</v>
      </c>
      <c r="G76" s="22" t="s">
        <v>19622</v>
      </c>
      <c r="H76" s="24" t="s">
        <v>19432</v>
      </c>
      <c r="I76" s="22" t="s">
        <v>19309</v>
      </c>
      <c r="J76" s="22" t="s">
        <v>19310</v>
      </c>
      <c r="K76" s="22" t="s">
        <v>19623</v>
      </c>
      <c r="L76" s="22" t="s">
        <v>19319</v>
      </c>
      <c r="M76" s="22" t="s">
        <v>19435</v>
      </c>
      <c r="N76" s="25" t="str">
        <f>HYPERLINK("http://slimages.macys.com/is/image/MCY/13318435 ")</f>
        <v xml:space="preserve">http://slimages.macys.com/is/image/MCY/13318435 </v>
      </c>
    </row>
    <row r="77" spans="1:14" x14ac:dyDescent="0.25">
      <c r="A77" s="21" t="s">
        <v>19624</v>
      </c>
      <c r="B77" s="22" t="s">
        <v>19625</v>
      </c>
      <c r="C77" s="2">
        <v>1</v>
      </c>
      <c r="D77" s="23">
        <v>22.99</v>
      </c>
      <c r="E77" s="3">
        <v>22.99</v>
      </c>
      <c r="F77" s="2" t="s">
        <v>19626</v>
      </c>
      <c r="G77" s="22" t="s">
        <v>19315</v>
      </c>
      <c r="H77" s="24" t="s">
        <v>19364</v>
      </c>
      <c r="I77" s="22" t="s">
        <v>19309</v>
      </c>
      <c r="J77" s="22" t="s">
        <v>19310</v>
      </c>
      <c r="K77" s="22" t="s">
        <v>19529</v>
      </c>
      <c r="L77" s="22"/>
      <c r="M77" s="22"/>
      <c r="N77" s="25" t="str">
        <f>HYPERLINK("http://slimages.macys.com/is/image/MCY/21646843 ")</f>
        <v xml:space="preserve">http://slimages.macys.com/is/image/MCY/21646843 </v>
      </c>
    </row>
    <row r="78" spans="1:14" x14ac:dyDescent="0.25">
      <c r="A78" s="21" t="s">
        <v>19627</v>
      </c>
      <c r="B78" s="22" t="s">
        <v>19628</v>
      </c>
      <c r="C78" s="2">
        <v>1</v>
      </c>
      <c r="D78" s="23">
        <v>22.99</v>
      </c>
      <c r="E78" s="3">
        <v>22.99</v>
      </c>
      <c r="F78" s="2" t="s">
        <v>19629</v>
      </c>
      <c r="G78" s="22" t="s">
        <v>19630</v>
      </c>
      <c r="H78" s="24" t="s">
        <v>19339</v>
      </c>
      <c r="I78" s="22" t="s">
        <v>19309</v>
      </c>
      <c r="J78" s="22" t="s">
        <v>19310</v>
      </c>
      <c r="K78" s="22" t="s">
        <v>19631</v>
      </c>
      <c r="L78" s="22"/>
      <c r="M78" s="22"/>
      <c r="N78" s="25" t="str">
        <f>HYPERLINK("http://slimages.macys.com/is/image/MCY/21927904 ")</f>
        <v xml:space="preserve">http://slimages.macys.com/is/image/MCY/21927904 </v>
      </c>
    </row>
    <row r="79" spans="1:14" ht="24.75" x14ac:dyDescent="0.25">
      <c r="A79" s="21" t="s">
        <v>19632</v>
      </c>
      <c r="B79" s="22" t="s">
        <v>19633</v>
      </c>
      <c r="C79" s="2">
        <v>1</v>
      </c>
      <c r="D79" s="23">
        <v>26.99</v>
      </c>
      <c r="E79" s="3">
        <v>26.99</v>
      </c>
      <c r="F79" s="2" t="s">
        <v>19634</v>
      </c>
      <c r="G79" s="22" t="s">
        <v>19635</v>
      </c>
      <c r="H79" s="24" t="s">
        <v>19538</v>
      </c>
      <c r="I79" s="22" t="s">
        <v>19309</v>
      </c>
      <c r="J79" s="22" t="s">
        <v>19385</v>
      </c>
      <c r="K79" s="22" t="s">
        <v>19411</v>
      </c>
      <c r="L79" s="22"/>
      <c r="M79" s="22"/>
      <c r="N79" s="25" t="str">
        <f>HYPERLINK("http://slimages.macys.com/is/image/MCY/21677796 ")</f>
        <v xml:space="preserve">http://slimages.macys.com/is/image/MCY/21677796 </v>
      </c>
    </row>
    <row r="80" spans="1:14" x14ac:dyDescent="0.25">
      <c r="A80" s="21" t="s">
        <v>19636</v>
      </c>
      <c r="B80" s="22" t="s">
        <v>19637</v>
      </c>
      <c r="C80" s="2">
        <v>1</v>
      </c>
      <c r="D80" s="23">
        <v>23.22</v>
      </c>
      <c r="E80" s="3">
        <v>23.22</v>
      </c>
      <c r="F80" s="2" t="s">
        <v>19638</v>
      </c>
      <c r="G80" s="22" t="s">
        <v>19342</v>
      </c>
      <c r="H80" s="24" t="s">
        <v>19361</v>
      </c>
      <c r="I80" s="22" t="s">
        <v>19309</v>
      </c>
      <c r="J80" s="22" t="s">
        <v>19514</v>
      </c>
      <c r="K80" s="22" t="s">
        <v>19639</v>
      </c>
      <c r="L80" s="22"/>
      <c r="M80" s="22"/>
      <c r="N80" s="25" t="str">
        <f>HYPERLINK("http://slimages.macys.com/is/image/MCY/21700828 ")</f>
        <v xml:space="preserve">http://slimages.macys.com/is/image/MCY/21700828 </v>
      </c>
    </row>
    <row r="81" spans="1:14" x14ac:dyDescent="0.25">
      <c r="A81" s="21" t="s">
        <v>19640</v>
      </c>
      <c r="B81" s="22" t="s">
        <v>19641</v>
      </c>
      <c r="C81" s="2">
        <v>1</v>
      </c>
      <c r="D81" s="23">
        <v>23.22</v>
      </c>
      <c r="E81" s="3">
        <v>23.22</v>
      </c>
      <c r="F81" s="2" t="s">
        <v>19642</v>
      </c>
      <c r="G81" s="22" t="s">
        <v>19342</v>
      </c>
      <c r="H81" s="24" t="s">
        <v>19345</v>
      </c>
      <c r="I81" s="22" t="s">
        <v>19309</v>
      </c>
      <c r="J81" s="22" t="s">
        <v>19514</v>
      </c>
      <c r="K81" s="22" t="s">
        <v>19639</v>
      </c>
      <c r="L81" s="22"/>
      <c r="M81" s="22"/>
      <c r="N81" s="25" t="str">
        <f>HYPERLINK("http://slimages.macys.com/is/image/MCY/21700827 ")</f>
        <v xml:space="preserve">http://slimages.macys.com/is/image/MCY/21700827 </v>
      </c>
    </row>
    <row r="82" spans="1:14" x14ac:dyDescent="0.25">
      <c r="A82" s="21" t="s">
        <v>19643</v>
      </c>
      <c r="B82" s="22" t="s">
        <v>19644</v>
      </c>
      <c r="C82" s="2">
        <v>1</v>
      </c>
      <c r="D82" s="23">
        <v>23.22</v>
      </c>
      <c r="E82" s="3">
        <v>23.22</v>
      </c>
      <c r="F82" s="2" t="s">
        <v>19645</v>
      </c>
      <c r="G82" s="22" t="s">
        <v>19342</v>
      </c>
      <c r="H82" s="24" t="s">
        <v>19334</v>
      </c>
      <c r="I82" s="22" t="s">
        <v>19309</v>
      </c>
      <c r="J82" s="22" t="s">
        <v>19514</v>
      </c>
      <c r="K82" s="22" t="s">
        <v>19546</v>
      </c>
      <c r="L82" s="22"/>
      <c r="M82" s="22"/>
      <c r="N82" s="25" t="str">
        <f>HYPERLINK("http://slimages.macys.com/is/image/MCY/21642624 ")</f>
        <v xml:space="preserve">http://slimages.macys.com/is/image/MCY/21642624 </v>
      </c>
    </row>
    <row r="83" spans="1:14" x14ac:dyDescent="0.25">
      <c r="A83" s="21" t="s">
        <v>19646</v>
      </c>
      <c r="B83" s="22" t="s">
        <v>19647</v>
      </c>
      <c r="C83" s="2">
        <v>1</v>
      </c>
      <c r="D83" s="23">
        <v>23.22</v>
      </c>
      <c r="E83" s="3">
        <v>23.22</v>
      </c>
      <c r="F83" s="2" t="s">
        <v>19648</v>
      </c>
      <c r="G83" s="22" t="s">
        <v>19342</v>
      </c>
      <c r="H83" s="24" t="s">
        <v>19361</v>
      </c>
      <c r="I83" s="22" t="s">
        <v>19309</v>
      </c>
      <c r="J83" s="22" t="s">
        <v>19514</v>
      </c>
      <c r="K83" s="22" t="s">
        <v>19546</v>
      </c>
      <c r="L83" s="22"/>
      <c r="M83" s="22"/>
      <c r="N83" s="25" t="str">
        <f>HYPERLINK("http://slimages.macys.com/is/image/MCY/21424216 ")</f>
        <v xml:space="preserve">http://slimages.macys.com/is/image/MCY/21424216 </v>
      </c>
    </row>
    <row r="84" spans="1:14" ht="24.75" x14ac:dyDescent="0.25">
      <c r="A84" s="21" t="s">
        <v>19649</v>
      </c>
      <c r="B84" s="22" t="s">
        <v>19650</v>
      </c>
      <c r="C84" s="2">
        <v>1</v>
      </c>
      <c r="D84" s="23">
        <v>30.99</v>
      </c>
      <c r="E84" s="3">
        <v>30.99</v>
      </c>
      <c r="F84" s="2" t="s">
        <v>19651</v>
      </c>
      <c r="G84" s="22" t="s">
        <v>19351</v>
      </c>
      <c r="H84" s="24" t="s">
        <v>19352</v>
      </c>
      <c r="I84" s="22" t="s">
        <v>19309</v>
      </c>
      <c r="J84" s="22" t="s">
        <v>19353</v>
      </c>
      <c r="K84" s="22" t="s">
        <v>19524</v>
      </c>
      <c r="L84" s="22"/>
      <c r="M84" s="22"/>
      <c r="N84" s="25" t="str">
        <f>HYPERLINK("http://slimages.macys.com/is/image/MCY/1352878 ")</f>
        <v xml:space="preserve">http://slimages.macys.com/is/image/MCY/1352878 </v>
      </c>
    </row>
    <row r="85" spans="1:14" ht="24.75" x14ac:dyDescent="0.25">
      <c r="A85" s="21" t="s">
        <v>19652</v>
      </c>
      <c r="B85" s="22" t="s">
        <v>19653</v>
      </c>
      <c r="C85" s="2">
        <v>1</v>
      </c>
      <c r="D85" s="23">
        <v>30.99</v>
      </c>
      <c r="E85" s="3">
        <v>30.99</v>
      </c>
      <c r="F85" s="2" t="s">
        <v>19651</v>
      </c>
      <c r="G85" s="22" t="s">
        <v>19351</v>
      </c>
      <c r="H85" s="24" t="s">
        <v>19339</v>
      </c>
      <c r="I85" s="22" t="s">
        <v>19309</v>
      </c>
      <c r="J85" s="22" t="s">
        <v>19353</v>
      </c>
      <c r="K85" s="22" t="s">
        <v>19524</v>
      </c>
      <c r="L85" s="22"/>
      <c r="M85" s="22"/>
      <c r="N85" s="25" t="str">
        <f>HYPERLINK("http://slimages.macys.com/is/image/MCY/21275472 ")</f>
        <v xml:space="preserve">http://slimages.macys.com/is/image/MCY/21275472 </v>
      </c>
    </row>
    <row r="86" spans="1:14" ht="24.75" x14ac:dyDescent="0.25">
      <c r="A86" s="21" t="s">
        <v>19654</v>
      </c>
      <c r="B86" s="22" t="s">
        <v>19655</v>
      </c>
      <c r="C86" s="2">
        <v>1</v>
      </c>
      <c r="D86" s="23">
        <v>24.99</v>
      </c>
      <c r="E86" s="3">
        <v>24.99</v>
      </c>
      <c r="F86" s="2" t="s">
        <v>19656</v>
      </c>
      <c r="G86" s="22" t="s">
        <v>19333</v>
      </c>
      <c r="H86" s="24" t="s">
        <v>19416</v>
      </c>
      <c r="I86" s="22" t="s">
        <v>19309</v>
      </c>
      <c r="J86" s="22" t="s">
        <v>19385</v>
      </c>
      <c r="K86" s="22" t="s">
        <v>19487</v>
      </c>
      <c r="L86" s="22"/>
      <c r="M86" s="22"/>
      <c r="N86" s="25" t="str">
        <f>HYPERLINK("http://slimages.macys.com/is/image/MCY/21856823 ")</f>
        <v xml:space="preserve">http://slimages.macys.com/is/image/MCY/21856823 </v>
      </c>
    </row>
    <row r="87" spans="1:14" ht="24.75" x14ac:dyDescent="0.25">
      <c r="A87" s="21" t="s">
        <v>19657</v>
      </c>
      <c r="B87" s="22" t="s">
        <v>19658</v>
      </c>
      <c r="C87" s="2">
        <v>1</v>
      </c>
      <c r="D87" s="23">
        <v>42.5</v>
      </c>
      <c r="E87" s="3">
        <v>42.5</v>
      </c>
      <c r="F87" s="2" t="s">
        <v>19659</v>
      </c>
      <c r="G87" s="22" t="s">
        <v>19660</v>
      </c>
      <c r="H87" s="24"/>
      <c r="I87" s="22" t="s">
        <v>19309</v>
      </c>
      <c r="J87" s="22" t="s">
        <v>19613</v>
      </c>
      <c r="K87" s="22" t="s">
        <v>19614</v>
      </c>
      <c r="L87" s="22"/>
      <c r="M87" s="22"/>
      <c r="N87" s="25" t="str">
        <f>HYPERLINK("http://slimages.macys.com/is/image/MCY/21081666 ")</f>
        <v xml:space="preserve">http://slimages.macys.com/is/image/MCY/21081666 </v>
      </c>
    </row>
    <row r="88" spans="1:14" ht="24.75" x14ac:dyDescent="0.25">
      <c r="A88" s="21" t="s">
        <v>19661</v>
      </c>
      <c r="B88" s="22" t="s">
        <v>19662</v>
      </c>
      <c r="C88" s="2">
        <v>1</v>
      </c>
      <c r="D88" s="23">
        <v>26.99</v>
      </c>
      <c r="E88" s="3">
        <v>26.99</v>
      </c>
      <c r="F88" s="2" t="s">
        <v>19663</v>
      </c>
      <c r="G88" s="22" t="s">
        <v>19333</v>
      </c>
      <c r="H88" s="24" t="s">
        <v>19416</v>
      </c>
      <c r="I88" s="22" t="s">
        <v>19309</v>
      </c>
      <c r="J88" s="22" t="s">
        <v>19385</v>
      </c>
      <c r="K88" s="22" t="s">
        <v>19487</v>
      </c>
      <c r="L88" s="22"/>
      <c r="M88" s="22"/>
      <c r="N88" s="25" t="str">
        <f>HYPERLINK("http://slimages.macys.com/is/image/MCY/21856819 ")</f>
        <v xml:space="preserve">http://slimages.macys.com/is/image/MCY/21856819 </v>
      </c>
    </row>
    <row r="89" spans="1:14" x14ac:dyDescent="0.25">
      <c r="A89" s="21" t="s">
        <v>19664</v>
      </c>
      <c r="B89" s="22" t="s">
        <v>19665</v>
      </c>
      <c r="C89" s="2">
        <v>1</v>
      </c>
      <c r="D89" s="23">
        <v>17.989999999999998</v>
      </c>
      <c r="E89" s="3">
        <v>17.989999999999998</v>
      </c>
      <c r="F89" s="2" t="s">
        <v>19666</v>
      </c>
      <c r="G89" s="22" t="s">
        <v>19630</v>
      </c>
      <c r="H89" s="24" t="s">
        <v>19364</v>
      </c>
      <c r="I89" s="22" t="s">
        <v>19309</v>
      </c>
      <c r="J89" s="22" t="s">
        <v>19310</v>
      </c>
      <c r="K89" s="22" t="s">
        <v>19631</v>
      </c>
      <c r="L89" s="22"/>
      <c r="M89" s="22"/>
      <c r="N89" s="25" t="str">
        <f>HYPERLINK("http://slimages.macys.com/is/image/MCY/16741764 ")</f>
        <v xml:space="preserve">http://slimages.macys.com/is/image/MCY/16741764 </v>
      </c>
    </row>
    <row r="90" spans="1:14" ht="24.75" x14ac:dyDescent="0.25">
      <c r="A90" s="21" t="s">
        <v>19667</v>
      </c>
      <c r="B90" s="22" t="s">
        <v>19668</v>
      </c>
      <c r="C90" s="2">
        <v>1</v>
      </c>
      <c r="D90" s="23">
        <v>25.99</v>
      </c>
      <c r="E90" s="3">
        <v>25.99</v>
      </c>
      <c r="F90" s="2" t="s">
        <v>19669</v>
      </c>
      <c r="G90" s="22" t="s">
        <v>19670</v>
      </c>
      <c r="H90" s="24" t="s">
        <v>19416</v>
      </c>
      <c r="I90" s="22" t="s">
        <v>19309</v>
      </c>
      <c r="J90" s="22" t="s">
        <v>19573</v>
      </c>
      <c r="K90" s="22" t="s">
        <v>19574</v>
      </c>
      <c r="L90" s="22"/>
      <c r="M90" s="22"/>
      <c r="N90" s="25" t="str">
        <f>HYPERLINK("http://slimages.macys.com/is/image/MCY/1122117 ")</f>
        <v xml:space="preserve">http://slimages.macys.com/is/image/MCY/1122117 </v>
      </c>
    </row>
    <row r="91" spans="1:14" ht="24.75" x14ac:dyDescent="0.25">
      <c r="A91" s="21" t="s">
        <v>19671</v>
      </c>
      <c r="B91" s="22" t="s">
        <v>19672</v>
      </c>
      <c r="C91" s="2">
        <v>1</v>
      </c>
      <c r="D91" s="23">
        <v>24.99</v>
      </c>
      <c r="E91" s="3">
        <v>24.99</v>
      </c>
      <c r="F91" s="2" t="s">
        <v>19673</v>
      </c>
      <c r="G91" s="22" t="s">
        <v>19674</v>
      </c>
      <c r="H91" s="24" t="s">
        <v>19330</v>
      </c>
      <c r="I91" s="22" t="s">
        <v>19309</v>
      </c>
      <c r="J91" s="22" t="s">
        <v>19573</v>
      </c>
      <c r="K91" s="22" t="s">
        <v>19574</v>
      </c>
      <c r="L91" s="22"/>
      <c r="M91" s="22"/>
      <c r="N91" s="25" t="str">
        <f>HYPERLINK("http://slimages.macys.com/is/image/MCY/1554793 ")</f>
        <v xml:space="preserve">http://slimages.macys.com/is/image/MCY/1554793 </v>
      </c>
    </row>
    <row r="92" spans="1:14" ht="24.75" x14ac:dyDescent="0.25">
      <c r="A92" s="21" t="s">
        <v>19675</v>
      </c>
      <c r="B92" s="22" t="s">
        <v>19676</v>
      </c>
      <c r="C92" s="2">
        <v>1</v>
      </c>
      <c r="D92" s="23">
        <v>24.99</v>
      </c>
      <c r="E92" s="3">
        <v>24.99</v>
      </c>
      <c r="F92" s="2" t="s">
        <v>19673</v>
      </c>
      <c r="G92" s="22" t="s">
        <v>19674</v>
      </c>
      <c r="H92" s="24" t="s">
        <v>19538</v>
      </c>
      <c r="I92" s="22" t="s">
        <v>19309</v>
      </c>
      <c r="J92" s="22" t="s">
        <v>19573</v>
      </c>
      <c r="K92" s="22" t="s">
        <v>19574</v>
      </c>
      <c r="L92" s="22"/>
      <c r="M92" s="22"/>
      <c r="N92" s="25" t="str">
        <f>HYPERLINK("http://slimages.macys.com/is/image/MCY/1554793 ")</f>
        <v xml:space="preserve">http://slimages.macys.com/is/image/MCY/1554793 </v>
      </c>
    </row>
    <row r="93" spans="1:14" ht="24.75" x14ac:dyDescent="0.25">
      <c r="A93" s="21" t="s">
        <v>19677</v>
      </c>
      <c r="B93" s="22" t="s">
        <v>19678</v>
      </c>
      <c r="C93" s="2">
        <v>2</v>
      </c>
      <c r="D93" s="23">
        <v>21.99</v>
      </c>
      <c r="E93" s="3">
        <v>43.98</v>
      </c>
      <c r="F93" s="2" t="s">
        <v>19679</v>
      </c>
      <c r="G93" s="22" t="s">
        <v>19680</v>
      </c>
      <c r="H93" s="24" t="s">
        <v>19361</v>
      </c>
      <c r="I93" s="22" t="s">
        <v>19309</v>
      </c>
      <c r="J93" s="22" t="s">
        <v>19310</v>
      </c>
      <c r="K93" s="22" t="s">
        <v>19433</v>
      </c>
      <c r="L93" s="22"/>
      <c r="M93" s="22"/>
      <c r="N93" s="25" t="str">
        <f>HYPERLINK("http://slimages.macys.com/is/image/MCY/17990999 ")</f>
        <v xml:space="preserve">http://slimages.macys.com/is/image/MCY/17990999 </v>
      </c>
    </row>
    <row r="94" spans="1:14" ht="24.75" x14ac:dyDescent="0.25">
      <c r="A94" s="21" t="s">
        <v>19681</v>
      </c>
      <c r="B94" s="22" t="s">
        <v>19682</v>
      </c>
      <c r="C94" s="2">
        <v>1</v>
      </c>
      <c r="D94" s="23">
        <v>21.99</v>
      </c>
      <c r="E94" s="3">
        <v>21.99</v>
      </c>
      <c r="F94" s="2" t="s">
        <v>19679</v>
      </c>
      <c r="G94" s="22" t="s">
        <v>19680</v>
      </c>
      <c r="H94" s="24" t="s">
        <v>19432</v>
      </c>
      <c r="I94" s="22" t="s">
        <v>19309</v>
      </c>
      <c r="J94" s="22" t="s">
        <v>19310</v>
      </c>
      <c r="K94" s="22" t="s">
        <v>19433</v>
      </c>
      <c r="L94" s="22"/>
      <c r="M94" s="22"/>
      <c r="N94" s="25" t="str">
        <f>HYPERLINK("http://slimages.macys.com/is/image/MCY/17990999 ")</f>
        <v xml:space="preserve">http://slimages.macys.com/is/image/MCY/17990999 </v>
      </c>
    </row>
    <row r="95" spans="1:14" ht="24.75" x14ac:dyDescent="0.25">
      <c r="A95" s="21" t="s">
        <v>19683</v>
      </c>
      <c r="B95" s="22" t="s">
        <v>19684</v>
      </c>
      <c r="C95" s="2">
        <v>1</v>
      </c>
      <c r="D95" s="23">
        <v>21.99</v>
      </c>
      <c r="E95" s="3">
        <v>21.99</v>
      </c>
      <c r="F95" s="2" t="s">
        <v>19679</v>
      </c>
      <c r="G95" s="22" t="s">
        <v>19680</v>
      </c>
      <c r="H95" s="24" t="s">
        <v>19395</v>
      </c>
      <c r="I95" s="22" t="s">
        <v>19309</v>
      </c>
      <c r="J95" s="22" t="s">
        <v>19310</v>
      </c>
      <c r="K95" s="22" t="s">
        <v>19433</v>
      </c>
      <c r="L95" s="22"/>
      <c r="M95" s="22"/>
      <c r="N95" s="25" t="str">
        <f>HYPERLINK("http://slimages.macys.com/is/image/MCY/12377458 ")</f>
        <v xml:space="preserve">http://slimages.macys.com/is/image/MCY/12377458 </v>
      </c>
    </row>
    <row r="96" spans="1:14" x14ac:dyDescent="0.25">
      <c r="A96" s="21" t="s">
        <v>19685</v>
      </c>
      <c r="B96" s="22" t="s">
        <v>19686</v>
      </c>
      <c r="C96" s="2">
        <v>1</v>
      </c>
      <c r="D96" s="23">
        <v>37.5</v>
      </c>
      <c r="E96" s="3">
        <v>37.5</v>
      </c>
      <c r="F96" s="2" t="s">
        <v>19687</v>
      </c>
      <c r="G96" s="22" t="s">
        <v>19351</v>
      </c>
      <c r="H96" s="24" t="s">
        <v>19432</v>
      </c>
      <c r="I96" s="22" t="s">
        <v>19309</v>
      </c>
      <c r="J96" s="22" t="s">
        <v>19688</v>
      </c>
      <c r="K96" s="22" t="s">
        <v>19614</v>
      </c>
      <c r="L96" s="22" t="s">
        <v>19319</v>
      </c>
      <c r="M96" s="22" t="s">
        <v>19689</v>
      </c>
      <c r="N96" s="25" t="str">
        <f>HYPERLINK("http://slimages.macys.com/is/image/MCY/3982050 ")</f>
        <v xml:space="preserve">http://slimages.macys.com/is/image/MCY/3982050 </v>
      </c>
    </row>
    <row r="97" spans="1:14" ht="24.75" x14ac:dyDescent="0.25">
      <c r="A97" s="21" t="s">
        <v>19690</v>
      </c>
      <c r="B97" s="22" t="s">
        <v>19691</v>
      </c>
      <c r="C97" s="2">
        <v>1</v>
      </c>
      <c r="D97" s="23">
        <v>19.989999999999998</v>
      </c>
      <c r="E97" s="3">
        <v>19.989999999999998</v>
      </c>
      <c r="F97" s="2" t="s">
        <v>19692</v>
      </c>
      <c r="G97" s="22" t="s">
        <v>19315</v>
      </c>
      <c r="H97" s="24"/>
      <c r="I97" s="22" t="s">
        <v>19309</v>
      </c>
      <c r="J97" s="22" t="s">
        <v>19573</v>
      </c>
      <c r="K97" s="22" t="s">
        <v>19574</v>
      </c>
      <c r="L97" s="22"/>
      <c r="M97" s="22"/>
      <c r="N97" s="25" t="str">
        <f>HYPERLINK("http://slimages.macys.com/is/image/MCY/21731432 ")</f>
        <v xml:space="preserve">http://slimages.macys.com/is/image/MCY/21731432 </v>
      </c>
    </row>
    <row r="98" spans="1:14" x14ac:dyDescent="0.25">
      <c r="A98" s="21" t="s">
        <v>19693</v>
      </c>
      <c r="B98" s="22" t="s">
        <v>19694</v>
      </c>
      <c r="C98" s="2">
        <v>1</v>
      </c>
      <c r="D98" s="23">
        <v>27.99</v>
      </c>
      <c r="E98" s="3">
        <v>27.99</v>
      </c>
      <c r="F98" s="2" t="s">
        <v>19695</v>
      </c>
      <c r="G98" s="22" t="s">
        <v>19342</v>
      </c>
      <c r="H98" s="24" t="s">
        <v>19392</v>
      </c>
      <c r="I98" s="22" t="s">
        <v>19309</v>
      </c>
      <c r="J98" s="22" t="s">
        <v>19696</v>
      </c>
      <c r="K98" s="22" t="s">
        <v>19697</v>
      </c>
      <c r="L98" s="22"/>
      <c r="M98" s="22"/>
      <c r="N98" s="25" t="str">
        <f>HYPERLINK("http://slimages.macys.com/is/image/MCY/21622676 ")</f>
        <v xml:space="preserve">http://slimages.macys.com/is/image/MCY/21622676 </v>
      </c>
    </row>
    <row r="99" spans="1:14" ht="24.75" x14ac:dyDescent="0.25">
      <c r="A99" s="21" t="s">
        <v>19698</v>
      </c>
      <c r="B99" s="22" t="s">
        <v>19699</v>
      </c>
      <c r="C99" s="2">
        <v>1</v>
      </c>
      <c r="D99" s="23">
        <v>19.989999999999998</v>
      </c>
      <c r="E99" s="3">
        <v>19.989999999999998</v>
      </c>
      <c r="F99" s="2" t="s">
        <v>19692</v>
      </c>
      <c r="G99" s="22" t="s">
        <v>19315</v>
      </c>
      <c r="H99" s="24" t="s">
        <v>19330</v>
      </c>
      <c r="I99" s="22" t="s">
        <v>19309</v>
      </c>
      <c r="J99" s="22" t="s">
        <v>19573</v>
      </c>
      <c r="K99" s="22" t="s">
        <v>19574</v>
      </c>
      <c r="L99" s="22"/>
      <c r="M99" s="22"/>
      <c r="N99" s="25" t="str">
        <f>HYPERLINK("http://slimages.macys.com/is/image/MCY/21731432 ")</f>
        <v xml:space="preserve">http://slimages.macys.com/is/image/MCY/21731432 </v>
      </c>
    </row>
    <row r="100" spans="1:14" ht="24.75" x14ac:dyDescent="0.25">
      <c r="A100" s="21" t="s">
        <v>19700</v>
      </c>
      <c r="B100" s="22" t="s">
        <v>19701</v>
      </c>
      <c r="C100" s="2">
        <v>2</v>
      </c>
      <c r="D100" s="23">
        <v>19.989999999999998</v>
      </c>
      <c r="E100" s="3">
        <v>39.979999999999997</v>
      </c>
      <c r="F100" s="2" t="s">
        <v>19692</v>
      </c>
      <c r="G100" s="22" t="s">
        <v>19315</v>
      </c>
      <c r="H100" s="24" t="s">
        <v>19324</v>
      </c>
      <c r="I100" s="22" t="s">
        <v>19309</v>
      </c>
      <c r="J100" s="22" t="s">
        <v>19573</v>
      </c>
      <c r="K100" s="22" t="s">
        <v>19574</v>
      </c>
      <c r="L100" s="22"/>
      <c r="M100" s="22"/>
      <c r="N100" s="25" t="str">
        <f>HYPERLINK("http://slimages.macys.com/is/image/MCY/21731432 ")</f>
        <v xml:space="preserve">http://slimages.macys.com/is/image/MCY/21731432 </v>
      </c>
    </row>
    <row r="101" spans="1:14" x14ac:dyDescent="0.25">
      <c r="A101" s="21" t="s">
        <v>19702</v>
      </c>
      <c r="B101" s="22" t="s">
        <v>19703</v>
      </c>
      <c r="C101" s="2">
        <v>1</v>
      </c>
      <c r="D101" s="23">
        <v>18.989999999999998</v>
      </c>
      <c r="E101" s="3">
        <v>18.989999999999998</v>
      </c>
      <c r="F101" s="2" t="s">
        <v>19704</v>
      </c>
      <c r="G101" s="22" t="s">
        <v>19338</v>
      </c>
      <c r="H101" s="24" t="s">
        <v>19361</v>
      </c>
      <c r="I101" s="22" t="s">
        <v>19309</v>
      </c>
      <c r="J101" s="22" t="s">
        <v>19310</v>
      </c>
      <c r="K101" s="22" t="s">
        <v>19468</v>
      </c>
      <c r="L101" s="22"/>
      <c r="M101" s="22"/>
      <c r="N101" s="25" t="str">
        <f>HYPERLINK("http://slimages.macys.com/is/image/MCY/19944395 ")</f>
        <v xml:space="preserve">http://slimages.macys.com/is/image/MCY/19944395 </v>
      </c>
    </row>
    <row r="102" spans="1:14" x14ac:dyDescent="0.25">
      <c r="A102" s="21" t="s">
        <v>19705</v>
      </c>
      <c r="B102" s="22" t="s">
        <v>19706</v>
      </c>
      <c r="C102" s="2">
        <v>1</v>
      </c>
      <c r="D102" s="23">
        <v>25.44</v>
      </c>
      <c r="E102" s="3">
        <v>25.44</v>
      </c>
      <c r="F102" s="2" t="s">
        <v>19707</v>
      </c>
      <c r="G102" s="22" t="s">
        <v>19323</v>
      </c>
      <c r="H102" s="24" t="s">
        <v>19367</v>
      </c>
      <c r="I102" s="22" t="s">
        <v>19309</v>
      </c>
      <c r="J102" s="22" t="s">
        <v>19708</v>
      </c>
      <c r="K102" s="22" t="s">
        <v>19709</v>
      </c>
      <c r="L102" s="22"/>
      <c r="M102" s="22"/>
      <c r="N102" s="25" t="str">
        <f>HYPERLINK("http://slimages.macys.com/is/image/MCY/22407540 ")</f>
        <v xml:space="preserve">http://slimages.macys.com/is/image/MCY/22407540 </v>
      </c>
    </row>
    <row r="103" spans="1:14" ht="24.75" x14ac:dyDescent="0.25">
      <c r="A103" s="21" t="s">
        <v>19710</v>
      </c>
      <c r="B103" s="22" t="s">
        <v>19711</v>
      </c>
      <c r="C103" s="2">
        <v>1</v>
      </c>
      <c r="D103" s="23">
        <v>22.99</v>
      </c>
      <c r="E103" s="3">
        <v>22.99</v>
      </c>
      <c r="F103" s="2" t="s">
        <v>19712</v>
      </c>
      <c r="G103" s="22" t="s">
        <v>19713</v>
      </c>
      <c r="H103" s="24" t="s">
        <v>19324</v>
      </c>
      <c r="I103" s="22" t="s">
        <v>19309</v>
      </c>
      <c r="J103" s="22" t="s">
        <v>19573</v>
      </c>
      <c r="K103" s="22" t="s">
        <v>19574</v>
      </c>
      <c r="L103" s="22"/>
      <c r="M103" s="22"/>
      <c r="N103" s="25" t="str">
        <f>HYPERLINK("http://slimages.macys.com/is/image/MCY/20757507 ")</f>
        <v xml:space="preserve">http://slimages.macys.com/is/image/MCY/20757507 </v>
      </c>
    </row>
    <row r="104" spans="1:14" x14ac:dyDescent="0.25">
      <c r="A104" s="21" t="s">
        <v>19714</v>
      </c>
      <c r="B104" s="22" t="s">
        <v>19715</v>
      </c>
      <c r="C104" s="2">
        <v>1</v>
      </c>
      <c r="D104" s="23">
        <v>20.58</v>
      </c>
      <c r="E104" s="3">
        <v>20.58</v>
      </c>
      <c r="F104" s="2" t="s">
        <v>19716</v>
      </c>
      <c r="G104" s="22" t="s">
        <v>19342</v>
      </c>
      <c r="H104" s="24" t="s">
        <v>19392</v>
      </c>
      <c r="I104" s="22" t="s">
        <v>19309</v>
      </c>
      <c r="J104" s="22" t="s">
        <v>19514</v>
      </c>
      <c r="K104" s="22" t="s">
        <v>19639</v>
      </c>
      <c r="L104" s="22"/>
      <c r="M104" s="22"/>
      <c r="N104" s="25" t="str">
        <f>HYPERLINK("http://slimages.macys.com/is/image/MCY/21421791 ")</f>
        <v xml:space="preserve">http://slimages.macys.com/is/image/MCY/21421791 </v>
      </c>
    </row>
    <row r="105" spans="1:14" x14ac:dyDescent="0.25">
      <c r="A105" s="21" t="s">
        <v>19717</v>
      </c>
      <c r="B105" s="22" t="s">
        <v>19718</v>
      </c>
      <c r="C105" s="2">
        <v>1</v>
      </c>
      <c r="D105" s="23">
        <v>20.58</v>
      </c>
      <c r="E105" s="3">
        <v>20.58</v>
      </c>
      <c r="F105" s="2" t="s">
        <v>19719</v>
      </c>
      <c r="G105" s="22" t="s">
        <v>19342</v>
      </c>
      <c r="H105" s="24" t="s">
        <v>19542</v>
      </c>
      <c r="I105" s="22" t="s">
        <v>19309</v>
      </c>
      <c r="J105" s="22" t="s">
        <v>19514</v>
      </c>
      <c r="K105" s="22" t="s">
        <v>19546</v>
      </c>
      <c r="L105" s="22"/>
      <c r="M105" s="22"/>
      <c r="N105" s="25" t="str">
        <f>HYPERLINK("http://slimages.macys.com/is/image/MCY/21333463 ")</f>
        <v xml:space="preserve">http://slimages.macys.com/is/image/MCY/21333463 </v>
      </c>
    </row>
    <row r="106" spans="1:14" ht="24.75" x14ac:dyDescent="0.25">
      <c r="A106" s="21" t="s">
        <v>19720</v>
      </c>
      <c r="B106" s="22" t="s">
        <v>19721</v>
      </c>
      <c r="C106" s="2">
        <v>1</v>
      </c>
      <c r="D106" s="23">
        <v>23.99</v>
      </c>
      <c r="E106" s="3">
        <v>23.99</v>
      </c>
      <c r="F106" s="2" t="s">
        <v>19722</v>
      </c>
      <c r="G106" s="22" t="s">
        <v>19518</v>
      </c>
      <c r="H106" s="24" t="s">
        <v>19538</v>
      </c>
      <c r="I106" s="22" t="s">
        <v>19309</v>
      </c>
      <c r="J106" s="22" t="s">
        <v>19573</v>
      </c>
      <c r="K106" s="22" t="s">
        <v>19574</v>
      </c>
      <c r="L106" s="22"/>
      <c r="M106" s="22"/>
      <c r="N106" s="25" t="str">
        <f>HYPERLINK("http://slimages.macys.com/is/image/MCY/20142439 ")</f>
        <v xml:space="preserve">http://slimages.macys.com/is/image/MCY/20142439 </v>
      </c>
    </row>
    <row r="107" spans="1:14" ht="24.75" x14ac:dyDescent="0.25">
      <c r="A107" s="21" t="s">
        <v>19723</v>
      </c>
      <c r="B107" s="22" t="s">
        <v>19724</v>
      </c>
      <c r="C107" s="2">
        <v>1</v>
      </c>
      <c r="D107" s="23">
        <v>10.99</v>
      </c>
      <c r="E107" s="3">
        <v>10.99</v>
      </c>
      <c r="F107" s="2" t="s">
        <v>19725</v>
      </c>
      <c r="G107" s="22" t="s">
        <v>19477</v>
      </c>
      <c r="H107" s="24" t="s">
        <v>19364</v>
      </c>
      <c r="I107" s="22" t="s">
        <v>19309</v>
      </c>
      <c r="J107" s="22" t="s">
        <v>19353</v>
      </c>
      <c r="K107" s="22" t="s">
        <v>19354</v>
      </c>
      <c r="L107" s="22"/>
      <c r="M107" s="22"/>
      <c r="N107" s="25" t="str">
        <f>HYPERLINK("http://slimages.macys.com/is/image/MCY/22400839 ")</f>
        <v xml:space="preserve">http://slimages.macys.com/is/image/MCY/22400839 </v>
      </c>
    </row>
    <row r="108" spans="1:14" ht="24.75" x14ac:dyDescent="0.25">
      <c r="A108" s="21" t="s">
        <v>19726</v>
      </c>
      <c r="B108" s="22" t="s">
        <v>19727</v>
      </c>
      <c r="C108" s="2">
        <v>1</v>
      </c>
      <c r="D108" s="23">
        <v>24.99</v>
      </c>
      <c r="E108" s="3">
        <v>24.99</v>
      </c>
      <c r="F108" s="2" t="s">
        <v>19728</v>
      </c>
      <c r="G108" s="22" t="s">
        <v>19342</v>
      </c>
      <c r="H108" s="24" t="s">
        <v>19324</v>
      </c>
      <c r="I108" s="22" t="s">
        <v>19309</v>
      </c>
      <c r="J108" s="22" t="s">
        <v>19385</v>
      </c>
      <c r="K108" s="22" t="s">
        <v>19729</v>
      </c>
      <c r="L108" s="22"/>
      <c r="M108" s="22"/>
      <c r="N108" s="25" t="str">
        <f>HYPERLINK("http://slimages.macys.com/is/image/MCY/21773792 ")</f>
        <v xml:space="preserve">http://slimages.macys.com/is/image/MCY/21773792 </v>
      </c>
    </row>
    <row r="109" spans="1:14" ht="24.75" x14ac:dyDescent="0.25">
      <c r="A109" s="21" t="s">
        <v>19730</v>
      </c>
      <c r="B109" s="22" t="s">
        <v>19731</v>
      </c>
      <c r="C109" s="2">
        <v>1</v>
      </c>
      <c r="D109" s="23">
        <v>24.99</v>
      </c>
      <c r="E109" s="3">
        <v>24.99</v>
      </c>
      <c r="F109" s="2" t="s">
        <v>19732</v>
      </c>
      <c r="G109" s="22" t="s">
        <v>19342</v>
      </c>
      <c r="H109" s="24" t="s">
        <v>19416</v>
      </c>
      <c r="I109" s="22" t="s">
        <v>19309</v>
      </c>
      <c r="J109" s="22" t="s">
        <v>19385</v>
      </c>
      <c r="K109" s="22" t="s">
        <v>19729</v>
      </c>
      <c r="L109" s="22"/>
      <c r="M109" s="22"/>
      <c r="N109" s="25" t="str">
        <f>HYPERLINK("http://slimages.macys.com/is/image/MCY/21529290 ")</f>
        <v xml:space="preserve">http://slimages.macys.com/is/image/MCY/21529290 </v>
      </c>
    </row>
    <row r="110" spans="1:14" ht="24.75" x14ac:dyDescent="0.25">
      <c r="A110" s="21" t="s">
        <v>19733</v>
      </c>
      <c r="B110" s="22" t="s">
        <v>19734</v>
      </c>
      <c r="C110" s="2">
        <v>3</v>
      </c>
      <c r="D110" s="23">
        <v>24.99</v>
      </c>
      <c r="E110" s="3">
        <v>74.97</v>
      </c>
      <c r="F110" s="2" t="s">
        <v>19735</v>
      </c>
      <c r="G110" s="22" t="s">
        <v>19342</v>
      </c>
      <c r="H110" s="24" t="s">
        <v>19416</v>
      </c>
      <c r="I110" s="22" t="s">
        <v>19309</v>
      </c>
      <c r="J110" s="22" t="s">
        <v>19385</v>
      </c>
      <c r="K110" s="22" t="s">
        <v>19729</v>
      </c>
      <c r="L110" s="22"/>
      <c r="M110" s="22"/>
      <c r="N110" s="25" t="str">
        <f>HYPERLINK("http://slimages.macys.com/is/image/MCY/21265748 ")</f>
        <v xml:space="preserve">http://slimages.macys.com/is/image/MCY/21265748 </v>
      </c>
    </row>
    <row r="111" spans="1:14" ht="24.75" x14ac:dyDescent="0.25">
      <c r="A111" s="21" t="s">
        <v>19736</v>
      </c>
      <c r="B111" s="22" t="s">
        <v>19737</v>
      </c>
      <c r="C111" s="2">
        <v>1</v>
      </c>
      <c r="D111" s="23">
        <v>24.99</v>
      </c>
      <c r="E111" s="3">
        <v>24.99</v>
      </c>
      <c r="F111" s="2" t="s">
        <v>19738</v>
      </c>
      <c r="G111" s="22" t="s">
        <v>19342</v>
      </c>
      <c r="H111" s="24" t="s">
        <v>19416</v>
      </c>
      <c r="I111" s="22" t="s">
        <v>19309</v>
      </c>
      <c r="J111" s="22" t="s">
        <v>19491</v>
      </c>
      <c r="K111" s="22" t="s">
        <v>19639</v>
      </c>
      <c r="L111" s="22"/>
      <c r="M111" s="22"/>
      <c r="N111" s="25" t="str">
        <f>HYPERLINK("http://slimages.macys.com/is/image/MCY/21475762 ")</f>
        <v xml:space="preserve">http://slimages.macys.com/is/image/MCY/21475762 </v>
      </c>
    </row>
    <row r="112" spans="1:14" ht="24.75" x14ac:dyDescent="0.25">
      <c r="A112" s="21" t="s">
        <v>19739</v>
      </c>
      <c r="B112" s="22" t="s">
        <v>19740</v>
      </c>
      <c r="C112" s="2">
        <v>1</v>
      </c>
      <c r="D112" s="23">
        <v>24.99</v>
      </c>
      <c r="E112" s="3">
        <v>24.99</v>
      </c>
      <c r="F112" s="2" t="s">
        <v>19735</v>
      </c>
      <c r="G112" s="22" t="s">
        <v>19342</v>
      </c>
      <c r="H112" s="24" t="s">
        <v>19330</v>
      </c>
      <c r="I112" s="22" t="s">
        <v>19309</v>
      </c>
      <c r="J112" s="22" t="s">
        <v>19385</v>
      </c>
      <c r="K112" s="22" t="s">
        <v>19729</v>
      </c>
      <c r="L112" s="22"/>
      <c r="M112" s="22"/>
      <c r="N112" s="25" t="str">
        <f>HYPERLINK("http://slimages.macys.com/is/image/MCY/21265748 ")</f>
        <v xml:space="preserve">http://slimages.macys.com/is/image/MCY/21265748 </v>
      </c>
    </row>
    <row r="113" spans="1:14" ht="24.75" x14ac:dyDescent="0.25">
      <c r="A113" s="21" t="s">
        <v>19741</v>
      </c>
      <c r="B113" s="22" t="s">
        <v>19742</v>
      </c>
      <c r="C113" s="2">
        <v>1</v>
      </c>
      <c r="D113" s="23">
        <v>24.99</v>
      </c>
      <c r="E113" s="3">
        <v>24.99</v>
      </c>
      <c r="F113" s="2" t="s">
        <v>19728</v>
      </c>
      <c r="G113" s="22" t="s">
        <v>19342</v>
      </c>
      <c r="H113" s="24" t="s">
        <v>19416</v>
      </c>
      <c r="I113" s="22" t="s">
        <v>19309</v>
      </c>
      <c r="J113" s="22" t="s">
        <v>19385</v>
      </c>
      <c r="K113" s="22" t="s">
        <v>19729</v>
      </c>
      <c r="L113" s="22"/>
      <c r="M113" s="22"/>
      <c r="N113" s="25" t="str">
        <f>HYPERLINK("http://slimages.macys.com/is/image/MCY/21773792 ")</f>
        <v xml:space="preserve">http://slimages.macys.com/is/image/MCY/21773792 </v>
      </c>
    </row>
    <row r="114" spans="1:14" ht="24.75" x14ac:dyDescent="0.25">
      <c r="A114" s="21" t="s">
        <v>19743</v>
      </c>
      <c r="B114" s="22" t="s">
        <v>19744</v>
      </c>
      <c r="C114" s="2">
        <v>2</v>
      </c>
      <c r="D114" s="23">
        <v>24.99</v>
      </c>
      <c r="E114" s="3">
        <v>49.98</v>
      </c>
      <c r="F114" s="2" t="s">
        <v>19728</v>
      </c>
      <c r="G114" s="22" t="s">
        <v>19342</v>
      </c>
      <c r="H114" s="24" t="s">
        <v>19330</v>
      </c>
      <c r="I114" s="22" t="s">
        <v>19309</v>
      </c>
      <c r="J114" s="22" t="s">
        <v>19385</v>
      </c>
      <c r="K114" s="22" t="s">
        <v>19729</v>
      </c>
      <c r="L114" s="22"/>
      <c r="M114" s="22"/>
      <c r="N114" s="25" t="str">
        <f>HYPERLINK("http://slimages.macys.com/is/image/MCY/21773792 ")</f>
        <v xml:space="preserve">http://slimages.macys.com/is/image/MCY/21773792 </v>
      </c>
    </row>
    <row r="115" spans="1:14" ht="24.75" x14ac:dyDescent="0.25">
      <c r="A115" s="21" t="s">
        <v>19745</v>
      </c>
      <c r="B115" s="22" t="s">
        <v>19746</v>
      </c>
      <c r="C115" s="2">
        <v>1</v>
      </c>
      <c r="D115" s="23">
        <v>21.43</v>
      </c>
      <c r="E115" s="3">
        <v>21.43</v>
      </c>
      <c r="F115" s="2" t="s">
        <v>19747</v>
      </c>
      <c r="G115" s="22"/>
      <c r="H115" s="24" t="s">
        <v>19345</v>
      </c>
      <c r="I115" s="22" t="s">
        <v>19309</v>
      </c>
      <c r="J115" s="22" t="s">
        <v>19602</v>
      </c>
      <c r="K115" s="22" t="s">
        <v>19603</v>
      </c>
      <c r="L115" s="22"/>
      <c r="M115" s="22"/>
      <c r="N115" s="25" t="str">
        <f>HYPERLINK("http://slimages.macys.com/is/image/MCY/21421380 ")</f>
        <v xml:space="preserve">http://slimages.macys.com/is/image/MCY/21421380 </v>
      </c>
    </row>
    <row r="116" spans="1:14" ht="24.75" x14ac:dyDescent="0.25">
      <c r="A116" s="21" t="s">
        <v>19748</v>
      </c>
      <c r="B116" s="22" t="s">
        <v>19749</v>
      </c>
      <c r="C116" s="2">
        <v>1</v>
      </c>
      <c r="D116" s="23">
        <v>21.29</v>
      </c>
      <c r="E116" s="3">
        <v>21.29</v>
      </c>
      <c r="F116" s="2" t="s">
        <v>19750</v>
      </c>
      <c r="G116" s="22"/>
      <c r="H116" s="24" t="s">
        <v>19345</v>
      </c>
      <c r="I116" s="22" t="s">
        <v>19309</v>
      </c>
      <c r="J116" s="22" t="s">
        <v>19602</v>
      </c>
      <c r="K116" s="22" t="s">
        <v>19603</v>
      </c>
      <c r="L116" s="22"/>
      <c r="M116" s="22"/>
      <c r="N116" s="25" t="str">
        <f>HYPERLINK("http://slimages.macys.com/is/image/MCY/22405986 ")</f>
        <v xml:space="preserve">http://slimages.macys.com/is/image/MCY/22405986 </v>
      </c>
    </row>
    <row r="117" spans="1:14" x14ac:dyDescent="0.25">
      <c r="A117" s="21" t="s">
        <v>19751</v>
      </c>
      <c r="B117" s="22" t="s">
        <v>19752</v>
      </c>
      <c r="C117" s="2">
        <v>1</v>
      </c>
      <c r="D117" s="23">
        <v>26.05</v>
      </c>
      <c r="E117" s="3">
        <v>26.05</v>
      </c>
      <c r="F117" s="2" t="s">
        <v>19753</v>
      </c>
      <c r="G117" s="22"/>
      <c r="H117" s="24" t="s">
        <v>19324</v>
      </c>
      <c r="I117" s="22" t="s">
        <v>19309</v>
      </c>
      <c r="J117" s="22" t="s">
        <v>19708</v>
      </c>
      <c r="K117" s="22" t="s">
        <v>19754</v>
      </c>
      <c r="L117" s="22"/>
      <c r="M117" s="22"/>
      <c r="N117" s="25" t="str">
        <f>HYPERLINK("http://slimages.macys.com/is/image/MCY/21758335 ")</f>
        <v xml:space="preserve">http://slimages.macys.com/is/image/MCY/21758335 </v>
      </c>
    </row>
    <row r="118" spans="1:14" x14ac:dyDescent="0.25">
      <c r="A118" s="21" t="s">
        <v>19755</v>
      </c>
      <c r="B118" s="22" t="s">
        <v>19756</v>
      </c>
      <c r="C118" s="2">
        <v>1</v>
      </c>
      <c r="D118" s="23">
        <v>26.05</v>
      </c>
      <c r="E118" s="3">
        <v>26.05</v>
      </c>
      <c r="F118" s="2" t="s">
        <v>19757</v>
      </c>
      <c r="G118" s="22"/>
      <c r="H118" s="24" t="s">
        <v>19330</v>
      </c>
      <c r="I118" s="22" t="s">
        <v>19309</v>
      </c>
      <c r="J118" s="22" t="s">
        <v>19708</v>
      </c>
      <c r="K118" s="22" t="s">
        <v>19754</v>
      </c>
      <c r="L118" s="22"/>
      <c r="M118" s="22"/>
      <c r="N118" s="25" t="str">
        <f>HYPERLINK("http://slimages.macys.com/is/image/MCY/21422917 ")</f>
        <v xml:space="preserve">http://slimages.macys.com/is/image/MCY/21422917 </v>
      </c>
    </row>
    <row r="119" spans="1:14" ht="24.75" x14ac:dyDescent="0.25">
      <c r="A119" s="21" t="s">
        <v>19758</v>
      </c>
      <c r="B119" s="22" t="s">
        <v>19759</v>
      </c>
      <c r="C119" s="2">
        <v>1</v>
      </c>
      <c r="D119" s="23">
        <v>21.29</v>
      </c>
      <c r="E119" s="3">
        <v>21.29</v>
      </c>
      <c r="F119" s="2" t="s">
        <v>19760</v>
      </c>
      <c r="G119" s="22"/>
      <c r="H119" s="24"/>
      <c r="I119" s="22" t="s">
        <v>19309</v>
      </c>
      <c r="J119" s="22" t="s">
        <v>19602</v>
      </c>
      <c r="K119" s="22" t="s">
        <v>19603</v>
      </c>
      <c r="L119" s="22"/>
      <c r="M119" s="22"/>
      <c r="N119" s="25" t="str">
        <f>HYPERLINK("http://slimages.macys.com/is/image/MCY/22406026 ")</f>
        <v xml:space="preserve">http://slimages.macys.com/is/image/MCY/22406026 </v>
      </c>
    </row>
    <row r="120" spans="1:14" x14ac:dyDescent="0.25">
      <c r="A120" s="21" t="s">
        <v>19761</v>
      </c>
      <c r="B120" s="22" t="s">
        <v>19762</v>
      </c>
      <c r="C120" s="2">
        <v>1</v>
      </c>
      <c r="D120" s="23">
        <v>17.989999999999998</v>
      </c>
      <c r="E120" s="3">
        <v>17.989999999999998</v>
      </c>
      <c r="F120" s="2">
        <v>939655</v>
      </c>
      <c r="G120" s="22" t="s">
        <v>19763</v>
      </c>
      <c r="H120" s="24" t="s">
        <v>19352</v>
      </c>
      <c r="I120" s="22" t="s">
        <v>19309</v>
      </c>
      <c r="J120" s="22" t="s">
        <v>19310</v>
      </c>
      <c r="K120" s="22" t="s">
        <v>19311</v>
      </c>
      <c r="L120" s="22" t="s">
        <v>19319</v>
      </c>
      <c r="M120" s="22" t="s">
        <v>19764</v>
      </c>
      <c r="N120" s="25" t="str">
        <f>HYPERLINK("http://slimages.macys.com/is/image/MCY/9300991 ")</f>
        <v xml:space="preserve">http://slimages.macys.com/is/image/MCY/9300991 </v>
      </c>
    </row>
    <row r="121" spans="1:14" ht="24.75" x14ac:dyDescent="0.25">
      <c r="A121" s="21" t="s">
        <v>19765</v>
      </c>
      <c r="B121" s="22" t="s">
        <v>19766</v>
      </c>
      <c r="C121" s="2">
        <v>1</v>
      </c>
      <c r="D121" s="23">
        <v>19.989999999999998</v>
      </c>
      <c r="E121" s="3">
        <v>19.989999999999998</v>
      </c>
      <c r="F121" s="2" t="s">
        <v>19767</v>
      </c>
      <c r="G121" s="22" t="s">
        <v>19467</v>
      </c>
      <c r="H121" s="24"/>
      <c r="I121" s="22" t="s">
        <v>19309</v>
      </c>
      <c r="J121" s="22" t="s">
        <v>19573</v>
      </c>
      <c r="K121" s="22" t="s">
        <v>19574</v>
      </c>
      <c r="L121" s="22"/>
      <c r="M121" s="22"/>
      <c r="N121" s="25" t="str">
        <f>HYPERLINK("http://slimages.macys.com/is/image/MCY/1646345 ")</f>
        <v xml:space="preserve">http://slimages.macys.com/is/image/MCY/1646345 </v>
      </c>
    </row>
    <row r="122" spans="1:14" ht="24.75" x14ac:dyDescent="0.25">
      <c r="A122" s="21" t="s">
        <v>19768</v>
      </c>
      <c r="B122" s="22" t="s">
        <v>19769</v>
      </c>
      <c r="C122" s="2">
        <v>2</v>
      </c>
      <c r="D122" s="23">
        <v>19.989999999999998</v>
      </c>
      <c r="E122" s="3">
        <v>39.979999999999997</v>
      </c>
      <c r="F122" s="2" t="s">
        <v>19767</v>
      </c>
      <c r="G122" s="22" t="s">
        <v>19467</v>
      </c>
      <c r="H122" s="24" t="s">
        <v>19770</v>
      </c>
      <c r="I122" s="22" t="s">
        <v>19309</v>
      </c>
      <c r="J122" s="22" t="s">
        <v>19573</v>
      </c>
      <c r="K122" s="22" t="s">
        <v>19574</v>
      </c>
      <c r="L122" s="22"/>
      <c r="M122" s="22"/>
      <c r="N122" s="25" t="str">
        <f>HYPERLINK("http://slimages.macys.com/is/image/MCY/1646350 ")</f>
        <v xml:space="preserve">http://slimages.macys.com/is/image/MCY/1646350 </v>
      </c>
    </row>
    <row r="123" spans="1:14" ht="24.75" x14ac:dyDescent="0.25">
      <c r="A123" s="21" t="s">
        <v>19771</v>
      </c>
      <c r="B123" s="22" t="s">
        <v>19772</v>
      </c>
      <c r="C123" s="2">
        <v>3</v>
      </c>
      <c r="D123" s="23">
        <v>19.989999999999998</v>
      </c>
      <c r="E123" s="3">
        <v>59.97</v>
      </c>
      <c r="F123" s="2" t="s">
        <v>19773</v>
      </c>
      <c r="G123" s="22" t="s">
        <v>19518</v>
      </c>
      <c r="H123" s="24"/>
      <c r="I123" s="22" t="s">
        <v>19309</v>
      </c>
      <c r="J123" s="22" t="s">
        <v>19573</v>
      </c>
      <c r="K123" s="22" t="s">
        <v>19574</v>
      </c>
      <c r="L123" s="22"/>
      <c r="M123" s="22"/>
      <c r="N123" s="25" t="str">
        <f>HYPERLINK("http://slimages.macys.com/is/image/MCY/1646350 ")</f>
        <v xml:space="preserve">http://slimages.macys.com/is/image/MCY/1646350 </v>
      </c>
    </row>
    <row r="124" spans="1:14" ht="24.75" x14ac:dyDescent="0.25">
      <c r="A124" s="21" t="s">
        <v>19774</v>
      </c>
      <c r="B124" s="22" t="s">
        <v>19775</v>
      </c>
      <c r="C124" s="2">
        <v>1</v>
      </c>
      <c r="D124" s="23">
        <v>19.989999999999998</v>
      </c>
      <c r="E124" s="3">
        <v>19.989999999999998</v>
      </c>
      <c r="F124" s="2" t="s">
        <v>19776</v>
      </c>
      <c r="G124" s="22" t="s">
        <v>19315</v>
      </c>
      <c r="H124" s="24"/>
      <c r="I124" s="22" t="s">
        <v>19309</v>
      </c>
      <c r="J124" s="22" t="s">
        <v>19573</v>
      </c>
      <c r="K124" s="22" t="s">
        <v>19574</v>
      </c>
      <c r="L124" s="22"/>
      <c r="M124" s="22"/>
      <c r="N124" s="25" t="str">
        <f>HYPERLINK("http://slimages.macys.com/is/image/MCY/1646345 ")</f>
        <v xml:space="preserve">http://slimages.macys.com/is/image/MCY/1646345 </v>
      </c>
    </row>
    <row r="125" spans="1:14" ht="24.75" x14ac:dyDescent="0.25">
      <c r="A125" s="21" t="s">
        <v>19777</v>
      </c>
      <c r="B125" s="22" t="s">
        <v>19778</v>
      </c>
      <c r="C125" s="2">
        <v>1</v>
      </c>
      <c r="D125" s="23">
        <v>19.989999999999998</v>
      </c>
      <c r="E125" s="3">
        <v>19.989999999999998</v>
      </c>
      <c r="F125" s="2" t="s">
        <v>19776</v>
      </c>
      <c r="G125" s="22" t="s">
        <v>19315</v>
      </c>
      <c r="H125" s="24" t="s">
        <v>19538</v>
      </c>
      <c r="I125" s="22" t="s">
        <v>19309</v>
      </c>
      <c r="J125" s="22" t="s">
        <v>19573</v>
      </c>
      <c r="K125" s="22" t="s">
        <v>19574</v>
      </c>
      <c r="L125" s="22"/>
      <c r="M125" s="22"/>
      <c r="N125" s="25" t="str">
        <f>HYPERLINK("http://slimages.macys.com/is/image/MCY/1646345 ")</f>
        <v xml:space="preserve">http://slimages.macys.com/is/image/MCY/1646345 </v>
      </c>
    </row>
    <row r="126" spans="1:14" ht="24.75" x14ac:dyDescent="0.25">
      <c r="A126" s="21" t="s">
        <v>19779</v>
      </c>
      <c r="B126" s="22" t="s">
        <v>19780</v>
      </c>
      <c r="C126" s="2">
        <v>4</v>
      </c>
      <c r="D126" s="23">
        <v>19.989999999999998</v>
      </c>
      <c r="E126" s="3">
        <v>79.959999999999994</v>
      </c>
      <c r="F126" s="2" t="s">
        <v>19773</v>
      </c>
      <c r="G126" s="22" t="s">
        <v>19518</v>
      </c>
      <c r="H126" s="24" t="s">
        <v>19384</v>
      </c>
      <c r="I126" s="22" t="s">
        <v>19309</v>
      </c>
      <c r="J126" s="22" t="s">
        <v>19573</v>
      </c>
      <c r="K126" s="22" t="s">
        <v>19574</v>
      </c>
      <c r="L126" s="22"/>
      <c r="M126" s="22"/>
      <c r="N126" s="25" t="str">
        <f>HYPERLINK("http://slimages.macys.com/is/image/MCY/1646350 ")</f>
        <v xml:space="preserve">http://slimages.macys.com/is/image/MCY/1646350 </v>
      </c>
    </row>
    <row r="127" spans="1:14" ht="24.75" x14ac:dyDescent="0.25">
      <c r="A127" s="21" t="s">
        <v>19781</v>
      </c>
      <c r="B127" s="22" t="s">
        <v>19782</v>
      </c>
      <c r="C127" s="2">
        <v>4</v>
      </c>
      <c r="D127" s="23">
        <v>19.989999999999998</v>
      </c>
      <c r="E127" s="3">
        <v>79.959999999999994</v>
      </c>
      <c r="F127" s="2" t="s">
        <v>19773</v>
      </c>
      <c r="G127" s="22" t="s">
        <v>19518</v>
      </c>
      <c r="H127" s="24" t="s">
        <v>19770</v>
      </c>
      <c r="I127" s="22" t="s">
        <v>19309</v>
      </c>
      <c r="J127" s="22" t="s">
        <v>19573</v>
      </c>
      <c r="K127" s="22" t="s">
        <v>19574</v>
      </c>
      <c r="L127" s="22"/>
      <c r="M127" s="22"/>
      <c r="N127" s="25" t="str">
        <f>HYPERLINK("http://slimages.macys.com/is/image/MCY/1646350 ")</f>
        <v xml:space="preserve">http://slimages.macys.com/is/image/MCY/1646350 </v>
      </c>
    </row>
    <row r="128" spans="1:14" ht="24.75" x14ac:dyDescent="0.25">
      <c r="A128" s="21" t="s">
        <v>19783</v>
      </c>
      <c r="B128" s="22" t="s">
        <v>19784</v>
      </c>
      <c r="C128" s="2">
        <v>1</v>
      </c>
      <c r="D128" s="23">
        <v>19.989999999999998</v>
      </c>
      <c r="E128" s="3">
        <v>19.989999999999998</v>
      </c>
      <c r="F128" s="2" t="s">
        <v>19773</v>
      </c>
      <c r="G128" s="22" t="s">
        <v>19518</v>
      </c>
      <c r="H128" s="24" t="s">
        <v>19324</v>
      </c>
      <c r="I128" s="22" t="s">
        <v>19309</v>
      </c>
      <c r="J128" s="22" t="s">
        <v>19573</v>
      </c>
      <c r="K128" s="22" t="s">
        <v>19574</v>
      </c>
      <c r="L128" s="22"/>
      <c r="M128" s="22"/>
      <c r="N128" s="25" t="str">
        <f>HYPERLINK("http://slimages.macys.com/is/image/MCY/1646350 ")</f>
        <v xml:space="preserve">http://slimages.macys.com/is/image/MCY/1646350 </v>
      </c>
    </row>
    <row r="129" spans="1:14" ht="24.75" x14ac:dyDescent="0.25">
      <c r="A129" s="21" t="s">
        <v>19785</v>
      </c>
      <c r="B129" s="22" t="s">
        <v>19786</v>
      </c>
      <c r="C129" s="2">
        <v>1</v>
      </c>
      <c r="D129" s="23">
        <v>19.989999999999998</v>
      </c>
      <c r="E129" s="3">
        <v>19.989999999999998</v>
      </c>
      <c r="F129" s="2" t="s">
        <v>19767</v>
      </c>
      <c r="G129" s="22" t="s">
        <v>19467</v>
      </c>
      <c r="H129" s="24" t="s">
        <v>19324</v>
      </c>
      <c r="I129" s="22" t="s">
        <v>19309</v>
      </c>
      <c r="J129" s="22" t="s">
        <v>19573</v>
      </c>
      <c r="K129" s="22" t="s">
        <v>19574</v>
      </c>
      <c r="L129" s="22"/>
      <c r="M129" s="22"/>
      <c r="N129" s="25" t="str">
        <f>HYPERLINK("http://slimages.macys.com/is/image/MCY/1646350 ")</f>
        <v xml:space="preserve">http://slimages.macys.com/is/image/MCY/1646350 </v>
      </c>
    </row>
    <row r="130" spans="1:14" ht="24.75" x14ac:dyDescent="0.25">
      <c r="A130" s="21" t="s">
        <v>19787</v>
      </c>
      <c r="B130" s="22" t="s">
        <v>19788</v>
      </c>
      <c r="C130" s="2">
        <v>2</v>
      </c>
      <c r="D130" s="23">
        <v>19.989999999999998</v>
      </c>
      <c r="E130" s="3">
        <v>39.979999999999997</v>
      </c>
      <c r="F130" s="2" t="s">
        <v>19773</v>
      </c>
      <c r="G130" s="22" t="s">
        <v>19518</v>
      </c>
      <c r="H130" s="24" t="s">
        <v>19538</v>
      </c>
      <c r="I130" s="22" t="s">
        <v>19309</v>
      </c>
      <c r="J130" s="22" t="s">
        <v>19573</v>
      </c>
      <c r="K130" s="22" t="s">
        <v>19574</v>
      </c>
      <c r="L130" s="22"/>
      <c r="M130" s="22"/>
      <c r="N130" s="25" t="str">
        <f>HYPERLINK("http://slimages.macys.com/is/image/MCY/1646350 ")</f>
        <v xml:space="preserve">http://slimages.macys.com/is/image/MCY/1646350 </v>
      </c>
    </row>
    <row r="131" spans="1:14" ht="24.75" x14ac:dyDescent="0.25">
      <c r="A131" s="21" t="s">
        <v>19789</v>
      </c>
      <c r="B131" s="22" t="s">
        <v>19790</v>
      </c>
      <c r="C131" s="2">
        <v>2</v>
      </c>
      <c r="D131" s="23">
        <v>19.989999999999998</v>
      </c>
      <c r="E131" s="3">
        <v>39.979999999999997</v>
      </c>
      <c r="F131" s="2" t="s">
        <v>19776</v>
      </c>
      <c r="G131" s="22" t="s">
        <v>19315</v>
      </c>
      <c r="H131" s="24" t="s">
        <v>19770</v>
      </c>
      <c r="I131" s="22" t="s">
        <v>19309</v>
      </c>
      <c r="J131" s="22" t="s">
        <v>19573</v>
      </c>
      <c r="K131" s="22" t="s">
        <v>19574</v>
      </c>
      <c r="L131" s="22"/>
      <c r="M131" s="22"/>
      <c r="N131" s="25" t="str">
        <f>HYPERLINK("http://slimages.macys.com/is/image/MCY/1646345 ")</f>
        <v xml:space="preserve">http://slimages.macys.com/is/image/MCY/1646345 </v>
      </c>
    </row>
    <row r="132" spans="1:14" ht="24.75" x14ac:dyDescent="0.25">
      <c r="A132" s="21" t="s">
        <v>19791</v>
      </c>
      <c r="B132" s="22" t="s">
        <v>19792</v>
      </c>
      <c r="C132" s="2">
        <v>1</v>
      </c>
      <c r="D132" s="23">
        <v>10.99</v>
      </c>
      <c r="E132" s="3">
        <v>10.99</v>
      </c>
      <c r="F132" s="2" t="s">
        <v>19793</v>
      </c>
      <c r="G132" s="22" t="s">
        <v>19794</v>
      </c>
      <c r="H132" s="24" t="s">
        <v>19352</v>
      </c>
      <c r="I132" s="22" t="s">
        <v>19309</v>
      </c>
      <c r="J132" s="22" t="s">
        <v>19353</v>
      </c>
      <c r="K132" s="22" t="s">
        <v>19354</v>
      </c>
      <c r="L132" s="22"/>
      <c r="M132" s="22"/>
      <c r="N132" s="25" t="str">
        <f>HYPERLINK("http://slimages.macys.com/is/image/MCY/22400847 ")</f>
        <v xml:space="preserve">http://slimages.macys.com/is/image/MCY/22400847 </v>
      </c>
    </row>
    <row r="133" spans="1:14" ht="24.75" x14ac:dyDescent="0.25">
      <c r="A133" s="21" t="s">
        <v>19795</v>
      </c>
      <c r="B133" s="22" t="s">
        <v>19796</v>
      </c>
      <c r="C133" s="2">
        <v>1</v>
      </c>
      <c r="D133" s="23">
        <v>10.99</v>
      </c>
      <c r="E133" s="3">
        <v>10.99</v>
      </c>
      <c r="F133" s="2" t="s">
        <v>19793</v>
      </c>
      <c r="G133" s="22" t="s">
        <v>19794</v>
      </c>
      <c r="H133" s="24" t="s">
        <v>19797</v>
      </c>
      <c r="I133" s="22" t="s">
        <v>19309</v>
      </c>
      <c r="J133" s="22" t="s">
        <v>19353</v>
      </c>
      <c r="K133" s="22" t="s">
        <v>19354</v>
      </c>
      <c r="L133" s="22"/>
      <c r="M133" s="22"/>
      <c r="N133" s="25" t="str">
        <f>HYPERLINK("http://slimages.macys.com/is/image/MCY/22400847 ")</f>
        <v xml:space="preserve">http://slimages.macys.com/is/image/MCY/22400847 </v>
      </c>
    </row>
    <row r="134" spans="1:14" ht="24.75" x14ac:dyDescent="0.25">
      <c r="A134" s="21" t="s">
        <v>19798</v>
      </c>
      <c r="B134" s="22" t="s">
        <v>19799</v>
      </c>
      <c r="C134" s="2">
        <v>1</v>
      </c>
      <c r="D134" s="23">
        <v>21.99</v>
      </c>
      <c r="E134" s="3">
        <v>21.99</v>
      </c>
      <c r="F134" s="2" t="s">
        <v>19800</v>
      </c>
      <c r="G134" s="22" t="s">
        <v>19801</v>
      </c>
      <c r="H134" s="24" t="s">
        <v>19345</v>
      </c>
      <c r="I134" s="22" t="s">
        <v>19309</v>
      </c>
      <c r="J134" s="22" t="s">
        <v>19595</v>
      </c>
      <c r="K134" s="22" t="s">
        <v>19596</v>
      </c>
      <c r="L134" s="22"/>
      <c r="M134" s="22"/>
      <c r="N134" s="25" t="str">
        <f>HYPERLINK("http://slimages.macys.com/is/image/MCY/21622990 ")</f>
        <v xml:space="preserve">http://slimages.macys.com/is/image/MCY/21622990 </v>
      </c>
    </row>
    <row r="135" spans="1:14" ht="24.75" x14ac:dyDescent="0.25">
      <c r="A135" s="21" t="s">
        <v>19802</v>
      </c>
      <c r="B135" s="22" t="s">
        <v>19803</v>
      </c>
      <c r="C135" s="2">
        <v>1</v>
      </c>
      <c r="D135" s="23">
        <v>21.99</v>
      </c>
      <c r="E135" s="3">
        <v>21.99</v>
      </c>
      <c r="F135" s="2" t="s">
        <v>19804</v>
      </c>
      <c r="G135" s="22" t="s">
        <v>19351</v>
      </c>
      <c r="H135" s="24" t="s">
        <v>19361</v>
      </c>
      <c r="I135" s="22" t="s">
        <v>19309</v>
      </c>
      <c r="J135" s="22" t="s">
        <v>19595</v>
      </c>
      <c r="K135" s="22" t="s">
        <v>19596</v>
      </c>
      <c r="L135" s="22"/>
      <c r="M135" s="22"/>
      <c r="N135" s="25" t="str">
        <f>HYPERLINK("http://slimages.macys.com/is/image/MCY/21623048 ")</f>
        <v xml:space="preserve">http://slimages.macys.com/is/image/MCY/21623048 </v>
      </c>
    </row>
    <row r="136" spans="1:14" ht="24.75" x14ac:dyDescent="0.25">
      <c r="A136" s="21" t="s">
        <v>19805</v>
      </c>
      <c r="B136" s="22" t="s">
        <v>19806</v>
      </c>
      <c r="C136" s="2">
        <v>1</v>
      </c>
      <c r="D136" s="23">
        <v>21.99</v>
      </c>
      <c r="E136" s="3">
        <v>21.99</v>
      </c>
      <c r="F136" s="2" t="s">
        <v>19800</v>
      </c>
      <c r="G136" s="22" t="s">
        <v>19801</v>
      </c>
      <c r="H136" s="24" t="s">
        <v>19395</v>
      </c>
      <c r="I136" s="22" t="s">
        <v>19309</v>
      </c>
      <c r="J136" s="22" t="s">
        <v>19595</v>
      </c>
      <c r="K136" s="22" t="s">
        <v>19596</v>
      </c>
      <c r="L136" s="22"/>
      <c r="M136" s="22"/>
      <c r="N136" s="25" t="str">
        <f>HYPERLINK("http://slimages.macys.com/is/image/MCY/21623034 ")</f>
        <v xml:space="preserve">http://slimages.macys.com/is/image/MCY/21623034 </v>
      </c>
    </row>
    <row r="137" spans="1:14" ht="24.75" x14ac:dyDescent="0.25">
      <c r="A137" s="21" t="s">
        <v>19807</v>
      </c>
      <c r="B137" s="22" t="s">
        <v>19808</v>
      </c>
      <c r="C137" s="2">
        <v>1</v>
      </c>
      <c r="D137" s="23">
        <v>21.99</v>
      </c>
      <c r="E137" s="3">
        <v>21.99</v>
      </c>
      <c r="F137" s="2" t="s">
        <v>19809</v>
      </c>
      <c r="G137" s="22" t="s">
        <v>19810</v>
      </c>
      <c r="H137" s="24" t="s">
        <v>19345</v>
      </c>
      <c r="I137" s="22" t="s">
        <v>19309</v>
      </c>
      <c r="J137" s="22" t="s">
        <v>19595</v>
      </c>
      <c r="K137" s="22" t="s">
        <v>19596</v>
      </c>
      <c r="L137" s="22"/>
      <c r="M137" s="22"/>
      <c r="N137" s="25" t="str">
        <f>HYPERLINK("http://slimages.macys.com/is/image/MCY/21623024 ")</f>
        <v xml:space="preserve">http://slimages.macys.com/is/image/MCY/21623024 </v>
      </c>
    </row>
    <row r="138" spans="1:14" ht="24.75" x14ac:dyDescent="0.25">
      <c r="A138" s="21" t="s">
        <v>19811</v>
      </c>
      <c r="B138" s="22" t="s">
        <v>19812</v>
      </c>
      <c r="C138" s="2">
        <v>1</v>
      </c>
      <c r="D138" s="23">
        <v>18.989999999999998</v>
      </c>
      <c r="E138" s="3">
        <v>18.989999999999998</v>
      </c>
      <c r="F138" s="2" t="s">
        <v>19813</v>
      </c>
      <c r="G138" s="22" t="s">
        <v>19814</v>
      </c>
      <c r="H138" s="24" t="s">
        <v>19308</v>
      </c>
      <c r="I138" s="22" t="s">
        <v>19309</v>
      </c>
      <c r="J138" s="22" t="s">
        <v>19815</v>
      </c>
      <c r="K138" s="22" t="s">
        <v>19816</v>
      </c>
      <c r="L138" s="22"/>
      <c r="M138" s="22"/>
      <c r="N138" s="25" t="str">
        <f>HYPERLINK("http://slimages.macys.com/is/image/MCY/20549863 ")</f>
        <v xml:space="preserve">http://slimages.macys.com/is/image/MCY/20549863 </v>
      </c>
    </row>
    <row r="139" spans="1:14" x14ac:dyDescent="0.25">
      <c r="A139" s="21" t="s">
        <v>19817</v>
      </c>
      <c r="B139" s="22" t="s">
        <v>19818</v>
      </c>
      <c r="C139" s="2">
        <v>1</v>
      </c>
      <c r="D139" s="23">
        <v>23.29</v>
      </c>
      <c r="E139" s="3">
        <v>23.29</v>
      </c>
      <c r="F139" s="2" t="s">
        <v>19819</v>
      </c>
      <c r="G139" s="22"/>
      <c r="H139" s="24" t="s">
        <v>19416</v>
      </c>
      <c r="I139" s="22" t="s">
        <v>19309</v>
      </c>
      <c r="J139" s="22" t="s">
        <v>19708</v>
      </c>
      <c r="K139" s="22" t="s">
        <v>19709</v>
      </c>
      <c r="L139" s="22"/>
      <c r="M139" s="22"/>
      <c r="N139" s="25" t="str">
        <f>HYPERLINK("http://slimages.macys.com/is/image/MCY/22405494 ")</f>
        <v xml:space="preserve">http://slimages.macys.com/is/image/MCY/22405494 </v>
      </c>
    </row>
    <row r="140" spans="1:14" ht="24.75" x14ac:dyDescent="0.25">
      <c r="A140" s="21" t="s">
        <v>19820</v>
      </c>
      <c r="B140" s="22" t="s">
        <v>19821</v>
      </c>
      <c r="C140" s="2">
        <v>1</v>
      </c>
      <c r="D140" s="23">
        <v>18.989999999999998</v>
      </c>
      <c r="E140" s="3">
        <v>18.989999999999998</v>
      </c>
      <c r="F140" s="2" t="s">
        <v>19822</v>
      </c>
      <c r="G140" s="22" t="s">
        <v>19431</v>
      </c>
      <c r="H140" s="24" t="s">
        <v>19364</v>
      </c>
      <c r="I140" s="22" t="s">
        <v>19309</v>
      </c>
      <c r="J140" s="22" t="s">
        <v>19447</v>
      </c>
      <c r="K140" s="22" t="s">
        <v>19533</v>
      </c>
      <c r="L140" s="22"/>
      <c r="M140" s="22"/>
      <c r="N140" s="25" t="str">
        <f>HYPERLINK("http://slimages.macys.com/is/image/MCY/21150459 ")</f>
        <v xml:space="preserve">http://slimages.macys.com/is/image/MCY/21150459 </v>
      </c>
    </row>
    <row r="141" spans="1:14" ht="24.75" x14ac:dyDescent="0.25">
      <c r="A141" s="21" t="s">
        <v>19823</v>
      </c>
      <c r="B141" s="22" t="s">
        <v>19824</v>
      </c>
      <c r="C141" s="2">
        <v>1</v>
      </c>
      <c r="D141" s="23">
        <v>18.989999999999998</v>
      </c>
      <c r="E141" s="3">
        <v>18.989999999999998</v>
      </c>
      <c r="F141" s="2" t="s">
        <v>19825</v>
      </c>
      <c r="G141" s="22" t="s">
        <v>19315</v>
      </c>
      <c r="H141" s="24" t="s">
        <v>19339</v>
      </c>
      <c r="I141" s="22" t="s">
        <v>19309</v>
      </c>
      <c r="J141" s="22" t="s">
        <v>19447</v>
      </c>
      <c r="K141" s="22" t="s">
        <v>19533</v>
      </c>
      <c r="L141" s="22"/>
      <c r="M141" s="22"/>
      <c r="N141" s="25" t="str">
        <f>HYPERLINK("http://slimages.macys.com/is/image/MCY/20930967 ")</f>
        <v xml:space="preserve">http://slimages.macys.com/is/image/MCY/20930967 </v>
      </c>
    </row>
    <row r="142" spans="1:14" ht="24.75" x14ac:dyDescent="0.25">
      <c r="A142" s="21" t="s">
        <v>19826</v>
      </c>
      <c r="B142" s="22" t="s">
        <v>19827</v>
      </c>
      <c r="C142" s="2">
        <v>1</v>
      </c>
      <c r="D142" s="23">
        <v>18.989999999999998</v>
      </c>
      <c r="E142" s="3">
        <v>18.989999999999998</v>
      </c>
      <c r="F142" s="2" t="s">
        <v>19825</v>
      </c>
      <c r="G142" s="22" t="s">
        <v>19315</v>
      </c>
      <c r="H142" s="24" t="s">
        <v>19364</v>
      </c>
      <c r="I142" s="22" t="s">
        <v>19309</v>
      </c>
      <c r="J142" s="22" t="s">
        <v>19447</v>
      </c>
      <c r="K142" s="22" t="s">
        <v>19533</v>
      </c>
      <c r="L142" s="22"/>
      <c r="M142" s="22"/>
      <c r="N142" s="25" t="str">
        <f>HYPERLINK("http://slimages.macys.com/is/image/MCY/20930967 ")</f>
        <v xml:space="preserve">http://slimages.macys.com/is/image/MCY/20930967 </v>
      </c>
    </row>
    <row r="143" spans="1:14" ht="24.75" x14ac:dyDescent="0.25">
      <c r="A143" s="21" t="s">
        <v>19828</v>
      </c>
      <c r="B143" s="22" t="s">
        <v>19829</v>
      </c>
      <c r="C143" s="2">
        <v>1</v>
      </c>
      <c r="D143" s="23">
        <v>21.99</v>
      </c>
      <c r="E143" s="3">
        <v>21.99</v>
      </c>
      <c r="F143" s="2" t="s">
        <v>19830</v>
      </c>
      <c r="G143" s="22" t="s">
        <v>19513</v>
      </c>
      <c r="H143" s="24" t="s">
        <v>19334</v>
      </c>
      <c r="I143" s="22" t="s">
        <v>19309</v>
      </c>
      <c r="J143" s="22" t="s">
        <v>19595</v>
      </c>
      <c r="K143" s="22" t="s">
        <v>19596</v>
      </c>
      <c r="L143" s="22"/>
      <c r="M143" s="22"/>
      <c r="N143" s="25" t="str">
        <f>HYPERLINK("http://slimages.macys.com/is/image/MCY/21622964 ")</f>
        <v xml:space="preserve">http://slimages.macys.com/is/image/MCY/21622964 </v>
      </c>
    </row>
    <row r="144" spans="1:14" ht="24.75" x14ac:dyDescent="0.25">
      <c r="A144" s="21" t="s">
        <v>19831</v>
      </c>
      <c r="B144" s="22" t="s">
        <v>19832</v>
      </c>
      <c r="C144" s="2">
        <v>2</v>
      </c>
      <c r="D144" s="23">
        <v>24.99</v>
      </c>
      <c r="E144" s="3">
        <v>49.98</v>
      </c>
      <c r="F144" s="2" t="s">
        <v>19833</v>
      </c>
      <c r="G144" s="22"/>
      <c r="H144" s="24" t="s">
        <v>19478</v>
      </c>
      <c r="I144" s="22" t="s">
        <v>19309</v>
      </c>
      <c r="J144" s="22" t="s">
        <v>19519</v>
      </c>
      <c r="K144" s="22" t="s">
        <v>19834</v>
      </c>
      <c r="L144" s="22"/>
      <c r="M144" s="22"/>
      <c r="N144" s="25" t="str">
        <f>HYPERLINK("http://slimages.macys.com/is/image/MCY/20950688 ")</f>
        <v xml:space="preserve">http://slimages.macys.com/is/image/MCY/20950688 </v>
      </c>
    </row>
    <row r="145" spans="1:14" ht="24.75" x14ac:dyDescent="0.25">
      <c r="A145" s="21" t="s">
        <v>19835</v>
      </c>
      <c r="B145" s="22" t="s">
        <v>19836</v>
      </c>
      <c r="C145" s="2">
        <v>1</v>
      </c>
      <c r="D145" s="23">
        <v>24.99</v>
      </c>
      <c r="E145" s="3">
        <v>24.99</v>
      </c>
      <c r="F145" s="2" t="s">
        <v>19833</v>
      </c>
      <c r="G145" s="22"/>
      <c r="H145" s="24" t="s">
        <v>19501</v>
      </c>
      <c r="I145" s="22" t="s">
        <v>19309</v>
      </c>
      <c r="J145" s="22" t="s">
        <v>19519</v>
      </c>
      <c r="K145" s="22" t="s">
        <v>19834</v>
      </c>
      <c r="L145" s="22"/>
      <c r="M145" s="22"/>
      <c r="N145" s="25" t="str">
        <f>HYPERLINK("http://slimages.macys.com/is/image/MCY/20950688 ")</f>
        <v xml:space="preserve">http://slimages.macys.com/is/image/MCY/20950688 </v>
      </c>
    </row>
    <row r="146" spans="1:14" ht="24.75" x14ac:dyDescent="0.25">
      <c r="A146" s="21" t="s">
        <v>19837</v>
      </c>
      <c r="B146" s="22" t="s">
        <v>19838</v>
      </c>
      <c r="C146" s="2">
        <v>2</v>
      </c>
      <c r="D146" s="23">
        <v>24.99</v>
      </c>
      <c r="E146" s="3">
        <v>49.98</v>
      </c>
      <c r="F146" s="2" t="s">
        <v>19839</v>
      </c>
      <c r="G146" s="22"/>
      <c r="H146" s="24" t="s">
        <v>19316</v>
      </c>
      <c r="I146" s="22" t="s">
        <v>19309</v>
      </c>
      <c r="J146" s="22" t="s">
        <v>19519</v>
      </c>
      <c r="K146" s="22" t="s">
        <v>19834</v>
      </c>
      <c r="L146" s="22"/>
      <c r="M146" s="22"/>
      <c r="N146" s="25" t="str">
        <f>HYPERLINK("http://slimages.macys.com/is/image/MCY/21341136 ")</f>
        <v xml:space="preserve">http://slimages.macys.com/is/image/MCY/21341136 </v>
      </c>
    </row>
    <row r="147" spans="1:14" ht="24.75" x14ac:dyDescent="0.25">
      <c r="A147" s="21" t="s">
        <v>19840</v>
      </c>
      <c r="B147" s="22" t="s">
        <v>19841</v>
      </c>
      <c r="C147" s="2">
        <v>1</v>
      </c>
      <c r="D147" s="23">
        <v>24.99</v>
      </c>
      <c r="E147" s="3">
        <v>24.99</v>
      </c>
      <c r="F147" s="2" t="s">
        <v>19842</v>
      </c>
      <c r="G147" s="22"/>
      <c r="H147" s="24" t="s">
        <v>19478</v>
      </c>
      <c r="I147" s="22" t="s">
        <v>19309</v>
      </c>
      <c r="J147" s="22" t="s">
        <v>19519</v>
      </c>
      <c r="K147" s="22" t="s">
        <v>19834</v>
      </c>
      <c r="L147" s="22"/>
      <c r="M147" s="22"/>
      <c r="N147" s="25" t="str">
        <f>HYPERLINK("http://slimages.macys.com/is/image/MCY/21341160 ")</f>
        <v xml:space="preserve">http://slimages.macys.com/is/image/MCY/21341160 </v>
      </c>
    </row>
    <row r="148" spans="1:14" ht="24.75" x14ac:dyDescent="0.25">
      <c r="A148" s="21" t="s">
        <v>19843</v>
      </c>
      <c r="B148" s="22" t="s">
        <v>19844</v>
      </c>
      <c r="C148" s="2">
        <v>1</v>
      </c>
      <c r="D148" s="23">
        <v>24.99</v>
      </c>
      <c r="E148" s="3">
        <v>24.99</v>
      </c>
      <c r="F148" s="2" t="s">
        <v>19845</v>
      </c>
      <c r="G148" s="22"/>
      <c r="H148" s="24" t="s">
        <v>19316</v>
      </c>
      <c r="I148" s="22" t="s">
        <v>19309</v>
      </c>
      <c r="J148" s="22" t="s">
        <v>19519</v>
      </c>
      <c r="K148" s="22" t="s">
        <v>19834</v>
      </c>
      <c r="L148" s="22"/>
      <c r="M148" s="22"/>
      <c r="N148" s="25" t="str">
        <f>HYPERLINK("http://slimages.macys.com/is/image/MCY/21352777 ")</f>
        <v xml:space="preserve">http://slimages.macys.com/is/image/MCY/21352777 </v>
      </c>
    </row>
    <row r="149" spans="1:14" x14ac:dyDescent="0.25">
      <c r="A149" s="21" t="s">
        <v>19846</v>
      </c>
      <c r="B149" s="22" t="s">
        <v>19847</v>
      </c>
      <c r="C149" s="2">
        <v>1</v>
      </c>
      <c r="D149" s="23">
        <v>16.989999999999998</v>
      </c>
      <c r="E149" s="3">
        <v>16.989999999999998</v>
      </c>
      <c r="F149" s="2" t="s">
        <v>19848</v>
      </c>
      <c r="G149" s="22" t="s">
        <v>19351</v>
      </c>
      <c r="H149" s="24" t="s">
        <v>19361</v>
      </c>
      <c r="I149" s="22" t="s">
        <v>19309</v>
      </c>
      <c r="J149" s="22" t="s">
        <v>19849</v>
      </c>
      <c r="K149" s="22" t="s">
        <v>19850</v>
      </c>
      <c r="L149" s="22"/>
      <c r="M149" s="22"/>
      <c r="N149" s="25" t="str">
        <f>HYPERLINK("http://slimages.macys.com/is/image/MCY/1504991 ")</f>
        <v xml:space="preserve">http://slimages.macys.com/is/image/MCY/1504991 </v>
      </c>
    </row>
    <row r="150" spans="1:14" ht="24.75" x14ac:dyDescent="0.25">
      <c r="A150" s="21" t="s">
        <v>19851</v>
      </c>
      <c r="B150" s="22" t="s">
        <v>19852</v>
      </c>
      <c r="C150" s="2">
        <v>1</v>
      </c>
      <c r="D150" s="23">
        <v>24</v>
      </c>
      <c r="E150" s="3">
        <v>24</v>
      </c>
      <c r="F150" s="2" t="s">
        <v>19853</v>
      </c>
      <c r="G150" s="22" t="s">
        <v>19404</v>
      </c>
      <c r="H150" s="24" t="s">
        <v>19416</v>
      </c>
      <c r="I150" s="22" t="s">
        <v>19309</v>
      </c>
      <c r="J150" s="22" t="s">
        <v>19417</v>
      </c>
      <c r="K150" s="22" t="s">
        <v>19854</v>
      </c>
      <c r="L150" s="22"/>
      <c r="M150" s="22"/>
      <c r="N150" s="25" t="str">
        <f>HYPERLINK("http://slimages.macys.com/is/image/MCY/21369862 ")</f>
        <v xml:space="preserve">http://slimages.macys.com/is/image/MCY/21369862 </v>
      </c>
    </row>
    <row r="151" spans="1:14" ht="24.75" x14ac:dyDescent="0.25">
      <c r="A151" s="21" t="s">
        <v>19855</v>
      </c>
      <c r="B151" s="22" t="s">
        <v>19856</v>
      </c>
      <c r="C151" s="2">
        <v>1</v>
      </c>
      <c r="D151" s="23">
        <v>24</v>
      </c>
      <c r="E151" s="3">
        <v>24</v>
      </c>
      <c r="F151" s="2" t="s">
        <v>19857</v>
      </c>
      <c r="G151" s="22" t="s">
        <v>19404</v>
      </c>
      <c r="H151" s="24" t="s">
        <v>19416</v>
      </c>
      <c r="I151" s="22" t="s">
        <v>19309</v>
      </c>
      <c r="J151" s="22" t="s">
        <v>19417</v>
      </c>
      <c r="K151" s="22" t="s">
        <v>19854</v>
      </c>
      <c r="L151" s="22"/>
      <c r="M151" s="22"/>
      <c r="N151" s="25" t="str">
        <f>HYPERLINK("http://slimages.macys.com/is/image/MCY/21362679 ")</f>
        <v xml:space="preserve">http://slimages.macys.com/is/image/MCY/21362679 </v>
      </c>
    </row>
    <row r="152" spans="1:14" x14ac:dyDescent="0.25">
      <c r="A152" s="21" t="s">
        <v>19858</v>
      </c>
      <c r="B152" s="22" t="s">
        <v>19859</v>
      </c>
      <c r="C152" s="2">
        <v>1</v>
      </c>
      <c r="D152" s="23">
        <v>19.989999999999998</v>
      </c>
      <c r="E152" s="3">
        <v>19.989999999999998</v>
      </c>
      <c r="F152" s="2" t="s">
        <v>19860</v>
      </c>
      <c r="G152" s="22" t="s">
        <v>19307</v>
      </c>
      <c r="H152" s="24" t="s">
        <v>19345</v>
      </c>
      <c r="I152" s="22" t="s">
        <v>19309</v>
      </c>
      <c r="J152" s="22" t="s">
        <v>19310</v>
      </c>
      <c r="K152" s="22" t="s">
        <v>19433</v>
      </c>
      <c r="L152" s="22"/>
      <c r="M152" s="22"/>
      <c r="N152" s="25" t="str">
        <f>HYPERLINK("http://slimages.macys.com/is/image/MCY/21397177 ")</f>
        <v xml:space="preserve">http://slimages.macys.com/is/image/MCY/21397177 </v>
      </c>
    </row>
    <row r="153" spans="1:14" x14ac:dyDescent="0.25">
      <c r="A153" s="21" t="s">
        <v>19861</v>
      </c>
      <c r="B153" s="22" t="s">
        <v>19862</v>
      </c>
      <c r="C153" s="2">
        <v>1</v>
      </c>
      <c r="D153" s="23">
        <v>19.989999999999998</v>
      </c>
      <c r="E153" s="3">
        <v>19.989999999999998</v>
      </c>
      <c r="F153" s="2" t="s">
        <v>19863</v>
      </c>
      <c r="G153" s="22" t="s">
        <v>19431</v>
      </c>
      <c r="H153" s="24" t="s">
        <v>19334</v>
      </c>
      <c r="I153" s="22" t="s">
        <v>19309</v>
      </c>
      <c r="J153" s="22" t="s">
        <v>19310</v>
      </c>
      <c r="K153" s="22" t="s">
        <v>19433</v>
      </c>
      <c r="L153" s="22"/>
      <c r="M153" s="22"/>
      <c r="N153" s="25" t="str">
        <f>HYPERLINK("http://slimages.macys.com/is/image/MCY/21775845 ")</f>
        <v xml:space="preserve">http://slimages.macys.com/is/image/MCY/21775845 </v>
      </c>
    </row>
    <row r="154" spans="1:14" x14ac:dyDescent="0.25">
      <c r="A154" s="21" t="s">
        <v>19864</v>
      </c>
      <c r="B154" s="22" t="s">
        <v>19865</v>
      </c>
      <c r="C154" s="2">
        <v>2</v>
      </c>
      <c r="D154" s="23">
        <v>19.989999999999998</v>
      </c>
      <c r="E154" s="3">
        <v>39.979999999999997</v>
      </c>
      <c r="F154" s="2" t="s">
        <v>19863</v>
      </c>
      <c r="G154" s="22" t="s">
        <v>19431</v>
      </c>
      <c r="H154" s="24" t="s">
        <v>19345</v>
      </c>
      <c r="I154" s="22" t="s">
        <v>19309</v>
      </c>
      <c r="J154" s="22" t="s">
        <v>19310</v>
      </c>
      <c r="K154" s="22" t="s">
        <v>19433</v>
      </c>
      <c r="L154" s="22"/>
      <c r="M154" s="22"/>
      <c r="N154" s="25" t="str">
        <f>HYPERLINK("http://slimages.macys.com/is/image/MCY/21775845 ")</f>
        <v xml:space="preserve">http://slimages.macys.com/is/image/MCY/21775845 </v>
      </c>
    </row>
    <row r="155" spans="1:14" x14ac:dyDescent="0.25">
      <c r="A155" s="21" t="s">
        <v>19866</v>
      </c>
      <c r="B155" s="22" t="s">
        <v>19867</v>
      </c>
      <c r="C155" s="2">
        <v>1</v>
      </c>
      <c r="D155" s="23">
        <v>19.989999999999998</v>
      </c>
      <c r="E155" s="3">
        <v>19.989999999999998</v>
      </c>
      <c r="F155" s="2" t="s">
        <v>19860</v>
      </c>
      <c r="G155" s="22" t="s">
        <v>19307</v>
      </c>
      <c r="H155" s="24" t="s">
        <v>19395</v>
      </c>
      <c r="I155" s="22" t="s">
        <v>19309</v>
      </c>
      <c r="J155" s="22" t="s">
        <v>19310</v>
      </c>
      <c r="K155" s="22" t="s">
        <v>19433</v>
      </c>
      <c r="L155" s="22"/>
      <c r="M155" s="22"/>
      <c r="N155" s="25" t="str">
        <f>HYPERLINK("http://slimages.macys.com/is/image/MCY/21964983 ")</f>
        <v xml:space="preserve">http://slimages.macys.com/is/image/MCY/21964983 </v>
      </c>
    </row>
    <row r="156" spans="1:14" x14ac:dyDescent="0.25">
      <c r="A156" s="21" t="s">
        <v>19868</v>
      </c>
      <c r="B156" s="22" t="s">
        <v>19869</v>
      </c>
      <c r="C156" s="2">
        <v>1</v>
      </c>
      <c r="D156" s="23">
        <v>19.989999999999998</v>
      </c>
      <c r="E156" s="3">
        <v>19.989999999999998</v>
      </c>
      <c r="F156" s="2" t="s">
        <v>19863</v>
      </c>
      <c r="G156" s="22" t="s">
        <v>19431</v>
      </c>
      <c r="H156" s="24" t="s">
        <v>19432</v>
      </c>
      <c r="I156" s="22" t="s">
        <v>19309</v>
      </c>
      <c r="J156" s="22" t="s">
        <v>19310</v>
      </c>
      <c r="K156" s="22" t="s">
        <v>19433</v>
      </c>
      <c r="L156" s="22"/>
      <c r="M156" s="22"/>
      <c r="N156" s="25" t="str">
        <f>HYPERLINK("http://slimages.macys.com/is/image/MCY/21671015 ")</f>
        <v xml:space="preserve">http://slimages.macys.com/is/image/MCY/21671015 </v>
      </c>
    </row>
    <row r="157" spans="1:14" ht="24.75" x14ac:dyDescent="0.25">
      <c r="A157" s="21" t="s">
        <v>19870</v>
      </c>
      <c r="B157" s="22" t="s">
        <v>19871</v>
      </c>
      <c r="C157" s="2">
        <v>1</v>
      </c>
      <c r="D157" s="23">
        <v>15.99</v>
      </c>
      <c r="E157" s="3">
        <v>15.99</v>
      </c>
      <c r="F157" s="2" t="s">
        <v>19872</v>
      </c>
      <c r="G157" s="22" t="s">
        <v>19801</v>
      </c>
      <c r="H157" s="24" t="s">
        <v>19308</v>
      </c>
      <c r="I157" s="22" t="s">
        <v>19309</v>
      </c>
      <c r="J157" s="22" t="s">
        <v>19310</v>
      </c>
      <c r="K157" s="22" t="s">
        <v>19873</v>
      </c>
      <c r="L157" s="22"/>
      <c r="M157" s="22"/>
      <c r="N157" s="25" t="str">
        <f>HYPERLINK("http://slimages.macys.com/is/image/MCY/21191742 ")</f>
        <v xml:space="preserve">http://slimages.macys.com/is/image/MCY/21191742 </v>
      </c>
    </row>
    <row r="158" spans="1:14" ht="24.75" x14ac:dyDescent="0.25">
      <c r="A158" s="21" t="s">
        <v>19874</v>
      </c>
      <c r="B158" s="22" t="s">
        <v>19875</v>
      </c>
      <c r="C158" s="2">
        <v>1</v>
      </c>
      <c r="D158" s="23">
        <v>15.99</v>
      </c>
      <c r="E158" s="3">
        <v>15.99</v>
      </c>
      <c r="F158" s="2" t="s">
        <v>19872</v>
      </c>
      <c r="G158" s="22" t="s">
        <v>19801</v>
      </c>
      <c r="H158" s="24" t="s">
        <v>19364</v>
      </c>
      <c r="I158" s="22" t="s">
        <v>19309</v>
      </c>
      <c r="J158" s="22" t="s">
        <v>19310</v>
      </c>
      <c r="K158" s="22" t="s">
        <v>19873</v>
      </c>
      <c r="L158" s="22"/>
      <c r="M158" s="22"/>
      <c r="N158" s="25" t="str">
        <f>HYPERLINK("http://slimages.macys.com/is/image/MCY/21191742 ")</f>
        <v xml:space="preserve">http://slimages.macys.com/is/image/MCY/21191742 </v>
      </c>
    </row>
    <row r="159" spans="1:14" ht="24.75" x14ac:dyDescent="0.25">
      <c r="A159" s="21" t="s">
        <v>19876</v>
      </c>
      <c r="B159" s="22" t="s">
        <v>19877</v>
      </c>
      <c r="C159" s="2">
        <v>1</v>
      </c>
      <c r="D159" s="23">
        <v>24.99</v>
      </c>
      <c r="E159" s="3">
        <v>24.99</v>
      </c>
      <c r="F159" s="2" t="s">
        <v>19878</v>
      </c>
      <c r="G159" s="22" t="s">
        <v>19879</v>
      </c>
      <c r="H159" s="24" t="s">
        <v>19361</v>
      </c>
      <c r="I159" s="22" t="s">
        <v>19309</v>
      </c>
      <c r="J159" s="22" t="s">
        <v>19454</v>
      </c>
      <c r="K159" s="22" t="s">
        <v>19524</v>
      </c>
      <c r="L159" s="22"/>
      <c r="M159" s="22"/>
      <c r="N159" s="25" t="str">
        <f>HYPERLINK("http://slimages.macys.com/is/image/MCY/1473054 ")</f>
        <v xml:space="preserve">http://slimages.macys.com/is/image/MCY/1473054 </v>
      </c>
    </row>
    <row r="160" spans="1:14" x14ac:dyDescent="0.25">
      <c r="A160" s="21" t="s">
        <v>19880</v>
      </c>
      <c r="B160" s="22" t="s">
        <v>19881</v>
      </c>
      <c r="C160" s="2">
        <v>1</v>
      </c>
      <c r="D160" s="23">
        <v>17.82</v>
      </c>
      <c r="E160" s="3">
        <v>17.82</v>
      </c>
      <c r="F160" s="2" t="s">
        <v>19882</v>
      </c>
      <c r="G160" s="22" t="s">
        <v>19431</v>
      </c>
      <c r="H160" s="24" t="s">
        <v>19367</v>
      </c>
      <c r="I160" s="22" t="s">
        <v>19309</v>
      </c>
      <c r="J160" s="22" t="s">
        <v>19708</v>
      </c>
      <c r="K160" s="22" t="s">
        <v>19709</v>
      </c>
      <c r="L160" s="22"/>
      <c r="M160" s="22"/>
      <c r="N160" s="25" t="str">
        <f>HYPERLINK("http://slimages.macys.com/is/image/MCY/21409066 ")</f>
        <v xml:space="preserve">http://slimages.macys.com/is/image/MCY/21409066 </v>
      </c>
    </row>
    <row r="161" spans="1:14" ht="24.75" x14ac:dyDescent="0.25">
      <c r="A161" s="21" t="s">
        <v>19883</v>
      </c>
      <c r="B161" s="22" t="s">
        <v>19884</v>
      </c>
      <c r="C161" s="2">
        <v>1</v>
      </c>
      <c r="D161" s="23">
        <v>17.989999999999998</v>
      </c>
      <c r="E161" s="3">
        <v>17.989999999999998</v>
      </c>
      <c r="F161" s="2" t="s">
        <v>19885</v>
      </c>
      <c r="G161" s="22" t="s">
        <v>19886</v>
      </c>
      <c r="H161" s="24" t="s">
        <v>19797</v>
      </c>
      <c r="I161" s="22" t="s">
        <v>19309</v>
      </c>
      <c r="J161" s="22" t="s">
        <v>19447</v>
      </c>
      <c r="K161" s="22" t="s">
        <v>19533</v>
      </c>
      <c r="L161" s="22"/>
      <c r="M161" s="22"/>
      <c r="N161" s="25" t="str">
        <f>HYPERLINK("http://slimages.macys.com/is/image/MCY/21253727 ")</f>
        <v xml:space="preserve">http://slimages.macys.com/is/image/MCY/21253727 </v>
      </c>
    </row>
    <row r="162" spans="1:14" ht="24.75" x14ac:dyDescent="0.25">
      <c r="A162" s="21" t="s">
        <v>19887</v>
      </c>
      <c r="B162" s="22" t="s">
        <v>19888</v>
      </c>
      <c r="C162" s="2">
        <v>1</v>
      </c>
      <c r="D162" s="23">
        <v>17.989999999999998</v>
      </c>
      <c r="E162" s="3">
        <v>17.989999999999998</v>
      </c>
      <c r="F162" s="2" t="s">
        <v>19889</v>
      </c>
      <c r="G162" s="22" t="s">
        <v>19351</v>
      </c>
      <c r="H162" s="24" t="s">
        <v>19352</v>
      </c>
      <c r="I162" s="22" t="s">
        <v>19309</v>
      </c>
      <c r="J162" s="22" t="s">
        <v>19447</v>
      </c>
      <c r="K162" s="22" t="s">
        <v>19533</v>
      </c>
      <c r="L162" s="22"/>
      <c r="M162" s="22"/>
      <c r="N162" s="25" t="str">
        <f>HYPERLINK("http://slimages.macys.com/is/image/MCY/20783936 ")</f>
        <v xml:space="preserve">http://slimages.macys.com/is/image/MCY/20783936 </v>
      </c>
    </row>
    <row r="163" spans="1:14" ht="24.75" x14ac:dyDescent="0.25">
      <c r="A163" s="21" t="s">
        <v>19890</v>
      </c>
      <c r="B163" s="22" t="s">
        <v>19891</v>
      </c>
      <c r="C163" s="2">
        <v>1</v>
      </c>
      <c r="D163" s="23">
        <v>17.989999999999998</v>
      </c>
      <c r="E163" s="3">
        <v>17.989999999999998</v>
      </c>
      <c r="F163" s="2" t="s">
        <v>19889</v>
      </c>
      <c r="G163" s="22" t="s">
        <v>19351</v>
      </c>
      <c r="H163" s="24" t="s">
        <v>19797</v>
      </c>
      <c r="I163" s="22" t="s">
        <v>19309</v>
      </c>
      <c r="J163" s="22" t="s">
        <v>19447</v>
      </c>
      <c r="K163" s="22" t="s">
        <v>19533</v>
      </c>
      <c r="L163" s="22"/>
      <c r="M163" s="22"/>
      <c r="N163" s="25" t="str">
        <f>HYPERLINK("http://slimages.macys.com/is/image/MCY/21643700 ")</f>
        <v xml:space="preserve">http://slimages.macys.com/is/image/MCY/21643700 </v>
      </c>
    </row>
    <row r="164" spans="1:14" ht="24.75" x14ac:dyDescent="0.25">
      <c r="A164" s="21" t="s">
        <v>19892</v>
      </c>
      <c r="B164" s="22" t="s">
        <v>19893</v>
      </c>
      <c r="C164" s="2">
        <v>1</v>
      </c>
      <c r="D164" s="23">
        <v>19.989999999999998</v>
      </c>
      <c r="E164" s="3">
        <v>19.989999999999998</v>
      </c>
      <c r="F164" s="2" t="s">
        <v>19894</v>
      </c>
      <c r="G164" s="22" t="s">
        <v>19670</v>
      </c>
      <c r="H164" s="24" t="s">
        <v>19384</v>
      </c>
      <c r="I164" s="22" t="s">
        <v>19309</v>
      </c>
      <c r="J164" s="22" t="s">
        <v>19573</v>
      </c>
      <c r="K164" s="22" t="s">
        <v>19574</v>
      </c>
      <c r="L164" s="22"/>
      <c r="M164" s="22"/>
      <c r="N164" s="25" t="str">
        <f>HYPERLINK("http://slimages.macys.com/is/image/MCY/20757824 ")</f>
        <v xml:space="preserve">http://slimages.macys.com/is/image/MCY/20757824 </v>
      </c>
    </row>
    <row r="165" spans="1:14" ht="24.75" x14ac:dyDescent="0.25">
      <c r="A165" s="21" t="s">
        <v>19895</v>
      </c>
      <c r="B165" s="22" t="s">
        <v>19896</v>
      </c>
      <c r="C165" s="2">
        <v>1</v>
      </c>
      <c r="D165" s="23">
        <v>19.989999999999998</v>
      </c>
      <c r="E165" s="3">
        <v>19.989999999999998</v>
      </c>
      <c r="F165" s="2" t="s">
        <v>19897</v>
      </c>
      <c r="G165" s="22" t="s">
        <v>19670</v>
      </c>
      <c r="H165" s="24"/>
      <c r="I165" s="22" t="s">
        <v>19309</v>
      </c>
      <c r="J165" s="22" t="s">
        <v>19573</v>
      </c>
      <c r="K165" s="22" t="s">
        <v>19574</v>
      </c>
      <c r="L165" s="22"/>
      <c r="M165" s="22"/>
      <c r="N165" s="25" t="str">
        <f>HYPERLINK("http://slimages.macys.com/is/image/MCY/20757750 ")</f>
        <v xml:space="preserve">http://slimages.macys.com/is/image/MCY/20757750 </v>
      </c>
    </row>
    <row r="166" spans="1:14" ht="24.75" x14ac:dyDescent="0.25">
      <c r="A166" s="21" t="s">
        <v>19898</v>
      </c>
      <c r="B166" s="22" t="s">
        <v>19899</v>
      </c>
      <c r="C166" s="2">
        <v>1</v>
      </c>
      <c r="D166" s="23">
        <v>19.989999999999998</v>
      </c>
      <c r="E166" s="3">
        <v>19.989999999999998</v>
      </c>
      <c r="F166" s="2" t="s">
        <v>19900</v>
      </c>
      <c r="G166" s="22" t="s">
        <v>19467</v>
      </c>
      <c r="H166" s="24"/>
      <c r="I166" s="22" t="s">
        <v>19309</v>
      </c>
      <c r="J166" s="22" t="s">
        <v>19573</v>
      </c>
      <c r="K166" s="22" t="s">
        <v>19574</v>
      </c>
      <c r="L166" s="22"/>
      <c r="M166" s="22"/>
      <c r="N166" s="25" t="str">
        <f>HYPERLINK("http://slimages.macys.com/is/image/MCY/1248248 ")</f>
        <v xml:space="preserve">http://slimages.macys.com/is/image/MCY/1248248 </v>
      </c>
    </row>
    <row r="167" spans="1:14" ht="24.75" x14ac:dyDescent="0.25">
      <c r="A167" s="21" t="s">
        <v>19901</v>
      </c>
      <c r="B167" s="22" t="s">
        <v>19902</v>
      </c>
      <c r="C167" s="2">
        <v>1</v>
      </c>
      <c r="D167" s="23">
        <v>19.989999999999998</v>
      </c>
      <c r="E167" s="3">
        <v>19.989999999999998</v>
      </c>
      <c r="F167" s="2" t="s">
        <v>19894</v>
      </c>
      <c r="G167" s="22" t="s">
        <v>19670</v>
      </c>
      <c r="H167" s="24"/>
      <c r="I167" s="22" t="s">
        <v>19309</v>
      </c>
      <c r="J167" s="22" t="s">
        <v>19573</v>
      </c>
      <c r="K167" s="22" t="s">
        <v>19574</v>
      </c>
      <c r="L167" s="22"/>
      <c r="M167" s="22"/>
      <c r="N167" s="25" t="str">
        <f>HYPERLINK("http://slimages.macys.com/is/image/MCY/20757824 ")</f>
        <v xml:space="preserve">http://slimages.macys.com/is/image/MCY/20757824 </v>
      </c>
    </row>
    <row r="168" spans="1:14" ht="24.75" x14ac:dyDescent="0.25">
      <c r="A168" s="21" t="s">
        <v>19903</v>
      </c>
      <c r="B168" s="22" t="s">
        <v>19904</v>
      </c>
      <c r="C168" s="2">
        <v>1</v>
      </c>
      <c r="D168" s="23">
        <v>26.99</v>
      </c>
      <c r="E168" s="3">
        <v>26.99</v>
      </c>
      <c r="F168" s="2" t="s">
        <v>19905</v>
      </c>
      <c r="G168" s="22" t="s">
        <v>19906</v>
      </c>
      <c r="H168" s="24" t="s">
        <v>19907</v>
      </c>
      <c r="I168" s="22" t="s">
        <v>19309</v>
      </c>
      <c r="J168" s="22" t="s">
        <v>19908</v>
      </c>
      <c r="K168" s="22" t="s">
        <v>19524</v>
      </c>
      <c r="L168" s="22"/>
      <c r="M168" s="22"/>
      <c r="N168" s="25" t="str">
        <f>HYPERLINK("http://slimages.macys.com/is/image/MCY/1472546 ")</f>
        <v xml:space="preserve">http://slimages.macys.com/is/image/MCY/1472546 </v>
      </c>
    </row>
    <row r="169" spans="1:14" ht="24.75" x14ac:dyDescent="0.25">
      <c r="A169" s="21" t="s">
        <v>19909</v>
      </c>
      <c r="B169" s="22" t="s">
        <v>19910</v>
      </c>
      <c r="C169" s="2">
        <v>1</v>
      </c>
      <c r="D169" s="23">
        <v>16.989999999999998</v>
      </c>
      <c r="E169" s="3">
        <v>16.989999999999998</v>
      </c>
      <c r="F169" s="2" t="s">
        <v>19911</v>
      </c>
      <c r="G169" s="22" t="s">
        <v>19422</v>
      </c>
      <c r="H169" s="24" t="s">
        <v>19538</v>
      </c>
      <c r="I169" s="22" t="s">
        <v>19309</v>
      </c>
      <c r="J169" s="22" t="s">
        <v>19573</v>
      </c>
      <c r="K169" s="22" t="s">
        <v>19574</v>
      </c>
      <c r="L169" s="22"/>
      <c r="M169" s="22"/>
      <c r="N169" s="25" t="str">
        <f>HYPERLINK("http://slimages.macys.com/is/image/MCY/1646328 ")</f>
        <v xml:space="preserve">http://slimages.macys.com/is/image/MCY/1646328 </v>
      </c>
    </row>
    <row r="170" spans="1:14" ht="24.75" x14ac:dyDescent="0.25">
      <c r="A170" s="21" t="s">
        <v>19912</v>
      </c>
      <c r="B170" s="22" t="s">
        <v>19913</v>
      </c>
      <c r="C170" s="2">
        <v>3</v>
      </c>
      <c r="D170" s="23">
        <v>18.989999999999998</v>
      </c>
      <c r="E170" s="3">
        <v>56.97</v>
      </c>
      <c r="F170" s="2" t="s">
        <v>19914</v>
      </c>
      <c r="G170" s="22" t="s">
        <v>19713</v>
      </c>
      <c r="H170" s="24" t="s">
        <v>19384</v>
      </c>
      <c r="I170" s="22" t="s">
        <v>19309</v>
      </c>
      <c r="J170" s="22" t="s">
        <v>19573</v>
      </c>
      <c r="K170" s="22" t="s">
        <v>19574</v>
      </c>
      <c r="L170" s="22"/>
      <c r="M170" s="22"/>
      <c r="N170" s="25" t="str">
        <f t="shared" ref="N170:N177" si="0">HYPERLINK("http://slimages.macys.com/is/image/MCY/1322715 ")</f>
        <v xml:space="preserve">http://slimages.macys.com/is/image/MCY/1322715 </v>
      </c>
    </row>
    <row r="171" spans="1:14" ht="24.75" x14ac:dyDescent="0.25">
      <c r="A171" s="21" t="s">
        <v>19915</v>
      </c>
      <c r="B171" s="22" t="s">
        <v>19916</v>
      </c>
      <c r="C171" s="2">
        <v>3</v>
      </c>
      <c r="D171" s="23">
        <v>18.989999999999998</v>
      </c>
      <c r="E171" s="3">
        <v>56.97</v>
      </c>
      <c r="F171" s="2" t="s">
        <v>19914</v>
      </c>
      <c r="G171" s="22" t="s">
        <v>19713</v>
      </c>
      <c r="H171" s="24"/>
      <c r="I171" s="22" t="s">
        <v>19309</v>
      </c>
      <c r="J171" s="22" t="s">
        <v>19573</v>
      </c>
      <c r="K171" s="22" t="s">
        <v>19574</v>
      </c>
      <c r="L171" s="22"/>
      <c r="M171" s="22"/>
      <c r="N171" s="25" t="str">
        <f t="shared" si="0"/>
        <v xml:space="preserve">http://slimages.macys.com/is/image/MCY/1322715 </v>
      </c>
    </row>
    <row r="172" spans="1:14" ht="24.75" x14ac:dyDescent="0.25">
      <c r="A172" s="21" t="s">
        <v>19917</v>
      </c>
      <c r="B172" s="22" t="s">
        <v>19918</v>
      </c>
      <c r="C172" s="2">
        <v>2</v>
      </c>
      <c r="D172" s="23">
        <v>18.989999999999998</v>
      </c>
      <c r="E172" s="3">
        <v>37.979999999999997</v>
      </c>
      <c r="F172" s="2">
        <v>10015242200</v>
      </c>
      <c r="G172" s="22" t="s">
        <v>19315</v>
      </c>
      <c r="H172" s="24"/>
      <c r="I172" s="22" t="s">
        <v>19309</v>
      </c>
      <c r="J172" s="22" t="s">
        <v>19573</v>
      </c>
      <c r="K172" s="22" t="s">
        <v>19574</v>
      </c>
      <c r="L172" s="22"/>
      <c r="M172" s="22"/>
      <c r="N172" s="25" t="str">
        <f t="shared" si="0"/>
        <v xml:space="preserve">http://slimages.macys.com/is/image/MCY/1322715 </v>
      </c>
    </row>
    <row r="173" spans="1:14" ht="24.75" x14ac:dyDescent="0.25">
      <c r="A173" s="21" t="s">
        <v>19919</v>
      </c>
      <c r="B173" s="22" t="s">
        <v>19920</v>
      </c>
      <c r="C173" s="2">
        <v>2</v>
      </c>
      <c r="D173" s="23">
        <v>18.989999999999998</v>
      </c>
      <c r="E173" s="3">
        <v>37.979999999999997</v>
      </c>
      <c r="F173" s="2">
        <v>10015242300</v>
      </c>
      <c r="G173" s="22" t="s">
        <v>19518</v>
      </c>
      <c r="H173" s="24"/>
      <c r="I173" s="22" t="s">
        <v>19309</v>
      </c>
      <c r="J173" s="22" t="s">
        <v>19573</v>
      </c>
      <c r="K173" s="22" t="s">
        <v>19574</v>
      </c>
      <c r="L173" s="22"/>
      <c r="M173" s="22"/>
      <c r="N173" s="25" t="str">
        <f t="shared" si="0"/>
        <v xml:space="preserve">http://slimages.macys.com/is/image/MCY/1322715 </v>
      </c>
    </row>
    <row r="174" spans="1:14" ht="24.75" x14ac:dyDescent="0.25">
      <c r="A174" s="21" t="s">
        <v>19921</v>
      </c>
      <c r="B174" s="22" t="s">
        <v>19922</v>
      </c>
      <c r="C174" s="2">
        <v>1</v>
      </c>
      <c r="D174" s="23">
        <v>18.989999999999998</v>
      </c>
      <c r="E174" s="3">
        <v>18.989999999999998</v>
      </c>
      <c r="F174" s="2">
        <v>10015242300</v>
      </c>
      <c r="G174" s="22" t="s">
        <v>19518</v>
      </c>
      <c r="H174" s="24" t="s">
        <v>19538</v>
      </c>
      <c r="I174" s="22" t="s">
        <v>19309</v>
      </c>
      <c r="J174" s="22" t="s">
        <v>19573</v>
      </c>
      <c r="K174" s="22" t="s">
        <v>19574</v>
      </c>
      <c r="L174" s="22"/>
      <c r="M174" s="22"/>
      <c r="N174" s="25" t="str">
        <f t="shared" si="0"/>
        <v xml:space="preserve">http://slimages.macys.com/is/image/MCY/1322715 </v>
      </c>
    </row>
    <row r="175" spans="1:14" ht="24.75" x14ac:dyDescent="0.25">
      <c r="A175" s="21" t="s">
        <v>19923</v>
      </c>
      <c r="B175" s="22" t="s">
        <v>19924</v>
      </c>
      <c r="C175" s="2">
        <v>3</v>
      </c>
      <c r="D175" s="23">
        <v>18.989999999999998</v>
      </c>
      <c r="E175" s="3">
        <v>56.97</v>
      </c>
      <c r="F175" s="2">
        <v>10015242300</v>
      </c>
      <c r="G175" s="22" t="s">
        <v>19518</v>
      </c>
      <c r="H175" s="24" t="s">
        <v>19770</v>
      </c>
      <c r="I175" s="22" t="s">
        <v>19309</v>
      </c>
      <c r="J175" s="22" t="s">
        <v>19573</v>
      </c>
      <c r="K175" s="22" t="s">
        <v>19574</v>
      </c>
      <c r="L175" s="22"/>
      <c r="M175" s="22"/>
      <c r="N175" s="25" t="str">
        <f t="shared" si="0"/>
        <v xml:space="preserve">http://slimages.macys.com/is/image/MCY/1322715 </v>
      </c>
    </row>
    <row r="176" spans="1:14" ht="24.75" x14ac:dyDescent="0.25">
      <c r="A176" s="21" t="s">
        <v>19925</v>
      </c>
      <c r="B176" s="22" t="s">
        <v>19926</v>
      </c>
      <c r="C176" s="2">
        <v>1</v>
      </c>
      <c r="D176" s="23">
        <v>18.989999999999998</v>
      </c>
      <c r="E176" s="3">
        <v>18.989999999999998</v>
      </c>
      <c r="F176" s="2" t="s">
        <v>19914</v>
      </c>
      <c r="G176" s="22" t="s">
        <v>19713</v>
      </c>
      <c r="H176" s="24" t="s">
        <v>19538</v>
      </c>
      <c r="I176" s="22" t="s">
        <v>19309</v>
      </c>
      <c r="J176" s="22" t="s">
        <v>19573</v>
      </c>
      <c r="K176" s="22" t="s">
        <v>19574</v>
      </c>
      <c r="L176" s="22"/>
      <c r="M176" s="22"/>
      <c r="N176" s="25" t="str">
        <f t="shared" si="0"/>
        <v xml:space="preserve">http://slimages.macys.com/is/image/MCY/1322715 </v>
      </c>
    </row>
    <row r="177" spans="1:14" ht="24.75" x14ac:dyDescent="0.25">
      <c r="A177" s="21" t="s">
        <v>19927</v>
      </c>
      <c r="B177" s="22" t="s">
        <v>19928</v>
      </c>
      <c r="C177" s="2">
        <v>1</v>
      </c>
      <c r="D177" s="23">
        <v>18.989999999999998</v>
      </c>
      <c r="E177" s="3">
        <v>18.989999999999998</v>
      </c>
      <c r="F177" s="2">
        <v>10015242200</v>
      </c>
      <c r="G177" s="22" t="s">
        <v>19315</v>
      </c>
      <c r="H177" s="24" t="s">
        <v>19384</v>
      </c>
      <c r="I177" s="22" t="s">
        <v>19309</v>
      </c>
      <c r="J177" s="22" t="s">
        <v>19573</v>
      </c>
      <c r="K177" s="22" t="s">
        <v>19574</v>
      </c>
      <c r="L177" s="22"/>
      <c r="M177" s="22"/>
      <c r="N177" s="25" t="str">
        <f t="shared" si="0"/>
        <v xml:space="preserve">http://slimages.macys.com/is/image/MCY/1322715 </v>
      </c>
    </row>
    <row r="178" spans="1:14" ht="24.75" x14ac:dyDescent="0.25">
      <c r="A178" s="21" t="s">
        <v>19929</v>
      </c>
      <c r="B178" s="22" t="s">
        <v>19930</v>
      </c>
      <c r="C178" s="2">
        <v>1</v>
      </c>
      <c r="D178" s="23">
        <v>18.989999999999998</v>
      </c>
      <c r="E178" s="3">
        <v>18.989999999999998</v>
      </c>
      <c r="F178" s="2" t="s">
        <v>19931</v>
      </c>
      <c r="G178" s="22" t="s">
        <v>19351</v>
      </c>
      <c r="H178" s="24" t="s">
        <v>19339</v>
      </c>
      <c r="I178" s="22" t="s">
        <v>19309</v>
      </c>
      <c r="J178" s="22" t="s">
        <v>19310</v>
      </c>
      <c r="K178" s="22" t="s">
        <v>19932</v>
      </c>
      <c r="L178" s="22"/>
      <c r="M178" s="22"/>
      <c r="N178" s="25" t="str">
        <f>HYPERLINK("http://slimages.macys.com/is/image/MCY/21605187 ")</f>
        <v xml:space="preserve">http://slimages.macys.com/is/image/MCY/21605187 </v>
      </c>
    </row>
    <row r="179" spans="1:14" ht="24.75" x14ac:dyDescent="0.25">
      <c r="A179" s="21" t="s">
        <v>19933</v>
      </c>
      <c r="B179" s="22" t="s">
        <v>19934</v>
      </c>
      <c r="C179" s="2">
        <v>1</v>
      </c>
      <c r="D179" s="23">
        <v>17.989999999999998</v>
      </c>
      <c r="E179" s="3">
        <v>17.989999999999998</v>
      </c>
      <c r="F179" s="2" t="s">
        <v>19935</v>
      </c>
      <c r="G179" s="22" t="s">
        <v>19307</v>
      </c>
      <c r="H179" s="24" t="s">
        <v>19364</v>
      </c>
      <c r="I179" s="22" t="s">
        <v>19309</v>
      </c>
      <c r="J179" s="22" t="s">
        <v>19310</v>
      </c>
      <c r="K179" s="22" t="s">
        <v>19529</v>
      </c>
      <c r="L179" s="22"/>
      <c r="M179" s="22"/>
      <c r="N179" s="25" t="str">
        <f>HYPERLINK("http://slimages.macys.com/is/image/MCY/21646812 ")</f>
        <v xml:space="preserve">http://slimages.macys.com/is/image/MCY/21646812 </v>
      </c>
    </row>
    <row r="180" spans="1:14" ht="24.75" x14ac:dyDescent="0.25">
      <c r="A180" s="21" t="s">
        <v>19936</v>
      </c>
      <c r="B180" s="22" t="s">
        <v>19937</v>
      </c>
      <c r="C180" s="2">
        <v>1</v>
      </c>
      <c r="D180" s="23">
        <v>17.989999999999998</v>
      </c>
      <c r="E180" s="3">
        <v>17.989999999999998</v>
      </c>
      <c r="F180" s="2" t="s">
        <v>19935</v>
      </c>
      <c r="G180" s="22" t="s">
        <v>19307</v>
      </c>
      <c r="H180" s="24" t="s">
        <v>19339</v>
      </c>
      <c r="I180" s="22" t="s">
        <v>19309</v>
      </c>
      <c r="J180" s="22" t="s">
        <v>19310</v>
      </c>
      <c r="K180" s="22" t="s">
        <v>19529</v>
      </c>
      <c r="L180" s="22"/>
      <c r="M180" s="22"/>
      <c r="N180" s="25" t="str">
        <f>HYPERLINK("http://slimages.macys.com/is/image/MCY/21646812 ")</f>
        <v xml:space="preserve">http://slimages.macys.com/is/image/MCY/21646812 </v>
      </c>
    </row>
    <row r="181" spans="1:14" ht="24.75" x14ac:dyDescent="0.25">
      <c r="A181" s="21" t="s">
        <v>19938</v>
      </c>
      <c r="B181" s="22" t="s">
        <v>19939</v>
      </c>
      <c r="C181" s="2">
        <v>1</v>
      </c>
      <c r="D181" s="23">
        <v>17.989999999999998</v>
      </c>
      <c r="E181" s="3">
        <v>17.989999999999998</v>
      </c>
      <c r="F181" s="2" t="s">
        <v>19935</v>
      </c>
      <c r="G181" s="22" t="s">
        <v>19307</v>
      </c>
      <c r="H181" s="24" t="s">
        <v>19308</v>
      </c>
      <c r="I181" s="22" t="s">
        <v>19309</v>
      </c>
      <c r="J181" s="22" t="s">
        <v>19310</v>
      </c>
      <c r="K181" s="22" t="s">
        <v>19529</v>
      </c>
      <c r="L181" s="22"/>
      <c r="M181" s="22"/>
      <c r="N181" s="25" t="str">
        <f>HYPERLINK("http://slimages.macys.com/is/image/MCY/21646812 ")</f>
        <v xml:space="preserve">http://slimages.macys.com/is/image/MCY/21646812 </v>
      </c>
    </row>
    <row r="182" spans="1:14" x14ac:dyDescent="0.25">
      <c r="A182" s="21" t="s">
        <v>19940</v>
      </c>
      <c r="B182" s="22" t="s">
        <v>19941</v>
      </c>
      <c r="C182" s="2">
        <v>2</v>
      </c>
      <c r="D182" s="23">
        <v>17.100000000000001</v>
      </c>
      <c r="E182" s="3">
        <v>34.200000000000003</v>
      </c>
      <c r="F182" s="2" t="s">
        <v>19942</v>
      </c>
      <c r="G182" s="22" t="s">
        <v>19431</v>
      </c>
      <c r="H182" s="24" t="s">
        <v>19367</v>
      </c>
      <c r="I182" s="22" t="s">
        <v>19309</v>
      </c>
      <c r="J182" s="22" t="s">
        <v>19708</v>
      </c>
      <c r="K182" s="22" t="s">
        <v>19709</v>
      </c>
      <c r="L182" s="22"/>
      <c r="M182" s="22"/>
      <c r="N182" s="25" t="str">
        <f>HYPERLINK("http://slimages.macys.com/is/image/MCY/19060488 ")</f>
        <v xml:space="preserve">http://slimages.macys.com/is/image/MCY/19060488 </v>
      </c>
    </row>
    <row r="183" spans="1:14" x14ac:dyDescent="0.25">
      <c r="A183" s="21" t="s">
        <v>19943</v>
      </c>
      <c r="B183" s="22" t="s">
        <v>19944</v>
      </c>
      <c r="C183" s="2">
        <v>1</v>
      </c>
      <c r="D183" s="23">
        <v>17.100000000000001</v>
      </c>
      <c r="E183" s="3">
        <v>17.100000000000001</v>
      </c>
      <c r="F183" s="2" t="s">
        <v>19945</v>
      </c>
      <c r="G183" s="22" t="s">
        <v>19342</v>
      </c>
      <c r="H183" s="24" t="s">
        <v>19770</v>
      </c>
      <c r="I183" s="22" t="s">
        <v>19309</v>
      </c>
      <c r="J183" s="22" t="s">
        <v>19708</v>
      </c>
      <c r="K183" s="22" t="s">
        <v>19709</v>
      </c>
      <c r="L183" s="22"/>
      <c r="M183" s="22"/>
      <c r="N183" s="25" t="str">
        <f>HYPERLINK("http://slimages.macys.com/is/image/MCY/19847234 ")</f>
        <v xml:space="preserve">http://slimages.macys.com/is/image/MCY/19847234 </v>
      </c>
    </row>
    <row r="184" spans="1:14" ht="24.75" x14ac:dyDescent="0.25">
      <c r="A184" s="21" t="s">
        <v>19946</v>
      </c>
      <c r="B184" s="22" t="s">
        <v>19947</v>
      </c>
      <c r="C184" s="2">
        <v>2</v>
      </c>
      <c r="D184" s="23">
        <v>14.99</v>
      </c>
      <c r="E184" s="3">
        <v>29.98</v>
      </c>
      <c r="F184" s="2" t="s">
        <v>19948</v>
      </c>
      <c r="G184" s="22" t="s">
        <v>19467</v>
      </c>
      <c r="H184" s="24" t="s">
        <v>19352</v>
      </c>
      <c r="I184" s="22" t="s">
        <v>19309</v>
      </c>
      <c r="J184" s="22" t="s">
        <v>19447</v>
      </c>
      <c r="K184" s="22" t="s">
        <v>19873</v>
      </c>
      <c r="L184" s="22"/>
      <c r="M184" s="22"/>
      <c r="N184" s="25" t="str">
        <f>HYPERLINK("http://slimages.macys.com/is/image/MCY/20391352 ")</f>
        <v xml:space="preserve">http://slimages.macys.com/is/image/MCY/20391352 </v>
      </c>
    </row>
    <row r="185" spans="1:14" ht="24.75" x14ac:dyDescent="0.25">
      <c r="A185" s="21" t="s">
        <v>19949</v>
      </c>
      <c r="B185" s="22" t="s">
        <v>19950</v>
      </c>
      <c r="C185" s="2">
        <v>1</v>
      </c>
      <c r="D185" s="23">
        <v>14.99</v>
      </c>
      <c r="E185" s="3">
        <v>14.99</v>
      </c>
      <c r="F185" s="2" t="s">
        <v>19951</v>
      </c>
      <c r="G185" s="22" t="s">
        <v>19427</v>
      </c>
      <c r="H185" s="24" t="s">
        <v>19334</v>
      </c>
      <c r="I185" s="22" t="s">
        <v>19309</v>
      </c>
      <c r="J185" s="22" t="s">
        <v>19310</v>
      </c>
      <c r="K185" s="22" t="s">
        <v>19468</v>
      </c>
      <c r="L185" s="22"/>
      <c r="M185" s="22"/>
      <c r="N185" s="25" t="str">
        <f>HYPERLINK("http://slimages.macys.com/is/image/MCY/21266205 ")</f>
        <v xml:space="preserve">http://slimages.macys.com/is/image/MCY/21266205 </v>
      </c>
    </row>
    <row r="186" spans="1:14" ht="24.75" x14ac:dyDescent="0.25">
      <c r="A186" s="21" t="s">
        <v>19952</v>
      </c>
      <c r="B186" s="22" t="s">
        <v>19953</v>
      </c>
      <c r="C186" s="2">
        <v>1</v>
      </c>
      <c r="D186" s="23">
        <v>21.99</v>
      </c>
      <c r="E186" s="3">
        <v>21.99</v>
      </c>
      <c r="F186" s="2" t="s">
        <v>19954</v>
      </c>
      <c r="G186" s="22" t="s">
        <v>19955</v>
      </c>
      <c r="H186" s="24" t="s">
        <v>19364</v>
      </c>
      <c r="I186" s="22" t="s">
        <v>19309</v>
      </c>
      <c r="J186" s="22" t="s">
        <v>19849</v>
      </c>
      <c r="K186" s="22" t="s">
        <v>19850</v>
      </c>
      <c r="L186" s="22"/>
      <c r="M186" s="22"/>
      <c r="N186" s="25" t="str">
        <f>HYPERLINK("http://slimages.macys.com/is/image/MCY/20530475 ")</f>
        <v xml:space="preserve">http://slimages.macys.com/is/image/MCY/20530475 </v>
      </c>
    </row>
    <row r="187" spans="1:14" x14ac:dyDescent="0.25">
      <c r="A187" s="21" t="s">
        <v>19956</v>
      </c>
      <c r="B187" s="22" t="s">
        <v>19957</v>
      </c>
      <c r="C187" s="2">
        <v>1</v>
      </c>
      <c r="D187" s="23">
        <v>24.99</v>
      </c>
      <c r="E187" s="3">
        <v>24.99</v>
      </c>
      <c r="F187" s="2" t="s">
        <v>19958</v>
      </c>
      <c r="G187" s="22" t="s">
        <v>19315</v>
      </c>
      <c r="H187" s="24" t="s">
        <v>19339</v>
      </c>
      <c r="I187" s="22" t="s">
        <v>19309</v>
      </c>
      <c r="J187" s="22" t="s">
        <v>19849</v>
      </c>
      <c r="K187" s="22" t="s">
        <v>19850</v>
      </c>
      <c r="L187" s="22"/>
      <c r="M187" s="22"/>
      <c r="N187" s="25" t="str">
        <f>HYPERLINK("http://slimages.macys.com/is/image/MCY/1521136 ")</f>
        <v xml:space="preserve">http://slimages.macys.com/is/image/MCY/1521136 </v>
      </c>
    </row>
    <row r="188" spans="1:14" ht="24.75" x14ac:dyDescent="0.25">
      <c r="A188" s="21" t="s">
        <v>19959</v>
      </c>
      <c r="B188" s="22" t="s">
        <v>19960</v>
      </c>
      <c r="C188" s="2">
        <v>1</v>
      </c>
      <c r="D188" s="23">
        <v>15.99</v>
      </c>
      <c r="E188" s="3">
        <v>15.99</v>
      </c>
      <c r="F188" s="2" t="s">
        <v>19961</v>
      </c>
      <c r="G188" s="22" t="s">
        <v>19351</v>
      </c>
      <c r="H188" s="24"/>
      <c r="I188" s="22" t="s">
        <v>19309</v>
      </c>
      <c r="J188" s="22" t="s">
        <v>19573</v>
      </c>
      <c r="K188" s="22" t="s">
        <v>19574</v>
      </c>
      <c r="L188" s="22"/>
      <c r="M188" s="22"/>
      <c r="N188" s="25" t="str">
        <f>HYPERLINK("http://slimages.macys.com/is/image/MCY/1312560 ")</f>
        <v xml:space="preserve">http://slimages.macys.com/is/image/MCY/1312560 </v>
      </c>
    </row>
    <row r="189" spans="1:14" x14ac:dyDescent="0.25">
      <c r="A189" s="21" t="s">
        <v>19962</v>
      </c>
      <c r="B189" s="22" t="s">
        <v>19963</v>
      </c>
      <c r="C189" s="2">
        <v>1</v>
      </c>
      <c r="D189" s="23">
        <v>21.99</v>
      </c>
      <c r="E189" s="3">
        <v>21.99</v>
      </c>
      <c r="F189" s="2" t="s">
        <v>19964</v>
      </c>
      <c r="G189" s="22" t="s">
        <v>19342</v>
      </c>
      <c r="H189" s="24"/>
      <c r="I189" s="22" t="s">
        <v>19309</v>
      </c>
      <c r="J189" s="22" t="s">
        <v>19696</v>
      </c>
      <c r="K189" s="22" t="s">
        <v>19965</v>
      </c>
      <c r="L189" s="22"/>
      <c r="M189" s="22"/>
      <c r="N189" s="25" t="str">
        <f>HYPERLINK("http://slimages.macys.com/is/image/MCY/21355968 ")</f>
        <v xml:space="preserve">http://slimages.macys.com/is/image/MCY/21355968 </v>
      </c>
    </row>
    <row r="190" spans="1:14" ht="24.75" x14ac:dyDescent="0.25">
      <c r="A190" s="21" t="s">
        <v>19966</v>
      </c>
      <c r="B190" s="22" t="s">
        <v>19967</v>
      </c>
      <c r="C190" s="2">
        <v>1</v>
      </c>
      <c r="D190" s="23">
        <v>14.99</v>
      </c>
      <c r="E190" s="3">
        <v>14.99</v>
      </c>
      <c r="F190" s="2">
        <v>54682</v>
      </c>
      <c r="G190" s="22" t="s">
        <v>19351</v>
      </c>
      <c r="H190" s="24" t="s">
        <v>19968</v>
      </c>
      <c r="I190" s="22" t="s">
        <v>19309</v>
      </c>
      <c r="J190" s="22" t="s">
        <v>19417</v>
      </c>
      <c r="K190" s="22" t="s">
        <v>19969</v>
      </c>
      <c r="L190" s="22" t="s">
        <v>19319</v>
      </c>
      <c r="M190" s="22" t="s">
        <v>19320</v>
      </c>
      <c r="N190" s="25" t="str">
        <f>HYPERLINK("http://slimages.macys.com/is/image/MCY/11878727 ")</f>
        <v xml:space="preserve">http://slimages.macys.com/is/image/MCY/11878727 </v>
      </c>
    </row>
    <row r="191" spans="1:14" x14ac:dyDescent="0.25">
      <c r="A191" s="21" t="s">
        <v>19970</v>
      </c>
      <c r="B191" s="22" t="s">
        <v>19971</v>
      </c>
      <c r="C191" s="2">
        <v>1</v>
      </c>
      <c r="D191" s="23">
        <v>24.5</v>
      </c>
      <c r="E191" s="3">
        <v>24.5</v>
      </c>
      <c r="F191" s="2" t="s">
        <v>19972</v>
      </c>
      <c r="G191" s="22" t="s">
        <v>19477</v>
      </c>
      <c r="H191" s="24" t="s">
        <v>19352</v>
      </c>
      <c r="I191" s="22" t="s">
        <v>19309</v>
      </c>
      <c r="J191" s="22" t="s">
        <v>19849</v>
      </c>
      <c r="K191" s="22" t="s">
        <v>19850</v>
      </c>
      <c r="L191" s="22"/>
      <c r="M191" s="22"/>
      <c r="N191" s="25" t="str">
        <f>HYPERLINK("http://slimages.macys.com/is/image/MCY/20549465 ")</f>
        <v xml:space="preserve">http://slimages.macys.com/is/image/MCY/20549465 </v>
      </c>
    </row>
    <row r="192" spans="1:14" x14ac:dyDescent="0.25">
      <c r="A192" s="21" t="s">
        <v>19973</v>
      </c>
      <c r="B192" s="22" t="s">
        <v>19974</v>
      </c>
      <c r="C192" s="2">
        <v>1</v>
      </c>
      <c r="D192" s="23">
        <v>16.989999999999998</v>
      </c>
      <c r="E192" s="3">
        <v>16.989999999999998</v>
      </c>
      <c r="F192" s="2" t="s">
        <v>19975</v>
      </c>
      <c r="G192" s="22" t="s">
        <v>19333</v>
      </c>
      <c r="H192" s="24" t="s">
        <v>19395</v>
      </c>
      <c r="I192" s="22" t="s">
        <v>19309</v>
      </c>
      <c r="J192" s="22" t="s">
        <v>19310</v>
      </c>
      <c r="K192" s="22" t="s">
        <v>19440</v>
      </c>
      <c r="L192" s="22"/>
      <c r="M192" s="22"/>
      <c r="N192" s="25" t="str">
        <f>HYPERLINK("http://slimages.macys.com/is/image/MCY/21149135 ")</f>
        <v xml:space="preserve">http://slimages.macys.com/is/image/MCY/21149135 </v>
      </c>
    </row>
    <row r="193" spans="1:14" ht="24.75" x14ac:dyDescent="0.25">
      <c r="A193" s="21" t="s">
        <v>19976</v>
      </c>
      <c r="B193" s="22" t="s">
        <v>19977</v>
      </c>
      <c r="C193" s="2">
        <v>1</v>
      </c>
      <c r="D193" s="23">
        <v>16.989999999999998</v>
      </c>
      <c r="E193" s="3">
        <v>16.989999999999998</v>
      </c>
      <c r="F193" s="2" t="s">
        <v>19978</v>
      </c>
      <c r="G193" s="22" t="s">
        <v>19886</v>
      </c>
      <c r="H193" s="24" t="s">
        <v>19334</v>
      </c>
      <c r="I193" s="22" t="s">
        <v>19309</v>
      </c>
      <c r="J193" s="22" t="s">
        <v>19310</v>
      </c>
      <c r="K193" s="22" t="s">
        <v>19440</v>
      </c>
      <c r="L193" s="22"/>
      <c r="M193" s="22"/>
      <c r="N193" s="25" t="str">
        <f>HYPERLINK("http://slimages.macys.com/is/image/MCY/21314289 ")</f>
        <v xml:space="preserve">http://slimages.macys.com/is/image/MCY/21314289 </v>
      </c>
    </row>
    <row r="194" spans="1:14" x14ac:dyDescent="0.25">
      <c r="A194" s="21" t="s">
        <v>19979</v>
      </c>
      <c r="B194" s="22" t="s">
        <v>19980</v>
      </c>
      <c r="C194" s="2">
        <v>2</v>
      </c>
      <c r="D194" s="23">
        <v>16.989999999999998</v>
      </c>
      <c r="E194" s="3">
        <v>33.979999999999997</v>
      </c>
      <c r="F194" s="2" t="s">
        <v>19975</v>
      </c>
      <c r="G194" s="22" t="s">
        <v>19333</v>
      </c>
      <c r="H194" s="24" t="s">
        <v>19432</v>
      </c>
      <c r="I194" s="22" t="s">
        <v>19309</v>
      </c>
      <c r="J194" s="22" t="s">
        <v>19310</v>
      </c>
      <c r="K194" s="22" t="s">
        <v>19440</v>
      </c>
      <c r="L194" s="22"/>
      <c r="M194" s="22"/>
      <c r="N194" s="25" t="str">
        <f>HYPERLINK("http://slimages.macys.com/is/image/MCY/21149135 ")</f>
        <v xml:space="preserve">http://slimages.macys.com/is/image/MCY/21149135 </v>
      </c>
    </row>
    <row r="195" spans="1:14" x14ac:dyDescent="0.25">
      <c r="A195" s="21" t="s">
        <v>19981</v>
      </c>
      <c r="B195" s="22" t="s">
        <v>19982</v>
      </c>
      <c r="C195" s="2">
        <v>2</v>
      </c>
      <c r="D195" s="23">
        <v>16.989999999999998</v>
      </c>
      <c r="E195" s="3">
        <v>33.979999999999997</v>
      </c>
      <c r="F195" s="2" t="s">
        <v>19975</v>
      </c>
      <c r="G195" s="22" t="s">
        <v>19333</v>
      </c>
      <c r="H195" s="24" t="s">
        <v>19345</v>
      </c>
      <c r="I195" s="22" t="s">
        <v>19309</v>
      </c>
      <c r="J195" s="22" t="s">
        <v>19310</v>
      </c>
      <c r="K195" s="22" t="s">
        <v>19440</v>
      </c>
      <c r="L195" s="22"/>
      <c r="M195" s="22"/>
      <c r="N195" s="25" t="str">
        <f>HYPERLINK("http://slimages.macys.com/is/image/MCY/21149135 ")</f>
        <v xml:space="preserve">http://slimages.macys.com/is/image/MCY/21149135 </v>
      </c>
    </row>
    <row r="196" spans="1:14" ht="24.75" x14ac:dyDescent="0.25">
      <c r="A196" s="21" t="s">
        <v>19983</v>
      </c>
      <c r="B196" s="22" t="s">
        <v>19984</v>
      </c>
      <c r="C196" s="2">
        <v>1</v>
      </c>
      <c r="D196" s="23">
        <v>18.989999999999998</v>
      </c>
      <c r="E196" s="3">
        <v>18.989999999999998</v>
      </c>
      <c r="F196" s="2" t="s">
        <v>19985</v>
      </c>
      <c r="G196" s="22" t="s">
        <v>19618</v>
      </c>
      <c r="H196" s="24" t="s">
        <v>19324</v>
      </c>
      <c r="I196" s="22" t="s">
        <v>19309</v>
      </c>
      <c r="J196" s="22" t="s">
        <v>19573</v>
      </c>
      <c r="K196" s="22" t="s">
        <v>19574</v>
      </c>
      <c r="L196" s="22"/>
      <c r="M196" s="22"/>
      <c r="N196" s="25" t="str">
        <f>HYPERLINK("http://slimages.macys.com/is/image/MCY/20142459 ")</f>
        <v xml:space="preserve">http://slimages.macys.com/is/image/MCY/20142459 </v>
      </c>
    </row>
    <row r="197" spans="1:14" ht="24.75" x14ac:dyDescent="0.25">
      <c r="A197" s="21" t="s">
        <v>19986</v>
      </c>
      <c r="B197" s="22" t="s">
        <v>19987</v>
      </c>
      <c r="C197" s="2">
        <v>1</v>
      </c>
      <c r="D197" s="23">
        <v>19.989999999999998</v>
      </c>
      <c r="E197" s="3">
        <v>19.989999999999998</v>
      </c>
      <c r="F197" s="2" t="s">
        <v>19988</v>
      </c>
      <c r="G197" s="22" t="s">
        <v>19315</v>
      </c>
      <c r="H197" s="24" t="s">
        <v>19384</v>
      </c>
      <c r="I197" s="22" t="s">
        <v>19309</v>
      </c>
      <c r="J197" s="22" t="s">
        <v>19573</v>
      </c>
      <c r="K197" s="22" t="s">
        <v>19574</v>
      </c>
      <c r="L197" s="22"/>
      <c r="M197" s="22"/>
      <c r="N197" s="25" t="str">
        <f>HYPERLINK("http://slimages.macys.com/is/image/MCY/21209549 ")</f>
        <v xml:space="preserve">http://slimages.macys.com/is/image/MCY/21209549 </v>
      </c>
    </row>
    <row r="198" spans="1:14" ht="24.75" x14ac:dyDescent="0.25">
      <c r="A198" s="21" t="s">
        <v>19989</v>
      </c>
      <c r="B198" s="22" t="s">
        <v>19990</v>
      </c>
      <c r="C198" s="2">
        <v>1</v>
      </c>
      <c r="D198" s="23">
        <v>23.99</v>
      </c>
      <c r="E198" s="3">
        <v>23.99</v>
      </c>
      <c r="F198" s="2" t="s">
        <v>19991</v>
      </c>
      <c r="G198" s="22" t="s">
        <v>19315</v>
      </c>
      <c r="H198" s="24" t="s">
        <v>19324</v>
      </c>
      <c r="I198" s="22" t="s">
        <v>19309</v>
      </c>
      <c r="J198" s="22" t="s">
        <v>19573</v>
      </c>
      <c r="K198" s="22" t="s">
        <v>19574</v>
      </c>
      <c r="L198" s="22"/>
      <c r="M198" s="22"/>
      <c r="N198" s="25" t="str">
        <f>HYPERLINK("http://slimages.macys.com/is/image/MCY/21209525 ")</f>
        <v xml:space="preserve">http://slimages.macys.com/is/image/MCY/21209525 </v>
      </c>
    </row>
    <row r="199" spans="1:14" ht="24.75" x14ac:dyDescent="0.25">
      <c r="A199" s="21" t="s">
        <v>19992</v>
      </c>
      <c r="B199" s="22" t="s">
        <v>19993</v>
      </c>
      <c r="C199" s="2">
        <v>1</v>
      </c>
      <c r="D199" s="23">
        <v>23.99</v>
      </c>
      <c r="E199" s="3">
        <v>23.99</v>
      </c>
      <c r="F199" s="2" t="s">
        <v>19991</v>
      </c>
      <c r="G199" s="22" t="s">
        <v>19315</v>
      </c>
      <c r="H199" s="24" t="s">
        <v>19416</v>
      </c>
      <c r="I199" s="22" t="s">
        <v>19309</v>
      </c>
      <c r="J199" s="22" t="s">
        <v>19573</v>
      </c>
      <c r="K199" s="22" t="s">
        <v>19574</v>
      </c>
      <c r="L199" s="22"/>
      <c r="M199" s="22"/>
      <c r="N199" s="25" t="str">
        <f>HYPERLINK("http://slimages.macys.com/is/image/MCY/21209525 ")</f>
        <v xml:space="preserve">http://slimages.macys.com/is/image/MCY/21209525 </v>
      </c>
    </row>
    <row r="200" spans="1:14" ht="24.75" x14ac:dyDescent="0.25">
      <c r="A200" s="21" t="s">
        <v>19994</v>
      </c>
      <c r="B200" s="22" t="s">
        <v>19995</v>
      </c>
      <c r="C200" s="2">
        <v>1</v>
      </c>
      <c r="D200" s="23">
        <v>18.22</v>
      </c>
      <c r="E200" s="3">
        <v>18.22</v>
      </c>
      <c r="F200" s="2" t="s">
        <v>19996</v>
      </c>
      <c r="G200" s="22"/>
      <c r="H200" s="24" t="s">
        <v>19997</v>
      </c>
      <c r="I200" s="22" t="s">
        <v>19309</v>
      </c>
      <c r="J200" s="22" t="s">
        <v>19602</v>
      </c>
      <c r="K200" s="22" t="s">
        <v>19603</v>
      </c>
      <c r="L200" s="22"/>
      <c r="M200" s="22"/>
      <c r="N200" s="25" t="str">
        <f>HYPERLINK("http://slimages.macys.com/is/image/MCY/21421086 ")</f>
        <v xml:space="preserve">http://slimages.macys.com/is/image/MCY/21421086 </v>
      </c>
    </row>
    <row r="201" spans="1:14" ht="24.75" x14ac:dyDescent="0.25">
      <c r="A201" s="21" t="s">
        <v>19998</v>
      </c>
      <c r="B201" s="22" t="s">
        <v>19999</v>
      </c>
      <c r="C201" s="2">
        <v>1</v>
      </c>
      <c r="D201" s="23">
        <v>18.22</v>
      </c>
      <c r="E201" s="3">
        <v>18.22</v>
      </c>
      <c r="F201" s="2" t="s">
        <v>19996</v>
      </c>
      <c r="G201" s="22"/>
      <c r="H201" s="24" t="s">
        <v>19478</v>
      </c>
      <c r="I201" s="22" t="s">
        <v>19309</v>
      </c>
      <c r="J201" s="22" t="s">
        <v>19602</v>
      </c>
      <c r="K201" s="22" t="s">
        <v>19603</v>
      </c>
      <c r="L201" s="22"/>
      <c r="M201" s="22"/>
      <c r="N201" s="25" t="str">
        <f>HYPERLINK("http://slimages.macys.com/is/image/MCY/21421086 ")</f>
        <v xml:space="preserve">http://slimages.macys.com/is/image/MCY/21421086 </v>
      </c>
    </row>
    <row r="202" spans="1:14" x14ac:dyDescent="0.25">
      <c r="A202" s="21" t="s">
        <v>20000</v>
      </c>
      <c r="B202" s="22" t="s">
        <v>20001</v>
      </c>
      <c r="C202" s="2">
        <v>1</v>
      </c>
      <c r="D202" s="23">
        <v>16.989999999999998</v>
      </c>
      <c r="E202" s="3">
        <v>16.989999999999998</v>
      </c>
      <c r="F202" s="2" t="s">
        <v>20002</v>
      </c>
      <c r="G202" s="22" t="s">
        <v>19674</v>
      </c>
      <c r="H202" s="24" t="s">
        <v>19797</v>
      </c>
      <c r="I202" s="22" t="s">
        <v>19309</v>
      </c>
      <c r="J202" s="22" t="s">
        <v>19849</v>
      </c>
      <c r="K202" s="22" t="s">
        <v>19850</v>
      </c>
      <c r="L202" s="22"/>
      <c r="M202" s="22"/>
      <c r="N202" s="25" t="str">
        <f t="shared" ref="N202:N207" si="1">HYPERLINK("http://slimages.macys.com/is/image/MCY/20549392 ")</f>
        <v xml:space="preserve">http://slimages.macys.com/is/image/MCY/20549392 </v>
      </c>
    </row>
    <row r="203" spans="1:14" x14ac:dyDescent="0.25">
      <c r="A203" s="21" t="s">
        <v>20003</v>
      </c>
      <c r="B203" s="22" t="s">
        <v>20004</v>
      </c>
      <c r="C203" s="2">
        <v>2</v>
      </c>
      <c r="D203" s="23">
        <v>16.989999999999998</v>
      </c>
      <c r="E203" s="3">
        <v>33.979999999999997</v>
      </c>
      <c r="F203" s="2" t="s">
        <v>20002</v>
      </c>
      <c r="G203" s="22" t="s">
        <v>19674</v>
      </c>
      <c r="H203" s="24" t="s">
        <v>19364</v>
      </c>
      <c r="I203" s="22" t="s">
        <v>19309</v>
      </c>
      <c r="J203" s="22" t="s">
        <v>19849</v>
      </c>
      <c r="K203" s="22" t="s">
        <v>19850</v>
      </c>
      <c r="L203" s="22"/>
      <c r="M203" s="22"/>
      <c r="N203" s="25" t="str">
        <f t="shared" si="1"/>
        <v xml:space="preserve">http://slimages.macys.com/is/image/MCY/20549392 </v>
      </c>
    </row>
    <row r="204" spans="1:14" x14ac:dyDescent="0.25">
      <c r="A204" s="21" t="s">
        <v>20005</v>
      </c>
      <c r="B204" s="22" t="s">
        <v>20006</v>
      </c>
      <c r="C204" s="2">
        <v>1</v>
      </c>
      <c r="D204" s="23">
        <v>16.989999999999998</v>
      </c>
      <c r="E204" s="3">
        <v>16.989999999999998</v>
      </c>
      <c r="F204" s="2" t="s">
        <v>20002</v>
      </c>
      <c r="G204" s="22" t="s">
        <v>19814</v>
      </c>
      <c r="H204" s="24" t="s">
        <v>19797</v>
      </c>
      <c r="I204" s="22" t="s">
        <v>19309</v>
      </c>
      <c r="J204" s="22" t="s">
        <v>19849</v>
      </c>
      <c r="K204" s="22" t="s">
        <v>19850</v>
      </c>
      <c r="L204" s="22"/>
      <c r="M204" s="22"/>
      <c r="N204" s="25" t="str">
        <f t="shared" si="1"/>
        <v xml:space="preserve">http://slimages.macys.com/is/image/MCY/20549392 </v>
      </c>
    </row>
    <row r="205" spans="1:14" x14ac:dyDescent="0.25">
      <c r="A205" s="21" t="s">
        <v>20007</v>
      </c>
      <c r="B205" s="22" t="s">
        <v>20008</v>
      </c>
      <c r="C205" s="2">
        <v>1</v>
      </c>
      <c r="D205" s="23">
        <v>16.989999999999998</v>
      </c>
      <c r="E205" s="3">
        <v>16.989999999999998</v>
      </c>
      <c r="F205" s="2" t="s">
        <v>20002</v>
      </c>
      <c r="G205" s="22" t="s">
        <v>19477</v>
      </c>
      <c r="H205" s="24" t="s">
        <v>19797</v>
      </c>
      <c r="I205" s="22" t="s">
        <v>19309</v>
      </c>
      <c r="J205" s="22" t="s">
        <v>19849</v>
      </c>
      <c r="K205" s="22" t="s">
        <v>19850</v>
      </c>
      <c r="L205" s="22"/>
      <c r="M205" s="22"/>
      <c r="N205" s="25" t="str">
        <f t="shared" si="1"/>
        <v xml:space="preserve">http://slimages.macys.com/is/image/MCY/20549392 </v>
      </c>
    </row>
    <row r="206" spans="1:14" x14ac:dyDescent="0.25">
      <c r="A206" s="21" t="s">
        <v>20009</v>
      </c>
      <c r="B206" s="22" t="s">
        <v>20010</v>
      </c>
      <c r="C206" s="2">
        <v>1</v>
      </c>
      <c r="D206" s="23">
        <v>16.989999999999998</v>
      </c>
      <c r="E206" s="3">
        <v>16.989999999999998</v>
      </c>
      <c r="F206" s="2" t="s">
        <v>20002</v>
      </c>
      <c r="G206" s="22" t="s">
        <v>19674</v>
      </c>
      <c r="H206" s="24" t="s">
        <v>19339</v>
      </c>
      <c r="I206" s="22" t="s">
        <v>19309</v>
      </c>
      <c r="J206" s="22" t="s">
        <v>19849</v>
      </c>
      <c r="K206" s="22" t="s">
        <v>19850</v>
      </c>
      <c r="L206" s="22"/>
      <c r="M206" s="22"/>
      <c r="N206" s="25" t="str">
        <f t="shared" si="1"/>
        <v xml:space="preserve">http://slimages.macys.com/is/image/MCY/20549392 </v>
      </c>
    </row>
    <row r="207" spans="1:14" x14ac:dyDescent="0.25">
      <c r="A207" s="21" t="s">
        <v>20011</v>
      </c>
      <c r="B207" s="22" t="s">
        <v>20012</v>
      </c>
      <c r="C207" s="2">
        <v>1</v>
      </c>
      <c r="D207" s="23">
        <v>16.989999999999998</v>
      </c>
      <c r="E207" s="3">
        <v>16.989999999999998</v>
      </c>
      <c r="F207" s="2" t="s">
        <v>20002</v>
      </c>
      <c r="G207" s="22" t="s">
        <v>19477</v>
      </c>
      <c r="H207" s="24" t="s">
        <v>19364</v>
      </c>
      <c r="I207" s="22" t="s">
        <v>19309</v>
      </c>
      <c r="J207" s="22" t="s">
        <v>19849</v>
      </c>
      <c r="K207" s="22" t="s">
        <v>19850</v>
      </c>
      <c r="L207" s="22"/>
      <c r="M207" s="22"/>
      <c r="N207" s="25" t="str">
        <f t="shared" si="1"/>
        <v xml:space="preserve">http://slimages.macys.com/is/image/MCY/20549392 </v>
      </c>
    </row>
    <row r="208" spans="1:14" x14ac:dyDescent="0.25">
      <c r="A208" s="21" t="s">
        <v>20013</v>
      </c>
      <c r="B208" s="22" t="s">
        <v>20014</v>
      </c>
      <c r="C208" s="2">
        <v>1</v>
      </c>
      <c r="D208" s="23">
        <v>19.989999999999998</v>
      </c>
      <c r="E208" s="3">
        <v>19.989999999999998</v>
      </c>
      <c r="F208" s="2" t="s">
        <v>20015</v>
      </c>
      <c r="G208" s="22" t="s">
        <v>19431</v>
      </c>
      <c r="H208" s="24" t="s">
        <v>19352</v>
      </c>
      <c r="I208" s="22" t="s">
        <v>19309</v>
      </c>
      <c r="J208" s="22" t="s">
        <v>19849</v>
      </c>
      <c r="K208" s="22" t="s">
        <v>19850</v>
      </c>
      <c r="L208" s="22"/>
      <c r="M208" s="22"/>
      <c r="N208" s="25" t="str">
        <f>HYPERLINK("http://slimages.macys.com/is/image/MCY/20752046 ")</f>
        <v xml:space="preserve">http://slimages.macys.com/is/image/MCY/20752046 </v>
      </c>
    </row>
    <row r="209" spans="1:14" ht="24.75" x14ac:dyDescent="0.25">
      <c r="A209" s="21" t="s">
        <v>20016</v>
      </c>
      <c r="B209" s="22" t="s">
        <v>20017</v>
      </c>
      <c r="C209" s="2">
        <v>1</v>
      </c>
      <c r="D209" s="23">
        <v>18.989999999999998</v>
      </c>
      <c r="E209" s="3">
        <v>18.989999999999998</v>
      </c>
      <c r="F209" s="2" t="s">
        <v>20018</v>
      </c>
      <c r="G209" s="22" t="s">
        <v>19585</v>
      </c>
      <c r="H209" s="24" t="s">
        <v>19416</v>
      </c>
      <c r="I209" s="22" t="s">
        <v>19309</v>
      </c>
      <c r="J209" s="22" t="s">
        <v>19573</v>
      </c>
      <c r="K209" s="22" t="s">
        <v>19574</v>
      </c>
      <c r="L209" s="22"/>
      <c r="M209" s="22"/>
      <c r="N209" s="25" t="str">
        <f>HYPERLINK("http://slimages.macys.com/is/image/MCY/20142548 ")</f>
        <v xml:space="preserve">http://slimages.macys.com/is/image/MCY/20142548 </v>
      </c>
    </row>
    <row r="210" spans="1:14" ht="24.75" x14ac:dyDescent="0.25">
      <c r="A210" s="21" t="s">
        <v>20019</v>
      </c>
      <c r="B210" s="22" t="s">
        <v>20020</v>
      </c>
      <c r="C210" s="2">
        <v>1</v>
      </c>
      <c r="D210" s="23">
        <v>18.989999999999998</v>
      </c>
      <c r="E210" s="3">
        <v>18.989999999999998</v>
      </c>
      <c r="F210" s="2" t="s">
        <v>20018</v>
      </c>
      <c r="G210" s="22" t="s">
        <v>19585</v>
      </c>
      <c r="H210" s="24" t="s">
        <v>19384</v>
      </c>
      <c r="I210" s="22" t="s">
        <v>19309</v>
      </c>
      <c r="J210" s="22" t="s">
        <v>19573</v>
      </c>
      <c r="K210" s="22" t="s">
        <v>19574</v>
      </c>
      <c r="L210" s="22"/>
      <c r="M210" s="22"/>
      <c r="N210" s="25" t="str">
        <f>HYPERLINK("http://slimages.macys.com/is/image/MCY/20142548 ")</f>
        <v xml:space="preserve">http://slimages.macys.com/is/image/MCY/20142548 </v>
      </c>
    </row>
    <row r="211" spans="1:14" ht="24.75" x14ac:dyDescent="0.25">
      <c r="A211" s="21" t="s">
        <v>20021</v>
      </c>
      <c r="B211" s="22" t="s">
        <v>20022</v>
      </c>
      <c r="C211" s="2">
        <v>1</v>
      </c>
      <c r="D211" s="23">
        <v>18.989999999999998</v>
      </c>
      <c r="E211" s="3">
        <v>18.989999999999998</v>
      </c>
      <c r="F211" s="2" t="s">
        <v>20023</v>
      </c>
      <c r="G211" s="22" t="s">
        <v>19351</v>
      </c>
      <c r="H211" s="24" t="s">
        <v>19352</v>
      </c>
      <c r="I211" s="22" t="s">
        <v>19309</v>
      </c>
      <c r="J211" s="22" t="s">
        <v>19508</v>
      </c>
      <c r="K211" s="22" t="s">
        <v>20024</v>
      </c>
      <c r="L211" s="22"/>
      <c r="M211" s="22"/>
      <c r="N211" s="25" t="str">
        <f>HYPERLINK("http://slimages.macys.com/is/image/MCY/20703532 ")</f>
        <v xml:space="preserve">http://slimages.macys.com/is/image/MCY/20703532 </v>
      </c>
    </row>
    <row r="212" spans="1:14" ht="24.75" x14ac:dyDescent="0.25">
      <c r="A212" s="21" t="s">
        <v>20025</v>
      </c>
      <c r="B212" s="22" t="s">
        <v>20026</v>
      </c>
      <c r="C212" s="2">
        <v>1</v>
      </c>
      <c r="D212" s="23">
        <v>19.989999999999998</v>
      </c>
      <c r="E212" s="3">
        <v>19.989999999999998</v>
      </c>
      <c r="F212" s="2" t="s">
        <v>20027</v>
      </c>
      <c r="G212" s="22" t="s">
        <v>19594</v>
      </c>
      <c r="H212" s="24" t="s">
        <v>19334</v>
      </c>
      <c r="I212" s="22" t="s">
        <v>19309</v>
      </c>
      <c r="J212" s="22" t="s">
        <v>19519</v>
      </c>
      <c r="K212" s="22" t="s">
        <v>20028</v>
      </c>
      <c r="L212" s="22"/>
      <c r="M212" s="22"/>
      <c r="N212" s="25" t="str">
        <f>HYPERLINK("http://slimages.macys.com/is/image/MCY/21272018 ")</f>
        <v xml:space="preserve">http://slimages.macys.com/is/image/MCY/21272018 </v>
      </c>
    </row>
    <row r="213" spans="1:14" ht="24.75" x14ac:dyDescent="0.25">
      <c r="A213" s="21" t="s">
        <v>20029</v>
      </c>
      <c r="B213" s="22" t="s">
        <v>20030</v>
      </c>
      <c r="C213" s="2">
        <v>1</v>
      </c>
      <c r="D213" s="23">
        <v>23</v>
      </c>
      <c r="E213" s="3">
        <v>23</v>
      </c>
      <c r="F213" s="2" t="s">
        <v>20031</v>
      </c>
      <c r="G213" s="22" t="s">
        <v>19357</v>
      </c>
      <c r="H213" s="24" t="s">
        <v>19352</v>
      </c>
      <c r="I213" s="22" t="s">
        <v>19309</v>
      </c>
      <c r="J213" s="22" t="s">
        <v>19595</v>
      </c>
      <c r="K213" s="22" t="s">
        <v>19423</v>
      </c>
      <c r="L213" s="22"/>
      <c r="M213" s="22"/>
      <c r="N213" s="25" t="str">
        <f>HYPERLINK("http://slimages.macys.com/is/image/MCY/20917977 ")</f>
        <v xml:space="preserve">http://slimages.macys.com/is/image/MCY/20917977 </v>
      </c>
    </row>
    <row r="214" spans="1:14" x14ac:dyDescent="0.25">
      <c r="A214" s="21" t="s">
        <v>20032</v>
      </c>
      <c r="B214" s="22" t="s">
        <v>20033</v>
      </c>
      <c r="C214" s="2">
        <v>1</v>
      </c>
      <c r="D214" s="23">
        <v>21.99</v>
      </c>
      <c r="E214" s="3">
        <v>21.99</v>
      </c>
      <c r="F214" s="2" t="s">
        <v>20034</v>
      </c>
      <c r="G214" s="22" t="s">
        <v>19674</v>
      </c>
      <c r="H214" s="24" t="s">
        <v>19797</v>
      </c>
      <c r="I214" s="22" t="s">
        <v>19309</v>
      </c>
      <c r="J214" s="22" t="s">
        <v>19849</v>
      </c>
      <c r="K214" s="22" t="s">
        <v>19850</v>
      </c>
      <c r="L214" s="22"/>
      <c r="M214" s="22"/>
      <c r="N214" s="25" t="str">
        <f>HYPERLINK("http://slimages.macys.com/is/image/MCY/20530693 ")</f>
        <v xml:space="preserve">http://slimages.macys.com/is/image/MCY/20530693 </v>
      </c>
    </row>
    <row r="215" spans="1:14" ht="24.75" x14ac:dyDescent="0.25">
      <c r="A215" s="21" t="s">
        <v>20035</v>
      </c>
      <c r="B215" s="22" t="s">
        <v>20036</v>
      </c>
      <c r="C215" s="2">
        <v>1</v>
      </c>
      <c r="D215" s="23">
        <v>21.99</v>
      </c>
      <c r="E215" s="3">
        <v>21.99</v>
      </c>
      <c r="F215" s="2" t="s">
        <v>20037</v>
      </c>
      <c r="G215" s="22" t="s">
        <v>19955</v>
      </c>
      <c r="H215" s="24" t="s">
        <v>19339</v>
      </c>
      <c r="I215" s="22" t="s">
        <v>19309</v>
      </c>
      <c r="J215" s="22" t="s">
        <v>19849</v>
      </c>
      <c r="K215" s="22" t="s">
        <v>19850</v>
      </c>
      <c r="L215" s="22"/>
      <c r="M215" s="22"/>
      <c r="N215" s="25" t="str">
        <f>HYPERLINK("http://slimages.macys.com/is/image/MCY/20143268 ")</f>
        <v xml:space="preserve">http://slimages.macys.com/is/image/MCY/20143268 </v>
      </c>
    </row>
    <row r="216" spans="1:14" ht="24.75" x14ac:dyDescent="0.25">
      <c r="A216" s="21" t="s">
        <v>20038</v>
      </c>
      <c r="B216" s="22" t="s">
        <v>20039</v>
      </c>
      <c r="C216" s="2">
        <v>1</v>
      </c>
      <c r="D216" s="23">
        <v>17.82</v>
      </c>
      <c r="E216" s="3">
        <v>17.82</v>
      </c>
      <c r="F216" s="2" t="s">
        <v>20040</v>
      </c>
      <c r="G216" s="22" t="s">
        <v>19467</v>
      </c>
      <c r="H216" s="24" t="s">
        <v>19345</v>
      </c>
      <c r="I216" s="22" t="s">
        <v>19309</v>
      </c>
      <c r="J216" s="22" t="s">
        <v>19602</v>
      </c>
      <c r="K216" s="22" t="s">
        <v>20041</v>
      </c>
      <c r="L216" s="22"/>
      <c r="M216" s="22"/>
      <c r="N216" s="25" t="str">
        <f>HYPERLINK("http://slimages.macys.com/is/image/MCY/20529114 ")</f>
        <v xml:space="preserve">http://slimages.macys.com/is/image/MCY/20529114 </v>
      </c>
    </row>
    <row r="217" spans="1:14" ht="24.75" x14ac:dyDescent="0.25">
      <c r="A217" s="21" t="s">
        <v>20042</v>
      </c>
      <c r="B217" s="22" t="s">
        <v>20043</v>
      </c>
      <c r="C217" s="2">
        <v>1</v>
      </c>
      <c r="D217" s="23">
        <v>17.71</v>
      </c>
      <c r="E217" s="3">
        <v>17.71</v>
      </c>
      <c r="F217" s="2" t="s">
        <v>20044</v>
      </c>
      <c r="G217" s="22" t="s">
        <v>19467</v>
      </c>
      <c r="H217" s="24" t="s">
        <v>19432</v>
      </c>
      <c r="I217" s="22" t="s">
        <v>19309</v>
      </c>
      <c r="J217" s="22" t="s">
        <v>19602</v>
      </c>
      <c r="K217" s="22" t="s">
        <v>20041</v>
      </c>
      <c r="L217" s="22"/>
      <c r="M217" s="22"/>
      <c r="N217" s="25" t="str">
        <f>HYPERLINK("http://slimages.macys.com/is/image/MCY/22405912 ")</f>
        <v xml:space="preserve">http://slimages.macys.com/is/image/MCY/22405912 </v>
      </c>
    </row>
    <row r="218" spans="1:14" ht="24.75" x14ac:dyDescent="0.25">
      <c r="A218" s="21" t="s">
        <v>20045</v>
      </c>
      <c r="B218" s="22" t="s">
        <v>20046</v>
      </c>
      <c r="C218" s="2">
        <v>1</v>
      </c>
      <c r="D218" s="23">
        <v>18.989999999999998</v>
      </c>
      <c r="E218" s="3">
        <v>18.989999999999998</v>
      </c>
      <c r="F218" s="2" t="s">
        <v>20047</v>
      </c>
      <c r="G218" s="22" t="s">
        <v>19431</v>
      </c>
      <c r="H218" s="24" t="s">
        <v>19770</v>
      </c>
      <c r="I218" s="22" t="s">
        <v>19309</v>
      </c>
      <c r="J218" s="22" t="s">
        <v>19573</v>
      </c>
      <c r="K218" s="22" t="s">
        <v>19574</v>
      </c>
      <c r="L218" s="22"/>
      <c r="M218" s="22"/>
      <c r="N218" s="25" t="str">
        <f>HYPERLINK("http://slimages.macys.com/is/image/MCY/20753516 ")</f>
        <v xml:space="preserve">http://slimages.macys.com/is/image/MCY/20753516 </v>
      </c>
    </row>
    <row r="219" spans="1:14" ht="24.75" x14ac:dyDescent="0.25">
      <c r="A219" s="21" t="s">
        <v>20048</v>
      </c>
      <c r="B219" s="22" t="s">
        <v>20049</v>
      </c>
      <c r="C219" s="2">
        <v>1</v>
      </c>
      <c r="D219" s="23">
        <v>13.99</v>
      </c>
      <c r="E219" s="3">
        <v>13.99</v>
      </c>
      <c r="F219" s="2" t="s">
        <v>20050</v>
      </c>
      <c r="G219" s="22" t="s">
        <v>19315</v>
      </c>
      <c r="H219" s="24" t="s">
        <v>19797</v>
      </c>
      <c r="I219" s="22" t="s">
        <v>19309</v>
      </c>
      <c r="J219" s="22" t="s">
        <v>19447</v>
      </c>
      <c r="K219" s="22" t="s">
        <v>19873</v>
      </c>
      <c r="L219" s="22"/>
      <c r="M219" s="22"/>
      <c r="N219" s="25" t="str">
        <f>HYPERLINK("http://slimages.macys.com/is/image/MCY/20670016 ")</f>
        <v xml:space="preserve">http://slimages.macys.com/is/image/MCY/20670016 </v>
      </c>
    </row>
    <row r="220" spans="1:14" ht="24.75" x14ac:dyDescent="0.25">
      <c r="A220" s="21" t="s">
        <v>20051</v>
      </c>
      <c r="B220" s="22" t="s">
        <v>20052</v>
      </c>
      <c r="C220" s="2">
        <v>2</v>
      </c>
      <c r="D220" s="23">
        <v>13.99</v>
      </c>
      <c r="E220" s="3">
        <v>27.98</v>
      </c>
      <c r="F220" s="2" t="s">
        <v>20050</v>
      </c>
      <c r="G220" s="22" t="s">
        <v>19467</v>
      </c>
      <c r="H220" s="24" t="s">
        <v>19339</v>
      </c>
      <c r="I220" s="22" t="s">
        <v>19309</v>
      </c>
      <c r="J220" s="22" t="s">
        <v>19447</v>
      </c>
      <c r="K220" s="22" t="s">
        <v>19873</v>
      </c>
      <c r="L220" s="22"/>
      <c r="M220" s="22"/>
      <c r="N220" s="25" t="str">
        <f>HYPERLINK("http://slimages.macys.com/is/image/MCY/20670016 ")</f>
        <v xml:space="preserve">http://slimages.macys.com/is/image/MCY/20670016 </v>
      </c>
    </row>
    <row r="221" spans="1:14" ht="24.75" x14ac:dyDescent="0.25">
      <c r="A221" s="21" t="s">
        <v>20053</v>
      </c>
      <c r="B221" s="22" t="s">
        <v>20054</v>
      </c>
      <c r="C221" s="2">
        <v>1</v>
      </c>
      <c r="D221" s="23">
        <v>23.99</v>
      </c>
      <c r="E221" s="3">
        <v>23.99</v>
      </c>
      <c r="F221" s="2" t="s">
        <v>20055</v>
      </c>
      <c r="G221" s="22" t="s">
        <v>19431</v>
      </c>
      <c r="H221" s="24" t="s">
        <v>19416</v>
      </c>
      <c r="I221" s="22" t="s">
        <v>19309</v>
      </c>
      <c r="J221" s="22" t="s">
        <v>19573</v>
      </c>
      <c r="K221" s="22" t="s">
        <v>19574</v>
      </c>
      <c r="L221" s="22"/>
      <c r="M221" s="22"/>
      <c r="N221" s="25" t="str">
        <f>HYPERLINK("http://slimages.macys.com/is/image/MCY/21907735 ")</f>
        <v xml:space="preserve">http://slimages.macys.com/is/image/MCY/21907735 </v>
      </c>
    </row>
    <row r="222" spans="1:14" ht="24.75" x14ac:dyDescent="0.25">
      <c r="A222" s="21" t="s">
        <v>20056</v>
      </c>
      <c r="B222" s="22" t="s">
        <v>20057</v>
      </c>
      <c r="C222" s="2">
        <v>2</v>
      </c>
      <c r="D222" s="23">
        <v>23.99</v>
      </c>
      <c r="E222" s="3">
        <v>47.98</v>
      </c>
      <c r="F222" s="2" t="s">
        <v>20055</v>
      </c>
      <c r="G222" s="22" t="s">
        <v>19431</v>
      </c>
      <c r="H222" s="24"/>
      <c r="I222" s="22" t="s">
        <v>19309</v>
      </c>
      <c r="J222" s="22" t="s">
        <v>19573</v>
      </c>
      <c r="K222" s="22" t="s">
        <v>19574</v>
      </c>
      <c r="L222" s="22"/>
      <c r="M222" s="22"/>
      <c r="N222" s="25" t="str">
        <f>HYPERLINK("http://slimages.macys.com/is/image/MCY/21907735 ")</f>
        <v xml:space="preserve">http://slimages.macys.com/is/image/MCY/21907735 </v>
      </c>
    </row>
    <row r="223" spans="1:14" ht="24.75" x14ac:dyDescent="0.25">
      <c r="A223" s="21" t="s">
        <v>20058</v>
      </c>
      <c r="B223" s="22" t="s">
        <v>20059</v>
      </c>
      <c r="C223" s="2">
        <v>1</v>
      </c>
      <c r="D223" s="23">
        <v>19.989999999999998</v>
      </c>
      <c r="E223" s="3">
        <v>19.989999999999998</v>
      </c>
      <c r="F223" s="2" t="s">
        <v>20060</v>
      </c>
      <c r="G223" s="22" t="s">
        <v>19618</v>
      </c>
      <c r="H223" s="24" t="s">
        <v>19384</v>
      </c>
      <c r="I223" s="22" t="s">
        <v>19309</v>
      </c>
      <c r="J223" s="22" t="s">
        <v>19573</v>
      </c>
      <c r="K223" s="22" t="s">
        <v>19574</v>
      </c>
      <c r="L223" s="22"/>
      <c r="M223" s="22"/>
      <c r="N223" s="25" t="str">
        <f>HYPERLINK("http://slimages.macys.com/is/image/MCY/21088467 ")</f>
        <v xml:space="preserve">http://slimages.macys.com/is/image/MCY/21088467 </v>
      </c>
    </row>
    <row r="224" spans="1:14" x14ac:dyDescent="0.25">
      <c r="A224" s="21" t="s">
        <v>20061</v>
      </c>
      <c r="B224" s="22" t="s">
        <v>20062</v>
      </c>
      <c r="C224" s="2">
        <v>2</v>
      </c>
      <c r="D224" s="23">
        <v>15.99</v>
      </c>
      <c r="E224" s="3">
        <v>31.98</v>
      </c>
      <c r="F224" s="2" t="s">
        <v>20063</v>
      </c>
      <c r="G224" s="22" t="s">
        <v>19333</v>
      </c>
      <c r="H224" s="24" t="s">
        <v>19542</v>
      </c>
      <c r="I224" s="22" t="s">
        <v>19309</v>
      </c>
      <c r="J224" s="22" t="s">
        <v>19310</v>
      </c>
      <c r="K224" s="22" t="s">
        <v>19440</v>
      </c>
      <c r="L224" s="22"/>
      <c r="M224" s="22"/>
      <c r="N224" s="25" t="str">
        <f>HYPERLINK("http://slimages.macys.com/is/image/MCY/21149116 ")</f>
        <v xml:space="preserve">http://slimages.macys.com/is/image/MCY/21149116 </v>
      </c>
    </row>
    <row r="225" spans="1:14" x14ac:dyDescent="0.25">
      <c r="A225" s="21" t="s">
        <v>20064</v>
      </c>
      <c r="B225" s="22" t="s">
        <v>20065</v>
      </c>
      <c r="C225" s="2">
        <v>1</v>
      </c>
      <c r="D225" s="23">
        <v>15.99</v>
      </c>
      <c r="E225" s="3">
        <v>15.99</v>
      </c>
      <c r="F225" s="2" t="s">
        <v>20066</v>
      </c>
      <c r="G225" s="22" t="s">
        <v>19315</v>
      </c>
      <c r="H225" s="24" t="s">
        <v>19334</v>
      </c>
      <c r="I225" s="22" t="s">
        <v>19309</v>
      </c>
      <c r="J225" s="22" t="s">
        <v>19310</v>
      </c>
      <c r="K225" s="22" t="s">
        <v>19440</v>
      </c>
      <c r="L225" s="22"/>
      <c r="M225" s="22"/>
      <c r="N225" s="25" t="str">
        <f>HYPERLINK("http://slimages.macys.com/is/image/MCY/21267915 ")</f>
        <v xml:space="preserve">http://slimages.macys.com/is/image/MCY/21267915 </v>
      </c>
    </row>
    <row r="226" spans="1:14" x14ac:dyDescent="0.25">
      <c r="A226" s="21" t="s">
        <v>20067</v>
      </c>
      <c r="B226" s="22" t="s">
        <v>20068</v>
      </c>
      <c r="C226" s="2">
        <v>1</v>
      </c>
      <c r="D226" s="23">
        <v>15.99</v>
      </c>
      <c r="E226" s="3">
        <v>15.99</v>
      </c>
      <c r="F226" s="2" t="s">
        <v>20063</v>
      </c>
      <c r="G226" s="22" t="s">
        <v>19333</v>
      </c>
      <c r="H226" s="24" t="s">
        <v>19345</v>
      </c>
      <c r="I226" s="22" t="s">
        <v>19309</v>
      </c>
      <c r="J226" s="22" t="s">
        <v>19310</v>
      </c>
      <c r="K226" s="22" t="s">
        <v>19440</v>
      </c>
      <c r="L226" s="22"/>
      <c r="M226" s="22"/>
      <c r="N226" s="25" t="str">
        <f>HYPERLINK("http://slimages.macys.com/is/image/MCY/21149116 ")</f>
        <v xml:space="preserve">http://slimages.macys.com/is/image/MCY/21149116 </v>
      </c>
    </row>
    <row r="227" spans="1:14" x14ac:dyDescent="0.25">
      <c r="A227" s="21" t="s">
        <v>20069</v>
      </c>
      <c r="B227" s="22" t="s">
        <v>20070</v>
      </c>
      <c r="C227" s="2">
        <v>1</v>
      </c>
      <c r="D227" s="23">
        <v>15.99</v>
      </c>
      <c r="E227" s="3">
        <v>15.99</v>
      </c>
      <c r="F227" s="2" t="s">
        <v>20066</v>
      </c>
      <c r="G227" s="22" t="s">
        <v>19315</v>
      </c>
      <c r="H227" s="24" t="s">
        <v>19345</v>
      </c>
      <c r="I227" s="22" t="s">
        <v>19309</v>
      </c>
      <c r="J227" s="22" t="s">
        <v>19310</v>
      </c>
      <c r="K227" s="22" t="s">
        <v>19440</v>
      </c>
      <c r="L227" s="22"/>
      <c r="M227" s="22"/>
      <c r="N227" s="25" t="str">
        <f>HYPERLINK("http://slimages.macys.com/is/image/MCY/21267915 ")</f>
        <v xml:space="preserve">http://slimages.macys.com/is/image/MCY/21267915 </v>
      </c>
    </row>
    <row r="228" spans="1:14" ht="24.75" x14ac:dyDescent="0.25">
      <c r="A228" s="21" t="s">
        <v>20071</v>
      </c>
      <c r="B228" s="22" t="s">
        <v>20072</v>
      </c>
      <c r="C228" s="2">
        <v>1</v>
      </c>
      <c r="D228" s="23">
        <v>19.989999999999998</v>
      </c>
      <c r="E228" s="3">
        <v>19.989999999999998</v>
      </c>
      <c r="F228" s="2" t="s">
        <v>20073</v>
      </c>
      <c r="G228" s="22" t="s">
        <v>19333</v>
      </c>
      <c r="H228" s="24" t="s">
        <v>19501</v>
      </c>
      <c r="I228" s="22" t="s">
        <v>19309</v>
      </c>
      <c r="J228" s="22" t="s">
        <v>19353</v>
      </c>
      <c r="K228" s="22" t="s">
        <v>19524</v>
      </c>
      <c r="L228" s="22"/>
      <c r="M228" s="22"/>
      <c r="N228" s="25" t="str">
        <f>HYPERLINK("http://slimages.macys.com/is/image/MCY/18721899 ")</f>
        <v xml:space="preserve">http://slimages.macys.com/is/image/MCY/18721899 </v>
      </c>
    </row>
    <row r="229" spans="1:14" ht="24.75" x14ac:dyDescent="0.25">
      <c r="A229" s="21" t="s">
        <v>20074</v>
      </c>
      <c r="B229" s="22" t="s">
        <v>20075</v>
      </c>
      <c r="C229" s="2">
        <v>1</v>
      </c>
      <c r="D229" s="23">
        <v>15.99</v>
      </c>
      <c r="E229" s="3">
        <v>15.99</v>
      </c>
      <c r="F229" s="2">
        <v>4378</v>
      </c>
      <c r="G229" s="22" t="s">
        <v>19323</v>
      </c>
      <c r="H229" s="24" t="s">
        <v>19352</v>
      </c>
      <c r="I229" s="22" t="s">
        <v>19309</v>
      </c>
      <c r="J229" s="22" t="s">
        <v>20076</v>
      </c>
      <c r="K229" s="22" t="s">
        <v>20077</v>
      </c>
      <c r="L229" s="22"/>
      <c r="M229" s="22"/>
      <c r="N229" s="25" t="str">
        <f>HYPERLINK("http://slimages.macys.com/is/image/MCY/19348122 ")</f>
        <v xml:space="preserve">http://slimages.macys.com/is/image/MCY/19348122 </v>
      </c>
    </row>
    <row r="230" spans="1:14" ht="24.75" x14ac:dyDescent="0.25">
      <c r="A230" s="21" t="s">
        <v>20078</v>
      </c>
      <c r="B230" s="22" t="s">
        <v>20079</v>
      </c>
      <c r="C230" s="2">
        <v>1</v>
      </c>
      <c r="D230" s="23">
        <v>15.99</v>
      </c>
      <c r="E230" s="3">
        <v>15.99</v>
      </c>
      <c r="F230" s="2">
        <v>4378</v>
      </c>
      <c r="G230" s="22" t="s">
        <v>19323</v>
      </c>
      <c r="H230" s="24" t="s">
        <v>19797</v>
      </c>
      <c r="I230" s="22" t="s">
        <v>19309</v>
      </c>
      <c r="J230" s="22" t="s">
        <v>20076</v>
      </c>
      <c r="K230" s="22" t="s">
        <v>20077</v>
      </c>
      <c r="L230" s="22"/>
      <c r="M230" s="22"/>
      <c r="N230" s="25" t="str">
        <f>HYPERLINK("http://slimages.macys.com/is/image/MCY/19348122 ")</f>
        <v xml:space="preserve">http://slimages.macys.com/is/image/MCY/19348122 </v>
      </c>
    </row>
    <row r="231" spans="1:14" x14ac:dyDescent="0.25">
      <c r="A231" s="21" t="s">
        <v>20080</v>
      </c>
      <c r="B231" s="22" t="s">
        <v>20081</v>
      </c>
      <c r="C231" s="2">
        <v>1</v>
      </c>
      <c r="D231" s="23">
        <v>15.3</v>
      </c>
      <c r="E231" s="3">
        <v>15.3</v>
      </c>
      <c r="F231" s="2" t="s">
        <v>20082</v>
      </c>
      <c r="G231" s="22" t="s">
        <v>19794</v>
      </c>
      <c r="H231" s="24" t="s">
        <v>19367</v>
      </c>
      <c r="I231" s="22" t="s">
        <v>19309</v>
      </c>
      <c r="J231" s="22" t="s">
        <v>19708</v>
      </c>
      <c r="K231" s="22" t="s">
        <v>19709</v>
      </c>
      <c r="L231" s="22"/>
      <c r="M231" s="22"/>
      <c r="N231" s="25" t="str">
        <f>HYPERLINK("http://slimages.macys.com/is/image/MCY/21409023 ")</f>
        <v xml:space="preserve">http://slimages.macys.com/is/image/MCY/21409023 </v>
      </c>
    </row>
    <row r="232" spans="1:14" x14ac:dyDescent="0.25">
      <c r="A232" s="21" t="s">
        <v>20083</v>
      </c>
      <c r="B232" s="22" t="s">
        <v>20084</v>
      </c>
      <c r="C232" s="2">
        <v>1</v>
      </c>
      <c r="D232" s="23">
        <v>22.99</v>
      </c>
      <c r="E232" s="3">
        <v>22.99</v>
      </c>
      <c r="F232" s="2" t="s">
        <v>20085</v>
      </c>
      <c r="G232" s="22" t="s">
        <v>19674</v>
      </c>
      <c r="H232" s="24" t="s">
        <v>19907</v>
      </c>
      <c r="I232" s="22" t="s">
        <v>19309</v>
      </c>
      <c r="J232" s="22" t="s">
        <v>19849</v>
      </c>
      <c r="K232" s="22" t="s">
        <v>19850</v>
      </c>
      <c r="L232" s="22"/>
      <c r="M232" s="22"/>
      <c r="N232" s="25" t="str">
        <f>HYPERLINK("http://slimages.macys.com/is/image/MCY/1521089 ")</f>
        <v xml:space="preserve">http://slimages.macys.com/is/image/MCY/1521089 </v>
      </c>
    </row>
    <row r="233" spans="1:14" x14ac:dyDescent="0.25">
      <c r="A233" s="21" t="s">
        <v>20086</v>
      </c>
      <c r="B233" s="22" t="s">
        <v>20087</v>
      </c>
      <c r="C233" s="2">
        <v>2</v>
      </c>
      <c r="D233" s="23">
        <v>14.99</v>
      </c>
      <c r="E233" s="3">
        <v>29.98</v>
      </c>
      <c r="F233" s="2" t="s">
        <v>20088</v>
      </c>
      <c r="G233" s="22" t="s">
        <v>19431</v>
      </c>
      <c r="H233" s="24" t="s">
        <v>20089</v>
      </c>
      <c r="I233" s="22" t="s">
        <v>19309</v>
      </c>
      <c r="J233" s="22" t="s">
        <v>19849</v>
      </c>
      <c r="K233" s="22" t="s">
        <v>19850</v>
      </c>
      <c r="L233" s="22"/>
      <c r="M233" s="22"/>
      <c r="N233" s="25" t="str">
        <f>HYPERLINK("http://slimages.macys.com/is/image/MCY/20549555 ")</f>
        <v xml:space="preserve">http://slimages.macys.com/is/image/MCY/20549555 </v>
      </c>
    </row>
    <row r="234" spans="1:14" x14ac:dyDescent="0.25">
      <c r="A234" s="21" t="s">
        <v>20090</v>
      </c>
      <c r="B234" s="22" t="s">
        <v>20091</v>
      </c>
      <c r="C234" s="2">
        <v>1</v>
      </c>
      <c r="D234" s="23">
        <v>14.99</v>
      </c>
      <c r="E234" s="3">
        <v>14.99</v>
      </c>
      <c r="F234" s="2" t="s">
        <v>20088</v>
      </c>
      <c r="G234" s="22" t="s">
        <v>19674</v>
      </c>
      <c r="H234" s="24" t="s">
        <v>19907</v>
      </c>
      <c r="I234" s="22" t="s">
        <v>19309</v>
      </c>
      <c r="J234" s="22" t="s">
        <v>19849</v>
      </c>
      <c r="K234" s="22" t="s">
        <v>19850</v>
      </c>
      <c r="L234" s="22"/>
      <c r="M234" s="22"/>
      <c r="N234" s="25" t="str">
        <f>HYPERLINK("http://slimages.macys.com/is/image/MCY/20549555 ")</f>
        <v xml:space="preserve">http://slimages.macys.com/is/image/MCY/20549555 </v>
      </c>
    </row>
    <row r="235" spans="1:14" ht="24.75" x14ac:dyDescent="0.25">
      <c r="A235" s="21" t="s">
        <v>20092</v>
      </c>
      <c r="B235" s="22" t="s">
        <v>20093</v>
      </c>
      <c r="C235" s="2">
        <v>1</v>
      </c>
      <c r="D235" s="23">
        <v>19.989999999999998</v>
      </c>
      <c r="E235" s="3">
        <v>19.989999999999998</v>
      </c>
      <c r="F235" s="2" t="s">
        <v>20094</v>
      </c>
      <c r="G235" s="22" t="s">
        <v>19415</v>
      </c>
      <c r="H235" s="24" t="s">
        <v>19907</v>
      </c>
      <c r="I235" s="22" t="s">
        <v>19309</v>
      </c>
      <c r="J235" s="22" t="s">
        <v>19908</v>
      </c>
      <c r="K235" s="22" t="s">
        <v>19524</v>
      </c>
      <c r="L235" s="22"/>
      <c r="M235" s="22"/>
      <c r="N235" s="25" t="str">
        <f>HYPERLINK("http://slimages.macys.com/is/image/MCY/21070251 ")</f>
        <v xml:space="preserve">http://slimages.macys.com/is/image/MCY/21070251 </v>
      </c>
    </row>
    <row r="236" spans="1:14" ht="24.75" x14ac:dyDescent="0.25">
      <c r="A236" s="21" t="s">
        <v>20095</v>
      </c>
      <c r="B236" s="22" t="s">
        <v>20096</v>
      </c>
      <c r="C236" s="2">
        <v>1</v>
      </c>
      <c r="D236" s="23">
        <v>16.82</v>
      </c>
      <c r="E236" s="3">
        <v>16.82</v>
      </c>
      <c r="F236" s="2" t="s">
        <v>20097</v>
      </c>
      <c r="G236" s="22"/>
      <c r="H236" s="24" t="s">
        <v>19392</v>
      </c>
      <c r="I236" s="22" t="s">
        <v>19309</v>
      </c>
      <c r="J236" s="22" t="s">
        <v>19602</v>
      </c>
      <c r="K236" s="22" t="s">
        <v>20041</v>
      </c>
      <c r="L236" s="22"/>
      <c r="M236" s="22"/>
      <c r="N236" s="25" t="str">
        <f>HYPERLINK("http://slimages.macys.com/is/image/MCY/21420971 ")</f>
        <v xml:space="preserve">http://slimages.macys.com/is/image/MCY/21420971 </v>
      </c>
    </row>
    <row r="237" spans="1:14" ht="24.75" x14ac:dyDescent="0.25">
      <c r="A237" s="21" t="s">
        <v>20098</v>
      </c>
      <c r="B237" s="22" t="s">
        <v>20099</v>
      </c>
      <c r="C237" s="2">
        <v>1</v>
      </c>
      <c r="D237" s="23">
        <v>16.82</v>
      </c>
      <c r="E237" s="3">
        <v>16.82</v>
      </c>
      <c r="F237" s="2" t="s">
        <v>20100</v>
      </c>
      <c r="G237" s="22"/>
      <c r="H237" s="24"/>
      <c r="I237" s="22" t="s">
        <v>19309</v>
      </c>
      <c r="J237" s="22" t="s">
        <v>19602</v>
      </c>
      <c r="K237" s="22" t="s">
        <v>20041</v>
      </c>
      <c r="L237" s="22"/>
      <c r="M237" s="22"/>
      <c r="N237" s="25" t="str">
        <f>HYPERLINK("http://slimages.macys.com/is/image/MCY/21421004 ")</f>
        <v xml:space="preserve">http://slimages.macys.com/is/image/MCY/21421004 </v>
      </c>
    </row>
    <row r="238" spans="1:14" ht="24.75" x14ac:dyDescent="0.25">
      <c r="A238" s="21" t="s">
        <v>20101</v>
      </c>
      <c r="B238" s="22" t="s">
        <v>20102</v>
      </c>
      <c r="C238" s="2">
        <v>1</v>
      </c>
      <c r="D238" s="23">
        <v>42.5</v>
      </c>
      <c r="E238" s="3">
        <v>42.5</v>
      </c>
      <c r="F238" s="2" t="s">
        <v>20103</v>
      </c>
      <c r="G238" s="22" t="s">
        <v>19618</v>
      </c>
      <c r="H238" s="24" t="s">
        <v>19432</v>
      </c>
      <c r="I238" s="22" t="s">
        <v>19309</v>
      </c>
      <c r="J238" s="22" t="s">
        <v>20104</v>
      </c>
      <c r="K238" s="22" t="s">
        <v>20105</v>
      </c>
      <c r="L238" s="22"/>
      <c r="M238" s="22"/>
      <c r="N238" s="25" t="str">
        <f>HYPERLINK("http://slimages.macys.com/is/image/MCY/22159222 ")</f>
        <v xml:space="preserve">http://slimages.macys.com/is/image/MCY/22159222 </v>
      </c>
    </row>
    <row r="239" spans="1:14" ht="24.75" x14ac:dyDescent="0.25">
      <c r="A239" s="21" t="s">
        <v>20106</v>
      </c>
      <c r="B239" s="22" t="s">
        <v>20107</v>
      </c>
      <c r="C239" s="2">
        <v>1</v>
      </c>
      <c r="D239" s="23">
        <v>24</v>
      </c>
      <c r="E239" s="3">
        <v>24</v>
      </c>
      <c r="F239" s="2" t="s">
        <v>20108</v>
      </c>
      <c r="G239" s="22" t="s">
        <v>19513</v>
      </c>
      <c r="H239" s="24" t="s">
        <v>20109</v>
      </c>
      <c r="I239" s="22" t="s">
        <v>19309</v>
      </c>
      <c r="J239" s="22" t="s">
        <v>19417</v>
      </c>
      <c r="K239" s="22" t="s">
        <v>20110</v>
      </c>
      <c r="L239" s="22"/>
      <c r="M239" s="22"/>
      <c r="N239" s="25" t="str">
        <f>HYPERLINK("http://slimages.macys.com/is/image/MCY/22528913 ")</f>
        <v xml:space="preserve">http://slimages.macys.com/is/image/MCY/22528913 </v>
      </c>
    </row>
    <row r="240" spans="1:14" ht="24.75" x14ac:dyDescent="0.25">
      <c r="A240" s="21" t="s">
        <v>20111</v>
      </c>
      <c r="B240" s="22" t="s">
        <v>20112</v>
      </c>
      <c r="C240" s="2">
        <v>1</v>
      </c>
      <c r="D240" s="23">
        <v>16.72</v>
      </c>
      <c r="E240" s="3">
        <v>16.72</v>
      </c>
      <c r="F240" s="2" t="s">
        <v>20113</v>
      </c>
      <c r="G240" s="22"/>
      <c r="H240" s="24" t="s">
        <v>19399</v>
      </c>
      <c r="I240" s="22" t="s">
        <v>19309</v>
      </c>
      <c r="J240" s="22" t="s">
        <v>19602</v>
      </c>
      <c r="K240" s="22" t="s">
        <v>20041</v>
      </c>
      <c r="L240" s="22"/>
      <c r="M240" s="22"/>
      <c r="N240" s="25" t="str">
        <f>HYPERLINK("http://slimages.macys.com/is/image/MCY/21421190 ")</f>
        <v xml:space="preserve">http://slimages.macys.com/is/image/MCY/21421190 </v>
      </c>
    </row>
    <row r="241" spans="1:14" x14ac:dyDescent="0.25">
      <c r="A241" s="21" t="s">
        <v>20114</v>
      </c>
      <c r="B241" s="22" t="s">
        <v>20115</v>
      </c>
      <c r="C241" s="2">
        <v>1</v>
      </c>
      <c r="D241" s="23">
        <v>18.77</v>
      </c>
      <c r="E241" s="3">
        <v>18.77</v>
      </c>
      <c r="F241" s="2" t="s">
        <v>20116</v>
      </c>
      <c r="G241" s="22"/>
      <c r="H241" s="24" t="s">
        <v>19330</v>
      </c>
      <c r="I241" s="22" t="s">
        <v>19309</v>
      </c>
      <c r="J241" s="22" t="s">
        <v>19708</v>
      </c>
      <c r="K241" s="22" t="s">
        <v>19709</v>
      </c>
      <c r="L241" s="22"/>
      <c r="M241" s="22"/>
      <c r="N241" s="25" t="str">
        <f>HYPERLINK("http://slimages.macys.com/is/image/MCY/22405951 ")</f>
        <v xml:space="preserve">http://slimages.macys.com/is/image/MCY/22405951 </v>
      </c>
    </row>
    <row r="242" spans="1:14" x14ac:dyDescent="0.25">
      <c r="A242" s="21" t="s">
        <v>20117</v>
      </c>
      <c r="B242" s="22" t="s">
        <v>20118</v>
      </c>
      <c r="C242" s="2">
        <v>1</v>
      </c>
      <c r="D242" s="23">
        <v>18.77</v>
      </c>
      <c r="E242" s="3">
        <v>18.77</v>
      </c>
      <c r="F242" s="2" t="s">
        <v>20119</v>
      </c>
      <c r="G242" s="22"/>
      <c r="H242" s="24" t="s">
        <v>19770</v>
      </c>
      <c r="I242" s="22" t="s">
        <v>19309</v>
      </c>
      <c r="J242" s="22" t="s">
        <v>19708</v>
      </c>
      <c r="K242" s="22" t="s">
        <v>19709</v>
      </c>
      <c r="L242" s="22"/>
      <c r="M242" s="22"/>
      <c r="N242" s="25" t="str">
        <f>HYPERLINK("http://slimages.macys.com/is/image/MCY/22405750 ")</f>
        <v xml:space="preserve">http://slimages.macys.com/is/image/MCY/22405750 </v>
      </c>
    </row>
    <row r="243" spans="1:14" x14ac:dyDescent="0.25">
      <c r="A243" s="21" t="s">
        <v>20120</v>
      </c>
      <c r="B243" s="22" t="s">
        <v>20121</v>
      </c>
      <c r="C243" s="2">
        <v>2</v>
      </c>
      <c r="D243" s="23">
        <v>18.77</v>
      </c>
      <c r="E243" s="3">
        <v>37.54</v>
      </c>
      <c r="F243" s="2" t="s">
        <v>20119</v>
      </c>
      <c r="G243" s="22"/>
      <c r="H243" s="24" t="s">
        <v>19330</v>
      </c>
      <c r="I243" s="22" t="s">
        <v>19309</v>
      </c>
      <c r="J243" s="22" t="s">
        <v>19708</v>
      </c>
      <c r="K243" s="22" t="s">
        <v>19709</v>
      </c>
      <c r="L243" s="22"/>
      <c r="M243" s="22"/>
      <c r="N243" s="25" t="str">
        <f>HYPERLINK("http://slimages.macys.com/is/image/MCY/22405750 ")</f>
        <v xml:space="preserve">http://slimages.macys.com/is/image/MCY/22405750 </v>
      </c>
    </row>
    <row r="244" spans="1:14" ht="24.75" x14ac:dyDescent="0.25">
      <c r="A244" s="21" t="s">
        <v>20122</v>
      </c>
      <c r="B244" s="22" t="s">
        <v>20123</v>
      </c>
      <c r="C244" s="2">
        <v>1</v>
      </c>
      <c r="D244" s="23">
        <v>19.989999999999998</v>
      </c>
      <c r="E244" s="3">
        <v>19.989999999999998</v>
      </c>
      <c r="F244" s="2" t="s">
        <v>20124</v>
      </c>
      <c r="G244" s="22" t="s">
        <v>19674</v>
      </c>
      <c r="H244" s="24" t="s">
        <v>19324</v>
      </c>
      <c r="I244" s="22" t="s">
        <v>19309</v>
      </c>
      <c r="J244" s="22" t="s">
        <v>19573</v>
      </c>
      <c r="K244" s="22" t="s">
        <v>19574</v>
      </c>
      <c r="L244" s="22"/>
      <c r="M244" s="22"/>
      <c r="N244" s="25" t="str">
        <f>HYPERLINK("http://slimages.macys.com/is/image/MCY/20142414 ")</f>
        <v xml:space="preserve">http://slimages.macys.com/is/image/MCY/20142414 </v>
      </c>
    </row>
    <row r="245" spans="1:14" x14ac:dyDescent="0.25">
      <c r="A245" s="21" t="s">
        <v>20125</v>
      </c>
      <c r="B245" s="22" t="s">
        <v>20126</v>
      </c>
      <c r="C245" s="2">
        <v>1</v>
      </c>
      <c r="D245" s="23">
        <v>24.99</v>
      </c>
      <c r="E245" s="3">
        <v>24.99</v>
      </c>
      <c r="F245" s="2" t="s">
        <v>20127</v>
      </c>
      <c r="G245" s="22" t="s">
        <v>19477</v>
      </c>
      <c r="H245" s="24" t="s">
        <v>19339</v>
      </c>
      <c r="I245" s="22" t="s">
        <v>19309</v>
      </c>
      <c r="J245" s="22" t="s">
        <v>19849</v>
      </c>
      <c r="K245" s="22" t="s">
        <v>19850</v>
      </c>
      <c r="L245" s="22"/>
      <c r="M245" s="22"/>
      <c r="N245" s="25" t="str">
        <f>HYPERLINK("http://slimages.macys.com/is/image/MCY/20549485 ")</f>
        <v xml:space="preserve">http://slimages.macys.com/is/image/MCY/20549485 </v>
      </c>
    </row>
    <row r="246" spans="1:14" x14ac:dyDescent="0.25">
      <c r="A246" s="21" t="s">
        <v>20128</v>
      </c>
      <c r="B246" s="22" t="s">
        <v>20129</v>
      </c>
      <c r="C246" s="2">
        <v>1</v>
      </c>
      <c r="D246" s="23">
        <v>24.99</v>
      </c>
      <c r="E246" s="3">
        <v>24.99</v>
      </c>
      <c r="F246" s="2" t="s">
        <v>20127</v>
      </c>
      <c r="G246" s="22" t="s">
        <v>19477</v>
      </c>
      <c r="H246" s="24" t="s">
        <v>19797</v>
      </c>
      <c r="I246" s="22" t="s">
        <v>19309</v>
      </c>
      <c r="J246" s="22" t="s">
        <v>19849</v>
      </c>
      <c r="K246" s="22" t="s">
        <v>19850</v>
      </c>
      <c r="L246" s="22"/>
      <c r="M246" s="22"/>
      <c r="N246" s="25" t="str">
        <f>HYPERLINK("http://slimages.macys.com/is/image/MCY/20549485 ")</f>
        <v xml:space="preserve">http://slimages.macys.com/is/image/MCY/20549485 </v>
      </c>
    </row>
    <row r="247" spans="1:14" x14ac:dyDescent="0.25">
      <c r="A247" s="21" t="s">
        <v>20130</v>
      </c>
      <c r="B247" s="22" t="s">
        <v>20131</v>
      </c>
      <c r="C247" s="2">
        <v>1</v>
      </c>
      <c r="D247" s="23">
        <v>16.989999999999998</v>
      </c>
      <c r="E247" s="3">
        <v>16.989999999999998</v>
      </c>
      <c r="F247" s="2" t="s">
        <v>20132</v>
      </c>
      <c r="G247" s="22" t="s">
        <v>19674</v>
      </c>
      <c r="H247" s="24" t="s">
        <v>20089</v>
      </c>
      <c r="I247" s="22" t="s">
        <v>19309</v>
      </c>
      <c r="J247" s="22" t="s">
        <v>19849</v>
      </c>
      <c r="K247" s="22" t="s">
        <v>19850</v>
      </c>
      <c r="L247" s="22"/>
      <c r="M247" s="22"/>
      <c r="N247" s="25" t="str">
        <f>HYPERLINK("http://slimages.macys.com/is/image/MCY/20751998 ")</f>
        <v xml:space="preserve">http://slimages.macys.com/is/image/MCY/20751998 </v>
      </c>
    </row>
    <row r="248" spans="1:14" x14ac:dyDescent="0.25">
      <c r="A248" s="21" t="s">
        <v>20133</v>
      </c>
      <c r="B248" s="22" t="s">
        <v>20134</v>
      </c>
      <c r="C248" s="2">
        <v>1</v>
      </c>
      <c r="D248" s="23">
        <v>16.989999999999998</v>
      </c>
      <c r="E248" s="3">
        <v>16.989999999999998</v>
      </c>
      <c r="F248" s="2" t="s">
        <v>20132</v>
      </c>
      <c r="G248" s="22" t="s">
        <v>19674</v>
      </c>
      <c r="H248" s="24" t="s">
        <v>20135</v>
      </c>
      <c r="I248" s="22" t="s">
        <v>19309</v>
      </c>
      <c r="J248" s="22" t="s">
        <v>19849</v>
      </c>
      <c r="K248" s="22" t="s">
        <v>19850</v>
      </c>
      <c r="L248" s="22"/>
      <c r="M248" s="22"/>
      <c r="N248" s="25" t="str">
        <f>HYPERLINK("http://slimages.macys.com/is/image/MCY/20751998 ")</f>
        <v xml:space="preserve">http://slimages.macys.com/is/image/MCY/20751998 </v>
      </c>
    </row>
    <row r="249" spans="1:14" ht="24.75" x14ac:dyDescent="0.25">
      <c r="A249" s="21" t="s">
        <v>20136</v>
      </c>
      <c r="B249" s="22" t="s">
        <v>20137</v>
      </c>
      <c r="C249" s="2">
        <v>1</v>
      </c>
      <c r="D249" s="23">
        <v>16.989999999999998</v>
      </c>
      <c r="E249" s="3">
        <v>16.989999999999998</v>
      </c>
      <c r="F249" s="2" t="s">
        <v>20138</v>
      </c>
      <c r="G249" s="22" t="s">
        <v>19323</v>
      </c>
      <c r="H249" s="24" t="s">
        <v>19542</v>
      </c>
      <c r="I249" s="22" t="s">
        <v>19309</v>
      </c>
      <c r="J249" s="22" t="s">
        <v>19908</v>
      </c>
      <c r="K249" s="22" t="s">
        <v>19524</v>
      </c>
      <c r="L249" s="22"/>
      <c r="M249" s="22"/>
      <c r="N249" s="25" t="str">
        <f>HYPERLINK("http://slimages.macys.com/is/image/MCY/21070306 ")</f>
        <v xml:space="preserve">http://slimages.macys.com/is/image/MCY/21070306 </v>
      </c>
    </row>
    <row r="250" spans="1:14" ht="24.75" x14ac:dyDescent="0.25">
      <c r="A250" s="21" t="s">
        <v>20139</v>
      </c>
      <c r="B250" s="22" t="s">
        <v>20140</v>
      </c>
      <c r="C250" s="2">
        <v>1</v>
      </c>
      <c r="D250" s="23">
        <v>12.99</v>
      </c>
      <c r="E250" s="3">
        <v>12.99</v>
      </c>
      <c r="F250" s="2" t="s">
        <v>20141</v>
      </c>
      <c r="G250" s="22" t="s">
        <v>19585</v>
      </c>
      <c r="H250" s="24" t="s">
        <v>19352</v>
      </c>
      <c r="I250" s="22" t="s">
        <v>19309</v>
      </c>
      <c r="J250" s="22" t="s">
        <v>19447</v>
      </c>
      <c r="K250" s="22" t="s">
        <v>19873</v>
      </c>
      <c r="L250" s="22"/>
      <c r="M250" s="22"/>
      <c r="N250" s="25" t="str">
        <f>HYPERLINK("http://slimages.macys.com/is/image/MCY/21122038 ")</f>
        <v xml:space="preserve">http://slimages.macys.com/is/image/MCY/21122038 </v>
      </c>
    </row>
    <row r="251" spans="1:14" ht="24.75" x14ac:dyDescent="0.25">
      <c r="A251" s="21" t="s">
        <v>20142</v>
      </c>
      <c r="B251" s="22" t="s">
        <v>20143</v>
      </c>
      <c r="C251" s="2">
        <v>1</v>
      </c>
      <c r="D251" s="23">
        <v>11.99</v>
      </c>
      <c r="E251" s="3">
        <v>11.99</v>
      </c>
      <c r="F251" s="2" t="s">
        <v>20144</v>
      </c>
      <c r="G251" s="22" t="s">
        <v>20145</v>
      </c>
      <c r="H251" s="24" t="s">
        <v>19395</v>
      </c>
      <c r="I251" s="22" t="s">
        <v>19309</v>
      </c>
      <c r="J251" s="22" t="s">
        <v>19447</v>
      </c>
      <c r="K251" s="22" t="s">
        <v>20146</v>
      </c>
      <c r="L251" s="22"/>
      <c r="M251" s="22"/>
      <c r="N251" s="25" t="str">
        <f>HYPERLINK("http://slimages.macys.com/is/image/MCY/21177840 ")</f>
        <v xml:space="preserve">http://slimages.macys.com/is/image/MCY/21177840 </v>
      </c>
    </row>
    <row r="252" spans="1:14" ht="24.75" x14ac:dyDescent="0.25">
      <c r="A252" s="21" t="s">
        <v>20147</v>
      </c>
      <c r="B252" s="22" t="s">
        <v>20148</v>
      </c>
      <c r="C252" s="2">
        <v>1</v>
      </c>
      <c r="D252" s="23">
        <v>11.99</v>
      </c>
      <c r="E252" s="3">
        <v>11.99</v>
      </c>
      <c r="F252" s="2" t="s">
        <v>20144</v>
      </c>
      <c r="G252" s="22" t="s">
        <v>20145</v>
      </c>
      <c r="H252" s="24" t="s">
        <v>19361</v>
      </c>
      <c r="I252" s="22" t="s">
        <v>19309</v>
      </c>
      <c r="J252" s="22" t="s">
        <v>19447</v>
      </c>
      <c r="K252" s="22" t="s">
        <v>20146</v>
      </c>
      <c r="L252" s="22"/>
      <c r="M252" s="22"/>
      <c r="N252" s="25" t="str">
        <f>HYPERLINK("http://slimages.macys.com/is/image/MCY/21177840 ")</f>
        <v xml:space="preserve">http://slimages.macys.com/is/image/MCY/21177840 </v>
      </c>
    </row>
    <row r="253" spans="1:14" x14ac:dyDescent="0.25">
      <c r="A253" s="21" t="s">
        <v>20149</v>
      </c>
      <c r="B253" s="22" t="s">
        <v>20150</v>
      </c>
      <c r="C253" s="2">
        <v>1</v>
      </c>
      <c r="D253" s="23">
        <v>18.66</v>
      </c>
      <c r="E253" s="3">
        <v>18.66</v>
      </c>
      <c r="F253" s="2" t="s">
        <v>20151</v>
      </c>
      <c r="G253" s="22"/>
      <c r="H253" s="24" t="s">
        <v>20152</v>
      </c>
      <c r="I253" s="22" t="s">
        <v>19309</v>
      </c>
      <c r="J253" s="22" t="s">
        <v>19708</v>
      </c>
      <c r="K253" s="22" t="s">
        <v>19709</v>
      </c>
      <c r="L253" s="22"/>
      <c r="M253" s="22"/>
      <c r="N253" s="25" t="str">
        <f>HYPERLINK("http://slimages.macys.com/is/image/MCY/21414509 ")</f>
        <v xml:space="preserve">http://slimages.macys.com/is/image/MCY/21414509 </v>
      </c>
    </row>
    <row r="254" spans="1:14" x14ac:dyDescent="0.25">
      <c r="A254" s="21" t="s">
        <v>20153</v>
      </c>
      <c r="B254" s="22" t="s">
        <v>20154</v>
      </c>
      <c r="C254" s="2">
        <v>1</v>
      </c>
      <c r="D254" s="23">
        <v>18.66</v>
      </c>
      <c r="E254" s="3">
        <v>18.66</v>
      </c>
      <c r="F254" s="2" t="s">
        <v>20155</v>
      </c>
      <c r="G254" s="22"/>
      <c r="H254" s="24" t="s">
        <v>20152</v>
      </c>
      <c r="I254" s="22" t="s">
        <v>19309</v>
      </c>
      <c r="J254" s="22" t="s">
        <v>19708</v>
      </c>
      <c r="K254" s="22" t="s">
        <v>19709</v>
      </c>
      <c r="L254" s="22"/>
      <c r="M254" s="22"/>
      <c r="N254" s="25" t="str">
        <f>HYPERLINK("http://slimages.macys.com/is/image/MCY/21414177 ")</f>
        <v xml:space="preserve">http://slimages.macys.com/is/image/MCY/21414177 </v>
      </c>
    </row>
    <row r="255" spans="1:14" x14ac:dyDescent="0.25">
      <c r="A255" s="21" t="s">
        <v>20156</v>
      </c>
      <c r="B255" s="22" t="s">
        <v>20157</v>
      </c>
      <c r="C255" s="2">
        <v>2</v>
      </c>
      <c r="D255" s="23">
        <v>18.66</v>
      </c>
      <c r="E255" s="3">
        <v>37.32</v>
      </c>
      <c r="F255" s="2" t="s">
        <v>20158</v>
      </c>
      <c r="G255" s="22"/>
      <c r="H255" s="24" t="s">
        <v>20159</v>
      </c>
      <c r="I255" s="22" t="s">
        <v>19309</v>
      </c>
      <c r="J255" s="22" t="s">
        <v>19708</v>
      </c>
      <c r="K255" s="22" t="s">
        <v>19709</v>
      </c>
      <c r="L255" s="22"/>
      <c r="M255" s="22"/>
      <c r="N255" s="25" t="str">
        <f>HYPERLINK("http://slimages.macys.com/is/image/MCY/21414404 ")</f>
        <v xml:space="preserve">http://slimages.macys.com/is/image/MCY/21414404 </v>
      </c>
    </row>
    <row r="256" spans="1:14" x14ac:dyDescent="0.25">
      <c r="A256" s="21" t="s">
        <v>20160</v>
      </c>
      <c r="B256" s="22" t="s">
        <v>20161</v>
      </c>
      <c r="C256" s="2">
        <v>1</v>
      </c>
      <c r="D256" s="23">
        <v>14.67</v>
      </c>
      <c r="E256" s="3">
        <v>14.67</v>
      </c>
      <c r="F256" s="2" t="s">
        <v>20162</v>
      </c>
      <c r="G256" s="22" t="s">
        <v>19333</v>
      </c>
      <c r="H256" s="24" t="s">
        <v>19367</v>
      </c>
      <c r="I256" s="22" t="s">
        <v>19309</v>
      </c>
      <c r="J256" s="22" t="s">
        <v>19708</v>
      </c>
      <c r="K256" s="22" t="s">
        <v>19709</v>
      </c>
      <c r="L256" s="22"/>
      <c r="M256" s="22"/>
      <c r="N256" s="25" t="str">
        <f>HYPERLINK("http://slimages.macys.com/is/image/MCY/19063047 ")</f>
        <v xml:space="preserve">http://slimages.macys.com/is/image/MCY/19063047 </v>
      </c>
    </row>
    <row r="257" spans="1:14" x14ac:dyDescent="0.25">
      <c r="A257" s="21" t="s">
        <v>20163</v>
      </c>
      <c r="B257" s="22" t="s">
        <v>20164</v>
      </c>
      <c r="C257" s="2">
        <v>1</v>
      </c>
      <c r="D257" s="23">
        <v>30</v>
      </c>
      <c r="E257" s="3">
        <v>30</v>
      </c>
      <c r="F257" s="2" t="s">
        <v>20165</v>
      </c>
      <c r="G257" s="22" t="s">
        <v>19357</v>
      </c>
      <c r="H257" s="24" t="s">
        <v>19538</v>
      </c>
      <c r="I257" s="22" t="s">
        <v>19309</v>
      </c>
      <c r="J257" s="22" t="s">
        <v>19417</v>
      </c>
      <c r="K257" s="22" t="s">
        <v>20110</v>
      </c>
      <c r="L257" s="22"/>
      <c r="M257" s="22"/>
      <c r="N257" s="25" t="str">
        <f>HYPERLINK("http://slimages.macys.com/is/image/MCY/18965296 ")</f>
        <v xml:space="preserve">http://slimages.macys.com/is/image/MCY/18965296 </v>
      </c>
    </row>
    <row r="258" spans="1:14" x14ac:dyDescent="0.25">
      <c r="A258" s="21" t="s">
        <v>20166</v>
      </c>
      <c r="B258" s="22" t="s">
        <v>20167</v>
      </c>
      <c r="C258" s="2">
        <v>1</v>
      </c>
      <c r="D258" s="23">
        <v>16.989999999999998</v>
      </c>
      <c r="E258" s="3">
        <v>16.989999999999998</v>
      </c>
      <c r="F258" s="2" t="s">
        <v>20168</v>
      </c>
      <c r="G258" s="22" t="s">
        <v>19618</v>
      </c>
      <c r="H258" s="24" t="s">
        <v>19352</v>
      </c>
      <c r="I258" s="22" t="s">
        <v>19309</v>
      </c>
      <c r="J258" s="22" t="s">
        <v>19849</v>
      </c>
      <c r="K258" s="22" t="s">
        <v>19850</v>
      </c>
      <c r="L258" s="22"/>
      <c r="M258" s="22"/>
      <c r="N258" s="25" t="str">
        <f>HYPERLINK("http://slimages.macys.com/is/image/MCY/20752002 ")</f>
        <v xml:space="preserve">http://slimages.macys.com/is/image/MCY/20752002 </v>
      </c>
    </row>
    <row r="259" spans="1:14" x14ac:dyDescent="0.25">
      <c r="A259" s="21" t="s">
        <v>20169</v>
      </c>
      <c r="B259" s="22" t="s">
        <v>20170</v>
      </c>
      <c r="C259" s="2">
        <v>1</v>
      </c>
      <c r="D259" s="23">
        <v>16.989999999999998</v>
      </c>
      <c r="E259" s="3">
        <v>16.989999999999998</v>
      </c>
      <c r="F259" s="2" t="s">
        <v>20168</v>
      </c>
      <c r="G259" s="22" t="s">
        <v>19618</v>
      </c>
      <c r="H259" s="24" t="s">
        <v>19364</v>
      </c>
      <c r="I259" s="22" t="s">
        <v>19309</v>
      </c>
      <c r="J259" s="22" t="s">
        <v>19849</v>
      </c>
      <c r="K259" s="22" t="s">
        <v>19850</v>
      </c>
      <c r="L259" s="22"/>
      <c r="M259" s="22"/>
      <c r="N259" s="25" t="str">
        <f>HYPERLINK("http://slimages.macys.com/is/image/MCY/20752002 ")</f>
        <v xml:space="preserve">http://slimages.macys.com/is/image/MCY/20752002 </v>
      </c>
    </row>
    <row r="260" spans="1:14" x14ac:dyDescent="0.25">
      <c r="A260" s="21" t="s">
        <v>20171</v>
      </c>
      <c r="B260" s="22" t="s">
        <v>20172</v>
      </c>
      <c r="C260" s="2">
        <v>1</v>
      </c>
      <c r="D260" s="23">
        <v>17.87</v>
      </c>
      <c r="E260" s="3">
        <v>17.87</v>
      </c>
      <c r="F260" s="2" t="s">
        <v>20173</v>
      </c>
      <c r="G260" s="22"/>
      <c r="H260" s="24" t="s">
        <v>19770</v>
      </c>
      <c r="I260" s="22" t="s">
        <v>19309</v>
      </c>
      <c r="J260" s="22" t="s">
        <v>19708</v>
      </c>
      <c r="K260" s="22" t="s">
        <v>19709</v>
      </c>
      <c r="L260" s="22"/>
      <c r="M260" s="22"/>
      <c r="N260" s="25" t="str">
        <f>HYPERLINK("http://slimages.macys.com/is/image/MCY/22405672 ")</f>
        <v xml:space="preserve">http://slimages.macys.com/is/image/MCY/22405672 </v>
      </c>
    </row>
    <row r="261" spans="1:14" x14ac:dyDescent="0.25">
      <c r="A261" s="21" t="s">
        <v>20174</v>
      </c>
      <c r="B261" s="22" t="s">
        <v>20175</v>
      </c>
      <c r="C261" s="2">
        <v>1</v>
      </c>
      <c r="D261" s="23">
        <v>17.87</v>
      </c>
      <c r="E261" s="3">
        <v>17.87</v>
      </c>
      <c r="F261" s="2" t="s">
        <v>20176</v>
      </c>
      <c r="G261" s="22"/>
      <c r="H261" s="24" t="s">
        <v>20159</v>
      </c>
      <c r="I261" s="22" t="s">
        <v>19309</v>
      </c>
      <c r="J261" s="22" t="s">
        <v>19708</v>
      </c>
      <c r="K261" s="22" t="s">
        <v>19709</v>
      </c>
      <c r="L261" s="22"/>
      <c r="M261" s="22"/>
      <c r="N261" s="25" t="str">
        <f>HYPERLINK("http://slimages.macys.com/is/image/MCY/22405968 ")</f>
        <v xml:space="preserve">http://slimages.macys.com/is/image/MCY/22405968 </v>
      </c>
    </row>
    <row r="262" spans="1:14" x14ac:dyDescent="0.25">
      <c r="A262" s="21" t="s">
        <v>20177</v>
      </c>
      <c r="B262" s="22" t="s">
        <v>20178</v>
      </c>
      <c r="C262" s="2">
        <v>1</v>
      </c>
      <c r="D262" s="23">
        <v>17.87</v>
      </c>
      <c r="E262" s="3">
        <v>17.87</v>
      </c>
      <c r="F262" s="2" t="s">
        <v>20179</v>
      </c>
      <c r="G262" s="22"/>
      <c r="H262" s="24" t="s">
        <v>20159</v>
      </c>
      <c r="I262" s="22" t="s">
        <v>19309</v>
      </c>
      <c r="J262" s="22" t="s">
        <v>19708</v>
      </c>
      <c r="K262" s="22" t="s">
        <v>19709</v>
      </c>
      <c r="L262" s="22"/>
      <c r="M262" s="22"/>
      <c r="N262" s="25" t="str">
        <f>HYPERLINK("http://slimages.macys.com/is/image/MCY/22405968 ")</f>
        <v xml:space="preserve">http://slimages.macys.com/is/image/MCY/22405968 </v>
      </c>
    </row>
    <row r="263" spans="1:14" x14ac:dyDescent="0.25">
      <c r="A263" s="21" t="s">
        <v>20180</v>
      </c>
      <c r="B263" s="22" t="s">
        <v>20181</v>
      </c>
      <c r="C263" s="2">
        <v>1</v>
      </c>
      <c r="D263" s="23">
        <v>17.87</v>
      </c>
      <c r="E263" s="3">
        <v>17.87</v>
      </c>
      <c r="F263" s="2" t="s">
        <v>20182</v>
      </c>
      <c r="G263" s="22"/>
      <c r="H263" s="24" t="s">
        <v>20159</v>
      </c>
      <c r="I263" s="22" t="s">
        <v>19309</v>
      </c>
      <c r="J263" s="22" t="s">
        <v>19708</v>
      </c>
      <c r="K263" s="22" t="s">
        <v>19709</v>
      </c>
      <c r="L263" s="22"/>
      <c r="M263" s="22"/>
      <c r="N263" s="25" t="str">
        <f>HYPERLINK("http://slimages.macys.com/is/image/MCY/22405971 ")</f>
        <v xml:space="preserve">http://slimages.macys.com/is/image/MCY/22405971 </v>
      </c>
    </row>
    <row r="264" spans="1:14" x14ac:dyDescent="0.25">
      <c r="A264" s="21" t="s">
        <v>20183</v>
      </c>
      <c r="B264" s="22" t="s">
        <v>20184</v>
      </c>
      <c r="C264" s="2">
        <v>1</v>
      </c>
      <c r="D264" s="23">
        <v>17.87</v>
      </c>
      <c r="E264" s="3">
        <v>17.87</v>
      </c>
      <c r="F264" s="2" t="s">
        <v>20182</v>
      </c>
      <c r="G264" s="22"/>
      <c r="H264" s="24" t="s">
        <v>19330</v>
      </c>
      <c r="I264" s="22" t="s">
        <v>19309</v>
      </c>
      <c r="J264" s="22" t="s">
        <v>19708</v>
      </c>
      <c r="K264" s="22" t="s">
        <v>19709</v>
      </c>
      <c r="L264" s="22"/>
      <c r="M264" s="22"/>
      <c r="N264" s="25" t="str">
        <f>HYPERLINK("http://slimages.macys.com/is/image/MCY/22405971 ")</f>
        <v xml:space="preserve">http://slimages.macys.com/is/image/MCY/22405971 </v>
      </c>
    </row>
    <row r="265" spans="1:14" x14ac:dyDescent="0.25">
      <c r="A265" s="21" t="s">
        <v>20185</v>
      </c>
      <c r="B265" s="22" t="s">
        <v>20186</v>
      </c>
      <c r="C265" s="2">
        <v>1</v>
      </c>
      <c r="D265" s="23">
        <v>17.87</v>
      </c>
      <c r="E265" s="3">
        <v>17.87</v>
      </c>
      <c r="F265" s="2" t="s">
        <v>20173</v>
      </c>
      <c r="G265" s="22"/>
      <c r="H265" s="24" t="s">
        <v>19367</v>
      </c>
      <c r="I265" s="22" t="s">
        <v>19309</v>
      </c>
      <c r="J265" s="22" t="s">
        <v>19708</v>
      </c>
      <c r="K265" s="22" t="s">
        <v>19709</v>
      </c>
      <c r="L265" s="22"/>
      <c r="M265" s="22"/>
      <c r="N265" s="25" t="str">
        <f>HYPERLINK("http://slimages.macys.com/is/image/MCY/22405672 ")</f>
        <v xml:space="preserve">http://slimages.macys.com/is/image/MCY/22405672 </v>
      </c>
    </row>
    <row r="266" spans="1:14" x14ac:dyDescent="0.25">
      <c r="A266" s="21" t="s">
        <v>20187</v>
      </c>
      <c r="B266" s="22" t="s">
        <v>20188</v>
      </c>
      <c r="C266" s="2">
        <v>1</v>
      </c>
      <c r="D266" s="23">
        <v>17.87</v>
      </c>
      <c r="E266" s="3">
        <v>17.87</v>
      </c>
      <c r="F266" s="2" t="s">
        <v>20176</v>
      </c>
      <c r="G266" s="22"/>
      <c r="H266" s="24" t="s">
        <v>19770</v>
      </c>
      <c r="I266" s="22" t="s">
        <v>19309</v>
      </c>
      <c r="J266" s="22" t="s">
        <v>19708</v>
      </c>
      <c r="K266" s="22" t="s">
        <v>19709</v>
      </c>
      <c r="L266" s="22"/>
      <c r="M266" s="22"/>
      <c r="N266" s="25" t="str">
        <f>HYPERLINK("http://slimages.macys.com/is/image/MCY/22405968 ")</f>
        <v xml:space="preserve">http://slimages.macys.com/is/image/MCY/22405968 </v>
      </c>
    </row>
    <row r="267" spans="1:14" x14ac:dyDescent="0.25">
      <c r="A267" s="21" t="s">
        <v>20189</v>
      </c>
      <c r="B267" s="22" t="s">
        <v>20190</v>
      </c>
      <c r="C267" s="2">
        <v>1</v>
      </c>
      <c r="D267" s="23">
        <v>15</v>
      </c>
      <c r="E267" s="3">
        <v>15</v>
      </c>
      <c r="F267" s="2" t="s">
        <v>20191</v>
      </c>
      <c r="G267" s="22" t="s">
        <v>19307</v>
      </c>
      <c r="H267" s="24" t="s">
        <v>19432</v>
      </c>
      <c r="I267" s="22" t="s">
        <v>19309</v>
      </c>
      <c r="J267" s="22" t="s">
        <v>19310</v>
      </c>
      <c r="K267" s="22" t="s">
        <v>19433</v>
      </c>
      <c r="L267" s="22"/>
      <c r="M267" s="22"/>
      <c r="N267" s="25" t="str">
        <f>HYPERLINK("http://slimages.macys.com/is/image/MCY/21964836 ")</f>
        <v xml:space="preserve">http://slimages.macys.com/is/image/MCY/21964836 </v>
      </c>
    </row>
    <row r="268" spans="1:14" x14ac:dyDescent="0.25">
      <c r="A268" s="21" t="s">
        <v>20192</v>
      </c>
      <c r="B268" s="22" t="s">
        <v>20193</v>
      </c>
      <c r="C268" s="2">
        <v>1</v>
      </c>
      <c r="D268" s="23">
        <v>17.87</v>
      </c>
      <c r="E268" s="3">
        <v>17.87</v>
      </c>
      <c r="F268" s="2" t="s">
        <v>20173</v>
      </c>
      <c r="G268" s="22"/>
      <c r="H268" s="24" t="s">
        <v>19324</v>
      </c>
      <c r="I268" s="22" t="s">
        <v>19309</v>
      </c>
      <c r="J268" s="22" t="s">
        <v>19708</v>
      </c>
      <c r="K268" s="22" t="s">
        <v>19709</v>
      </c>
      <c r="L268" s="22"/>
      <c r="M268" s="22"/>
      <c r="N268" s="25" t="str">
        <f>HYPERLINK("http://slimages.macys.com/is/image/MCY/22405672 ")</f>
        <v xml:space="preserve">http://slimages.macys.com/is/image/MCY/22405672 </v>
      </c>
    </row>
    <row r="269" spans="1:14" x14ac:dyDescent="0.25">
      <c r="A269" s="21" t="s">
        <v>20194</v>
      </c>
      <c r="B269" s="22" t="s">
        <v>20195</v>
      </c>
      <c r="C269" s="2">
        <v>1</v>
      </c>
      <c r="D269" s="23">
        <v>17.64</v>
      </c>
      <c r="E269" s="3">
        <v>17.64</v>
      </c>
      <c r="F269" s="2" t="s">
        <v>20196</v>
      </c>
      <c r="G269" s="22" t="s">
        <v>19351</v>
      </c>
      <c r="H269" s="24" t="s">
        <v>19416</v>
      </c>
      <c r="I269" s="22" t="s">
        <v>19309</v>
      </c>
      <c r="J269" s="22" t="s">
        <v>19708</v>
      </c>
      <c r="K269" s="22" t="s">
        <v>19709</v>
      </c>
      <c r="L269" s="22"/>
      <c r="M269" s="22"/>
      <c r="N269" s="25" t="str">
        <f>HYPERLINK("http://slimages.macys.com/is/image/MCY/22406190 ")</f>
        <v xml:space="preserve">http://slimages.macys.com/is/image/MCY/22406190 </v>
      </c>
    </row>
    <row r="270" spans="1:14" ht="24.75" x14ac:dyDescent="0.25">
      <c r="A270" s="21" t="s">
        <v>20197</v>
      </c>
      <c r="B270" s="22" t="s">
        <v>20198</v>
      </c>
      <c r="C270" s="2">
        <v>1</v>
      </c>
      <c r="D270" s="23">
        <v>22.99</v>
      </c>
      <c r="E270" s="3">
        <v>22.99</v>
      </c>
      <c r="F270" s="2" t="s">
        <v>20199</v>
      </c>
      <c r="G270" s="22"/>
      <c r="H270" s="24" t="s">
        <v>19797</v>
      </c>
      <c r="I270" s="22" t="s">
        <v>19309</v>
      </c>
      <c r="J270" s="22" t="s">
        <v>19353</v>
      </c>
      <c r="K270" s="22" t="s">
        <v>19524</v>
      </c>
      <c r="L270" s="22"/>
      <c r="M270" s="22"/>
      <c r="N270" s="25" t="str">
        <f>HYPERLINK("http://slimages.macys.com/is/image/MCY/20440825 ")</f>
        <v xml:space="preserve">http://slimages.macys.com/is/image/MCY/20440825 </v>
      </c>
    </row>
    <row r="271" spans="1:14" x14ac:dyDescent="0.25">
      <c r="A271" s="21" t="s">
        <v>20200</v>
      </c>
      <c r="B271" s="22" t="s">
        <v>20201</v>
      </c>
      <c r="C271" s="2">
        <v>1</v>
      </c>
      <c r="D271" s="23">
        <v>13.77</v>
      </c>
      <c r="E271" s="3">
        <v>13.77</v>
      </c>
      <c r="F271" s="2" t="s">
        <v>20202</v>
      </c>
      <c r="G271" s="22"/>
      <c r="H271" s="24" t="s">
        <v>19770</v>
      </c>
      <c r="I271" s="22" t="s">
        <v>19309</v>
      </c>
      <c r="J271" s="22" t="s">
        <v>19708</v>
      </c>
      <c r="K271" s="22" t="s">
        <v>19709</v>
      </c>
      <c r="L271" s="22"/>
      <c r="M271" s="22"/>
      <c r="N271" s="25" t="str">
        <f>HYPERLINK("http://slimages.macys.com/is/image/MCY/19067056 ")</f>
        <v xml:space="preserve">http://slimages.macys.com/is/image/MCY/19067056 </v>
      </c>
    </row>
    <row r="272" spans="1:14" ht="24.75" x14ac:dyDescent="0.25">
      <c r="A272" s="21" t="s">
        <v>20203</v>
      </c>
      <c r="B272" s="22" t="s">
        <v>20204</v>
      </c>
      <c r="C272" s="2">
        <v>1</v>
      </c>
      <c r="D272" s="23">
        <v>13.77</v>
      </c>
      <c r="E272" s="3">
        <v>13.77</v>
      </c>
      <c r="F272" s="2" t="s">
        <v>20205</v>
      </c>
      <c r="G272" s="22"/>
      <c r="H272" s="24" t="s">
        <v>19330</v>
      </c>
      <c r="I272" s="22" t="s">
        <v>19309</v>
      </c>
      <c r="J272" s="22" t="s">
        <v>19708</v>
      </c>
      <c r="K272" s="22" t="s">
        <v>19709</v>
      </c>
      <c r="L272" s="22"/>
      <c r="M272" s="22"/>
      <c r="N272" s="25" t="str">
        <f>HYPERLINK("http://slimages.macys.com/is/image/MCY/21183992 ")</f>
        <v xml:space="preserve">http://slimages.macys.com/is/image/MCY/21183992 </v>
      </c>
    </row>
    <row r="273" spans="1:14" x14ac:dyDescent="0.25">
      <c r="A273" s="21" t="s">
        <v>20206</v>
      </c>
      <c r="B273" s="22" t="s">
        <v>20207</v>
      </c>
      <c r="C273" s="2">
        <v>1</v>
      </c>
      <c r="D273" s="23">
        <v>13.77</v>
      </c>
      <c r="E273" s="3">
        <v>13.77</v>
      </c>
      <c r="F273" s="2" t="s">
        <v>20205</v>
      </c>
      <c r="G273" s="22"/>
      <c r="H273" s="24" t="s">
        <v>19367</v>
      </c>
      <c r="I273" s="22" t="s">
        <v>19309</v>
      </c>
      <c r="J273" s="22" t="s">
        <v>19708</v>
      </c>
      <c r="K273" s="22" t="s">
        <v>19709</v>
      </c>
      <c r="L273" s="22"/>
      <c r="M273" s="22"/>
      <c r="N273" s="25" t="str">
        <f>HYPERLINK("http://slimages.macys.com/is/image/MCY/21183992 ")</f>
        <v xml:space="preserve">http://slimages.macys.com/is/image/MCY/21183992 </v>
      </c>
    </row>
    <row r="274" spans="1:14" x14ac:dyDescent="0.25">
      <c r="A274" s="21" t="s">
        <v>20208</v>
      </c>
      <c r="B274" s="22" t="s">
        <v>20209</v>
      </c>
      <c r="C274" s="2">
        <v>1</v>
      </c>
      <c r="D274" s="23">
        <v>17.29</v>
      </c>
      <c r="E274" s="3">
        <v>17.29</v>
      </c>
      <c r="F274" s="2" t="s">
        <v>20210</v>
      </c>
      <c r="G274" s="22"/>
      <c r="H274" s="24" t="s">
        <v>20159</v>
      </c>
      <c r="I274" s="22" t="s">
        <v>19309</v>
      </c>
      <c r="J274" s="22" t="s">
        <v>19708</v>
      </c>
      <c r="K274" s="22" t="s">
        <v>19709</v>
      </c>
      <c r="L274" s="22"/>
      <c r="M274" s="22"/>
      <c r="N274" s="25" t="str">
        <f>HYPERLINK("http://slimages.macys.com/is/image/MCY/20193085 ")</f>
        <v xml:space="preserve">http://slimages.macys.com/is/image/MCY/20193085 </v>
      </c>
    </row>
    <row r="275" spans="1:14" ht="24.75" x14ac:dyDescent="0.25">
      <c r="A275" s="21" t="s">
        <v>20211</v>
      </c>
      <c r="B275" s="22" t="s">
        <v>20212</v>
      </c>
      <c r="C275" s="2">
        <v>1</v>
      </c>
      <c r="D275" s="23">
        <v>16.989999999999998</v>
      </c>
      <c r="E275" s="3">
        <v>16.989999999999998</v>
      </c>
      <c r="F275" s="2" t="s">
        <v>20213</v>
      </c>
      <c r="G275" s="22" t="s">
        <v>19467</v>
      </c>
      <c r="H275" s="24" t="s">
        <v>19416</v>
      </c>
      <c r="I275" s="22" t="s">
        <v>19309</v>
      </c>
      <c r="J275" s="22" t="s">
        <v>19491</v>
      </c>
      <c r="K275" s="22" t="s">
        <v>20146</v>
      </c>
      <c r="L275" s="22"/>
      <c r="M275" s="22"/>
      <c r="N275" s="25" t="str">
        <f>HYPERLINK("http://slimages.macys.com/is/image/MCY/21260697 ")</f>
        <v xml:space="preserve">http://slimages.macys.com/is/image/MCY/21260697 </v>
      </c>
    </row>
    <row r="276" spans="1:14" x14ac:dyDescent="0.25">
      <c r="A276" s="21" t="s">
        <v>20214</v>
      </c>
      <c r="B276" s="22" t="s">
        <v>20215</v>
      </c>
      <c r="C276" s="2">
        <v>1</v>
      </c>
      <c r="D276" s="23">
        <v>13.99</v>
      </c>
      <c r="E276" s="3">
        <v>13.99</v>
      </c>
      <c r="F276" s="2" t="s">
        <v>20216</v>
      </c>
      <c r="G276" s="22" t="s">
        <v>19351</v>
      </c>
      <c r="H276" s="24" t="s">
        <v>19432</v>
      </c>
      <c r="I276" s="22" t="s">
        <v>19309</v>
      </c>
      <c r="J276" s="22" t="s">
        <v>19310</v>
      </c>
      <c r="K276" s="22" t="s">
        <v>19440</v>
      </c>
      <c r="L276" s="22"/>
      <c r="M276" s="22"/>
      <c r="N276" s="25" t="str">
        <f>HYPERLINK("http://slimages.macys.com/is/image/MCY/21267878 ")</f>
        <v xml:space="preserve">http://slimages.macys.com/is/image/MCY/21267878 </v>
      </c>
    </row>
    <row r="277" spans="1:14" x14ac:dyDescent="0.25">
      <c r="A277" s="21" t="s">
        <v>20217</v>
      </c>
      <c r="B277" s="22" t="s">
        <v>20218</v>
      </c>
      <c r="C277" s="2">
        <v>1</v>
      </c>
      <c r="D277" s="23">
        <v>22.99</v>
      </c>
      <c r="E277" s="3">
        <v>22.99</v>
      </c>
      <c r="F277" s="2" t="s">
        <v>20219</v>
      </c>
      <c r="G277" s="22" t="s">
        <v>19323</v>
      </c>
      <c r="H277" s="24" t="s">
        <v>19797</v>
      </c>
      <c r="I277" s="22" t="s">
        <v>19309</v>
      </c>
      <c r="J277" s="22" t="s">
        <v>19849</v>
      </c>
      <c r="K277" s="22" t="s">
        <v>20220</v>
      </c>
      <c r="L277" s="22"/>
      <c r="M277" s="22"/>
      <c r="N277" s="25" t="str">
        <f>HYPERLINK("http://slimages.macys.com/is/image/MCY/20008078 ")</f>
        <v xml:space="preserve">http://slimages.macys.com/is/image/MCY/20008078 </v>
      </c>
    </row>
    <row r="278" spans="1:14" x14ac:dyDescent="0.25">
      <c r="A278" s="21" t="s">
        <v>20221</v>
      </c>
      <c r="B278" s="22" t="s">
        <v>20222</v>
      </c>
      <c r="C278" s="2">
        <v>1</v>
      </c>
      <c r="D278" s="23">
        <v>15.99</v>
      </c>
      <c r="E278" s="3">
        <v>15.99</v>
      </c>
      <c r="F278" s="2" t="s">
        <v>20223</v>
      </c>
      <c r="G278" s="22" t="s">
        <v>19477</v>
      </c>
      <c r="H278" s="24" t="s">
        <v>19361</v>
      </c>
      <c r="I278" s="22" t="s">
        <v>19309</v>
      </c>
      <c r="J278" s="22" t="s">
        <v>19849</v>
      </c>
      <c r="K278" s="22" t="s">
        <v>19850</v>
      </c>
      <c r="L278" s="22"/>
      <c r="M278" s="22"/>
      <c r="N278" s="25" t="str">
        <f>HYPERLINK("http://slimages.macys.com/is/image/MCY/1488068 ")</f>
        <v xml:space="preserve">http://slimages.macys.com/is/image/MCY/1488068 </v>
      </c>
    </row>
    <row r="279" spans="1:14" ht="36.75" x14ac:dyDescent="0.25">
      <c r="A279" s="21" t="s">
        <v>20224</v>
      </c>
      <c r="B279" s="22" t="s">
        <v>20225</v>
      </c>
      <c r="C279" s="2">
        <v>1</v>
      </c>
      <c r="D279" s="23">
        <v>16.989999999999998</v>
      </c>
      <c r="E279" s="3">
        <v>16.989999999999998</v>
      </c>
      <c r="F279" s="2" t="s">
        <v>20226</v>
      </c>
      <c r="G279" s="22" t="s">
        <v>19315</v>
      </c>
      <c r="H279" s="24" t="s">
        <v>20227</v>
      </c>
      <c r="I279" s="22" t="s">
        <v>19309</v>
      </c>
      <c r="J279" s="22" t="s">
        <v>19573</v>
      </c>
      <c r="K279" s="22" t="s">
        <v>20228</v>
      </c>
      <c r="L279" s="22" t="s">
        <v>19319</v>
      </c>
      <c r="M279" s="22" t="s">
        <v>20229</v>
      </c>
      <c r="N279" s="25" t="str">
        <f>HYPERLINK("http://slimages.macys.com/is/image/MCY/8256826 ")</f>
        <v xml:space="preserve">http://slimages.macys.com/is/image/MCY/8256826 </v>
      </c>
    </row>
    <row r="280" spans="1:14" ht="36.75" x14ac:dyDescent="0.25">
      <c r="A280" s="21" t="s">
        <v>20230</v>
      </c>
      <c r="B280" s="22" t="s">
        <v>20231</v>
      </c>
      <c r="C280" s="2">
        <v>1</v>
      </c>
      <c r="D280" s="23">
        <v>16.989999999999998</v>
      </c>
      <c r="E280" s="3">
        <v>16.989999999999998</v>
      </c>
      <c r="F280" s="2" t="s">
        <v>20226</v>
      </c>
      <c r="G280" s="22" t="s">
        <v>19315</v>
      </c>
      <c r="H280" s="24" t="s">
        <v>20232</v>
      </c>
      <c r="I280" s="22" t="s">
        <v>19309</v>
      </c>
      <c r="J280" s="22" t="s">
        <v>19573</v>
      </c>
      <c r="K280" s="22" t="s">
        <v>20228</v>
      </c>
      <c r="L280" s="22" t="s">
        <v>19319</v>
      </c>
      <c r="M280" s="22" t="s">
        <v>20229</v>
      </c>
      <c r="N280" s="25" t="str">
        <f>HYPERLINK("http://slimages.macys.com/is/image/MCY/8256826 ")</f>
        <v xml:space="preserve">http://slimages.macys.com/is/image/MCY/8256826 </v>
      </c>
    </row>
    <row r="281" spans="1:14" ht="24.75" x14ac:dyDescent="0.25">
      <c r="A281" s="21" t="s">
        <v>20233</v>
      </c>
      <c r="B281" s="22" t="s">
        <v>20234</v>
      </c>
      <c r="C281" s="2">
        <v>1</v>
      </c>
      <c r="D281" s="23">
        <v>16.989999999999998</v>
      </c>
      <c r="E281" s="3">
        <v>16.989999999999998</v>
      </c>
      <c r="F281" s="2">
        <v>42091</v>
      </c>
      <c r="G281" s="22" t="s">
        <v>19333</v>
      </c>
      <c r="H281" s="24" t="s">
        <v>20227</v>
      </c>
      <c r="I281" s="22" t="s">
        <v>19309</v>
      </c>
      <c r="J281" s="22" t="s">
        <v>19573</v>
      </c>
      <c r="K281" s="22" t="s">
        <v>20228</v>
      </c>
      <c r="L281" s="22" t="s">
        <v>19319</v>
      </c>
      <c r="M281" s="22" t="s">
        <v>20235</v>
      </c>
      <c r="N281" s="25" t="str">
        <f>HYPERLINK("http://slimages.macys.com/is/image/MCY/2796035 ")</f>
        <v xml:space="preserve">http://slimages.macys.com/is/image/MCY/2796035 </v>
      </c>
    </row>
    <row r="282" spans="1:14" ht="24.75" x14ac:dyDescent="0.25">
      <c r="A282" s="21" t="s">
        <v>20236</v>
      </c>
      <c r="B282" s="22" t="s">
        <v>20237</v>
      </c>
      <c r="C282" s="2">
        <v>1</v>
      </c>
      <c r="D282" s="23">
        <v>16.989999999999998</v>
      </c>
      <c r="E282" s="3">
        <v>16.989999999999998</v>
      </c>
      <c r="F282" s="2" t="s">
        <v>20238</v>
      </c>
      <c r="G282" s="22" t="s">
        <v>19431</v>
      </c>
      <c r="H282" s="24" t="s">
        <v>19538</v>
      </c>
      <c r="I282" s="22" t="s">
        <v>19309</v>
      </c>
      <c r="J282" s="22" t="s">
        <v>19573</v>
      </c>
      <c r="K282" s="22" t="s">
        <v>19574</v>
      </c>
      <c r="L282" s="22"/>
      <c r="M282" s="22"/>
      <c r="N282" s="25" t="str">
        <f>HYPERLINK("http://slimages.macys.com/is/image/MCY/1806359 ")</f>
        <v xml:space="preserve">http://slimages.macys.com/is/image/MCY/1806359 </v>
      </c>
    </row>
    <row r="283" spans="1:14" x14ac:dyDescent="0.25">
      <c r="A283" s="21" t="s">
        <v>20239</v>
      </c>
      <c r="B283" s="22" t="s">
        <v>20240</v>
      </c>
      <c r="C283" s="2">
        <v>1</v>
      </c>
      <c r="D283" s="23">
        <v>16.72</v>
      </c>
      <c r="E283" s="3">
        <v>16.72</v>
      </c>
      <c r="F283" s="2" t="s">
        <v>20241</v>
      </c>
      <c r="G283" s="22"/>
      <c r="H283" s="24" t="s">
        <v>19367</v>
      </c>
      <c r="I283" s="22" t="s">
        <v>19309</v>
      </c>
      <c r="J283" s="22" t="s">
        <v>19708</v>
      </c>
      <c r="K283" s="22" t="s">
        <v>19709</v>
      </c>
      <c r="L283" s="22"/>
      <c r="M283" s="22"/>
      <c r="N283" s="25" t="str">
        <f>HYPERLINK("http://slimages.macys.com/is/image/MCY/21414678 ")</f>
        <v xml:space="preserve">http://slimages.macys.com/is/image/MCY/21414678 </v>
      </c>
    </row>
    <row r="284" spans="1:14" ht="24.75" x14ac:dyDescent="0.25">
      <c r="A284" s="21" t="s">
        <v>20242</v>
      </c>
      <c r="B284" s="22" t="s">
        <v>20243</v>
      </c>
      <c r="C284" s="2">
        <v>2</v>
      </c>
      <c r="D284" s="23">
        <v>18.989999999999998</v>
      </c>
      <c r="E284" s="3">
        <v>37.979999999999997</v>
      </c>
      <c r="F284" s="2" t="s">
        <v>20244</v>
      </c>
      <c r="G284" s="22" t="s">
        <v>19323</v>
      </c>
      <c r="H284" s="24" t="s">
        <v>19377</v>
      </c>
      <c r="I284" s="22" t="s">
        <v>19309</v>
      </c>
      <c r="J284" s="22" t="s">
        <v>19908</v>
      </c>
      <c r="K284" s="22" t="s">
        <v>19524</v>
      </c>
      <c r="L284" s="22"/>
      <c r="M284" s="22"/>
      <c r="N284" s="25" t="str">
        <f>HYPERLINK("http://slimages.macys.com/is/image/MCY/21569915 ")</f>
        <v xml:space="preserve">http://slimages.macys.com/is/image/MCY/21569915 </v>
      </c>
    </row>
    <row r="285" spans="1:14" ht="24.75" x14ac:dyDescent="0.25">
      <c r="A285" s="21" t="s">
        <v>20245</v>
      </c>
      <c r="B285" s="22" t="s">
        <v>20246</v>
      </c>
      <c r="C285" s="2">
        <v>1</v>
      </c>
      <c r="D285" s="23">
        <v>18.989999999999998</v>
      </c>
      <c r="E285" s="3">
        <v>18.989999999999998</v>
      </c>
      <c r="F285" s="2" t="s">
        <v>20244</v>
      </c>
      <c r="G285" s="22" t="s">
        <v>19323</v>
      </c>
      <c r="H285" s="24" t="s">
        <v>19361</v>
      </c>
      <c r="I285" s="22" t="s">
        <v>19309</v>
      </c>
      <c r="J285" s="22" t="s">
        <v>19908</v>
      </c>
      <c r="K285" s="22" t="s">
        <v>19524</v>
      </c>
      <c r="L285" s="22"/>
      <c r="M285" s="22"/>
      <c r="N285" s="25" t="str">
        <f>HYPERLINK("http://slimages.macys.com/is/image/MCY/1308431 ")</f>
        <v xml:space="preserve">http://slimages.macys.com/is/image/MCY/1308431 </v>
      </c>
    </row>
    <row r="286" spans="1:14" ht="24.75" x14ac:dyDescent="0.25">
      <c r="A286" s="21" t="s">
        <v>20247</v>
      </c>
      <c r="B286" s="22" t="s">
        <v>20248</v>
      </c>
      <c r="C286" s="2">
        <v>2</v>
      </c>
      <c r="D286" s="23">
        <v>12.99</v>
      </c>
      <c r="E286" s="3">
        <v>25.98</v>
      </c>
      <c r="F286" s="2" t="s">
        <v>20249</v>
      </c>
      <c r="G286" s="22" t="s">
        <v>19338</v>
      </c>
      <c r="H286" s="24"/>
      <c r="I286" s="22" t="s">
        <v>19309</v>
      </c>
      <c r="J286" s="22" t="s">
        <v>20076</v>
      </c>
      <c r="K286" s="22" t="s">
        <v>20250</v>
      </c>
      <c r="L286" s="22" t="s">
        <v>19319</v>
      </c>
      <c r="M286" s="22" t="s">
        <v>20251</v>
      </c>
      <c r="N286" s="25" t="str">
        <f>HYPERLINK("http://slimages.macys.com/is/image/MCY/9336625 ")</f>
        <v xml:space="preserve">http://slimages.macys.com/is/image/MCY/9336625 </v>
      </c>
    </row>
    <row r="287" spans="1:14" ht="24.75" x14ac:dyDescent="0.25">
      <c r="A287" s="21" t="s">
        <v>20252</v>
      </c>
      <c r="B287" s="22" t="s">
        <v>20253</v>
      </c>
      <c r="C287" s="2">
        <v>2</v>
      </c>
      <c r="D287" s="23">
        <v>12.99</v>
      </c>
      <c r="E287" s="3">
        <v>25.98</v>
      </c>
      <c r="F287" s="2" t="s">
        <v>20249</v>
      </c>
      <c r="G287" s="22" t="s">
        <v>19338</v>
      </c>
      <c r="H287" s="24"/>
      <c r="I287" s="22" t="s">
        <v>19309</v>
      </c>
      <c r="J287" s="22" t="s">
        <v>20076</v>
      </c>
      <c r="K287" s="22" t="s">
        <v>20250</v>
      </c>
      <c r="L287" s="22" t="s">
        <v>19319</v>
      </c>
      <c r="M287" s="22" t="s">
        <v>20251</v>
      </c>
      <c r="N287" s="25" t="str">
        <f>HYPERLINK("http://slimages.macys.com/is/image/MCY/9336625 ")</f>
        <v xml:space="preserve">http://slimages.macys.com/is/image/MCY/9336625 </v>
      </c>
    </row>
    <row r="288" spans="1:14" ht="24.75" x14ac:dyDescent="0.25">
      <c r="A288" s="21" t="s">
        <v>20254</v>
      </c>
      <c r="B288" s="22" t="s">
        <v>20255</v>
      </c>
      <c r="C288" s="2">
        <v>1</v>
      </c>
      <c r="D288" s="23">
        <v>11.99</v>
      </c>
      <c r="E288" s="3">
        <v>11.99</v>
      </c>
      <c r="F288" s="2">
        <v>100007424</v>
      </c>
      <c r="G288" s="22" t="s">
        <v>19338</v>
      </c>
      <c r="H288" s="24" t="s">
        <v>19384</v>
      </c>
      <c r="I288" s="22" t="s">
        <v>19309</v>
      </c>
      <c r="J288" s="22" t="s">
        <v>19573</v>
      </c>
      <c r="K288" s="22" t="s">
        <v>20256</v>
      </c>
      <c r="L288" s="22" t="s">
        <v>19319</v>
      </c>
      <c r="M288" s="22" t="s">
        <v>20257</v>
      </c>
      <c r="N288" s="25" t="str">
        <f>HYPERLINK("http://slimages.macys.com/is/image/MCY/9157892 ")</f>
        <v xml:space="preserve">http://slimages.macys.com/is/image/MCY/9157892 </v>
      </c>
    </row>
    <row r="289" spans="1:14" ht="24.75" x14ac:dyDescent="0.25">
      <c r="A289" s="21" t="s">
        <v>20258</v>
      </c>
      <c r="B289" s="22" t="s">
        <v>20259</v>
      </c>
      <c r="C289" s="2">
        <v>1</v>
      </c>
      <c r="D289" s="23">
        <v>11.99</v>
      </c>
      <c r="E289" s="3">
        <v>11.99</v>
      </c>
      <c r="F289" s="2">
        <v>100007424</v>
      </c>
      <c r="G289" s="22" t="s">
        <v>19338</v>
      </c>
      <c r="H289" s="24"/>
      <c r="I289" s="22" t="s">
        <v>19309</v>
      </c>
      <c r="J289" s="22" t="s">
        <v>19573</v>
      </c>
      <c r="K289" s="22" t="s">
        <v>20256</v>
      </c>
      <c r="L289" s="22" t="s">
        <v>19319</v>
      </c>
      <c r="M289" s="22" t="s">
        <v>20257</v>
      </c>
      <c r="N289" s="25" t="str">
        <f>HYPERLINK("http://slimages.macys.com/is/image/MCY/9157892 ")</f>
        <v xml:space="preserve">http://slimages.macys.com/is/image/MCY/9157892 </v>
      </c>
    </row>
    <row r="290" spans="1:14" x14ac:dyDescent="0.25">
      <c r="A290" s="21" t="s">
        <v>20260</v>
      </c>
      <c r="B290" s="22" t="s">
        <v>20261</v>
      </c>
      <c r="C290" s="2">
        <v>1</v>
      </c>
      <c r="D290" s="23">
        <v>16.989999999999998</v>
      </c>
      <c r="E290" s="3">
        <v>16.989999999999998</v>
      </c>
      <c r="F290" s="2" t="s">
        <v>20262</v>
      </c>
      <c r="G290" s="22" t="s">
        <v>19351</v>
      </c>
      <c r="H290" s="24" t="s">
        <v>19352</v>
      </c>
      <c r="I290" s="22" t="s">
        <v>19309</v>
      </c>
      <c r="J290" s="22" t="s">
        <v>19849</v>
      </c>
      <c r="K290" s="22" t="s">
        <v>19850</v>
      </c>
      <c r="L290" s="22"/>
      <c r="M290" s="22"/>
      <c r="N290" s="25" t="str">
        <f>HYPERLINK("http://slimages.macys.com/is/image/MCY/21270467 ")</f>
        <v xml:space="preserve">http://slimages.macys.com/is/image/MCY/21270467 </v>
      </c>
    </row>
    <row r="291" spans="1:14" x14ac:dyDescent="0.25">
      <c r="A291" s="21" t="s">
        <v>20263</v>
      </c>
      <c r="B291" s="22" t="s">
        <v>20264</v>
      </c>
      <c r="C291" s="2">
        <v>1</v>
      </c>
      <c r="D291" s="23">
        <v>16.989999999999998</v>
      </c>
      <c r="E291" s="3">
        <v>16.989999999999998</v>
      </c>
      <c r="F291" s="2" t="s">
        <v>20265</v>
      </c>
      <c r="G291" s="22" t="s">
        <v>19670</v>
      </c>
      <c r="H291" s="24" t="s">
        <v>19339</v>
      </c>
      <c r="I291" s="22" t="s">
        <v>19309</v>
      </c>
      <c r="J291" s="22" t="s">
        <v>19849</v>
      </c>
      <c r="K291" s="22" t="s">
        <v>19850</v>
      </c>
      <c r="L291" s="22"/>
      <c r="M291" s="22"/>
      <c r="N291" s="25" t="str">
        <f>HYPERLINK("http://slimages.macys.com/is/image/MCY/21270486 ")</f>
        <v xml:space="preserve">http://slimages.macys.com/is/image/MCY/21270486 </v>
      </c>
    </row>
    <row r="292" spans="1:14" ht="24.75" x14ac:dyDescent="0.25">
      <c r="A292" s="21" t="s">
        <v>20266</v>
      </c>
      <c r="B292" s="22" t="s">
        <v>20267</v>
      </c>
      <c r="C292" s="2">
        <v>2</v>
      </c>
      <c r="D292" s="23">
        <v>11.99</v>
      </c>
      <c r="E292" s="3">
        <v>23.98</v>
      </c>
      <c r="F292" s="2">
        <v>100007424</v>
      </c>
      <c r="G292" s="22" t="s">
        <v>19338</v>
      </c>
      <c r="H292" s="24" t="s">
        <v>19538</v>
      </c>
      <c r="I292" s="22" t="s">
        <v>19309</v>
      </c>
      <c r="J292" s="22" t="s">
        <v>19573</v>
      </c>
      <c r="K292" s="22" t="s">
        <v>20256</v>
      </c>
      <c r="L292" s="22" t="s">
        <v>19319</v>
      </c>
      <c r="M292" s="22" t="s">
        <v>20257</v>
      </c>
      <c r="N292" s="25" t="str">
        <f>HYPERLINK("http://slimages.macys.com/is/image/MCY/9157892 ")</f>
        <v xml:space="preserve">http://slimages.macys.com/is/image/MCY/9157892 </v>
      </c>
    </row>
    <row r="293" spans="1:14" x14ac:dyDescent="0.25">
      <c r="A293" s="21" t="s">
        <v>20268</v>
      </c>
      <c r="B293" s="22" t="s">
        <v>20269</v>
      </c>
      <c r="C293" s="2">
        <v>1</v>
      </c>
      <c r="D293" s="23">
        <v>21.99</v>
      </c>
      <c r="E293" s="3">
        <v>21.99</v>
      </c>
      <c r="F293" s="2" t="s">
        <v>20270</v>
      </c>
      <c r="G293" s="22" t="s">
        <v>19467</v>
      </c>
      <c r="H293" s="24" t="s">
        <v>19797</v>
      </c>
      <c r="I293" s="22" t="s">
        <v>19309</v>
      </c>
      <c r="J293" s="22" t="s">
        <v>19849</v>
      </c>
      <c r="K293" s="22" t="s">
        <v>19850</v>
      </c>
      <c r="L293" s="22"/>
      <c r="M293" s="22"/>
      <c r="N293" s="25" t="str">
        <f>HYPERLINK("http://slimages.macys.com/is/image/MCY/20786240 ")</f>
        <v xml:space="preserve">http://slimages.macys.com/is/image/MCY/20786240 </v>
      </c>
    </row>
    <row r="294" spans="1:14" ht="24.75" x14ac:dyDescent="0.25">
      <c r="A294" s="21" t="s">
        <v>20271</v>
      </c>
      <c r="B294" s="22" t="s">
        <v>20272</v>
      </c>
      <c r="C294" s="2">
        <v>1</v>
      </c>
      <c r="D294" s="23">
        <v>12.99</v>
      </c>
      <c r="E294" s="3">
        <v>12.99</v>
      </c>
      <c r="F294" s="2" t="s">
        <v>20273</v>
      </c>
      <c r="G294" s="22" t="s">
        <v>19763</v>
      </c>
      <c r="H294" s="24"/>
      <c r="I294" s="22" t="s">
        <v>19309</v>
      </c>
      <c r="J294" s="22" t="s">
        <v>20076</v>
      </c>
      <c r="K294" s="22" t="s">
        <v>20250</v>
      </c>
      <c r="L294" s="22" t="s">
        <v>19319</v>
      </c>
      <c r="M294" s="22" t="s">
        <v>20251</v>
      </c>
      <c r="N294" s="25" t="str">
        <f>HYPERLINK("http://slimages.macys.com/is/image/MCY/9336742 ")</f>
        <v xml:space="preserve">http://slimages.macys.com/is/image/MCY/9336742 </v>
      </c>
    </row>
    <row r="295" spans="1:14" ht="24.75" x14ac:dyDescent="0.25">
      <c r="A295" s="21" t="s">
        <v>20274</v>
      </c>
      <c r="B295" s="22" t="s">
        <v>20275</v>
      </c>
      <c r="C295" s="2">
        <v>1</v>
      </c>
      <c r="D295" s="23">
        <v>12.99</v>
      </c>
      <c r="E295" s="3">
        <v>12.99</v>
      </c>
      <c r="F295" s="2" t="s">
        <v>20273</v>
      </c>
      <c r="G295" s="22" t="s">
        <v>19763</v>
      </c>
      <c r="H295" s="24"/>
      <c r="I295" s="22" t="s">
        <v>19309</v>
      </c>
      <c r="J295" s="22" t="s">
        <v>20076</v>
      </c>
      <c r="K295" s="22" t="s">
        <v>20250</v>
      </c>
      <c r="L295" s="22" t="s">
        <v>19319</v>
      </c>
      <c r="M295" s="22" t="s">
        <v>20251</v>
      </c>
      <c r="N295" s="25" t="str">
        <f>HYPERLINK("http://slimages.macys.com/is/image/MCY/9336742 ")</f>
        <v xml:space="preserve">http://slimages.macys.com/is/image/MCY/9336742 </v>
      </c>
    </row>
    <row r="296" spans="1:14" ht="24.75" x14ac:dyDescent="0.25">
      <c r="A296" s="21" t="s">
        <v>20276</v>
      </c>
      <c r="B296" s="22" t="s">
        <v>20277</v>
      </c>
      <c r="C296" s="2">
        <v>1</v>
      </c>
      <c r="D296" s="23">
        <v>12.99</v>
      </c>
      <c r="E296" s="3">
        <v>12.99</v>
      </c>
      <c r="F296" s="2" t="s">
        <v>20273</v>
      </c>
      <c r="G296" s="22" t="s">
        <v>19763</v>
      </c>
      <c r="H296" s="24"/>
      <c r="I296" s="22" t="s">
        <v>19309</v>
      </c>
      <c r="J296" s="22" t="s">
        <v>20076</v>
      </c>
      <c r="K296" s="22" t="s">
        <v>20250</v>
      </c>
      <c r="L296" s="22" t="s">
        <v>19319</v>
      </c>
      <c r="M296" s="22" t="s">
        <v>20251</v>
      </c>
      <c r="N296" s="25" t="str">
        <f>HYPERLINK("http://slimages.macys.com/is/image/MCY/9336742 ")</f>
        <v xml:space="preserve">http://slimages.macys.com/is/image/MCY/9336742 </v>
      </c>
    </row>
    <row r="297" spans="1:14" x14ac:dyDescent="0.25">
      <c r="A297" s="21" t="s">
        <v>20278</v>
      </c>
      <c r="B297" s="22" t="s">
        <v>20279</v>
      </c>
      <c r="C297" s="2">
        <v>1</v>
      </c>
      <c r="D297" s="23">
        <v>13.99</v>
      </c>
      <c r="E297" s="3">
        <v>13.99</v>
      </c>
      <c r="F297" s="2" t="s">
        <v>20280</v>
      </c>
      <c r="G297" s="22" t="s">
        <v>19404</v>
      </c>
      <c r="H297" s="24" t="s">
        <v>19542</v>
      </c>
      <c r="I297" s="22" t="s">
        <v>19309</v>
      </c>
      <c r="J297" s="22" t="s">
        <v>19310</v>
      </c>
      <c r="K297" s="22" t="s">
        <v>19433</v>
      </c>
      <c r="L297" s="22"/>
      <c r="M297" s="22"/>
      <c r="N297" s="25" t="str">
        <f>HYPERLINK("http://slimages.macys.com/is/image/MCY/21964852 ")</f>
        <v xml:space="preserve">http://slimages.macys.com/is/image/MCY/21964852 </v>
      </c>
    </row>
    <row r="298" spans="1:14" x14ac:dyDescent="0.25">
      <c r="A298" s="21" t="s">
        <v>20281</v>
      </c>
      <c r="B298" s="22" t="s">
        <v>20282</v>
      </c>
      <c r="C298" s="2">
        <v>1</v>
      </c>
      <c r="D298" s="23">
        <v>13.99</v>
      </c>
      <c r="E298" s="3">
        <v>13.99</v>
      </c>
      <c r="F298" s="2" t="s">
        <v>20280</v>
      </c>
      <c r="G298" s="22" t="s">
        <v>19404</v>
      </c>
      <c r="H298" s="24" t="s">
        <v>19395</v>
      </c>
      <c r="I298" s="22" t="s">
        <v>19309</v>
      </c>
      <c r="J298" s="22" t="s">
        <v>19310</v>
      </c>
      <c r="K298" s="22" t="s">
        <v>19433</v>
      </c>
      <c r="L298" s="22"/>
      <c r="M298" s="22"/>
      <c r="N298" s="25" t="str">
        <f>HYPERLINK("http://slimages.macys.com/is/image/MCY/21964852 ")</f>
        <v xml:space="preserve">http://slimages.macys.com/is/image/MCY/21964852 </v>
      </c>
    </row>
    <row r="299" spans="1:14" x14ac:dyDescent="0.25">
      <c r="A299" s="21" t="s">
        <v>20283</v>
      </c>
      <c r="B299" s="22" t="s">
        <v>20284</v>
      </c>
      <c r="C299" s="2">
        <v>1</v>
      </c>
      <c r="D299" s="23">
        <v>13.99</v>
      </c>
      <c r="E299" s="3">
        <v>13.99</v>
      </c>
      <c r="F299" s="2" t="s">
        <v>20285</v>
      </c>
      <c r="G299" s="22" t="s">
        <v>19307</v>
      </c>
      <c r="H299" s="24" t="s">
        <v>19395</v>
      </c>
      <c r="I299" s="22" t="s">
        <v>19309</v>
      </c>
      <c r="J299" s="22" t="s">
        <v>19310</v>
      </c>
      <c r="K299" s="22" t="s">
        <v>19433</v>
      </c>
      <c r="L299" s="22"/>
      <c r="M299" s="22"/>
      <c r="N299" s="25" t="str">
        <f>HYPERLINK("http://slimages.macys.com/is/image/MCY/22214406 ")</f>
        <v xml:space="preserve">http://slimages.macys.com/is/image/MCY/22214406 </v>
      </c>
    </row>
    <row r="300" spans="1:14" ht="24.75" x14ac:dyDescent="0.25">
      <c r="A300" s="21" t="s">
        <v>20286</v>
      </c>
      <c r="B300" s="22" t="s">
        <v>20287</v>
      </c>
      <c r="C300" s="2">
        <v>1</v>
      </c>
      <c r="D300" s="23">
        <v>15.99</v>
      </c>
      <c r="E300" s="3">
        <v>15.99</v>
      </c>
      <c r="F300" s="2" t="s">
        <v>20288</v>
      </c>
      <c r="G300" s="22" t="s">
        <v>19618</v>
      </c>
      <c r="H300" s="24" t="s">
        <v>20089</v>
      </c>
      <c r="I300" s="22" t="s">
        <v>19309</v>
      </c>
      <c r="J300" s="22" t="s">
        <v>19573</v>
      </c>
      <c r="K300" s="22" t="s">
        <v>19574</v>
      </c>
      <c r="L300" s="22"/>
      <c r="M300" s="22"/>
      <c r="N300" s="25" t="str">
        <f>HYPERLINK("http://slimages.macys.com/is/image/MCY/1554876 ")</f>
        <v xml:space="preserve">http://slimages.macys.com/is/image/MCY/1554876 </v>
      </c>
    </row>
    <row r="301" spans="1:14" ht="24.75" x14ac:dyDescent="0.25">
      <c r="A301" s="21" t="s">
        <v>20289</v>
      </c>
      <c r="B301" s="22" t="s">
        <v>20290</v>
      </c>
      <c r="C301" s="2">
        <v>2</v>
      </c>
      <c r="D301" s="23">
        <v>11.99</v>
      </c>
      <c r="E301" s="3">
        <v>23.98</v>
      </c>
      <c r="F301" s="2" t="s">
        <v>20291</v>
      </c>
      <c r="G301" s="22" t="s">
        <v>19357</v>
      </c>
      <c r="H301" s="24" t="s">
        <v>19538</v>
      </c>
      <c r="I301" s="22" t="s">
        <v>19309</v>
      </c>
      <c r="J301" s="22" t="s">
        <v>19573</v>
      </c>
      <c r="K301" s="22" t="s">
        <v>20256</v>
      </c>
      <c r="L301" s="22" t="s">
        <v>19319</v>
      </c>
      <c r="M301" s="22" t="s">
        <v>19358</v>
      </c>
      <c r="N301" s="25" t="str">
        <f>HYPERLINK("http://slimages.macys.com/is/image/MCY/8018016 ")</f>
        <v xml:space="preserve">http://slimages.macys.com/is/image/MCY/8018016 </v>
      </c>
    </row>
    <row r="302" spans="1:14" ht="24.75" x14ac:dyDescent="0.25">
      <c r="A302" s="21" t="s">
        <v>20292</v>
      </c>
      <c r="B302" s="22" t="s">
        <v>20293</v>
      </c>
      <c r="C302" s="2">
        <v>1</v>
      </c>
      <c r="D302" s="23">
        <v>17.989999999999998</v>
      </c>
      <c r="E302" s="3">
        <v>17.989999999999998</v>
      </c>
      <c r="F302" s="2" t="s">
        <v>20294</v>
      </c>
      <c r="G302" s="22" t="s">
        <v>19315</v>
      </c>
      <c r="H302" s="24" t="s">
        <v>19339</v>
      </c>
      <c r="I302" s="22" t="s">
        <v>19309</v>
      </c>
      <c r="J302" s="22" t="s">
        <v>19595</v>
      </c>
      <c r="K302" s="22" t="s">
        <v>19423</v>
      </c>
      <c r="L302" s="22"/>
      <c r="M302" s="22"/>
      <c r="N302" s="25" t="str">
        <f>HYPERLINK("http://slimages.macys.com/is/image/MCY/21398482 ")</f>
        <v xml:space="preserve">http://slimages.macys.com/is/image/MCY/21398482 </v>
      </c>
    </row>
    <row r="303" spans="1:14" ht="36.75" x14ac:dyDescent="0.25">
      <c r="A303" s="21" t="s">
        <v>20295</v>
      </c>
      <c r="B303" s="22" t="s">
        <v>20296</v>
      </c>
      <c r="C303" s="2">
        <v>1</v>
      </c>
      <c r="D303" s="23">
        <v>14.99</v>
      </c>
      <c r="E303" s="3">
        <v>14.99</v>
      </c>
      <c r="F303" s="2" t="s">
        <v>20297</v>
      </c>
      <c r="G303" s="22" t="s">
        <v>19674</v>
      </c>
      <c r="H303" s="24" t="s">
        <v>19538</v>
      </c>
      <c r="I303" s="22" t="s">
        <v>19309</v>
      </c>
      <c r="J303" s="22" t="s">
        <v>19573</v>
      </c>
      <c r="K303" s="22" t="s">
        <v>20256</v>
      </c>
      <c r="L303" s="22" t="s">
        <v>19319</v>
      </c>
      <c r="M303" s="22" t="s">
        <v>20298</v>
      </c>
      <c r="N303" s="25" t="str">
        <f>HYPERLINK("http://slimages.macys.com/is/image/MCY/3931290 ")</f>
        <v xml:space="preserve">http://slimages.macys.com/is/image/MCY/3931290 </v>
      </c>
    </row>
    <row r="304" spans="1:14" ht="24.75" x14ac:dyDescent="0.25">
      <c r="A304" s="21" t="s">
        <v>20299</v>
      </c>
      <c r="B304" s="22" t="s">
        <v>20300</v>
      </c>
      <c r="C304" s="2">
        <v>1</v>
      </c>
      <c r="D304" s="23">
        <v>14.99</v>
      </c>
      <c r="E304" s="3">
        <v>14.99</v>
      </c>
      <c r="F304" s="2" t="s">
        <v>20301</v>
      </c>
      <c r="G304" s="22" t="s">
        <v>19351</v>
      </c>
      <c r="H304" s="24" t="s">
        <v>19538</v>
      </c>
      <c r="I304" s="22" t="s">
        <v>19309</v>
      </c>
      <c r="J304" s="22" t="s">
        <v>19573</v>
      </c>
      <c r="K304" s="22" t="s">
        <v>20256</v>
      </c>
      <c r="L304" s="22" t="s">
        <v>19319</v>
      </c>
      <c r="M304" s="22" t="s">
        <v>20302</v>
      </c>
      <c r="N304" s="25" t="str">
        <f>HYPERLINK("http://slimages.macys.com/is/image/MCY/8484392 ")</f>
        <v xml:space="preserve">http://slimages.macys.com/is/image/MCY/8484392 </v>
      </c>
    </row>
    <row r="305" spans="1:14" ht="24.75" x14ac:dyDescent="0.25">
      <c r="A305" s="21" t="s">
        <v>20303</v>
      </c>
      <c r="B305" s="22" t="s">
        <v>20304</v>
      </c>
      <c r="C305" s="2">
        <v>1</v>
      </c>
      <c r="D305" s="23">
        <v>10.99</v>
      </c>
      <c r="E305" s="3">
        <v>10.99</v>
      </c>
      <c r="F305" s="2" t="s">
        <v>20305</v>
      </c>
      <c r="G305" s="22" t="s">
        <v>20306</v>
      </c>
      <c r="H305" s="24" t="s">
        <v>19352</v>
      </c>
      <c r="I305" s="22" t="s">
        <v>19309</v>
      </c>
      <c r="J305" s="22" t="s">
        <v>19447</v>
      </c>
      <c r="K305" s="22" t="s">
        <v>19873</v>
      </c>
      <c r="L305" s="22"/>
      <c r="M305" s="22"/>
      <c r="N305" s="25" t="str">
        <f>HYPERLINK("http://slimages.macys.com/is/image/MCY/21279964 ")</f>
        <v xml:space="preserve">http://slimages.macys.com/is/image/MCY/21279964 </v>
      </c>
    </row>
    <row r="306" spans="1:14" ht="24.75" x14ac:dyDescent="0.25">
      <c r="A306" s="21" t="s">
        <v>20307</v>
      </c>
      <c r="B306" s="22" t="s">
        <v>20308</v>
      </c>
      <c r="C306" s="2">
        <v>1</v>
      </c>
      <c r="D306" s="23">
        <v>10.99</v>
      </c>
      <c r="E306" s="3">
        <v>10.99</v>
      </c>
      <c r="F306" s="2" t="s">
        <v>20305</v>
      </c>
      <c r="G306" s="22" t="s">
        <v>20306</v>
      </c>
      <c r="H306" s="24" t="s">
        <v>19797</v>
      </c>
      <c r="I306" s="22" t="s">
        <v>19309</v>
      </c>
      <c r="J306" s="22" t="s">
        <v>19447</v>
      </c>
      <c r="K306" s="22" t="s">
        <v>19873</v>
      </c>
      <c r="L306" s="22"/>
      <c r="M306" s="22"/>
      <c r="N306" s="25" t="str">
        <f>HYPERLINK("http://slimages.macys.com/is/image/MCY/21279964 ")</f>
        <v xml:space="preserve">http://slimages.macys.com/is/image/MCY/21279964 </v>
      </c>
    </row>
    <row r="307" spans="1:14" ht="24.75" x14ac:dyDescent="0.25">
      <c r="A307" s="21" t="s">
        <v>20309</v>
      </c>
      <c r="B307" s="22" t="s">
        <v>20310</v>
      </c>
      <c r="C307" s="2">
        <v>1</v>
      </c>
      <c r="D307" s="23">
        <v>16.989999999999998</v>
      </c>
      <c r="E307" s="3">
        <v>16.989999999999998</v>
      </c>
      <c r="F307" s="2" t="s">
        <v>20311</v>
      </c>
      <c r="G307" s="22" t="s">
        <v>19713</v>
      </c>
      <c r="H307" s="24" t="s">
        <v>19330</v>
      </c>
      <c r="I307" s="22" t="s">
        <v>19309</v>
      </c>
      <c r="J307" s="22" t="s">
        <v>19573</v>
      </c>
      <c r="K307" s="22" t="s">
        <v>19574</v>
      </c>
      <c r="L307" s="22"/>
      <c r="M307" s="22"/>
      <c r="N307" s="25" t="str">
        <f>HYPERLINK("http://slimages.macys.com/is/image/MCY/1597998 ")</f>
        <v xml:space="preserve">http://slimages.macys.com/is/image/MCY/1597998 </v>
      </c>
    </row>
    <row r="308" spans="1:14" ht="24.75" x14ac:dyDescent="0.25">
      <c r="A308" s="21" t="s">
        <v>20312</v>
      </c>
      <c r="B308" s="22" t="s">
        <v>19916</v>
      </c>
      <c r="C308" s="2">
        <v>1</v>
      </c>
      <c r="D308" s="23">
        <v>16.989999999999998</v>
      </c>
      <c r="E308" s="3">
        <v>16.989999999999998</v>
      </c>
      <c r="F308" s="2" t="s">
        <v>20311</v>
      </c>
      <c r="G308" s="22" t="s">
        <v>19713</v>
      </c>
      <c r="H308" s="24"/>
      <c r="I308" s="22" t="s">
        <v>19309</v>
      </c>
      <c r="J308" s="22" t="s">
        <v>19573</v>
      </c>
      <c r="K308" s="22" t="s">
        <v>19574</v>
      </c>
      <c r="L308" s="22"/>
      <c r="M308" s="22"/>
      <c r="N308" s="25" t="str">
        <f>HYPERLINK("http://slimages.macys.com/is/image/MCY/1597998 ")</f>
        <v xml:space="preserve">http://slimages.macys.com/is/image/MCY/1597998 </v>
      </c>
    </row>
    <row r="309" spans="1:14" ht="24.75" x14ac:dyDescent="0.25">
      <c r="A309" s="21" t="s">
        <v>20313</v>
      </c>
      <c r="B309" s="22" t="s">
        <v>19913</v>
      </c>
      <c r="C309" s="2">
        <v>1</v>
      </c>
      <c r="D309" s="23">
        <v>16.989999999999998</v>
      </c>
      <c r="E309" s="3">
        <v>16.989999999999998</v>
      </c>
      <c r="F309" s="2" t="s">
        <v>20311</v>
      </c>
      <c r="G309" s="22" t="s">
        <v>19713</v>
      </c>
      <c r="H309" s="24" t="s">
        <v>19384</v>
      </c>
      <c r="I309" s="22" t="s">
        <v>19309</v>
      </c>
      <c r="J309" s="22" t="s">
        <v>19573</v>
      </c>
      <c r="K309" s="22" t="s">
        <v>19574</v>
      </c>
      <c r="L309" s="22"/>
      <c r="M309" s="22"/>
      <c r="N309" s="25" t="str">
        <f>HYPERLINK("http://slimages.macys.com/is/image/MCY/1597998 ")</f>
        <v xml:space="preserve">http://slimages.macys.com/is/image/MCY/1597998 </v>
      </c>
    </row>
    <row r="310" spans="1:14" x14ac:dyDescent="0.25">
      <c r="A310" s="21" t="s">
        <v>20314</v>
      </c>
      <c r="B310" s="22" t="s">
        <v>20315</v>
      </c>
      <c r="C310" s="2">
        <v>1</v>
      </c>
      <c r="D310" s="23">
        <v>15.99</v>
      </c>
      <c r="E310" s="3">
        <v>15.99</v>
      </c>
      <c r="F310" s="2" t="s">
        <v>20316</v>
      </c>
      <c r="G310" s="22" t="s">
        <v>19670</v>
      </c>
      <c r="H310" s="24" t="s">
        <v>19352</v>
      </c>
      <c r="I310" s="22" t="s">
        <v>19309</v>
      </c>
      <c r="J310" s="22" t="s">
        <v>19849</v>
      </c>
      <c r="K310" s="22" t="s">
        <v>19850</v>
      </c>
      <c r="L310" s="22"/>
      <c r="M310" s="22"/>
      <c r="N310" s="25" t="str">
        <f>HYPERLINK("http://slimages.macys.com/is/image/MCY/21270367 ")</f>
        <v xml:space="preserve">http://slimages.macys.com/is/image/MCY/21270367 </v>
      </c>
    </row>
    <row r="311" spans="1:14" ht="24.75" x14ac:dyDescent="0.25">
      <c r="A311" s="21" t="s">
        <v>20317</v>
      </c>
      <c r="B311" s="22" t="s">
        <v>20318</v>
      </c>
      <c r="C311" s="2">
        <v>1</v>
      </c>
      <c r="D311" s="23">
        <v>14.99</v>
      </c>
      <c r="E311" s="3">
        <v>14.99</v>
      </c>
      <c r="F311" s="2" t="s">
        <v>20319</v>
      </c>
      <c r="G311" s="22" t="s">
        <v>19357</v>
      </c>
      <c r="H311" s="24"/>
      <c r="I311" s="22" t="s">
        <v>19309</v>
      </c>
      <c r="J311" s="22" t="s">
        <v>19317</v>
      </c>
      <c r="K311" s="22" t="s">
        <v>20320</v>
      </c>
      <c r="L311" s="22"/>
      <c r="M311" s="22"/>
      <c r="N311" s="25" t="str">
        <f>HYPERLINK("http://slimages.macys.com/is/image/MCY/21201810 ")</f>
        <v xml:space="preserve">http://slimages.macys.com/is/image/MCY/21201810 </v>
      </c>
    </row>
    <row r="312" spans="1:14" ht="24.75" x14ac:dyDescent="0.25">
      <c r="A312" s="21" t="s">
        <v>20321</v>
      </c>
      <c r="B312" s="22" t="s">
        <v>20322</v>
      </c>
      <c r="C312" s="2">
        <v>1</v>
      </c>
      <c r="D312" s="23">
        <v>15.99</v>
      </c>
      <c r="E312" s="3">
        <v>15.99</v>
      </c>
      <c r="F312" s="2" t="s">
        <v>20323</v>
      </c>
      <c r="G312" s="22" t="s">
        <v>19415</v>
      </c>
      <c r="H312" s="24" t="s">
        <v>19384</v>
      </c>
      <c r="I312" s="22" t="s">
        <v>19309</v>
      </c>
      <c r="J312" s="22" t="s">
        <v>19573</v>
      </c>
      <c r="K312" s="22" t="s">
        <v>19574</v>
      </c>
      <c r="L312" s="22"/>
      <c r="M312" s="22"/>
      <c r="N312" s="25" t="str">
        <f>HYPERLINK("http://slimages.macys.com/is/image/MCY/20757473 ")</f>
        <v xml:space="preserve">http://slimages.macys.com/is/image/MCY/20757473 </v>
      </c>
    </row>
    <row r="313" spans="1:14" ht="24.75" x14ac:dyDescent="0.25">
      <c r="A313" s="21" t="s">
        <v>20324</v>
      </c>
      <c r="B313" s="22" t="s">
        <v>18347</v>
      </c>
      <c r="C313" s="2">
        <v>1</v>
      </c>
      <c r="D313" s="23">
        <v>13.52</v>
      </c>
      <c r="E313" s="3">
        <v>13.52</v>
      </c>
      <c r="F313" s="2" t="s">
        <v>18348</v>
      </c>
      <c r="G313" s="22" t="s">
        <v>19338</v>
      </c>
      <c r="H313" s="24" t="s">
        <v>19392</v>
      </c>
      <c r="I313" s="22" t="s">
        <v>19309</v>
      </c>
      <c r="J313" s="22" t="s">
        <v>19602</v>
      </c>
      <c r="K313" s="22" t="s">
        <v>20041</v>
      </c>
      <c r="L313" s="22"/>
      <c r="M313" s="22"/>
      <c r="N313" s="25" t="str">
        <f>HYPERLINK("http://slimages.macys.com/is/image/MCY/21422100 ")</f>
        <v xml:space="preserve">http://slimages.macys.com/is/image/MCY/21422100 </v>
      </c>
    </row>
    <row r="314" spans="1:14" ht="24.75" x14ac:dyDescent="0.25">
      <c r="A314" s="21" t="s">
        <v>18349</v>
      </c>
      <c r="B314" s="22" t="s">
        <v>18350</v>
      </c>
      <c r="C314" s="2">
        <v>1</v>
      </c>
      <c r="D314" s="23">
        <v>28</v>
      </c>
      <c r="E314" s="3">
        <v>28</v>
      </c>
      <c r="F314" s="2" t="s">
        <v>18351</v>
      </c>
      <c r="G314" s="22" t="s">
        <v>19439</v>
      </c>
      <c r="H314" s="24" t="s">
        <v>19384</v>
      </c>
      <c r="I314" s="22" t="s">
        <v>19309</v>
      </c>
      <c r="J314" s="22" t="s">
        <v>19417</v>
      </c>
      <c r="K314" s="22" t="s">
        <v>20110</v>
      </c>
      <c r="L314" s="22"/>
      <c r="M314" s="22"/>
      <c r="N314" s="25" t="str">
        <f>HYPERLINK("http://slimages.macys.com/is/image/MCY/21551796 ")</f>
        <v xml:space="preserve">http://slimages.macys.com/is/image/MCY/21551796 </v>
      </c>
    </row>
    <row r="315" spans="1:14" ht="24.75" x14ac:dyDescent="0.25">
      <c r="A315" s="21" t="s">
        <v>18352</v>
      </c>
      <c r="B315" s="22" t="s">
        <v>18353</v>
      </c>
      <c r="C315" s="2">
        <v>1</v>
      </c>
      <c r="D315" s="23">
        <v>15.99</v>
      </c>
      <c r="E315" s="3">
        <v>15.99</v>
      </c>
      <c r="F315" s="2" t="s">
        <v>18354</v>
      </c>
      <c r="G315" s="22" t="s">
        <v>19814</v>
      </c>
      <c r="H315" s="24" t="s">
        <v>19364</v>
      </c>
      <c r="I315" s="22" t="s">
        <v>19309</v>
      </c>
      <c r="J315" s="22" t="s">
        <v>19815</v>
      </c>
      <c r="K315" s="22" t="s">
        <v>19816</v>
      </c>
      <c r="L315" s="22"/>
      <c r="M315" s="22"/>
      <c r="N315" s="25" t="str">
        <f>HYPERLINK("http://slimages.macys.com/is/image/MCY/1290415 ")</f>
        <v xml:space="preserve">http://slimages.macys.com/is/image/MCY/1290415 </v>
      </c>
    </row>
    <row r="316" spans="1:14" x14ac:dyDescent="0.25">
      <c r="A316" s="21" t="s">
        <v>18355</v>
      </c>
      <c r="B316" s="22" t="s">
        <v>18356</v>
      </c>
      <c r="C316" s="2">
        <v>1</v>
      </c>
      <c r="D316" s="23">
        <v>15.13</v>
      </c>
      <c r="E316" s="3">
        <v>15.13</v>
      </c>
      <c r="F316" s="2" t="s">
        <v>18357</v>
      </c>
      <c r="G316" s="22" t="s">
        <v>19338</v>
      </c>
      <c r="H316" s="24" t="s">
        <v>19770</v>
      </c>
      <c r="I316" s="22" t="s">
        <v>19309</v>
      </c>
      <c r="J316" s="22" t="s">
        <v>19708</v>
      </c>
      <c r="K316" s="22" t="s">
        <v>19709</v>
      </c>
      <c r="L316" s="22"/>
      <c r="M316" s="22"/>
      <c r="N316" s="25" t="str">
        <f>HYPERLINK("http://slimages.macys.com/is/image/MCY/21184050 ")</f>
        <v xml:space="preserve">http://slimages.macys.com/is/image/MCY/21184050 </v>
      </c>
    </row>
    <row r="317" spans="1:14" x14ac:dyDescent="0.25">
      <c r="A317" s="21" t="s">
        <v>18358</v>
      </c>
      <c r="B317" s="22" t="s">
        <v>18359</v>
      </c>
      <c r="C317" s="2">
        <v>2</v>
      </c>
      <c r="D317" s="23">
        <v>15.13</v>
      </c>
      <c r="E317" s="3">
        <v>30.26</v>
      </c>
      <c r="F317" s="2" t="s">
        <v>18360</v>
      </c>
      <c r="G317" s="22" t="s">
        <v>18361</v>
      </c>
      <c r="H317" s="24" t="s">
        <v>19324</v>
      </c>
      <c r="I317" s="22" t="s">
        <v>19309</v>
      </c>
      <c r="J317" s="22" t="s">
        <v>19708</v>
      </c>
      <c r="K317" s="22" t="s">
        <v>19709</v>
      </c>
      <c r="L317" s="22"/>
      <c r="M317" s="22"/>
      <c r="N317" s="25" t="str">
        <f>HYPERLINK("http://slimages.macys.com/is/image/MCY/21758813 ")</f>
        <v xml:space="preserve">http://slimages.macys.com/is/image/MCY/21758813 </v>
      </c>
    </row>
    <row r="318" spans="1:14" ht="24.75" x14ac:dyDescent="0.25">
      <c r="A318" s="21" t="s">
        <v>18362</v>
      </c>
      <c r="B318" s="22" t="s">
        <v>18363</v>
      </c>
      <c r="C318" s="2">
        <v>1</v>
      </c>
      <c r="D318" s="23">
        <v>14.99</v>
      </c>
      <c r="E318" s="3">
        <v>14.99</v>
      </c>
      <c r="F318" s="2" t="s">
        <v>18364</v>
      </c>
      <c r="G318" s="22" t="s">
        <v>19431</v>
      </c>
      <c r="H318" s="24"/>
      <c r="I318" s="22" t="s">
        <v>19309</v>
      </c>
      <c r="J318" s="22" t="s">
        <v>19573</v>
      </c>
      <c r="K318" s="22" t="s">
        <v>19574</v>
      </c>
      <c r="L318" s="22"/>
      <c r="M318" s="22"/>
      <c r="N318" s="25" t="str">
        <f>HYPERLINK("http://slimages.macys.com/is/image/MCY/1642503 ")</f>
        <v xml:space="preserve">http://slimages.macys.com/is/image/MCY/1642503 </v>
      </c>
    </row>
    <row r="319" spans="1:14" x14ac:dyDescent="0.25">
      <c r="A319" s="21" t="s">
        <v>18365</v>
      </c>
      <c r="B319" s="22" t="s">
        <v>18366</v>
      </c>
      <c r="C319" s="2">
        <v>1</v>
      </c>
      <c r="D319" s="23">
        <v>15.13</v>
      </c>
      <c r="E319" s="3">
        <v>15.13</v>
      </c>
      <c r="F319" s="2" t="s">
        <v>18367</v>
      </c>
      <c r="G319" s="22" t="s">
        <v>19594</v>
      </c>
      <c r="H319" s="24" t="s">
        <v>19416</v>
      </c>
      <c r="I319" s="22" t="s">
        <v>19309</v>
      </c>
      <c r="J319" s="22" t="s">
        <v>19708</v>
      </c>
      <c r="K319" s="22" t="s">
        <v>19709</v>
      </c>
      <c r="L319" s="22"/>
      <c r="M319" s="22"/>
      <c r="N319" s="25" t="str">
        <f>HYPERLINK("http://slimages.macys.com/is/image/MCY/21184045 ")</f>
        <v xml:space="preserve">http://slimages.macys.com/is/image/MCY/21184045 </v>
      </c>
    </row>
    <row r="320" spans="1:14" ht="24.75" x14ac:dyDescent="0.25">
      <c r="A320" s="21" t="s">
        <v>18368</v>
      </c>
      <c r="B320" s="22" t="s">
        <v>18369</v>
      </c>
      <c r="C320" s="2">
        <v>1</v>
      </c>
      <c r="D320" s="23">
        <v>15.04</v>
      </c>
      <c r="E320" s="3">
        <v>15.04</v>
      </c>
      <c r="F320" s="2" t="s">
        <v>18370</v>
      </c>
      <c r="G320" s="22" t="s">
        <v>19338</v>
      </c>
      <c r="H320" s="24" t="s">
        <v>19324</v>
      </c>
      <c r="I320" s="22" t="s">
        <v>19309</v>
      </c>
      <c r="J320" s="22" t="s">
        <v>19708</v>
      </c>
      <c r="K320" s="22" t="s">
        <v>19709</v>
      </c>
      <c r="L320" s="22"/>
      <c r="M320" s="22"/>
      <c r="N320" s="25" t="str">
        <f>HYPERLINK("http://slimages.macys.com/is/image/MCY/22596320 ")</f>
        <v xml:space="preserve">http://slimages.macys.com/is/image/MCY/22596320 </v>
      </c>
    </row>
    <row r="321" spans="1:14" x14ac:dyDescent="0.25">
      <c r="A321" s="21" t="s">
        <v>18371</v>
      </c>
      <c r="B321" s="22" t="s">
        <v>18372</v>
      </c>
      <c r="C321" s="2">
        <v>1</v>
      </c>
      <c r="D321" s="23">
        <v>14.93</v>
      </c>
      <c r="E321" s="3">
        <v>14.93</v>
      </c>
      <c r="F321" s="2" t="s">
        <v>18373</v>
      </c>
      <c r="G321" s="22" t="s">
        <v>19333</v>
      </c>
      <c r="H321" s="24" t="s">
        <v>19367</v>
      </c>
      <c r="I321" s="22" t="s">
        <v>19309</v>
      </c>
      <c r="J321" s="22" t="s">
        <v>19708</v>
      </c>
      <c r="K321" s="22" t="s">
        <v>19709</v>
      </c>
      <c r="L321" s="22"/>
      <c r="M321" s="22"/>
      <c r="N321" s="25" t="str">
        <f>HYPERLINK("http://slimages.macys.com/is/image/MCY/22596466 ")</f>
        <v xml:space="preserve">http://slimages.macys.com/is/image/MCY/22596466 </v>
      </c>
    </row>
    <row r="322" spans="1:14" ht="24.75" x14ac:dyDescent="0.25">
      <c r="A322" s="21" t="s">
        <v>18374</v>
      </c>
      <c r="B322" s="22" t="s">
        <v>18375</v>
      </c>
      <c r="C322" s="2">
        <v>1</v>
      </c>
      <c r="D322" s="23">
        <v>16.989999999999998</v>
      </c>
      <c r="E322" s="3">
        <v>16.989999999999998</v>
      </c>
      <c r="F322" s="2" t="s">
        <v>18376</v>
      </c>
      <c r="G322" s="22" t="s">
        <v>19906</v>
      </c>
      <c r="H322" s="24" t="s">
        <v>19324</v>
      </c>
      <c r="I322" s="22" t="s">
        <v>19309</v>
      </c>
      <c r="J322" s="22" t="s">
        <v>19573</v>
      </c>
      <c r="K322" s="22" t="s">
        <v>19574</v>
      </c>
      <c r="L322" s="22"/>
      <c r="M322" s="22"/>
      <c r="N322" s="25" t="str">
        <f>HYPERLINK("http://slimages.macys.com/is/image/MCY/1516070 ")</f>
        <v xml:space="preserve">http://slimages.macys.com/is/image/MCY/1516070 </v>
      </c>
    </row>
    <row r="323" spans="1:14" ht="24.75" x14ac:dyDescent="0.25">
      <c r="A323" s="21" t="s">
        <v>18377</v>
      </c>
      <c r="B323" s="22" t="s">
        <v>18378</v>
      </c>
      <c r="C323" s="2">
        <v>1</v>
      </c>
      <c r="D323" s="23">
        <v>16.989999999999998</v>
      </c>
      <c r="E323" s="3">
        <v>16.989999999999998</v>
      </c>
      <c r="F323" s="2" t="s">
        <v>18376</v>
      </c>
      <c r="G323" s="22" t="s">
        <v>19906</v>
      </c>
      <c r="H323" s="24"/>
      <c r="I323" s="22" t="s">
        <v>19309</v>
      </c>
      <c r="J323" s="22" t="s">
        <v>19573</v>
      </c>
      <c r="K323" s="22" t="s">
        <v>19574</v>
      </c>
      <c r="L323" s="22"/>
      <c r="M323" s="22"/>
      <c r="N323" s="25" t="str">
        <f>HYPERLINK("http://slimages.macys.com/is/image/MCY/1538253 ")</f>
        <v xml:space="preserve">http://slimages.macys.com/is/image/MCY/1538253 </v>
      </c>
    </row>
    <row r="324" spans="1:14" x14ac:dyDescent="0.25">
      <c r="A324" s="21" t="s">
        <v>18379</v>
      </c>
      <c r="B324" s="22" t="s">
        <v>18380</v>
      </c>
      <c r="C324" s="2">
        <v>1</v>
      </c>
      <c r="D324" s="23">
        <v>21.99</v>
      </c>
      <c r="E324" s="3">
        <v>21.99</v>
      </c>
      <c r="F324" s="2" t="s">
        <v>18381</v>
      </c>
      <c r="G324" s="22" t="s">
        <v>19674</v>
      </c>
      <c r="H324" s="24" t="s">
        <v>19339</v>
      </c>
      <c r="I324" s="22" t="s">
        <v>19309</v>
      </c>
      <c r="J324" s="22" t="s">
        <v>19849</v>
      </c>
      <c r="K324" s="22" t="s">
        <v>19850</v>
      </c>
      <c r="L324" s="22"/>
      <c r="M324" s="22"/>
      <c r="N324" s="25" t="str">
        <f>HYPERLINK("http://slimages.macys.com/is/image/MCY/1521091 ")</f>
        <v xml:space="preserve">http://slimages.macys.com/is/image/MCY/1521091 </v>
      </c>
    </row>
    <row r="325" spans="1:14" x14ac:dyDescent="0.25">
      <c r="A325" s="21" t="s">
        <v>18382</v>
      </c>
      <c r="B325" s="22" t="s">
        <v>18383</v>
      </c>
      <c r="C325" s="2">
        <v>2</v>
      </c>
      <c r="D325" s="23">
        <v>21.99</v>
      </c>
      <c r="E325" s="3">
        <v>43.98</v>
      </c>
      <c r="F325" s="2" t="s">
        <v>18381</v>
      </c>
      <c r="G325" s="22" t="s">
        <v>19674</v>
      </c>
      <c r="H325" s="24" t="s">
        <v>19797</v>
      </c>
      <c r="I325" s="22" t="s">
        <v>19309</v>
      </c>
      <c r="J325" s="22" t="s">
        <v>19849</v>
      </c>
      <c r="K325" s="22" t="s">
        <v>19850</v>
      </c>
      <c r="L325" s="22"/>
      <c r="M325" s="22"/>
      <c r="N325" s="25" t="str">
        <f>HYPERLINK("http://slimages.macys.com/is/image/MCY/1521091 ")</f>
        <v xml:space="preserve">http://slimages.macys.com/is/image/MCY/1521091 </v>
      </c>
    </row>
    <row r="326" spans="1:14" ht="24.75" x14ac:dyDescent="0.25">
      <c r="A326" s="21" t="s">
        <v>18384</v>
      </c>
      <c r="B326" s="22" t="s">
        <v>18385</v>
      </c>
      <c r="C326" s="2">
        <v>1</v>
      </c>
      <c r="D326" s="23">
        <v>30</v>
      </c>
      <c r="E326" s="3">
        <v>30</v>
      </c>
      <c r="F326" s="2" t="s">
        <v>18386</v>
      </c>
      <c r="G326" s="22"/>
      <c r="H326" s="24" t="s">
        <v>19538</v>
      </c>
      <c r="I326" s="22" t="s">
        <v>19309</v>
      </c>
      <c r="J326" s="22" t="s">
        <v>19417</v>
      </c>
      <c r="K326" s="22" t="s">
        <v>18387</v>
      </c>
      <c r="L326" s="22"/>
      <c r="M326" s="22"/>
      <c r="N326" s="25" t="str">
        <f>HYPERLINK("http://slimages.macys.com/is/image/MCY/19824061 ")</f>
        <v xml:space="preserve">http://slimages.macys.com/is/image/MCY/19824061 </v>
      </c>
    </row>
    <row r="327" spans="1:14" ht="24.75" x14ac:dyDescent="0.25">
      <c r="A327" s="21" t="s">
        <v>18388</v>
      </c>
      <c r="B327" s="22" t="s">
        <v>18389</v>
      </c>
      <c r="C327" s="2">
        <v>1</v>
      </c>
      <c r="D327" s="23">
        <v>16.989999999999998</v>
      </c>
      <c r="E327" s="3">
        <v>16.989999999999998</v>
      </c>
      <c r="F327" s="2" t="s">
        <v>18376</v>
      </c>
      <c r="G327" s="22" t="s">
        <v>19670</v>
      </c>
      <c r="H327" s="24" t="s">
        <v>19324</v>
      </c>
      <c r="I327" s="22" t="s">
        <v>19309</v>
      </c>
      <c r="J327" s="22" t="s">
        <v>19573</v>
      </c>
      <c r="K327" s="22" t="s">
        <v>19574</v>
      </c>
      <c r="L327" s="22"/>
      <c r="M327" s="22"/>
      <c r="N327" s="25" t="str">
        <f>HYPERLINK("http://slimages.macys.com/is/image/MCY/1516070 ")</f>
        <v xml:space="preserve">http://slimages.macys.com/is/image/MCY/1516070 </v>
      </c>
    </row>
    <row r="328" spans="1:14" ht="24.75" x14ac:dyDescent="0.25">
      <c r="A328" s="21" t="s">
        <v>18390</v>
      </c>
      <c r="B328" s="22" t="s">
        <v>18391</v>
      </c>
      <c r="C328" s="2">
        <v>1</v>
      </c>
      <c r="D328" s="23">
        <v>14.99</v>
      </c>
      <c r="E328" s="3">
        <v>14.99</v>
      </c>
      <c r="F328" s="2" t="s">
        <v>18392</v>
      </c>
      <c r="G328" s="22" t="s">
        <v>19431</v>
      </c>
      <c r="H328" s="24" t="s">
        <v>18393</v>
      </c>
      <c r="I328" s="22" t="s">
        <v>19309</v>
      </c>
      <c r="J328" s="22" t="s">
        <v>19573</v>
      </c>
      <c r="K328" s="22" t="s">
        <v>20228</v>
      </c>
      <c r="L328" s="22" t="s">
        <v>19319</v>
      </c>
      <c r="M328" s="22" t="s">
        <v>18394</v>
      </c>
      <c r="N328" s="25" t="str">
        <f>HYPERLINK("http://slimages.macys.com/is/image/MCY/8256830 ")</f>
        <v xml:space="preserve">http://slimages.macys.com/is/image/MCY/8256830 </v>
      </c>
    </row>
    <row r="329" spans="1:14" ht="24.75" x14ac:dyDescent="0.25">
      <c r="A329" s="21" t="s">
        <v>18395</v>
      </c>
      <c r="B329" s="22" t="s">
        <v>18396</v>
      </c>
      <c r="C329" s="2">
        <v>1</v>
      </c>
      <c r="D329" s="23">
        <v>14.99</v>
      </c>
      <c r="E329" s="3">
        <v>14.99</v>
      </c>
      <c r="F329" s="2" t="s">
        <v>18392</v>
      </c>
      <c r="G329" s="22" t="s">
        <v>19431</v>
      </c>
      <c r="H329" s="24" t="s">
        <v>20227</v>
      </c>
      <c r="I329" s="22" t="s">
        <v>19309</v>
      </c>
      <c r="J329" s="22" t="s">
        <v>19573</v>
      </c>
      <c r="K329" s="22" t="s">
        <v>20228</v>
      </c>
      <c r="L329" s="22" t="s">
        <v>19319</v>
      </c>
      <c r="M329" s="22" t="s">
        <v>18394</v>
      </c>
      <c r="N329" s="25" t="str">
        <f>HYPERLINK("http://slimages.macys.com/is/image/MCY/8256830 ")</f>
        <v xml:space="preserve">http://slimages.macys.com/is/image/MCY/8256830 </v>
      </c>
    </row>
    <row r="330" spans="1:14" ht="24.75" x14ac:dyDescent="0.25">
      <c r="A330" s="21" t="s">
        <v>18397</v>
      </c>
      <c r="B330" s="22" t="s">
        <v>18398</v>
      </c>
      <c r="C330" s="2">
        <v>1</v>
      </c>
      <c r="D330" s="23">
        <v>13.12</v>
      </c>
      <c r="E330" s="3">
        <v>13.12</v>
      </c>
      <c r="F330" s="2" t="s">
        <v>18399</v>
      </c>
      <c r="G330" s="22" t="s">
        <v>19431</v>
      </c>
      <c r="H330" s="24" t="s">
        <v>19345</v>
      </c>
      <c r="I330" s="22" t="s">
        <v>19309</v>
      </c>
      <c r="J330" s="22" t="s">
        <v>19602</v>
      </c>
      <c r="K330" s="22" t="s">
        <v>20041</v>
      </c>
      <c r="L330" s="22"/>
      <c r="M330" s="22"/>
      <c r="N330" s="25" t="str">
        <f>HYPERLINK("http://slimages.macys.com/is/image/MCY/21728927 ")</f>
        <v xml:space="preserve">http://slimages.macys.com/is/image/MCY/21728927 </v>
      </c>
    </row>
    <row r="331" spans="1:14" x14ac:dyDescent="0.25">
      <c r="A331" s="21" t="s">
        <v>18400</v>
      </c>
      <c r="B331" s="22" t="s">
        <v>18401</v>
      </c>
      <c r="C331" s="2">
        <v>1</v>
      </c>
      <c r="D331" s="23">
        <v>11.79</v>
      </c>
      <c r="E331" s="3">
        <v>11.79</v>
      </c>
      <c r="F331" s="2" t="s">
        <v>18402</v>
      </c>
      <c r="G331" s="22" t="s">
        <v>19431</v>
      </c>
      <c r="H331" s="24" t="s">
        <v>20159</v>
      </c>
      <c r="I331" s="22" t="s">
        <v>19309</v>
      </c>
      <c r="J331" s="22" t="s">
        <v>19708</v>
      </c>
      <c r="K331" s="22" t="s">
        <v>19709</v>
      </c>
      <c r="L331" s="22"/>
      <c r="M331" s="22"/>
      <c r="N331" s="25" t="str">
        <f>HYPERLINK("http://slimages.macys.com/is/image/MCY/19066490 ")</f>
        <v xml:space="preserve">http://slimages.macys.com/is/image/MCY/19066490 </v>
      </c>
    </row>
    <row r="332" spans="1:14" ht="24.75" x14ac:dyDescent="0.25">
      <c r="A332" s="21" t="s">
        <v>18403</v>
      </c>
      <c r="B332" s="22" t="s">
        <v>18404</v>
      </c>
      <c r="C332" s="2">
        <v>1</v>
      </c>
      <c r="D332" s="23">
        <v>26</v>
      </c>
      <c r="E332" s="3">
        <v>26</v>
      </c>
      <c r="F332" s="2" t="s">
        <v>18405</v>
      </c>
      <c r="G332" s="22" t="s">
        <v>19879</v>
      </c>
      <c r="H332" s="24" t="s">
        <v>19334</v>
      </c>
      <c r="I332" s="22" t="s">
        <v>19309</v>
      </c>
      <c r="J332" s="22" t="s">
        <v>19519</v>
      </c>
      <c r="K332" s="22" t="s">
        <v>18406</v>
      </c>
      <c r="L332" s="22"/>
      <c r="M332" s="22"/>
      <c r="N332" s="25" t="str">
        <f>HYPERLINK("http://slimages.macys.com/is/image/MCY/21466714 ")</f>
        <v xml:space="preserve">http://slimages.macys.com/is/image/MCY/21466714 </v>
      </c>
    </row>
    <row r="333" spans="1:14" x14ac:dyDescent="0.25">
      <c r="A333" s="21" t="s">
        <v>18407</v>
      </c>
      <c r="B333" s="22" t="s">
        <v>18408</v>
      </c>
      <c r="C333" s="2">
        <v>2</v>
      </c>
      <c r="D333" s="23">
        <v>22.5</v>
      </c>
      <c r="E333" s="3">
        <v>45</v>
      </c>
      <c r="F333" s="2" t="s">
        <v>18409</v>
      </c>
      <c r="G333" s="22" t="s">
        <v>19630</v>
      </c>
      <c r="H333" s="24" t="s">
        <v>19542</v>
      </c>
      <c r="I333" s="22" t="s">
        <v>19309</v>
      </c>
      <c r="J333" s="22" t="s">
        <v>19688</v>
      </c>
      <c r="K333" s="22" t="s">
        <v>19614</v>
      </c>
      <c r="L333" s="22"/>
      <c r="M333" s="22"/>
      <c r="N333" s="25" t="str">
        <f>HYPERLINK("http://slimages.macys.com/is/image/MCY/21035882 ")</f>
        <v xml:space="preserve">http://slimages.macys.com/is/image/MCY/21035882 </v>
      </c>
    </row>
    <row r="334" spans="1:14" ht="24.75" x14ac:dyDescent="0.25">
      <c r="A334" s="21" t="s">
        <v>18410</v>
      </c>
      <c r="B334" s="22" t="s">
        <v>18411</v>
      </c>
      <c r="C334" s="2">
        <v>1</v>
      </c>
      <c r="D334" s="23">
        <v>13.99</v>
      </c>
      <c r="E334" s="3">
        <v>13.99</v>
      </c>
      <c r="F334" s="2" t="s">
        <v>18412</v>
      </c>
      <c r="G334" s="22" t="s">
        <v>19674</v>
      </c>
      <c r="H334" s="24" t="s">
        <v>19416</v>
      </c>
      <c r="I334" s="22" t="s">
        <v>19309</v>
      </c>
      <c r="J334" s="22" t="s">
        <v>19573</v>
      </c>
      <c r="K334" s="22" t="s">
        <v>19574</v>
      </c>
      <c r="L334" s="22"/>
      <c r="M334" s="22"/>
      <c r="N334" s="25" t="str">
        <f>HYPERLINK("http://slimages.macys.com/is/image/MCY/21907847 ")</f>
        <v xml:space="preserve">http://slimages.macys.com/is/image/MCY/21907847 </v>
      </c>
    </row>
    <row r="335" spans="1:14" ht="24.75" x14ac:dyDescent="0.25">
      <c r="A335" s="21" t="s">
        <v>18413</v>
      </c>
      <c r="B335" s="22" t="s">
        <v>18414</v>
      </c>
      <c r="C335" s="2">
        <v>2</v>
      </c>
      <c r="D335" s="23">
        <v>13.99</v>
      </c>
      <c r="E335" s="3">
        <v>27.98</v>
      </c>
      <c r="F335" s="2" t="s">
        <v>18412</v>
      </c>
      <c r="G335" s="22" t="s">
        <v>19674</v>
      </c>
      <c r="H335" s="24" t="s">
        <v>19538</v>
      </c>
      <c r="I335" s="22" t="s">
        <v>19309</v>
      </c>
      <c r="J335" s="22" t="s">
        <v>19573</v>
      </c>
      <c r="K335" s="22" t="s">
        <v>19574</v>
      </c>
      <c r="L335" s="22"/>
      <c r="M335" s="22"/>
      <c r="N335" s="25" t="str">
        <f>HYPERLINK("http://slimages.macys.com/is/image/MCY/1554795 ")</f>
        <v xml:space="preserve">http://slimages.macys.com/is/image/MCY/1554795 </v>
      </c>
    </row>
    <row r="336" spans="1:14" ht="24.75" x14ac:dyDescent="0.25">
      <c r="A336" s="21" t="s">
        <v>18415</v>
      </c>
      <c r="B336" s="22" t="s">
        <v>18416</v>
      </c>
      <c r="C336" s="2">
        <v>1</v>
      </c>
      <c r="D336" s="23">
        <v>13.99</v>
      </c>
      <c r="E336" s="3">
        <v>13.99</v>
      </c>
      <c r="F336" s="2" t="s">
        <v>18412</v>
      </c>
      <c r="G336" s="22" t="s">
        <v>19674</v>
      </c>
      <c r="H336" s="24" t="s">
        <v>19324</v>
      </c>
      <c r="I336" s="22" t="s">
        <v>19309</v>
      </c>
      <c r="J336" s="22" t="s">
        <v>19573</v>
      </c>
      <c r="K336" s="22" t="s">
        <v>19574</v>
      </c>
      <c r="L336" s="22"/>
      <c r="M336" s="22"/>
      <c r="N336" s="25" t="str">
        <f>HYPERLINK("http://slimages.macys.com/is/image/MCY/1554795 ")</f>
        <v xml:space="preserve">http://slimages.macys.com/is/image/MCY/1554795 </v>
      </c>
    </row>
    <row r="337" spans="1:14" x14ac:dyDescent="0.25">
      <c r="A337" s="21" t="s">
        <v>18417</v>
      </c>
      <c r="B337" s="22" t="s">
        <v>18418</v>
      </c>
      <c r="C337" s="2">
        <v>1</v>
      </c>
      <c r="D337" s="23">
        <v>19.989999999999998</v>
      </c>
      <c r="E337" s="3">
        <v>19.989999999999998</v>
      </c>
      <c r="F337" s="2" t="s">
        <v>18419</v>
      </c>
      <c r="G337" s="22" t="s">
        <v>19467</v>
      </c>
      <c r="H337" s="24" t="s">
        <v>19907</v>
      </c>
      <c r="I337" s="22" t="s">
        <v>19309</v>
      </c>
      <c r="J337" s="22" t="s">
        <v>19849</v>
      </c>
      <c r="K337" s="22" t="s">
        <v>19850</v>
      </c>
      <c r="L337" s="22"/>
      <c r="M337" s="22"/>
      <c r="N337" s="25" t="str">
        <f>HYPERLINK("http://slimages.macys.com/is/image/MCY/21270685 ")</f>
        <v xml:space="preserve">http://slimages.macys.com/is/image/MCY/21270685 </v>
      </c>
    </row>
    <row r="338" spans="1:14" ht="24.75" x14ac:dyDescent="0.25">
      <c r="A338" s="21" t="s">
        <v>18420</v>
      </c>
      <c r="B338" s="22" t="s">
        <v>18421</v>
      </c>
      <c r="C338" s="2">
        <v>1</v>
      </c>
      <c r="D338" s="23">
        <v>10.99</v>
      </c>
      <c r="E338" s="3">
        <v>10.99</v>
      </c>
      <c r="F338" s="2" t="s">
        <v>18422</v>
      </c>
      <c r="G338" s="22" t="s">
        <v>20306</v>
      </c>
      <c r="H338" s="24" t="s">
        <v>19377</v>
      </c>
      <c r="I338" s="22" t="s">
        <v>19309</v>
      </c>
      <c r="J338" s="22" t="s">
        <v>19447</v>
      </c>
      <c r="K338" s="22" t="s">
        <v>20146</v>
      </c>
      <c r="L338" s="22"/>
      <c r="M338" s="22"/>
      <c r="N338" s="25" t="str">
        <f>HYPERLINK("http://slimages.macys.com/is/image/MCY/21550664 ")</f>
        <v xml:space="preserve">http://slimages.macys.com/is/image/MCY/21550664 </v>
      </c>
    </row>
    <row r="339" spans="1:14" ht="24.75" x14ac:dyDescent="0.25">
      <c r="A339" s="21" t="s">
        <v>18423</v>
      </c>
      <c r="B339" s="22" t="s">
        <v>18424</v>
      </c>
      <c r="C339" s="2">
        <v>1</v>
      </c>
      <c r="D339" s="23">
        <v>9.99</v>
      </c>
      <c r="E339" s="3">
        <v>9.99</v>
      </c>
      <c r="F339" s="2" t="s">
        <v>18425</v>
      </c>
      <c r="G339" s="22" t="s">
        <v>20306</v>
      </c>
      <c r="H339" s="24" t="s">
        <v>19797</v>
      </c>
      <c r="I339" s="22" t="s">
        <v>19309</v>
      </c>
      <c r="J339" s="22" t="s">
        <v>19447</v>
      </c>
      <c r="K339" s="22" t="s">
        <v>19873</v>
      </c>
      <c r="L339" s="22"/>
      <c r="M339" s="22"/>
      <c r="N339" s="25" t="str">
        <f>HYPERLINK("http://slimages.macys.com/is/image/MCY/21465717 ")</f>
        <v xml:space="preserve">http://slimages.macys.com/is/image/MCY/21465717 </v>
      </c>
    </row>
    <row r="340" spans="1:14" ht="24.75" x14ac:dyDescent="0.25">
      <c r="A340" s="21" t="s">
        <v>18426</v>
      </c>
      <c r="B340" s="22" t="s">
        <v>18427</v>
      </c>
      <c r="C340" s="2">
        <v>1</v>
      </c>
      <c r="D340" s="23">
        <v>8.99</v>
      </c>
      <c r="E340" s="3">
        <v>8.99</v>
      </c>
      <c r="F340" s="2" t="s">
        <v>18428</v>
      </c>
      <c r="G340" s="22" t="s">
        <v>18429</v>
      </c>
      <c r="H340" s="24" t="s">
        <v>19361</v>
      </c>
      <c r="I340" s="22" t="s">
        <v>19309</v>
      </c>
      <c r="J340" s="22" t="s">
        <v>19310</v>
      </c>
      <c r="K340" s="22" t="s">
        <v>19468</v>
      </c>
      <c r="L340" s="22"/>
      <c r="M340" s="22"/>
      <c r="N340" s="25" t="str">
        <f>HYPERLINK("http://slimages.macys.com/is/image/MCY/21184204 ")</f>
        <v xml:space="preserve">http://slimages.macys.com/is/image/MCY/21184204 </v>
      </c>
    </row>
    <row r="341" spans="1:14" x14ac:dyDescent="0.25">
      <c r="A341" s="21" t="s">
        <v>18430</v>
      </c>
      <c r="B341" s="22" t="s">
        <v>18431</v>
      </c>
      <c r="C341" s="2">
        <v>1</v>
      </c>
      <c r="D341" s="23">
        <v>8.99</v>
      </c>
      <c r="E341" s="3">
        <v>8.99</v>
      </c>
      <c r="F341" s="2" t="s">
        <v>18432</v>
      </c>
      <c r="G341" s="22" t="s">
        <v>19315</v>
      </c>
      <c r="H341" s="24" t="s">
        <v>19361</v>
      </c>
      <c r="I341" s="22" t="s">
        <v>19309</v>
      </c>
      <c r="J341" s="22" t="s">
        <v>19310</v>
      </c>
      <c r="K341" s="22" t="s">
        <v>19468</v>
      </c>
      <c r="L341" s="22"/>
      <c r="M341" s="22"/>
      <c r="N341" s="25" t="str">
        <f>HYPERLINK("http://slimages.macys.com/is/image/MCY/20663258 ")</f>
        <v xml:space="preserve">http://slimages.macys.com/is/image/MCY/20663258 </v>
      </c>
    </row>
    <row r="342" spans="1:14" ht="24.75" x14ac:dyDescent="0.25">
      <c r="A342" s="21" t="s">
        <v>18433</v>
      </c>
      <c r="B342" s="22" t="s">
        <v>18434</v>
      </c>
      <c r="C342" s="2">
        <v>1</v>
      </c>
      <c r="D342" s="23">
        <v>8.99</v>
      </c>
      <c r="E342" s="3">
        <v>8.99</v>
      </c>
      <c r="F342" s="2" t="s">
        <v>18435</v>
      </c>
      <c r="G342" s="22" t="s">
        <v>18429</v>
      </c>
      <c r="H342" s="24" t="s">
        <v>19364</v>
      </c>
      <c r="I342" s="22" t="s">
        <v>19309</v>
      </c>
      <c r="J342" s="22" t="s">
        <v>19310</v>
      </c>
      <c r="K342" s="22" t="s">
        <v>19873</v>
      </c>
      <c r="L342" s="22"/>
      <c r="M342" s="22"/>
      <c r="N342" s="25" t="str">
        <f>HYPERLINK("http://slimages.macys.com/is/image/MCY/20663278 ")</f>
        <v xml:space="preserve">http://slimages.macys.com/is/image/MCY/20663278 </v>
      </c>
    </row>
    <row r="343" spans="1:14" ht="24.75" x14ac:dyDescent="0.25">
      <c r="A343" s="21" t="s">
        <v>18436</v>
      </c>
      <c r="B343" s="22" t="s">
        <v>18437</v>
      </c>
      <c r="C343" s="2">
        <v>1</v>
      </c>
      <c r="D343" s="23">
        <v>8.99</v>
      </c>
      <c r="E343" s="3">
        <v>8.99</v>
      </c>
      <c r="F343" s="2" t="s">
        <v>18438</v>
      </c>
      <c r="G343" s="22" t="s">
        <v>18439</v>
      </c>
      <c r="H343" s="24" t="s">
        <v>19352</v>
      </c>
      <c r="I343" s="22" t="s">
        <v>19309</v>
      </c>
      <c r="J343" s="22" t="s">
        <v>19310</v>
      </c>
      <c r="K343" s="22" t="s">
        <v>19873</v>
      </c>
      <c r="L343" s="22"/>
      <c r="M343" s="22"/>
      <c r="N343" s="25" t="str">
        <f>HYPERLINK("http://slimages.macys.com/is/image/MCY/21176783 ")</f>
        <v xml:space="preserve">http://slimages.macys.com/is/image/MCY/21176783 </v>
      </c>
    </row>
    <row r="344" spans="1:14" ht="24.75" x14ac:dyDescent="0.25">
      <c r="A344" s="21" t="s">
        <v>18440</v>
      </c>
      <c r="B344" s="22" t="s">
        <v>18441</v>
      </c>
      <c r="C344" s="2">
        <v>1</v>
      </c>
      <c r="D344" s="23">
        <v>8.99</v>
      </c>
      <c r="E344" s="3">
        <v>8.99</v>
      </c>
      <c r="F344" s="2" t="s">
        <v>18428</v>
      </c>
      <c r="G344" s="22" t="s">
        <v>18429</v>
      </c>
      <c r="H344" s="24" t="s">
        <v>19432</v>
      </c>
      <c r="I344" s="22" t="s">
        <v>19309</v>
      </c>
      <c r="J344" s="22" t="s">
        <v>19310</v>
      </c>
      <c r="K344" s="22" t="s">
        <v>19468</v>
      </c>
      <c r="L344" s="22"/>
      <c r="M344" s="22"/>
      <c r="N344" s="25" t="str">
        <f>HYPERLINK("http://slimages.macys.com/is/image/MCY/21184204 ")</f>
        <v xml:space="preserve">http://slimages.macys.com/is/image/MCY/21184204 </v>
      </c>
    </row>
    <row r="345" spans="1:14" ht="24.75" x14ac:dyDescent="0.25">
      <c r="A345" s="21" t="s">
        <v>18442</v>
      </c>
      <c r="B345" s="22" t="s">
        <v>18443</v>
      </c>
      <c r="C345" s="2">
        <v>1</v>
      </c>
      <c r="D345" s="23">
        <v>8.99</v>
      </c>
      <c r="E345" s="3">
        <v>8.99</v>
      </c>
      <c r="F345" s="2" t="s">
        <v>18428</v>
      </c>
      <c r="G345" s="22" t="s">
        <v>18429</v>
      </c>
      <c r="H345" s="24" t="s">
        <v>19542</v>
      </c>
      <c r="I345" s="22" t="s">
        <v>19309</v>
      </c>
      <c r="J345" s="22" t="s">
        <v>19310</v>
      </c>
      <c r="K345" s="22" t="s">
        <v>19468</v>
      </c>
      <c r="L345" s="22"/>
      <c r="M345" s="22"/>
      <c r="N345" s="25" t="str">
        <f>HYPERLINK("http://slimages.macys.com/is/image/MCY/21184204 ")</f>
        <v xml:space="preserve">http://slimages.macys.com/is/image/MCY/21184204 </v>
      </c>
    </row>
    <row r="346" spans="1:14" x14ac:dyDescent="0.25">
      <c r="A346" s="21" t="s">
        <v>18444</v>
      </c>
      <c r="B346" s="22" t="s">
        <v>18445</v>
      </c>
      <c r="C346" s="2">
        <v>1</v>
      </c>
      <c r="D346" s="23">
        <v>8.99</v>
      </c>
      <c r="E346" s="3">
        <v>8.99</v>
      </c>
      <c r="F346" s="2" t="s">
        <v>18432</v>
      </c>
      <c r="G346" s="22" t="s">
        <v>19315</v>
      </c>
      <c r="H346" s="24" t="s">
        <v>19334</v>
      </c>
      <c r="I346" s="22" t="s">
        <v>19309</v>
      </c>
      <c r="J346" s="22" t="s">
        <v>19310</v>
      </c>
      <c r="K346" s="22" t="s">
        <v>19468</v>
      </c>
      <c r="L346" s="22"/>
      <c r="M346" s="22"/>
      <c r="N346" s="25" t="str">
        <f>HYPERLINK("http://slimages.macys.com/is/image/MCY/20663256 ")</f>
        <v xml:space="preserve">http://slimages.macys.com/is/image/MCY/20663256 </v>
      </c>
    </row>
    <row r="347" spans="1:14" ht="24.75" x14ac:dyDescent="0.25">
      <c r="A347" s="21" t="s">
        <v>18446</v>
      </c>
      <c r="B347" s="22" t="s">
        <v>18447</v>
      </c>
      <c r="C347" s="2">
        <v>1</v>
      </c>
      <c r="D347" s="23">
        <v>28</v>
      </c>
      <c r="E347" s="3">
        <v>28</v>
      </c>
      <c r="F347" s="2" t="s">
        <v>18448</v>
      </c>
      <c r="G347" s="22"/>
      <c r="H347" s="24" t="s">
        <v>19384</v>
      </c>
      <c r="I347" s="22" t="s">
        <v>19309</v>
      </c>
      <c r="J347" s="22" t="s">
        <v>19417</v>
      </c>
      <c r="K347" s="22" t="s">
        <v>18387</v>
      </c>
      <c r="L347" s="22"/>
      <c r="M347" s="22"/>
      <c r="N347" s="25" t="str">
        <f>HYPERLINK("http://slimages.macys.com/is/image/MCY/21530197 ")</f>
        <v xml:space="preserve">http://slimages.macys.com/is/image/MCY/21530197 </v>
      </c>
    </row>
    <row r="348" spans="1:14" x14ac:dyDescent="0.25">
      <c r="A348" s="21" t="s">
        <v>18449</v>
      </c>
      <c r="B348" s="22" t="s">
        <v>18450</v>
      </c>
      <c r="C348" s="2">
        <v>2</v>
      </c>
      <c r="D348" s="23">
        <v>15.99</v>
      </c>
      <c r="E348" s="3">
        <v>31.98</v>
      </c>
      <c r="F348" s="2" t="s">
        <v>18451</v>
      </c>
      <c r="G348" s="22" t="s">
        <v>19315</v>
      </c>
      <c r="H348" s="24" t="s">
        <v>19352</v>
      </c>
      <c r="I348" s="22" t="s">
        <v>19309</v>
      </c>
      <c r="J348" s="22" t="s">
        <v>19849</v>
      </c>
      <c r="K348" s="22" t="s">
        <v>19850</v>
      </c>
      <c r="L348" s="22"/>
      <c r="M348" s="22"/>
      <c r="N348" s="25" t="str">
        <f>HYPERLINK("http://slimages.macys.com/is/image/MCY/21373795 ")</f>
        <v xml:space="preserve">http://slimages.macys.com/is/image/MCY/21373795 </v>
      </c>
    </row>
    <row r="349" spans="1:14" ht="24.75" x14ac:dyDescent="0.25">
      <c r="A349" s="21" t="s">
        <v>18452</v>
      </c>
      <c r="B349" s="22" t="s">
        <v>18453</v>
      </c>
      <c r="C349" s="2">
        <v>1</v>
      </c>
      <c r="D349" s="23">
        <v>12.35</v>
      </c>
      <c r="E349" s="3">
        <v>12.35</v>
      </c>
      <c r="F349" s="2" t="s">
        <v>18454</v>
      </c>
      <c r="G349" s="22"/>
      <c r="H349" s="24"/>
      <c r="I349" s="22" t="s">
        <v>19309</v>
      </c>
      <c r="J349" s="22" t="s">
        <v>19602</v>
      </c>
      <c r="K349" s="22" t="s">
        <v>19603</v>
      </c>
      <c r="L349" s="22"/>
      <c r="M349" s="22"/>
      <c r="N349" s="25" t="str">
        <f>HYPERLINK("http://slimages.macys.com/is/image/MCY/22405799 ")</f>
        <v xml:space="preserve">http://slimages.macys.com/is/image/MCY/22405799 </v>
      </c>
    </row>
    <row r="350" spans="1:14" x14ac:dyDescent="0.25">
      <c r="A350" s="21" t="s">
        <v>18455</v>
      </c>
      <c r="B350" s="22" t="s">
        <v>18456</v>
      </c>
      <c r="C350" s="2">
        <v>1</v>
      </c>
      <c r="D350" s="23">
        <v>13.99</v>
      </c>
      <c r="E350" s="3">
        <v>13.99</v>
      </c>
      <c r="F350" s="2" t="s">
        <v>18457</v>
      </c>
      <c r="G350" s="22" t="s">
        <v>19670</v>
      </c>
      <c r="H350" s="24" t="s">
        <v>20135</v>
      </c>
      <c r="I350" s="22" t="s">
        <v>19309</v>
      </c>
      <c r="J350" s="22" t="s">
        <v>19849</v>
      </c>
      <c r="K350" s="22" t="s">
        <v>19850</v>
      </c>
      <c r="L350" s="22"/>
      <c r="M350" s="22"/>
      <c r="N350" s="25" t="str">
        <f>HYPERLINK("http://slimages.macys.com/is/image/MCY/21270275 ")</f>
        <v xml:space="preserve">http://slimages.macys.com/is/image/MCY/21270275 </v>
      </c>
    </row>
    <row r="351" spans="1:14" x14ac:dyDescent="0.25">
      <c r="A351" s="21" t="s">
        <v>18458</v>
      </c>
      <c r="B351" s="22" t="s">
        <v>18459</v>
      </c>
      <c r="C351" s="2">
        <v>1</v>
      </c>
      <c r="D351" s="23">
        <v>13.99</v>
      </c>
      <c r="E351" s="3">
        <v>13.99</v>
      </c>
      <c r="F351" s="2" t="s">
        <v>18457</v>
      </c>
      <c r="G351" s="22" t="s">
        <v>19670</v>
      </c>
      <c r="H351" s="24" t="s">
        <v>19542</v>
      </c>
      <c r="I351" s="22" t="s">
        <v>19309</v>
      </c>
      <c r="J351" s="22" t="s">
        <v>19849</v>
      </c>
      <c r="K351" s="22" t="s">
        <v>19850</v>
      </c>
      <c r="L351" s="22"/>
      <c r="M351" s="22"/>
      <c r="N351" s="25" t="str">
        <f>HYPERLINK("http://slimages.macys.com/is/image/MCY/21270275 ")</f>
        <v xml:space="preserve">http://slimages.macys.com/is/image/MCY/21270275 </v>
      </c>
    </row>
    <row r="352" spans="1:14" x14ac:dyDescent="0.25">
      <c r="A352" s="21" t="s">
        <v>18460</v>
      </c>
      <c r="B352" s="22" t="s">
        <v>18461</v>
      </c>
      <c r="C352" s="2">
        <v>1</v>
      </c>
      <c r="D352" s="23">
        <v>15.99</v>
      </c>
      <c r="E352" s="3">
        <v>15.99</v>
      </c>
      <c r="F352" s="2" t="s">
        <v>18462</v>
      </c>
      <c r="G352" s="22" t="s">
        <v>19674</v>
      </c>
      <c r="H352" s="24" t="s">
        <v>20135</v>
      </c>
      <c r="I352" s="22" t="s">
        <v>19309</v>
      </c>
      <c r="J352" s="22" t="s">
        <v>19849</v>
      </c>
      <c r="K352" s="22" t="s">
        <v>19850</v>
      </c>
      <c r="L352" s="22"/>
      <c r="M352" s="22"/>
      <c r="N352" s="25" t="str">
        <f>HYPERLINK("http://slimages.macys.com/is/image/MCY/20549437 ")</f>
        <v xml:space="preserve">http://slimages.macys.com/is/image/MCY/20549437 </v>
      </c>
    </row>
    <row r="353" spans="1:14" x14ac:dyDescent="0.25">
      <c r="A353" s="21" t="s">
        <v>18463</v>
      </c>
      <c r="B353" s="22" t="s">
        <v>18464</v>
      </c>
      <c r="C353" s="2">
        <v>1</v>
      </c>
      <c r="D353" s="23">
        <v>16.989999999999998</v>
      </c>
      <c r="E353" s="3">
        <v>16.989999999999998</v>
      </c>
      <c r="F353" s="2" t="s">
        <v>18465</v>
      </c>
      <c r="G353" s="22" t="s">
        <v>19431</v>
      </c>
      <c r="H353" s="24" t="s">
        <v>19907</v>
      </c>
      <c r="I353" s="22" t="s">
        <v>19309</v>
      </c>
      <c r="J353" s="22" t="s">
        <v>19849</v>
      </c>
      <c r="K353" s="22" t="s">
        <v>19850</v>
      </c>
      <c r="L353" s="22"/>
      <c r="M353" s="22"/>
      <c r="N353" s="25" t="str">
        <f>HYPERLINK("http://slimages.macys.com/is/image/MCY/20751991 ")</f>
        <v xml:space="preserve">http://slimages.macys.com/is/image/MCY/20751991 </v>
      </c>
    </row>
    <row r="354" spans="1:14" x14ac:dyDescent="0.25">
      <c r="A354" s="21" t="s">
        <v>18466</v>
      </c>
      <c r="B354" s="22" t="s">
        <v>18467</v>
      </c>
      <c r="C354" s="2">
        <v>1</v>
      </c>
      <c r="D354" s="23">
        <v>16.989999999999998</v>
      </c>
      <c r="E354" s="3">
        <v>16.989999999999998</v>
      </c>
      <c r="F354" s="2" t="s">
        <v>18465</v>
      </c>
      <c r="G354" s="22" t="s">
        <v>19431</v>
      </c>
      <c r="H354" s="24" t="s">
        <v>20089</v>
      </c>
      <c r="I354" s="22" t="s">
        <v>19309</v>
      </c>
      <c r="J354" s="22" t="s">
        <v>19849</v>
      </c>
      <c r="K354" s="22" t="s">
        <v>19850</v>
      </c>
      <c r="L354" s="22"/>
      <c r="M354" s="22"/>
      <c r="N354" s="25" t="str">
        <f>HYPERLINK("http://slimages.macys.com/is/image/MCY/20751991 ")</f>
        <v xml:space="preserve">http://slimages.macys.com/is/image/MCY/20751991 </v>
      </c>
    </row>
    <row r="355" spans="1:14" ht="24.75" x14ac:dyDescent="0.25">
      <c r="A355" s="21" t="s">
        <v>18468</v>
      </c>
      <c r="B355" s="22" t="s">
        <v>18469</v>
      </c>
      <c r="C355" s="2">
        <v>1</v>
      </c>
      <c r="D355" s="23">
        <v>13.99</v>
      </c>
      <c r="E355" s="3">
        <v>13.99</v>
      </c>
      <c r="F355" s="2" t="s">
        <v>18470</v>
      </c>
      <c r="G355" s="22" t="s">
        <v>19351</v>
      </c>
      <c r="H355" s="24" t="s">
        <v>19384</v>
      </c>
      <c r="I355" s="22" t="s">
        <v>19309</v>
      </c>
      <c r="J355" s="22" t="s">
        <v>19573</v>
      </c>
      <c r="K355" s="22" t="s">
        <v>19574</v>
      </c>
      <c r="L355" s="22"/>
      <c r="M355" s="22"/>
      <c r="N355" s="25" t="str">
        <f>HYPERLINK("http://slimages.macys.com/is/image/MCY/21361742 ")</f>
        <v xml:space="preserve">http://slimages.macys.com/is/image/MCY/21361742 </v>
      </c>
    </row>
    <row r="356" spans="1:14" ht="24.75" x14ac:dyDescent="0.25">
      <c r="A356" s="21" t="s">
        <v>18471</v>
      </c>
      <c r="B356" s="22" t="s">
        <v>18472</v>
      </c>
      <c r="C356" s="2">
        <v>1</v>
      </c>
      <c r="D356" s="23">
        <v>13.99</v>
      </c>
      <c r="E356" s="3">
        <v>13.99</v>
      </c>
      <c r="F356" s="2" t="s">
        <v>18473</v>
      </c>
      <c r="G356" s="22" t="s">
        <v>19462</v>
      </c>
      <c r="H356" s="24" t="s">
        <v>19797</v>
      </c>
      <c r="I356" s="22" t="s">
        <v>19309</v>
      </c>
      <c r="J356" s="22" t="s">
        <v>19353</v>
      </c>
      <c r="K356" s="22" t="s">
        <v>19524</v>
      </c>
      <c r="L356" s="22"/>
      <c r="M356" s="22"/>
      <c r="N356" s="25" t="str">
        <f>HYPERLINK("http://slimages.macys.com/is/image/MCY/1569213 ")</f>
        <v xml:space="preserve">http://slimages.macys.com/is/image/MCY/1569213 </v>
      </c>
    </row>
    <row r="357" spans="1:14" x14ac:dyDescent="0.25">
      <c r="A357" s="21" t="s">
        <v>18474</v>
      </c>
      <c r="B357" s="22" t="s">
        <v>18475</v>
      </c>
      <c r="C357" s="2">
        <v>2</v>
      </c>
      <c r="D357" s="23">
        <v>13.77</v>
      </c>
      <c r="E357" s="3">
        <v>27.54</v>
      </c>
      <c r="F357" s="2" t="s">
        <v>18476</v>
      </c>
      <c r="G357" s="22"/>
      <c r="H357" s="24" t="s">
        <v>19324</v>
      </c>
      <c r="I357" s="22" t="s">
        <v>19309</v>
      </c>
      <c r="J357" s="22" t="s">
        <v>19708</v>
      </c>
      <c r="K357" s="22" t="s">
        <v>19709</v>
      </c>
      <c r="L357" s="22"/>
      <c r="M357" s="22"/>
      <c r="N357" s="25" t="str">
        <f>HYPERLINK("http://slimages.macys.com/is/image/MCY/21758809 ")</f>
        <v xml:space="preserve">http://slimages.macys.com/is/image/MCY/21758809 </v>
      </c>
    </row>
    <row r="358" spans="1:14" ht="24.75" x14ac:dyDescent="0.25">
      <c r="A358" s="21" t="s">
        <v>18477</v>
      </c>
      <c r="B358" s="22" t="s">
        <v>18478</v>
      </c>
      <c r="C358" s="2">
        <v>1</v>
      </c>
      <c r="D358" s="23">
        <v>12.11</v>
      </c>
      <c r="E358" s="3">
        <v>12.11</v>
      </c>
      <c r="F358" s="2" t="s">
        <v>18479</v>
      </c>
      <c r="G358" s="22" t="s">
        <v>19431</v>
      </c>
      <c r="H358" s="24" t="s">
        <v>19399</v>
      </c>
      <c r="I358" s="22" t="s">
        <v>19309</v>
      </c>
      <c r="J358" s="22" t="s">
        <v>19602</v>
      </c>
      <c r="K358" s="22" t="s">
        <v>20041</v>
      </c>
      <c r="L358" s="22"/>
      <c r="M358" s="22"/>
      <c r="N358" s="25" t="str">
        <f>HYPERLINK("http://slimages.macys.com/is/image/MCY/21421153 ")</f>
        <v xml:space="preserve">http://slimages.macys.com/is/image/MCY/21421153 </v>
      </c>
    </row>
    <row r="359" spans="1:14" x14ac:dyDescent="0.25">
      <c r="A359" s="21" t="s">
        <v>18480</v>
      </c>
      <c r="B359" s="22" t="s">
        <v>18481</v>
      </c>
      <c r="C359" s="2">
        <v>1</v>
      </c>
      <c r="D359" s="23">
        <v>13.77</v>
      </c>
      <c r="E359" s="3">
        <v>13.77</v>
      </c>
      <c r="F359" s="2" t="s">
        <v>18476</v>
      </c>
      <c r="G359" s="22"/>
      <c r="H359" s="24" t="s">
        <v>19416</v>
      </c>
      <c r="I359" s="22" t="s">
        <v>19309</v>
      </c>
      <c r="J359" s="22" t="s">
        <v>19708</v>
      </c>
      <c r="K359" s="22" t="s">
        <v>19709</v>
      </c>
      <c r="L359" s="22"/>
      <c r="M359" s="22"/>
      <c r="N359" s="25" t="str">
        <f>HYPERLINK("http://slimages.macys.com/is/image/MCY/21758809 ")</f>
        <v xml:space="preserve">http://slimages.macys.com/is/image/MCY/21758809 </v>
      </c>
    </row>
    <row r="360" spans="1:14" x14ac:dyDescent="0.25">
      <c r="A360" s="21" t="s">
        <v>18482</v>
      </c>
      <c r="B360" s="22" t="s">
        <v>18483</v>
      </c>
      <c r="C360" s="2">
        <v>1</v>
      </c>
      <c r="D360" s="23">
        <v>13.77</v>
      </c>
      <c r="E360" s="3">
        <v>13.77</v>
      </c>
      <c r="F360" s="2" t="s">
        <v>18476</v>
      </c>
      <c r="G360" s="22"/>
      <c r="H360" s="24" t="s">
        <v>19330</v>
      </c>
      <c r="I360" s="22" t="s">
        <v>19309</v>
      </c>
      <c r="J360" s="22" t="s">
        <v>19708</v>
      </c>
      <c r="K360" s="22" t="s">
        <v>19709</v>
      </c>
      <c r="L360" s="22"/>
      <c r="M360" s="22"/>
      <c r="N360" s="25" t="str">
        <f>HYPERLINK("http://slimages.macys.com/is/image/MCY/21758809 ")</f>
        <v xml:space="preserve">http://slimages.macys.com/is/image/MCY/21758809 </v>
      </c>
    </row>
    <row r="361" spans="1:14" x14ac:dyDescent="0.25">
      <c r="A361" s="21" t="s">
        <v>18484</v>
      </c>
      <c r="B361" s="22" t="s">
        <v>18485</v>
      </c>
      <c r="C361" s="2">
        <v>1</v>
      </c>
      <c r="D361" s="23">
        <v>13.77</v>
      </c>
      <c r="E361" s="3">
        <v>13.77</v>
      </c>
      <c r="F361" s="2" t="s">
        <v>18476</v>
      </c>
      <c r="G361" s="22"/>
      <c r="H361" s="24" t="s">
        <v>20159</v>
      </c>
      <c r="I361" s="22" t="s">
        <v>19309</v>
      </c>
      <c r="J361" s="22" t="s">
        <v>19708</v>
      </c>
      <c r="K361" s="22" t="s">
        <v>19709</v>
      </c>
      <c r="L361" s="22"/>
      <c r="M361" s="22"/>
      <c r="N361" s="25" t="str">
        <f>HYPERLINK("http://slimages.macys.com/is/image/MCY/21758809 ")</f>
        <v xml:space="preserve">http://slimages.macys.com/is/image/MCY/21758809 </v>
      </c>
    </row>
    <row r="362" spans="1:14" x14ac:dyDescent="0.25">
      <c r="A362" s="21" t="s">
        <v>18486</v>
      </c>
      <c r="B362" s="22" t="s">
        <v>18487</v>
      </c>
      <c r="C362" s="2">
        <v>1</v>
      </c>
      <c r="D362" s="23">
        <v>13.77</v>
      </c>
      <c r="E362" s="3">
        <v>13.77</v>
      </c>
      <c r="F362" s="2" t="s">
        <v>18476</v>
      </c>
      <c r="G362" s="22"/>
      <c r="H362" s="24" t="s">
        <v>19367</v>
      </c>
      <c r="I362" s="22" t="s">
        <v>19309</v>
      </c>
      <c r="J362" s="22" t="s">
        <v>19708</v>
      </c>
      <c r="K362" s="22" t="s">
        <v>19709</v>
      </c>
      <c r="L362" s="22"/>
      <c r="M362" s="22"/>
      <c r="N362" s="25" t="str">
        <f>HYPERLINK("http://slimages.macys.com/is/image/MCY/21758809 ")</f>
        <v xml:space="preserve">http://slimages.macys.com/is/image/MCY/21758809 </v>
      </c>
    </row>
    <row r="363" spans="1:14" ht="24.75" x14ac:dyDescent="0.25">
      <c r="A363" s="21" t="s">
        <v>18488</v>
      </c>
      <c r="B363" s="22" t="s">
        <v>18489</v>
      </c>
      <c r="C363" s="2">
        <v>1</v>
      </c>
      <c r="D363" s="23">
        <v>13.99</v>
      </c>
      <c r="E363" s="3">
        <v>13.99</v>
      </c>
      <c r="F363" s="2" t="s">
        <v>18490</v>
      </c>
      <c r="G363" s="22" t="s">
        <v>19351</v>
      </c>
      <c r="H363" s="24" t="s">
        <v>19339</v>
      </c>
      <c r="I363" s="22" t="s">
        <v>19309</v>
      </c>
      <c r="J363" s="22" t="s">
        <v>19353</v>
      </c>
      <c r="K363" s="22" t="s">
        <v>19524</v>
      </c>
      <c r="L363" s="22"/>
      <c r="M363" s="22"/>
      <c r="N363" s="25" t="str">
        <f>HYPERLINK("http://slimages.macys.com/is/image/MCY/21233443 ")</f>
        <v xml:space="preserve">http://slimages.macys.com/is/image/MCY/21233443 </v>
      </c>
    </row>
    <row r="364" spans="1:14" x14ac:dyDescent="0.25">
      <c r="A364" s="21" t="s">
        <v>18491</v>
      </c>
      <c r="B364" s="22" t="s">
        <v>18492</v>
      </c>
      <c r="C364" s="2">
        <v>1</v>
      </c>
      <c r="D364" s="23">
        <v>11.99</v>
      </c>
      <c r="E364" s="3">
        <v>11.99</v>
      </c>
      <c r="F364" s="2" t="s">
        <v>18493</v>
      </c>
      <c r="G364" s="22" t="s">
        <v>19477</v>
      </c>
      <c r="H364" s="24" t="s">
        <v>19352</v>
      </c>
      <c r="I364" s="22" t="s">
        <v>19309</v>
      </c>
      <c r="J364" s="22" t="s">
        <v>19849</v>
      </c>
      <c r="K364" s="22" t="s">
        <v>19850</v>
      </c>
      <c r="L364" s="22"/>
      <c r="M364" s="22"/>
      <c r="N364" s="25" t="str">
        <f>HYPERLINK("http://slimages.macys.com/is/image/MCY/20549452 ")</f>
        <v xml:space="preserve">http://slimages.macys.com/is/image/MCY/20549452 </v>
      </c>
    </row>
    <row r="365" spans="1:14" ht="24.75" x14ac:dyDescent="0.25">
      <c r="A365" s="21" t="s">
        <v>18494</v>
      </c>
      <c r="B365" s="22" t="s">
        <v>18495</v>
      </c>
      <c r="C365" s="2">
        <v>1</v>
      </c>
      <c r="D365" s="23">
        <v>14.99</v>
      </c>
      <c r="E365" s="3">
        <v>14.99</v>
      </c>
      <c r="F365" s="2" t="s">
        <v>18496</v>
      </c>
      <c r="G365" s="22" t="s">
        <v>19415</v>
      </c>
      <c r="H365" s="24" t="s">
        <v>18497</v>
      </c>
      <c r="I365" s="22" t="s">
        <v>19309</v>
      </c>
      <c r="J365" s="22" t="s">
        <v>19595</v>
      </c>
      <c r="K365" s="22" t="s">
        <v>18498</v>
      </c>
      <c r="L365" s="22"/>
      <c r="M365" s="22"/>
      <c r="N365" s="25" t="str">
        <f>HYPERLINK("http://slimages.macys.com/is/image/MCY/21693788 ")</f>
        <v xml:space="preserve">http://slimages.macys.com/is/image/MCY/21693788 </v>
      </c>
    </row>
    <row r="366" spans="1:14" ht="24.75" x14ac:dyDescent="0.25">
      <c r="A366" s="21" t="s">
        <v>18499</v>
      </c>
      <c r="B366" s="22" t="s">
        <v>18500</v>
      </c>
      <c r="C366" s="2">
        <v>1</v>
      </c>
      <c r="D366" s="23">
        <v>14.99</v>
      </c>
      <c r="E366" s="3">
        <v>14.99</v>
      </c>
      <c r="F366" s="2" t="s">
        <v>18501</v>
      </c>
      <c r="G366" s="22" t="s">
        <v>19431</v>
      </c>
      <c r="H366" s="24" t="s">
        <v>18502</v>
      </c>
      <c r="I366" s="22" t="s">
        <v>19309</v>
      </c>
      <c r="J366" s="22" t="s">
        <v>19595</v>
      </c>
      <c r="K366" s="22" t="s">
        <v>18498</v>
      </c>
      <c r="L366" s="22"/>
      <c r="M366" s="22"/>
      <c r="N366" s="25" t="str">
        <f>HYPERLINK("http://slimages.macys.com/is/image/MCY/21365889 ")</f>
        <v xml:space="preserve">http://slimages.macys.com/is/image/MCY/21365889 </v>
      </c>
    </row>
    <row r="367" spans="1:14" ht="24.75" x14ac:dyDescent="0.25">
      <c r="A367" s="21" t="s">
        <v>18503</v>
      </c>
      <c r="B367" s="22" t="s">
        <v>18504</v>
      </c>
      <c r="C367" s="2">
        <v>1</v>
      </c>
      <c r="D367" s="23">
        <v>14.99</v>
      </c>
      <c r="E367" s="3">
        <v>14.99</v>
      </c>
      <c r="F367" s="2" t="s">
        <v>18501</v>
      </c>
      <c r="G367" s="22" t="s">
        <v>19323</v>
      </c>
      <c r="H367" s="24" t="s">
        <v>18502</v>
      </c>
      <c r="I367" s="22" t="s">
        <v>19309</v>
      </c>
      <c r="J367" s="22" t="s">
        <v>19595</v>
      </c>
      <c r="K367" s="22" t="s">
        <v>18498</v>
      </c>
      <c r="L367" s="22"/>
      <c r="M367" s="22"/>
      <c r="N367" s="25" t="str">
        <f>HYPERLINK("http://slimages.macys.com/is/image/MCY/21365889 ")</f>
        <v xml:space="preserve">http://slimages.macys.com/is/image/MCY/21365889 </v>
      </c>
    </row>
    <row r="368" spans="1:14" ht="24.75" x14ac:dyDescent="0.25">
      <c r="A368" s="21" t="s">
        <v>18505</v>
      </c>
      <c r="B368" s="22" t="s">
        <v>18506</v>
      </c>
      <c r="C368" s="2">
        <v>1</v>
      </c>
      <c r="D368" s="23">
        <v>14.99</v>
      </c>
      <c r="E368" s="3">
        <v>14.99</v>
      </c>
      <c r="F368" s="2" t="s">
        <v>18501</v>
      </c>
      <c r="G368" s="22" t="s">
        <v>19323</v>
      </c>
      <c r="H368" s="24" t="s">
        <v>18507</v>
      </c>
      <c r="I368" s="22" t="s">
        <v>19309</v>
      </c>
      <c r="J368" s="22" t="s">
        <v>19595</v>
      </c>
      <c r="K368" s="22" t="s">
        <v>18498</v>
      </c>
      <c r="L368" s="22"/>
      <c r="M368" s="22"/>
      <c r="N368" s="25" t="str">
        <f>HYPERLINK("http://slimages.macys.com/is/image/MCY/21365889 ")</f>
        <v xml:space="preserve">http://slimages.macys.com/is/image/MCY/21365889 </v>
      </c>
    </row>
    <row r="369" spans="1:14" ht="24.75" x14ac:dyDescent="0.25">
      <c r="A369" s="21" t="s">
        <v>18508</v>
      </c>
      <c r="B369" s="22" t="s">
        <v>18495</v>
      </c>
      <c r="C369" s="2">
        <v>1</v>
      </c>
      <c r="D369" s="23">
        <v>14.99</v>
      </c>
      <c r="E369" s="3">
        <v>14.99</v>
      </c>
      <c r="F369" s="2" t="s">
        <v>18501</v>
      </c>
      <c r="G369" s="22" t="s">
        <v>19323</v>
      </c>
      <c r="H369" s="24" t="s">
        <v>18497</v>
      </c>
      <c r="I369" s="22" t="s">
        <v>19309</v>
      </c>
      <c r="J369" s="22" t="s">
        <v>19595</v>
      </c>
      <c r="K369" s="22" t="s">
        <v>18498</v>
      </c>
      <c r="L369" s="22"/>
      <c r="M369" s="22"/>
      <c r="N369" s="25" t="str">
        <f>HYPERLINK("http://slimages.macys.com/is/image/MCY/21365889 ")</f>
        <v xml:space="preserve">http://slimages.macys.com/is/image/MCY/21365889 </v>
      </c>
    </row>
    <row r="370" spans="1:14" ht="24.75" x14ac:dyDescent="0.25">
      <c r="A370" s="21" t="s">
        <v>18509</v>
      </c>
      <c r="B370" s="22" t="s">
        <v>18510</v>
      </c>
      <c r="C370" s="2">
        <v>1</v>
      </c>
      <c r="D370" s="23">
        <v>14.99</v>
      </c>
      <c r="E370" s="3">
        <v>14.99</v>
      </c>
      <c r="F370" s="2" t="s">
        <v>18496</v>
      </c>
      <c r="G370" s="22" t="s">
        <v>19422</v>
      </c>
      <c r="H370" s="24" t="s">
        <v>18497</v>
      </c>
      <c r="I370" s="22" t="s">
        <v>19309</v>
      </c>
      <c r="J370" s="22" t="s">
        <v>19595</v>
      </c>
      <c r="K370" s="22" t="s">
        <v>18498</v>
      </c>
      <c r="L370" s="22"/>
      <c r="M370" s="22"/>
      <c r="N370" s="25" t="str">
        <f>HYPERLINK("http://slimages.macys.com/is/image/MCY/21693788 ")</f>
        <v xml:space="preserve">http://slimages.macys.com/is/image/MCY/21693788 </v>
      </c>
    </row>
    <row r="371" spans="1:14" ht="24.75" x14ac:dyDescent="0.25">
      <c r="A371" s="21" t="s">
        <v>18511</v>
      </c>
      <c r="B371" s="22" t="s">
        <v>18512</v>
      </c>
      <c r="C371" s="2">
        <v>1</v>
      </c>
      <c r="D371" s="23">
        <v>9.8000000000000007</v>
      </c>
      <c r="E371" s="3">
        <v>9.8000000000000007</v>
      </c>
      <c r="F371" s="2" t="s">
        <v>18513</v>
      </c>
      <c r="G371" s="22" t="s">
        <v>19351</v>
      </c>
      <c r="H371" s="24" t="s">
        <v>19364</v>
      </c>
      <c r="I371" s="22" t="s">
        <v>19309</v>
      </c>
      <c r="J371" s="22" t="s">
        <v>19565</v>
      </c>
      <c r="K371" s="22" t="s">
        <v>18514</v>
      </c>
      <c r="L371" s="22"/>
      <c r="M371" s="22"/>
      <c r="N371" s="25" t="str">
        <f>HYPERLINK("http://slimages.macys.com/is/image/MCY/21532824 ")</f>
        <v xml:space="preserve">http://slimages.macys.com/is/image/MCY/21532824 </v>
      </c>
    </row>
    <row r="372" spans="1:14" ht="24.75" x14ac:dyDescent="0.25">
      <c r="A372" s="21" t="s">
        <v>18515</v>
      </c>
      <c r="B372" s="22" t="s">
        <v>18516</v>
      </c>
      <c r="C372" s="2">
        <v>1</v>
      </c>
      <c r="D372" s="23">
        <v>9.8000000000000007</v>
      </c>
      <c r="E372" s="3">
        <v>9.8000000000000007</v>
      </c>
      <c r="F372" s="2" t="s">
        <v>18517</v>
      </c>
      <c r="G372" s="22" t="s">
        <v>19315</v>
      </c>
      <c r="H372" s="24" t="s">
        <v>19308</v>
      </c>
      <c r="I372" s="22" t="s">
        <v>19309</v>
      </c>
      <c r="J372" s="22" t="s">
        <v>19565</v>
      </c>
      <c r="K372" s="22" t="s">
        <v>18514</v>
      </c>
      <c r="L372" s="22"/>
      <c r="M372" s="22"/>
      <c r="N372" s="25" t="str">
        <f>HYPERLINK("http://slimages.macys.com/is/image/MCY/21530310 ")</f>
        <v xml:space="preserve">http://slimages.macys.com/is/image/MCY/21530310 </v>
      </c>
    </row>
    <row r="373" spans="1:14" ht="24.75" x14ac:dyDescent="0.25">
      <c r="A373" s="21" t="s">
        <v>18518</v>
      </c>
      <c r="B373" s="22" t="s">
        <v>18519</v>
      </c>
      <c r="C373" s="2">
        <v>1</v>
      </c>
      <c r="D373" s="23">
        <v>9.8000000000000007</v>
      </c>
      <c r="E373" s="3">
        <v>9.8000000000000007</v>
      </c>
      <c r="F373" s="2" t="s">
        <v>18517</v>
      </c>
      <c r="G373" s="22" t="s">
        <v>19315</v>
      </c>
      <c r="H373" s="24" t="s">
        <v>19339</v>
      </c>
      <c r="I373" s="22" t="s">
        <v>19309</v>
      </c>
      <c r="J373" s="22" t="s">
        <v>19565</v>
      </c>
      <c r="K373" s="22" t="s">
        <v>18514</v>
      </c>
      <c r="L373" s="22"/>
      <c r="M373" s="22"/>
      <c r="N373" s="25" t="str">
        <f>HYPERLINK("http://slimages.macys.com/is/image/MCY/21530310 ")</f>
        <v xml:space="preserve">http://slimages.macys.com/is/image/MCY/21530310 </v>
      </c>
    </row>
    <row r="374" spans="1:14" ht="24.75" x14ac:dyDescent="0.25">
      <c r="A374" s="21" t="s">
        <v>18520</v>
      </c>
      <c r="B374" s="22" t="s">
        <v>18521</v>
      </c>
      <c r="C374" s="2">
        <v>1</v>
      </c>
      <c r="D374" s="23">
        <v>9.8000000000000007</v>
      </c>
      <c r="E374" s="3">
        <v>9.8000000000000007</v>
      </c>
      <c r="F374" s="2" t="s">
        <v>18513</v>
      </c>
      <c r="G374" s="22" t="s">
        <v>19351</v>
      </c>
      <c r="H374" s="24" t="s">
        <v>19308</v>
      </c>
      <c r="I374" s="22" t="s">
        <v>19309</v>
      </c>
      <c r="J374" s="22" t="s">
        <v>19565</v>
      </c>
      <c r="K374" s="22" t="s">
        <v>18514</v>
      </c>
      <c r="L374" s="22"/>
      <c r="M374" s="22"/>
      <c r="N374" s="25" t="str">
        <f>HYPERLINK("http://slimages.macys.com/is/image/MCY/21532824 ")</f>
        <v xml:space="preserve">http://slimages.macys.com/is/image/MCY/21532824 </v>
      </c>
    </row>
    <row r="375" spans="1:14" ht="24.75" x14ac:dyDescent="0.25">
      <c r="A375" s="21" t="s">
        <v>18522</v>
      </c>
      <c r="B375" s="22" t="s">
        <v>18523</v>
      </c>
      <c r="C375" s="2">
        <v>3</v>
      </c>
      <c r="D375" s="23">
        <v>11.91</v>
      </c>
      <c r="E375" s="3">
        <v>35.729999999999997</v>
      </c>
      <c r="F375" s="2" t="s">
        <v>18524</v>
      </c>
      <c r="G375" s="22"/>
      <c r="H375" s="24" t="s">
        <v>19334</v>
      </c>
      <c r="I375" s="22" t="s">
        <v>19309</v>
      </c>
      <c r="J375" s="22" t="s">
        <v>19602</v>
      </c>
      <c r="K375" s="22" t="s">
        <v>20041</v>
      </c>
      <c r="L375" s="22"/>
      <c r="M375" s="22"/>
      <c r="N375" s="25" t="str">
        <f>HYPERLINK("http://slimages.macys.com/is/image/MCY/21420574 ")</f>
        <v xml:space="preserve">http://slimages.macys.com/is/image/MCY/21420574 </v>
      </c>
    </row>
    <row r="376" spans="1:14" ht="24.75" x14ac:dyDescent="0.25">
      <c r="A376" s="21" t="s">
        <v>18525</v>
      </c>
      <c r="B376" s="22" t="s">
        <v>18526</v>
      </c>
      <c r="C376" s="2">
        <v>1</v>
      </c>
      <c r="D376" s="23">
        <v>14.99</v>
      </c>
      <c r="E376" s="3">
        <v>14.99</v>
      </c>
      <c r="F376" s="2" t="s">
        <v>18527</v>
      </c>
      <c r="G376" s="22" t="s">
        <v>19415</v>
      </c>
      <c r="H376" s="24" t="s">
        <v>20227</v>
      </c>
      <c r="I376" s="22" t="s">
        <v>19309</v>
      </c>
      <c r="J376" s="22" t="s">
        <v>19573</v>
      </c>
      <c r="K376" s="22" t="s">
        <v>20228</v>
      </c>
      <c r="L376" s="22"/>
      <c r="M376" s="22"/>
      <c r="N376" s="25" t="str">
        <f>HYPERLINK("http://slimages.macys.com/is/image/MCY/1079446 ")</f>
        <v xml:space="preserve">http://slimages.macys.com/is/image/MCY/1079446 </v>
      </c>
    </row>
    <row r="377" spans="1:14" ht="24.75" x14ac:dyDescent="0.25">
      <c r="A377" s="21" t="s">
        <v>18528</v>
      </c>
      <c r="B377" s="22" t="s">
        <v>18529</v>
      </c>
      <c r="C377" s="2">
        <v>1</v>
      </c>
      <c r="D377" s="23">
        <v>14.99</v>
      </c>
      <c r="E377" s="3">
        <v>14.99</v>
      </c>
      <c r="F377" s="2" t="s">
        <v>18527</v>
      </c>
      <c r="G377" s="22" t="s">
        <v>19415</v>
      </c>
      <c r="H377" s="24" t="s">
        <v>18530</v>
      </c>
      <c r="I377" s="22" t="s">
        <v>19309</v>
      </c>
      <c r="J377" s="22" t="s">
        <v>19573</v>
      </c>
      <c r="K377" s="22" t="s">
        <v>20228</v>
      </c>
      <c r="L377" s="22"/>
      <c r="M377" s="22"/>
      <c r="N377" s="25" t="str">
        <f>HYPERLINK("http://slimages.macys.com/is/image/MCY/1079446 ")</f>
        <v xml:space="preserve">http://slimages.macys.com/is/image/MCY/1079446 </v>
      </c>
    </row>
    <row r="378" spans="1:14" ht="24.75" x14ac:dyDescent="0.25">
      <c r="A378" s="21" t="s">
        <v>18531</v>
      </c>
      <c r="B378" s="22" t="s">
        <v>18532</v>
      </c>
      <c r="C378" s="2">
        <v>1</v>
      </c>
      <c r="D378" s="23">
        <v>12.99</v>
      </c>
      <c r="E378" s="3">
        <v>12.99</v>
      </c>
      <c r="F378" s="2" t="s">
        <v>18533</v>
      </c>
      <c r="G378" s="22" t="s">
        <v>19585</v>
      </c>
      <c r="H378" s="24" t="s">
        <v>19330</v>
      </c>
      <c r="I378" s="22" t="s">
        <v>19309</v>
      </c>
      <c r="J378" s="22" t="s">
        <v>19573</v>
      </c>
      <c r="K378" s="22" t="s">
        <v>19574</v>
      </c>
      <c r="L378" s="22"/>
      <c r="M378" s="22"/>
      <c r="N378" s="25" t="str">
        <f>HYPERLINK("http://slimages.macys.com/is/image/MCY/19977913 ")</f>
        <v xml:space="preserve">http://slimages.macys.com/is/image/MCY/19977913 </v>
      </c>
    </row>
    <row r="379" spans="1:14" ht="24.75" x14ac:dyDescent="0.25">
      <c r="A379" s="21" t="s">
        <v>18534</v>
      </c>
      <c r="B379" s="22" t="s">
        <v>18535</v>
      </c>
      <c r="C379" s="2">
        <v>1</v>
      </c>
      <c r="D379" s="23">
        <v>13.99</v>
      </c>
      <c r="E379" s="3">
        <v>13.99</v>
      </c>
      <c r="F379" s="2" t="s">
        <v>18536</v>
      </c>
      <c r="G379" s="22" t="s">
        <v>19674</v>
      </c>
      <c r="H379" s="24" t="s">
        <v>19384</v>
      </c>
      <c r="I379" s="22" t="s">
        <v>19309</v>
      </c>
      <c r="J379" s="22" t="s">
        <v>19573</v>
      </c>
      <c r="K379" s="22" t="s">
        <v>19574</v>
      </c>
      <c r="L379" s="22"/>
      <c r="M379" s="22"/>
      <c r="N379" s="25" t="str">
        <f>HYPERLINK("http://slimages.macys.com/is/image/MCY/22037419 ")</f>
        <v xml:space="preserve">http://slimages.macys.com/is/image/MCY/22037419 </v>
      </c>
    </row>
    <row r="380" spans="1:14" ht="24.75" x14ac:dyDescent="0.25">
      <c r="A380" s="21" t="s">
        <v>18537</v>
      </c>
      <c r="B380" s="22" t="s">
        <v>18538</v>
      </c>
      <c r="C380" s="2">
        <v>1</v>
      </c>
      <c r="D380" s="23">
        <v>13.99</v>
      </c>
      <c r="E380" s="3">
        <v>13.99</v>
      </c>
      <c r="F380" s="2" t="s">
        <v>18536</v>
      </c>
      <c r="G380" s="22" t="s">
        <v>19674</v>
      </c>
      <c r="H380" s="24" t="s">
        <v>19330</v>
      </c>
      <c r="I380" s="22" t="s">
        <v>19309</v>
      </c>
      <c r="J380" s="22" t="s">
        <v>19573</v>
      </c>
      <c r="K380" s="22" t="s">
        <v>19574</v>
      </c>
      <c r="L380" s="22"/>
      <c r="M380" s="22"/>
      <c r="N380" s="25" t="str">
        <f>HYPERLINK("http://slimages.macys.com/is/image/MCY/22037419 ")</f>
        <v xml:space="preserve">http://slimages.macys.com/is/image/MCY/22037419 </v>
      </c>
    </row>
    <row r="381" spans="1:14" x14ac:dyDescent="0.25">
      <c r="A381" s="21" t="s">
        <v>18539</v>
      </c>
      <c r="B381" s="22" t="s">
        <v>18540</v>
      </c>
      <c r="C381" s="2">
        <v>1</v>
      </c>
      <c r="D381" s="23">
        <v>19.989999999999998</v>
      </c>
      <c r="E381" s="3">
        <v>19.989999999999998</v>
      </c>
      <c r="F381" s="2" t="s">
        <v>18541</v>
      </c>
      <c r="G381" s="22" t="s">
        <v>19674</v>
      </c>
      <c r="H381" s="24" t="s">
        <v>19542</v>
      </c>
      <c r="I381" s="22" t="s">
        <v>19309</v>
      </c>
      <c r="J381" s="22" t="s">
        <v>19849</v>
      </c>
      <c r="K381" s="22" t="s">
        <v>19850</v>
      </c>
      <c r="L381" s="22"/>
      <c r="M381" s="22"/>
      <c r="N381" s="25" t="str">
        <f>HYPERLINK("http://slimages.macys.com/is/image/MCY/1521138 ")</f>
        <v xml:space="preserve">http://slimages.macys.com/is/image/MCY/1521138 </v>
      </c>
    </row>
    <row r="382" spans="1:14" ht="24.75" x14ac:dyDescent="0.25">
      <c r="A382" s="21" t="s">
        <v>18542</v>
      </c>
      <c r="B382" s="22" t="s">
        <v>18543</v>
      </c>
      <c r="C382" s="2">
        <v>1</v>
      </c>
      <c r="D382" s="23">
        <v>11.99</v>
      </c>
      <c r="E382" s="3">
        <v>11.99</v>
      </c>
      <c r="F382" s="2" t="s">
        <v>18544</v>
      </c>
      <c r="G382" s="22" t="s">
        <v>19585</v>
      </c>
      <c r="H382" s="24" t="s">
        <v>19907</v>
      </c>
      <c r="I382" s="22" t="s">
        <v>19309</v>
      </c>
      <c r="J382" s="22" t="s">
        <v>19908</v>
      </c>
      <c r="K382" s="22" t="s">
        <v>19524</v>
      </c>
      <c r="L382" s="22"/>
      <c r="M382" s="22"/>
      <c r="N382" s="25" t="str">
        <f>HYPERLINK("http://slimages.macys.com/is/image/MCY/21570044 ")</f>
        <v xml:space="preserve">http://slimages.macys.com/is/image/MCY/21570044 </v>
      </c>
    </row>
    <row r="383" spans="1:14" ht="24.75" x14ac:dyDescent="0.25">
      <c r="A383" s="21" t="s">
        <v>18545</v>
      </c>
      <c r="B383" s="22" t="s">
        <v>18546</v>
      </c>
      <c r="C383" s="2">
        <v>1</v>
      </c>
      <c r="D383" s="23">
        <v>11.55</v>
      </c>
      <c r="E383" s="3">
        <v>11.55</v>
      </c>
      <c r="F383" s="2" t="s">
        <v>18547</v>
      </c>
      <c r="G383" s="22" t="s">
        <v>19315</v>
      </c>
      <c r="H383" s="24" t="s">
        <v>19339</v>
      </c>
      <c r="I383" s="22" t="s">
        <v>19309</v>
      </c>
      <c r="J383" s="22" t="s">
        <v>19565</v>
      </c>
      <c r="K383" s="22" t="s">
        <v>18548</v>
      </c>
      <c r="L383" s="22"/>
      <c r="M383" s="22"/>
      <c r="N383" s="25" t="str">
        <f>HYPERLINK("http://slimages.macys.com/is/image/MCY/21314522 ")</f>
        <v xml:space="preserve">http://slimages.macys.com/is/image/MCY/21314522 </v>
      </c>
    </row>
    <row r="384" spans="1:14" ht="24.75" x14ac:dyDescent="0.25">
      <c r="A384" s="21" t="s">
        <v>18549</v>
      </c>
      <c r="B384" s="22" t="s">
        <v>18550</v>
      </c>
      <c r="C384" s="2">
        <v>1</v>
      </c>
      <c r="D384" s="23">
        <v>13.99</v>
      </c>
      <c r="E384" s="3">
        <v>13.99</v>
      </c>
      <c r="F384" s="2" t="s">
        <v>18551</v>
      </c>
      <c r="G384" s="22" t="s">
        <v>19467</v>
      </c>
      <c r="H384" s="24" t="s">
        <v>19384</v>
      </c>
      <c r="I384" s="22" t="s">
        <v>19309</v>
      </c>
      <c r="J384" s="22" t="s">
        <v>19573</v>
      </c>
      <c r="K384" s="22" t="s">
        <v>19574</v>
      </c>
      <c r="L384" s="22"/>
      <c r="M384" s="22"/>
      <c r="N384" s="25" t="str">
        <f>HYPERLINK("http://slimages.macys.com/is/image/MCY/21361645 ")</f>
        <v xml:space="preserve">http://slimages.macys.com/is/image/MCY/21361645 </v>
      </c>
    </row>
    <row r="385" spans="1:14" ht="24.75" x14ac:dyDescent="0.25">
      <c r="A385" s="21" t="s">
        <v>18552</v>
      </c>
      <c r="B385" s="22" t="s">
        <v>18553</v>
      </c>
      <c r="C385" s="2">
        <v>1</v>
      </c>
      <c r="D385" s="23">
        <v>13.99</v>
      </c>
      <c r="E385" s="3">
        <v>13.99</v>
      </c>
      <c r="F385" s="2" t="s">
        <v>18551</v>
      </c>
      <c r="G385" s="22" t="s">
        <v>19467</v>
      </c>
      <c r="H385" s="24" t="s">
        <v>19330</v>
      </c>
      <c r="I385" s="22" t="s">
        <v>19309</v>
      </c>
      <c r="J385" s="22" t="s">
        <v>19573</v>
      </c>
      <c r="K385" s="22" t="s">
        <v>19574</v>
      </c>
      <c r="L385" s="22"/>
      <c r="M385" s="22"/>
      <c r="N385" s="25" t="str">
        <f>HYPERLINK("http://slimages.macys.com/is/image/MCY/21361645 ")</f>
        <v xml:space="preserve">http://slimages.macys.com/is/image/MCY/21361645 </v>
      </c>
    </row>
    <row r="386" spans="1:14" ht="24.75" x14ac:dyDescent="0.25">
      <c r="A386" s="21" t="s">
        <v>18554</v>
      </c>
      <c r="B386" s="22" t="s">
        <v>18555</v>
      </c>
      <c r="C386" s="2">
        <v>1</v>
      </c>
      <c r="D386" s="23">
        <v>13.99</v>
      </c>
      <c r="E386" s="3">
        <v>13.99</v>
      </c>
      <c r="F386" s="2" t="s">
        <v>18551</v>
      </c>
      <c r="G386" s="22" t="s">
        <v>19415</v>
      </c>
      <c r="H386" s="24" t="s">
        <v>19384</v>
      </c>
      <c r="I386" s="22" t="s">
        <v>19309</v>
      </c>
      <c r="J386" s="22" t="s">
        <v>19573</v>
      </c>
      <c r="K386" s="22" t="s">
        <v>19574</v>
      </c>
      <c r="L386" s="22"/>
      <c r="M386" s="22"/>
      <c r="N386" s="25" t="str">
        <f>HYPERLINK("http://slimages.macys.com/is/image/MCY/21361645 ")</f>
        <v xml:space="preserve">http://slimages.macys.com/is/image/MCY/21361645 </v>
      </c>
    </row>
    <row r="387" spans="1:14" ht="24.75" x14ac:dyDescent="0.25">
      <c r="A387" s="21" t="s">
        <v>18556</v>
      </c>
      <c r="B387" s="22" t="s">
        <v>18557</v>
      </c>
      <c r="C387" s="2">
        <v>1</v>
      </c>
      <c r="D387" s="23">
        <v>13.99</v>
      </c>
      <c r="E387" s="3">
        <v>13.99</v>
      </c>
      <c r="F387" s="2" t="s">
        <v>18551</v>
      </c>
      <c r="G387" s="22" t="s">
        <v>19415</v>
      </c>
      <c r="H387" s="24" t="s">
        <v>19416</v>
      </c>
      <c r="I387" s="22" t="s">
        <v>19309</v>
      </c>
      <c r="J387" s="22" t="s">
        <v>19573</v>
      </c>
      <c r="K387" s="22" t="s">
        <v>19574</v>
      </c>
      <c r="L387" s="22"/>
      <c r="M387" s="22"/>
      <c r="N387" s="25" t="str">
        <f>HYPERLINK("http://slimages.macys.com/is/image/MCY/1554883 ")</f>
        <v xml:space="preserve">http://slimages.macys.com/is/image/MCY/1554883 </v>
      </c>
    </row>
    <row r="388" spans="1:14" ht="24.75" x14ac:dyDescent="0.25">
      <c r="A388" s="21" t="s">
        <v>18558</v>
      </c>
      <c r="B388" s="22" t="s">
        <v>18559</v>
      </c>
      <c r="C388" s="2">
        <v>1</v>
      </c>
      <c r="D388" s="23">
        <v>13.99</v>
      </c>
      <c r="E388" s="3">
        <v>13.99</v>
      </c>
      <c r="F388" s="2" t="s">
        <v>18551</v>
      </c>
      <c r="G388" s="22" t="s">
        <v>19415</v>
      </c>
      <c r="H388" s="24" t="s">
        <v>19324</v>
      </c>
      <c r="I388" s="22" t="s">
        <v>19309</v>
      </c>
      <c r="J388" s="22" t="s">
        <v>19573</v>
      </c>
      <c r="K388" s="22" t="s">
        <v>19574</v>
      </c>
      <c r="L388" s="22"/>
      <c r="M388" s="22"/>
      <c r="N388" s="25" t="str">
        <f>HYPERLINK("http://slimages.macys.com/is/image/MCY/1619637 ")</f>
        <v xml:space="preserve">http://slimages.macys.com/is/image/MCY/1619637 </v>
      </c>
    </row>
    <row r="389" spans="1:14" ht="24.75" x14ac:dyDescent="0.25">
      <c r="A389" s="21" t="s">
        <v>18560</v>
      </c>
      <c r="B389" s="22" t="s">
        <v>18561</v>
      </c>
      <c r="C389" s="2">
        <v>1</v>
      </c>
      <c r="D389" s="23">
        <v>13.99</v>
      </c>
      <c r="E389" s="3">
        <v>13.99</v>
      </c>
      <c r="F389" s="2" t="s">
        <v>18551</v>
      </c>
      <c r="G389" s="22" t="s">
        <v>19467</v>
      </c>
      <c r="H389" s="24" t="s">
        <v>19538</v>
      </c>
      <c r="I389" s="22" t="s">
        <v>19309</v>
      </c>
      <c r="J389" s="22" t="s">
        <v>19573</v>
      </c>
      <c r="K389" s="22" t="s">
        <v>19574</v>
      </c>
      <c r="L389" s="22"/>
      <c r="M389" s="22"/>
      <c r="N389" s="25" t="str">
        <f>HYPERLINK("http://slimages.macys.com/is/image/MCY/21361645 ")</f>
        <v xml:space="preserve">http://slimages.macys.com/is/image/MCY/21361645 </v>
      </c>
    </row>
    <row r="390" spans="1:14" x14ac:dyDescent="0.25">
      <c r="A390" s="21" t="s">
        <v>18562</v>
      </c>
      <c r="B390" s="22" t="s">
        <v>18563</v>
      </c>
      <c r="C390" s="2">
        <v>1</v>
      </c>
      <c r="D390" s="23">
        <v>7.99</v>
      </c>
      <c r="E390" s="3">
        <v>7.99</v>
      </c>
      <c r="F390" s="2" t="s">
        <v>18564</v>
      </c>
      <c r="G390" s="22" t="s">
        <v>18439</v>
      </c>
      <c r="H390" s="24" t="s">
        <v>19345</v>
      </c>
      <c r="I390" s="22" t="s">
        <v>19309</v>
      </c>
      <c r="J390" s="22" t="s">
        <v>19310</v>
      </c>
      <c r="K390" s="22" t="s">
        <v>19468</v>
      </c>
      <c r="L390" s="22"/>
      <c r="M390" s="22"/>
      <c r="N390" s="25" t="str">
        <f>HYPERLINK("http://slimages.macys.com/is/image/MCY/21256939 ")</f>
        <v xml:space="preserve">http://slimages.macys.com/is/image/MCY/21256939 </v>
      </c>
    </row>
    <row r="391" spans="1:14" x14ac:dyDescent="0.25">
      <c r="A391" s="21" t="s">
        <v>18565</v>
      </c>
      <c r="B391" s="22" t="s">
        <v>18566</v>
      </c>
      <c r="C391" s="2">
        <v>1</v>
      </c>
      <c r="D391" s="23">
        <v>7.99</v>
      </c>
      <c r="E391" s="3">
        <v>7.99</v>
      </c>
      <c r="F391" s="2" t="s">
        <v>18564</v>
      </c>
      <c r="G391" s="22" t="s">
        <v>18439</v>
      </c>
      <c r="H391" s="24" t="s">
        <v>19542</v>
      </c>
      <c r="I391" s="22" t="s">
        <v>19309</v>
      </c>
      <c r="J391" s="22" t="s">
        <v>19310</v>
      </c>
      <c r="K391" s="22" t="s">
        <v>19468</v>
      </c>
      <c r="L391" s="22"/>
      <c r="M391" s="22"/>
      <c r="N391" s="25" t="str">
        <f>HYPERLINK("http://slimages.macys.com/is/image/MCY/21256938 ")</f>
        <v xml:space="preserve">http://slimages.macys.com/is/image/MCY/21256938 </v>
      </c>
    </row>
    <row r="392" spans="1:14" x14ac:dyDescent="0.25">
      <c r="A392" s="21" t="s">
        <v>18567</v>
      </c>
      <c r="B392" s="22" t="s">
        <v>18568</v>
      </c>
      <c r="C392" s="2">
        <v>2</v>
      </c>
      <c r="D392" s="23">
        <v>7.99</v>
      </c>
      <c r="E392" s="3">
        <v>15.98</v>
      </c>
      <c r="F392" s="2" t="s">
        <v>18569</v>
      </c>
      <c r="G392" s="22" t="s">
        <v>19404</v>
      </c>
      <c r="H392" s="24" t="s">
        <v>19345</v>
      </c>
      <c r="I392" s="22" t="s">
        <v>19309</v>
      </c>
      <c r="J392" s="22" t="s">
        <v>19310</v>
      </c>
      <c r="K392" s="22" t="s">
        <v>19468</v>
      </c>
      <c r="L392" s="22"/>
      <c r="M392" s="22"/>
      <c r="N392" s="25" t="str">
        <f>HYPERLINK("http://slimages.macys.com/is/image/MCY/21184208 ")</f>
        <v xml:space="preserve">http://slimages.macys.com/is/image/MCY/21184208 </v>
      </c>
    </row>
    <row r="393" spans="1:14" ht="24.75" x14ac:dyDescent="0.25">
      <c r="A393" s="21" t="s">
        <v>18570</v>
      </c>
      <c r="B393" s="22" t="s">
        <v>18571</v>
      </c>
      <c r="C393" s="2">
        <v>1</v>
      </c>
      <c r="D393" s="23">
        <v>8.99</v>
      </c>
      <c r="E393" s="3">
        <v>8.99</v>
      </c>
      <c r="F393" s="2" t="s">
        <v>18572</v>
      </c>
      <c r="G393" s="22" t="s">
        <v>19477</v>
      </c>
      <c r="H393" s="24" t="s">
        <v>19361</v>
      </c>
      <c r="I393" s="22" t="s">
        <v>19309</v>
      </c>
      <c r="J393" s="22" t="s">
        <v>19447</v>
      </c>
      <c r="K393" s="22" t="s">
        <v>20146</v>
      </c>
      <c r="L393" s="22"/>
      <c r="M393" s="22"/>
      <c r="N393" s="25" t="str">
        <f>HYPERLINK("http://slimages.macys.com/is/image/MCY/21008525 ")</f>
        <v xml:space="preserve">http://slimages.macys.com/is/image/MCY/21008525 </v>
      </c>
    </row>
    <row r="394" spans="1:14" x14ac:dyDescent="0.25">
      <c r="A394" s="21" t="s">
        <v>18573</v>
      </c>
      <c r="B394" s="22" t="s">
        <v>18574</v>
      </c>
      <c r="C394" s="2">
        <v>2</v>
      </c>
      <c r="D394" s="23">
        <v>7.99</v>
      </c>
      <c r="E394" s="3">
        <v>15.98</v>
      </c>
      <c r="F394" s="2" t="s">
        <v>18569</v>
      </c>
      <c r="G394" s="22" t="s">
        <v>19404</v>
      </c>
      <c r="H394" s="24" t="s">
        <v>19395</v>
      </c>
      <c r="I394" s="22" t="s">
        <v>19309</v>
      </c>
      <c r="J394" s="22" t="s">
        <v>19310</v>
      </c>
      <c r="K394" s="22" t="s">
        <v>19468</v>
      </c>
      <c r="L394" s="22"/>
      <c r="M394" s="22"/>
      <c r="N394" s="25" t="str">
        <f>HYPERLINK("http://slimages.macys.com/is/image/MCY/21184208 ")</f>
        <v xml:space="preserve">http://slimages.macys.com/is/image/MCY/21184208 </v>
      </c>
    </row>
    <row r="395" spans="1:14" ht="24.75" x14ac:dyDescent="0.25">
      <c r="A395" s="21" t="s">
        <v>18575</v>
      </c>
      <c r="B395" s="22" t="s">
        <v>18576</v>
      </c>
      <c r="C395" s="2">
        <v>1</v>
      </c>
      <c r="D395" s="23">
        <v>8.99</v>
      </c>
      <c r="E395" s="3">
        <v>8.99</v>
      </c>
      <c r="F395" s="2" t="s">
        <v>18572</v>
      </c>
      <c r="G395" s="22" t="s">
        <v>19477</v>
      </c>
      <c r="H395" s="24" t="s">
        <v>19395</v>
      </c>
      <c r="I395" s="22" t="s">
        <v>19309</v>
      </c>
      <c r="J395" s="22" t="s">
        <v>19447</v>
      </c>
      <c r="K395" s="22" t="s">
        <v>20146</v>
      </c>
      <c r="L395" s="22"/>
      <c r="M395" s="22"/>
      <c r="N395" s="25" t="str">
        <f>HYPERLINK("http://slimages.macys.com/is/image/MCY/21008524 ")</f>
        <v xml:space="preserve">http://slimages.macys.com/is/image/MCY/21008524 </v>
      </c>
    </row>
    <row r="396" spans="1:14" x14ac:dyDescent="0.25">
      <c r="A396" s="21" t="s">
        <v>18577</v>
      </c>
      <c r="B396" s="22" t="s">
        <v>18578</v>
      </c>
      <c r="C396" s="2">
        <v>1</v>
      </c>
      <c r="D396" s="23">
        <v>7.99</v>
      </c>
      <c r="E396" s="3">
        <v>7.99</v>
      </c>
      <c r="F396" s="2" t="s">
        <v>18564</v>
      </c>
      <c r="G396" s="22" t="s">
        <v>18439</v>
      </c>
      <c r="H396" s="24" t="s">
        <v>19395</v>
      </c>
      <c r="I396" s="22" t="s">
        <v>19309</v>
      </c>
      <c r="J396" s="22" t="s">
        <v>19310</v>
      </c>
      <c r="K396" s="22" t="s">
        <v>19468</v>
      </c>
      <c r="L396" s="22"/>
      <c r="M396" s="22"/>
      <c r="N396" s="25" t="str">
        <f>HYPERLINK("http://slimages.macys.com/is/image/MCY/21256938 ")</f>
        <v xml:space="preserve">http://slimages.macys.com/is/image/MCY/21256938 </v>
      </c>
    </row>
    <row r="397" spans="1:14" ht="24.75" x14ac:dyDescent="0.25">
      <c r="A397" s="21" t="s">
        <v>18579</v>
      </c>
      <c r="B397" s="22" t="s">
        <v>18580</v>
      </c>
      <c r="C397" s="2">
        <v>1</v>
      </c>
      <c r="D397" s="23">
        <v>16.989999999999998</v>
      </c>
      <c r="E397" s="3">
        <v>16.989999999999998</v>
      </c>
      <c r="F397" s="2" t="s">
        <v>18581</v>
      </c>
      <c r="G397" s="22" t="s">
        <v>19333</v>
      </c>
      <c r="H397" s="24" t="s">
        <v>20135</v>
      </c>
      <c r="I397" s="22" t="s">
        <v>19309</v>
      </c>
      <c r="J397" s="22" t="s">
        <v>19454</v>
      </c>
      <c r="K397" s="22" t="s">
        <v>19524</v>
      </c>
      <c r="L397" s="22"/>
      <c r="M397" s="22"/>
      <c r="N397" s="25" t="str">
        <f>HYPERLINK("http://slimages.macys.com/is/image/MCY/21265927 ")</f>
        <v xml:space="preserve">http://slimages.macys.com/is/image/MCY/21265927 </v>
      </c>
    </row>
    <row r="398" spans="1:14" ht="24.75" x14ac:dyDescent="0.25">
      <c r="A398" s="21" t="s">
        <v>18582</v>
      </c>
      <c r="B398" s="22" t="s">
        <v>18583</v>
      </c>
      <c r="C398" s="2">
        <v>1</v>
      </c>
      <c r="D398" s="23">
        <v>14.99</v>
      </c>
      <c r="E398" s="3">
        <v>14.99</v>
      </c>
      <c r="F398" s="2" t="s">
        <v>18584</v>
      </c>
      <c r="G398" s="22" t="s">
        <v>19315</v>
      </c>
      <c r="H398" s="24" t="s">
        <v>19392</v>
      </c>
      <c r="I398" s="22" t="s">
        <v>19309</v>
      </c>
      <c r="J398" s="22" t="s">
        <v>19815</v>
      </c>
      <c r="K398" s="22" t="s">
        <v>19816</v>
      </c>
      <c r="L398" s="22"/>
      <c r="M398" s="22"/>
      <c r="N398" s="25" t="str">
        <f>HYPERLINK("http://slimages.macys.com/is/image/MCY/1197280 ")</f>
        <v xml:space="preserve">http://slimages.macys.com/is/image/MCY/1197280 </v>
      </c>
    </row>
    <row r="399" spans="1:14" ht="24.75" x14ac:dyDescent="0.25">
      <c r="A399" s="21" t="s">
        <v>18585</v>
      </c>
      <c r="B399" s="22" t="s">
        <v>18586</v>
      </c>
      <c r="C399" s="2">
        <v>1</v>
      </c>
      <c r="D399" s="23">
        <v>11.35</v>
      </c>
      <c r="E399" s="3">
        <v>11.35</v>
      </c>
      <c r="F399" s="2" t="s">
        <v>18587</v>
      </c>
      <c r="G399" s="22"/>
      <c r="H399" s="24" t="s">
        <v>19392</v>
      </c>
      <c r="I399" s="22" t="s">
        <v>19309</v>
      </c>
      <c r="J399" s="22" t="s">
        <v>19602</v>
      </c>
      <c r="K399" s="22" t="s">
        <v>20041</v>
      </c>
      <c r="L399" s="22"/>
      <c r="M399" s="22"/>
      <c r="N399" s="25" t="str">
        <f>HYPERLINK("http://slimages.macys.com/is/image/MCY/22406119 ")</f>
        <v xml:space="preserve">http://slimages.macys.com/is/image/MCY/22406119 </v>
      </c>
    </row>
    <row r="400" spans="1:14" ht="24.75" x14ac:dyDescent="0.25">
      <c r="A400" s="21" t="s">
        <v>18588</v>
      </c>
      <c r="B400" s="22" t="s">
        <v>18589</v>
      </c>
      <c r="C400" s="2">
        <v>1</v>
      </c>
      <c r="D400" s="23">
        <v>8.99</v>
      </c>
      <c r="E400" s="3">
        <v>8.99</v>
      </c>
      <c r="F400" s="2" t="s">
        <v>18590</v>
      </c>
      <c r="G400" s="22" t="s">
        <v>20145</v>
      </c>
      <c r="H400" s="24" t="s">
        <v>19352</v>
      </c>
      <c r="I400" s="22" t="s">
        <v>19309</v>
      </c>
      <c r="J400" s="22" t="s">
        <v>19310</v>
      </c>
      <c r="K400" s="22" t="s">
        <v>19873</v>
      </c>
      <c r="L400" s="22"/>
      <c r="M400" s="22"/>
      <c r="N400" s="25" t="str">
        <f>HYPERLINK("http://slimages.macys.com/is/image/MCY/21551350 ")</f>
        <v xml:space="preserve">http://slimages.macys.com/is/image/MCY/21551350 </v>
      </c>
    </row>
    <row r="401" spans="1:14" ht="24.75" x14ac:dyDescent="0.25">
      <c r="A401" s="21" t="s">
        <v>18591</v>
      </c>
      <c r="B401" s="22" t="s">
        <v>18592</v>
      </c>
      <c r="C401" s="2">
        <v>1</v>
      </c>
      <c r="D401" s="23">
        <v>8.99</v>
      </c>
      <c r="E401" s="3">
        <v>8.99</v>
      </c>
      <c r="F401" s="2" t="s">
        <v>18593</v>
      </c>
      <c r="G401" s="22" t="s">
        <v>19528</v>
      </c>
      <c r="H401" s="24" t="s">
        <v>19308</v>
      </c>
      <c r="I401" s="22" t="s">
        <v>19309</v>
      </c>
      <c r="J401" s="22" t="s">
        <v>19310</v>
      </c>
      <c r="K401" s="22" t="s">
        <v>19873</v>
      </c>
      <c r="L401" s="22"/>
      <c r="M401" s="22"/>
      <c r="N401" s="25" t="str">
        <f>HYPERLINK("http://slimages.macys.com/is/image/MCY/21030928 ")</f>
        <v xml:space="preserve">http://slimages.macys.com/is/image/MCY/21030928 </v>
      </c>
    </row>
    <row r="402" spans="1:14" ht="24.75" x14ac:dyDescent="0.25">
      <c r="A402" s="21" t="s">
        <v>18594</v>
      </c>
      <c r="B402" s="22" t="s">
        <v>18595</v>
      </c>
      <c r="C402" s="2">
        <v>1</v>
      </c>
      <c r="D402" s="23">
        <v>8.99</v>
      </c>
      <c r="E402" s="3">
        <v>8.99</v>
      </c>
      <c r="F402" s="2" t="s">
        <v>18596</v>
      </c>
      <c r="G402" s="22" t="s">
        <v>19618</v>
      </c>
      <c r="H402" s="24" t="s">
        <v>19364</v>
      </c>
      <c r="I402" s="22" t="s">
        <v>19309</v>
      </c>
      <c r="J402" s="22" t="s">
        <v>19310</v>
      </c>
      <c r="K402" s="22" t="s">
        <v>19873</v>
      </c>
      <c r="L402" s="22"/>
      <c r="M402" s="22"/>
      <c r="N402" s="25" t="str">
        <f>HYPERLINK("http://slimages.macys.com/is/image/MCY/21030905 ")</f>
        <v xml:space="preserve">http://slimages.macys.com/is/image/MCY/21030905 </v>
      </c>
    </row>
    <row r="403" spans="1:14" x14ac:dyDescent="0.25">
      <c r="A403" s="21" t="s">
        <v>18597</v>
      </c>
      <c r="B403" s="22" t="s">
        <v>18598</v>
      </c>
      <c r="C403" s="2">
        <v>1</v>
      </c>
      <c r="D403" s="23">
        <v>8.99</v>
      </c>
      <c r="E403" s="3">
        <v>8.99</v>
      </c>
      <c r="F403" s="2" t="s">
        <v>18599</v>
      </c>
      <c r="G403" s="22" t="s">
        <v>19618</v>
      </c>
      <c r="H403" s="24" t="s">
        <v>19432</v>
      </c>
      <c r="I403" s="22" t="s">
        <v>19309</v>
      </c>
      <c r="J403" s="22" t="s">
        <v>19310</v>
      </c>
      <c r="K403" s="22" t="s">
        <v>19468</v>
      </c>
      <c r="L403" s="22"/>
      <c r="M403" s="22"/>
      <c r="N403" s="25" t="str">
        <f>HYPERLINK("http://slimages.macys.com/is/image/MCY/21616099 ")</f>
        <v xml:space="preserve">http://slimages.macys.com/is/image/MCY/21616099 </v>
      </c>
    </row>
    <row r="404" spans="1:14" x14ac:dyDescent="0.25">
      <c r="A404" s="21" t="s">
        <v>18600</v>
      </c>
      <c r="B404" s="22" t="s">
        <v>18601</v>
      </c>
      <c r="C404" s="2">
        <v>1</v>
      </c>
      <c r="D404" s="23">
        <v>11.99</v>
      </c>
      <c r="E404" s="3">
        <v>11.99</v>
      </c>
      <c r="F404" s="2" t="s">
        <v>18602</v>
      </c>
      <c r="G404" s="22" t="s">
        <v>19674</v>
      </c>
      <c r="H404" s="24" t="s">
        <v>19907</v>
      </c>
      <c r="I404" s="22" t="s">
        <v>19309</v>
      </c>
      <c r="J404" s="22" t="s">
        <v>19849</v>
      </c>
      <c r="K404" s="22" t="s">
        <v>19850</v>
      </c>
      <c r="L404" s="22"/>
      <c r="M404" s="22"/>
      <c r="N404" s="25" t="str">
        <f>HYPERLINK("http://slimages.macys.com/is/image/MCY/20751970 ")</f>
        <v xml:space="preserve">http://slimages.macys.com/is/image/MCY/20751970 </v>
      </c>
    </row>
    <row r="405" spans="1:14" x14ac:dyDescent="0.25">
      <c r="A405" s="21" t="s">
        <v>18603</v>
      </c>
      <c r="B405" s="22" t="s">
        <v>18604</v>
      </c>
      <c r="C405" s="2">
        <v>1</v>
      </c>
      <c r="D405" s="23">
        <v>8.99</v>
      </c>
      <c r="E405" s="3">
        <v>8.99</v>
      </c>
      <c r="F405" s="2" t="s">
        <v>18605</v>
      </c>
      <c r="G405" s="22" t="s">
        <v>19422</v>
      </c>
      <c r="H405" s="24" t="s">
        <v>18530</v>
      </c>
      <c r="I405" s="22" t="s">
        <v>19309</v>
      </c>
      <c r="J405" s="22" t="s">
        <v>19514</v>
      </c>
      <c r="K405" s="22" t="s">
        <v>18514</v>
      </c>
      <c r="L405" s="22" t="s">
        <v>19319</v>
      </c>
      <c r="M405" s="22" t="s">
        <v>19435</v>
      </c>
      <c r="N405" s="25" t="str">
        <f>HYPERLINK("http://slimages.macys.com/is/image/MCY/9995089 ")</f>
        <v xml:space="preserve">http://slimages.macys.com/is/image/MCY/9995089 </v>
      </c>
    </row>
    <row r="406" spans="1:14" ht="24.75" x14ac:dyDescent="0.25">
      <c r="A406" s="21" t="s">
        <v>18606</v>
      </c>
      <c r="B406" s="22" t="s">
        <v>18607</v>
      </c>
      <c r="C406" s="2">
        <v>1</v>
      </c>
      <c r="D406" s="23">
        <v>13.99</v>
      </c>
      <c r="E406" s="3">
        <v>13.99</v>
      </c>
      <c r="F406" s="2" t="s">
        <v>18608</v>
      </c>
      <c r="G406" s="22" t="s">
        <v>19674</v>
      </c>
      <c r="H406" s="24" t="s">
        <v>19330</v>
      </c>
      <c r="I406" s="22" t="s">
        <v>19309</v>
      </c>
      <c r="J406" s="22" t="s">
        <v>19573</v>
      </c>
      <c r="K406" s="22" t="s">
        <v>19574</v>
      </c>
      <c r="L406" s="22"/>
      <c r="M406" s="22"/>
      <c r="N406" s="25" t="str">
        <f>HYPERLINK("http://slimages.macys.com/is/image/MCY/18424257 ")</f>
        <v xml:space="preserve">http://slimages.macys.com/is/image/MCY/18424257 </v>
      </c>
    </row>
    <row r="407" spans="1:14" ht="24.75" x14ac:dyDescent="0.25">
      <c r="A407" s="21" t="s">
        <v>18609</v>
      </c>
      <c r="B407" s="22" t="s">
        <v>18610</v>
      </c>
      <c r="C407" s="2">
        <v>1</v>
      </c>
      <c r="D407" s="23">
        <v>11.99</v>
      </c>
      <c r="E407" s="3">
        <v>11.99</v>
      </c>
      <c r="F407" s="2" t="s">
        <v>18611</v>
      </c>
      <c r="G407" s="22" t="s">
        <v>19906</v>
      </c>
      <c r="H407" s="24" t="s">
        <v>19330</v>
      </c>
      <c r="I407" s="22" t="s">
        <v>19309</v>
      </c>
      <c r="J407" s="22" t="s">
        <v>19573</v>
      </c>
      <c r="K407" s="22" t="s">
        <v>19574</v>
      </c>
      <c r="L407" s="22"/>
      <c r="M407" s="22"/>
      <c r="N407" s="25" t="str">
        <f>HYPERLINK("http://slimages.macys.com/is/image/MCY/21361512 ")</f>
        <v xml:space="preserve">http://slimages.macys.com/is/image/MCY/21361512 </v>
      </c>
    </row>
    <row r="408" spans="1:14" ht="24.75" x14ac:dyDescent="0.25">
      <c r="A408" s="21" t="s">
        <v>18612</v>
      </c>
      <c r="B408" s="22" t="s">
        <v>18613</v>
      </c>
      <c r="C408" s="2">
        <v>1</v>
      </c>
      <c r="D408" s="23">
        <v>11.99</v>
      </c>
      <c r="E408" s="3">
        <v>11.99</v>
      </c>
      <c r="F408" s="2" t="s">
        <v>18611</v>
      </c>
      <c r="G408" s="22" t="s">
        <v>19906</v>
      </c>
      <c r="H408" s="24"/>
      <c r="I408" s="22" t="s">
        <v>19309</v>
      </c>
      <c r="J408" s="22" t="s">
        <v>19573</v>
      </c>
      <c r="K408" s="22" t="s">
        <v>19574</v>
      </c>
      <c r="L408" s="22"/>
      <c r="M408" s="22"/>
      <c r="N408" s="25" t="str">
        <f>HYPERLINK("http://slimages.macys.com/is/image/MCY/21361512 ")</f>
        <v xml:space="preserve">http://slimages.macys.com/is/image/MCY/21361512 </v>
      </c>
    </row>
    <row r="409" spans="1:14" ht="24.75" x14ac:dyDescent="0.25">
      <c r="A409" s="21" t="s">
        <v>18614</v>
      </c>
      <c r="B409" s="22" t="s">
        <v>18615</v>
      </c>
      <c r="C409" s="2">
        <v>1</v>
      </c>
      <c r="D409" s="23">
        <v>11.99</v>
      </c>
      <c r="E409" s="3">
        <v>11.99</v>
      </c>
      <c r="F409" s="2" t="s">
        <v>18616</v>
      </c>
      <c r="G409" s="22" t="s">
        <v>19431</v>
      </c>
      <c r="H409" s="24" t="s">
        <v>19330</v>
      </c>
      <c r="I409" s="22" t="s">
        <v>19309</v>
      </c>
      <c r="J409" s="22" t="s">
        <v>19573</v>
      </c>
      <c r="K409" s="22" t="s">
        <v>19574</v>
      </c>
      <c r="L409" s="22"/>
      <c r="M409" s="22"/>
      <c r="N409" s="25" t="str">
        <f>HYPERLINK("http://slimages.macys.com/is/image/MCY/20753452 ")</f>
        <v xml:space="preserve">http://slimages.macys.com/is/image/MCY/20753452 </v>
      </c>
    </row>
    <row r="410" spans="1:14" ht="24.75" x14ac:dyDescent="0.25">
      <c r="A410" s="21" t="s">
        <v>18617</v>
      </c>
      <c r="B410" s="22" t="s">
        <v>18618</v>
      </c>
      <c r="C410" s="2">
        <v>1</v>
      </c>
      <c r="D410" s="23">
        <v>19.989999999999998</v>
      </c>
      <c r="E410" s="3">
        <v>19.989999999999998</v>
      </c>
      <c r="F410" s="2" t="s">
        <v>18619</v>
      </c>
      <c r="G410" s="22" t="s">
        <v>19618</v>
      </c>
      <c r="H410" s="24" t="s">
        <v>19907</v>
      </c>
      <c r="I410" s="22" t="s">
        <v>19309</v>
      </c>
      <c r="J410" s="22" t="s">
        <v>19815</v>
      </c>
      <c r="K410" s="22" t="s">
        <v>19816</v>
      </c>
      <c r="L410" s="22"/>
      <c r="M410" s="22"/>
      <c r="N410" s="25" t="str">
        <f>HYPERLINK("http://slimages.macys.com/is/image/MCY/20817208 ")</f>
        <v xml:space="preserve">http://slimages.macys.com/is/image/MCY/20817208 </v>
      </c>
    </row>
    <row r="411" spans="1:14" ht="24.75" x14ac:dyDescent="0.25">
      <c r="A411" s="21" t="s">
        <v>18620</v>
      </c>
      <c r="B411" s="22" t="s">
        <v>18621</v>
      </c>
      <c r="C411" s="2">
        <v>1</v>
      </c>
      <c r="D411" s="23">
        <v>8.99</v>
      </c>
      <c r="E411" s="3">
        <v>8.99</v>
      </c>
      <c r="F411" s="2" t="s">
        <v>18622</v>
      </c>
      <c r="G411" s="22" t="s">
        <v>19315</v>
      </c>
      <c r="H411" s="24" t="s">
        <v>19392</v>
      </c>
      <c r="I411" s="22" t="s">
        <v>19309</v>
      </c>
      <c r="J411" s="22" t="s">
        <v>19815</v>
      </c>
      <c r="K411" s="22" t="s">
        <v>19816</v>
      </c>
      <c r="L411" s="22"/>
      <c r="M411" s="22"/>
      <c r="N411" s="25" t="str">
        <f>HYPERLINK("http://slimages.macys.com/is/image/MCY/20531081 ")</f>
        <v xml:space="preserve">http://slimages.macys.com/is/image/MCY/20531081 </v>
      </c>
    </row>
    <row r="412" spans="1:14" x14ac:dyDescent="0.25">
      <c r="A412" s="21" t="s">
        <v>18623</v>
      </c>
      <c r="B412" s="22" t="s">
        <v>18624</v>
      </c>
      <c r="C412" s="2">
        <v>1</v>
      </c>
      <c r="D412" s="23">
        <v>8.99</v>
      </c>
      <c r="E412" s="3">
        <v>8.99</v>
      </c>
      <c r="F412" s="2" t="s">
        <v>18625</v>
      </c>
      <c r="G412" s="22" t="s">
        <v>19338</v>
      </c>
      <c r="H412" s="24" t="s">
        <v>19361</v>
      </c>
      <c r="I412" s="22" t="s">
        <v>19309</v>
      </c>
      <c r="J412" s="22" t="s">
        <v>19310</v>
      </c>
      <c r="K412" s="22" t="s">
        <v>19468</v>
      </c>
      <c r="L412" s="22"/>
      <c r="M412" s="22"/>
      <c r="N412" s="25" t="str">
        <f>HYPERLINK("http://slimages.macys.com/is/image/MCY/19944401 ")</f>
        <v xml:space="preserve">http://slimages.macys.com/is/image/MCY/19944401 </v>
      </c>
    </row>
    <row r="413" spans="1:14" x14ac:dyDescent="0.25">
      <c r="A413" s="21" t="s">
        <v>18626</v>
      </c>
      <c r="B413" s="22" t="s">
        <v>18627</v>
      </c>
      <c r="C413" s="2">
        <v>1</v>
      </c>
      <c r="D413" s="23">
        <v>9.99</v>
      </c>
      <c r="E413" s="3">
        <v>9.99</v>
      </c>
      <c r="F413" s="2" t="s">
        <v>18628</v>
      </c>
      <c r="G413" s="22" t="s">
        <v>19351</v>
      </c>
      <c r="H413" s="24" t="s">
        <v>19432</v>
      </c>
      <c r="I413" s="22" t="s">
        <v>19309</v>
      </c>
      <c r="J413" s="22" t="s">
        <v>19310</v>
      </c>
      <c r="K413" s="22" t="s">
        <v>19468</v>
      </c>
      <c r="L413" s="22"/>
      <c r="M413" s="22"/>
      <c r="N413" s="25" t="str">
        <f>HYPERLINK("http://slimages.macys.com/is/image/MCY/20012391 ")</f>
        <v xml:space="preserve">http://slimages.macys.com/is/image/MCY/20012391 </v>
      </c>
    </row>
    <row r="414" spans="1:14" x14ac:dyDescent="0.25">
      <c r="A414" s="21" t="s">
        <v>18629</v>
      </c>
      <c r="B414" s="22" t="s">
        <v>18630</v>
      </c>
      <c r="C414" s="2">
        <v>1</v>
      </c>
      <c r="D414" s="23">
        <v>13.27</v>
      </c>
      <c r="E414" s="3">
        <v>13.27</v>
      </c>
      <c r="F414" s="2" t="s">
        <v>18631</v>
      </c>
      <c r="G414" s="22"/>
      <c r="H414" s="24" t="s">
        <v>19416</v>
      </c>
      <c r="I414" s="22" t="s">
        <v>19309</v>
      </c>
      <c r="J414" s="22" t="s">
        <v>19708</v>
      </c>
      <c r="K414" s="22" t="s">
        <v>19754</v>
      </c>
      <c r="L414" s="22"/>
      <c r="M414" s="22"/>
      <c r="N414" s="25" t="str">
        <f>HYPERLINK("http://slimages.macys.com/is/image/MCY/21414701 ")</f>
        <v xml:space="preserve">http://slimages.macys.com/is/image/MCY/21414701 </v>
      </c>
    </row>
    <row r="415" spans="1:14" ht="24.75" x14ac:dyDescent="0.25">
      <c r="A415" s="21" t="s">
        <v>18632</v>
      </c>
      <c r="B415" s="22" t="s">
        <v>18633</v>
      </c>
      <c r="C415" s="2">
        <v>1</v>
      </c>
      <c r="D415" s="23">
        <v>10.91</v>
      </c>
      <c r="E415" s="3">
        <v>10.91</v>
      </c>
      <c r="F415" s="2" t="s">
        <v>18634</v>
      </c>
      <c r="G415" s="22"/>
      <c r="H415" s="24" t="s">
        <v>19392</v>
      </c>
      <c r="I415" s="22" t="s">
        <v>19309</v>
      </c>
      <c r="J415" s="22" t="s">
        <v>19602</v>
      </c>
      <c r="K415" s="22" t="s">
        <v>19603</v>
      </c>
      <c r="L415" s="22"/>
      <c r="M415" s="22"/>
      <c r="N415" s="25" t="str">
        <f>HYPERLINK("http://slimages.macys.com/is/image/MCY/21421177 ")</f>
        <v xml:space="preserve">http://slimages.macys.com/is/image/MCY/21421177 </v>
      </c>
    </row>
    <row r="416" spans="1:14" x14ac:dyDescent="0.25">
      <c r="A416" s="21" t="s">
        <v>18635</v>
      </c>
      <c r="B416" s="22" t="s">
        <v>18636</v>
      </c>
      <c r="C416" s="2">
        <v>1</v>
      </c>
      <c r="D416" s="23">
        <v>12.4</v>
      </c>
      <c r="E416" s="3">
        <v>12.4</v>
      </c>
      <c r="F416" s="2" t="s">
        <v>18637</v>
      </c>
      <c r="G416" s="22" t="s">
        <v>19315</v>
      </c>
      <c r="H416" s="24" t="s">
        <v>20152</v>
      </c>
      <c r="I416" s="22" t="s">
        <v>19309</v>
      </c>
      <c r="J416" s="22" t="s">
        <v>19708</v>
      </c>
      <c r="K416" s="22" t="s">
        <v>19709</v>
      </c>
      <c r="L416" s="22"/>
      <c r="M416" s="22"/>
      <c r="N416" s="25" t="str">
        <f>HYPERLINK("http://slimages.macys.com/is/image/MCY/22296880 ")</f>
        <v xml:space="preserve">http://slimages.macys.com/is/image/MCY/22296880 </v>
      </c>
    </row>
    <row r="417" spans="1:14" x14ac:dyDescent="0.25">
      <c r="A417" s="21" t="s">
        <v>18638</v>
      </c>
      <c r="B417" s="22" t="s">
        <v>18639</v>
      </c>
      <c r="C417" s="2">
        <v>1</v>
      </c>
      <c r="D417" s="23">
        <v>12.4</v>
      </c>
      <c r="E417" s="3">
        <v>12.4</v>
      </c>
      <c r="F417" s="2" t="s">
        <v>18640</v>
      </c>
      <c r="G417" s="22" t="s">
        <v>19351</v>
      </c>
      <c r="H417" s="24" t="s">
        <v>19367</v>
      </c>
      <c r="I417" s="22" t="s">
        <v>19309</v>
      </c>
      <c r="J417" s="22" t="s">
        <v>19708</v>
      </c>
      <c r="K417" s="22" t="s">
        <v>19709</v>
      </c>
      <c r="L417" s="22"/>
      <c r="M417" s="22"/>
      <c r="N417" s="25" t="str">
        <f>HYPERLINK("http://slimages.macys.com/is/image/MCY/22296874 ")</f>
        <v xml:space="preserve">http://slimages.macys.com/is/image/MCY/22296874 </v>
      </c>
    </row>
    <row r="418" spans="1:14" ht="24.75" x14ac:dyDescent="0.25">
      <c r="A418" s="21" t="s">
        <v>18641</v>
      </c>
      <c r="B418" s="22" t="s">
        <v>18642</v>
      </c>
      <c r="C418" s="2">
        <v>1</v>
      </c>
      <c r="D418" s="23">
        <v>10.91</v>
      </c>
      <c r="E418" s="3">
        <v>10.91</v>
      </c>
      <c r="F418" s="2" t="s">
        <v>18643</v>
      </c>
      <c r="G418" s="22" t="s">
        <v>18644</v>
      </c>
      <c r="H418" s="24" t="s">
        <v>19334</v>
      </c>
      <c r="I418" s="22" t="s">
        <v>19309</v>
      </c>
      <c r="J418" s="22" t="s">
        <v>19602</v>
      </c>
      <c r="K418" s="22" t="s">
        <v>20041</v>
      </c>
      <c r="L418" s="22"/>
      <c r="M418" s="22"/>
      <c r="N418" s="25" t="str">
        <f>HYPERLINK("http://slimages.macys.com/is/image/MCY/21723141 ")</f>
        <v xml:space="preserve">http://slimages.macys.com/is/image/MCY/21723141 </v>
      </c>
    </row>
    <row r="419" spans="1:14" ht="24.75" x14ac:dyDescent="0.25">
      <c r="A419" s="21" t="s">
        <v>18645</v>
      </c>
      <c r="B419" s="22" t="s">
        <v>18646</v>
      </c>
      <c r="C419" s="2">
        <v>1</v>
      </c>
      <c r="D419" s="23">
        <v>10.91</v>
      </c>
      <c r="E419" s="3">
        <v>10.91</v>
      </c>
      <c r="F419" s="2" t="s">
        <v>18647</v>
      </c>
      <c r="G419" s="22"/>
      <c r="H419" s="24" t="s">
        <v>19345</v>
      </c>
      <c r="I419" s="22" t="s">
        <v>19309</v>
      </c>
      <c r="J419" s="22" t="s">
        <v>19602</v>
      </c>
      <c r="K419" s="22" t="s">
        <v>19603</v>
      </c>
      <c r="L419" s="22"/>
      <c r="M419" s="22"/>
      <c r="N419" s="25" t="str">
        <f>HYPERLINK("http://slimages.macys.com/is/image/MCY/21421177 ")</f>
        <v xml:space="preserve">http://slimages.macys.com/is/image/MCY/21421177 </v>
      </c>
    </row>
    <row r="420" spans="1:14" ht="24.75" x14ac:dyDescent="0.25">
      <c r="A420" s="21" t="s">
        <v>18648</v>
      </c>
      <c r="B420" s="22" t="s">
        <v>18649</v>
      </c>
      <c r="C420" s="2">
        <v>1</v>
      </c>
      <c r="D420" s="23">
        <v>10.91</v>
      </c>
      <c r="E420" s="3">
        <v>10.91</v>
      </c>
      <c r="F420" s="2" t="s">
        <v>18650</v>
      </c>
      <c r="G420" s="22"/>
      <c r="H420" s="24" t="s">
        <v>19334</v>
      </c>
      <c r="I420" s="22" t="s">
        <v>19309</v>
      </c>
      <c r="J420" s="22" t="s">
        <v>19602</v>
      </c>
      <c r="K420" s="22" t="s">
        <v>19603</v>
      </c>
      <c r="L420" s="22"/>
      <c r="M420" s="22"/>
      <c r="N420" s="25" t="str">
        <f>HYPERLINK("http://slimages.macys.com/is/image/MCY/21420990 ")</f>
        <v xml:space="preserve">http://slimages.macys.com/is/image/MCY/21420990 </v>
      </c>
    </row>
    <row r="421" spans="1:14" ht="24.75" x14ac:dyDescent="0.25">
      <c r="A421" s="21" t="s">
        <v>18651</v>
      </c>
      <c r="B421" s="22" t="s">
        <v>18652</v>
      </c>
      <c r="C421" s="2">
        <v>1</v>
      </c>
      <c r="D421" s="23">
        <v>11.99</v>
      </c>
      <c r="E421" s="3">
        <v>11.99</v>
      </c>
      <c r="F421" s="2" t="s">
        <v>18653</v>
      </c>
      <c r="G421" s="22" t="s">
        <v>19794</v>
      </c>
      <c r="H421" s="24" t="s">
        <v>19364</v>
      </c>
      <c r="I421" s="22" t="s">
        <v>19309</v>
      </c>
      <c r="J421" s="22" t="s">
        <v>19454</v>
      </c>
      <c r="K421" s="22" t="s">
        <v>18654</v>
      </c>
      <c r="L421" s="22"/>
      <c r="M421" s="22"/>
      <c r="N421" s="25" t="str">
        <f>HYPERLINK("http://slimages.macys.com/is/image/MCY/21708483 ")</f>
        <v xml:space="preserve">http://slimages.macys.com/is/image/MCY/21708483 </v>
      </c>
    </row>
    <row r="422" spans="1:14" ht="24.75" x14ac:dyDescent="0.25">
      <c r="A422" s="21" t="s">
        <v>18655</v>
      </c>
      <c r="B422" s="22" t="s">
        <v>18656</v>
      </c>
      <c r="C422" s="2">
        <v>1</v>
      </c>
      <c r="D422" s="23">
        <v>10.99</v>
      </c>
      <c r="E422" s="3">
        <v>10.99</v>
      </c>
      <c r="F422" s="2" t="s">
        <v>18657</v>
      </c>
      <c r="G422" s="22" t="s">
        <v>19814</v>
      </c>
      <c r="H422" s="24" t="s">
        <v>19364</v>
      </c>
      <c r="I422" s="22" t="s">
        <v>19309</v>
      </c>
      <c r="J422" s="22" t="s">
        <v>19353</v>
      </c>
      <c r="K422" s="22" t="s">
        <v>19524</v>
      </c>
      <c r="L422" s="22"/>
      <c r="M422" s="22"/>
      <c r="N422" s="25" t="str">
        <f>HYPERLINK("http://slimages.macys.com/is/image/MCY/20702948 ")</f>
        <v xml:space="preserve">http://slimages.macys.com/is/image/MCY/20702948 </v>
      </c>
    </row>
    <row r="423" spans="1:14" x14ac:dyDescent="0.25">
      <c r="A423" s="21" t="s">
        <v>18658</v>
      </c>
      <c r="B423" s="22" t="s">
        <v>18659</v>
      </c>
      <c r="C423" s="2">
        <v>1</v>
      </c>
      <c r="D423" s="23">
        <v>9.7200000000000006</v>
      </c>
      <c r="E423" s="3">
        <v>9.7200000000000006</v>
      </c>
      <c r="F423" s="2" t="s">
        <v>18660</v>
      </c>
      <c r="G423" s="22"/>
      <c r="H423" s="24" t="s">
        <v>19770</v>
      </c>
      <c r="I423" s="22" t="s">
        <v>19309</v>
      </c>
      <c r="J423" s="22" t="s">
        <v>19708</v>
      </c>
      <c r="K423" s="22" t="s">
        <v>19709</v>
      </c>
      <c r="L423" s="22"/>
      <c r="M423" s="22"/>
      <c r="N423" s="25" t="str">
        <f>HYPERLINK("http://slimages.macys.com/is/image/MCY/19063822 ")</f>
        <v xml:space="preserve">http://slimages.macys.com/is/image/MCY/19063822 </v>
      </c>
    </row>
    <row r="424" spans="1:14" ht="24.75" x14ac:dyDescent="0.25">
      <c r="A424" s="21" t="s">
        <v>18661</v>
      </c>
      <c r="B424" s="22" t="s">
        <v>18662</v>
      </c>
      <c r="C424" s="2">
        <v>1</v>
      </c>
      <c r="D424" s="23">
        <v>11.99</v>
      </c>
      <c r="E424" s="3">
        <v>11.99</v>
      </c>
      <c r="F424" s="2" t="s">
        <v>18663</v>
      </c>
      <c r="G424" s="22" t="s">
        <v>19585</v>
      </c>
      <c r="H424" s="24" t="s">
        <v>19352</v>
      </c>
      <c r="I424" s="22" t="s">
        <v>19309</v>
      </c>
      <c r="J424" s="22" t="s">
        <v>19849</v>
      </c>
      <c r="K424" s="22" t="s">
        <v>19850</v>
      </c>
      <c r="L424" s="22"/>
      <c r="M424" s="22"/>
      <c r="N424" s="25" t="str">
        <f>HYPERLINK("http://slimages.macys.com/is/image/MCY/20752422 ")</f>
        <v xml:space="preserve">http://slimages.macys.com/is/image/MCY/20752422 </v>
      </c>
    </row>
    <row r="425" spans="1:14" x14ac:dyDescent="0.25">
      <c r="A425" s="21" t="s">
        <v>18664</v>
      </c>
      <c r="B425" s="22" t="s">
        <v>18665</v>
      </c>
      <c r="C425" s="2">
        <v>1</v>
      </c>
      <c r="D425" s="23">
        <v>16.989999999999998</v>
      </c>
      <c r="E425" s="3">
        <v>16.989999999999998</v>
      </c>
      <c r="F425" s="2" t="s">
        <v>18666</v>
      </c>
      <c r="G425" s="22" t="s">
        <v>19477</v>
      </c>
      <c r="H425" s="24" t="s">
        <v>19352</v>
      </c>
      <c r="I425" s="22" t="s">
        <v>19309</v>
      </c>
      <c r="J425" s="22" t="s">
        <v>19849</v>
      </c>
      <c r="K425" s="22" t="s">
        <v>19850</v>
      </c>
      <c r="L425" s="22"/>
      <c r="M425" s="22"/>
      <c r="N425" s="25" t="str">
        <f>HYPERLINK("http://slimages.macys.com/is/image/MCY/20549559 ")</f>
        <v xml:space="preserve">http://slimages.macys.com/is/image/MCY/20549559 </v>
      </c>
    </row>
    <row r="426" spans="1:14" ht="24.75" x14ac:dyDescent="0.25">
      <c r="A426" s="21" t="s">
        <v>18667</v>
      </c>
      <c r="B426" s="22" t="s">
        <v>18668</v>
      </c>
      <c r="C426" s="2">
        <v>1</v>
      </c>
      <c r="D426" s="23">
        <v>13.99</v>
      </c>
      <c r="E426" s="3">
        <v>13.99</v>
      </c>
      <c r="F426" s="2" t="s">
        <v>18669</v>
      </c>
      <c r="G426" s="22" t="s">
        <v>19814</v>
      </c>
      <c r="H426" s="24" t="s">
        <v>19392</v>
      </c>
      <c r="I426" s="22" t="s">
        <v>19309</v>
      </c>
      <c r="J426" s="22" t="s">
        <v>19815</v>
      </c>
      <c r="K426" s="22" t="s">
        <v>19816</v>
      </c>
      <c r="L426" s="22"/>
      <c r="M426" s="22"/>
      <c r="N426" s="25" t="str">
        <f>HYPERLINK("http://slimages.macys.com/is/image/MCY/20817076 ")</f>
        <v xml:space="preserve">http://slimages.macys.com/is/image/MCY/20817076 </v>
      </c>
    </row>
    <row r="427" spans="1:14" ht="24.75" x14ac:dyDescent="0.25">
      <c r="A427" s="21" t="s">
        <v>18670</v>
      </c>
      <c r="B427" s="22" t="s">
        <v>18671</v>
      </c>
      <c r="C427" s="2">
        <v>1</v>
      </c>
      <c r="D427" s="23">
        <v>11.99</v>
      </c>
      <c r="E427" s="3">
        <v>11.99</v>
      </c>
      <c r="F427" s="2" t="s">
        <v>18672</v>
      </c>
      <c r="G427" s="22" t="s">
        <v>19670</v>
      </c>
      <c r="H427" s="24" t="s">
        <v>19384</v>
      </c>
      <c r="I427" s="22" t="s">
        <v>19309</v>
      </c>
      <c r="J427" s="22" t="s">
        <v>19573</v>
      </c>
      <c r="K427" s="22" t="s">
        <v>19574</v>
      </c>
      <c r="L427" s="22"/>
      <c r="M427" s="22"/>
      <c r="N427" s="25" t="str">
        <f>HYPERLINK("http://slimages.macys.com/is/image/MCY/21209478 ")</f>
        <v xml:space="preserve">http://slimages.macys.com/is/image/MCY/21209478 </v>
      </c>
    </row>
    <row r="428" spans="1:14" ht="24.75" x14ac:dyDescent="0.25">
      <c r="A428" s="21" t="s">
        <v>18673</v>
      </c>
      <c r="B428" s="22" t="s">
        <v>18674</v>
      </c>
      <c r="C428" s="2">
        <v>2</v>
      </c>
      <c r="D428" s="23">
        <v>9.99</v>
      </c>
      <c r="E428" s="3">
        <v>19.98</v>
      </c>
      <c r="F428" s="2">
        <v>10015240700</v>
      </c>
      <c r="G428" s="22" t="s">
        <v>19315</v>
      </c>
      <c r="H428" s="24"/>
      <c r="I428" s="22" t="s">
        <v>19309</v>
      </c>
      <c r="J428" s="22" t="s">
        <v>19573</v>
      </c>
      <c r="K428" s="22" t="s">
        <v>19574</v>
      </c>
      <c r="L428" s="22"/>
      <c r="M428" s="22"/>
      <c r="N428" s="25" t="str">
        <f>HYPERLINK("http://slimages.macys.com/is/image/MCY/2023449 ")</f>
        <v xml:space="preserve">http://slimages.macys.com/is/image/MCY/2023449 </v>
      </c>
    </row>
    <row r="429" spans="1:14" ht="24.75" x14ac:dyDescent="0.25">
      <c r="A429" s="21" t="s">
        <v>18675</v>
      </c>
      <c r="B429" s="22" t="s">
        <v>18676</v>
      </c>
      <c r="C429" s="2">
        <v>2</v>
      </c>
      <c r="D429" s="23">
        <v>9.99</v>
      </c>
      <c r="E429" s="3">
        <v>19.98</v>
      </c>
      <c r="F429" s="2">
        <v>10015240800</v>
      </c>
      <c r="G429" s="22" t="s">
        <v>19351</v>
      </c>
      <c r="H429" s="24"/>
      <c r="I429" s="22" t="s">
        <v>19309</v>
      </c>
      <c r="J429" s="22" t="s">
        <v>19573</v>
      </c>
      <c r="K429" s="22" t="s">
        <v>19574</v>
      </c>
      <c r="L429" s="22"/>
      <c r="M429" s="22"/>
      <c r="N429" s="25" t="str">
        <f>HYPERLINK("http://slimages.macys.com/is/image/MCY/2023449 ")</f>
        <v xml:space="preserve">http://slimages.macys.com/is/image/MCY/2023449 </v>
      </c>
    </row>
    <row r="430" spans="1:14" ht="24.75" x14ac:dyDescent="0.25">
      <c r="A430" s="21" t="s">
        <v>18677</v>
      </c>
      <c r="B430" s="22" t="s">
        <v>18678</v>
      </c>
      <c r="C430" s="2">
        <v>1</v>
      </c>
      <c r="D430" s="23">
        <v>9.99</v>
      </c>
      <c r="E430" s="3">
        <v>9.99</v>
      </c>
      <c r="F430" s="2">
        <v>10015240800</v>
      </c>
      <c r="G430" s="22" t="s">
        <v>19351</v>
      </c>
      <c r="H430" s="24" t="s">
        <v>19770</v>
      </c>
      <c r="I430" s="22" t="s">
        <v>19309</v>
      </c>
      <c r="J430" s="22" t="s">
        <v>19573</v>
      </c>
      <c r="K430" s="22" t="s">
        <v>19574</v>
      </c>
      <c r="L430" s="22"/>
      <c r="M430" s="22"/>
      <c r="N430" s="25" t="str">
        <f>HYPERLINK("http://slimages.macys.com/is/image/MCY/2023449 ")</f>
        <v xml:space="preserve">http://slimages.macys.com/is/image/MCY/2023449 </v>
      </c>
    </row>
    <row r="431" spans="1:14" ht="24.75" x14ac:dyDescent="0.25">
      <c r="A431" s="21" t="s">
        <v>18679</v>
      </c>
      <c r="B431" s="22" t="s">
        <v>18680</v>
      </c>
      <c r="C431" s="2">
        <v>1</v>
      </c>
      <c r="D431" s="23">
        <v>9.99</v>
      </c>
      <c r="E431" s="3">
        <v>9.99</v>
      </c>
      <c r="F431" s="2">
        <v>10015240800</v>
      </c>
      <c r="G431" s="22" t="s">
        <v>19351</v>
      </c>
      <c r="H431" s="24" t="s">
        <v>19416</v>
      </c>
      <c r="I431" s="22" t="s">
        <v>19309</v>
      </c>
      <c r="J431" s="22" t="s">
        <v>19573</v>
      </c>
      <c r="K431" s="22" t="s">
        <v>19574</v>
      </c>
      <c r="L431" s="22"/>
      <c r="M431" s="22"/>
      <c r="N431" s="25" t="str">
        <f>HYPERLINK("http://slimages.macys.com/is/image/MCY/2023449 ")</f>
        <v xml:space="preserve">http://slimages.macys.com/is/image/MCY/2023449 </v>
      </c>
    </row>
    <row r="432" spans="1:14" ht="24.75" x14ac:dyDescent="0.25">
      <c r="A432" s="21" t="s">
        <v>18681</v>
      </c>
      <c r="B432" s="22" t="s">
        <v>18682</v>
      </c>
      <c r="C432" s="2">
        <v>1</v>
      </c>
      <c r="D432" s="23">
        <v>9.99</v>
      </c>
      <c r="E432" s="3">
        <v>9.99</v>
      </c>
      <c r="F432" s="2">
        <v>10015240700</v>
      </c>
      <c r="G432" s="22" t="s">
        <v>19315</v>
      </c>
      <c r="H432" s="24" t="s">
        <v>19770</v>
      </c>
      <c r="I432" s="22" t="s">
        <v>19309</v>
      </c>
      <c r="J432" s="22" t="s">
        <v>19573</v>
      </c>
      <c r="K432" s="22" t="s">
        <v>19574</v>
      </c>
      <c r="L432" s="22"/>
      <c r="M432" s="22"/>
      <c r="N432" s="25" t="str">
        <f>HYPERLINK("http://slimages.macys.com/is/image/MCY/1712799 ")</f>
        <v xml:space="preserve">http://slimages.macys.com/is/image/MCY/1712799 </v>
      </c>
    </row>
    <row r="433" spans="1:14" ht="24.75" x14ac:dyDescent="0.25">
      <c r="A433" s="21" t="s">
        <v>18683</v>
      </c>
      <c r="B433" s="22" t="s">
        <v>18684</v>
      </c>
      <c r="C433" s="2">
        <v>1</v>
      </c>
      <c r="D433" s="23">
        <v>9.99</v>
      </c>
      <c r="E433" s="3">
        <v>9.99</v>
      </c>
      <c r="F433" s="2">
        <v>10015240800</v>
      </c>
      <c r="G433" s="22" t="s">
        <v>19351</v>
      </c>
      <c r="H433" s="24" t="s">
        <v>19384</v>
      </c>
      <c r="I433" s="22" t="s">
        <v>19309</v>
      </c>
      <c r="J433" s="22" t="s">
        <v>19573</v>
      </c>
      <c r="K433" s="22" t="s">
        <v>19574</v>
      </c>
      <c r="L433" s="22"/>
      <c r="M433" s="22"/>
      <c r="N433" s="25" t="str">
        <f>HYPERLINK("http://slimages.macys.com/is/image/MCY/2023449 ")</f>
        <v xml:space="preserve">http://slimages.macys.com/is/image/MCY/2023449 </v>
      </c>
    </row>
    <row r="434" spans="1:14" ht="24.75" x14ac:dyDescent="0.25">
      <c r="A434" s="21" t="s">
        <v>18685</v>
      </c>
      <c r="B434" s="22" t="s">
        <v>18686</v>
      </c>
      <c r="C434" s="2">
        <v>1</v>
      </c>
      <c r="D434" s="23">
        <v>9.99</v>
      </c>
      <c r="E434" s="3">
        <v>9.99</v>
      </c>
      <c r="F434" s="2">
        <v>10015240700</v>
      </c>
      <c r="G434" s="22" t="s">
        <v>19315</v>
      </c>
      <c r="H434" s="24" t="s">
        <v>19538</v>
      </c>
      <c r="I434" s="22" t="s">
        <v>19309</v>
      </c>
      <c r="J434" s="22" t="s">
        <v>19573</v>
      </c>
      <c r="K434" s="22" t="s">
        <v>19574</v>
      </c>
      <c r="L434" s="22"/>
      <c r="M434" s="22"/>
      <c r="N434" s="25" t="str">
        <f>HYPERLINK("http://slimages.macys.com/is/image/MCY/2023449 ")</f>
        <v xml:space="preserve">http://slimages.macys.com/is/image/MCY/2023449 </v>
      </c>
    </row>
    <row r="435" spans="1:14" ht="24.75" x14ac:dyDescent="0.25">
      <c r="A435" s="21" t="s">
        <v>18687</v>
      </c>
      <c r="B435" s="22" t="s">
        <v>18688</v>
      </c>
      <c r="C435" s="2">
        <v>1</v>
      </c>
      <c r="D435" s="23">
        <v>9.99</v>
      </c>
      <c r="E435" s="3">
        <v>9.99</v>
      </c>
      <c r="F435" s="2" t="s">
        <v>18689</v>
      </c>
      <c r="G435" s="22" t="s">
        <v>19351</v>
      </c>
      <c r="H435" s="24"/>
      <c r="I435" s="22" t="s">
        <v>19309</v>
      </c>
      <c r="J435" s="22" t="s">
        <v>19573</v>
      </c>
      <c r="K435" s="22" t="s">
        <v>19574</v>
      </c>
      <c r="L435" s="22"/>
      <c r="M435" s="22"/>
      <c r="N435" s="25" t="str">
        <f>HYPERLINK("http://slimages.macys.com/is/image/MCY/1699968 ")</f>
        <v xml:space="preserve">http://slimages.macys.com/is/image/MCY/1699968 </v>
      </c>
    </row>
    <row r="436" spans="1:14" ht="24.75" x14ac:dyDescent="0.25">
      <c r="A436" s="21" t="s">
        <v>18690</v>
      </c>
      <c r="B436" s="22" t="s">
        <v>18691</v>
      </c>
      <c r="C436" s="2">
        <v>1</v>
      </c>
      <c r="D436" s="23">
        <v>9.99</v>
      </c>
      <c r="E436" s="3">
        <v>9.99</v>
      </c>
      <c r="F436" s="2" t="s">
        <v>18689</v>
      </c>
      <c r="G436" s="22" t="s">
        <v>19351</v>
      </c>
      <c r="H436" s="24" t="s">
        <v>19770</v>
      </c>
      <c r="I436" s="22" t="s">
        <v>19309</v>
      </c>
      <c r="J436" s="22" t="s">
        <v>19573</v>
      </c>
      <c r="K436" s="22" t="s">
        <v>19574</v>
      </c>
      <c r="L436" s="22"/>
      <c r="M436" s="22"/>
      <c r="N436" s="25" t="str">
        <f>HYPERLINK("http://slimages.macys.com/is/image/MCY/1679025 ")</f>
        <v xml:space="preserve">http://slimages.macys.com/is/image/MCY/1679025 </v>
      </c>
    </row>
    <row r="437" spans="1:14" ht="24.75" x14ac:dyDescent="0.25">
      <c r="A437" s="21" t="s">
        <v>18692</v>
      </c>
      <c r="B437" s="22" t="s">
        <v>18693</v>
      </c>
      <c r="C437" s="2">
        <v>1</v>
      </c>
      <c r="D437" s="23">
        <v>9.99</v>
      </c>
      <c r="E437" s="3">
        <v>9.99</v>
      </c>
      <c r="F437" s="2" t="s">
        <v>18689</v>
      </c>
      <c r="G437" s="22" t="s">
        <v>19351</v>
      </c>
      <c r="H437" s="24" t="s">
        <v>19538</v>
      </c>
      <c r="I437" s="22" t="s">
        <v>19309</v>
      </c>
      <c r="J437" s="22" t="s">
        <v>19573</v>
      </c>
      <c r="K437" s="22" t="s">
        <v>19574</v>
      </c>
      <c r="L437" s="22"/>
      <c r="M437" s="22"/>
      <c r="N437" s="25" t="str">
        <f>HYPERLINK("http://slimages.macys.com/is/image/MCY/1679025 ")</f>
        <v xml:space="preserve">http://slimages.macys.com/is/image/MCY/1679025 </v>
      </c>
    </row>
    <row r="438" spans="1:14" ht="24.75" x14ac:dyDescent="0.25">
      <c r="A438" s="21" t="s">
        <v>18694</v>
      </c>
      <c r="B438" s="22" t="s">
        <v>18695</v>
      </c>
      <c r="C438" s="2">
        <v>1</v>
      </c>
      <c r="D438" s="23">
        <v>10.99</v>
      </c>
      <c r="E438" s="3">
        <v>10.99</v>
      </c>
      <c r="F438" s="2" t="s">
        <v>18696</v>
      </c>
      <c r="G438" s="22" t="s">
        <v>19351</v>
      </c>
      <c r="H438" s="24" t="s">
        <v>19352</v>
      </c>
      <c r="I438" s="22" t="s">
        <v>19309</v>
      </c>
      <c r="J438" s="22" t="s">
        <v>19353</v>
      </c>
      <c r="K438" s="22" t="s">
        <v>19524</v>
      </c>
      <c r="L438" s="22"/>
      <c r="M438" s="22"/>
      <c r="N438" s="25" t="str">
        <f>HYPERLINK("http://slimages.macys.com/is/image/MCY/1472570 ")</f>
        <v xml:space="preserve">http://slimages.macys.com/is/image/MCY/1472570 </v>
      </c>
    </row>
    <row r="439" spans="1:14" ht="24.75" x14ac:dyDescent="0.25">
      <c r="A439" s="21" t="s">
        <v>18697</v>
      </c>
      <c r="B439" s="22" t="s">
        <v>18698</v>
      </c>
      <c r="C439" s="2">
        <v>1</v>
      </c>
      <c r="D439" s="23">
        <v>11.99</v>
      </c>
      <c r="E439" s="3">
        <v>11.99</v>
      </c>
      <c r="F439" s="2" t="s">
        <v>18699</v>
      </c>
      <c r="G439" s="22" t="s">
        <v>18439</v>
      </c>
      <c r="H439" s="24" t="s">
        <v>19308</v>
      </c>
      <c r="I439" s="22" t="s">
        <v>19309</v>
      </c>
      <c r="J439" s="22" t="s">
        <v>19454</v>
      </c>
      <c r="K439" s="22" t="s">
        <v>18654</v>
      </c>
      <c r="L439" s="22"/>
      <c r="M439" s="22"/>
      <c r="N439" s="25" t="str">
        <f>HYPERLINK("http://slimages.macys.com/is/image/MCY/22163513 ")</f>
        <v xml:space="preserve">http://slimages.macys.com/is/image/MCY/22163513 </v>
      </c>
    </row>
    <row r="440" spans="1:14" ht="24.75" x14ac:dyDescent="0.25">
      <c r="A440" s="21" t="s">
        <v>18700</v>
      </c>
      <c r="B440" s="22" t="s">
        <v>18701</v>
      </c>
      <c r="C440" s="2">
        <v>1</v>
      </c>
      <c r="D440" s="23">
        <v>10.99</v>
      </c>
      <c r="E440" s="3">
        <v>10.99</v>
      </c>
      <c r="F440" s="2" t="s">
        <v>18702</v>
      </c>
      <c r="G440" s="22" t="s">
        <v>19670</v>
      </c>
      <c r="H440" s="24" t="s">
        <v>19352</v>
      </c>
      <c r="I440" s="22" t="s">
        <v>19309</v>
      </c>
      <c r="J440" s="22" t="s">
        <v>19353</v>
      </c>
      <c r="K440" s="22" t="s">
        <v>19524</v>
      </c>
      <c r="L440" s="22"/>
      <c r="M440" s="22"/>
      <c r="N440" s="25" t="str">
        <f>HYPERLINK("http://slimages.macys.com/is/image/MCY/1484637 ")</f>
        <v xml:space="preserve">http://slimages.macys.com/is/image/MCY/1484637 </v>
      </c>
    </row>
    <row r="441" spans="1:14" x14ac:dyDescent="0.25">
      <c r="A441" s="21" t="s">
        <v>18703</v>
      </c>
      <c r="B441" s="22" t="s">
        <v>18704</v>
      </c>
      <c r="C441" s="2">
        <v>1</v>
      </c>
      <c r="D441" s="23">
        <v>11.83</v>
      </c>
      <c r="E441" s="3">
        <v>11.83</v>
      </c>
      <c r="F441" s="2" t="s">
        <v>18705</v>
      </c>
      <c r="G441" s="22"/>
      <c r="H441" s="24" t="s">
        <v>20159</v>
      </c>
      <c r="I441" s="22" t="s">
        <v>19309</v>
      </c>
      <c r="J441" s="22" t="s">
        <v>19708</v>
      </c>
      <c r="K441" s="22" t="s">
        <v>19709</v>
      </c>
      <c r="L441" s="22"/>
      <c r="M441" s="22"/>
      <c r="N441" s="25" t="str">
        <f>HYPERLINK("http://slimages.macys.com/is/image/MCY/21411109 ")</f>
        <v xml:space="preserve">http://slimages.macys.com/is/image/MCY/21411109 </v>
      </c>
    </row>
    <row r="442" spans="1:14" ht="24.75" x14ac:dyDescent="0.25">
      <c r="A442" s="21" t="s">
        <v>18706</v>
      </c>
      <c r="B442" s="22" t="s">
        <v>18707</v>
      </c>
      <c r="C442" s="2">
        <v>1</v>
      </c>
      <c r="D442" s="23">
        <v>10.41</v>
      </c>
      <c r="E442" s="3">
        <v>10.41</v>
      </c>
      <c r="F442" s="2" t="s">
        <v>18708</v>
      </c>
      <c r="G442" s="22"/>
      <c r="H442" s="24" t="s">
        <v>19392</v>
      </c>
      <c r="I442" s="22" t="s">
        <v>19309</v>
      </c>
      <c r="J442" s="22" t="s">
        <v>19602</v>
      </c>
      <c r="K442" s="22" t="s">
        <v>20041</v>
      </c>
      <c r="L442" s="22"/>
      <c r="M442" s="22"/>
      <c r="N442" s="25" t="str">
        <f>HYPERLINK("http://slimages.macys.com/is/image/MCY/21723875 ")</f>
        <v xml:space="preserve">http://slimages.macys.com/is/image/MCY/21723875 </v>
      </c>
    </row>
    <row r="443" spans="1:14" ht="24.75" x14ac:dyDescent="0.25">
      <c r="A443" s="21" t="s">
        <v>18709</v>
      </c>
      <c r="B443" s="22" t="s">
        <v>18710</v>
      </c>
      <c r="C443" s="2">
        <v>1</v>
      </c>
      <c r="D443" s="23">
        <v>10.99</v>
      </c>
      <c r="E443" s="3">
        <v>10.99</v>
      </c>
      <c r="F443" s="2" t="s">
        <v>18711</v>
      </c>
      <c r="G443" s="22" t="s">
        <v>19338</v>
      </c>
      <c r="H443" s="24" t="s">
        <v>19352</v>
      </c>
      <c r="I443" s="22" t="s">
        <v>19309</v>
      </c>
      <c r="J443" s="22" t="s">
        <v>19353</v>
      </c>
      <c r="K443" s="22" t="s">
        <v>19524</v>
      </c>
      <c r="L443" s="22"/>
      <c r="M443" s="22"/>
      <c r="N443" s="25" t="str">
        <f>HYPERLINK("http://slimages.macys.com/is/image/MCY/21694514 ")</f>
        <v xml:space="preserve">http://slimages.macys.com/is/image/MCY/21694514 </v>
      </c>
    </row>
    <row r="444" spans="1:14" ht="24.75" x14ac:dyDescent="0.25">
      <c r="A444" s="21" t="s">
        <v>18712</v>
      </c>
      <c r="B444" s="22" t="s">
        <v>18713</v>
      </c>
      <c r="C444" s="2">
        <v>1</v>
      </c>
      <c r="D444" s="23">
        <v>7.99</v>
      </c>
      <c r="E444" s="3">
        <v>7.99</v>
      </c>
      <c r="F444" s="2" t="s">
        <v>18714</v>
      </c>
      <c r="G444" s="22" t="s">
        <v>20145</v>
      </c>
      <c r="H444" s="24" t="s">
        <v>19334</v>
      </c>
      <c r="I444" s="22" t="s">
        <v>19309</v>
      </c>
      <c r="J444" s="22" t="s">
        <v>19310</v>
      </c>
      <c r="K444" s="22" t="s">
        <v>19468</v>
      </c>
      <c r="L444" s="22"/>
      <c r="M444" s="22"/>
      <c r="N444" s="25" t="str">
        <f>HYPERLINK("http://slimages.macys.com/is/image/MCY/21616102 ")</f>
        <v xml:space="preserve">http://slimages.macys.com/is/image/MCY/21616102 </v>
      </c>
    </row>
    <row r="445" spans="1:14" ht="24.75" x14ac:dyDescent="0.25">
      <c r="A445" s="21" t="s">
        <v>18715</v>
      </c>
      <c r="B445" s="22" t="s">
        <v>18716</v>
      </c>
      <c r="C445" s="2">
        <v>1</v>
      </c>
      <c r="D445" s="23">
        <v>7.99</v>
      </c>
      <c r="E445" s="3">
        <v>7.99</v>
      </c>
      <c r="F445" s="2" t="s">
        <v>18717</v>
      </c>
      <c r="G445" s="22" t="s">
        <v>19906</v>
      </c>
      <c r="H445" s="24" t="s">
        <v>19907</v>
      </c>
      <c r="I445" s="22" t="s">
        <v>19309</v>
      </c>
      <c r="J445" s="22" t="s">
        <v>19849</v>
      </c>
      <c r="K445" s="22" t="s">
        <v>19850</v>
      </c>
      <c r="L445" s="22"/>
      <c r="M445" s="22"/>
      <c r="N445" s="25" t="str">
        <f>HYPERLINK("http://slimages.macys.com/is/image/MCY/1928300 ")</f>
        <v xml:space="preserve">http://slimages.macys.com/is/image/MCY/1928300 </v>
      </c>
    </row>
    <row r="446" spans="1:14" ht="24.75" x14ac:dyDescent="0.25">
      <c r="A446" s="21" t="s">
        <v>18718</v>
      </c>
      <c r="B446" s="22" t="s">
        <v>18719</v>
      </c>
      <c r="C446" s="2">
        <v>1</v>
      </c>
      <c r="D446" s="23">
        <v>11.99</v>
      </c>
      <c r="E446" s="3">
        <v>11.99</v>
      </c>
      <c r="F446" s="2" t="s">
        <v>18720</v>
      </c>
      <c r="G446" s="22" t="s">
        <v>19351</v>
      </c>
      <c r="H446" s="24" t="s">
        <v>19364</v>
      </c>
      <c r="I446" s="22" t="s">
        <v>19309</v>
      </c>
      <c r="J446" s="22" t="s">
        <v>19454</v>
      </c>
      <c r="K446" s="22" t="s">
        <v>18654</v>
      </c>
      <c r="L446" s="22"/>
      <c r="M446" s="22"/>
      <c r="N446" s="25" t="str">
        <f>HYPERLINK("http://slimages.macys.com/is/image/MCY/21567742 ")</f>
        <v xml:space="preserve">http://slimages.macys.com/is/image/MCY/21567742 </v>
      </c>
    </row>
    <row r="447" spans="1:14" ht="24.75" x14ac:dyDescent="0.25">
      <c r="A447" s="21" t="s">
        <v>18721</v>
      </c>
      <c r="B447" s="22" t="s">
        <v>18722</v>
      </c>
      <c r="C447" s="2">
        <v>1</v>
      </c>
      <c r="D447" s="23">
        <v>7.99</v>
      </c>
      <c r="E447" s="3">
        <v>7.99</v>
      </c>
      <c r="F447" s="2" t="s">
        <v>18723</v>
      </c>
      <c r="G447" s="22" t="s">
        <v>19467</v>
      </c>
      <c r="H447" s="24" t="s">
        <v>19345</v>
      </c>
      <c r="I447" s="22" t="s">
        <v>19309</v>
      </c>
      <c r="J447" s="22" t="s">
        <v>19447</v>
      </c>
      <c r="K447" s="22" t="s">
        <v>20146</v>
      </c>
      <c r="L447" s="22"/>
      <c r="M447" s="22"/>
      <c r="N447" s="25" t="str">
        <f>HYPERLINK("http://slimages.macys.com/is/image/MCY/21008516 ")</f>
        <v xml:space="preserve">http://slimages.macys.com/is/image/MCY/21008516 </v>
      </c>
    </row>
    <row r="448" spans="1:14" ht="24.75" x14ac:dyDescent="0.25">
      <c r="A448" s="21" t="s">
        <v>18724</v>
      </c>
      <c r="B448" s="22" t="s">
        <v>18725</v>
      </c>
      <c r="C448" s="2">
        <v>1</v>
      </c>
      <c r="D448" s="23">
        <v>11.99</v>
      </c>
      <c r="E448" s="3">
        <v>11.99</v>
      </c>
      <c r="F448" s="2" t="s">
        <v>18726</v>
      </c>
      <c r="G448" s="22" t="s">
        <v>19670</v>
      </c>
      <c r="H448" s="24"/>
      <c r="I448" s="22" t="s">
        <v>19309</v>
      </c>
      <c r="J448" s="22" t="s">
        <v>19849</v>
      </c>
      <c r="K448" s="22" t="s">
        <v>19850</v>
      </c>
      <c r="L448" s="22"/>
      <c r="M448" s="22"/>
      <c r="N448" s="25" t="str">
        <f>HYPERLINK("http://slimages.macys.com/is/image/MCY/20786301 ")</f>
        <v xml:space="preserve">http://slimages.macys.com/is/image/MCY/20786301 </v>
      </c>
    </row>
    <row r="449" spans="1:14" ht="24.75" x14ac:dyDescent="0.25">
      <c r="A449" s="21" t="s">
        <v>18727</v>
      </c>
      <c r="B449" s="22" t="s">
        <v>18728</v>
      </c>
      <c r="C449" s="2">
        <v>1</v>
      </c>
      <c r="D449" s="23">
        <v>13.99</v>
      </c>
      <c r="E449" s="3">
        <v>13.99</v>
      </c>
      <c r="F449" s="2" t="s">
        <v>18729</v>
      </c>
      <c r="G449" s="22" t="s">
        <v>19415</v>
      </c>
      <c r="H449" s="24" t="s">
        <v>19384</v>
      </c>
      <c r="I449" s="22" t="s">
        <v>19309</v>
      </c>
      <c r="J449" s="22" t="s">
        <v>19573</v>
      </c>
      <c r="K449" s="22" t="s">
        <v>19574</v>
      </c>
      <c r="L449" s="22"/>
      <c r="M449" s="22"/>
      <c r="N449" s="25" t="str">
        <f>HYPERLINK("http://slimages.macys.com/is/image/MCY/1956290 ")</f>
        <v xml:space="preserve">http://slimages.macys.com/is/image/MCY/1956290 </v>
      </c>
    </row>
    <row r="450" spans="1:14" ht="24.75" x14ac:dyDescent="0.25">
      <c r="A450" s="21" t="s">
        <v>18730</v>
      </c>
      <c r="B450" s="22" t="s">
        <v>18731</v>
      </c>
      <c r="C450" s="2">
        <v>2</v>
      </c>
      <c r="D450" s="23">
        <v>10.99</v>
      </c>
      <c r="E450" s="3">
        <v>21.98</v>
      </c>
      <c r="F450" s="2" t="s">
        <v>18732</v>
      </c>
      <c r="G450" s="22" t="s">
        <v>18439</v>
      </c>
      <c r="H450" s="24" t="s">
        <v>19352</v>
      </c>
      <c r="I450" s="22" t="s">
        <v>19309</v>
      </c>
      <c r="J450" s="22" t="s">
        <v>19353</v>
      </c>
      <c r="K450" s="22" t="s">
        <v>19524</v>
      </c>
      <c r="L450" s="22"/>
      <c r="M450" s="22"/>
      <c r="N450" s="25" t="str">
        <f>HYPERLINK("http://slimages.macys.com/is/image/MCY/1472546 ")</f>
        <v xml:space="preserve">http://slimages.macys.com/is/image/MCY/1472546 </v>
      </c>
    </row>
    <row r="451" spans="1:14" ht="24.75" x14ac:dyDescent="0.25">
      <c r="A451" s="21" t="s">
        <v>18733</v>
      </c>
      <c r="B451" s="22" t="s">
        <v>18734</v>
      </c>
      <c r="C451" s="2">
        <v>1</v>
      </c>
      <c r="D451" s="23">
        <v>9.99</v>
      </c>
      <c r="E451" s="3">
        <v>9.99</v>
      </c>
      <c r="F451" s="2" t="s">
        <v>18735</v>
      </c>
      <c r="G451" s="22" t="s">
        <v>19431</v>
      </c>
      <c r="H451" s="24" t="s">
        <v>19364</v>
      </c>
      <c r="I451" s="22" t="s">
        <v>19309</v>
      </c>
      <c r="J451" s="22" t="s">
        <v>19815</v>
      </c>
      <c r="K451" s="22" t="s">
        <v>19816</v>
      </c>
      <c r="L451" s="22"/>
      <c r="M451" s="22"/>
      <c r="N451" s="25" t="str">
        <f>HYPERLINK("http://slimages.macys.com/is/image/MCY/1968633 ")</f>
        <v xml:space="preserve">http://slimages.macys.com/is/image/MCY/1968633 </v>
      </c>
    </row>
    <row r="452" spans="1:14" ht="24.75" x14ac:dyDescent="0.25">
      <c r="A452" s="21" t="s">
        <v>18736</v>
      </c>
      <c r="B452" s="22" t="s">
        <v>18737</v>
      </c>
      <c r="C452" s="2">
        <v>1</v>
      </c>
      <c r="D452" s="23">
        <v>10.99</v>
      </c>
      <c r="E452" s="3">
        <v>10.99</v>
      </c>
      <c r="F452" s="2" t="s">
        <v>18738</v>
      </c>
      <c r="G452" s="22" t="s">
        <v>19462</v>
      </c>
      <c r="H452" s="24" t="s">
        <v>19797</v>
      </c>
      <c r="I452" s="22" t="s">
        <v>19309</v>
      </c>
      <c r="J452" s="22" t="s">
        <v>19353</v>
      </c>
      <c r="K452" s="22" t="s">
        <v>19524</v>
      </c>
      <c r="L452" s="22"/>
      <c r="M452" s="22"/>
      <c r="N452" s="25" t="str">
        <f>HYPERLINK("http://slimages.macys.com/is/image/MCY/1472528 ")</f>
        <v xml:space="preserve">http://slimages.macys.com/is/image/MCY/1472528 </v>
      </c>
    </row>
    <row r="453" spans="1:14" ht="24.75" x14ac:dyDescent="0.25">
      <c r="A453" s="21" t="s">
        <v>18739</v>
      </c>
      <c r="B453" s="22" t="s">
        <v>18740</v>
      </c>
      <c r="C453" s="2">
        <v>1</v>
      </c>
      <c r="D453" s="23">
        <v>10.99</v>
      </c>
      <c r="E453" s="3">
        <v>10.99</v>
      </c>
      <c r="F453" s="2" t="s">
        <v>18738</v>
      </c>
      <c r="G453" s="22" t="s">
        <v>19462</v>
      </c>
      <c r="H453" s="24" t="s">
        <v>19352</v>
      </c>
      <c r="I453" s="22" t="s">
        <v>19309</v>
      </c>
      <c r="J453" s="22" t="s">
        <v>19353</v>
      </c>
      <c r="K453" s="22" t="s">
        <v>19524</v>
      </c>
      <c r="L453" s="22"/>
      <c r="M453" s="22"/>
      <c r="N453" s="25" t="str">
        <f>HYPERLINK("http://slimages.macys.com/is/image/MCY/1472528 ")</f>
        <v xml:space="preserve">http://slimages.macys.com/is/image/MCY/1472528 </v>
      </c>
    </row>
    <row r="454" spans="1:14" x14ac:dyDescent="0.25">
      <c r="A454" s="21" t="s">
        <v>18741</v>
      </c>
      <c r="B454" s="22" t="s">
        <v>18742</v>
      </c>
      <c r="C454" s="2">
        <v>1</v>
      </c>
      <c r="D454" s="23">
        <v>11.39</v>
      </c>
      <c r="E454" s="3">
        <v>11.39</v>
      </c>
      <c r="F454" s="2" t="s">
        <v>18743</v>
      </c>
      <c r="G454" s="22"/>
      <c r="H454" s="24" t="s">
        <v>19330</v>
      </c>
      <c r="I454" s="22" t="s">
        <v>19309</v>
      </c>
      <c r="J454" s="22" t="s">
        <v>19708</v>
      </c>
      <c r="K454" s="22" t="s">
        <v>19709</v>
      </c>
      <c r="L454" s="22"/>
      <c r="M454" s="22"/>
      <c r="N454" s="25" t="str">
        <f>HYPERLINK("http://slimages.macys.com/is/image/MCY/21726877 ")</f>
        <v xml:space="preserve">http://slimages.macys.com/is/image/MCY/21726877 </v>
      </c>
    </row>
    <row r="455" spans="1:14" ht="24.75" x14ac:dyDescent="0.25">
      <c r="A455" s="21" t="s">
        <v>18744</v>
      </c>
      <c r="B455" s="22" t="s">
        <v>18745</v>
      </c>
      <c r="C455" s="2">
        <v>1</v>
      </c>
      <c r="D455" s="23">
        <v>14.99</v>
      </c>
      <c r="E455" s="3">
        <v>14.99</v>
      </c>
      <c r="F455" s="2" t="s">
        <v>18746</v>
      </c>
      <c r="G455" s="22" t="s">
        <v>19315</v>
      </c>
      <c r="H455" s="24" t="s">
        <v>19339</v>
      </c>
      <c r="I455" s="22" t="s">
        <v>19309</v>
      </c>
      <c r="J455" s="22" t="s">
        <v>19815</v>
      </c>
      <c r="K455" s="22" t="s">
        <v>19816</v>
      </c>
      <c r="L455" s="22"/>
      <c r="M455" s="22"/>
      <c r="N455" s="25" t="str">
        <f>HYPERLINK("http://slimages.macys.com/is/image/MCY/20815259 ")</f>
        <v xml:space="preserve">http://slimages.macys.com/is/image/MCY/20815259 </v>
      </c>
    </row>
    <row r="456" spans="1:14" x14ac:dyDescent="0.25">
      <c r="A456" s="21" t="s">
        <v>18747</v>
      </c>
      <c r="B456" s="22" t="s">
        <v>18748</v>
      </c>
      <c r="C456" s="2">
        <v>1</v>
      </c>
      <c r="D456" s="23">
        <v>11.38</v>
      </c>
      <c r="E456" s="3">
        <v>11.38</v>
      </c>
      <c r="F456" s="2" t="s">
        <v>18749</v>
      </c>
      <c r="G456" s="22"/>
      <c r="H456" s="24" t="s">
        <v>19416</v>
      </c>
      <c r="I456" s="22" t="s">
        <v>19309</v>
      </c>
      <c r="J456" s="22" t="s">
        <v>19708</v>
      </c>
      <c r="K456" s="22" t="s">
        <v>19709</v>
      </c>
      <c r="L456" s="22"/>
      <c r="M456" s="22"/>
      <c r="N456" s="25" t="str">
        <f>HYPERLINK("http://slimages.macys.com/is/image/MCY/21414119 ")</f>
        <v xml:space="preserve">http://slimages.macys.com/is/image/MCY/21414119 </v>
      </c>
    </row>
    <row r="457" spans="1:14" x14ac:dyDescent="0.25">
      <c r="A457" s="21" t="s">
        <v>18750</v>
      </c>
      <c r="B457" s="22" t="s">
        <v>18751</v>
      </c>
      <c r="C457" s="2">
        <v>1</v>
      </c>
      <c r="D457" s="23">
        <v>11.38</v>
      </c>
      <c r="E457" s="3">
        <v>11.38</v>
      </c>
      <c r="F457" s="2" t="s">
        <v>18749</v>
      </c>
      <c r="G457" s="22"/>
      <c r="H457" s="24" t="s">
        <v>19770</v>
      </c>
      <c r="I457" s="22" t="s">
        <v>19309</v>
      </c>
      <c r="J457" s="22" t="s">
        <v>19708</v>
      </c>
      <c r="K457" s="22" t="s">
        <v>19709</v>
      </c>
      <c r="L457" s="22"/>
      <c r="M457" s="22"/>
      <c r="N457" s="25" t="str">
        <f>HYPERLINK("http://slimages.macys.com/is/image/MCY/21414119 ")</f>
        <v xml:space="preserve">http://slimages.macys.com/is/image/MCY/21414119 </v>
      </c>
    </row>
    <row r="458" spans="1:14" x14ac:dyDescent="0.25">
      <c r="A458" s="21" t="s">
        <v>18752</v>
      </c>
      <c r="B458" s="22" t="s">
        <v>18753</v>
      </c>
      <c r="C458" s="2">
        <v>1</v>
      </c>
      <c r="D458" s="23">
        <v>11.99</v>
      </c>
      <c r="E458" s="3">
        <v>11.99</v>
      </c>
      <c r="F458" s="2" t="s">
        <v>18754</v>
      </c>
      <c r="G458" s="22" t="s">
        <v>18439</v>
      </c>
      <c r="H458" s="24" t="s">
        <v>19339</v>
      </c>
      <c r="I458" s="22" t="s">
        <v>19309</v>
      </c>
      <c r="J458" s="22" t="s">
        <v>19849</v>
      </c>
      <c r="K458" s="22" t="s">
        <v>19850</v>
      </c>
      <c r="L458" s="22"/>
      <c r="M458" s="22"/>
      <c r="N458" s="25" t="str">
        <f>HYPERLINK("http://slimages.macys.com/is/image/MCY/21956286 ")</f>
        <v xml:space="preserve">http://slimages.macys.com/is/image/MCY/21956286 </v>
      </c>
    </row>
    <row r="459" spans="1:14" ht="24.75" x14ac:dyDescent="0.25">
      <c r="A459" s="21" t="s">
        <v>18755</v>
      </c>
      <c r="B459" s="22" t="s">
        <v>18756</v>
      </c>
      <c r="C459" s="2">
        <v>1</v>
      </c>
      <c r="D459" s="23">
        <v>11.99</v>
      </c>
      <c r="E459" s="3">
        <v>11.99</v>
      </c>
      <c r="F459" s="2" t="s">
        <v>18757</v>
      </c>
      <c r="G459" s="22" t="s">
        <v>19814</v>
      </c>
      <c r="H459" s="24" t="s">
        <v>19361</v>
      </c>
      <c r="I459" s="22" t="s">
        <v>19309</v>
      </c>
      <c r="J459" s="22" t="s">
        <v>19908</v>
      </c>
      <c r="K459" s="22" t="s">
        <v>19524</v>
      </c>
      <c r="L459" s="22"/>
      <c r="M459" s="22"/>
      <c r="N459" s="25" t="str">
        <f>HYPERLINK("http://slimages.macys.com/is/image/MCY/21243378 ")</f>
        <v xml:space="preserve">http://slimages.macys.com/is/image/MCY/21243378 </v>
      </c>
    </row>
    <row r="460" spans="1:14" ht="24.75" x14ac:dyDescent="0.25">
      <c r="A460" s="21" t="s">
        <v>18758</v>
      </c>
      <c r="B460" s="22" t="s">
        <v>18759</v>
      </c>
      <c r="C460" s="2">
        <v>1</v>
      </c>
      <c r="D460" s="23">
        <v>10.99</v>
      </c>
      <c r="E460" s="3">
        <v>10.99</v>
      </c>
      <c r="F460" s="2" t="s">
        <v>18760</v>
      </c>
      <c r="G460" s="22" t="s">
        <v>19338</v>
      </c>
      <c r="H460" s="24" t="s">
        <v>19797</v>
      </c>
      <c r="I460" s="22" t="s">
        <v>19309</v>
      </c>
      <c r="J460" s="22" t="s">
        <v>19353</v>
      </c>
      <c r="K460" s="22" t="s">
        <v>19524</v>
      </c>
      <c r="L460" s="22"/>
      <c r="M460" s="22"/>
      <c r="N460" s="25" t="str">
        <f>HYPERLINK("http://slimages.macys.com/is/image/MCY/1111487 ")</f>
        <v xml:space="preserve">http://slimages.macys.com/is/image/MCY/1111487 </v>
      </c>
    </row>
    <row r="461" spans="1:14" ht="24.75" x14ac:dyDescent="0.25">
      <c r="A461" s="21" t="s">
        <v>18761</v>
      </c>
      <c r="B461" s="22" t="s">
        <v>18762</v>
      </c>
      <c r="C461" s="2">
        <v>1</v>
      </c>
      <c r="D461" s="23">
        <v>10.99</v>
      </c>
      <c r="E461" s="3">
        <v>10.99</v>
      </c>
      <c r="F461" s="2" t="s">
        <v>18763</v>
      </c>
      <c r="G461" s="22" t="s">
        <v>18764</v>
      </c>
      <c r="H461" s="24"/>
      <c r="I461" s="22" t="s">
        <v>19309</v>
      </c>
      <c r="J461" s="22" t="s">
        <v>19573</v>
      </c>
      <c r="K461" s="22" t="s">
        <v>19574</v>
      </c>
      <c r="L461" s="22"/>
      <c r="M461" s="22"/>
      <c r="N461" s="25" t="str">
        <f>HYPERLINK("http://slimages.macys.com/is/image/MCY/17720840 ")</f>
        <v xml:space="preserve">http://slimages.macys.com/is/image/MCY/17720840 </v>
      </c>
    </row>
    <row r="462" spans="1:14" ht="24.75" x14ac:dyDescent="0.25">
      <c r="A462" s="21" t="s">
        <v>18765</v>
      </c>
      <c r="B462" s="22" t="s">
        <v>18766</v>
      </c>
      <c r="C462" s="2">
        <v>1</v>
      </c>
      <c r="D462" s="23">
        <v>10.99</v>
      </c>
      <c r="E462" s="3">
        <v>10.99</v>
      </c>
      <c r="F462" s="2" t="s">
        <v>18767</v>
      </c>
      <c r="G462" s="22" t="s">
        <v>19315</v>
      </c>
      <c r="H462" s="24" t="s">
        <v>19364</v>
      </c>
      <c r="I462" s="22" t="s">
        <v>19309</v>
      </c>
      <c r="J462" s="22" t="s">
        <v>19353</v>
      </c>
      <c r="K462" s="22" t="s">
        <v>19524</v>
      </c>
      <c r="L462" s="22"/>
      <c r="M462" s="22"/>
      <c r="N462" s="25" t="str">
        <f>HYPERLINK("http://slimages.macys.com/is/image/MCY/1426558 ")</f>
        <v xml:space="preserve">http://slimages.macys.com/is/image/MCY/1426558 </v>
      </c>
    </row>
    <row r="463" spans="1:14" ht="24.75" x14ac:dyDescent="0.25">
      <c r="A463" s="21" t="s">
        <v>18768</v>
      </c>
      <c r="B463" s="22" t="s">
        <v>18769</v>
      </c>
      <c r="C463" s="2">
        <v>1</v>
      </c>
      <c r="D463" s="23">
        <v>10.99</v>
      </c>
      <c r="E463" s="3">
        <v>10.99</v>
      </c>
      <c r="F463" s="2" t="s">
        <v>18770</v>
      </c>
      <c r="G463" s="22" t="s">
        <v>19323</v>
      </c>
      <c r="H463" s="24" t="s">
        <v>19352</v>
      </c>
      <c r="I463" s="22" t="s">
        <v>19309</v>
      </c>
      <c r="J463" s="22" t="s">
        <v>19353</v>
      </c>
      <c r="K463" s="22" t="s">
        <v>19524</v>
      </c>
      <c r="L463" s="22"/>
      <c r="M463" s="22"/>
      <c r="N463" s="25" t="str">
        <f>HYPERLINK("http://slimages.macys.com/is/image/MCY/20846572 ")</f>
        <v xml:space="preserve">http://slimages.macys.com/is/image/MCY/20846572 </v>
      </c>
    </row>
    <row r="464" spans="1:14" ht="24.75" x14ac:dyDescent="0.25">
      <c r="A464" s="21" t="s">
        <v>18771</v>
      </c>
      <c r="B464" s="22" t="s">
        <v>18772</v>
      </c>
      <c r="C464" s="2">
        <v>1</v>
      </c>
      <c r="D464" s="23">
        <v>9.99</v>
      </c>
      <c r="E464" s="3">
        <v>9.99</v>
      </c>
      <c r="F464" s="2" t="s">
        <v>18773</v>
      </c>
      <c r="G464" s="22" t="s">
        <v>19422</v>
      </c>
      <c r="H464" s="24" t="s">
        <v>19538</v>
      </c>
      <c r="I464" s="22" t="s">
        <v>19309</v>
      </c>
      <c r="J464" s="22" t="s">
        <v>19573</v>
      </c>
      <c r="K464" s="22" t="s">
        <v>19574</v>
      </c>
      <c r="L464" s="22"/>
      <c r="M464" s="22"/>
      <c r="N464" s="25" t="str">
        <f>HYPERLINK("http://slimages.macys.com/is/image/MCY/1322715 ")</f>
        <v xml:space="preserve">http://slimages.macys.com/is/image/MCY/1322715 </v>
      </c>
    </row>
    <row r="465" spans="1:14" ht="24.75" x14ac:dyDescent="0.25">
      <c r="A465" s="21" t="s">
        <v>18774</v>
      </c>
      <c r="B465" s="22" t="s">
        <v>18775</v>
      </c>
      <c r="C465" s="2">
        <v>2</v>
      </c>
      <c r="D465" s="23">
        <v>9.99</v>
      </c>
      <c r="E465" s="3">
        <v>19.98</v>
      </c>
      <c r="F465" s="2" t="s">
        <v>18773</v>
      </c>
      <c r="G465" s="22" t="s">
        <v>19422</v>
      </c>
      <c r="H465" s="24" t="s">
        <v>19770</v>
      </c>
      <c r="I465" s="22" t="s">
        <v>19309</v>
      </c>
      <c r="J465" s="22" t="s">
        <v>19573</v>
      </c>
      <c r="K465" s="22" t="s">
        <v>19574</v>
      </c>
      <c r="L465" s="22"/>
      <c r="M465" s="22"/>
      <c r="N465" s="25" t="str">
        <f>HYPERLINK("http://slimages.macys.com/is/image/MCY/1646328 ")</f>
        <v xml:space="preserve">http://slimages.macys.com/is/image/MCY/1646328 </v>
      </c>
    </row>
    <row r="466" spans="1:14" ht="24.75" x14ac:dyDescent="0.25">
      <c r="A466" s="21" t="s">
        <v>18776</v>
      </c>
      <c r="B466" s="22" t="s">
        <v>18777</v>
      </c>
      <c r="C466" s="2">
        <v>3</v>
      </c>
      <c r="D466" s="23">
        <v>9.99</v>
      </c>
      <c r="E466" s="3">
        <v>29.97</v>
      </c>
      <c r="F466" s="2" t="s">
        <v>18773</v>
      </c>
      <c r="G466" s="22" t="s">
        <v>19422</v>
      </c>
      <c r="H466" s="24"/>
      <c r="I466" s="22" t="s">
        <v>19309</v>
      </c>
      <c r="J466" s="22" t="s">
        <v>19573</v>
      </c>
      <c r="K466" s="22" t="s">
        <v>19574</v>
      </c>
      <c r="L466" s="22"/>
      <c r="M466" s="22"/>
      <c r="N466" s="25" t="str">
        <f>HYPERLINK("http://slimages.macys.com/is/image/MCY/1322715 ")</f>
        <v xml:space="preserve">http://slimages.macys.com/is/image/MCY/1322715 </v>
      </c>
    </row>
    <row r="467" spans="1:14" ht="24.75" x14ac:dyDescent="0.25">
      <c r="A467" s="21" t="s">
        <v>18778</v>
      </c>
      <c r="B467" s="22" t="s">
        <v>18779</v>
      </c>
      <c r="C467" s="2">
        <v>1</v>
      </c>
      <c r="D467" s="23">
        <v>9.99</v>
      </c>
      <c r="E467" s="3">
        <v>9.99</v>
      </c>
      <c r="F467" s="2" t="s">
        <v>18773</v>
      </c>
      <c r="G467" s="22" t="s">
        <v>19422</v>
      </c>
      <c r="H467" s="24" t="s">
        <v>19384</v>
      </c>
      <c r="I467" s="22" t="s">
        <v>19309</v>
      </c>
      <c r="J467" s="22" t="s">
        <v>19573</v>
      </c>
      <c r="K467" s="22" t="s">
        <v>19574</v>
      </c>
      <c r="L467" s="22"/>
      <c r="M467" s="22"/>
      <c r="N467" s="25" t="str">
        <f>HYPERLINK("http://slimages.macys.com/is/image/MCY/1322715 ")</f>
        <v xml:space="preserve">http://slimages.macys.com/is/image/MCY/1322715 </v>
      </c>
    </row>
    <row r="468" spans="1:14" ht="24.75" x14ac:dyDescent="0.25">
      <c r="A468" s="21" t="s">
        <v>18780</v>
      </c>
      <c r="B468" s="22" t="s">
        <v>18781</v>
      </c>
      <c r="C468" s="2">
        <v>1</v>
      </c>
      <c r="D468" s="23">
        <v>10.99</v>
      </c>
      <c r="E468" s="3">
        <v>10.99</v>
      </c>
      <c r="F468" s="2" t="s">
        <v>18782</v>
      </c>
      <c r="G468" s="22" t="s">
        <v>19670</v>
      </c>
      <c r="H468" s="24" t="s">
        <v>19538</v>
      </c>
      <c r="I468" s="22" t="s">
        <v>19309</v>
      </c>
      <c r="J468" s="22" t="s">
        <v>19573</v>
      </c>
      <c r="K468" s="22" t="s">
        <v>19574</v>
      </c>
      <c r="L468" s="22"/>
      <c r="M468" s="22"/>
      <c r="N468" s="25" t="str">
        <f>HYPERLINK("http://slimages.macys.com/is/image/MCY/20757944 ")</f>
        <v xml:space="preserve">http://slimages.macys.com/is/image/MCY/20757944 </v>
      </c>
    </row>
    <row r="469" spans="1:14" ht="24.75" x14ac:dyDescent="0.25">
      <c r="A469" s="21" t="s">
        <v>18783</v>
      </c>
      <c r="B469" s="22" t="s">
        <v>18784</v>
      </c>
      <c r="C469" s="2">
        <v>1</v>
      </c>
      <c r="D469" s="23">
        <v>10.99</v>
      </c>
      <c r="E469" s="3">
        <v>10.99</v>
      </c>
      <c r="F469" s="2" t="s">
        <v>18785</v>
      </c>
      <c r="G469" s="22" t="s">
        <v>19585</v>
      </c>
      <c r="H469" s="24" t="s">
        <v>19324</v>
      </c>
      <c r="I469" s="22" t="s">
        <v>19309</v>
      </c>
      <c r="J469" s="22" t="s">
        <v>19573</v>
      </c>
      <c r="K469" s="22" t="s">
        <v>19574</v>
      </c>
      <c r="L469" s="22"/>
      <c r="M469" s="22"/>
      <c r="N469" s="25" t="str">
        <f>HYPERLINK("http://slimages.macys.com/is/image/MCY/20551163 ")</f>
        <v xml:space="preserve">http://slimages.macys.com/is/image/MCY/20551163 </v>
      </c>
    </row>
    <row r="470" spans="1:14" ht="24.75" x14ac:dyDescent="0.25">
      <c r="A470" s="21" t="s">
        <v>18786</v>
      </c>
      <c r="B470" s="22" t="s">
        <v>18787</v>
      </c>
      <c r="C470" s="2">
        <v>1</v>
      </c>
      <c r="D470" s="23">
        <v>10.99</v>
      </c>
      <c r="E470" s="3">
        <v>10.99</v>
      </c>
      <c r="F470" s="2" t="s">
        <v>18785</v>
      </c>
      <c r="G470" s="22" t="s">
        <v>19415</v>
      </c>
      <c r="H470" s="24" t="s">
        <v>19330</v>
      </c>
      <c r="I470" s="22" t="s">
        <v>19309</v>
      </c>
      <c r="J470" s="22" t="s">
        <v>19573</v>
      </c>
      <c r="K470" s="22" t="s">
        <v>19574</v>
      </c>
      <c r="L470" s="22"/>
      <c r="M470" s="22"/>
      <c r="N470" s="25" t="str">
        <f>HYPERLINK("http://slimages.macys.com/is/image/MCY/952955 ")</f>
        <v xml:space="preserve">http://slimages.macys.com/is/image/MCY/952955 </v>
      </c>
    </row>
    <row r="471" spans="1:14" ht="24.75" x14ac:dyDescent="0.25">
      <c r="A471" s="21" t="s">
        <v>18788</v>
      </c>
      <c r="B471" s="22" t="s">
        <v>18789</v>
      </c>
      <c r="C471" s="2">
        <v>2</v>
      </c>
      <c r="D471" s="23">
        <v>8.89</v>
      </c>
      <c r="E471" s="3">
        <v>17.78</v>
      </c>
      <c r="F471" s="2" t="s">
        <v>18790</v>
      </c>
      <c r="G471" s="22" t="s">
        <v>19618</v>
      </c>
      <c r="H471" s="24" t="s">
        <v>19364</v>
      </c>
      <c r="I471" s="22" t="s">
        <v>19309</v>
      </c>
      <c r="J471" s="22" t="s">
        <v>19565</v>
      </c>
      <c r="K471" s="22" t="s">
        <v>18514</v>
      </c>
      <c r="L471" s="22"/>
      <c r="M471" s="22"/>
      <c r="N471" s="25" t="str">
        <f>HYPERLINK("http://slimages.macys.com/is/image/MCY/21621971 ")</f>
        <v xml:space="preserve">http://slimages.macys.com/is/image/MCY/21621971 </v>
      </c>
    </row>
    <row r="472" spans="1:14" ht="24.75" x14ac:dyDescent="0.25">
      <c r="A472" s="21" t="s">
        <v>18791</v>
      </c>
      <c r="B472" s="22" t="s">
        <v>18792</v>
      </c>
      <c r="C472" s="2">
        <v>1</v>
      </c>
      <c r="D472" s="23">
        <v>8.89</v>
      </c>
      <c r="E472" s="3">
        <v>8.89</v>
      </c>
      <c r="F472" s="2" t="s">
        <v>18790</v>
      </c>
      <c r="G472" s="22" t="s">
        <v>19618</v>
      </c>
      <c r="H472" s="24" t="s">
        <v>19308</v>
      </c>
      <c r="I472" s="22" t="s">
        <v>19309</v>
      </c>
      <c r="J472" s="22" t="s">
        <v>19565</v>
      </c>
      <c r="K472" s="22" t="s">
        <v>18514</v>
      </c>
      <c r="L472" s="22"/>
      <c r="M472" s="22"/>
      <c r="N472" s="25" t="str">
        <f>HYPERLINK("http://slimages.macys.com/is/image/MCY/21621971 ")</f>
        <v xml:space="preserve">http://slimages.macys.com/is/image/MCY/21621971 </v>
      </c>
    </row>
    <row r="473" spans="1:14" ht="24.75" x14ac:dyDescent="0.25">
      <c r="A473" s="21" t="s">
        <v>18793</v>
      </c>
      <c r="B473" s="22" t="s">
        <v>18794</v>
      </c>
      <c r="C473" s="2">
        <v>2</v>
      </c>
      <c r="D473" s="23">
        <v>10.99</v>
      </c>
      <c r="E473" s="3">
        <v>21.98</v>
      </c>
      <c r="F473" s="2" t="s">
        <v>18795</v>
      </c>
      <c r="G473" s="22" t="s">
        <v>19713</v>
      </c>
      <c r="H473" s="24" t="s">
        <v>19330</v>
      </c>
      <c r="I473" s="22" t="s">
        <v>19309</v>
      </c>
      <c r="J473" s="22" t="s">
        <v>19573</v>
      </c>
      <c r="K473" s="22" t="s">
        <v>19574</v>
      </c>
      <c r="L473" s="22"/>
      <c r="M473" s="22"/>
      <c r="N473" s="25" t="str">
        <f>HYPERLINK("http://slimages.macys.com/is/image/MCY/1660803 ")</f>
        <v xml:space="preserve">http://slimages.macys.com/is/image/MCY/1660803 </v>
      </c>
    </row>
    <row r="474" spans="1:14" ht="24.75" x14ac:dyDescent="0.25">
      <c r="A474" s="21" t="s">
        <v>18796</v>
      </c>
      <c r="B474" s="22" t="s">
        <v>18797</v>
      </c>
      <c r="C474" s="2">
        <v>2</v>
      </c>
      <c r="D474" s="23">
        <v>10.99</v>
      </c>
      <c r="E474" s="3">
        <v>21.98</v>
      </c>
      <c r="F474" s="2" t="s">
        <v>18795</v>
      </c>
      <c r="G474" s="22" t="s">
        <v>19713</v>
      </c>
      <c r="H474" s="24" t="s">
        <v>19416</v>
      </c>
      <c r="I474" s="22" t="s">
        <v>19309</v>
      </c>
      <c r="J474" s="22" t="s">
        <v>19573</v>
      </c>
      <c r="K474" s="22" t="s">
        <v>19574</v>
      </c>
      <c r="L474" s="22"/>
      <c r="M474" s="22"/>
      <c r="N474" s="25" t="str">
        <f>HYPERLINK("http://slimages.macys.com/is/image/MCY/1663589 ")</f>
        <v xml:space="preserve">http://slimages.macys.com/is/image/MCY/1663589 </v>
      </c>
    </row>
    <row r="475" spans="1:14" ht="24.75" x14ac:dyDescent="0.25">
      <c r="A475" s="21" t="s">
        <v>18798</v>
      </c>
      <c r="B475" s="22" t="s">
        <v>18799</v>
      </c>
      <c r="C475" s="2">
        <v>2</v>
      </c>
      <c r="D475" s="23">
        <v>10.99</v>
      </c>
      <c r="E475" s="3">
        <v>21.98</v>
      </c>
      <c r="F475" s="2" t="s">
        <v>18795</v>
      </c>
      <c r="G475" s="22" t="s">
        <v>19713</v>
      </c>
      <c r="H475" s="24"/>
      <c r="I475" s="22" t="s">
        <v>19309</v>
      </c>
      <c r="J475" s="22" t="s">
        <v>19573</v>
      </c>
      <c r="K475" s="22" t="s">
        <v>19574</v>
      </c>
      <c r="L475" s="22"/>
      <c r="M475" s="22"/>
      <c r="N475" s="25" t="str">
        <f>HYPERLINK("http://slimages.macys.com/is/image/MCY/1663589 ")</f>
        <v xml:space="preserve">http://slimages.macys.com/is/image/MCY/1663589 </v>
      </c>
    </row>
    <row r="476" spans="1:14" ht="24.75" x14ac:dyDescent="0.25">
      <c r="A476" s="21" t="s">
        <v>18800</v>
      </c>
      <c r="B476" s="22" t="s">
        <v>18801</v>
      </c>
      <c r="C476" s="2">
        <v>1</v>
      </c>
      <c r="D476" s="23">
        <v>10.99</v>
      </c>
      <c r="E476" s="3">
        <v>10.99</v>
      </c>
      <c r="F476" s="2" t="s">
        <v>18802</v>
      </c>
      <c r="G476" s="22" t="s">
        <v>18439</v>
      </c>
      <c r="H476" s="24" t="s">
        <v>19797</v>
      </c>
      <c r="I476" s="22" t="s">
        <v>19309</v>
      </c>
      <c r="J476" s="22" t="s">
        <v>19353</v>
      </c>
      <c r="K476" s="22" t="s">
        <v>19524</v>
      </c>
      <c r="L476" s="22"/>
      <c r="M476" s="22"/>
      <c r="N476" s="25" t="str">
        <f>HYPERLINK("http://slimages.macys.com/is/image/MCY/21694557 ")</f>
        <v xml:space="preserve">http://slimages.macys.com/is/image/MCY/21694557 </v>
      </c>
    </row>
    <row r="477" spans="1:14" ht="24.75" x14ac:dyDescent="0.25">
      <c r="A477" s="21" t="s">
        <v>18803</v>
      </c>
      <c r="B477" s="22" t="s">
        <v>18804</v>
      </c>
      <c r="C477" s="2">
        <v>1</v>
      </c>
      <c r="D477" s="23">
        <v>10.99</v>
      </c>
      <c r="E477" s="3">
        <v>10.99</v>
      </c>
      <c r="F477" s="2" t="s">
        <v>18805</v>
      </c>
      <c r="G477" s="22" t="s">
        <v>19415</v>
      </c>
      <c r="H477" s="24" t="s">
        <v>19364</v>
      </c>
      <c r="I477" s="22" t="s">
        <v>19309</v>
      </c>
      <c r="J477" s="22" t="s">
        <v>19353</v>
      </c>
      <c r="K477" s="22" t="s">
        <v>19524</v>
      </c>
      <c r="L477" s="22"/>
      <c r="M477" s="22"/>
      <c r="N477" s="25" t="str">
        <f>HYPERLINK("http://slimages.macys.com/is/image/MCY/21233427 ")</f>
        <v xml:space="preserve">http://slimages.macys.com/is/image/MCY/21233427 </v>
      </c>
    </row>
    <row r="478" spans="1:14" ht="24.75" x14ac:dyDescent="0.25">
      <c r="A478" s="21" t="s">
        <v>18806</v>
      </c>
      <c r="B478" s="22" t="s">
        <v>18807</v>
      </c>
      <c r="C478" s="2">
        <v>2</v>
      </c>
      <c r="D478" s="23">
        <v>10.99</v>
      </c>
      <c r="E478" s="3">
        <v>21.98</v>
      </c>
      <c r="F478" s="2" t="s">
        <v>18808</v>
      </c>
      <c r="G478" s="22" t="s">
        <v>19906</v>
      </c>
      <c r="H478" s="24" t="s">
        <v>19364</v>
      </c>
      <c r="I478" s="22" t="s">
        <v>19309</v>
      </c>
      <c r="J478" s="22" t="s">
        <v>19353</v>
      </c>
      <c r="K478" s="22" t="s">
        <v>19524</v>
      </c>
      <c r="L478" s="22"/>
      <c r="M478" s="22"/>
      <c r="N478" s="25" t="str">
        <f>HYPERLINK("http://slimages.macys.com/is/image/MCY/21733981 ")</f>
        <v xml:space="preserve">http://slimages.macys.com/is/image/MCY/21733981 </v>
      </c>
    </row>
    <row r="479" spans="1:14" ht="24.75" x14ac:dyDescent="0.25">
      <c r="A479" s="21" t="s">
        <v>18809</v>
      </c>
      <c r="B479" s="22" t="s">
        <v>18810</v>
      </c>
      <c r="C479" s="2">
        <v>1</v>
      </c>
      <c r="D479" s="23">
        <v>9.52</v>
      </c>
      <c r="E479" s="3">
        <v>9.52</v>
      </c>
      <c r="F479" s="2" t="s">
        <v>18811</v>
      </c>
      <c r="G479" s="22"/>
      <c r="H479" s="24"/>
      <c r="I479" s="22" t="s">
        <v>19309</v>
      </c>
      <c r="J479" s="22" t="s">
        <v>19602</v>
      </c>
      <c r="K479" s="22" t="s">
        <v>20041</v>
      </c>
      <c r="L479" s="22"/>
      <c r="M479" s="22"/>
      <c r="N479" s="25" t="str">
        <f>HYPERLINK("http://slimages.macys.com/is/image/MCY/21722981 ")</f>
        <v xml:space="preserve">http://slimages.macys.com/is/image/MCY/21722981 </v>
      </c>
    </row>
    <row r="480" spans="1:14" ht="24.75" x14ac:dyDescent="0.25">
      <c r="A480" s="21" t="s">
        <v>18812</v>
      </c>
      <c r="B480" s="22" t="s">
        <v>18813</v>
      </c>
      <c r="C480" s="2">
        <v>1</v>
      </c>
      <c r="D480" s="23">
        <v>10.99</v>
      </c>
      <c r="E480" s="3">
        <v>10.99</v>
      </c>
      <c r="F480" s="2" t="s">
        <v>18814</v>
      </c>
      <c r="G480" s="22" t="s">
        <v>19585</v>
      </c>
      <c r="H480" s="24"/>
      <c r="I480" s="22" t="s">
        <v>19309</v>
      </c>
      <c r="J480" s="22" t="s">
        <v>19573</v>
      </c>
      <c r="K480" s="22" t="s">
        <v>19574</v>
      </c>
      <c r="L480" s="22"/>
      <c r="M480" s="22"/>
      <c r="N480" s="25" t="str">
        <f>HYPERLINK("http://slimages.macys.com/is/image/MCY/18117481 ")</f>
        <v xml:space="preserve">http://slimages.macys.com/is/image/MCY/18117481 </v>
      </c>
    </row>
    <row r="481" spans="1:14" x14ac:dyDescent="0.25">
      <c r="A481" s="21" t="s">
        <v>18815</v>
      </c>
      <c r="B481" s="22" t="s">
        <v>18816</v>
      </c>
      <c r="C481" s="2">
        <v>1</v>
      </c>
      <c r="D481" s="23">
        <v>11.99</v>
      </c>
      <c r="E481" s="3">
        <v>11.99</v>
      </c>
      <c r="F481" s="2" t="s">
        <v>18817</v>
      </c>
      <c r="G481" s="22" t="s">
        <v>19467</v>
      </c>
      <c r="H481" s="24" t="s">
        <v>19797</v>
      </c>
      <c r="I481" s="22" t="s">
        <v>19309</v>
      </c>
      <c r="J481" s="22" t="s">
        <v>19849</v>
      </c>
      <c r="K481" s="22" t="s">
        <v>19850</v>
      </c>
      <c r="L481" s="22"/>
      <c r="M481" s="22"/>
      <c r="N481" s="25" t="str">
        <f>HYPERLINK("http://slimages.macys.com/is/image/MCY/21080469 ")</f>
        <v xml:space="preserve">http://slimages.macys.com/is/image/MCY/21080469 </v>
      </c>
    </row>
    <row r="482" spans="1:14" ht="24.75" x14ac:dyDescent="0.25">
      <c r="A482" s="21" t="s">
        <v>18818</v>
      </c>
      <c r="B482" s="22" t="s">
        <v>18819</v>
      </c>
      <c r="C482" s="2">
        <v>1</v>
      </c>
      <c r="D482" s="23">
        <v>11.99</v>
      </c>
      <c r="E482" s="3">
        <v>11.99</v>
      </c>
      <c r="F482" s="2" t="s">
        <v>18820</v>
      </c>
      <c r="G482" s="22" t="s">
        <v>18821</v>
      </c>
      <c r="H482" s="24"/>
      <c r="I482" s="22" t="s">
        <v>19309</v>
      </c>
      <c r="J482" s="22" t="s">
        <v>20076</v>
      </c>
      <c r="K482" s="22" t="s">
        <v>18822</v>
      </c>
      <c r="L482" s="22"/>
      <c r="M482" s="22"/>
      <c r="N482" s="25" t="str">
        <f>HYPERLINK("http://slimages.macys.com/is/image/MCY/21333000 ")</f>
        <v xml:space="preserve">http://slimages.macys.com/is/image/MCY/21333000 </v>
      </c>
    </row>
    <row r="483" spans="1:14" x14ac:dyDescent="0.25">
      <c r="A483" s="21" t="s">
        <v>18823</v>
      </c>
      <c r="B483" s="22" t="s">
        <v>18824</v>
      </c>
      <c r="C483" s="2">
        <v>1</v>
      </c>
      <c r="D483" s="23">
        <v>9.99</v>
      </c>
      <c r="E483" s="3">
        <v>9.99</v>
      </c>
      <c r="F483" s="2" t="s">
        <v>18825</v>
      </c>
      <c r="G483" s="22" t="s">
        <v>19351</v>
      </c>
      <c r="H483" s="24" t="s">
        <v>19361</v>
      </c>
      <c r="I483" s="22" t="s">
        <v>19309</v>
      </c>
      <c r="J483" s="22" t="s">
        <v>19849</v>
      </c>
      <c r="K483" s="22" t="s">
        <v>19850</v>
      </c>
      <c r="L483" s="22"/>
      <c r="M483" s="22"/>
      <c r="N483" s="25" t="str">
        <f>HYPERLINK("http://slimages.macys.com/is/image/MCY/20752457 ")</f>
        <v xml:space="preserve">http://slimages.macys.com/is/image/MCY/20752457 </v>
      </c>
    </row>
    <row r="484" spans="1:14" x14ac:dyDescent="0.25">
      <c r="A484" s="21" t="s">
        <v>18826</v>
      </c>
      <c r="B484" s="22" t="s">
        <v>18827</v>
      </c>
      <c r="C484" s="2">
        <v>1</v>
      </c>
      <c r="D484" s="23">
        <v>8.99</v>
      </c>
      <c r="E484" s="3">
        <v>8.99</v>
      </c>
      <c r="F484" s="2" t="s">
        <v>18828</v>
      </c>
      <c r="G484" s="22" t="s">
        <v>19351</v>
      </c>
      <c r="H484" s="24" t="s">
        <v>19542</v>
      </c>
      <c r="I484" s="22" t="s">
        <v>19309</v>
      </c>
      <c r="J484" s="22" t="s">
        <v>19514</v>
      </c>
      <c r="K484" s="22" t="s">
        <v>18514</v>
      </c>
      <c r="L484" s="22"/>
      <c r="M484" s="22"/>
      <c r="N484" s="25" t="str">
        <f>HYPERLINK("http://slimages.macys.com/is/image/MCY/20192083 ")</f>
        <v xml:space="preserve">http://slimages.macys.com/is/image/MCY/20192083 </v>
      </c>
    </row>
    <row r="485" spans="1:14" x14ac:dyDescent="0.25">
      <c r="A485" s="21" t="s">
        <v>18829</v>
      </c>
      <c r="B485" s="22" t="s">
        <v>18830</v>
      </c>
      <c r="C485" s="2">
        <v>1</v>
      </c>
      <c r="D485" s="23">
        <v>8.99</v>
      </c>
      <c r="E485" s="3">
        <v>8.99</v>
      </c>
      <c r="F485" s="2" t="s">
        <v>18828</v>
      </c>
      <c r="G485" s="22" t="s">
        <v>19351</v>
      </c>
      <c r="H485" s="24" t="s">
        <v>18530</v>
      </c>
      <c r="I485" s="22" t="s">
        <v>19309</v>
      </c>
      <c r="J485" s="22" t="s">
        <v>19514</v>
      </c>
      <c r="K485" s="22" t="s">
        <v>18514</v>
      </c>
      <c r="L485" s="22"/>
      <c r="M485" s="22"/>
      <c r="N485" s="25" t="str">
        <f>HYPERLINK("http://slimages.macys.com/is/image/MCY/20192080 ")</f>
        <v xml:space="preserve">http://slimages.macys.com/is/image/MCY/20192080 </v>
      </c>
    </row>
    <row r="486" spans="1:14" ht="24.75" x14ac:dyDescent="0.25">
      <c r="A486" s="21" t="s">
        <v>18831</v>
      </c>
      <c r="B486" s="22" t="s">
        <v>18832</v>
      </c>
      <c r="C486" s="2">
        <v>1</v>
      </c>
      <c r="D486" s="23">
        <v>9.99</v>
      </c>
      <c r="E486" s="3">
        <v>9.99</v>
      </c>
      <c r="F486" s="2" t="s">
        <v>18833</v>
      </c>
      <c r="G486" s="22" t="s">
        <v>19618</v>
      </c>
      <c r="H486" s="24" t="s">
        <v>19308</v>
      </c>
      <c r="I486" s="22" t="s">
        <v>19309</v>
      </c>
      <c r="J486" s="22" t="s">
        <v>19565</v>
      </c>
      <c r="K486" s="22" t="s">
        <v>18514</v>
      </c>
      <c r="L486" s="22"/>
      <c r="M486" s="22"/>
      <c r="N486" s="25" t="str">
        <f>HYPERLINK("http://slimages.macys.com/is/image/MCY/20732901 ")</f>
        <v xml:space="preserve">http://slimages.macys.com/is/image/MCY/20732901 </v>
      </c>
    </row>
    <row r="487" spans="1:14" x14ac:dyDescent="0.25">
      <c r="A487" s="21" t="s">
        <v>18834</v>
      </c>
      <c r="B487" s="22" t="s">
        <v>18835</v>
      </c>
      <c r="C487" s="2">
        <v>1</v>
      </c>
      <c r="D487" s="23">
        <v>8.99</v>
      </c>
      <c r="E487" s="3">
        <v>8.99</v>
      </c>
      <c r="F487" s="2" t="s">
        <v>18828</v>
      </c>
      <c r="G487" s="22" t="s">
        <v>19351</v>
      </c>
      <c r="H487" s="24" t="s">
        <v>19361</v>
      </c>
      <c r="I487" s="22" t="s">
        <v>19309</v>
      </c>
      <c r="J487" s="22" t="s">
        <v>19514</v>
      </c>
      <c r="K487" s="22" t="s">
        <v>18514</v>
      </c>
      <c r="L487" s="22"/>
      <c r="M487" s="22"/>
      <c r="N487" s="25" t="str">
        <f>HYPERLINK("http://slimages.macys.com/is/image/MCY/20192083 ")</f>
        <v xml:space="preserve">http://slimages.macys.com/is/image/MCY/20192083 </v>
      </c>
    </row>
    <row r="488" spans="1:14" x14ac:dyDescent="0.25">
      <c r="A488" s="21" t="s">
        <v>18836</v>
      </c>
      <c r="B488" s="22" t="s">
        <v>18837</v>
      </c>
      <c r="C488" s="2">
        <v>1</v>
      </c>
      <c r="D488" s="23">
        <v>8.99</v>
      </c>
      <c r="E488" s="3">
        <v>8.99</v>
      </c>
      <c r="F488" s="2" t="s">
        <v>18838</v>
      </c>
      <c r="G488" s="22" t="s">
        <v>19763</v>
      </c>
      <c r="H488" s="24" t="s">
        <v>19542</v>
      </c>
      <c r="I488" s="22" t="s">
        <v>19309</v>
      </c>
      <c r="J488" s="22" t="s">
        <v>19514</v>
      </c>
      <c r="K488" s="22" t="s">
        <v>18514</v>
      </c>
      <c r="L488" s="22"/>
      <c r="M488" s="22"/>
      <c r="N488" s="25" t="str">
        <f>HYPERLINK("http://slimages.macys.com/is/image/MCY/20192077 ")</f>
        <v xml:space="preserve">http://slimages.macys.com/is/image/MCY/20192077 </v>
      </c>
    </row>
    <row r="489" spans="1:14" x14ac:dyDescent="0.25">
      <c r="A489" s="21" t="s">
        <v>18839</v>
      </c>
      <c r="B489" s="22" t="s">
        <v>18840</v>
      </c>
      <c r="C489" s="2">
        <v>1</v>
      </c>
      <c r="D489" s="23">
        <v>6.99</v>
      </c>
      <c r="E489" s="3">
        <v>6.99</v>
      </c>
      <c r="F489" s="2" t="s">
        <v>18841</v>
      </c>
      <c r="G489" s="22" t="s">
        <v>19467</v>
      </c>
      <c r="H489" s="24" t="s">
        <v>19352</v>
      </c>
      <c r="I489" s="22" t="s">
        <v>19309</v>
      </c>
      <c r="J489" s="22" t="s">
        <v>19849</v>
      </c>
      <c r="K489" s="22" t="s">
        <v>19850</v>
      </c>
      <c r="L489" s="22"/>
      <c r="M489" s="22"/>
      <c r="N489" s="25" t="str">
        <f>HYPERLINK("http://slimages.macys.com/is/image/MCY/19965819 ")</f>
        <v xml:space="preserve">http://slimages.macys.com/is/image/MCY/19965819 </v>
      </c>
    </row>
    <row r="490" spans="1:14" x14ac:dyDescent="0.25">
      <c r="A490" s="21" t="s">
        <v>18842</v>
      </c>
      <c r="B490" s="22" t="s">
        <v>18843</v>
      </c>
      <c r="C490" s="2">
        <v>1</v>
      </c>
      <c r="D490" s="23">
        <v>6.99</v>
      </c>
      <c r="E490" s="3">
        <v>6.99</v>
      </c>
      <c r="F490" s="2" t="s">
        <v>18841</v>
      </c>
      <c r="G490" s="22" t="s">
        <v>19674</v>
      </c>
      <c r="H490" s="24" t="s">
        <v>19364</v>
      </c>
      <c r="I490" s="22" t="s">
        <v>19309</v>
      </c>
      <c r="J490" s="22" t="s">
        <v>19849</v>
      </c>
      <c r="K490" s="22" t="s">
        <v>19850</v>
      </c>
      <c r="L490" s="22"/>
      <c r="M490" s="22"/>
      <c r="N490" s="25" t="str">
        <f>HYPERLINK("http://slimages.macys.com/is/image/MCY/19068309 ")</f>
        <v xml:space="preserve">http://slimages.macys.com/is/image/MCY/19068309 </v>
      </c>
    </row>
    <row r="491" spans="1:14" x14ac:dyDescent="0.25">
      <c r="A491" s="21" t="s">
        <v>18844</v>
      </c>
      <c r="B491" s="22" t="s">
        <v>18845</v>
      </c>
      <c r="C491" s="2">
        <v>1</v>
      </c>
      <c r="D491" s="23">
        <v>6.99</v>
      </c>
      <c r="E491" s="3">
        <v>6.99</v>
      </c>
      <c r="F491" s="2" t="s">
        <v>18841</v>
      </c>
      <c r="G491" s="22" t="s">
        <v>19467</v>
      </c>
      <c r="H491" s="24" t="s">
        <v>19797</v>
      </c>
      <c r="I491" s="22" t="s">
        <v>19309</v>
      </c>
      <c r="J491" s="22" t="s">
        <v>19849</v>
      </c>
      <c r="K491" s="22" t="s">
        <v>19850</v>
      </c>
      <c r="L491" s="22"/>
      <c r="M491" s="22"/>
      <c r="N491" s="25" t="str">
        <f>HYPERLINK("http://slimages.macys.com/is/image/MCY/19965819 ")</f>
        <v xml:space="preserve">http://slimages.macys.com/is/image/MCY/19965819 </v>
      </c>
    </row>
    <row r="492" spans="1:14" ht="24.75" x14ac:dyDescent="0.25">
      <c r="A492" s="21" t="s">
        <v>18846</v>
      </c>
      <c r="B492" s="22" t="s">
        <v>18847</v>
      </c>
      <c r="C492" s="2">
        <v>1</v>
      </c>
      <c r="D492" s="23">
        <v>7.99</v>
      </c>
      <c r="E492" s="3">
        <v>7.99</v>
      </c>
      <c r="F492" s="2" t="s">
        <v>18848</v>
      </c>
      <c r="G492" s="22" t="s">
        <v>19351</v>
      </c>
      <c r="H492" s="24" t="s">
        <v>19392</v>
      </c>
      <c r="I492" s="22" t="s">
        <v>19309</v>
      </c>
      <c r="J492" s="22" t="s">
        <v>19454</v>
      </c>
      <c r="K492" s="22" t="s">
        <v>19524</v>
      </c>
      <c r="L492" s="22"/>
      <c r="M492" s="22"/>
      <c r="N492" s="25" t="str">
        <f>HYPERLINK("http://slimages.macys.com/is/image/MCY/1726199 ")</f>
        <v xml:space="preserve">http://slimages.macys.com/is/image/MCY/1726199 </v>
      </c>
    </row>
    <row r="493" spans="1:14" x14ac:dyDescent="0.25">
      <c r="A493" s="21" t="s">
        <v>18849</v>
      </c>
      <c r="B493" s="22" t="s">
        <v>18850</v>
      </c>
      <c r="C493" s="2">
        <v>2</v>
      </c>
      <c r="D493" s="23">
        <v>11.99</v>
      </c>
      <c r="E493" s="3">
        <v>23.98</v>
      </c>
      <c r="F493" s="2" t="s">
        <v>18851</v>
      </c>
      <c r="G493" s="22" t="s">
        <v>19674</v>
      </c>
      <c r="H493" s="24" t="s">
        <v>19339</v>
      </c>
      <c r="I493" s="22" t="s">
        <v>19309</v>
      </c>
      <c r="J493" s="22" t="s">
        <v>19849</v>
      </c>
      <c r="K493" s="22" t="s">
        <v>19850</v>
      </c>
      <c r="L493" s="22"/>
      <c r="M493" s="22"/>
      <c r="N493" s="25" t="str">
        <f>HYPERLINK("http://slimages.macys.com/is/image/MCY/21251022 ")</f>
        <v xml:space="preserve">http://slimages.macys.com/is/image/MCY/21251022 </v>
      </c>
    </row>
    <row r="494" spans="1:14" x14ac:dyDescent="0.25">
      <c r="A494" s="21" t="s">
        <v>18852</v>
      </c>
      <c r="B494" s="22" t="s">
        <v>18853</v>
      </c>
      <c r="C494" s="2">
        <v>3</v>
      </c>
      <c r="D494" s="23">
        <v>11.99</v>
      </c>
      <c r="E494" s="3">
        <v>35.97</v>
      </c>
      <c r="F494" s="2" t="s">
        <v>18851</v>
      </c>
      <c r="G494" s="22" t="s">
        <v>19674</v>
      </c>
      <c r="H494" s="24" t="s">
        <v>19364</v>
      </c>
      <c r="I494" s="22" t="s">
        <v>19309</v>
      </c>
      <c r="J494" s="22" t="s">
        <v>19849</v>
      </c>
      <c r="K494" s="22" t="s">
        <v>19850</v>
      </c>
      <c r="L494" s="22"/>
      <c r="M494" s="22"/>
      <c r="N494" s="25" t="str">
        <f>HYPERLINK("http://slimages.macys.com/is/image/MCY/21251022 ")</f>
        <v xml:space="preserve">http://slimages.macys.com/is/image/MCY/21251022 </v>
      </c>
    </row>
    <row r="495" spans="1:14" x14ac:dyDescent="0.25">
      <c r="A495" s="21" t="s">
        <v>18854</v>
      </c>
      <c r="B495" s="22" t="s">
        <v>18855</v>
      </c>
      <c r="C495" s="2">
        <v>1</v>
      </c>
      <c r="D495" s="23">
        <v>11.99</v>
      </c>
      <c r="E495" s="3">
        <v>11.99</v>
      </c>
      <c r="F495" s="2" t="s">
        <v>18851</v>
      </c>
      <c r="G495" s="22" t="s">
        <v>19674</v>
      </c>
      <c r="H495" s="24" t="s">
        <v>19797</v>
      </c>
      <c r="I495" s="22" t="s">
        <v>19309</v>
      </c>
      <c r="J495" s="22" t="s">
        <v>19849</v>
      </c>
      <c r="K495" s="22" t="s">
        <v>19850</v>
      </c>
      <c r="L495" s="22"/>
      <c r="M495" s="22"/>
      <c r="N495" s="25" t="str">
        <f>HYPERLINK("http://slimages.macys.com/is/image/MCY/21251022 ")</f>
        <v xml:space="preserve">http://slimages.macys.com/is/image/MCY/21251022 </v>
      </c>
    </row>
    <row r="496" spans="1:14" x14ac:dyDescent="0.25">
      <c r="A496" s="21" t="s">
        <v>18856</v>
      </c>
      <c r="B496" s="22" t="s">
        <v>18857</v>
      </c>
      <c r="C496" s="2">
        <v>1</v>
      </c>
      <c r="D496" s="23">
        <v>11.99</v>
      </c>
      <c r="E496" s="3">
        <v>11.99</v>
      </c>
      <c r="F496" s="2" t="s">
        <v>18851</v>
      </c>
      <c r="G496" s="22" t="s">
        <v>19674</v>
      </c>
      <c r="H496" s="24" t="s">
        <v>19352</v>
      </c>
      <c r="I496" s="22" t="s">
        <v>19309</v>
      </c>
      <c r="J496" s="22" t="s">
        <v>19849</v>
      </c>
      <c r="K496" s="22" t="s">
        <v>19850</v>
      </c>
      <c r="L496" s="22"/>
      <c r="M496" s="22"/>
      <c r="N496" s="25" t="str">
        <f>HYPERLINK("http://slimages.macys.com/is/image/MCY/21251022 ")</f>
        <v xml:space="preserve">http://slimages.macys.com/is/image/MCY/21251022 </v>
      </c>
    </row>
    <row r="497" spans="1:14" ht="24.75" x14ac:dyDescent="0.25">
      <c r="A497" s="21" t="s">
        <v>18858</v>
      </c>
      <c r="B497" s="22" t="s">
        <v>18859</v>
      </c>
      <c r="C497" s="2">
        <v>1</v>
      </c>
      <c r="D497" s="23">
        <v>7.99</v>
      </c>
      <c r="E497" s="3">
        <v>7.99</v>
      </c>
      <c r="F497" s="2" t="s">
        <v>18860</v>
      </c>
      <c r="G497" s="22" t="s">
        <v>19906</v>
      </c>
      <c r="H497" s="24" t="s">
        <v>19907</v>
      </c>
      <c r="I497" s="22" t="s">
        <v>19309</v>
      </c>
      <c r="J497" s="22" t="s">
        <v>19908</v>
      </c>
      <c r="K497" s="22" t="s">
        <v>19524</v>
      </c>
      <c r="L497" s="22"/>
      <c r="M497" s="22"/>
      <c r="N497" s="25" t="str">
        <f>HYPERLINK("http://slimages.macys.com/is/image/MCY/21727292 ")</f>
        <v xml:space="preserve">http://slimages.macys.com/is/image/MCY/21727292 </v>
      </c>
    </row>
    <row r="498" spans="1:14" ht="24.75" x14ac:dyDescent="0.25">
      <c r="A498" s="21" t="s">
        <v>18861</v>
      </c>
      <c r="B498" s="22" t="s">
        <v>18862</v>
      </c>
      <c r="C498" s="2">
        <v>1</v>
      </c>
      <c r="D498" s="23">
        <v>9.99</v>
      </c>
      <c r="E498" s="3">
        <v>9.99</v>
      </c>
      <c r="F498" s="2" t="s">
        <v>18863</v>
      </c>
      <c r="G498" s="22" t="s">
        <v>19333</v>
      </c>
      <c r="H498" s="24" t="s">
        <v>19339</v>
      </c>
      <c r="I498" s="22" t="s">
        <v>19309</v>
      </c>
      <c r="J498" s="22" t="s">
        <v>19353</v>
      </c>
      <c r="K498" s="22" t="s">
        <v>19524</v>
      </c>
      <c r="L498" s="22"/>
      <c r="M498" s="22"/>
      <c r="N498" s="25" t="str">
        <f>HYPERLINK("http://slimages.macys.com/is/image/MCY/21083396 ")</f>
        <v xml:space="preserve">http://slimages.macys.com/is/image/MCY/21083396 </v>
      </c>
    </row>
    <row r="499" spans="1:14" ht="24.75" x14ac:dyDescent="0.25">
      <c r="A499" s="21" t="s">
        <v>18864</v>
      </c>
      <c r="B499" s="22" t="s">
        <v>18865</v>
      </c>
      <c r="C499" s="2">
        <v>1</v>
      </c>
      <c r="D499" s="23">
        <v>10.99</v>
      </c>
      <c r="E499" s="3">
        <v>10.99</v>
      </c>
      <c r="F499" s="2" t="s">
        <v>18866</v>
      </c>
      <c r="G499" s="22" t="s">
        <v>19351</v>
      </c>
      <c r="H499" s="24" t="s">
        <v>19324</v>
      </c>
      <c r="I499" s="22" t="s">
        <v>19309</v>
      </c>
      <c r="J499" s="22" t="s">
        <v>19573</v>
      </c>
      <c r="K499" s="22" t="s">
        <v>19574</v>
      </c>
      <c r="L499" s="22"/>
      <c r="M499" s="22"/>
      <c r="N499" s="25" t="str">
        <f>HYPERLINK("http://slimages.macys.com/is/image/MCY/21088530 ")</f>
        <v xml:space="preserve">http://slimages.macys.com/is/image/MCY/21088530 </v>
      </c>
    </row>
    <row r="500" spans="1:14" x14ac:dyDescent="0.25">
      <c r="A500" s="21" t="s">
        <v>18867</v>
      </c>
      <c r="B500" s="22" t="s">
        <v>18868</v>
      </c>
      <c r="C500" s="2">
        <v>1</v>
      </c>
      <c r="D500" s="23">
        <v>9.99</v>
      </c>
      <c r="E500" s="3">
        <v>9.99</v>
      </c>
      <c r="F500" s="2" t="s">
        <v>18869</v>
      </c>
      <c r="G500" s="22" t="s">
        <v>19351</v>
      </c>
      <c r="H500" s="24" t="s">
        <v>19907</v>
      </c>
      <c r="I500" s="22" t="s">
        <v>19309</v>
      </c>
      <c r="J500" s="22" t="s">
        <v>19849</v>
      </c>
      <c r="K500" s="22" t="s">
        <v>19850</v>
      </c>
      <c r="L500" s="22"/>
      <c r="M500" s="22"/>
      <c r="N500" s="25" t="str">
        <f>HYPERLINK("http://slimages.macys.com/is/image/MCY/21351556 ")</f>
        <v xml:space="preserve">http://slimages.macys.com/is/image/MCY/21351556 </v>
      </c>
    </row>
    <row r="501" spans="1:14" ht="24.75" x14ac:dyDescent="0.25">
      <c r="A501" s="21" t="s">
        <v>18870</v>
      </c>
      <c r="B501" s="22" t="s">
        <v>18871</v>
      </c>
      <c r="C501" s="2">
        <v>1</v>
      </c>
      <c r="D501" s="23">
        <v>8.99</v>
      </c>
      <c r="E501" s="3">
        <v>8.99</v>
      </c>
      <c r="F501" s="2" t="s">
        <v>18872</v>
      </c>
      <c r="G501" s="22" t="s">
        <v>19518</v>
      </c>
      <c r="H501" s="24" t="s">
        <v>19907</v>
      </c>
      <c r="I501" s="22" t="s">
        <v>19309</v>
      </c>
      <c r="J501" s="22" t="s">
        <v>19573</v>
      </c>
      <c r="K501" s="22" t="s">
        <v>19574</v>
      </c>
      <c r="L501" s="22"/>
      <c r="M501" s="22"/>
      <c r="N501" s="25" t="str">
        <f>HYPERLINK("http://slimages.macys.com/is/image/MCY/21361653 ")</f>
        <v xml:space="preserve">http://slimages.macys.com/is/image/MCY/21361653 </v>
      </c>
    </row>
    <row r="502" spans="1:14" ht="24.75" x14ac:dyDescent="0.25">
      <c r="A502" s="21" t="s">
        <v>18873</v>
      </c>
      <c r="B502" s="22" t="s">
        <v>18874</v>
      </c>
      <c r="C502" s="2">
        <v>1</v>
      </c>
      <c r="D502" s="23">
        <v>8.41</v>
      </c>
      <c r="E502" s="3">
        <v>8.41</v>
      </c>
      <c r="F502" s="2" t="s">
        <v>18875</v>
      </c>
      <c r="G502" s="22"/>
      <c r="H502" s="24" t="s">
        <v>19334</v>
      </c>
      <c r="I502" s="22" t="s">
        <v>19309</v>
      </c>
      <c r="J502" s="22" t="s">
        <v>19602</v>
      </c>
      <c r="K502" s="22" t="s">
        <v>20041</v>
      </c>
      <c r="L502" s="22"/>
      <c r="M502" s="22"/>
      <c r="N502" s="25" t="str">
        <f>HYPERLINK("http://slimages.macys.com/is/image/MCY/21421589 ")</f>
        <v xml:space="preserve">http://slimages.macys.com/is/image/MCY/21421589 </v>
      </c>
    </row>
    <row r="503" spans="1:14" ht="24.75" x14ac:dyDescent="0.25">
      <c r="A503" s="21" t="s">
        <v>18876</v>
      </c>
      <c r="B503" s="22" t="s">
        <v>18877</v>
      </c>
      <c r="C503" s="2">
        <v>1</v>
      </c>
      <c r="D503" s="23">
        <v>8.41</v>
      </c>
      <c r="E503" s="3">
        <v>8.41</v>
      </c>
      <c r="F503" s="2" t="s">
        <v>18878</v>
      </c>
      <c r="G503" s="22"/>
      <c r="H503" s="24" t="s">
        <v>19345</v>
      </c>
      <c r="I503" s="22" t="s">
        <v>19309</v>
      </c>
      <c r="J503" s="22" t="s">
        <v>19602</v>
      </c>
      <c r="K503" s="22" t="s">
        <v>20041</v>
      </c>
      <c r="L503" s="22"/>
      <c r="M503" s="22"/>
      <c r="N503" s="25" t="str">
        <f>HYPERLINK("http://slimages.macys.com/is/image/MCY/21421589 ")</f>
        <v xml:space="preserve">http://slimages.macys.com/is/image/MCY/21421589 </v>
      </c>
    </row>
    <row r="504" spans="1:14" ht="24.75" x14ac:dyDescent="0.25">
      <c r="A504" s="21" t="s">
        <v>18879</v>
      </c>
      <c r="B504" s="22" t="s">
        <v>18880</v>
      </c>
      <c r="C504" s="2">
        <v>1</v>
      </c>
      <c r="D504" s="23">
        <v>9.99</v>
      </c>
      <c r="E504" s="3">
        <v>9.99</v>
      </c>
      <c r="F504" s="2" t="s">
        <v>18881</v>
      </c>
      <c r="G504" s="22" t="s">
        <v>19422</v>
      </c>
      <c r="H504" s="24" t="s">
        <v>19352</v>
      </c>
      <c r="I504" s="22" t="s">
        <v>19309</v>
      </c>
      <c r="J504" s="22" t="s">
        <v>19353</v>
      </c>
      <c r="K504" s="22" t="s">
        <v>19524</v>
      </c>
      <c r="L504" s="22"/>
      <c r="M504" s="22"/>
      <c r="N504" s="25" t="str">
        <f>HYPERLINK("http://slimages.macys.com/is/image/MCY/1472542 ")</f>
        <v xml:space="preserve">http://slimages.macys.com/is/image/MCY/1472542 </v>
      </c>
    </row>
    <row r="505" spans="1:14" ht="24.75" x14ac:dyDescent="0.25">
      <c r="A505" s="21" t="s">
        <v>18882</v>
      </c>
      <c r="B505" s="22" t="s">
        <v>18883</v>
      </c>
      <c r="C505" s="2">
        <v>1</v>
      </c>
      <c r="D505" s="23">
        <v>9.99</v>
      </c>
      <c r="E505" s="3">
        <v>9.99</v>
      </c>
      <c r="F505" s="2" t="s">
        <v>18881</v>
      </c>
      <c r="G505" s="22" t="s">
        <v>19333</v>
      </c>
      <c r="H505" s="24" t="s">
        <v>19339</v>
      </c>
      <c r="I505" s="22" t="s">
        <v>19309</v>
      </c>
      <c r="J505" s="22" t="s">
        <v>19353</v>
      </c>
      <c r="K505" s="22" t="s">
        <v>19524</v>
      </c>
      <c r="L505" s="22"/>
      <c r="M505" s="22"/>
      <c r="N505" s="25" t="str">
        <f>HYPERLINK("http://slimages.macys.com/is/image/MCY/1484637 ")</f>
        <v xml:space="preserve">http://slimages.macys.com/is/image/MCY/1484637 </v>
      </c>
    </row>
    <row r="506" spans="1:14" ht="24.75" x14ac:dyDescent="0.25">
      <c r="A506" s="21" t="s">
        <v>18884</v>
      </c>
      <c r="B506" s="22" t="s">
        <v>18885</v>
      </c>
      <c r="C506" s="2">
        <v>1</v>
      </c>
      <c r="D506" s="23">
        <v>8.99</v>
      </c>
      <c r="E506" s="3">
        <v>8.99</v>
      </c>
      <c r="F506" s="2" t="s">
        <v>18886</v>
      </c>
      <c r="G506" s="22" t="s">
        <v>19415</v>
      </c>
      <c r="H506" s="24" t="s">
        <v>19907</v>
      </c>
      <c r="I506" s="22" t="s">
        <v>19309</v>
      </c>
      <c r="J506" s="22" t="s">
        <v>19573</v>
      </c>
      <c r="K506" s="22" t="s">
        <v>19574</v>
      </c>
      <c r="L506" s="22"/>
      <c r="M506" s="22"/>
      <c r="N506" s="25" t="str">
        <f>HYPERLINK("http://slimages.macys.com/is/image/MCY/21361541 ")</f>
        <v xml:space="preserve">http://slimages.macys.com/is/image/MCY/21361541 </v>
      </c>
    </row>
    <row r="507" spans="1:14" ht="24.75" x14ac:dyDescent="0.25">
      <c r="A507" s="21" t="s">
        <v>18887</v>
      </c>
      <c r="B507" s="22" t="s">
        <v>18888</v>
      </c>
      <c r="C507" s="2">
        <v>1</v>
      </c>
      <c r="D507" s="23">
        <v>7.99</v>
      </c>
      <c r="E507" s="3">
        <v>7.99</v>
      </c>
      <c r="F507" s="2" t="s">
        <v>18889</v>
      </c>
      <c r="G507" s="22" t="s">
        <v>19674</v>
      </c>
      <c r="H507" s="24" t="s">
        <v>20089</v>
      </c>
      <c r="I507" s="22" t="s">
        <v>19309</v>
      </c>
      <c r="J507" s="22" t="s">
        <v>19908</v>
      </c>
      <c r="K507" s="22" t="s">
        <v>19524</v>
      </c>
      <c r="L507" s="22"/>
      <c r="M507" s="22"/>
      <c r="N507" s="25" t="str">
        <f>HYPERLINK("http://slimages.macys.com/is/image/MCY/21573922 ")</f>
        <v xml:space="preserve">http://slimages.macys.com/is/image/MCY/21573922 </v>
      </c>
    </row>
    <row r="508" spans="1:14" x14ac:dyDescent="0.25">
      <c r="A508" s="21" t="s">
        <v>18890</v>
      </c>
      <c r="B508" s="22" t="s">
        <v>18891</v>
      </c>
      <c r="C508" s="2">
        <v>1</v>
      </c>
      <c r="D508" s="23">
        <v>9.99</v>
      </c>
      <c r="E508" s="3">
        <v>9.99</v>
      </c>
      <c r="F508" s="2" t="s">
        <v>18892</v>
      </c>
      <c r="G508" s="22" t="s">
        <v>19670</v>
      </c>
      <c r="H508" s="24" t="s">
        <v>19377</v>
      </c>
      <c r="I508" s="22" t="s">
        <v>19309</v>
      </c>
      <c r="J508" s="22" t="s">
        <v>19849</v>
      </c>
      <c r="K508" s="22" t="s">
        <v>19850</v>
      </c>
      <c r="L508" s="22"/>
      <c r="M508" s="22"/>
      <c r="N508" s="25" t="str">
        <f>HYPERLINK("http://slimages.macys.com/is/image/MCY/1521210 ")</f>
        <v xml:space="preserve">http://slimages.macys.com/is/image/MCY/1521210 </v>
      </c>
    </row>
    <row r="509" spans="1:14" x14ac:dyDescent="0.25">
      <c r="A509" s="21" t="s">
        <v>18893</v>
      </c>
      <c r="B509" s="22" t="s">
        <v>18894</v>
      </c>
      <c r="C509" s="2">
        <v>1</v>
      </c>
      <c r="D509" s="23">
        <v>9.99</v>
      </c>
      <c r="E509" s="3">
        <v>9.99</v>
      </c>
      <c r="F509" s="2" t="s">
        <v>18895</v>
      </c>
      <c r="G509" s="22" t="s">
        <v>19462</v>
      </c>
      <c r="H509" s="24" t="s">
        <v>19361</v>
      </c>
      <c r="I509" s="22" t="s">
        <v>19309</v>
      </c>
      <c r="J509" s="22" t="s">
        <v>19849</v>
      </c>
      <c r="K509" s="22" t="s">
        <v>19850</v>
      </c>
      <c r="L509" s="22"/>
      <c r="M509" s="22"/>
      <c r="N509" s="25" t="str">
        <f>HYPERLINK("http://slimages.macys.com/is/image/MCY/21251249 ")</f>
        <v xml:space="preserve">http://slimages.macys.com/is/image/MCY/21251249 </v>
      </c>
    </row>
    <row r="510" spans="1:14" x14ac:dyDescent="0.25">
      <c r="A510" s="21" t="s">
        <v>18896</v>
      </c>
      <c r="B510" s="22" t="s">
        <v>18897</v>
      </c>
      <c r="C510" s="2">
        <v>1</v>
      </c>
      <c r="D510" s="23">
        <v>9.99</v>
      </c>
      <c r="E510" s="3">
        <v>9.99</v>
      </c>
      <c r="F510" s="2" t="s">
        <v>18895</v>
      </c>
      <c r="G510" s="22" t="s">
        <v>19462</v>
      </c>
      <c r="H510" s="24" t="s">
        <v>19907</v>
      </c>
      <c r="I510" s="22" t="s">
        <v>19309</v>
      </c>
      <c r="J510" s="22" t="s">
        <v>19849</v>
      </c>
      <c r="K510" s="22" t="s">
        <v>19850</v>
      </c>
      <c r="L510" s="22"/>
      <c r="M510" s="22"/>
      <c r="N510" s="25" t="str">
        <f>HYPERLINK("http://slimages.macys.com/is/image/MCY/21251249 ")</f>
        <v xml:space="preserve">http://slimages.macys.com/is/image/MCY/21251249 </v>
      </c>
    </row>
    <row r="511" spans="1:14" x14ac:dyDescent="0.25">
      <c r="A511" s="21" t="s">
        <v>18898</v>
      </c>
      <c r="B511" s="22" t="s">
        <v>18899</v>
      </c>
      <c r="C511" s="2">
        <v>1</v>
      </c>
      <c r="D511" s="23">
        <v>9.99</v>
      </c>
      <c r="E511" s="3">
        <v>9.99</v>
      </c>
      <c r="F511" s="2" t="s">
        <v>18895</v>
      </c>
      <c r="G511" s="22" t="s">
        <v>19462</v>
      </c>
      <c r="H511" s="24" t="s">
        <v>19377</v>
      </c>
      <c r="I511" s="22" t="s">
        <v>19309</v>
      </c>
      <c r="J511" s="22" t="s">
        <v>19849</v>
      </c>
      <c r="K511" s="22" t="s">
        <v>19850</v>
      </c>
      <c r="L511" s="22"/>
      <c r="M511" s="22"/>
      <c r="N511" s="25" t="str">
        <f>HYPERLINK("http://slimages.macys.com/is/image/MCY/21251249 ")</f>
        <v xml:space="preserve">http://slimages.macys.com/is/image/MCY/21251249 </v>
      </c>
    </row>
    <row r="512" spans="1:14" x14ac:dyDescent="0.25">
      <c r="A512" s="21" t="s">
        <v>18900</v>
      </c>
      <c r="B512" s="22" t="s">
        <v>18901</v>
      </c>
      <c r="C512" s="2">
        <v>2</v>
      </c>
      <c r="D512" s="23">
        <v>9.99</v>
      </c>
      <c r="E512" s="3">
        <v>19.98</v>
      </c>
      <c r="F512" s="2" t="s">
        <v>18895</v>
      </c>
      <c r="G512" s="22" t="s">
        <v>19462</v>
      </c>
      <c r="H512" s="24" t="s">
        <v>20089</v>
      </c>
      <c r="I512" s="22" t="s">
        <v>19309</v>
      </c>
      <c r="J512" s="22" t="s">
        <v>19849</v>
      </c>
      <c r="K512" s="22" t="s">
        <v>19850</v>
      </c>
      <c r="L512" s="22"/>
      <c r="M512" s="22"/>
      <c r="N512" s="25" t="str">
        <f>HYPERLINK("http://slimages.macys.com/is/image/MCY/21251249 ")</f>
        <v xml:space="preserve">http://slimages.macys.com/is/image/MCY/21251249 </v>
      </c>
    </row>
    <row r="513" spans="1:14" x14ac:dyDescent="0.25">
      <c r="A513" s="21" t="s">
        <v>18902</v>
      </c>
      <c r="B513" s="22" t="s">
        <v>18903</v>
      </c>
      <c r="C513" s="2">
        <v>1</v>
      </c>
      <c r="D513" s="23">
        <v>9.99</v>
      </c>
      <c r="E513" s="3">
        <v>9.99</v>
      </c>
      <c r="F513" s="2" t="s">
        <v>18895</v>
      </c>
      <c r="G513" s="22" t="s">
        <v>19462</v>
      </c>
      <c r="H513" s="24" t="s">
        <v>20135</v>
      </c>
      <c r="I513" s="22" t="s">
        <v>19309</v>
      </c>
      <c r="J513" s="22" t="s">
        <v>19849</v>
      </c>
      <c r="K513" s="22" t="s">
        <v>19850</v>
      </c>
      <c r="L513" s="22"/>
      <c r="M513" s="22"/>
      <c r="N513" s="25" t="str">
        <f>HYPERLINK("http://slimages.macys.com/is/image/MCY/21251249 ")</f>
        <v xml:space="preserve">http://slimages.macys.com/is/image/MCY/21251249 </v>
      </c>
    </row>
    <row r="514" spans="1:14" ht="24.75" x14ac:dyDescent="0.25">
      <c r="A514" s="21" t="s">
        <v>18904</v>
      </c>
      <c r="B514" s="22" t="s">
        <v>18905</v>
      </c>
      <c r="C514" s="2">
        <v>1</v>
      </c>
      <c r="D514" s="23">
        <v>7.99</v>
      </c>
      <c r="E514" s="3">
        <v>7.99</v>
      </c>
      <c r="F514" s="2" t="s">
        <v>18906</v>
      </c>
      <c r="G514" s="22" t="s">
        <v>19333</v>
      </c>
      <c r="H514" s="24" t="s">
        <v>19907</v>
      </c>
      <c r="I514" s="22" t="s">
        <v>19309</v>
      </c>
      <c r="J514" s="22" t="s">
        <v>19908</v>
      </c>
      <c r="K514" s="22" t="s">
        <v>19524</v>
      </c>
      <c r="L514" s="22"/>
      <c r="M514" s="22"/>
      <c r="N514" s="25" t="str">
        <f>HYPERLINK("http://slimages.macys.com/is/image/MCY/1415038 ")</f>
        <v xml:space="preserve">http://slimages.macys.com/is/image/MCY/1415038 </v>
      </c>
    </row>
    <row r="515" spans="1:14" ht="24.75" x14ac:dyDescent="0.25">
      <c r="A515" s="21" t="s">
        <v>18907</v>
      </c>
      <c r="B515" s="22" t="s">
        <v>18908</v>
      </c>
      <c r="C515" s="2">
        <v>1</v>
      </c>
      <c r="D515" s="23">
        <v>8.99</v>
      </c>
      <c r="E515" s="3">
        <v>8.99</v>
      </c>
      <c r="F515" s="2" t="s">
        <v>18909</v>
      </c>
      <c r="G515" s="22" t="s">
        <v>19518</v>
      </c>
      <c r="H515" s="24" t="s">
        <v>19364</v>
      </c>
      <c r="I515" s="22" t="s">
        <v>19309</v>
      </c>
      <c r="J515" s="22" t="s">
        <v>19815</v>
      </c>
      <c r="K515" s="22" t="s">
        <v>19816</v>
      </c>
      <c r="L515" s="22"/>
      <c r="M515" s="22"/>
      <c r="N515" s="25" t="str">
        <f>HYPERLINK("http://slimages.macys.com/is/image/MCY/20454073 ")</f>
        <v xml:space="preserve">http://slimages.macys.com/is/image/MCY/20454073 </v>
      </c>
    </row>
    <row r="516" spans="1:14" ht="24.75" x14ac:dyDescent="0.25">
      <c r="A516" s="21" t="s">
        <v>18910</v>
      </c>
      <c r="B516" s="22" t="s">
        <v>18911</v>
      </c>
      <c r="C516" s="2">
        <v>1</v>
      </c>
      <c r="D516" s="23">
        <v>8.99</v>
      </c>
      <c r="E516" s="3">
        <v>8.99</v>
      </c>
      <c r="F516" s="2" t="s">
        <v>18909</v>
      </c>
      <c r="G516" s="22" t="s">
        <v>19518</v>
      </c>
      <c r="H516" s="24" t="s">
        <v>19339</v>
      </c>
      <c r="I516" s="22" t="s">
        <v>19309</v>
      </c>
      <c r="J516" s="22" t="s">
        <v>19815</v>
      </c>
      <c r="K516" s="22" t="s">
        <v>19816</v>
      </c>
      <c r="L516" s="22"/>
      <c r="M516" s="22"/>
      <c r="N516" s="25" t="str">
        <f>HYPERLINK("http://slimages.macys.com/is/image/MCY/20454073 ")</f>
        <v xml:space="preserve">http://slimages.macys.com/is/image/MCY/20454073 </v>
      </c>
    </row>
    <row r="517" spans="1:14" ht="24.75" x14ac:dyDescent="0.25">
      <c r="A517" s="21" t="s">
        <v>18912</v>
      </c>
      <c r="B517" s="22" t="s">
        <v>18913</v>
      </c>
      <c r="C517" s="2">
        <v>1</v>
      </c>
      <c r="D517" s="23">
        <v>7.99</v>
      </c>
      <c r="E517" s="3">
        <v>7.99</v>
      </c>
      <c r="F517" s="2" t="s">
        <v>18914</v>
      </c>
      <c r="G517" s="22" t="s">
        <v>19351</v>
      </c>
      <c r="H517" s="24" t="s">
        <v>20135</v>
      </c>
      <c r="I517" s="22" t="s">
        <v>19309</v>
      </c>
      <c r="J517" s="22" t="s">
        <v>19573</v>
      </c>
      <c r="K517" s="22" t="s">
        <v>19574</v>
      </c>
      <c r="L517" s="22"/>
      <c r="M517" s="22"/>
      <c r="N517" s="25" t="str">
        <f>HYPERLINK("http://slimages.macys.com/is/image/MCY/21209394 ")</f>
        <v xml:space="preserve">http://slimages.macys.com/is/image/MCY/21209394 </v>
      </c>
    </row>
    <row r="518" spans="1:14" ht="24.75" x14ac:dyDescent="0.25">
      <c r="A518" s="21" t="s">
        <v>18915</v>
      </c>
      <c r="B518" s="22" t="s">
        <v>18916</v>
      </c>
      <c r="C518" s="2">
        <v>2</v>
      </c>
      <c r="D518" s="23">
        <v>7.99</v>
      </c>
      <c r="E518" s="3">
        <v>15.98</v>
      </c>
      <c r="F518" s="2" t="s">
        <v>18914</v>
      </c>
      <c r="G518" s="22" t="s">
        <v>19431</v>
      </c>
      <c r="H518" s="24" t="s">
        <v>20089</v>
      </c>
      <c r="I518" s="22" t="s">
        <v>19309</v>
      </c>
      <c r="J518" s="22" t="s">
        <v>19573</v>
      </c>
      <c r="K518" s="22" t="s">
        <v>19574</v>
      </c>
      <c r="L518" s="22"/>
      <c r="M518" s="22"/>
      <c r="N518" s="25" t="str">
        <f>HYPERLINK("http://slimages.macys.com/is/image/MCY/21209393 ")</f>
        <v xml:space="preserve">http://slimages.macys.com/is/image/MCY/21209393 </v>
      </c>
    </row>
    <row r="519" spans="1:14" ht="24.75" x14ac:dyDescent="0.25">
      <c r="A519" s="21" t="s">
        <v>18917</v>
      </c>
      <c r="B519" s="22" t="s">
        <v>18918</v>
      </c>
      <c r="C519" s="2">
        <v>1</v>
      </c>
      <c r="D519" s="23">
        <v>7.99</v>
      </c>
      <c r="E519" s="3">
        <v>7.99</v>
      </c>
      <c r="F519" s="2" t="s">
        <v>18914</v>
      </c>
      <c r="G519" s="22" t="s">
        <v>19431</v>
      </c>
      <c r="H519" s="24" t="s">
        <v>19907</v>
      </c>
      <c r="I519" s="22" t="s">
        <v>19309</v>
      </c>
      <c r="J519" s="22" t="s">
        <v>19573</v>
      </c>
      <c r="K519" s="22" t="s">
        <v>19574</v>
      </c>
      <c r="L519" s="22"/>
      <c r="M519" s="22"/>
      <c r="N519" s="25" t="str">
        <f>HYPERLINK("http://slimages.macys.com/is/image/MCY/21209393 ")</f>
        <v xml:space="preserve">http://slimages.macys.com/is/image/MCY/21209393 </v>
      </c>
    </row>
    <row r="520" spans="1:14" x14ac:dyDescent="0.25">
      <c r="A520" s="21" t="s">
        <v>18919</v>
      </c>
      <c r="B520" s="22" t="s">
        <v>18920</v>
      </c>
      <c r="C520" s="2">
        <v>1</v>
      </c>
      <c r="D520" s="23">
        <v>5.99</v>
      </c>
      <c r="E520" s="3">
        <v>5.99</v>
      </c>
      <c r="F520" s="2" t="s">
        <v>18921</v>
      </c>
      <c r="G520" s="22" t="s">
        <v>19315</v>
      </c>
      <c r="H520" s="24" t="s">
        <v>20089</v>
      </c>
      <c r="I520" s="22" t="s">
        <v>19309</v>
      </c>
      <c r="J520" s="22" t="s">
        <v>19849</v>
      </c>
      <c r="K520" s="22" t="s">
        <v>19850</v>
      </c>
      <c r="L520" s="22"/>
      <c r="M520" s="22"/>
      <c r="N520" s="25" t="str">
        <f>HYPERLINK("http://slimages.macys.com/is/image/MCY/1099306 ")</f>
        <v xml:space="preserve">http://slimages.macys.com/is/image/MCY/1099306 </v>
      </c>
    </row>
    <row r="521" spans="1:14" ht="24.75" x14ac:dyDescent="0.25">
      <c r="A521" s="21" t="s">
        <v>18922</v>
      </c>
      <c r="B521" s="22" t="s">
        <v>18923</v>
      </c>
      <c r="C521" s="2">
        <v>1</v>
      </c>
      <c r="D521" s="23">
        <v>7.99</v>
      </c>
      <c r="E521" s="3">
        <v>7.99</v>
      </c>
      <c r="F521" s="2" t="s">
        <v>18924</v>
      </c>
      <c r="G521" s="22" t="s">
        <v>19674</v>
      </c>
      <c r="H521" s="24" t="s">
        <v>19361</v>
      </c>
      <c r="I521" s="22" t="s">
        <v>19309</v>
      </c>
      <c r="J521" s="22" t="s">
        <v>19908</v>
      </c>
      <c r="K521" s="22" t="s">
        <v>19524</v>
      </c>
      <c r="L521" s="22"/>
      <c r="M521" s="22"/>
      <c r="N521" s="25" t="str">
        <f>HYPERLINK("http://slimages.macys.com/is/image/MCY/21070271 ")</f>
        <v xml:space="preserve">http://slimages.macys.com/is/image/MCY/21070271 </v>
      </c>
    </row>
    <row r="522" spans="1:14" ht="24.75" x14ac:dyDescent="0.25">
      <c r="A522" s="21" t="s">
        <v>18925</v>
      </c>
      <c r="B522" s="22" t="s">
        <v>18926</v>
      </c>
      <c r="C522" s="2">
        <v>2</v>
      </c>
      <c r="D522" s="23">
        <v>7.99</v>
      </c>
      <c r="E522" s="3">
        <v>15.98</v>
      </c>
      <c r="F522" s="2" t="s">
        <v>18927</v>
      </c>
      <c r="G522" s="22" t="s">
        <v>19415</v>
      </c>
      <c r="H522" s="24" t="s">
        <v>19907</v>
      </c>
      <c r="I522" s="22" t="s">
        <v>19309</v>
      </c>
      <c r="J522" s="22" t="s">
        <v>19908</v>
      </c>
      <c r="K522" s="22" t="s">
        <v>19524</v>
      </c>
      <c r="L522" s="22"/>
      <c r="M522" s="22"/>
      <c r="N522" s="25" t="str">
        <f>HYPERLINK("http://slimages.macys.com/is/image/MCY/22159419 ")</f>
        <v xml:space="preserve">http://slimages.macys.com/is/image/MCY/22159419 </v>
      </c>
    </row>
    <row r="523" spans="1:14" ht="24.75" x14ac:dyDescent="0.25">
      <c r="A523" s="21" t="s">
        <v>18928</v>
      </c>
      <c r="B523" s="22" t="s">
        <v>18929</v>
      </c>
      <c r="C523" s="2">
        <v>1</v>
      </c>
      <c r="D523" s="23">
        <v>7.99</v>
      </c>
      <c r="E523" s="3">
        <v>7.99</v>
      </c>
      <c r="F523" s="2" t="s">
        <v>18930</v>
      </c>
      <c r="G523" s="22" t="s">
        <v>19462</v>
      </c>
      <c r="H523" s="24" t="s">
        <v>20135</v>
      </c>
      <c r="I523" s="22" t="s">
        <v>19309</v>
      </c>
      <c r="J523" s="22" t="s">
        <v>19908</v>
      </c>
      <c r="K523" s="22" t="s">
        <v>19524</v>
      </c>
      <c r="L523" s="22"/>
      <c r="M523" s="22"/>
      <c r="N523" s="25" t="str">
        <f>HYPERLINK("http://slimages.macys.com/is/image/MCY/22159423 ")</f>
        <v xml:space="preserve">http://slimages.macys.com/is/image/MCY/22159423 </v>
      </c>
    </row>
    <row r="524" spans="1:14" ht="24.75" x14ac:dyDescent="0.25">
      <c r="A524" s="21" t="s">
        <v>18931</v>
      </c>
      <c r="B524" s="22" t="s">
        <v>18932</v>
      </c>
      <c r="C524" s="2">
        <v>1</v>
      </c>
      <c r="D524" s="23">
        <v>7.99</v>
      </c>
      <c r="E524" s="3">
        <v>7.99</v>
      </c>
      <c r="F524" s="2" t="s">
        <v>18927</v>
      </c>
      <c r="G524" s="22" t="s">
        <v>19415</v>
      </c>
      <c r="H524" s="24" t="s">
        <v>20135</v>
      </c>
      <c r="I524" s="22" t="s">
        <v>19309</v>
      </c>
      <c r="J524" s="22" t="s">
        <v>19908</v>
      </c>
      <c r="K524" s="22" t="s">
        <v>19524</v>
      </c>
      <c r="L524" s="22"/>
      <c r="M524" s="22"/>
      <c r="N524" s="25" t="str">
        <f>HYPERLINK("http://slimages.macys.com/is/image/MCY/22159419 ")</f>
        <v xml:space="preserve">http://slimages.macys.com/is/image/MCY/22159419 </v>
      </c>
    </row>
    <row r="525" spans="1:14" ht="24.75" x14ac:dyDescent="0.25">
      <c r="A525" s="21" t="s">
        <v>18933</v>
      </c>
      <c r="B525" s="22" t="s">
        <v>18934</v>
      </c>
      <c r="C525" s="2">
        <v>2</v>
      </c>
      <c r="D525" s="23">
        <v>7.99</v>
      </c>
      <c r="E525" s="3">
        <v>15.98</v>
      </c>
      <c r="F525" s="2" t="s">
        <v>18935</v>
      </c>
      <c r="G525" s="22" t="s">
        <v>19333</v>
      </c>
      <c r="H525" s="24" t="s">
        <v>20135</v>
      </c>
      <c r="I525" s="22" t="s">
        <v>19309</v>
      </c>
      <c r="J525" s="22" t="s">
        <v>19908</v>
      </c>
      <c r="K525" s="22" t="s">
        <v>19524</v>
      </c>
      <c r="L525" s="22"/>
      <c r="M525" s="22"/>
      <c r="N525" s="25" t="str">
        <f>HYPERLINK("http://slimages.macys.com/is/image/MCY/21070276 ")</f>
        <v xml:space="preserve">http://slimages.macys.com/is/image/MCY/21070276 </v>
      </c>
    </row>
    <row r="526" spans="1:14" ht="24.75" x14ac:dyDescent="0.25">
      <c r="A526" s="21" t="s">
        <v>18936</v>
      </c>
      <c r="B526" s="22" t="s">
        <v>18937</v>
      </c>
      <c r="C526" s="2">
        <v>1</v>
      </c>
      <c r="D526" s="23">
        <v>7.99</v>
      </c>
      <c r="E526" s="3">
        <v>7.99</v>
      </c>
      <c r="F526" s="2" t="s">
        <v>18938</v>
      </c>
      <c r="G526" s="22" t="s">
        <v>19333</v>
      </c>
      <c r="H526" s="24" t="s">
        <v>20135</v>
      </c>
      <c r="I526" s="22" t="s">
        <v>19309</v>
      </c>
      <c r="J526" s="22" t="s">
        <v>19908</v>
      </c>
      <c r="K526" s="22" t="s">
        <v>19524</v>
      </c>
      <c r="L526" s="22"/>
      <c r="M526" s="22"/>
      <c r="N526" s="25" t="str">
        <f>HYPERLINK("http://slimages.macys.com/is/image/MCY/21070270 ")</f>
        <v xml:space="preserve">http://slimages.macys.com/is/image/MCY/21070270 </v>
      </c>
    </row>
    <row r="527" spans="1:14" ht="24.75" x14ac:dyDescent="0.25">
      <c r="A527" s="21" t="s">
        <v>18939</v>
      </c>
      <c r="B527" s="22" t="s">
        <v>18940</v>
      </c>
      <c r="C527" s="2">
        <v>1</v>
      </c>
      <c r="D527" s="23">
        <v>7.99</v>
      </c>
      <c r="E527" s="3">
        <v>7.99</v>
      </c>
      <c r="F527" s="2" t="s">
        <v>18927</v>
      </c>
      <c r="G527" s="22" t="s">
        <v>19415</v>
      </c>
      <c r="H527" s="24" t="s">
        <v>19361</v>
      </c>
      <c r="I527" s="22" t="s">
        <v>19309</v>
      </c>
      <c r="J527" s="22" t="s">
        <v>19908</v>
      </c>
      <c r="K527" s="22" t="s">
        <v>19524</v>
      </c>
      <c r="L527" s="22"/>
      <c r="M527" s="22"/>
      <c r="N527" s="25" t="str">
        <f>HYPERLINK("http://slimages.macys.com/is/image/MCY/22159008 ")</f>
        <v xml:space="preserve">http://slimages.macys.com/is/image/MCY/22159008 </v>
      </c>
    </row>
    <row r="528" spans="1:14" ht="24.75" x14ac:dyDescent="0.25">
      <c r="A528" s="21" t="s">
        <v>18941</v>
      </c>
      <c r="B528" s="22" t="s">
        <v>18942</v>
      </c>
      <c r="C528" s="2">
        <v>1</v>
      </c>
      <c r="D528" s="23">
        <v>7.99</v>
      </c>
      <c r="E528" s="3">
        <v>7.99</v>
      </c>
      <c r="F528" s="2" t="s">
        <v>18943</v>
      </c>
      <c r="G528" s="22" t="s">
        <v>19431</v>
      </c>
      <c r="H528" s="24" t="s">
        <v>20089</v>
      </c>
      <c r="I528" s="22" t="s">
        <v>19309</v>
      </c>
      <c r="J528" s="22" t="s">
        <v>19908</v>
      </c>
      <c r="K528" s="22" t="s">
        <v>19524</v>
      </c>
      <c r="L528" s="22"/>
      <c r="M528" s="22"/>
      <c r="N528" s="25" t="str">
        <f>HYPERLINK("http://slimages.macys.com/is/image/MCY/22163962 ")</f>
        <v xml:space="preserve">http://slimages.macys.com/is/image/MCY/22163962 </v>
      </c>
    </row>
    <row r="529" spans="1:14" ht="24.75" x14ac:dyDescent="0.25">
      <c r="A529" s="21" t="s">
        <v>18944</v>
      </c>
      <c r="B529" s="22" t="s">
        <v>18945</v>
      </c>
      <c r="C529" s="2">
        <v>1</v>
      </c>
      <c r="D529" s="23">
        <v>7.99</v>
      </c>
      <c r="E529" s="3">
        <v>7.99</v>
      </c>
      <c r="F529" s="2" t="s">
        <v>18927</v>
      </c>
      <c r="G529" s="22" t="s">
        <v>19415</v>
      </c>
      <c r="H529" s="24" t="s">
        <v>19377</v>
      </c>
      <c r="I529" s="22" t="s">
        <v>19309</v>
      </c>
      <c r="J529" s="22" t="s">
        <v>19908</v>
      </c>
      <c r="K529" s="22" t="s">
        <v>19524</v>
      </c>
      <c r="L529" s="22"/>
      <c r="M529" s="22"/>
      <c r="N529" s="25" t="str">
        <f>HYPERLINK("http://slimages.macys.com/is/image/MCY/22159008 ")</f>
        <v xml:space="preserve">http://slimages.macys.com/is/image/MCY/22159008 </v>
      </c>
    </row>
    <row r="530" spans="1:14" ht="24.75" x14ac:dyDescent="0.25">
      <c r="A530" s="21" t="s">
        <v>18946</v>
      </c>
      <c r="B530" s="22" t="s">
        <v>18947</v>
      </c>
      <c r="C530" s="2">
        <v>1</v>
      </c>
      <c r="D530" s="23">
        <v>7.99</v>
      </c>
      <c r="E530" s="3">
        <v>7.99</v>
      </c>
      <c r="F530" s="2" t="s">
        <v>18948</v>
      </c>
      <c r="G530" s="22" t="s">
        <v>19351</v>
      </c>
      <c r="H530" s="24" t="s">
        <v>19542</v>
      </c>
      <c r="I530" s="22" t="s">
        <v>19309</v>
      </c>
      <c r="J530" s="22" t="s">
        <v>19454</v>
      </c>
      <c r="K530" s="22" t="s">
        <v>19524</v>
      </c>
      <c r="L530" s="22"/>
      <c r="M530" s="22"/>
      <c r="N530" s="25" t="str">
        <f>HYPERLINK("http://slimages.macys.com/is/image/MCY/21048858 ")</f>
        <v xml:space="preserve">http://slimages.macys.com/is/image/MCY/21048858 </v>
      </c>
    </row>
    <row r="531" spans="1:14" ht="24.75" x14ac:dyDescent="0.25">
      <c r="A531" s="21" t="s">
        <v>18949</v>
      </c>
      <c r="B531" s="22" t="s">
        <v>18950</v>
      </c>
      <c r="C531" s="2">
        <v>1</v>
      </c>
      <c r="D531" s="23">
        <v>7.99</v>
      </c>
      <c r="E531" s="3">
        <v>7.99</v>
      </c>
      <c r="F531" s="2" t="s">
        <v>18951</v>
      </c>
      <c r="G531" s="22" t="s">
        <v>19618</v>
      </c>
      <c r="H531" s="24" t="s">
        <v>19907</v>
      </c>
      <c r="I531" s="22" t="s">
        <v>19309</v>
      </c>
      <c r="J531" s="22" t="s">
        <v>19454</v>
      </c>
      <c r="K531" s="22" t="s">
        <v>19524</v>
      </c>
      <c r="L531" s="22"/>
      <c r="M531" s="22"/>
      <c r="N531" s="25" t="str">
        <f>HYPERLINK("http://slimages.macys.com/is/image/MCY/1849320 ")</f>
        <v xml:space="preserve">http://slimages.macys.com/is/image/MCY/1849320 </v>
      </c>
    </row>
    <row r="532" spans="1:14" ht="24.75" x14ac:dyDescent="0.25">
      <c r="A532" s="21" t="s">
        <v>18952</v>
      </c>
      <c r="B532" s="22" t="s">
        <v>18953</v>
      </c>
      <c r="C532" s="2">
        <v>1</v>
      </c>
      <c r="D532" s="23">
        <v>7.99</v>
      </c>
      <c r="E532" s="3">
        <v>7.99</v>
      </c>
      <c r="F532" s="2" t="s">
        <v>18954</v>
      </c>
      <c r="G532" s="22" t="s">
        <v>19415</v>
      </c>
      <c r="H532" s="24" t="s">
        <v>19907</v>
      </c>
      <c r="I532" s="22" t="s">
        <v>19309</v>
      </c>
      <c r="J532" s="22" t="s">
        <v>19908</v>
      </c>
      <c r="K532" s="22" t="s">
        <v>19524</v>
      </c>
      <c r="L532" s="22"/>
      <c r="M532" s="22"/>
      <c r="N532" s="25" t="str">
        <f>HYPERLINK("http://slimages.macys.com/is/image/MCY/21070261 ")</f>
        <v xml:space="preserve">http://slimages.macys.com/is/image/MCY/21070261 </v>
      </c>
    </row>
    <row r="533" spans="1:14" ht="24.75" x14ac:dyDescent="0.25">
      <c r="A533" s="21" t="s">
        <v>18955</v>
      </c>
      <c r="B533" s="22" t="s">
        <v>18956</v>
      </c>
      <c r="C533" s="2">
        <v>1</v>
      </c>
      <c r="D533" s="23">
        <v>7.99</v>
      </c>
      <c r="E533" s="3">
        <v>7.99</v>
      </c>
      <c r="F533" s="2" t="s">
        <v>18957</v>
      </c>
      <c r="G533" s="22" t="s">
        <v>19415</v>
      </c>
      <c r="H533" s="24" t="s">
        <v>19907</v>
      </c>
      <c r="I533" s="22" t="s">
        <v>19309</v>
      </c>
      <c r="J533" s="22" t="s">
        <v>19908</v>
      </c>
      <c r="K533" s="22" t="s">
        <v>19524</v>
      </c>
      <c r="L533" s="22"/>
      <c r="M533" s="22"/>
      <c r="N533" s="25" t="str">
        <f>HYPERLINK("http://slimages.macys.com/is/image/MCY/1472593 ")</f>
        <v xml:space="preserve">http://slimages.macys.com/is/image/MCY/1472593 </v>
      </c>
    </row>
    <row r="534" spans="1:14" ht="24.75" x14ac:dyDescent="0.25">
      <c r="A534" s="21" t="s">
        <v>18958</v>
      </c>
      <c r="B534" s="22" t="s">
        <v>18959</v>
      </c>
      <c r="C534" s="2">
        <v>2</v>
      </c>
      <c r="D534" s="23">
        <v>7.99</v>
      </c>
      <c r="E534" s="3">
        <v>15.98</v>
      </c>
      <c r="F534" s="2" t="s">
        <v>18960</v>
      </c>
      <c r="G534" s="22" t="s">
        <v>19351</v>
      </c>
      <c r="H534" s="24" t="s">
        <v>19907</v>
      </c>
      <c r="I534" s="22" t="s">
        <v>19309</v>
      </c>
      <c r="J534" s="22" t="s">
        <v>19908</v>
      </c>
      <c r="K534" s="22" t="s">
        <v>19524</v>
      </c>
      <c r="L534" s="22"/>
      <c r="M534" s="22"/>
      <c r="N534" s="25" t="str">
        <f>HYPERLINK("http://slimages.macys.com/is/image/MCY/22028995 ")</f>
        <v xml:space="preserve">http://slimages.macys.com/is/image/MCY/22028995 </v>
      </c>
    </row>
    <row r="535" spans="1:14" ht="24.75" x14ac:dyDescent="0.25">
      <c r="A535" s="21" t="s">
        <v>18961</v>
      </c>
      <c r="B535" s="22" t="s">
        <v>18962</v>
      </c>
      <c r="C535" s="2">
        <v>1</v>
      </c>
      <c r="D535" s="23">
        <v>7.99</v>
      </c>
      <c r="E535" s="3">
        <v>7.99</v>
      </c>
      <c r="F535" s="2" t="s">
        <v>18963</v>
      </c>
      <c r="G535" s="22" t="s">
        <v>19351</v>
      </c>
      <c r="H535" s="24" t="s">
        <v>19377</v>
      </c>
      <c r="I535" s="22" t="s">
        <v>19309</v>
      </c>
      <c r="J535" s="22" t="s">
        <v>19908</v>
      </c>
      <c r="K535" s="22" t="s">
        <v>19524</v>
      </c>
      <c r="L535" s="22"/>
      <c r="M535" s="22"/>
      <c r="N535" s="25" t="str">
        <f>HYPERLINK("http://slimages.macys.com/is/image/MCY/21727258 ")</f>
        <v xml:space="preserve">http://slimages.macys.com/is/image/MCY/21727258 </v>
      </c>
    </row>
    <row r="536" spans="1:14" ht="24.75" x14ac:dyDescent="0.25">
      <c r="A536" s="21" t="s">
        <v>18964</v>
      </c>
      <c r="B536" s="22" t="s">
        <v>18965</v>
      </c>
      <c r="C536" s="2">
        <v>1</v>
      </c>
      <c r="D536" s="23">
        <v>7.99</v>
      </c>
      <c r="E536" s="3">
        <v>7.99</v>
      </c>
      <c r="F536" s="2" t="s">
        <v>18966</v>
      </c>
      <c r="G536" s="22" t="s">
        <v>19351</v>
      </c>
      <c r="H536" s="24" t="s">
        <v>19542</v>
      </c>
      <c r="I536" s="22" t="s">
        <v>19309</v>
      </c>
      <c r="J536" s="22" t="s">
        <v>19908</v>
      </c>
      <c r="K536" s="22" t="s">
        <v>19524</v>
      </c>
      <c r="L536" s="22"/>
      <c r="M536" s="22"/>
      <c r="N536" s="25" t="str">
        <f>HYPERLINK("http://slimages.macys.com/is/image/MCY/1537727 ")</f>
        <v xml:space="preserve">http://slimages.macys.com/is/image/MCY/1537727 </v>
      </c>
    </row>
    <row r="537" spans="1:14" ht="24.75" x14ac:dyDescent="0.25">
      <c r="A537" s="21" t="s">
        <v>18967</v>
      </c>
      <c r="B537" s="22" t="s">
        <v>18968</v>
      </c>
      <c r="C537" s="2">
        <v>1</v>
      </c>
      <c r="D537" s="23">
        <v>7.99</v>
      </c>
      <c r="E537" s="3">
        <v>7.99</v>
      </c>
      <c r="F537" s="2" t="s">
        <v>18969</v>
      </c>
      <c r="G537" s="22" t="s">
        <v>18439</v>
      </c>
      <c r="H537" s="24" t="s">
        <v>19361</v>
      </c>
      <c r="I537" s="22" t="s">
        <v>19309</v>
      </c>
      <c r="J537" s="22" t="s">
        <v>19908</v>
      </c>
      <c r="K537" s="22" t="s">
        <v>19524</v>
      </c>
      <c r="L537" s="22"/>
      <c r="M537" s="22"/>
      <c r="N537" s="25" t="str">
        <f>HYPERLINK("http://slimages.macys.com/is/image/MCY/22158981 ")</f>
        <v xml:space="preserve">http://slimages.macys.com/is/image/MCY/22158981 </v>
      </c>
    </row>
    <row r="538" spans="1:14" ht="24.75" x14ac:dyDescent="0.25">
      <c r="A538" s="21" t="s">
        <v>18970</v>
      </c>
      <c r="B538" s="22" t="s">
        <v>18971</v>
      </c>
      <c r="C538" s="2">
        <v>1</v>
      </c>
      <c r="D538" s="23">
        <v>7.99</v>
      </c>
      <c r="E538" s="3">
        <v>7.99</v>
      </c>
      <c r="F538" s="2" t="s">
        <v>18972</v>
      </c>
      <c r="G538" s="22" t="s">
        <v>19357</v>
      </c>
      <c r="H538" s="24" t="s">
        <v>19907</v>
      </c>
      <c r="I538" s="22" t="s">
        <v>19309</v>
      </c>
      <c r="J538" s="22" t="s">
        <v>19908</v>
      </c>
      <c r="K538" s="22" t="s">
        <v>19524</v>
      </c>
      <c r="L538" s="22"/>
      <c r="M538" s="22"/>
      <c r="N538" s="25" t="str">
        <f>HYPERLINK("http://slimages.macys.com/is/image/MCY/21570004 ")</f>
        <v xml:space="preserve">http://slimages.macys.com/is/image/MCY/21570004 </v>
      </c>
    </row>
    <row r="539" spans="1:14" ht="24.75" x14ac:dyDescent="0.25">
      <c r="A539" s="21" t="s">
        <v>18973</v>
      </c>
      <c r="B539" s="22" t="s">
        <v>18974</v>
      </c>
      <c r="C539" s="2">
        <v>2</v>
      </c>
      <c r="D539" s="23">
        <v>7.99</v>
      </c>
      <c r="E539" s="3">
        <v>15.98</v>
      </c>
      <c r="F539" s="2" t="s">
        <v>18975</v>
      </c>
      <c r="G539" s="22" t="s">
        <v>19585</v>
      </c>
      <c r="H539" s="24" t="s">
        <v>19392</v>
      </c>
      <c r="I539" s="22" t="s">
        <v>19309</v>
      </c>
      <c r="J539" s="22" t="s">
        <v>19815</v>
      </c>
      <c r="K539" s="22" t="s">
        <v>19816</v>
      </c>
      <c r="L539" s="22"/>
      <c r="M539" s="22"/>
      <c r="N539" s="25" t="str">
        <f>HYPERLINK("http://slimages.macys.com/is/image/MCY/20454015 ")</f>
        <v xml:space="preserve">http://slimages.macys.com/is/image/MCY/20454015 </v>
      </c>
    </row>
    <row r="540" spans="1:14" ht="24.75" x14ac:dyDescent="0.25">
      <c r="A540" s="21" t="s">
        <v>18976</v>
      </c>
      <c r="B540" s="22" t="s">
        <v>18977</v>
      </c>
      <c r="C540" s="2">
        <v>1</v>
      </c>
      <c r="D540" s="23">
        <v>8.99</v>
      </c>
      <c r="E540" s="3">
        <v>8.99</v>
      </c>
      <c r="F540" s="2" t="s">
        <v>18978</v>
      </c>
      <c r="G540" s="22" t="s">
        <v>19467</v>
      </c>
      <c r="H540" s="24"/>
      <c r="I540" s="22" t="s">
        <v>19309</v>
      </c>
      <c r="J540" s="22" t="s">
        <v>19573</v>
      </c>
      <c r="K540" s="22" t="s">
        <v>19574</v>
      </c>
      <c r="L540" s="22"/>
      <c r="M540" s="22"/>
      <c r="N540" s="25" t="str">
        <f>HYPERLINK("http://slimages.macys.com/is/image/MCY/1537013 ")</f>
        <v xml:space="preserve">http://slimages.macys.com/is/image/MCY/1537013 </v>
      </c>
    </row>
    <row r="541" spans="1:14" ht="24.75" x14ac:dyDescent="0.25">
      <c r="A541" s="21" t="s">
        <v>18979</v>
      </c>
      <c r="B541" s="22" t="s">
        <v>18980</v>
      </c>
      <c r="C541" s="2">
        <v>1</v>
      </c>
      <c r="D541" s="23">
        <v>8.99</v>
      </c>
      <c r="E541" s="3">
        <v>8.99</v>
      </c>
      <c r="F541" s="2" t="s">
        <v>18981</v>
      </c>
      <c r="G541" s="22" t="s">
        <v>19422</v>
      </c>
      <c r="H541" s="24"/>
      <c r="I541" s="22" t="s">
        <v>19309</v>
      </c>
      <c r="J541" s="22" t="s">
        <v>19573</v>
      </c>
      <c r="K541" s="22" t="s">
        <v>19574</v>
      </c>
      <c r="L541" s="22"/>
      <c r="M541" s="22"/>
      <c r="N541" s="25" t="str">
        <f>HYPERLINK("http://slimages.macys.com/is/image/MCY/1537013 ")</f>
        <v xml:space="preserve">http://slimages.macys.com/is/image/MCY/1537013 </v>
      </c>
    </row>
    <row r="542" spans="1:14" ht="24.75" x14ac:dyDescent="0.25">
      <c r="A542" s="21" t="s">
        <v>18982</v>
      </c>
      <c r="B542" s="22" t="s">
        <v>18983</v>
      </c>
      <c r="C542" s="2">
        <v>1</v>
      </c>
      <c r="D542" s="23">
        <v>8.99</v>
      </c>
      <c r="E542" s="3">
        <v>8.99</v>
      </c>
      <c r="F542" s="2" t="s">
        <v>18984</v>
      </c>
      <c r="G542" s="22" t="s">
        <v>19315</v>
      </c>
      <c r="H542" s="24" t="s">
        <v>19339</v>
      </c>
      <c r="I542" s="22" t="s">
        <v>19309</v>
      </c>
      <c r="J542" s="22" t="s">
        <v>19815</v>
      </c>
      <c r="K542" s="22" t="s">
        <v>19816</v>
      </c>
      <c r="L542" s="22"/>
      <c r="M542" s="22"/>
      <c r="N542" s="25" t="str">
        <f>HYPERLINK("http://slimages.macys.com/is/image/MCY/21278530 ")</f>
        <v xml:space="preserve">http://slimages.macys.com/is/image/MCY/21278530 </v>
      </c>
    </row>
    <row r="543" spans="1:14" ht="24.75" x14ac:dyDescent="0.25">
      <c r="A543" s="21" t="s">
        <v>18985</v>
      </c>
      <c r="B543" s="22" t="s">
        <v>18986</v>
      </c>
      <c r="C543" s="2">
        <v>1</v>
      </c>
      <c r="D543" s="23">
        <v>8.99</v>
      </c>
      <c r="E543" s="3">
        <v>8.99</v>
      </c>
      <c r="F543" s="2" t="s">
        <v>18984</v>
      </c>
      <c r="G543" s="22" t="s">
        <v>19351</v>
      </c>
      <c r="H543" s="24" t="s">
        <v>19339</v>
      </c>
      <c r="I543" s="22" t="s">
        <v>19309</v>
      </c>
      <c r="J543" s="22" t="s">
        <v>19815</v>
      </c>
      <c r="K543" s="22" t="s">
        <v>19816</v>
      </c>
      <c r="L543" s="22"/>
      <c r="M543" s="22"/>
      <c r="N543" s="25" t="str">
        <f>HYPERLINK("http://slimages.macys.com/is/image/MCY/21278530 ")</f>
        <v xml:space="preserve">http://slimages.macys.com/is/image/MCY/21278530 </v>
      </c>
    </row>
    <row r="544" spans="1:14" ht="24.75" x14ac:dyDescent="0.25">
      <c r="A544" s="21" t="s">
        <v>18987</v>
      </c>
      <c r="B544" s="22" t="s">
        <v>18988</v>
      </c>
      <c r="C544" s="2">
        <v>1</v>
      </c>
      <c r="D544" s="23">
        <v>8.99</v>
      </c>
      <c r="E544" s="3">
        <v>8.99</v>
      </c>
      <c r="F544" s="2" t="s">
        <v>18984</v>
      </c>
      <c r="G544" s="22" t="s">
        <v>19351</v>
      </c>
      <c r="H544" s="24" t="s">
        <v>19352</v>
      </c>
      <c r="I544" s="22" t="s">
        <v>19309</v>
      </c>
      <c r="J544" s="22" t="s">
        <v>19815</v>
      </c>
      <c r="K544" s="22" t="s">
        <v>19816</v>
      </c>
      <c r="L544" s="22"/>
      <c r="M544" s="22"/>
      <c r="N544" s="25" t="str">
        <f>HYPERLINK("http://slimages.macys.com/is/image/MCY/21278530 ")</f>
        <v xml:space="preserve">http://slimages.macys.com/is/image/MCY/21278530 </v>
      </c>
    </row>
    <row r="545" spans="1:14" ht="24.75" x14ac:dyDescent="0.25">
      <c r="A545" s="21" t="s">
        <v>18989</v>
      </c>
      <c r="B545" s="22" t="s">
        <v>18990</v>
      </c>
      <c r="C545" s="2">
        <v>1</v>
      </c>
      <c r="D545" s="23">
        <v>8.99</v>
      </c>
      <c r="E545" s="3">
        <v>8.99</v>
      </c>
      <c r="F545" s="2" t="s">
        <v>18984</v>
      </c>
      <c r="G545" s="22" t="s">
        <v>19315</v>
      </c>
      <c r="H545" s="24" t="s">
        <v>19364</v>
      </c>
      <c r="I545" s="22" t="s">
        <v>19309</v>
      </c>
      <c r="J545" s="22" t="s">
        <v>19815</v>
      </c>
      <c r="K545" s="22" t="s">
        <v>19816</v>
      </c>
      <c r="L545" s="22"/>
      <c r="M545" s="22"/>
      <c r="N545" s="25" t="str">
        <f>HYPERLINK("http://slimages.macys.com/is/image/MCY/21278530 ")</f>
        <v xml:space="preserve">http://slimages.macys.com/is/image/MCY/21278530 </v>
      </c>
    </row>
    <row r="546" spans="1:14" ht="24.75" x14ac:dyDescent="0.25">
      <c r="A546" s="21" t="s">
        <v>18991</v>
      </c>
      <c r="B546" s="22" t="s">
        <v>18992</v>
      </c>
      <c r="C546" s="2">
        <v>1</v>
      </c>
      <c r="D546" s="23">
        <v>8.99</v>
      </c>
      <c r="E546" s="3">
        <v>8.99</v>
      </c>
      <c r="F546" s="2" t="s">
        <v>18984</v>
      </c>
      <c r="G546" s="22" t="s">
        <v>19351</v>
      </c>
      <c r="H546" s="24" t="s">
        <v>19308</v>
      </c>
      <c r="I546" s="22" t="s">
        <v>19309</v>
      </c>
      <c r="J546" s="22" t="s">
        <v>19815</v>
      </c>
      <c r="K546" s="22" t="s">
        <v>19816</v>
      </c>
      <c r="L546" s="22"/>
      <c r="M546" s="22"/>
      <c r="N546" s="25" t="str">
        <f>HYPERLINK("http://slimages.macys.com/is/image/MCY/21278530 ")</f>
        <v xml:space="preserve">http://slimages.macys.com/is/image/MCY/21278530 </v>
      </c>
    </row>
    <row r="547" spans="1:14" ht="24.75" x14ac:dyDescent="0.25">
      <c r="A547" s="21" t="s">
        <v>18993</v>
      </c>
      <c r="B547" s="22" t="s">
        <v>18994</v>
      </c>
      <c r="C547" s="2">
        <v>1</v>
      </c>
      <c r="D547" s="23">
        <v>8.99</v>
      </c>
      <c r="E547" s="3">
        <v>8.99</v>
      </c>
      <c r="F547" s="2" t="s">
        <v>18984</v>
      </c>
      <c r="G547" s="22" t="s">
        <v>19518</v>
      </c>
      <c r="H547" s="24" t="s">
        <v>19364</v>
      </c>
      <c r="I547" s="22" t="s">
        <v>19309</v>
      </c>
      <c r="J547" s="22" t="s">
        <v>19815</v>
      </c>
      <c r="K547" s="22" t="s">
        <v>19816</v>
      </c>
      <c r="L547" s="22"/>
      <c r="M547" s="22"/>
      <c r="N547" s="25" t="str">
        <f>HYPERLINK("http://slimages.macys.com/is/image/MCY/1520506 ")</f>
        <v xml:space="preserve">http://slimages.macys.com/is/image/MCY/1520506 </v>
      </c>
    </row>
    <row r="548" spans="1:14" x14ac:dyDescent="0.25">
      <c r="A548" s="21" t="s">
        <v>18995</v>
      </c>
      <c r="B548" s="22" t="s">
        <v>18996</v>
      </c>
      <c r="C548" s="2">
        <v>1</v>
      </c>
      <c r="D548" s="23">
        <v>8.3000000000000007</v>
      </c>
      <c r="E548" s="3">
        <v>8.3000000000000007</v>
      </c>
      <c r="F548" s="2" t="s">
        <v>18997</v>
      </c>
      <c r="G548" s="22" t="s">
        <v>19351</v>
      </c>
      <c r="H548" s="24" t="s">
        <v>19770</v>
      </c>
      <c r="I548" s="22" t="s">
        <v>19309</v>
      </c>
      <c r="J548" s="22" t="s">
        <v>19708</v>
      </c>
      <c r="K548" s="22" t="s">
        <v>19709</v>
      </c>
      <c r="L548" s="22"/>
      <c r="M548" s="22"/>
      <c r="N548" s="25" t="str">
        <f>HYPERLINK("http://slimages.macys.com/is/image/MCY/21413291 ")</f>
        <v xml:space="preserve">http://slimages.macys.com/is/image/MCY/21413291 </v>
      </c>
    </row>
    <row r="549" spans="1:14" ht="24.75" x14ac:dyDescent="0.25">
      <c r="A549" s="21" t="s">
        <v>18998</v>
      </c>
      <c r="B549" s="22" t="s">
        <v>18999</v>
      </c>
      <c r="C549" s="2">
        <v>1</v>
      </c>
      <c r="D549" s="23">
        <v>5.99</v>
      </c>
      <c r="E549" s="3">
        <v>5.99</v>
      </c>
      <c r="F549" s="2" t="s">
        <v>19000</v>
      </c>
      <c r="G549" s="22" t="s">
        <v>18439</v>
      </c>
      <c r="H549" s="24" t="s">
        <v>19538</v>
      </c>
      <c r="I549" s="22" t="s">
        <v>19309</v>
      </c>
      <c r="J549" s="22" t="s">
        <v>19573</v>
      </c>
      <c r="K549" s="22" t="s">
        <v>19574</v>
      </c>
      <c r="L549" s="22"/>
      <c r="M549" s="22"/>
      <c r="N549" s="25" t="str">
        <f>HYPERLINK("http://slimages.macys.com/is/image/MCY/21515593 ")</f>
        <v xml:space="preserve">http://slimages.macys.com/is/image/MCY/21515593 </v>
      </c>
    </row>
    <row r="550" spans="1:14" ht="24.75" x14ac:dyDescent="0.25">
      <c r="A550" s="21" t="s">
        <v>19001</v>
      </c>
      <c r="B550" s="22" t="s">
        <v>19002</v>
      </c>
      <c r="C550" s="2">
        <v>1</v>
      </c>
      <c r="D550" s="23">
        <v>7.99</v>
      </c>
      <c r="E550" s="3">
        <v>7.99</v>
      </c>
      <c r="F550" s="2" t="s">
        <v>19003</v>
      </c>
      <c r="G550" s="22" t="s">
        <v>19674</v>
      </c>
      <c r="H550" s="24" t="s">
        <v>20135</v>
      </c>
      <c r="I550" s="22" t="s">
        <v>19309</v>
      </c>
      <c r="J550" s="22" t="s">
        <v>19573</v>
      </c>
      <c r="K550" s="22" t="s">
        <v>19574</v>
      </c>
      <c r="L550" s="22"/>
      <c r="M550" s="22"/>
      <c r="N550" s="25" t="str">
        <f>HYPERLINK("http://slimages.macys.com/is/image/MCY/1505231 ")</f>
        <v xml:space="preserve">http://slimages.macys.com/is/image/MCY/1505231 </v>
      </c>
    </row>
    <row r="551" spans="1:14" ht="24.75" x14ac:dyDescent="0.25">
      <c r="A551" s="21" t="s">
        <v>19004</v>
      </c>
      <c r="B551" s="22" t="s">
        <v>19005</v>
      </c>
      <c r="C551" s="2">
        <v>1</v>
      </c>
      <c r="D551" s="23">
        <v>7.99</v>
      </c>
      <c r="E551" s="3">
        <v>7.99</v>
      </c>
      <c r="F551" s="2" t="s">
        <v>19006</v>
      </c>
      <c r="G551" s="22" t="s">
        <v>19618</v>
      </c>
      <c r="H551" s="24" t="s">
        <v>20089</v>
      </c>
      <c r="I551" s="22" t="s">
        <v>19309</v>
      </c>
      <c r="J551" s="22" t="s">
        <v>19573</v>
      </c>
      <c r="K551" s="22" t="s">
        <v>19574</v>
      </c>
      <c r="L551" s="22"/>
      <c r="M551" s="22"/>
      <c r="N551" s="25" t="str">
        <f>HYPERLINK("http://slimages.macys.com/is/image/MCY/1116907 ")</f>
        <v xml:space="preserve">http://slimages.macys.com/is/image/MCY/1116907 </v>
      </c>
    </row>
    <row r="552" spans="1:14" ht="24.75" x14ac:dyDescent="0.25">
      <c r="A552" s="21" t="s">
        <v>19007</v>
      </c>
      <c r="B552" s="22" t="s">
        <v>19008</v>
      </c>
      <c r="C552" s="2">
        <v>1</v>
      </c>
      <c r="D552" s="23">
        <v>6.99</v>
      </c>
      <c r="E552" s="3">
        <v>6.99</v>
      </c>
      <c r="F552" s="2" t="s">
        <v>19009</v>
      </c>
      <c r="G552" s="22" t="s">
        <v>19351</v>
      </c>
      <c r="H552" s="24" t="s">
        <v>19797</v>
      </c>
      <c r="I552" s="22" t="s">
        <v>19309</v>
      </c>
      <c r="J552" s="22" t="s">
        <v>19353</v>
      </c>
      <c r="K552" s="22" t="s">
        <v>19354</v>
      </c>
      <c r="L552" s="22"/>
      <c r="M552" s="22"/>
      <c r="N552" s="25" t="str">
        <f>HYPERLINK("http://slimages.macys.com/is/image/MCY/21563007 ")</f>
        <v xml:space="preserve">http://slimages.macys.com/is/image/MCY/21563007 </v>
      </c>
    </row>
    <row r="553" spans="1:14" ht="24.75" x14ac:dyDescent="0.25">
      <c r="A553" s="21" t="s">
        <v>19010</v>
      </c>
      <c r="B553" s="22" t="s">
        <v>19011</v>
      </c>
      <c r="C553" s="2">
        <v>2</v>
      </c>
      <c r="D553" s="23">
        <v>7.99</v>
      </c>
      <c r="E553" s="3">
        <v>15.98</v>
      </c>
      <c r="F553" s="2" t="s">
        <v>19012</v>
      </c>
      <c r="G553" s="22" t="s">
        <v>19422</v>
      </c>
      <c r="H553" s="24" t="s">
        <v>19384</v>
      </c>
      <c r="I553" s="22" t="s">
        <v>19309</v>
      </c>
      <c r="J553" s="22" t="s">
        <v>19573</v>
      </c>
      <c r="K553" s="22" t="s">
        <v>19574</v>
      </c>
      <c r="L553" s="22"/>
      <c r="M553" s="22"/>
      <c r="N553" s="25" t="str">
        <f>HYPERLINK("http://slimages.macys.com/is/image/MCY/1554787 ")</f>
        <v xml:space="preserve">http://slimages.macys.com/is/image/MCY/1554787 </v>
      </c>
    </row>
    <row r="554" spans="1:14" ht="24.75" x14ac:dyDescent="0.25">
      <c r="A554" s="21" t="s">
        <v>19013</v>
      </c>
      <c r="B554" s="22" t="s">
        <v>19014</v>
      </c>
      <c r="C554" s="2">
        <v>1</v>
      </c>
      <c r="D554" s="23">
        <v>6.56</v>
      </c>
      <c r="E554" s="3">
        <v>6.56</v>
      </c>
      <c r="F554" s="2" t="s">
        <v>19015</v>
      </c>
      <c r="G554" s="22" t="s">
        <v>19315</v>
      </c>
      <c r="H554" s="24" t="s">
        <v>19352</v>
      </c>
      <c r="I554" s="22" t="s">
        <v>19309</v>
      </c>
      <c r="J554" s="22" t="s">
        <v>19565</v>
      </c>
      <c r="K554" s="22" t="s">
        <v>18514</v>
      </c>
      <c r="L554" s="22"/>
      <c r="M554" s="22"/>
      <c r="N554" s="25" t="str">
        <f>HYPERLINK("http://slimages.macys.com/is/image/MCY/21621961 ")</f>
        <v xml:space="preserve">http://slimages.macys.com/is/image/MCY/21621961 </v>
      </c>
    </row>
    <row r="555" spans="1:14" ht="24.75" x14ac:dyDescent="0.25">
      <c r="A555" s="21" t="s">
        <v>19016</v>
      </c>
      <c r="B555" s="22" t="s">
        <v>19017</v>
      </c>
      <c r="C555" s="2">
        <v>1</v>
      </c>
      <c r="D555" s="23">
        <v>6.56</v>
      </c>
      <c r="E555" s="3">
        <v>6.56</v>
      </c>
      <c r="F555" s="2" t="s">
        <v>19015</v>
      </c>
      <c r="G555" s="22" t="s">
        <v>19315</v>
      </c>
      <c r="H555" s="24" t="s">
        <v>19364</v>
      </c>
      <c r="I555" s="22" t="s">
        <v>19309</v>
      </c>
      <c r="J555" s="22" t="s">
        <v>19565</v>
      </c>
      <c r="K555" s="22" t="s">
        <v>18514</v>
      </c>
      <c r="L555" s="22"/>
      <c r="M555" s="22"/>
      <c r="N555" s="25" t="str">
        <f>HYPERLINK("http://slimages.macys.com/is/image/MCY/21621961 ")</f>
        <v xml:space="preserve">http://slimages.macys.com/is/image/MCY/21621961 </v>
      </c>
    </row>
    <row r="556" spans="1:14" ht="24.75" x14ac:dyDescent="0.25">
      <c r="A556" s="21" t="s">
        <v>19018</v>
      </c>
      <c r="B556" s="22" t="s">
        <v>19019</v>
      </c>
      <c r="C556" s="2">
        <v>1</v>
      </c>
      <c r="D556" s="23">
        <v>5.99</v>
      </c>
      <c r="E556" s="3">
        <v>5.99</v>
      </c>
      <c r="F556" s="2" t="s">
        <v>19020</v>
      </c>
      <c r="G556" s="22" t="s">
        <v>19618</v>
      </c>
      <c r="H556" s="24" t="s">
        <v>19538</v>
      </c>
      <c r="I556" s="22" t="s">
        <v>19309</v>
      </c>
      <c r="J556" s="22" t="s">
        <v>19573</v>
      </c>
      <c r="K556" s="22" t="s">
        <v>19574</v>
      </c>
      <c r="L556" s="22"/>
      <c r="M556" s="22"/>
      <c r="N556" s="25" t="str">
        <f>HYPERLINK("http://slimages.macys.com/is/image/MCY/21361690 ")</f>
        <v xml:space="preserve">http://slimages.macys.com/is/image/MCY/21361690 </v>
      </c>
    </row>
    <row r="557" spans="1:14" ht="24.75" x14ac:dyDescent="0.25">
      <c r="A557" s="21" t="s">
        <v>19021</v>
      </c>
      <c r="B557" s="22" t="s">
        <v>19022</v>
      </c>
      <c r="C557" s="2">
        <v>1</v>
      </c>
      <c r="D557" s="23">
        <v>7.99</v>
      </c>
      <c r="E557" s="3">
        <v>7.99</v>
      </c>
      <c r="F557" s="2" t="s">
        <v>19023</v>
      </c>
      <c r="G557" s="22" t="s">
        <v>19618</v>
      </c>
      <c r="H557" s="24" t="s">
        <v>20135</v>
      </c>
      <c r="I557" s="22" t="s">
        <v>19309</v>
      </c>
      <c r="J557" s="22" t="s">
        <v>19573</v>
      </c>
      <c r="K557" s="22" t="s">
        <v>19574</v>
      </c>
      <c r="L557" s="22"/>
      <c r="M557" s="22"/>
      <c r="N557" s="25" t="str">
        <f>HYPERLINK("http://slimages.macys.com/is/image/MCY/20736377 ")</f>
        <v xml:space="preserve">http://slimages.macys.com/is/image/MCY/20736377 </v>
      </c>
    </row>
    <row r="558" spans="1:14" ht="24.75" x14ac:dyDescent="0.25">
      <c r="A558" s="21" t="s">
        <v>19024</v>
      </c>
      <c r="B558" s="22" t="s">
        <v>19025</v>
      </c>
      <c r="C558" s="2">
        <v>1</v>
      </c>
      <c r="D558" s="23">
        <v>7.99</v>
      </c>
      <c r="E558" s="3">
        <v>7.99</v>
      </c>
      <c r="F558" s="2" t="s">
        <v>19026</v>
      </c>
      <c r="G558" s="22" t="s">
        <v>19351</v>
      </c>
      <c r="H558" s="24" t="s">
        <v>19907</v>
      </c>
      <c r="I558" s="22" t="s">
        <v>19309</v>
      </c>
      <c r="J558" s="22" t="s">
        <v>19573</v>
      </c>
      <c r="K558" s="22" t="s">
        <v>19574</v>
      </c>
      <c r="L558" s="22"/>
      <c r="M558" s="22"/>
      <c r="N558" s="25" t="str">
        <f>HYPERLINK("http://slimages.macys.com/is/image/MCY/21970095 ")</f>
        <v xml:space="preserve">http://slimages.macys.com/is/image/MCY/21970095 </v>
      </c>
    </row>
    <row r="559" spans="1:14" ht="24.75" x14ac:dyDescent="0.25">
      <c r="A559" s="21" t="s">
        <v>19027</v>
      </c>
      <c r="B559" s="22" t="s">
        <v>19028</v>
      </c>
      <c r="C559" s="2">
        <v>1</v>
      </c>
      <c r="D559" s="23">
        <v>7.99</v>
      </c>
      <c r="E559" s="3">
        <v>7.99</v>
      </c>
      <c r="F559" s="2" t="s">
        <v>19029</v>
      </c>
      <c r="G559" s="22" t="s">
        <v>19674</v>
      </c>
      <c r="H559" s="24" t="s">
        <v>20089</v>
      </c>
      <c r="I559" s="22" t="s">
        <v>19309</v>
      </c>
      <c r="J559" s="22" t="s">
        <v>19573</v>
      </c>
      <c r="K559" s="22" t="s">
        <v>19574</v>
      </c>
      <c r="L559" s="22"/>
      <c r="M559" s="22"/>
      <c r="N559" s="25" t="str">
        <f>HYPERLINK("http://slimages.macys.com/is/image/MCY/21905243 ")</f>
        <v xml:space="preserve">http://slimages.macys.com/is/image/MCY/21905243 </v>
      </c>
    </row>
    <row r="560" spans="1:14" ht="24.75" x14ac:dyDescent="0.25">
      <c r="A560" s="21" t="s">
        <v>19030</v>
      </c>
      <c r="B560" s="22" t="s">
        <v>19031</v>
      </c>
      <c r="C560" s="2">
        <v>1</v>
      </c>
      <c r="D560" s="23">
        <v>7.99</v>
      </c>
      <c r="E560" s="3">
        <v>7.99</v>
      </c>
      <c r="F560" s="2" t="s">
        <v>19032</v>
      </c>
      <c r="G560" s="22" t="s">
        <v>19674</v>
      </c>
      <c r="H560" s="24" t="s">
        <v>19907</v>
      </c>
      <c r="I560" s="22" t="s">
        <v>19309</v>
      </c>
      <c r="J560" s="22" t="s">
        <v>19573</v>
      </c>
      <c r="K560" s="22" t="s">
        <v>19574</v>
      </c>
      <c r="L560" s="22"/>
      <c r="M560" s="22"/>
      <c r="N560" s="25" t="str">
        <f>HYPERLINK("http://slimages.macys.com/is/image/MCY/21361636 ")</f>
        <v xml:space="preserve">http://slimages.macys.com/is/image/MCY/21361636 </v>
      </c>
    </row>
    <row r="561" spans="1:14" x14ac:dyDescent="0.25">
      <c r="A561" s="21" t="s">
        <v>19033</v>
      </c>
      <c r="B561" s="22" t="s">
        <v>19034</v>
      </c>
      <c r="C561" s="2">
        <v>1</v>
      </c>
      <c r="D561" s="23">
        <v>6.99</v>
      </c>
      <c r="E561" s="3">
        <v>6.99</v>
      </c>
      <c r="F561" s="2" t="s">
        <v>19035</v>
      </c>
      <c r="G561" s="22" t="s">
        <v>19315</v>
      </c>
      <c r="H561" s="24" t="s">
        <v>19339</v>
      </c>
      <c r="I561" s="22" t="s">
        <v>19309</v>
      </c>
      <c r="J561" s="22" t="s">
        <v>19849</v>
      </c>
      <c r="K561" s="22" t="s">
        <v>19850</v>
      </c>
      <c r="L561" s="22"/>
      <c r="M561" s="22"/>
      <c r="N561" s="25" t="str">
        <f>HYPERLINK("http://slimages.macys.com/is/image/MCY/19068274 ")</f>
        <v xml:space="preserve">http://slimages.macys.com/is/image/MCY/19068274 </v>
      </c>
    </row>
    <row r="562" spans="1:14" x14ac:dyDescent="0.25">
      <c r="A562" s="21" t="s">
        <v>19036</v>
      </c>
      <c r="B562" s="22" t="s">
        <v>19037</v>
      </c>
      <c r="C562" s="2">
        <v>1</v>
      </c>
      <c r="D562" s="23">
        <v>6.99</v>
      </c>
      <c r="E562" s="3">
        <v>6.99</v>
      </c>
      <c r="F562" s="2" t="s">
        <v>19035</v>
      </c>
      <c r="G562" s="22" t="s">
        <v>19351</v>
      </c>
      <c r="H562" s="24"/>
      <c r="I562" s="22" t="s">
        <v>19309</v>
      </c>
      <c r="J562" s="22" t="s">
        <v>19849</v>
      </c>
      <c r="K562" s="22" t="s">
        <v>19850</v>
      </c>
      <c r="L562" s="22"/>
      <c r="M562" s="22"/>
      <c r="N562" s="25" t="str">
        <f>HYPERLINK("http://slimages.macys.com/is/image/MCY/19965819 ")</f>
        <v xml:space="preserve">http://slimages.macys.com/is/image/MCY/19965819 </v>
      </c>
    </row>
    <row r="563" spans="1:14" ht="24.75" x14ac:dyDescent="0.25">
      <c r="A563" s="21" t="s">
        <v>19038</v>
      </c>
      <c r="B563" s="22" t="s">
        <v>19039</v>
      </c>
      <c r="C563" s="2">
        <v>1</v>
      </c>
      <c r="D563" s="23">
        <v>7.99</v>
      </c>
      <c r="E563" s="3">
        <v>7.99</v>
      </c>
      <c r="F563" s="2" t="s">
        <v>19040</v>
      </c>
      <c r="G563" s="22" t="s">
        <v>19906</v>
      </c>
      <c r="H563" s="24" t="s">
        <v>19907</v>
      </c>
      <c r="I563" s="22" t="s">
        <v>19309</v>
      </c>
      <c r="J563" s="22" t="s">
        <v>19573</v>
      </c>
      <c r="K563" s="22" t="s">
        <v>19574</v>
      </c>
      <c r="L563" s="22"/>
      <c r="M563" s="22"/>
      <c r="N563" s="25" t="str">
        <f>HYPERLINK("http://slimages.macys.com/is/image/MCY/21209467 ")</f>
        <v xml:space="preserve">http://slimages.macys.com/is/image/MCY/21209467 </v>
      </c>
    </row>
    <row r="564" spans="1:14" ht="24.75" x14ac:dyDescent="0.25">
      <c r="A564" s="21" t="s">
        <v>19041</v>
      </c>
      <c r="B564" s="22" t="s">
        <v>19042</v>
      </c>
      <c r="C564" s="2">
        <v>1</v>
      </c>
      <c r="D564" s="23">
        <v>5.99</v>
      </c>
      <c r="E564" s="3">
        <v>5.99</v>
      </c>
      <c r="F564" s="2" t="s">
        <v>19043</v>
      </c>
      <c r="G564" s="22" t="s">
        <v>19415</v>
      </c>
      <c r="H564" s="24" t="s">
        <v>19538</v>
      </c>
      <c r="I564" s="22" t="s">
        <v>19309</v>
      </c>
      <c r="J564" s="22" t="s">
        <v>19573</v>
      </c>
      <c r="K564" s="22" t="s">
        <v>19574</v>
      </c>
      <c r="L564" s="22"/>
      <c r="M564" s="22"/>
      <c r="N564" s="25" t="str">
        <f>HYPERLINK("http://slimages.macys.com/is/image/MCY/21209612 ")</f>
        <v xml:space="preserve">http://slimages.macys.com/is/image/MCY/21209612 </v>
      </c>
    </row>
    <row r="565" spans="1:14" ht="24.75" x14ac:dyDescent="0.25">
      <c r="A565" s="21" t="s">
        <v>19044</v>
      </c>
      <c r="B565" s="22" t="s">
        <v>19045</v>
      </c>
      <c r="C565" s="2">
        <v>2</v>
      </c>
      <c r="D565" s="23">
        <v>5.99</v>
      </c>
      <c r="E565" s="3">
        <v>11.98</v>
      </c>
      <c r="F565" s="2" t="s">
        <v>19043</v>
      </c>
      <c r="G565" s="22" t="s">
        <v>19415</v>
      </c>
      <c r="H565" s="24" t="s">
        <v>19384</v>
      </c>
      <c r="I565" s="22" t="s">
        <v>19309</v>
      </c>
      <c r="J565" s="22" t="s">
        <v>19573</v>
      </c>
      <c r="K565" s="22" t="s">
        <v>19574</v>
      </c>
      <c r="L565" s="22"/>
      <c r="M565" s="22"/>
      <c r="N565" s="25" t="str">
        <f>HYPERLINK("http://slimages.macys.com/is/image/MCY/21209612 ")</f>
        <v xml:space="preserve">http://slimages.macys.com/is/image/MCY/21209612 </v>
      </c>
    </row>
    <row r="566" spans="1:14" ht="24.75" x14ac:dyDescent="0.25">
      <c r="A566" s="21" t="s">
        <v>19046</v>
      </c>
      <c r="B566" s="22" t="s">
        <v>19047</v>
      </c>
      <c r="C566" s="2">
        <v>1</v>
      </c>
      <c r="D566" s="23">
        <v>5.99</v>
      </c>
      <c r="E566" s="3">
        <v>5.99</v>
      </c>
      <c r="F566" s="2" t="s">
        <v>19048</v>
      </c>
      <c r="G566" s="22" t="s">
        <v>19467</v>
      </c>
      <c r="H566" s="24" t="s">
        <v>19324</v>
      </c>
      <c r="I566" s="22" t="s">
        <v>19309</v>
      </c>
      <c r="J566" s="22" t="s">
        <v>19573</v>
      </c>
      <c r="K566" s="22" t="s">
        <v>19574</v>
      </c>
      <c r="L566" s="22"/>
      <c r="M566" s="22"/>
      <c r="N566" s="25" t="str">
        <f>HYPERLINK("http://slimages.macys.com/is/image/MCY/1586078 ")</f>
        <v xml:space="preserve">http://slimages.macys.com/is/image/MCY/1586078 </v>
      </c>
    </row>
    <row r="567" spans="1:14" ht="24.75" x14ac:dyDescent="0.25">
      <c r="A567" s="21" t="s">
        <v>19049</v>
      </c>
      <c r="B567" s="22" t="s">
        <v>19050</v>
      </c>
      <c r="C567" s="2">
        <v>1</v>
      </c>
      <c r="D567" s="23">
        <v>7.99</v>
      </c>
      <c r="E567" s="3">
        <v>7.99</v>
      </c>
      <c r="F567" s="2" t="s">
        <v>19051</v>
      </c>
      <c r="G567" s="22" t="s">
        <v>18821</v>
      </c>
      <c r="H567" s="24" t="s">
        <v>20089</v>
      </c>
      <c r="I567" s="22" t="s">
        <v>19309</v>
      </c>
      <c r="J567" s="22" t="s">
        <v>19573</v>
      </c>
      <c r="K567" s="22" t="s">
        <v>19574</v>
      </c>
      <c r="L567" s="22"/>
      <c r="M567" s="22"/>
      <c r="N567" s="25" t="str">
        <f>HYPERLINK("http://slimages.macys.com/is/image/MCY/21905243 ")</f>
        <v xml:space="preserve">http://slimages.macys.com/is/image/MCY/21905243 </v>
      </c>
    </row>
    <row r="568" spans="1:14" ht="24.75" x14ac:dyDescent="0.25">
      <c r="A568" s="21" t="s">
        <v>19052</v>
      </c>
      <c r="B568" s="22" t="s">
        <v>19053</v>
      </c>
      <c r="C568" s="2">
        <v>1</v>
      </c>
      <c r="D568" s="23">
        <v>7.99</v>
      </c>
      <c r="E568" s="3">
        <v>7.99</v>
      </c>
      <c r="F568" s="2" t="s">
        <v>19054</v>
      </c>
      <c r="G568" s="22" t="s">
        <v>19415</v>
      </c>
      <c r="H568" s="24" t="s">
        <v>19907</v>
      </c>
      <c r="I568" s="22" t="s">
        <v>19309</v>
      </c>
      <c r="J568" s="22" t="s">
        <v>19573</v>
      </c>
      <c r="K568" s="22" t="s">
        <v>19574</v>
      </c>
      <c r="L568" s="22"/>
      <c r="M568" s="22"/>
      <c r="N568" s="25" t="str">
        <f>HYPERLINK("http://slimages.macys.com/is/image/MCY/1594363 ")</f>
        <v xml:space="preserve">http://slimages.macys.com/is/image/MCY/1594363 </v>
      </c>
    </row>
    <row r="569" spans="1:14" ht="24.75" x14ac:dyDescent="0.25">
      <c r="A569" s="21" t="s">
        <v>19055</v>
      </c>
      <c r="B569" s="22" t="s">
        <v>19056</v>
      </c>
      <c r="C569" s="2">
        <v>1</v>
      </c>
      <c r="D569" s="23">
        <v>6.99</v>
      </c>
      <c r="E569" s="3">
        <v>6.99</v>
      </c>
      <c r="F569" s="2" t="s">
        <v>19057</v>
      </c>
      <c r="G569" s="22" t="s">
        <v>19674</v>
      </c>
      <c r="H569" s="24" t="s">
        <v>20089</v>
      </c>
      <c r="I569" s="22" t="s">
        <v>19309</v>
      </c>
      <c r="J569" s="22" t="s">
        <v>19908</v>
      </c>
      <c r="K569" s="22" t="s">
        <v>19354</v>
      </c>
      <c r="L569" s="22"/>
      <c r="M569" s="22"/>
      <c r="N569" s="25" t="str">
        <f>HYPERLINK("http://slimages.macys.com/is/image/MCY/20737470 ")</f>
        <v xml:space="preserve">http://slimages.macys.com/is/image/MCY/20737470 </v>
      </c>
    </row>
    <row r="570" spans="1:14" ht="24.75" x14ac:dyDescent="0.25">
      <c r="A570" s="21" t="s">
        <v>19058</v>
      </c>
      <c r="B570" s="22" t="s">
        <v>19059</v>
      </c>
      <c r="C570" s="2">
        <v>2</v>
      </c>
      <c r="D570" s="23">
        <v>7.99</v>
      </c>
      <c r="E570" s="3">
        <v>15.98</v>
      </c>
      <c r="F570" s="2" t="s">
        <v>19060</v>
      </c>
      <c r="G570" s="22" t="s">
        <v>19674</v>
      </c>
      <c r="H570" s="24" t="s">
        <v>20135</v>
      </c>
      <c r="I570" s="22" t="s">
        <v>19309</v>
      </c>
      <c r="J570" s="22" t="s">
        <v>19573</v>
      </c>
      <c r="K570" s="22" t="s">
        <v>19574</v>
      </c>
      <c r="L570" s="22"/>
      <c r="M570" s="22"/>
      <c r="N570" s="25" t="str">
        <f>HYPERLINK("http://slimages.macys.com/is/image/MCY/1522095 ")</f>
        <v xml:space="preserve">http://slimages.macys.com/is/image/MCY/1522095 </v>
      </c>
    </row>
    <row r="571" spans="1:14" ht="24.75" x14ac:dyDescent="0.25">
      <c r="A571" s="21" t="s">
        <v>19061</v>
      </c>
      <c r="B571" s="22" t="s">
        <v>19062</v>
      </c>
      <c r="C571" s="2">
        <v>2</v>
      </c>
      <c r="D571" s="23">
        <v>7.99</v>
      </c>
      <c r="E571" s="3">
        <v>15.98</v>
      </c>
      <c r="F571" s="2" t="s">
        <v>19060</v>
      </c>
      <c r="G571" s="22" t="s">
        <v>19674</v>
      </c>
      <c r="H571" s="24" t="s">
        <v>19907</v>
      </c>
      <c r="I571" s="22" t="s">
        <v>19309</v>
      </c>
      <c r="J571" s="22" t="s">
        <v>19573</v>
      </c>
      <c r="K571" s="22" t="s">
        <v>19574</v>
      </c>
      <c r="L571" s="22"/>
      <c r="M571" s="22"/>
      <c r="N571" s="25" t="str">
        <f>HYPERLINK("http://slimages.macys.com/is/image/MCY/1522095 ")</f>
        <v xml:space="preserve">http://slimages.macys.com/is/image/MCY/1522095 </v>
      </c>
    </row>
    <row r="572" spans="1:14" ht="24.75" x14ac:dyDescent="0.25">
      <c r="A572" s="21" t="s">
        <v>19063</v>
      </c>
      <c r="B572" s="22" t="s">
        <v>19064</v>
      </c>
      <c r="C572" s="2">
        <v>2</v>
      </c>
      <c r="D572" s="23">
        <v>5.99</v>
      </c>
      <c r="E572" s="3">
        <v>11.98</v>
      </c>
      <c r="F572" s="2" t="s">
        <v>19065</v>
      </c>
      <c r="G572" s="22" t="s">
        <v>19618</v>
      </c>
      <c r="H572" s="24" t="s">
        <v>19538</v>
      </c>
      <c r="I572" s="22" t="s">
        <v>19309</v>
      </c>
      <c r="J572" s="22" t="s">
        <v>19573</v>
      </c>
      <c r="K572" s="22" t="s">
        <v>19574</v>
      </c>
      <c r="L572" s="22"/>
      <c r="M572" s="22"/>
      <c r="N572" s="25" t="str">
        <f>HYPERLINK("http://slimages.macys.com/is/image/MCY/1554870 ")</f>
        <v xml:space="preserve">http://slimages.macys.com/is/image/MCY/1554870 </v>
      </c>
    </row>
    <row r="573" spans="1:14" ht="24.75" x14ac:dyDescent="0.25">
      <c r="A573" s="21" t="s">
        <v>19066</v>
      </c>
      <c r="B573" s="22" t="s">
        <v>19067</v>
      </c>
      <c r="C573" s="2">
        <v>1</v>
      </c>
      <c r="D573" s="23">
        <v>5.99</v>
      </c>
      <c r="E573" s="3">
        <v>5.99</v>
      </c>
      <c r="F573" s="2" t="s">
        <v>19065</v>
      </c>
      <c r="G573" s="22" t="s">
        <v>19618</v>
      </c>
      <c r="H573" s="24" t="s">
        <v>19324</v>
      </c>
      <c r="I573" s="22" t="s">
        <v>19309</v>
      </c>
      <c r="J573" s="22" t="s">
        <v>19573</v>
      </c>
      <c r="K573" s="22" t="s">
        <v>19574</v>
      </c>
      <c r="L573" s="22"/>
      <c r="M573" s="22"/>
      <c r="N573" s="25" t="str">
        <f>HYPERLINK("http://slimages.macys.com/is/image/MCY/1520629 ")</f>
        <v xml:space="preserve">http://slimages.macys.com/is/image/MCY/1520629 </v>
      </c>
    </row>
    <row r="574" spans="1:14" ht="24.75" x14ac:dyDescent="0.25">
      <c r="A574" s="21" t="s">
        <v>19068</v>
      </c>
      <c r="B574" s="22" t="s">
        <v>19069</v>
      </c>
      <c r="C574" s="2">
        <v>1</v>
      </c>
      <c r="D574" s="23">
        <v>5.99</v>
      </c>
      <c r="E574" s="3">
        <v>5.99</v>
      </c>
      <c r="F574" s="2" t="s">
        <v>19065</v>
      </c>
      <c r="G574" s="22" t="s">
        <v>19618</v>
      </c>
      <c r="H574" s="24" t="s">
        <v>19384</v>
      </c>
      <c r="I574" s="22" t="s">
        <v>19309</v>
      </c>
      <c r="J574" s="22" t="s">
        <v>19573</v>
      </c>
      <c r="K574" s="22" t="s">
        <v>19574</v>
      </c>
      <c r="L574" s="22"/>
      <c r="M574" s="22"/>
      <c r="N574" s="25" t="str">
        <f>HYPERLINK("http://slimages.macys.com/is/image/MCY/1554870 ")</f>
        <v xml:space="preserve">http://slimages.macys.com/is/image/MCY/1554870 </v>
      </c>
    </row>
    <row r="575" spans="1:14" ht="24.75" x14ac:dyDescent="0.25">
      <c r="A575" s="21" t="s">
        <v>19070</v>
      </c>
      <c r="B575" s="22" t="s">
        <v>19071</v>
      </c>
      <c r="C575" s="2">
        <v>2</v>
      </c>
      <c r="D575" s="23">
        <v>6.99</v>
      </c>
      <c r="E575" s="3">
        <v>13.98</v>
      </c>
      <c r="F575" s="2" t="s">
        <v>19072</v>
      </c>
      <c r="G575" s="22" t="s">
        <v>19431</v>
      </c>
      <c r="H575" s="24" t="s">
        <v>19352</v>
      </c>
      <c r="I575" s="22" t="s">
        <v>19309</v>
      </c>
      <c r="J575" s="22" t="s">
        <v>19353</v>
      </c>
      <c r="K575" s="22" t="s">
        <v>19354</v>
      </c>
      <c r="L575" s="22"/>
      <c r="M575" s="22"/>
      <c r="N575" s="25" t="str">
        <f>HYPERLINK("http://slimages.macys.com/is/image/MCY/20708621 ")</f>
        <v xml:space="preserve">http://slimages.macys.com/is/image/MCY/20708621 </v>
      </c>
    </row>
    <row r="576" spans="1:14" ht="24.75" x14ac:dyDescent="0.25">
      <c r="A576" s="21" t="s">
        <v>19073</v>
      </c>
      <c r="B576" s="22" t="s">
        <v>19074</v>
      </c>
      <c r="C576" s="2">
        <v>1</v>
      </c>
      <c r="D576" s="23">
        <v>5.99</v>
      </c>
      <c r="E576" s="3">
        <v>5.99</v>
      </c>
      <c r="F576" s="2" t="s">
        <v>19065</v>
      </c>
      <c r="G576" s="22" t="s">
        <v>19618</v>
      </c>
      <c r="H576" s="24" t="s">
        <v>19416</v>
      </c>
      <c r="I576" s="22" t="s">
        <v>19309</v>
      </c>
      <c r="J576" s="22" t="s">
        <v>19573</v>
      </c>
      <c r="K576" s="22" t="s">
        <v>19574</v>
      </c>
      <c r="L576" s="22"/>
      <c r="M576" s="22"/>
      <c r="N576" s="25" t="str">
        <f>HYPERLINK("http://slimages.macys.com/is/image/MCY/1554870 ")</f>
        <v xml:space="preserve">http://slimages.macys.com/is/image/MCY/1554870 </v>
      </c>
    </row>
    <row r="577" spans="1:14" ht="24.75" x14ac:dyDescent="0.25">
      <c r="A577" s="21" t="s">
        <v>19075</v>
      </c>
      <c r="B577" s="22" t="s">
        <v>19076</v>
      </c>
      <c r="C577" s="2">
        <v>1</v>
      </c>
      <c r="D577" s="23">
        <v>6.99</v>
      </c>
      <c r="E577" s="3">
        <v>6.99</v>
      </c>
      <c r="F577" s="2" t="s">
        <v>19072</v>
      </c>
      <c r="G577" s="22" t="s">
        <v>19431</v>
      </c>
      <c r="H577" s="24" t="s">
        <v>19339</v>
      </c>
      <c r="I577" s="22" t="s">
        <v>19309</v>
      </c>
      <c r="J577" s="22" t="s">
        <v>19353</v>
      </c>
      <c r="K577" s="22" t="s">
        <v>19354</v>
      </c>
      <c r="L577" s="22"/>
      <c r="M577" s="22"/>
      <c r="N577" s="25" t="str">
        <f>HYPERLINK("http://slimages.macys.com/is/image/MCY/20737633 ")</f>
        <v xml:space="preserve">http://slimages.macys.com/is/image/MCY/20737633 </v>
      </c>
    </row>
    <row r="578" spans="1:14" ht="24.75" x14ac:dyDescent="0.25">
      <c r="A578" s="21" t="s">
        <v>19077</v>
      </c>
      <c r="B578" s="22" t="s">
        <v>19078</v>
      </c>
      <c r="C578" s="2">
        <v>1</v>
      </c>
      <c r="D578" s="23">
        <v>5.99</v>
      </c>
      <c r="E578" s="3">
        <v>5.99</v>
      </c>
      <c r="F578" s="2" t="s">
        <v>19065</v>
      </c>
      <c r="G578" s="22" t="s">
        <v>19618</v>
      </c>
      <c r="H578" s="24" t="s">
        <v>19330</v>
      </c>
      <c r="I578" s="22" t="s">
        <v>19309</v>
      </c>
      <c r="J578" s="22" t="s">
        <v>19573</v>
      </c>
      <c r="K578" s="22" t="s">
        <v>19574</v>
      </c>
      <c r="L578" s="22"/>
      <c r="M578" s="22"/>
      <c r="N578" s="25" t="str">
        <f>HYPERLINK("http://slimages.macys.com/is/image/MCY/1554870 ")</f>
        <v xml:space="preserve">http://slimages.macys.com/is/image/MCY/1554870 </v>
      </c>
    </row>
    <row r="579" spans="1:14" ht="24.75" x14ac:dyDescent="0.25">
      <c r="A579" s="21" t="s">
        <v>19079</v>
      </c>
      <c r="B579" s="22" t="s">
        <v>19080</v>
      </c>
      <c r="C579" s="2">
        <v>1</v>
      </c>
      <c r="D579" s="23">
        <v>7.99</v>
      </c>
      <c r="E579" s="3">
        <v>7.99</v>
      </c>
      <c r="F579" s="2" t="s">
        <v>19081</v>
      </c>
      <c r="G579" s="22" t="s">
        <v>19351</v>
      </c>
      <c r="H579" s="24" t="s">
        <v>20089</v>
      </c>
      <c r="I579" s="22" t="s">
        <v>19309</v>
      </c>
      <c r="J579" s="22" t="s">
        <v>19573</v>
      </c>
      <c r="K579" s="22" t="s">
        <v>19574</v>
      </c>
      <c r="L579" s="22"/>
      <c r="M579" s="22"/>
      <c r="N579" s="25" t="str">
        <f>HYPERLINK("http://slimages.macys.com/is/image/MCY/20736374 ")</f>
        <v xml:space="preserve">http://slimages.macys.com/is/image/MCY/20736374 </v>
      </c>
    </row>
    <row r="580" spans="1:14" ht="24.75" x14ac:dyDescent="0.25">
      <c r="A580" s="21" t="s">
        <v>19082</v>
      </c>
      <c r="B580" s="22" t="s">
        <v>19083</v>
      </c>
      <c r="C580" s="2">
        <v>1</v>
      </c>
      <c r="D580" s="23">
        <v>5.99</v>
      </c>
      <c r="E580" s="3">
        <v>5.99</v>
      </c>
      <c r="F580" s="2" t="s">
        <v>19084</v>
      </c>
      <c r="G580" s="22" t="s">
        <v>19518</v>
      </c>
      <c r="H580" s="24" t="s">
        <v>19384</v>
      </c>
      <c r="I580" s="22" t="s">
        <v>19309</v>
      </c>
      <c r="J580" s="22" t="s">
        <v>19573</v>
      </c>
      <c r="K580" s="22" t="s">
        <v>19574</v>
      </c>
      <c r="L580" s="22"/>
      <c r="M580" s="22"/>
      <c r="N580" s="25" t="str">
        <f>HYPERLINK("http://slimages.macys.com/is/image/MCY/21209585 ")</f>
        <v xml:space="preserve">http://slimages.macys.com/is/image/MCY/21209585 </v>
      </c>
    </row>
    <row r="581" spans="1:14" ht="24.75" x14ac:dyDescent="0.25">
      <c r="A581" s="21" t="s">
        <v>19085</v>
      </c>
      <c r="B581" s="22" t="s">
        <v>19086</v>
      </c>
      <c r="C581" s="2">
        <v>1</v>
      </c>
      <c r="D581" s="23">
        <v>5.99</v>
      </c>
      <c r="E581" s="3">
        <v>5.99</v>
      </c>
      <c r="F581" s="2" t="s">
        <v>19087</v>
      </c>
      <c r="G581" s="22" t="s">
        <v>19415</v>
      </c>
      <c r="H581" s="24" t="s">
        <v>19330</v>
      </c>
      <c r="I581" s="22" t="s">
        <v>19309</v>
      </c>
      <c r="J581" s="22" t="s">
        <v>19573</v>
      </c>
      <c r="K581" s="22" t="s">
        <v>19574</v>
      </c>
      <c r="L581" s="22"/>
      <c r="M581" s="22"/>
      <c r="N581" s="25" t="str">
        <f>HYPERLINK("http://slimages.macys.com/is/image/MCY/21209585 ")</f>
        <v xml:space="preserve">http://slimages.macys.com/is/image/MCY/21209585 </v>
      </c>
    </row>
    <row r="582" spans="1:14" ht="24.75" x14ac:dyDescent="0.25">
      <c r="A582" s="21" t="s">
        <v>19088</v>
      </c>
      <c r="B582" s="22" t="s">
        <v>19089</v>
      </c>
      <c r="C582" s="2">
        <v>1</v>
      </c>
      <c r="D582" s="23">
        <v>5.99</v>
      </c>
      <c r="E582" s="3">
        <v>5.99</v>
      </c>
      <c r="F582" s="2" t="s">
        <v>19090</v>
      </c>
      <c r="G582" s="22" t="s">
        <v>19618</v>
      </c>
      <c r="H582" s="24" t="s">
        <v>19538</v>
      </c>
      <c r="I582" s="22" t="s">
        <v>19309</v>
      </c>
      <c r="J582" s="22" t="s">
        <v>19573</v>
      </c>
      <c r="K582" s="22" t="s">
        <v>19574</v>
      </c>
      <c r="L582" s="22"/>
      <c r="M582" s="22"/>
      <c r="N582" s="25" t="str">
        <f>HYPERLINK("http://slimages.macys.com/is/image/MCY/20760078 ")</f>
        <v xml:space="preserve">http://slimages.macys.com/is/image/MCY/20760078 </v>
      </c>
    </row>
    <row r="583" spans="1:14" ht="24.75" x14ac:dyDescent="0.25">
      <c r="A583" s="21" t="s">
        <v>19091</v>
      </c>
      <c r="B583" s="22" t="s">
        <v>19092</v>
      </c>
      <c r="C583" s="2">
        <v>1</v>
      </c>
      <c r="D583" s="23">
        <v>7.99</v>
      </c>
      <c r="E583" s="3">
        <v>7.99</v>
      </c>
      <c r="F583" s="2" t="s">
        <v>19093</v>
      </c>
      <c r="G583" s="22" t="s">
        <v>19513</v>
      </c>
      <c r="H583" s="24" t="s">
        <v>20089</v>
      </c>
      <c r="I583" s="22" t="s">
        <v>19309</v>
      </c>
      <c r="J583" s="22" t="s">
        <v>19573</v>
      </c>
      <c r="K583" s="22" t="s">
        <v>19574</v>
      </c>
      <c r="L583" s="22"/>
      <c r="M583" s="22"/>
      <c r="N583" s="25" t="str">
        <f>HYPERLINK("http://slimages.macys.com/is/image/MCY/19507901 ")</f>
        <v xml:space="preserve">http://slimages.macys.com/is/image/MCY/19507901 </v>
      </c>
    </row>
    <row r="584" spans="1:14" x14ac:dyDescent="0.25">
      <c r="A584" s="21" t="s">
        <v>19094</v>
      </c>
      <c r="B584" s="22" t="s">
        <v>19095</v>
      </c>
      <c r="C584" s="2">
        <v>3</v>
      </c>
      <c r="D584" s="23">
        <v>5.99</v>
      </c>
      <c r="E584" s="3">
        <v>17.97</v>
      </c>
      <c r="F584" s="2" t="s">
        <v>19096</v>
      </c>
      <c r="G584" s="22" t="s">
        <v>19513</v>
      </c>
      <c r="H584" s="24" t="s">
        <v>19542</v>
      </c>
      <c r="I584" s="22" t="s">
        <v>19309</v>
      </c>
      <c r="J584" s="22" t="s">
        <v>19514</v>
      </c>
      <c r="K584" s="22" t="s">
        <v>18514</v>
      </c>
      <c r="L584" s="22" t="s">
        <v>19319</v>
      </c>
      <c r="M584" s="22" t="s">
        <v>19435</v>
      </c>
      <c r="N584" s="25" t="str">
        <f>HYPERLINK("http://slimages.macys.com/is/image/MCY/9337988 ")</f>
        <v xml:space="preserve">http://slimages.macys.com/is/image/MCY/9337988 </v>
      </c>
    </row>
    <row r="585" spans="1:14" x14ac:dyDescent="0.25">
      <c r="A585" s="21" t="s">
        <v>19097</v>
      </c>
      <c r="B585" s="22" t="s">
        <v>19098</v>
      </c>
      <c r="C585" s="2">
        <v>1</v>
      </c>
      <c r="D585" s="23">
        <v>5.99</v>
      </c>
      <c r="E585" s="3">
        <v>5.99</v>
      </c>
      <c r="F585" s="2" t="s">
        <v>19096</v>
      </c>
      <c r="G585" s="22" t="s">
        <v>19513</v>
      </c>
      <c r="H585" s="24" t="s">
        <v>19432</v>
      </c>
      <c r="I585" s="22" t="s">
        <v>19309</v>
      </c>
      <c r="J585" s="22" t="s">
        <v>19514</v>
      </c>
      <c r="K585" s="22" t="s">
        <v>18514</v>
      </c>
      <c r="L585" s="22" t="s">
        <v>19319</v>
      </c>
      <c r="M585" s="22" t="s">
        <v>19435</v>
      </c>
      <c r="N585" s="25" t="str">
        <f>HYPERLINK("http://slimages.macys.com/is/image/MCY/9337988 ")</f>
        <v xml:space="preserve">http://slimages.macys.com/is/image/MCY/9337988 </v>
      </c>
    </row>
    <row r="586" spans="1:14" ht="24.75" x14ac:dyDescent="0.25">
      <c r="A586" s="21" t="s">
        <v>19099</v>
      </c>
      <c r="B586" s="22" t="s">
        <v>19100</v>
      </c>
      <c r="C586" s="2">
        <v>1</v>
      </c>
      <c r="D586" s="23">
        <v>6.99</v>
      </c>
      <c r="E586" s="3">
        <v>6.99</v>
      </c>
      <c r="F586" s="2" t="s">
        <v>19101</v>
      </c>
      <c r="G586" s="22" t="s">
        <v>19415</v>
      </c>
      <c r="H586" s="24" t="s">
        <v>19384</v>
      </c>
      <c r="I586" s="22" t="s">
        <v>19309</v>
      </c>
      <c r="J586" s="22" t="s">
        <v>19573</v>
      </c>
      <c r="K586" s="22" t="s">
        <v>19574</v>
      </c>
      <c r="L586" s="22"/>
      <c r="M586" s="22"/>
      <c r="N586" s="25" t="str">
        <f>HYPERLINK("http://slimages.macys.com/is/image/MCY/1586067 ")</f>
        <v xml:space="preserve">http://slimages.macys.com/is/image/MCY/1586067 </v>
      </c>
    </row>
    <row r="587" spans="1:14" ht="24.75" x14ac:dyDescent="0.25">
      <c r="A587" s="21" t="s">
        <v>19102</v>
      </c>
      <c r="B587" s="22" t="s">
        <v>19103</v>
      </c>
      <c r="C587" s="2">
        <v>1</v>
      </c>
      <c r="D587" s="23">
        <v>6.99</v>
      </c>
      <c r="E587" s="3">
        <v>6.99</v>
      </c>
      <c r="F587" s="2" t="s">
        <v>19104</v>
      </c>
      <c r="G587" s="22" t="s">
        <v>19351</v>
      </c>
      <c r="H587" s="24" t="s">
        <v>20135</v>
      </c>
      <c r="I587" s="22" t="s">
        <v>19309</v>
      </c>
      <c r="J587" s="22" t="s">
        <v>19908</v>
      </c>
      <c r="K587" s="22" t="s">
        <v>19354</v>
      </c>
      <c r="L587" s="22"/>
      <c r="M587" s="22"/>
      <c r="N587" s="25" t="str">
        <f>HYPERLINK("http://slimages.macys.com/is/image/MCY/20708617 ")</f>
        <v xml:space="preserve">http://slimages.macys.com/is/image/MCY/20708617 </v>
      </c>
    </row>
    <row r="588" spans="1:14" ht="24.75" x14ac:dyDescent="0.25">
      <c r="A588" s="21" t="s">
        <v>19105</v>
      </c>
      <c r="B588" s="22" t="s">
        <v>19106</v>
      </c>
      <c r="C588" s="2">
        <v>1</v>
      </c>
      <c r="D588" s="23">
        <v>6.99</v>
      </c>
      <c r="E588" s="3">
        <v>6.99</v>
      </c>
      <c r="F588" s="2" t="s">
        <v>19104</v>
      </c>
      <c r="G588" s="22" t="s">
        <v>19351</v>
      </c>
      <c r="H588" s="24" t="s">
        <v>19361</v>
      </c>
      <c r="I588" s="22" t="s">
        <v>19309</v>
      </c>
      <c r="J588" s="22" t="s">
        <v>19908</v>
      </c>
      <c r="K588" s="22" t="s">
        <v>19354</v>
      </c>
      <c r="L588" s="22"/>
      <c r="M588" s="22"/>
      <c r="N588" s="25" t="str">
        <f>HYPERLINK("http://slimages.macys.com/is/image/MCY/20708617 ")</f>
        <v xml:space="preserve">http://slimages.macys.com/is/image/MCY/20708617 </v>
      </c>
    </row>
    <row r="589" spans="1:14" ht="24.75" x14ac:dyDescent="0.25">
      <c r="A589" s="21" t="s">
        <v>19107</v>
      </c>
      <c r="B589" s="22" t="s">
        <v>19108</v>
      </c>
      <c r="C589" s="2">
        <v>1</v>
      </c>
      <c r="D589" s="23">
        <v>5.99</v>
      </c>
      <c r="E589" s="3">
        <v>5.99</v>
      </c>
      <c r="F589" s="2" t="s">
        <v>19109</v>
      </c>
      <c r="G589" s="22" t="s">
        <v>19670</v>
      </c>
      <c r="H589" s="24" t="s">
        <v>19384</v>
      </c>
      <c r="I589" s="22" t="s">
        <v>19309</v>
      </c>
      <c r="J589" s="22" t="s">
        <v>19573</v>
      </c>
      <c r="K589" s="22" t="s">
        <v>19574</v>
      </c>
      <c r="L589" s="22"/>
      <c r="M589" s="22"/>
      <c r="N589" s="25" t="str">
        <f>HYPERLINK("http://slimages.macys.com/is/image/MCY/1734374 ")</f>
        <v xml:space="preserve">http://slimages.macys.com/is/image/MCY/1734374 </v>
      </c>
    </row>
    <row r="590" spans="1:14" ht="24.75" x14ac:dyDescent="0.25">
      <c r="A590" s="21" t="s">
        <v>19110</v>
      </c>
      <c r="B590" s="22" t="s">
        <v>19111</v>
      </c>
      <c r="C590" s="2">
        <v>1</v>
      </c>
      <c r="D590" s="23">
        <v>5.99</v>
      </c>
      <c r="E590" s="3">
        <v>5.99</v>
      </c>
      <c r="F590" s="2" t="s">
        <v>19109</v>
      </c>
      <c r="G590" s="22" t="s">
        <v>19674</v>
      </c>
      <c r="H590" s="24" t="s">
        <v>19538</v>
      </c>
      <c r="I590" s="22" t="s">
        <v>19309</v>
      </c>
      <c r="J590" s="22" t="s">
        <v>19573</v>
      </c>
      <c r="K590" s="22" t="s">
        <v>19574</v>
      </c>
      <c r="L590" s="22"/>
      <c r="M590" s="22"/>
      <c r="N590" s="25" t="str">
        <f>HYPERLINK("http://slimages.macys.com/is/image/MCY/1734374 ")</f>
        <v xml:space="preserve">http://slimages.macys.com/is/image/MCY/1734374 </v>
      </c>
    </row>
    <row r="591" spans="1:14" ht="24.75" x14ac:dyDescent="0.25">
      <c r="A591" s="21" t="s">
        <v>19112</v>
      </c>
      <c r="B591" s="22" t="s">
        <v>19113</v>
      </c>
      <c r="C591" s="2">
        <v>2</v>
      </c>
      <c r="D591" s="23">
        <v>5.99</v>
      </c>
      <c r="E591" s="3">
        <v>11.98</v>
      </c>
      <c r="F591" s="2" t="s">
        <v>19109</v>
      </c>
      <c r="G591" s="22" t="s">
        <v>19670</v>
      </c>
      <c r="H591" s="24" t="s">
        <v>19324</v>
      </c>
      <c r="I591" s="22" t="s">
        <v>19309</v>
      </c>
      <c r="J591" s="22" t="s">
        <v>19573</v>
      </c>
      <c r="K591" s="22" t="s">
        <v>19574</v>
      </c>
      <c r="L591" s="22"/>
      <c r="M591" s="22"/>
      <c r="N591" s="25" t="str">
        <f>HYPERLINK("http://slimages.macys.com/is/image/MCY/21209381 ")</f>
        <v xml:space="preserve">http://slimages.macys.com/is/image/MCY/21209381 </v>
      </c>
    </row>
    <row r="592" spans="1:14" ht="24.75" x14ac:dyDescent="0.25">
      <c r="A592" s="21" t="s">
        <v>19114</v>
      </c>
      <c r="B592" s="22" t="s">
        <v>19115</v>
      </c>
      <c r="C592" s="2">
        <v>1</v>
      </c>
      <c r="D592" s="23">
        <v>7.99</v>
      </c>
      <c r="E592" s="3">
        <v>7.99</v>
      </c>
      <c r="F592" s="2" t="s">
        <v>19116</v>
      </c>
      <c r="G592" s="22" t="s">
        <v>19670</v>
      </c>
      <c r="H592" s="24" t="s">
        <v>20089</v>
      </c>
      <c r="I592" s="22" t="s">
        <v>19309</v>
      </c>
      <c r="J592" s="22" t="s">
        <v>19573</v>
      </c>
      <c r="K592" s="22" t="s">
        <v>19574</v>
      </c>
      <c r="L592" s="22"/>
      <c r="M592" s="22"/>
      <c r="N592" s="25" t="str">
        <f>HYPERLINK("http://slimages.macys.com/is/image/MCY/1594361 ")</f>
        <v xml:space="preserve">http://slimages.macys.com/is/image/MCY/1594361 </v>
      </c>
    </row>
    <row r="593" spans="1:14" ht="24.75" x14ac:dyDescent="0.25">
      <c r="A593" s="21" t="s">
        <v>19117</v>
      </c>
      <c r="B593" s="22" t="s">
        <v>19118</v>
      </c>
      <c r="C593" s="2">
        <v>3</v>
      </c>
      <c r="D593" s="23">
        <v>5.99</v>
      </c>
      <c r="E593" s="3">
        <v>17.97</v>
      </c>
      <c r="F593" s="2" t="s">
        <v>19109</v>
      </c>
      <c r="G593" s="22" t="s">
        <v>19670</v>
      </c>
      <c r="H593" s="24" t="s">
        <v>19538</v>
      </c>
      <c r="I593" s="22" t="s">
        <v>19309</v>
      </c>
      <c r="J593" s="22" t="s">
        <v>19573</v>
      </c>
      <c r="K593" s="22" t="s">
        <v>19574</v>
      </c>
      <c r="L593" s="22"/>
      <c r="M593" s="22"/>
      <c r="N593" s="25" t="str">
        <f>HYPERLINK("http://slimages.macys.com/is/image/MCY/21209381 ")</f>
        <v xml:space="preserve">http://slimages.macys.com/is/image/MCY/21209381 </v>
      </c>
    </row>
    <row r="594" spans="1:14" ht="24.75" x14ac:dyDescent="0.25">
      <c r="A594" s="21" t="s">
        <v>19119</v>
      </c>
      <c r="B594" s="22" t="s">
        <v>19120</v>
      </c>
      <c r="C594" s="2">
        <v>2</v>
      </c>
      <c r="D594" s="23">
        <v>5.99</v>
      </c>
      <c r="E594" s="3">
        <v>11.98</v>
      </c>
      <c r="F594" s="2" t="s">
        <v>19109</v>
      </c>
      <c r="G594" s="22" t="s">
        <v>19670</v>
      </c>
      <c r="H594" s="24" t="s">
        <v>19416</v>
      </c>
      <c r="I594" s="22" t="s">
        <v>19309</v>
      </c>
      <c r="J594" s="22" t="s">
        <v>19573</v>
      </c>
      <c r="K594" s="22" t="s">
        <v>19574</v>
      </c>
      <c r="L594" s="22"/>
      <c r="M594" s="22"/>
      <c r="N594" s="25" t="str">
        <f>HYPERLINK("http://slimages.macys.com/is/image/MCY/1734374 ")</f>
        <v xml:space="preserve">http://slimages.macys.com/is/image/MCY/1734374 </v>
      </c>
    </row>
    <row r="595" spans="1:14" ht="24.75" x14ac:dyDescent="0.25">
      <c r="A595" s="21" t="s">
        <v>19121</v>
      </c>
      <c r="B595" s="22" t="s">
        <v>19122</v>
      </c>
      <c r="C595" s="2">
        <v>2</v>
      </c>
      <c r="D595" s="23">
        <v>5.99</v>
      </c>
      <c r="E595" s="3">
        <v>11.98</v>
      </c>
      <c r="F595" s="2" t="s">
        <v>19109</v>
      </c>
      <c r="G595" s="22" t="s">
        <v>19670</v>
      </c>
      <c r="H595" s="24" t="s">
        <v>19330</v>
      </c>
      <c r="I595" s="22" t="s">
        <v>19309</v>
      </c>
      <c r="J595" s="22" t="s">
        <v>19573</v>
      </c>
      <c r="K595" s="22" t="s">
        <v>19574</v>
      </c>
      <c r="L595" s="22"/>
      <c r="M595" s="22"/>
      <c r="N595" s="25" t="str">
        <f>HYPERLINK("http://slimages.macys.com/is/image/MCY/1734374 ")</f>
        <v xml:space="preserve">http://slimages.macys.com/is/image/MCY/1734374 </v>
      </c>
    </row>
    <row r="596" spans="1:14" ht="24.75" x14ac:dyDescent="0.25">
      <c r="A596" s="21" t="s">
        <v>19123</v>
      </c>
      <c r="B596" s="22" t="s">
        <v>19124</v>
      </c>
      <c r="C596" s="2">
        <v>2</v>
      </c>
      <c r="D596" s="23">
        <v>5.99</v>
      </c>
      <c r="E596" s="3">
        <v>11.98</v>
      </c>
      <c r="F596" s="2" t="s">
        <v>19109</v>
      </c>
      <c r="G596" s="22" t="s">
        <v>19674</v>
      </c>
      <c r="H596" s="24" t="s">
        <v>19416</v>
      </c>
      <c r="I596" s="22" t="s">
        <v>19309</v>
      </c>
      <c r="J596" s="22" t="s">
        <v>19573</v>
      </c>
      <c r="K596" s="22" t="s">
        <v>19574</v>
      </c>
      <c r="L596" s="22"/>
      <c r="M596" s="22"/>
      <c r="N596" s="25" t="str">
        <f>HYPERLINK("http://slimages.macys.com/is/image/MCY/1491821 ")</f>
        <v xml:space="preserve">http://slimages.macys.com/is/image/MCY/1491821 </v>
      </c>
    </row>
    <row r="597" spans="1:14" ht="24.75" x14ac:dyDescent="0.25">
      <c r="A597" s="21" t="s">
        <v>19125</v>
      </c>
      <c r="B597" s="22" t="s">
        <v>19126</v>
      </c>
      <c r="C597" s="2">
        <v>2</v>
      </c>
      <c r="D597" s="23">
        <v>5.99</v>
      </c>
      <c r="E597" s="3">
        <v>11.98</v>
      </c>
      <c r="F597" s="2" t="s">
        <v>19109</v>
      </c>
      <c r="G597" s="22" t="s">
        <v>19674</v>
      </c>
      <c r="H597" s="24" t="s">
        <v>19384</v>
      </c>
      <c r="I597" s="22" t="s">
        <v>19309</v>
      </c>
      <c r="J597" s="22" t="s">
        <v>19573</v>
      </c>
      <c r="K597" s="22" t="s">
        <v>19574</v>
      </c>
      <c r="L597" s="22"/>
      <c r="M597" s="22"/>
      <c r="N597" s="25" t="str">
        <f>HYPERLINK("http://slimages.macys.com/is/image/MCY/21209382 ")</f>
        <v xml:space="preserve">http://slimages.macys.com/is/image/MCY/21209382 </v>
      </c>
    </row>
    <row r="598" spans="1:14" ht="24.75" x14ac:dyDescent="0.25">
      <c r="A598" s="21" t="s">
        <v>19127</v>
      </c>
      <c r="B598" s="22" t="s">
        <v>19128</v>
      </c>
      <c r="C598" s="2">
        <v>1</v>
      </c>
      <c r="D598" s="23">
        <v>5.99</v>
      </c>
      <c r="E598" s="3">
        <v>5.99</v>
      </c>
      <c r="F598" s="2" t="s">
        <v>19129</v>
      </c>
      <c r="G598" s="22" t="s">
        <v>19467</v>
      </c>
      <c r="H598" s="24" t="s">
        <v>19538</v>
      </c>
      <c r="I598" s="22" t="s">
        <v>19309</v>
      </c>
      <c r="J598" s="22" t="s">
        <v>19573</v>
      </c>
      <c r="K598" s="22" t="s">
        <v>19574</v>
      </c>
      <c r="L598" s="22"/>
      <c r="M598" s="22"/>
      <c r="N598" s="25" t="str">
        <f>HYPERLINK("http://slimages.macys.com/is/image/MCY/1905756 ")</f>
        <v xml:space="preserve">http://slimages.macys.com/is/image/MCY/1905756 </v>
      </c>
    </row>
    <row r="599" spans="1:14" ht="24.75" x14ac:dyDescent="0.25">
      <c r="A599" s="21" t="s">
        <v>19130</v>
      </c>
      <c r="B599" s="22" t="s">
        <v>19131</v>
      </c>
      <c r="C599" s="2">
        <v>1</v>
      </c>
      <c r="D599" s="23">
        <v>5.99</v>
      </c>
      <c r="E599" s="3">
        <v>5.99</v>
      </c>
      <c r="F599" s="2" t="s">
        <v>19129</v>
      </c>
      <c r="G599" s="22" t="s">
        <v>19467</v>
      </c>
      <c r="H599" s="24" t="s">
        <v>19384</v>
      </c>
      <c r="I599" s="22" t="s">
        <v>19309</v>
      </c>
      <c r="J599" s="22" t="s">
        <v>19573</v>
      </c>
      <c r="K599" s="22" t="s">
        <v>19574</v>
      </c>
      <c r="L599" s="22"/>
      <c r="M599" s="22"/>
      <c r="N599" s="25" t="str">
        <f>HYPERLINK("http://slimages.macys.com/is/image/MCY/1905756 ")</f>
        <v xml:space="preserve">http://slimages.macys.com/is/image/MCY/1905756 </v>
      </c>
    </row>
    <row r="600" spans="1:14" ht="24.75" x14ac:dyDescent="0.25">
      <c r="A600" s="21" t="s">
        <v>19132</v>
      </c>
      <c r="B600" s="22" t="s">
        <v>19133</v>
      </c>
      <c r="C600" s="2">
        <v>1</v>
      </c>
      <c r="D600" s="23">
        <v>7.99</v>
      </c>
      <c r="E600" s="3">
        <v>7.99</v>
      </c>
      <c r="F600" s="2" t="s">
        <v>19134</v>
      </c>
      <c r="G600" s="22" t="s">
        <v>19674</v>
      </c>
      <c r="H600" s="24" t="s">
        <v>19770</v>
      </c>
      <c r="I600" s="22" t="s">
        <v>19309</v>
      </c>
      <c r="J600" s="22" t="s">
        <v>19573</v>
      </c>
      <c r="K600" s="22" t="s">
        <v>19574</v>
      </c>
      <c r="L600" s="22"/>
      <c r="M600" s="22"/>
      <c r="N600" s="25" t="str">
        <f>HYPERLINK("http://slimages.macys.com/is/image/MCY/1439034 ")</f>
        <v xml:space="preserve">http://slimages.macys.com/is/image/MCY/1439034 </v>
      </c>
    </row>
    <row r="601" spans="1:14" ht="24.75" x14ac:dyDescent="0.25">
      <c r="A601" s="21" t="s">
        <v>19135</v>
      </c>
      <c r="B601" s="22" t="s">
        <v>19136</v>
      </c>
      <c r="C601" s="2">
        <v>1</v>
      </c>
      <c r="D601" s="23">
        <v>6.99</v>
      </c>
      <c r="E601" s="3">
        <v>6.99</v>
      </c>
      <c r="F601" s="2" t="s">
        <v>19137</v>
      </c>
      <c r="G601" s="22" t="s">
        <v>19518</v>
      </c>
      <c r="H601" s="24" t="s">
        <v>19538</v>
      </c>
      <c r="I601" s="22" t="s">
        <v>19309</v>
      </c>
      <c r="J601" s="22" t="s">
        <v>19573</v>
      </c>
      <c r="K601" s="22" t="s">
        <v>19574</v>
      </c>
      <c r="L601" s="22"/>
      <c r="M601" s="22"/>
      <c r="N601" s="25" t="str">
        <f>HYPERLINK("http://slimages.macys.com/is/image/MCY/19737450 ")</f>
        <v xml:space="preserve">http://slimages.macys.com/is/image/MCY/19737450 </v>
      </c>
    </row>
    <row r="602" spans="1:14" ht="24.75" x14ac:dyDescent="0.25">
      <c r="A602" s="21" t="s">
        <v>19138</v>
      </c>
      <c r="B602" s="22" t="s">
        <v>19139</v>
      </c>
      <c r="C602" s="2">
        <v>1</v>
      </c>
      <c r="D602" s="23">
        <v>5.99</v>
      </c>
      <c r="E602" s="3">
        <v>5.99</v>
      </c>
      <c r="F602" s="2" t="s">
        <v>19140</v>
      </c>
      <c r="G602" s="22" t="s">
        <v>19674</v>
      </c>
      <c r="H602" s="24" t="s">
        <v>19330</v>
      </c>
      <c r="I602" s="22" t="s">
        <v>19309</v>
      </c>
      <c r="J602" s="22" t="s">
        <v>19573</v>
      </c>
      <c r="K602" s="22" t="s">
        <v>19574</v>
      </c>
      <c r="L602" s="22"/>
      <c r="M602" s="22"/>
      <c r="N602" s="25" t="str">
        <f>HYPERLINK("http://slimages.macys.com/is/image/MCY/21970109 ")</f>
        <v xml:space="preserve">http://slimages.macys.com/is/image/MCY/21970109 </v>
      </c>
    </row>
    <row r="603" spans="1:14" ht="24.75" x14ac:dyDescent="0.25">
      <c r="A603" s="21" t="s">
        <v>19141</v>
      </c>
      <c r="B603" s="22" t="s">
        <v>19142</v>
      </c>
      <c r="C603" s="2">
        <v>2</v>
      </c>
      <c r="D603" s="23">
        <v>5.99</v>
      </c>
      <c r="E603" s="3">
        <v>11.98</v>
      </c>
      <c r="F603" s="2" t="s">
        <v>19140</v>
      </c>
      <c r="G603" s="22" t="s">
        <v>19674</v>
      </c>
      <c r="H603" s="24" t="s">
        <v>19324</v>
      </c>
      <c r="I603" s="22" t="s">
        <v>19309</v>
      </c>
      <c r="J603" s="22" t="s">
        <v>19573</v>
      </c>
      <c r="K603" s="22" t="s">
        <v>19574</v>
      </c>
      <c r="L603" s="22"/>
      <c r="M603" s="22"/>
      <c r="N603" s="25" t="str">
        <f>HYPERLINK("http://slimages.macys.com/is/image/MCY/21970109 ")</f>
        <v xml:space="preserve">http://slimages.macys.com/is/image/MCY/21970109 </v>
      </c>
    </row>
    <row r="604" spans="1:14" ht="24.75" x14ac:dyDescent="0.25">
      <c r="A604" s="21" t="s">
        <v>19143</v>
      </c>
      <c r="B604" s="22" t="s">
        <v>19144</v>
      </c>
      <c r="C604" s="2">
        <v>4</v>
      </c>
      <c r="D604" s="23">
        <v>5.99</v>
      </c>
      <c r="E604" s="3">
        <v>23.96</v>
      </c>
      <c r="F604" s="2" t="s">
        <v>19145</v>
      </c>
      <c r="G604" s="22" t="s">
        <v>19618</v>
      </c>
      <c r="H604" s="24" t="s">
        <v>19538</v>
      </c>
      <c r="I604" s="22" t="s">
        <v>19309</v>
      </c>
      <c r="J604" s="22" t="s">
        <v>19573</v>
      </c>
      <c r="K604" s="22" t="s">
        <v>19574</v>
      </c>
      <c r="L604" s="22"/>
      <c r="M604" s="22"/>
      <c r="N604" s="25" t="str">
        <f>HYPERLINK("http://slimages.macys.com/is/image/MCY/21970089 ")</f>
        <v xml:space="preserve">http://slimages.macys.com/is/image/MCY/21970089 </v>
      </c>
    </row>
    <row r="605" spans="1:14" ht="24.75" x14ac:dyDescent="0.25">
      <c r="A605" s="21" t="s">
        <v>19146</v>
      </c>
      <c r="B605" s="22" t="s">
        <v>19147</v>
      </c>
      <c r="C605" s="2">
        <v>1</v>
      </c>
      <c r="D605" s="23">
        <v>6.99</v>
      </c>
      <c r="E605" s="3">
        <v>6.99</v>
      </c>
      <c r="F605" s="2" t="s">
        <v>19137</v>
      </c>
      <c r="G605" s="22" t="s">
        <v>19518</v>
      </c>
      <c r="H605" s="24" t="s">
        <v>19330</v>
      </c>
      <c r="I605" s="22" t="s">
        <v>19309</v>
      </c>
      <c r="J605" s="22" t="s">
        <v>19573</v>
      </c>
      <c r="K605" s="22" t="s">
        <v>19574</v>
      </c>
      <c r="L605" s="22"/>
      <c r="M605" s="22"/>
      <c r="N605" s="25" t="str">
        <f>HYPERLINK("http://slimages.macys.com/is/image/MCY/19737450 ")</f>
        <v xml:space="preserve">http://slimages.macys.com/is/image/MCY/19737450 </v>
      </c>
    </row>
    <row r="606" spans="1:14" ht="24.75" x14ac:dyDescent="0.25">
      <c r="A606" s="21" t="s">
        <v>19148</v>
      </c>
      <c r="B606" s="22" t="s">
        <v>19149</v>
      </c>
      <c r="C606" s="2">
        <v>1</v>
      </c>
      <c r="D606" s="23">
        <v>6.99</v>
      </c>
      <c r="E606" s="3">
        <v>6.99</v>
      </c>
      <c r="F606" s="2" t="s">
        <v>19137</v>
      </c>
      <c r="G606" s="22" t="s">
        <v>19518</v>
      </c>
      <c r="H606" s="24" t="s">
        <v>19384</v>
      </c>
      <c r="I606" s="22" t="s">
        <v>19309</v>
      </c>
      <c r="J606" s="22" t="s">
        <v>19573</v>
      </c>
      <c r="K606" s="22" t="s">
        <v>19574</v>
      </c>
      <c r="L606" s="22"/>
      <c r="M606" s="22"/>
      <c r="N606" s="25" t="str">
        <f>HYPERLINK("http://slimages.macys.com/is/image/MCY/19737450 ")</f>
        <v xml:space="preserve">http://slimages.macys.com/is/image/MCY/19737450 </v>
      </c>
    </row>
    <row r="607" spans="1:14" ht="24.75" x14ac:dyDescent="0.25">
      <c r="A607" s="21" t="s">
        <v>19150</v>
      </c>
      <c r="B607" s="22" t="s">
        <v>19151</v>
      </c>
      <c r="C607" s="2">
        <v>3</v>
      </c>
      <c r="D607" s="23">
        <v>5.99</v>
      </c>
      <c r="E607" s="3">
        <v>17.97</v>
      </c>
      <c r="F607" s="2" t="s">
        <v>19145</v>
      </c>
      <c r="G607" s="22" t="s">
        <v>19618</v>
      </c>
      <c r="H607" s="24" t="s">
        <v>19384</v>
      </c>
      <c r="I607" s="22" t="s">
        <v>19309</v>
      </c>
      <c r="J607" s="22" t="s">
        <v>19573</v>
      </c>
      <c r="K607" s="22" t="s">
        <v>19574</v>
      </c>
      <c r="L607" s="22"/>
      <c r="M607" s="22"/>
      <c r="N607" s="25" t="str">
        <f>HYPERLINK("http://slimages.macys.com/is/image/MCY/21970089 ")</f>
        <v xml:space="preserve">http://slimages.macys.com/is/image/MCY/21970089 </v>
      </c>
    </row>
    <row r="608" spans="1:14" ht="24.75" x14ac:dyDescent="0.25">
      <c r="A608" s="21" t="s">
        <v>19152</v>
      </c>
      <c r="B608" s="22" t="s">
        <v>19153</v>
      </c>
      <c r="C608" s="2">
        <v>1</v>
      </c>
      <c r="D608" s="23">
        <v>5.99</v>
      </c>
      <c r="E608" s="3">
        <v>5.99</v>
      </c>
      <c r="F608" s="2" t="s">
        <v>19140</v>
      </c>
      <c r="G608" s="22" t="s">
        <v>19674</v>
      </c>
      <c r="H608" s="24" t="s">
        <v>19538</v>
      </c>
      <c r="I608" s="22" t="s">
        <v>19309</v>
      </c>
      <c r="J608" s="22" t="s">
        <v>19573</v>
      </c>
      <c r="K608" s="22" t="s">
        <v>19574</v>
      </c>
      <c r="L608" s="22"/>
      <c r="M608" s="22"/>
      <c r="N608" s="25" t="str">
        <f>HYPERLINK("http://slimages.macys.com/is/image/MCY/21970109 ")</f>
        <v xml:space="preserve">http://slimages.macys.com/is/image/MCY/21970109 </v>
      </c>
    </row>
    <row r="609" spans="1:14" ht="24.75" x14ac:dyDescent="0.25">
      <c r="A609" s="21" t="s">
        <v>19154</v>
      </c>
      <c r="B609" s="22" t="s">
        <v>19155</v>
      </c>
      <c r="C609" s="2">
        <v>1</v>
      </c>
      <c r="D609" s="23">
        <v>7.99</v>
      </c>
      <c r="E609" s="3">
        <v>7.99</v>
      </c>
      <c r="F609" s="2" t="s">
        <v>19156</v>
      </c>
      <c r="G609" s="22" t="s">
        <v>19906</v>
      </c>
      <c r="H609" s="24" t="s">
        <v>19907</v>
      </c>
      <c r="I609" s="22" t="s">
        <v>19309</v>
      </c>
      <c r="J609" s="22" t="s">
        <v>19573</v>
      </c>
      <c r="K609" s="22" t="s">
        <v>19574</v>
      </c>
      <c r="L609" s="22"/>
      <c r="M609" s="22"/>
      <c r="N609" s="25" t="str">
        <f>HYPERLINK("http://slimages.macys.com/is/image/MCY/21209295 ")</f>
        <v xml:space="preserve">http://slimages.macys.com/is/image/MCY/21209295 </v>
      </c>
    </row>
    <row r="610" spans="1:14" ht="24.75" x14ac:dyDescent="0.25">
      <c r="A610" s="21" t="s">
        <v>19157</v>
      </c>
      <c r="B610" s="22" t="s">
        <v>19158</v>
      </c>
      <c r="C610" s="2">
        <v>1</v>
      </c>
      <c r="D610" s="23">
        <v>7.99</v>
      </c>
      <c r="E610" s="3">
        <v>7.99</v>
      </c>
      <c r="F610" s="2" t="s">
        <v>19156</v>
      </c>
      <c r="G610" s="22" t="s">
        <v>19906</v>
      </c>
      <c r="H610" s="24" t="s">
        <v>20135</v>
      </c>
      <c r="I610" s="22" t="s">
        <v>19309</v>
      </c>
      <c r="J610" s="22" t="s">
        <v>19573</v>
      </c>
      <c r="K610" s="22" t="s">
        <v>19574</v>
      </c>
      <c r="L610" s="22"/>
      <c r="M610" s="22"/>
      <c r="N610" s="25" t="str">
        <f>HYPERLINK("http://slimages.macys.com/is/image/MCY/21209295 ")</f>
        <v xml:space="preserve">http://slimages.macys.com/is/image/MCY/21209295 </v>
      </c>
    </row>
    <row r="611" spans="1:14" ht="24.75" x14ac:dyDescent="0.25">
      <c r="A611" s="21" t="s">
        <v>19159</v>
      </c>
      <c r="B611" s="22" t="s">
        <v>19160</v>
      </c>
      <c r="C611" s="2">
        <v>1</v>
      </c>
      <c r="D611" s="23">
        <v>6.99</v>
      </c>
      <c r="E611" s="3">
        <v>6.99</v>
      </c>
      <c r="F611" s="2" t="s">
        <v>19161</v>
      </c>
      <c r="G611" s="22" t="s">
        <v>19585</v>
      </c>
      <c r="H611" s="24" t="s">
        <v>20089</v>
      </c>
      <c r="I611" s="22" t="s">
        <v>19309</v>
      </c>
      <c r="J611" s="22" t="s">
        <v>19908</v>
      </c>
      <c r="K611" s="22" t="s">
        <v>19354</v>
      </c>
      <c r="L611" s="22"/>
      <c r="M611" s="22"/>
      <c r="N611" s="25" t="str">
        <f>HYPERLINK("http://slimages.macys.com/is/image/MCY/1368027 ")</f>
        <v xml:space="preserve">http://slimages.macys.com/is/image/MCY/1368027 </v>
      </c>
    </row>
    <row r="612" spans="1:14" ht="24.75" x14ac:dyDescent="0.25">
      <c r="A612" s="21" t="s">
        <v>19162</v>
      </c>
      <c r="B612" s="22" t="s">
        <v>19163</v>
      </c>
      <c r="C612" s="2">
        <v>1</v>
      </c>
      <c r="D612" s="23">
        <v>5.99</v>
      </c>
      <c r="E612" s="3">
        <v>5.99</v>
      </c>
      <c r="F612" s="2" t="s">
        <v>19164</v>
      </c>
      <c r="G612" s="22" t="s">
        <v>19351</v>
      </c>
      <c r="H612" s="24" t="s">
        <v>19416</v>
      </c>
      <c r="I612" s="22" t="s">
        <v>19309</v>
      </c>
      <c r="J612" s="22" t="s">
        <v>19573</v>
      </c>
      <c r="K612" s="22" t="s">
        <v>19574</v>
      </c>
      <c r="L612" s="22"/>
      <c r="M612" s="22"/>
      <c r="N612" s="25" t="str">
        <f>HYPERLINK("http://slimages.macys.com/is/image/MCY/21970095 ")</f>
        <v xml:space="preserve">http://slimages.macys.com/is/image/MCY/21970095 </v>
      </c>
    </row>
    <row r="613" spans="1:14" ht="24.75" x14ac:dyDescent="0.25">
      <c r="A613" s="21" t="s">
        <v>19165</v>
      </c>
      <c r="B613" s="22" t="s">
        <v>19166</v>
      </c>
      <c r="C613" s="2">
        <v>1</v>
      </c>
      <c r="D613" s="23">
        <v>5.99</v>
      </c>
      <c r="E613" s="3">
        <v>5.99</v>
      </c>
      <c r="F613" s="2" t="s">
        <v>19167</v>
      </c>
      <c r="G613" s="22" t="s">
        <v>19618</v>
      </c>
      <c r="H613" s="24" t="s">
        <v>19538</v>
      </c>
      <c r="I613" s="22" t="s">
        <v>19309</v>
      </c>
      <c r="J613" s="22" t="s">
        <v>19573</v>
      </c>
      <c r="K613" s="22" t="s">
        <v>19574</v>
      </c>
      <c r="L613" s="22"/>
      <c r="M613" s="22"/>
      <c r="N613" s="25" t="str">
        <f>HYPERLINK("http://slimages.macys.com/is/image/MCY/20736377 ")</f>
        <v xml:space="preserve">http://slimages.macys.com/is/image/MCY/20736377 </v>
      </c>
    </row>
    <row r="614" spans="1:14" ht="24.75" x14ac:dyDescent="0.25">
      <c r="A614" s="21" t="s">
        <v>19168</v>
      </c>
      <c r="B614" s="22" t="s">
        <v>19169</v>
      </c>
      <c r="C614" s="2">
        <v>1</v>
      </c>
      <c r="D614" s="23">
        <v>5.99</v>
      </c>
      <c r="E614" s="3">
        <v>5.99</v>
      </c>
      <c r="F614" s="2" t="s">
        <v>19170</v>
      </c>
      <c r="G614" s="22" t="s">
        <v>19906</v>
      </c>
      <c r="H614" s="24" t="s">
        <v>19330</v>
      </c>
      <c r="I614" s="22" t="s">
        <v>19309</v>
      </c>
      <c r="J614" s="22" t="s">
        <v>19573</v>
      </c>
      <c r="K614" s="22" t="s">
        <v>19574</v>
      </c>
      <c r="L614" s="22"/>
      <c r="M614" s="22"/>
      <c r="N614" s="25" t="str">
        <f>HYPERLINK("http://slimages.macys.com/is/image/MCY/21361119 ")</f>
        <v xml:space="preserve">http://slimages.macys.com/is/image/MCY/21361119 </v>
      </c>
    </row>
    <row r="615" spans="1:14" ht="24.75" x14ac:dyDescent="0.25">
      <c r="A615" s="21" t="s">
        <v>19171</v>
      </c>
      <c r="B615" s="22" t="s">
        <v>19172</v>
      </c>
      <c r="C615" s="2">
        <v>1</v>
      </c>
      <c r="D615" s="23">
        <v>5.99</v>
      </c>
      <c r="E615" s="3">
        <v>5.99</v>
      </c>
      <c r="F615" s="2" t="s">
        <v>19173</v>
      </c>
      <c r="G615" s="22" t="s">
        <v>19351</v>
      </c>
      <c r="H615" s="24" t="s">
        <v>19384</v>
      </c>
      <c r="I615" s="22" t="s">
        <v>19309</v>
      </c>
      <c r="J615" s="22" t="s">
        <v>19573</v>
      </c>
      <c r="K615" s="22" t="s">
        <v>19574</v>
      </c>
      <c r="L615" s="22"/>
      <c r="M615" s="22"/>
      <c r="N615" s="25" t="str">
        <f>HYPERLINK("http://slimages.macys.com/is/image/MCY/20759956 ")</f>
        <v xml:space="preserve">http://slimages.macys.com/is/image/MCY/20759956 </v>
      </c>
    </row>
    <row r="616" spans="1:14" ht="24.75" x14ac:dyDescent="0.25">
      <c r="A616" s="21" t="s">
        <v>19174</v>
      </c>
      <c r="B616" s="22" t="s">
        <v>19175</v>
      </c>
      <c r="C616" s="2">
        <v>1</v>
      </c>
      <c r="D616" s="23">
        <v>5.99</v>
      </c>
      <c r="E616" s="3">
        <v>5.99</v>
      </c>
      <c r="F616" s="2" t="s">
        <v>19167</v>
      </c>
      <c r="G616" s="22" t="s">
        <v>19618</v>
      </c>
      <c r="H616" s="24" t="s">
        <v>19416</v>
      </c>
      <c r="I616" s="22" t="s">
        <v>19309</v>
      </c>
      <c r="J616" s="22" t="s">
        <v>19573</v>
      </c>
      <c r="K616" s="22" t="s">
        <v>19574</v>
      </c>
      <c r="L616" s="22"/>
      <c r="M616" s="22"/>
      <c r="N616" s="25" t="str">
        <f>HYPERLINK("http://slimages.macys.com/is/image/MCY/20736377 ")</f>
        <v xml:space="preserve">http://slimages.macys.com/is/image/MCY/20736377 </v>
      </c>
    </row>
    <row r="617" spans="1:14" ht="24.75" x14ac:dyDescent="0.25">
      <c r="A617" s="21" t="s">
        <v>19176</v>
      </c>
      <c r="B617" s="22" t="s">
        <v>19177</v>
      </c>
      <c r="C617" s="2">
        <v>1</v>
      </c>
      <c r="D617" s="23">
        <v>5.99</v>
      </c>
      <c r="E617" s="3">
        <v>5.99</v>
      </c>
      <c r="F617" s="2" t="s">
        <v>19173</v>
      </c>
      <c r="G617" s="22" t="s">
        <v>19585</v>
      </c>
      <c r="H617" s="24" t="s">
        <v>19324</v>
      </c>
      <c r="I617" s="22" t="s">
        <v>19309</v>
      </c>
      <c r="J617" s="22" t="s">
        <v>19573</v>
      </c>
      <c r="K617" s="22" t="s">
        <v>19574</v>
      </c>
      <c r="L617" s="22"/>
      <c r="M617" s="22"/>
      <c r="N617" s="25" t="str">
        <f>HYPERLINK("http://slimages.macys.com/is/image/MCY/20785378 ")</f>
        <v xml:space="preserve">http://slimages.macys.com/is/image/MCY/20785378 </v>
      </c>
    </row>
    <row r="618" spans="1:14" ht="24.75" x14ac:dyDescent="0.25">
      <c r="A618" s="21" t="s">
        <v>19178</v>
      </c>
      <c r="B618" s="22" t="s">
        <v>19179</v>
      </c>
      <c r="C618" s="2">
        <v>2</v>
      </c>
      <c r="D618" s="23">
        <v>5.99</v>
      </c>
      <c r="E618" s="3">
        <v>11.98</v>
      </c>
      <c r="F618" s="2" t="s">
        <v>19180</v>
      </c>
      <c r="G618" s="22" t="s">
        <v>19477</v>
      </c>
      <c r="H618" s="24" t="s">
        <v>19384</v>
      </c>
      <c r="I618" s="22" t="s">
        <v>19309</v>
      </c>
      <c r="J618" s="22" t="s">
        <v>19573</v>
      </c>
      <c r="K618" s="22" t="s">
        <v>19574</v>
      </c>
      <c r="L618" s="22"/>
      <c r="M618" s="22"/>
      <c r="N618" s="25" t="str">
        <f>HYPERLINK("http://slimages.macys.com/is/image/MCY/1521974 ")</f>
        <v xml:space="preserve">http://slimages.macys.com/is/image/MCY/1521974 </v>
      </c>
    </row>
    <row r="619" spans="1:14" ht="24.75" x14ac:dyDescent="0.25">
      <c r="A619" s="21" t="s">
        <v>19181</v>
      </c>
      <c r="B619" s="22" t="s">
        <v>19182</v>
      </c>
      <c r="C619" s="2">
        <v>2</v>
      </c>
      <c r="D619" s="23">
        <v>5.99</v>
      </c>
      <c r="E619" s="3">
        <v>11.98</v>
      </c>
      <c r="F619" s="2" t="s">
        <v>19180</v>
      </c>
      <c r="G619" s="22" t="s">
        <v>19477</v>
      </c>
      <c r="H619" s="24" t="s">
        <v>19416</v>
      </c>
      <c r="I619" s="22" t="s">
        <v>19309</v>
      </c>
      <c r="J619" s="22" t="s">
        <v>19573</v>
      </c>
      <c r="K619" s="22" t="s">
        <v>19574</v>
      </c>
      <c r="L619" s="22"/>
      <c r="M619" s="22"/>
      <c r="N619" s="25" t="str">
        <f>HYPERLINK("http://slimages.macys.com/is/image/MCY/1521972 ")</f>
        <v xml:space="preserve">http://slimages.macys.com/is/image/MCY/1521972 </v>
      </c>
    </row>
    <row r="620" spans="1:14" ht="24.75" x14ac:dyDescent="0.25">
      <c r="A620" s="21" t="s">
        <v>19183</v>
      </c>
      <c r="B620" s="22" t="s">
        <v>19184</v>
      </c>
      <c r="C620" s="2">
        <v>1</v>
      </c>
      <c r="D620" s="23">
        <v>5.99</v>
      </c>
      <c r="E620" s="3">
        <v>5.99</v>
      </c>
      <c r="F620" s="2" t="s">
        <v>19180</v>
      </c>
      <c r="G620" s="22" t="s">
        <v>19477</v>
      </c>
      <c r="H620" s="24" t="s">
        <v>19324</v>
      </c>
      <c r="I620" s="22" t="s">
        <v>19309</v>
      </c>
      <c r="J620" s="22" t="s">
        <v>19573</v>
      </c>
      <c r="K620" s="22" t="s">
        <v>19574</v>
      </c>
      <c r="L620" s="22"/>
      <c r="M620" s="22"/>
      <c r="N620" s="25" t="str">
        <f>HYPERLINK("http://slimages.macys.com/is/image/MCY/1521974 ")</f>
        <v xml:space="preserve">http://slimages.macys.com/is/image/MCY/1521974 </v>
      </c>
    </row>
    <row r="621" spans="1:14" ht="24.75" x14ac:dyDescent="0.25">
      <c r="A621" s="21" t="s">
        <v>19185</v>
      </c>
      <c r="B621" s="22" t="s">
        <v>19186</v>
      </c>
      <c r="C621" s="2">
        <v>1</v>
      </c>
      <c r="D621" s="23">
        <v>5.99</v>
      </c>
      <c r="E621" s="3">
        <v>5.99</v>
      </c>
      <c r="F621" s="2" t="s">
        <v>19180</v>
      </c>
      <c r="G621" s="22" t="s">
        <v>19477</v>
      </c>
      <c r="H621" s="24" t="s">
        <v>19538</v>
      </c>
      <c r="I621" s="22" t="s">
        <v>19309</v>
      </c>
      <c r="J621" s="22" t="s">
        <v>19573</v>
      </c>
      <c r="K621" s="22" t="s">
        <v>19574</v>
      </c>
      <c r="L621" s="22"/>
      <c r="M621" s="22"/>
      <c r="N621" s="25" t="str">
        <f>HYPERLINK("http://slimages.macys.com/is/image/MCY/1521974 ")</f>
        <v xml:space="preserve">http://slimages.macys.com/is/image/MCY/1521974 </v>
      </c>
    </row>
    <row r="622" spans="1:14" ht="24.75" x14ac:dyDescent="0.25">
      <c r="A622" s="21" t="s">
        <v>19187</v>
      </c>
      <c r="B622" s="22" t="s">
        <v>19188</v>
      </c>
      <c r="C622" s="2">
        <v>1</v>
      </c>
      <c r="D622" s="23">
        <v>7.99</v>
      </c>
      <c r="E622" s="3">
        <v>7.99</v>
      </c>
      <c r="F622" s="2" t="s">
        <v>19189</v>
      </c>
      <c r="G622" s="22" t="s">
        <v>19351</v>
      </c>
      <c r="H622" s="24" t="s">
        <v>19538</v>
      </c>
      <c r="I622" s="22" t="s">
        <v>19309</v>
      </c>
      <c r="J622" s="22" t="s">
        <v>19573</v>
      </c>
      <c r="K622" s="22" t="s">
        <v>19574</v>
      </c>
      <c r="L622" s="22"/>
      <c r="M622" s="22"/>
      <c r="N622" s="25" t="str">
        <f>HYPERLINK("http://slimages.macys.com/is/image/MCY/21209224 ")</f>
        <v xml:space="preserve">http://slimages.macys.com/is/image/MCY/21209224 </v>
      </c>
    </row>
    <row r="623" spans="1:14" ht="24.75" x14ac:dyDescent="0.25">
      <c r="A623" s="21" t="s">
        <v>19190</v>
      </c>
      <c r="B623" s="22" t="s">
        <v>19191</v>
      </c>
      <c r="C623" s="2">
        <v>1</v>
      </c>
      <c r="D623" s="23">
        <v>6.99</v>
      </c>
      <c r="E623" s="3">
        <v>6.99</v>
      </c>
      <c r="F623" s="2" t="s">
        <v>19192</v>
      </c>
      <c r="G623" s="22" t="s">
        <v>19315</v>
      </c>
      <c r="H623" s="24" t="s">
        <v>19330</v>
      </c>
      <c r="I623" s="22" t="s">
        <v>19309</v>
      </c>
      <c r="J623" s="22" t="s">
        <v>19573</v>
      </c>
      <c r="K623" s="22" t="s">
        <v>19574</v>
      </c>
      <c r="L623" s="22"/>
      <c r="M623" s="22"/>
      <c r="N623" s="25" t="str">
        <f>HYPERLINK("http://slimages.macys.com/is/image/MCY/1655977 ")</f>
        <v xml:space="preserve">http://slimages.macys.com/is/image/MCY/1655977 </v>
      </c>
    </row>
    <row r="624" spans="1:14" ht="24.75" x14ac:dyDescent="0.25">
      <c r="A624" s="21" t="s">
        <v>19193</v>
      </c>
      <c r="B624" s="22" t="s">
        <v>19194</v>
      </c>
      <c r="C624" s="2">
        <v>1</v>
      </c>
      <c r="D624" s="23">
        <v>5.99</v>
      </c>
      <c r="E624" s="3">
        <v>5.99</v>
      </c>
      <c r="F624" s="2" t="s">
        <v>19195</v>
      </c>
      <c r="G624" s="22" t="s">
        <v>19351</v>
      </c>
      <c r="H624" s="24" t="s">
        <v>19330</v>
      </c>
      <c r="I624" s="22" t="s">
        <v>19309</v>
      </c>
      <c r="J624" s="22" t="s">
        <v>19573</v>
      </c>
      <c r="K624" s="22" t="s">
        <v>19574</v>
      </c>
      <c r="L624" s="22"/>
      <c r="M624" s="22"/>
      <c r="N624" s="25" t="str">
        <f>HYPERLINK("http://slimages.macys.com/is/image/MCY/21905250 ")</f>
        <v xml:space="preserve">http://slimages.macys.com/is/image/MCY/21905250 </v>
      </c>
    </row>
    <row r="625" spans="1:14" ht="24.75" x14ac:dyDescent="0.25">
      <c r="A625" s="21" t="s">
        <v>19196</v>
      </c>
      <c r="B625" s="22" t="s">
        <v>19197</v>
      </c>
      <c r="C625" s="2">
        <v>1</v>
      </c>
      <c r="D625" s="23">
        <v>5.99</v>
      </c>
      <c r="E625" s="3">
        <v>5.99</v>
      </c>
      <c r="F625" s="2" t="s">
        <v>19198</v>
      </c>
      <c r="G625" s="22" t="s">
        <v>18821</v>
      </c>
      <c r="H625" s="24" t="s">
        <v>19538</v>
      </c>
      <c r="I625" s="22" t="s">
        <v>19309</v>
      </c>
      <c r="J625" s="22" t="s">
        <v>19573</v>
      </c>
      <c r="K625" s="22" t="s">
        <v>19574</v>
      </c>
      <c r="L625" s="22"/>
      <c r="M625" s="22"/>
      <c r="N625" s="25" t="str">
        <f>HYPERLINK("http://slimages.macys.com/is/image/MCY/1521972 ")</f>
        <v xml:space="preserve">http://slimages.macys.com/is/image/MCY/1521972 </v>
      </c>
    </row>
    <row r="626" spans="1:14" ht="24.75" x14ac:dyDescent="0.25">
      <c r="A626" s="21" t="s">
        <v>19199</v>
      </c>
      <c r="B626" s="22" t="s">
        <v>19200</v>
      </c>
      <c r="C626" s="2">
        <v>1</v>
      </c>
      <c r="D626" s="23">
        <v>6.99</v>
      </c>
      <c r="E626" s="3">
        <v>6.99</v>
      </c>
      <c r="F626" s="2" t="s">
        <v>19201</v>
      </c>
      <c r="G626" s="22" t="s">
        <v>19618</v>
      </c>
      <c r="H626" s="24" t="s">
        <v>19384</v>
      </c>
      <c r="I626" s="22" t="s">
        <v>19309</v>
      </c>
      <c r="J626" s="22" t="s">
        <v>19573</v>
      </c>
      <c r="K626" s="22" t="s">
        <v>19574</v>
      </c>
      <c r="L626" s="22"/>
      <c r="M626" s="22"/>
      <c r="N626" s="25" t="str">
        <f>HYPERLINK("http://slimages.macys.com/is/image/MCY/19977732 ")</f>
        <v xml:space="preserve">http://slimages.macys.com/is/image/MCY/19977732 </v>
      </c>
    </row>
    <row r="627" spans="1:14" ht="24.75" x14ac:dyDescent="0.25">
      <c r="A627" s="21" t="s">
        <v>19202</v>
      </c>
      <c r="B627" s="22" t="s">
        <v>19203</v>
      </c>
      <c r="C627" s="2">
        <v>1</v>
      </c>
      <c r="D627" s="23">
        <v>5.99</v>
      </c>
      <c r="E627" s="3">
        <v>5.99</v>
      </c>
      <c r="F627" s="2" t="s">
        <v>19204</v>
      </c>
      <c r="G627" s="22" t="s">
        <v>19431</v>
      </c>
      <c r="H627" s="24" t="s">
        <v>19384</v>
      </c>
      <c r="I627" s="22" t="s">
        <v>19309</v>
      </c>
      <c r="J627" s="22" t="s">
        <v>19573</v>
      </c>
      <c r="K627" s="22" t="s">
        <v>19574</v>
      </c>
      <c r="L627" s="22"/>
      <c r="M627" s="22"/>
      <c r="N627" s="25" t="str">
        <f>HYPERLINK("http://slimages.macys.com/is/image/MCY/1537013 ")</f>
        <v xml:space="preserve">http://slimages.macys.com/is/image/MCY/1537013 </v>
      </c>
    </row>
    <row r="628" spans="1:14" ht="24.75" x14ac:dyDescent="0.25">
      <c r="A628" s="21" t="s">
        <v>19205</v>
      </c>
      <c r="B628" s="22" t="s">
        <v>19206</v>
      </c>
      <c r="C628" s="2">
        <v>1</v>
      </c>
      <c r="D628" s="23">
        <v>5.99</v>
      </c>
      <c r="E628" s="3">
        <v>5.99</v>
      </c>
      <c r="F628" s="2" t="s">
        <v>19204</v>
      </c>
      <c r="G628" s="22" t="s">
        <v>19431</v>
      </c>
      <c r="H628" s="24" t="s">
        <v>19538</v>
      </c>
      <c r="I628" s="22" t="s">
        <v>19309</v>
      </c>
      <c r="J628" s="22" t="s">
        <v>19573</v>
      </c>
      <c r="K628" s="22" t="s">
        <v>19574</v>
      </c>
      <c r="L628" s="22"/>
      <c r="M628" s="22"/>
      <c r="N628" s="25" t="str">
        <f>HYPERLINK("http://slimages.macys.com/is/image/MCY/1537013 ")</f>
        <v xml:space="preserve">http://slimages.macys.com/is/image/MCY/1537013 </v>
      </c>
    </row>
    <row r="629" spans="1:14" ht="24.75" x14ac:dyDescent="0.25">
      <c r="A629" s="21" t="s">
        <v>19207</v>
      </c>
      <c r="B629" s="22" t="s">
        <v>19208</v>
      </c>
      <c r="C629" s="2">
        <v>1</v>
      </c>
      <c r="D629" s="23">
        <v>4.99</v>
      </c>
      <c r="E629" s="3">
        <v>4.99</v>
      </c>
      <c r="F629" s="2">
        <v>4114</v>
      </c>
      <c r="G629" s="22" t="s">
        <v>19431</v>
      </c>
      <c r="H629" s="24" t="s">
        <v>19352</v>
      </c>
      <c r="I629" s="22" t="s">
        <v>19309</v>
      </c>
      <c r="J629" s="22" t="s">
        <v>20076</v>
      </c>
      <c r="K629" s="22" t="s">
        <v>20077</v>
      </c>
      <c r="L629" s="22" t="s">
        <v>19319</v>
      </c>
      <c r="M629" s="22" t="s">
        <v>19209</v>
      </c>
      <c r="N629" s="25" t="str">
        <f>HYPERLINK("http://slimages.macys.com/is/image/MCY/13050267 ")</f>
        <v xml:space="preserve">http://slimages.macys.com/is/image/MCY/13050267 </v>
      </c>
    </row>
    <row r="630" spans="1:14" ht="24.75" x14ac:dyDescent="0.25">
      <c r="A630" s="21" t="s">
        <v>19210</v>
      </c>
      <c r="B630" s="22" t="s">
        <v>19211</v>
      </c>
      <c r="C630" s="2">
        <v>1</v>
      </c>
      <c r="D630" s="23">
        <v>6.99</v>
      </c>
      <c r="E630" s="3">
        <v>6.99</v>
      </c>
      <c r="F630" s="2">
        <v>10014307200</v>
      </c>
      <c r="G630" s="22" t="s">
        <v>19351</v>
      </c>
      <c r="H630" s="24" t="s">
        <v>19538</v>
      </c>
      <c r="I630" s="22" t="s">
        <v>19309</v>
      </c>
      <c r="J630" s="22" t="s">
        <v>19573</v>
      </c>
      <c r="K630" s="22" t="s">
        <v>19574</v>
      </c>
      <c r="L630" s="22"/>
      <c r="M630" s="22"/>
      <c r="N630" s="25" t="str">
        <f>HYPERLINK("http://slimages.macys.com/is/image/MCY/20757630 ")</f>
        <v xml:space="preserve">http://slimages.macys.com/is/image/MCY/20757630 </v>
      </c>
    </row>
    <row r="631" spans="1:14" ht="24.75" x14ac:dyDescent="0.25">
      <c r="A631" s="21" t="s">
        <v>19212</v>
      </c>
      <c r="B631" s="22" t="s">
        <v>19213</v>
      </c>
      <c r="C631" s="2">
        <v>1</v>
      </c>
      <c r="D631" s="23">
        <v>5.99</v>
      </c>
      <c r="E631" s="3">
        <v>5.99</v>
      </c>
      <c r="F631" s="2" t="s">
        <v>19214</v>
      </c>
      <c r="G631" s="22" t="s">
        <v>19674</v>
      </c>
      <c r="H631" s="24" t="s">
        <v>19538</v>
      </c>
      <c r="I631" s="22" t="s">
        <v>19309</v>
      </c>
      <c r="J631" s="22" t="s">
        <v>19573</v>
      </c>
      <c r="K631" s="22" t="s">
        <v>19574</v>
      </c>
      <c r="L631" s="22"/>
      <c r="M631" s="22"/>
      <c r="N631" s="25" t="str">
        <f>HYPERLINK("http://slimages.macys.com/is/image/MCY/1570641 ")</f>
        <v xml:space="preserve">http://slimages.macys.com/is/image/MCY/1570641 </v>
      </c>
    </row>
    <row r="632" spans="1:14" ht="24.75" x14ac:dyDescent="0.25">
      <c r="A632" s="21" t="s">
        <v>19215</v>
      </c>
      <c r="B632" s="22" t="s">
        <v>19216</v>
      </c>
      <c r="C632" s="2">
        <v>1</v>
      </c>
      <c r="D632" s="23">
        <v>6.99</v>
      </c>
      <c r="E632" s="3">
        <v>6.99</v>
      </c>
      <c r="F632" s="2" t="s">
        <v>19217</v>
      </c>
      <c r="G632" s="22" t="s">
        <v>19906</v>
      </c>
      <c r="H632" s="24" t="s">
        <v>19392</v>
      </c>
      <c r="I632" s="22" t="s">
        <v>19309</v>
      </c>
      <c r="J632" s="22" t="s">
        <v>19454</v>
      </c>
      <c r="K632" s="22" t="s">
        <v>19354</v>
      </c>
      <c r="L632" s="22"/>
      <c r="M632" s="22"/>
      <c r="N632" s="25" t="str">
        <f>HYPERLINK("http://slimages.macys.com/is/image/MCY/20708515 ")</f>
        <v xml:space="preserve">http://slimages.macys.com/is/image/MCY/20708515 </v>
      </c>
    </row>
    <row r="633" spans="1:14" ht="24.75" x14ac:dyDescent="0.25">
      <c r="A633" s="21" t="s">
        <v>19218</v>
      </c>
      <c r="B633" s="22" t="s">
        <v>19219</v>
      </c>
      <c r="C633" s="2">
        <v>1</v>
      </c>
      <c r="D633" s="23">
        <v>5.99</v>
      </c>
      <c r="E633" s="3">
        <v>5.99</v>
      </c>
      <c r="F633" s="2" t="s">
        <v>19214</v>
      </c>
      <c r="G633" s="22" t="s">
        <v>19674</v>
      </c>
      <c r="H633" s="24" t="s">
        <v>19416</v>
      </c>
      <c r="I633" s="22" t="s">
        <v>19309</v>
      </c>
      <c r="J633" s="22" t="s">
        <v>19573</v>
      </c>
      <c r="K633" s="22" t="s">
        <v>19574</v>
      </c>
      <c r="L633" s="22"/>
      <c r="M633" s="22"/>
      <c r="N633" s="25" t="str">
        <f>HYPERLINK("http://slimages.macys.com/is/image/MCY/1554658 ")</f>
        <v xml:space="preserve">http://slimages.macys.com/is/image/MCY/1554658 </v>
      </c>
    </row>
    <row r="634" spans="1:14" ht="24.75" x14ac:dyDescent="0.25">
      <c r="A634" s="21" t="s">
        <v>19220</v>
      </c>
      <c r="B634" s="22" t="s">
        <v>19221</v>
      </c>
      <c r="C634" s="2">
        <v>2</v>
      </c>
      <c r="D634" s="23">
        <v>6.99</v>
      </c>
      <c r="E634" s="3">
        <v>13.98</v>
      </c>
      <c r="F634" s="2" t="s">
        <v>19217</v>
      </c>
      <c r="G634" s="22" t="s">
        <v>19906</v>
      </c>
      <c r="H634" s="24" t="s">
        <v>19907</v>
      </c>
      <c r="I634" s="22" t="s">
        <v>19309</v>
      </c>
      <c r="J634" s="22" t="s">
        <v>19454</v>
      </c>
      <c r="K634" s="22" t="s">
        <v>19354</v>
      </c>
      <c r="L634" s="22"/>
      <c r="M634" s="22"/>
      <c r="N634" s="25" t="str">
        <f>HYPERLINK("http://slimages.macys.com/is/image/MCY/20708515 ")</f>
        <v xml:space="preserve">http://slimages.macys.com/is/image/MCY/20708515 </v>
      </c>
    </row>
    <row r="635" spans="1:14" ht="24.75" x14ac:dyDescent="0.25">
      <c r="A635" s="21" t="s">
        <v>19222</v>
      </c>
      <c r="B635" s="22" t="s">
        <v>19223</v>
      </c>
      <c r="C635" s="2">
        <v>1</v>
      </c>
      <c r="D635" s="23">
        <v>5.99</v>
      </c>
      <c r="E635" s="3">
        <v>5.99</v>
      </c>
      <c r="F635" s="2" t="s">
        <v>19224</v>
      </c>
      <c r="G635" s="22" t="s">
        <v>18821</v>
      </c>
      <c r="H635" s="24" t="s">
        <v>19538</v>
      </c>
      <c r="I635" s="22" t="s">
        <v>19309</v>
      </c>
      <c r="J635" s="22" t="s">
        <v>19573</v>
      </c>
      <c r="K635" s="22" t="s">
        <v>19574</v>
      </c>
      <c r="L635" s="22"/>
      <c r="M635" s="22"/>
      <c r="N635" s="25" t="str">
        <f>HYPERLINK("http://slimages.macys.com/is/image/MCY/21905230 ")</f>
        <v xml:space="preserve">http://slimages.macys.com/is/image/MCY/21905230 </v>
      </c>
    </row>
    <row r="636" spans="1:14" ht="24.75" x14ac:dyDescent="0.25">
      <c r="A636" s="21" t="s">
        <v>19225</v>
      </c>
      <c r="B636" s="22" t="s">
        <v>19226</v>
      </c>
      <c r="C636" s="2">
        <v>1</v>
      </c>
      <c r="D636" s="23">
        <v>5.99</v>
      </c>
      <c r="E636" s="3">
        <v>5.99</v>
      </c>
      <c r="F636" s="2" t="s">
        <v>19224</v>
      </c>
      <c r="G636" s="22" t="s">
        <v>18821</v>
      </c>
      <c r="H636" s="24" t="s">
        <v>19384</v>
      </c>
      <c r="I636" s="22" t="s">
        <v>19309</v>
      </c>
      <c r="J636" s="22" t="s">
        <v>19573</v>
      </c>
      <c r="K636" s="22" t="s">
        <v>19574</v>
      </c>
      <c r="L636" s="22"/>
      <c r="M636" s="22"/>
      <c r="N636" s="25" t="str">
        <f>HYPERLINK("http://slimages.macys.com/is/image/MCY/21905230 ")</f>
        <v xml:space="preserve">http://slimages.macys.com/is/image/MCY/21905230 </v>
      </c>
    </row>
    <row r="637" spans="1:14" ht="24.75" x14ac:dyDescent="0.25">
      <c r="A637" s="21" t="s">
        <v>19227</v>
      </c>
      <c r="B637" s="22" t="s">
        <v>19228</v>
      </c>
      <c r="C637" s="2">
        <v>1</v>
      </c>
      <c r="D637" s="23">
        <v>6.99</v>
      </c>
      <c r="E637" s="3">
        <v>6.99</v>
      </c>
      <c r="F637" s="2" t="s">
        <v>19229</v>
      </c>
      <c r="G637" s="22" t="s">
        <v>19462</v>
      </c>
      <c r="H637" s="24" t="s">
        <v>19361</v>
      </c>
      <c r="I637" s="22" t="s">
        <v>19309</v>
      </c>
      <c r="J637" s="22" t="s">
        <v>19908</v>
      </c>
      <c r="K637" s="22" t="s">
        <v>19354</v>
      </c>
      <c r="L637" s="22"/>
      <c r="M637" s="22"/>
      <c r="N637" s="25" t="str">
        <f>HYPERLINK("http://slimages.macys.com/is/image/MCY/20708625 ")</f>
        <v xml:space="preserve">http://slimages.macys.com/is/image/MCY/20708625 </v>
      </c>
    </row>
    <row r="638" spans="1:14" ht="24.75" x14ac:dyDescent="0.25">
      <c r="A638" s="21" t="s">
        <v>19230</v>
      </c>
      <c r="B638" s="22" t="s">
        <v>19231</v>
      </c>
      <c r="C638" s="2">
        <v>4</v>
      </c>
      <c r="D638" s="23">
        <v>5.99</v>
      </c>
      <c r="E638" s="3">
        <v>23.96</v>
      </c>
      <c r="F638" s="2" t="s">
        <v>19232</v>
      </c>
      <c r="G638" s="22" t="s">
        <v>19467</v>
      </c>
      <c r="H638" s="24" t="s">
        <v>19416</v>
      </c>
      <c r="I638" s="22" t="s">
        <v>19309</v>
      </c>
      <c r="J638" s="22" t="s">
        <v>19573</v>
      </c>
      <c r="K638" s="22" t="s">
        <v>19574</v>
      </c>
      <c r="L638" s="22"/>
      <c r="M638" s="22"/>
      <c r="N638" s="25" t="str">
        <f>HYPERLINK("http://slimages.macys.com/is/image/MCY/21209505 ")</f>
        <v xml:space="preserve">http://slimages.macys.com/is/image/MCY/21209505 </v>
      </c>
    </row>
    <row r="639" spans="1:14" ht="24.75" x14ac:dyDescent="0.25">
      <c r="A639" s="21" t="s">
        <v>19233</v>
      </c>
      <c r="B639" s="22" t="s">
        <v>19234</v>
      </c>
      <c r="C639" s="2">
        <v>1</v>
      </c>
      <c r="D639" s="23">
        <v>5.99</v>
      </c>
      <c r="E639" s="3">
        <v>5.99</v>
      </c>
      <c r="F639" s="2" t="s">
        <v>19232</v>
      </c>
      <c r="G639" s="22" t="s">
        <v>19467</v>
      </c>
      <c r="H639" s="24" t="s">
        <v>19384</v>
      </c>
      <c r="I639" s="22" t="s">
        <v>19309</v>
      </c>
      <c r="J639" s="22" t="s">
        <v>19573</v>
      </c>
      <c r="K639" s="22" t="s">
        <v>19574</v>
      </c>
      <c r="L639" s="22"/>
      <c r="M639" s="22"/>
      <c r="N639" s="25" t="str">
        <f>HYPERLINK("http://slimages.macys.com/is/image/MCY/21209505 ")</f>
        <v xml:space="preserve">http://slimages.macys.com/is/image/MCY/21209505 </v>
      </c>
    </row>
    <row r="640" spans="1:14" ht="24.75" x14ac:dyDescent="0.25">
      <c r="A640" s="21" t="s">
        <v>19235</v>
      </c>
      <c r="B640" s="22" t="s">
        <v>19236</v>
      </c>
      <c r="C640" s="2">
        <v>1</v>
      </c>
      <c r="D640" s="23">
        <v>5.99</v>
      </c>
      <c r="E640" s="3">
        <v>5.99</v>
      </c>
      <c r="F640" s="2" t="s">
        <v>19232</v>
      </c>
      <c r="G640" s="22" t="s">
        <v>19467</v>
      </c>
      <c r="H640" s="24" t="s">
        <v>19324</v>
      </c>
      <c r="I640" s="22" t="s">
        <v>19309</v>
      </c>
      <c r="J640" s="22" t="s">
        <v>19573</v>
      </c>
      <c r="K640" s="22" t="s">
        <v>19574</v>
      </c>
      <c r="L640" s="22"/>
      <c r="M640" s="22"/>
      <c r="N640" s="25" t="str">
        <f>HYPERLINK("http://slimages.macys.com/is/image/MCY/21209505 ")</f>
        <v xml:space="preserve">http://slimages.macys.com/is/image/MCY/21209505 </v>
      </c>
    </row>
    <row r="641" spans="1:14" ht="24.75" x14ac:dyDescent="0.25">
      <c r="A641" s="21" t="s">
        <v>19237</v>
      </c>
      <c r="B641" s="22" t="s">
        <v>19238</v>
      </c>
      <c r="C641" s="2">
        <v>1</v>
      </c>
      <c r="D641" s="23">
        <v>5.99</v>
      </c>
      <c r="E641" s="3">
        <v>5.99</v>
      </c>
      <c r="F641" s="2" t="s">
        <v>19232</v>
      </c>
      <c r="G641" s="22" t="s">
        <v>19467</v>
      </c>
      <c r="H641" s="24" t="s">
        <v>19330</v>
      </c>
      <c r="I641" s="22" t="s">
        <v>19309</v>
      </c>
      <c r="J641" s="22" t="s">
        <v>19573</v>
      </c>
      <c r="K641" s="22" t="s">
        <v>19574</v>
      </c>
      <c r="L641" s="22"/>
      <c r="M641" s="22"/>
      <c r="N641" s="25" t="str">
        <f>HYPERLINK("http://slimages.macys.com/is/image/MCY/21209505 ")</f>
        <v xml:space="preserve">http://slimages.macys.com/is/image/MCY/21209505 </v>
      </c>
    </row>
    <row r="642" spans="1:14" ht="24.75" x14ac:dyDescent="0.25">
      <c r="A642" s="21" t="s">
        <v>19239</v>
      </c>
      <c r="B642" s="22" t="s">
        <v>19240</v>
      </c>
      <c r="C642" s="2">
        <v>1</v>
      </c>
      <c r="D642" s="23">
        <v>5.99</v>
      </c>
      <c r="E642" s="3">
        <v>5.99</v>
      </c>
      <c r="F642" s="2" t="s">
        <v>19241</v>
      </c>
      <c r="G642" s="22" t="s">
        <v>19415</v>
      </c>
      <c r="H642" s="24" t="s">
        <v>19384</v>
      </c>
      <c r="I642" s="22" t="s">
        <v>19309</v>
      </c>
      <c r="J642" s="22" t="s">
        <v>19573</v>
      </c>
      <c r="K642" s="22" t="s">
        <v>19574</v>
      </c>
      <c r="L642" s="22"/>
      <c r="M642" s="22"/>
      <c r="N642" s="25" t="str">
        <f>HYPERLINK("http://slimages.macys.com/is/image/MCY/21209249 ")</f>
        <v xml:space="preserve">http://slimages.macys.com/is/image/MCY/21209249 </v>
      </c>
    </row>
    <row r="643" spans="1:14" ht="24.75" x14ac:dyDescent="0.25">
      <c r="A643" s="21" t="s">
        <v>19242</v>
      </c>
      <c r="B643" s="22" t="s">
        <v>19243</v>
      </c>
      <c r="C643" s="2">
        <v>6</v>
      </c>
      <c r="D643" s="23">
        <v>5.99</v>
      </c>
      <c r="E643" s="3">
        <v>35.94</v>
      </c>
      <c r="F643" s="2" t="s">
        <v>19232</v>
      </c>
      <c r="G643" s="22" t="s">
        <v>19467</v>
      </c>
      <c r="H643" s="24" t="s">
        <v>19538</v>
      </c>
      <c r="I643" s="22" t="s">
        <v>19309</v>
      </c>
      <c r="J643" s="22" t="s">
        <v>19573</v>
      </c>
      <c r="K643" s="22" t="s">
        <v>19574</v>
      </c>
      <c r="L643" s="22"/>
      <c r="M643" s="22"/>
      <c r="N643" s="25" t="str">
        <f>HYPERLINK("http://slimages.macys.com/is/image/MCY/21209505 ")</f>
        <v xml:space="preserve">http://slimages.macys.com/is/image/MCY/21209505 </v>
      </c>
    </row>
    <row r="644" spans="1:14" ht="24.75" x14ac:dyDescent="0.25">
      <c r="A644" s="21" t="s">
        <v>19244</v>
      </c>
      <c r="B644" s="22" t="s">
        <v>19245</v>
      </c>
      <c r="C644" s="2">
        <v>2</v>
      </c>
      <c r="D644" s="23">
        <v>5.99</v>
      </c>
      <c r="E644" s="3">
        <v>11.98</v>
      </c>
      <c r="F644" s="2" t="s">
        <v>19241</v>
      </c>
      <c r="G644" s="22" t="s">
        <v>19415</v>
      </c>
      <c r="H644" s="24" t="s">
        <v>19538</v>
      </c>
      <c r="I644" s="22" t="s">
        <v>19309</v>
      </c>
      <c r="J644" s="22" t="s">
        <v>19573</v>
      </c>
      <c r="K644" s="22" t="s">
        <v>19574</v>
      </c>
      <c r="L644" s="22"/>
      <c r="M644" s="22"/>
      <c r="N644" s="25" t="str">
        <f>HYPERLINK("http://slimages.macys.com/is/image/MCY/21209249 ")</f>
        <v xml:space="preserve">http://slimages.macys.com/is/image/MCY/21209249 </v>
      </c>
    </row>
    <row r="645" spans="1:14" ht="24.75" x14ac:dyDescent="0.25">
      <c r="A645" s="21" t="s">
        <v>19246</v>
      </c>
      <c r="B645" s="22" t="s">
        <v>19247</v>
      </c>
      <c r="C645" s="2">
        <v>1</v>
      </c>
      <c r="D645" s="23">
        <v>5.99</v>
      </c>
      <c r="E645" s="3">
        <v>5.99</v>
      </c>
      <c r="F645" s="2" t="s">
        <v>19248</v>
      </c>
      <c r="G645" s="22" t="s">
        <v>19585</v>
      </c>
      <c r="H645" s="24" t="s">
        <v>19384</v>
      </c>
      <c r="I645" s="22" t="s">
        <v>19309</v>
      </c>
      <c r="J645" s="22" t="s">
        <v>19573</v>
      </c>
      <c r="K645" s="22" t="s">
        <v>19574</v>
      </c>
      <c r="L645" s="22"/>
      <c r="M645" s="22"/>
      <c r="N645" s="25" t="str">
        <f>HYPERLINK("http://slimages.macys.com/is/image/MCY/20757535 ")</f>
        <v xml:space="preserve">http://slimages.macys.com/is/image/MCY/20757535 </v>
      </c>
    </row>
    <row r="646" spans="1:14" ht="24.75" x14ac:dyDescent="0.25">
      <c r="A646" s="21" t="s">
        <v>19249</v>
      </c>
      <c r="B646" s="22" t="s">
        <v>19250</v>
      </c>
      <c r="C646" s="2">
        <v>1</v>
      </c>
      <c r="D646" s="23">
        <v>5.99</v>
      </c>
      <c r="E646" s="3">
        <v>5.99</v>
      </c>
      <c r="F646" s="2" t="s">
        <v>19251</v>
      </c>
      <c r="G646" s="22" t="s">
        <v>19351</v>
      </c>
      <c r="H646" s="24" t="s">
        <v>19384</v>
      </c>
      <c r="I646" s="22" t="s">
        <v>19309</v>
      </c>
      <c r="J646" s="22" t="s">
        <v>19573</v>
      </c>
      <c r="K646" s="22" t="s">
        <v>19574</v>
      </c>
      <c r="L646" s="22"/>
      <c r="M646" s="22"/>
      <c r="N646" s="25" t="str">
        <f>HYPERLINK("http://slimages.macys.com/is/image/MCY/21088503 ")</f>
        <v xml:space="preserve">http://slimages.macys.com/is/image/MCY/21088503 </v>
      </c>
    </row>
    <row r="647" spans="1:14" ht="24.75" x14ac:dyDescent="0.25">
      <c r="A647" s="21" t="s">
        <v>19252</v>
      </c>
      <c r="B647" s="22" t="s">
        <v>19253</v>
      </c>
      <c r="C647" s="2">
        <v>1</v>
      </c>
      <c r="D647" s="23">
        <v>5.99</v>
      </c>
      <c r="E647" s="3">
        <v>5.99</v>
      </c>
      <c r="F647" s="2" t="s">
        <v>19254</v>
      </c>
      <c r="G647" s="22" t="s">
        <v>19431</v>
      </c>
      <c r="H647" s="24" t="s">
        <v>19324</v>
      </c>
      <c r="I647" s="22" t="s">
        <v>19309</v>
      </c>
      <c r="J647" s="22" t="s">
        <v>19573</v>
      </c>
      <c r="K647" s="22" t="s">
        <v>19574</v>
      </c>
      <c r="L647" s="22"/>
      <c r="M647" s="22"/>
      <c r="N647" s="25" t="str">
        <f>HYPERLINK("http://slimages.macys.com/is/image/MCY/21209124 ")</f>
        <v xml:space="preserve">http://slimages.macys.com/is/image/MCY/21209124 </v>
      </c>
    </row>
    <row r="648" spans="1:14" ht="24.75" x14ac:dyDescent="0.25">
      <c r="A648" s="21" t="s">
        <v>19255</v>
      </c>
      <c r="B648" s="22" t="s">
        <v>19256</v>
      </c>
      <c r="C648" s="2">
        <v>1</v>
      </c>
      <c r="D648" s="23">
        <v>5.99</v>
      </c>
      <c r="E648" s="3">
        <v>5.99</v>
      </c>
      <c r="F648" s="2" t="s">
        <v>19254</v>
      </c>
      <c r="G648" s="22" t="s">
        <v>19431</v>
      </c>
      <c r="H648" s="24" t="s">
        <v>19330</v>
      </c>
      <c r="I648" s="22" t="s">
        <v>19309</v>
      </c>
      <c r="J648" s="22" t="s">
        <v>19573</v>
      </c>
      <c r="K648" s="22" t="s">
        <v>19574</v>
      </c>
      <c r="L648" s="22"/>
      <c r="M648" s="22"/>
      <c r="N648" s="25" t="str">
        <f>HYPERLINK("http://slimages.macys.com/is/image/MCY/21209124 ")</f>
        <v xml:space="preserve">http://slimages.macys.com/is/image/MCY/21209124 </v>
      </c>
    </row>
    <row r="649" spans="1:14" ht="24.75" x14ac:dyDescent="0.25">
      <c r="A649" s="21" t="s">
        <v>19257</v>
      </c>
      <c r="B649" s="22" t="s">
        <v>19258</v>
      </c>
      <c r="C649" s="2">
        <v>1</v>
      </c>
      <c r="D649" s="23">
        <v>5.99</v>
      </c>
      <c r="E649" s="3">
        <v>5.99</v>
      </c>
      <c r="F649" s="2" t="s">
        <v>19251</v>
      </c>
      <c r="G649" s="22" t="s">
        <v>19351</v>
      </c>
      <c r="H649" s="24" t="s">
        <v>19416</v>
      </c>
      <c r="I649" s="22" t="s">
        <v>19309</v>
      </c>
      <c r="J649" s="22" t="s">
        <v>19573</v>
      </c>
      <c r="K649" s="22" t="s">
        <v>19574</v>
      </c>
      <c r="L649" s="22"/>
      <c r="M649" s="22"/>
      <c r="N649" s="25" t="str">
        <f>HYPERLINK("http://slimages.macys.com/is/image/MCY/21088503 ")</f>
        <v xml:space="preserve">http://slimages.macys.com/is/image/MCY/21088503 </v>
      </c>
    </row>
    <row r="650" spans="1:14" ht="24.75" x14ac:dyDescent="0.25">
      <c r="A650" s="21" t="s">
        <v>19259</v>
      </c>
      <c r="B650" s="22" t="s">
        <v>19260</v>
      </c>
      <c r="C650" s="2">
        <v>4</v>
      </c>
      <c r="D650" s="23">
        <v>5.99</v>
      </c>
      <c r="E650" s="3">
        <v>23.96</v>
      </c>
      <c r="F650" s="2" t="s">
        <v>19261</v>
      </c>
      <c r="G650" s="22" t="s">
        <v>19674</v>
      </c>
      <c r="H650" s="24" t="s">
        <v>19324</v>
      </c>
      <c r="I650" s="22" t="s">
        <v>19309</v>
      </c>
      <c r="J650" s="22" t="s">
        <v>19573</v>
      </c>
      <c r="K650" s="22" t="s">
        <v>19574</v>
      </c>
      <c r="L650" s="22"/>
      <c r="M650" s="22"/>
      <c r="N650" s="25" t="str">
        <f>HYPERLINK("http://slimages.macys.com/is/image/MCY/21209261 ")</f>
        <v xml:space="preserve">http://slimages.macys.com/is/image/MCY/21209261 </v>
      </c>
    </row>
    <row r="651" spans="1:14" ht="24.75" x14ac:dyDescent="0.25">
      <c r="A651" s="21" t="s">
        <v>19262</v>
      </c>
      <c r="B651" s="22" t="s">
        <v>19263</v>
      </c>
      <c r="C651" s="2">
        <v>4</v>
      </c>
      <c r="D651" s="23">
        <v>5.99</v>
      </c>
      <c r="E651" s="3">
        <v>23.96</v>
      </c>
      <c r="F651" s="2" t="s">
        <v>19261</v>
      </c>
      <c r="G651" s="22" t="s">
        <v>19674</v>
      </c>
      <c r="H651" s="24" t="s">
        <v>19384</v>
      </c>
      <c r="I651" s="22" t="s">
        <v>19309</v>
      </c>
      <c r="J651" s="22" t="s">
        <v>19573</v>
      </c>
      <c r="K651" s="22" t="s">
        <v>19574</v>
      </c>
      <c r="L651" s="22"/>
      <c r="M651" s="22"/>
      <c r="N651" s="25" t="str">
        <f>HYPERLINK("http://slimages.macys.com/is/image/MCY/21209261 ")</f>
        <v xml:space="preserve">http://slimages.macys.com/is/image/MCY/21209261 </v>
      </c>
    </row>
    <row r="652" spans="1:14" ht="24.75" x14ac:dyDescent="0.25">
      <c r="A652" s="21" t="s">
        <v>19264</v>
      </c>
      <c r="B652" s="22" t="s">
        <v>19265</v>
      </c>
      <c r="C652" s="2">
        <v>5</v>
      </c>
      <c r="D652" s="23">
        <v>5.99</v>
      </c>
      <c r="E652" s="3">
        <v>29.95</v>
      </c>
      <c r="F652" s="2" t="s">
        <v>19261</v>
      </c>
      <c r="G652" s="22" t="s">
        <v>19674</v>
      </c>
      <c r="H652" s="24" t="s">
        <v>19538</v>
      </c>
      <c r="I652" s="22" t="s">
        <v>19309</v>
      </c>
      <c r="J652" s="22" t="s">
        <v>19573</v>
      </c>
      <c r="K652" s="22" t="s">
        <v>19574</v>
      </c>
      <c r="L652" s="22"/>
      <c r="M652" s="22"/>
      <c r="N652" s="25" t="str">
        <f>HYPERLINK("http://slimages.macys.com/is/image/MCY/21209261 ")</f>
        <v xml:space="preserve">http://slimages.macys.com/is/image/MCY/21209261 </v>
      </c>
    </row>
    <row r="653" spans="1:14" ht="24.75" x14ac:dyDescent="0.25">
      <c r="A653" s="21" t="s">
        <v>19266</v>
      </c>
      <c r="B653" s="22" t="s">
        <v>19267</v>
      </c>
      <c r="C653" s="2">
        <v>2</v>
      </c>
      <c r="D653" s="23">
        <v>5.99</v>
      </c>
      <c r="E653" s="3">
        <v>11.98</v>
      </c>
      <c r="F653" s="2" t="s">
        <v>19261</v>
      </c>
      <c r="G653" s="22" t="s">
        <v>19674</v>
      </c>
      <c r="H653" s="24" t="s">
        <v>19330</v>
      </c>
      <c r="I653" s="22" t="s">
        <v>19309</v>
      </c>
      <c r="J653" s="22" t="s">
        <v>19573</v>
      </c>
      <c r="K653" s="22" t="s">
        <v>19574</v>
      </c>
      <c r="L653" s="22"/>
      <c r="M653" s="22"/>
      <c r="N653" s="25" t="str">
        <f>HYPERLINK("http://slimages.macys.com/is/image/MCY/21209261 ")</f>
        <v xml:space="preserve">http://slimages.macys.com/is/image/MCY/21209261 </v>
      </c>
    </row>
    <row r="654" spans="1:14" ht="24.75" x14ac:dyDescent="0.25">
      <c r="A654" s="21" t="s">
        <v>19268</v>
      </c>
      <c r="B654" s="22" t="s">
        <v>19269</v>
      </c>
      <c r="C654" s="2">
        <v>2</v>
      </c>
      <c r="D654" s="23">
        <v>5.99</v>
      </c>
      <c r="E654" s="3">
        <v>11.98</v>
      </c>
      <c r="F654" s="2" t="s">
        <v>19270</v>
      </c>
      <c r="G654" s="22" t="s">
        <v>19351</v>
      </c>
      <c r="H654" s="24" t="s">
        <v>19384</v>
      </c>
      <c r="I654" s="22" t="s">
        <v>19309</v>
      </c>
      <c r="J654" s="22" t="s">
        <v>19573</v>
      </c>
      <c r="K654" s="22" t="s">
        <v>19574</v>
      </c>
      <c r="L654" s="22"/>
      <c r="M654" s="22"/>
      <c r="N654" s="25" t="str">
        <f>HYPERLINK("http://slimages.macys.com/is/image/MCY/20839696 ")</f>
        <v xml:space="preserve">http://slimages.macys.com/is/image/MCY/20839696 </v>
      </c>
    </row>
    <row r="655" spans="1:14" ht="24.75" x14ac:dyDescent="0.25">
      <c r="A655" s="21" t="s">
        <v>19271</v>
      </c>
      <c r="B655" s="22" t="s">
        <v>19272</v>
      </c>
      <c r="C655" s="2">
        <v>1</v>
      </c>
      <c r="D655" s="23">
        <v>5.99</v>
      </c>
      <c r="E655" s="3">
        <v>5.99</v>
      </c>
      <c r="F655" s="2" t="s">
        <v>19273</v>
      </c>
      <c r="G655" s="22" t="s">
        <v>19794</v>
      </c>
      <c r="H655" s="24" t="s">
        <v>19538</v>
      </c>
      <c r="I655" s="22" t="s">
        <v>19309</v>
      </c>
      <c r="J655" s="22" t="s">
        <v>19573</v>
      </c>
      <c r="K655" s="22" t="s">
        <v>19574</v>
      </c>
      <c r="L655" s="22"/>
      <c r="M655" s="22"/>
      <c r="N655" s="25" t="str">
        <f>HYPERLINK("http://slimages.macys.com/is/image/MCY/21209112 ")</f>
        <v xml:space="preserve">http://slimages.macys.com/is/image/MCY/21209112 </v>
      </c>
    </row>
    <row r="656" spans="1:14" ht="24.75" x14ac:dyDescent="0.25">
      <c r="A656" s="21" t="s">
        <v>19274</v>
      </c>
      <c r="B656" s="22" t="s">
        <v>19275</v>
      </c>
      <c r="C656" s="2">
        <v>1</v>
      </c>
      <c r="D656" s="23">
        <v>5.99</v>
      </c>
      <c r="E656" s="3">
        <v>5.99</v>
      </c>
      <c r="F656" s="2" t="s">
        <v>19270</v>
      </c>
      <c r="G656" s="22" t="s">
        <v>19351</v>
      </c>
      <c r="H656" s="24" t="s">
        <v>19324</v>
      </c>
      <c r="I656" s="22" t="s">
        <v>19309</v>
      </c>
      <c r="J656" s="22" t="s">
        <v>19573</v>
      </c>
      <c r="K656" s="22" t="s">
        <v>19574</v>
      </c>
      <c r="L656" s="22"/>
      <c r="M656" s="22"/>
      <c r="N656" s="25" t="str">
        <f>HYPERLINK("http://slimages.macys.com/is/image/MCY/20839696 ")</f>
        <v xml:space="preserve">http://slimages.macys.com/is/image/MCY/20839696 </v>
      </c>
    </row>
    <row r="657" spans="1:14" ht="24.75" x14ac:dyDescent="0.25">
      <c r="A657" s="21" t="s">
        <v>19276</v>
      </c>
      <c r="B657" s="22" t="s">
        <v>19277</v>
      </c>
      <c r="C657" s="2">
        <v>1</v>
      </c>
      <c r="D657" s="23">
        <v>5.99</v>
      </c>
      <c r="E657" s="3">
        <v>5.99</v>
      </c>
      <c r="F657" s="2" t="s">
        <v>19278</v>
      </c>
      <c r="G657" s="22" t="s">
        <v>19351</v>
      </c>
      <c r="H657" s="24" t="s">
        <v>19538</v>
      </c>
      <c r="I657" s="22" t="s">
        <v>19309</v>
      </c>
      <c r="J657" s="22" t="s">
        <v>19573</v>
      </c>
      <c r="K657" s="22" t="s">
        <v>19574</v>
      </c>
      <c r="L657" s="22"/>
      <c r="M657" s="22"/>
      <c r="N657" s="25" t="str">
        <f>HYPERLINK("http://slimages.macys.com/is/image/MCY/21088629 ")</f>
        <v xml:space="preserve">http://slimages.macys.com/is/image/MCY/21088629 </v>
      </c>
    </row>
    <row r="658" spans="1:14" ht="24.75" x14ac:dyDescent="0.25">
      <c r="A658" s="21" t="s">
        <v>19279</v>
      </c>
      <c r="B658" s="22" t="s">
        <v>17383</v>
      </c>
      <c r="C658" s="2">
        <v>1</v>
      </c>
      <c r="D658" s="23">
        <v>5.99</v>
      </c>
      <c r="E658" s="3">
        <v>5.99</v>
      </c>
      <c r="F658" s="2" t="s">
        <v>17384</v>
      </c>
      <c r="G658" s="22" t="s">
        <v>18439</v>
      </c>
      <c r="H658" s="24" t="s">
        <v>19416</v>
      </c>
      <c r="I658" s="22" t="s">
        <v>19309</v>
      </c>
      <c r="J658" s="22" t="s">
        <v>19573</v>
      </c>
      <c r="K658" s="22" t="s">
        <v>19574</v>
      </c>
      <c r="L658" s="22"/>
      <c r="M658" s="22"/>
      <c r="N658" s="25" t="str">
        <f>HYPERLINK("http://slimages.macys.com/is/image/MCY/1905756 ")</f>
        <v xml:space="preserve">http://slimages.macys.com/is/image/MCY/1905756 </v>
      </c>
    </row>
    <row r="659" spans="1:14" ht="24.75" x14ac:dyDescent="0.25">
      <c r="A659" s="21" t="s">
        <v>17385</v>
      </c>
      <c r="B659" s="22" t="s">
        <v>17386</v>
      </c>
      <c r="C659" s="2">
        <v>3</v>
      </c>
      <c r="D659" s="23">
        <v>5.99</v>
      </c>
      <c r="E659" s="3">
        <v>17.97</v>
      </c>
      <c r="F659" s="2" t="s">
        <v>17384</v>
      </c>
      <c r="G659" s="22" t="s">
        <v>18439</v>
      </c>
      <c r="H659" s="24" t="s">
        <v>19330</v>
      </c>
      <c r="I659" s="22" t="s">
        <v>19309</v>
      </c>
      <c r="J659" s="22" t="s">
        <v>19573</v>
      </c>
      <c r="K659" s="22" t="s">
        <v>19574</v>
      </c>
      <c r="L659" s="22"/>
      <c r="M659" s="22"/>
      <c r="N659" s="25" t="str">
        <f>HYPERLINK("http://slimages.macys.com/is/image/MCY/1905756 ")</f>
        <v xml:space="preserve">http://slimages.macys.com/is/image/MCY/1905756 </v>
      </c>
    </row>
    <row r="660" spans="1:14" ht="24.75" x14ac:dyDescent="0.25">
      <c r="A660" s="21" t="s">
        <v>17387</v>
      </c>
      <c r="B660" s="22" t="s">
        <v>17388</v>
      </c>
      <c r="C660" s="2">
        <v>4</v>
      </c>
      <c r="D660" s="23">
        <v>5.99</v>
      </c>
      <c r="E660" s="3">
        <v>23.96</v>
      </c>
      <c r="F660" s="2" t="s">
        <v>17384</v>
      </c>
      <c r="G660" s="22" t="s">
        <v>18439</v>
      </c>
      <c r="H660" s="24" t="s">
        <v>19538</v>
      </c>
      <c r="I660" s="22" t="s">
        <v>19309</v>
      </c>
      <c r="J660" s="22" t="s">
        <v>19573</v>
      </c>
      <c r="K660" s="22" t="s">
        <v>19574</v>
      </c>
      <c r="L660" s="22"/>
      <c r="M660" s="22"/>
      <c r="N660" s="25" t="str">
        <f>HYPERLINK("http://slimages.macys.com/is/image/MCY/1905756 ")</f>
        <v xml:space="preserve">http://slimages.macys.com/is/image/MCY/1905756 </v>
      </c>
    </row>
    <row r="661" spans="1:14" ht="24.75" x14ac:dyDescent="0.25">
      <c r="A661" s="21" t="s">
        <v>17389</v>
      </c>
      <c r="B661" s="22" t="s">
        <v>17390</v>
      </c>
      <c r="C661" s="2">
        <v>2</v>
      </c>
      <c r="D661" s="23">
        <v>5.99</v>
      </c>
      <c r="E661" s="3">
        <v>11.98</v>
      </c>
      <c r="F661" s="2" t="s">
        <v>17384</v>
      </c>
      <c r="G661" s="22" t="s">
        <v>18439</v>
      </c>
      <c r="H661" s="24" t="s">
        <v>19384</v>
      </c>
      <c r="I661" s="22" t="s">
        <v>19309</v>
      </c>
      <c r="J661" s="22" t="s">
        <v>19573</v>
      </c>
      <c r="K661" s="22" t="s">
        <v>19574</v>
      </c>
      <c r="L661" s="22"/>
      <c r="M661" s="22"/>
      <c r="N661" s="25" t="str">
        <f>HYPERLINK("http://slimages.macys.com/is/image/MCY/1905756 ")</f>
        <v xml:space="preserve">http://slimages.macys.com/is/image/MCY/1905756 </v>
      </c>
    </row>
    <row r="662" spans="1:14" ht="24.75" x14ac:dyDescent="0.25">
      <c r="A662" s="21" t="s">
        <v>17391</v>
      </c>
      <c r="B662" s="22" t="s">
        <v>17392</v>
      </c>
      <c r="C662" s="2">
        <v>3</v>
      </c>
      <c r="D662" s="23">
        <v>5.99</v>
      </c>
      <c r="E662" s="3">
        <v>17.97</v>
      </c>
      <c r="F662" s="2" t="s">
        <v>17384</v>
      </c>
      <c r="G662" s="22" t="s">
        <v>18439</v>
      </c>
      <c r="H662" s="24" t="s">
        <v>19324</v>
      </c>
      <c r="I662" s="22" t="s">
        <v>19309</v>
      </c>
      <c r="J662" s="22" t="s">
        <v>19573</v>
      </c>
      <c r="K662" s="22" t="s">
        <v>19574</v>
      </c>
      <c r="L662" s="22"/>
      <c r="M662" s="22"/>
      <c r="N662" s="25" t="str">
        <f>HYPERLINK("http://slimages.macys.com/is/image/MCY/1905756 ")</f>
        <v xml:space="preserve">http://slimages.macys.com/is/image/MCY/1905756 </v>
      </c>
    </row>
    <row r="663" spans="1:14" ht="24.75" x14ac:dyDescent="0.25">
      <c r="A663" s="21" t="s">
        <v>17393</v>
      </c>
      <c r="B663" s="22" t="s">
        <v>17394</v>
      </c>
      <c r="C663" s="2">
        <v>3</v>
      </c>
      <c r="D663" s="23">
        <v>5.99</v>
      </c>
      <c r="E663" s="3">
        <v>17.97</v>
      </c>
      <c r="F663" s="2" t="s">
        <v>17395</v>
      </c>
      <c r="G663" s="22" t="s">
        <v>19670</v>
      </c>
      <c r="H663" s="24" t="s">
        <v>19538</v>
      </c>
      <c r="I663" s="22" t="s">
        <v>19309</v>
      </c>
      <c r="J663" s="22" t="s">
        <v>19573</v>
      </c>
      <c r="K663" s="22" t="s">
        <v>19574</v>
      </c>
      <c r="L663" s="22"/>
      <c r="M663" s="22"/>
      <c r="N663" s="25" t="str">
        <f>HYPERLINK("http://slimages.macys.com/is/image/MCY/21905204 ")</f>
        <v xml:space="preserve">http://slimages.macys.com/is/image/MCY/21905204 </v>
      </c>
    </row>
    <row r="664" spans="1:14" ht="24.75" x14ac:dyDescent="0.25">
      <c r="A664" s="21" t="s">
        <v>17396</v>
      </c>
      <c r="B664" s="22" t="s">
        <v>17397</v>
      </c>
      <c r="C664" s="2">
        <v>2</v>
      </c>
      <c r="D664" s="23">
        <v>5.99</v>
      </c>
      <c r="E664" s="3">
        <v>11.98</v>
      </c>
      <c r="F664" s="2" t="s">
        <v>17395</v>
      </c>
      <c r="G664" s="22" t="s">
        <v>19670</v>
      </c>
      <c r="H664" s="24" t="s">
        <v>19384</v>
      </c>
      <c r="I664" s="22" t="s">
        <v>19309</v>
      </c>
      <c r="J664" s="22" t="s">
        <v>19573</v>
      </c>
      <c r="K664" s="22" t="s">
        <v>19574</v>
      </c>
      <c r="L664" s="22"/>
      <c r="M664" s="22"/>
      <c r="N664" s="25" t="str">
        <f>HYPERLINK("http://slimages.macys.com/is/image/MCY/21905204 ")</f>
        <v xml:space="preserve">http://slimages.macys.com/is/image/MCY/21905204 </v>
      </c>
    </row>
    <row r="665" spans="1:14" ht="24.75" x14ac:dyDescent="0.25">
      <c r="A665" s="21" t="s">
        <v>17398</v>
      </c>
      <c r="B665" s="22" t="s">
        <v>17399</v>
      </c>
      <c r="C665" s="2">
        <v>2</v>
      </c>
      <c r="D665" s="23">
        <v>5.99</v>
      </c>
      <c r="E665" s="3">
        <v>11.98</v>
      </c>
      <c r="F665" s="2" t="s">
        <v>17395</v>
      </c>
      <c r="G665" s="22" t="s">
        <v>19670</v>
      </c>
      <c r="H665" s="24" t="s">
        <v>19324</v>
      </c>
      <c r="I665" s="22" t="s">
        <v>19309</v>
      </c>
      <c r="J665" s="22" t="s">
        <v>19573</v>
      </c>
      <c r="K665" s="22" t="s">
        <v>19574</v>
      </c>
      <c r="L665" s="22"/>
      <c r="M665" s="22"/>
      <c r="N665" s="25" t="str">
        <f>HYPERLINK("http://slimages.macys.com/is/image/MCY/21905204 ")</f>
        <v xml:space="preserve">http://slimages.macys.com/is/image/MCY/21905204 </v>
      </c>
    </row>
    <row r="666" spans="1:14" ht="24.75" x14ac:dyDescent="0.25">
      <c r="A666" s="21" t="s">
        <v>17400</v>
      </c>
      <c r="B666" s="22" t="s">
        <v>17401</v>
      </c>
      <c r="C666" s="2">
        <v>1</v>
      </c>
      <c r="D666" s="23">
        <v>5.99</v>
      </c>
      <c r="E666" s="3">
        <v>5.99</v>
      </c>
      <c r="F666" s="2" t="s">
        <v>17402</v>
      </c>
      <c r="G666" s="22" t="s">
        <v>19415</v>
      </c>
      <c r="H666" s="24" t="s">
        <v>19538</v>
      </c>
      <c r="I666" s="22" t="s">
        <v>19309</v>
      </c>
      <c r="J666" s="22" t="s">
        <v>19573</v>
      </c>
      <c r="K666" s="22" t="s">
        <v>19574</v>
      </c>
      <c r="L666" s="22"/>
      <c r="M666" s="22"/>
      <c r="N666" s="25" t="str">
        <f>HYPERLINK("http://slimages.macys.com/is/image/MCY/20736365 ")</f>
        <v xml:space="preserve">http://slimages.macys.com/is/image/MCY/20736365 </v>
      </c>
    </row>
    <row r="667" spans="1:14" ht="24.75" x14ac:dyDescent="0.25">
      <c r="A667" s="21" t="s">
        <v>17403</v>
      </c>
      <c r="B667" s="22" t="s">
        <v>17404</v>
      </c>
      <c r="C667" s="2">
        <v>3</v>
      </c>
      <c r="D667" s="23">
        <v>5.99</v>
      </c>
      <c r="E667" s="3">
        <v>17.97</v>
      </c>
      <c r="F667" s="2" t="s">
        <v>17405</v>
      </c>
      <c r="G667" s="22" t="s">
        <v>19351</v>
      </c>
      <c r="H667" s="24" t="s">
        <v>19538</v>
      </c>
      <c r="I667" s="22" t="s">
        <v>19309</v>
      </c>
      <c r="J667" s="22" t="s">
        <v>19573</v>
      </c>
      <c r="K667" s="22" t="s">
        <v>19574</v>
      </c>
      <c r="L667" s="22"/>
      <c r="M667" s="22"/>
      <c r="N667" s="25" t="str">
        <f>HYPERLINK("http://slimages.macys.com/is/image/MCY/21970228 ")</f>
        <v xml:space="preserve">http://slimages.macys.com/is/image/MCY/21970228 </v>
      </c>
    </row>
    <row r="668" spans="1:14" ht="24.75" x14ac:dyDescent="0.25">
      <c r="A668" s="21" t="s">
        <v>17406</v>
      </c>
      <c r="B668" s="22" t="s">
        <v>17407</v>
      </c>
      <c r="C668" s="2">
        <v>2</v>
      </c>
      <c r="D668" s="23">
        <v>5.99</v>
      </c>
      <c r="E668" s="3">
        <v>11.98</v>
      </c>
      <c r="F668" s="2" t="s">
        <v>17408</v>
      </c>
      <c r="G668" s="22" t="s">
        <v>19467</v>
      </c>
      <c r="H668" s="24" t="s">
        <v>19538</v>
      </c>
      <c r="I668" s="22" t="s">
        <v>19309</v>
      </c>
      <c r="J668" s="22" t="s">
        <v>19573</v>
      </c>
      <c r="K668" s="22" t="s">
        <v>19574</v>
      </c>
      <c r="L668" s="22"/>
      <c r="M668" s="22"/>
      <c r="N668" s="25" t="str">
        <f>HYPERLINK("http://slimages.macys.com/is/image/MCY/21970244 ")</f>
        <v xml:space="preserve">http://slimages.macys.com/is/image/MCY/21970244 </v>
      </c>
    </row>
    <row r="669" spans="1:14" ht="24.75" x14ac:dyDescent="0.25">
      <c r="A669" s="21" t="s">
        <v>17409</v>
      </c>
      <c r="B669" s="22" t="s">
        <v>17410</v>
      </c>
      <c r="C669" s="2">
        <v>1</v>
      </c>
      <c r="D669" s="23">
        <v>5.99</v>
      </c>
      <c r="E669" s="3">
        <v>5.99</v>
      </c>
      <c r="F669" s="2" t="s">
        <v>17411</v>
      </c>
      <c r="G669" s="22" t="s">
        <v>19351</v>
      </c>
      <c r="H669" s="24" t="s">
        <v>19416</v>
      </c>
      <c r="I669" s="22" t="s">
        <v>19309</v>
      </c>
      <c r="J669" s="22" t="s">
        <v>19573</v>
      </c>
      <c r="K669" s="22" t="s">
        <v>19574</v>
      </c>
      <c r="L669" s="22"/>
      <c r="M669" s="22"/>
      <c r="N669" s="25" t="str">
        <f>HYPERLINK("http://slimages.macys.com/is/image/MCY/1537013 ")</f>
        <v xml:space="preserve">http://slimages.macys.com/is/image/MCY/1537013 </v>
      </c>
    </row>
    <row r="670" spans="1:14" ht="24.75" x14ac:dyDescent="0.25">
      <c r="A670" s="21" t="s">
        <v>17412</v>
      </c>
      <c r="B670" s="22" t="s">
        <v>17413</v>
      </c>
      <c r="C670" s="2">
        <v>1</v>
      </c>
      <c r="D670" s="23">
        <v>5.99</v>
      </c>
      <c r="E670" s="3">
        <v>5.99</v>
      </c>
      <c r="F670" s="2" t="s">
        <v>17414</v>
      </c>
      <c r="G670" s="22" t="s">
        <v>19467</v>
      </c>
      <c r="H670" s="24" t="s">
        <v>19538</v>
      </c>
      <c r="I670" s="22" t="s">
        <v>19309</v>
      </c>
      <c r="J670" s="22" t="s">
        <v>19573</v>
      </c>
      <c r="K670" s="22" t="s">
        <v>19574</v>
      </c>
      <c r="L670" s="22"/>
      <c r="M670" s="22"/>
      <c r="N670" s="25" t="str">
        <f>HYPERLINK("http://slimages.macys.com/is/image/MCY/1151045 ")</f>
        <v xml:space="preserve">http://slimages.macys.com/is/image/MCY/1151045 </v>
      </c>
    </row>
    <row r="671" spans="1:14" ht="24.75" x14ac:dyDescent="0.25">
      <c r="A671" s="21" t="s">
        <v>17415</v>
      </c>
      <c r="B671" s="22" t="s">
        <v>17416</v>
      </c>
      <c r="C671" s="2">
        <v>1</v>
      </c>
      <c r="D671" s="23">
        <v>5.99</v>
      </c>
      <c r="E671" s="3">
        <v>5.99</v>
      </c>
      <c r="F671" s="2" t="s">
        <v>17417</v>
      </c>
      <c r="G671" s="22" t="s">
        <v>19351</v>
      </c>
      <c r="H671" s="24" t="s">
        <v>19384</v>
      </c>
      <c r="I671" s="22" t="s">
        <v>19309</v>
      </c>
      <c r="J671" s="22" t="s">
        <v>19573</v>
      </c>
      <c r="K671" s="22" t="s">
        <v>19574</v>
      </c>
      <c r="L671" s="22"/>
      <c r="M671" s="22"/>
      <c r="N671" s="25" t="str">
        <f>HYPERLINK("http://slimages.macys.com/is/image/MCY/21209473 ")</f>
        <v xml:space="preserve">http://slimages.macys.com/is/image/MCY/21209473 </v>
      </c>
    </row>
    <row r="672" spans="1:14" ht="24.75" x14ac:dyDescent="0.25">
      <c r="A672" s="21" t="s">
        <v>17418</v>
      </c>
      <c r="B672" s="22" t="s">
        <v>17419</v>
      </c>
      <c r="C672" s="2">
        <v>3</v>
      </c>
      <c r="D672" s="23">
        <v>5.99</v>
      </c>
      <c r="E672" s="3">
        <v>17.97</v>
      </c>
      <c r="F672" s="2" t="s">
        <v>17420</v>
      </c>
      <c r="G672" s="22" t="s">
        <v>19462</v>
      </c>
      <c r="H672" s="24" t="s">
        <v>19384</v>
      </c>
      <c r="I672" s="22" t="s">
        <v>19309</v>
      </c>
      <c r="J672" s="22" t="s">
        <v>19573</v>
      </c>
      <c r="K672" s="22" t="s">
        <v>19574</v>
      </c>
      <c r="L672" s="22"/>
      <c r="M672" s="22"/>
      <c r="N672" s="25" t="str">
        <f>HYPERLINK("http://slimages.macys.com/is/image/MCY/21209187 ")</f>
        <v xml:space="preserve">http://slimages.macys.com/is/image/MCY/21209187 </v>
      </c>
    </row>
    <row r="673" spans="1:14" ht="24.75" x14ac:dyDescent="0.25">
      <c r="A673" s="21" t="s">
        <v>17421</v>
      </c>
      <c r="B673" s="22" t="s">
        <v>17422</v>
      </c>
      <c r="C673" s="2">
        <v>1</v>
      </c>
      <c r="D673" s="23">
        <v>5.99</v>
      </c>
      <c r="E673" s="3">
        <v>5.99</v>
      </c>
      <c r="F673" s="2" t="s">
        <v>17417</v>
      </c>
      <c r="G673" s="22" t="s">
        <v>19351</v>
      </c>
      <c r="H673" s="24" t="s">
        <v>19538</v>
      </c>
      <c r="I673" s="22" t="s">
        <v>19309</v>
      </c>
      <c r="J673" s="22" t="s">
        <v>19573</v>
      </c>
      <c r="K673" s="22" t="s">
        <v>19574</v>
      </c>
      <c r="L673" s="22"/>
      <c r="M673" s="22"/>
      <c r="N673" s="25" t="str">
        <f>HYPERLINK("http://slimages.macys.com/is/image/MCY/21209473 ")</f>
        <v xml:space="preserve">http://slimages.macys.com/is/image/MCY/21209473 </v>
      </c>
    </row>
    <row r="674" spans="1:14" ht="24.75" x14ac:dyDescent="0.25">
      <c r="A674" s="21" t="s">
        <v>17423</v>
      </c>
      <c r="B674" s="22" t="s">
        <v>17424</v>
      </c>
      <c r="C674" s="2">
        <v>2</v>
      </c>
      <c r="D674" s="23">
        <v>5.99</v>
      </c>
      <c r="E674" s="3">
        <v>11.98</v>
      </c>
      <c r="F674" s="2" t="s">
        <v>17425</v>
      </c>
      <c r="G674" s="22" t="s">
        <v>19670</v>
      </c>
      <c r="H674" s="24" t="s">
        <v>19538</v>
      </c>
      <c r="I674" s="22" t="s">
        <v>19309</v>
      </c>
      <c r="J674" s="22" t="s">
        <v>19573</v>
      </c>
      <c r="K674" s="22" t="s">
        <v>19574</v>
      </c>
      <c r="L674" s="22"/>
      <c r="M674" s="22"/>
      <c r="N674" s="25" t="str">
        <f>HYPERLINK("http://slimages.macys.com/is/image/MCY/1537013 ")</f>
        <v xml:space="preserve">http://slimages.macys.com/is/image/MCY/1537013 </v>
      </c>
    </row>
    <row r="675" spans="1:14" ht="24.75" x14ac:dyDescent="0.25">
      <c r="A675" s="21" t="s">
        <v>17426</v>
      </c>
      <c r="B675" s="22" t="s">
        <v>17427</v>
      </c>
      <c r="C675" s="2">
        <v>1</v>
      </c>
      <c r="D675" s="23">
        <v>5.99</v>
      </c>
      <c r="E675" s="3">
        <v>5.99</v>
      </c>
      <c r="F675" s="2" t="s">
        <v>17425</v>
      </c>
      <c r="G675" s="22" t="s">
        <v>19670</v>
      </c>
      <c r="H675" s="24" t="s">
        <v>19330</v>
      </c>
      <c r="I675" s="22" t="s">
        <v>19309</v>
      </c>
      <c r="J675" s="22" t="s">
        <v>19573</v>
      </c>
      <c r="K675" s="22" t="s">
        <v>19574</v>
      </c>
      <c r="L675" s="22"/>
      <c r="M675" s="22"/>
      <c r="N675" s="25" t="str">
        <f>HYPERLINK("http://slimages.macys.com/is/image/MCY/1537013 ")</f>
        <v xml:space="preserve">http://slimages.macys.com/is/image/MCY/1537013 </v>
      </c>
    </row>
    <row r="676" spans="1:14" ht="24.75" x14ac:dyDescent="0.25">
      <c r="A676" s="21" t="s">
        <v>17428</v>
      </c>
      <c r="B676" s="22" t="s">
        <v>17429</v>
      </c>
      <c r="C676" s="2">
        <v>1</v>
      </c>
      <c r="D676" s="23">
        <v>5.99</v>
      </c>
      <c r="E676" s="3">
        <v>5.99</v>
      </c>
      <c r="F676" s="2" t="s">
        <v>17430</v>
      </c>
      <c r="G676" s="22" t="s">
        <v>19351</v>
      </c>
      <c r="H676" s="24" t="s">
        <v>19416</v>
      </c>
      <c r="I676" s="22" t="s">
        <v>19309</v>
      </c>
      <c r="J676" s="22" t="s">
        <v>19573</v>
      </c>
      <c r="K676" s="22" t="s">
        <v>19574</v>
      </c>
      <c r="L676" s="22"/>
      <c r="M676" s="22"/>
      <c r="N676" s="25" t="str">
        <f>HYPERLINK("http://slimages.macys.com/is/image/MCY/1537013 ")</f>
        <v xml:space="preserve">http://slimages.macys.com/is/image/MCY/1537013 </v>
      </c>
    </row>
    <row r="677" spans="1:14" ht="24.75" x14ac:dyDescent="0.25">
      <c r="A677" s="21" t="s">
        <v>17431</v>
      </c>
      <c r="B677" s="22" t="s">
        <v>17432</v>
      </c>
      <c r="C677" s="2">
        <v>1</v>
      </c>
      <c r="D677" s="23">
        <v>5.99</v>
      </c>
      <c r="E677" s="3">
        <v>5.99</v>
      </c>
      <c r="F677" s="2" t="s">
        <v>17433</v>
      </c>
      <c r="G677" s="22" t="s">
        <v>19467</v>
      </c>
      <c r="H677" s="24" t="s">
        <v>19384</v>
      </c>
      <c r="I677" s="22" t="s">
        <v>19309</v>
      </c>
      <c r="J677" s="22" t="s">
        <v>19573</v>
      </c>
      <c r="K677" s="22" t="s">
        <v>19574</v>
      </c>
      <c r="L677" s="22"/>
      <c r="M677" s="22"/>
      <c r="N677" s="25" t="str">
        <f>HYPERLINK("http://slimages.macys.com/is/image/MCY/21209307 ")</f>
        <v xml:space="preserve">http://slimages.macys.com/is/image/MCY/21209307 </v>
      </c>
    </row>
    <row r="678" spans="1:14" ht="24.75" x14ac:dyDescent="0.25">
      <c r="A678" s="21" t="s">
        <v>17434</v>
      </c>
      <c r="B678" s="22" t="s">
        <v>17435</v>
      </c>
      <c r="C678" s="2">
        <v>1</v>
      </c>
      <c r="D678" s="23">
        <v>5.99</v>
      </c>
      <c r="E678" s="3">
        <v>5.99</v>
      </c>
      <c r="F678" s="2" t="s">
        <v>17433</v>
      </c>
      <c r="G678" s="22" t="s">
        <v>19467</v>
      </c>
      <c r="H678" s="24" t="s">
        <v>19324</v>
      </c>
      <c r="I678" s="22" t="s">
        <v>19309</v>
      </c>
      <c r="J678" s="22" t="s">
        <v>19573</v>
      </c>
      <c r="K678" s="22" t="s">
        <v>19574</v>
      </c>
      <c r="L678" s="22"/>
      <c r="M678" s="22"/>
      <c r="N678" s="25" t="str">
        <f>HYPERLINK("http://slimages.macys.com/is/image/MCY/21209307 ")</f>
        <v xml:space="preserve">http://slimages.macys.com/is/image/MCY/21209307 </v>
      </c>
    </row>
    <row r="679" spans="1:14" ht="24.75" x14ac:dyDescent="0.25">
      <c r="A679" s="21" t="s">
        <v>17436</v>
      </c>
      <c r="B679" s="22" t="s">
        <v>17437</v>
      </c>
      <c r="C679" s="2">
        <v>1</v>
      </c>
      <c r="D679" s="23">
        <v>5.99</v>
      </c>
      <c r="E679" s="3">
        <v>5.99</v>
      </c>
      <c r="F679" s="2" t="s">
        <v>17433</v>
      </c>
      <c r="G679" s="22" t="s">
        <v>19467</v>
      </c>
      <c r="H679" s="24" t="s">
        <v>19330</v>
      </c>
      <c r="I679" s="22" t="s">
        <v>19309</v>
      </c>
      <c r="J679" s="22" t="s">
        <v>19573</v>
      </c>
      <c r="K679" s="22" t="s">
        <v>19574</v>
      </c>
      <c r="L679" s="22"/>
      <c r="M679" s="22"/>
      <c r="N679" s="25" t="str">
        <f>HYPERLINK("http://slimages.macys.com/is/image/MCY/21209307 ")</f>
        <v xml:space="preserve">http://slimages.macys.com/is/image/MCY/21209307 </v>
      </c>
    </row>
    <row r="680" spans="1:14" ht="24.75" x14ac:dyDescent="0.25">
      <c r="A680" s="21" t="s">
        <v>17438</v>
      </c>
      <c r="B680" s="22" t="s">
        <v>17439</v>
      </c>
      <c r="C680" s="2">
        <v>4</v>
      </c>
      <c r="D680" s="23">
        <v>5.99</v>
      </c>
      <c r="E680" s="3">
        <v>23.96</v>
      </c>
      <c r="F680" s="2" t="s">
        <v>17440</v>
      </c>
      <c r="G680" s="22" t="s">
        <v>19415</v>
      </c>
      <c r="H680" s="24" t="s">
        <v>19538</v>
      </c>
      <c r="I680" s="22" t="s">
        <v>19309</v>
      </c>
      <c r="J680" s="22" t="s">
        <v>19573</v>
      </c>
      <c r="K680" s="22" t="s">
        <v>19574</v>
      </c>
      <c r="L680" s="22"/>
      <c r="M680" s="22"/>
      <c r="N680" s="25" t="str">
        <f>HYPERLINK("http://slimages.macys.com/is/image/MCY/21209026 ")</f>
        <v xml:space="preserve">http://slimages.macys.com/is/image/MCY/21209026 </v>
      </c>
    </row>
    <row r="681" spans="1:14" ht="24.75" x14ac:dyDescent="0.25">
      <c r="A681" s="21" t="s">
        <v>17441</v>
      </c>
      <c r="B681" s="22" t="s">
        <v>17442</v>
      </c>
      <c r="C681" s="2">
        <v>1</v>
      </c>
      <c r="D681" s="23">
        <v>5.99</v>
      </c>
      <c r="E681" s="3">
        <v>5.99</v>
      </c>
      <c r="F681" s="2" t="s">
        <v>17440</v>
      </c>
      <c r="G681" s="22" t="s">
        <v>19415</v>
      </c>
      <c r="H681" s="24" t="s">
        <v>19384</v>
      </c>
      <c r="I681" s="22" t="s">
        <v>19309</v>
      </c>
      <c r="J681" s="22" t="s">
        <v>19573</v>
      </c>
      <c r="K681" s="22" t="s">
        <v>19574</v>
      </c>
      <c r="L681" s="22"/>
      <c r="M681" s="22"/>
      <c r="N681" s="25" t="str">
        <f>HYPERLINK("http://slimages.macys.com/is/image/MCY/21209026 ")</f>
        <v xml:space="preserve">http://slimages.macys.com/is/image/MCY/21209026 </v>
      </c>
    </row>
    <row r="682" spans="1:14" ht="24.75" x14ac:dyDescent="0.25">
      <c r="A682" s="21" t="s">
        <v>17443</v>
      </c>
      <c r="B682" s="22" t="s">
        <v>17444</v>
      </c>
      <c r="C682" s="2">
        <v>1</v>
      </c>
      <c r="D682" s="23">
        <v>5.99</v>
      </c>
      <c r="E682" s="3">
        <v>5.99</v>
      </c>
      <c r="F682" s="2" t="s">
        <v>17440</v>
      </c>
      <c r="G682" s="22" t="s">
        <v>19906</v>
      </c>
      <c r="H682" s="24" t="s">
        <v>19330</v>
      </c>
      <c r="I682" s="22" t="s">
        <v>19309</v>
      </c>
      <c r="J682" s="22" t="s">
        <v>19573</v>
      </c>
      <c r="K682" s="22" t="s">
        <v>19574</v>
      </c>
      <c r="L682" s="22"/>
      <c r="M682" s="22"/>
      <c r="N682" s="25" t="str">
        <f>HYPERLINK("http://slimages.macys.com/is/image/MCY/21209026 ")</f>
        <v xml:space="preserve">http://slimages.macys.com/is/image/MCY/21209026 </v>
      </c>
    </row>
    <row r="683" spans="1:14" ht="24.75" x14ac:dyDescent="0.25">
      <c r="A683" s="21" t="s">
        <v>17445</v>
      </c>
      <c r="B683" s="22" t="s">
        <v>17446</v>
      </c>
      <c r="C683" s="2">
        <v>1</v>
      </c>
      <c r="D683" s="23">
        <v>5.99</v>
      </c>
      <c r="E683" s="3">
        <v>5.99</v>
      </c>
      <c r="F683" s="2" t="s">
        <v>17440</v>
      </c>
      <c r="G683" s="22" t="s">
        <v>19906</v>
      </c>
      <c r="H683" s="24" t="s">
        <v>19538</v>
      </c>
      <c r="I683" s="22" t="s">
        <v>19309</v>
      </c>
      <c r="J683" s="22" t="s">
        <v>19573</v>
      </c>
      <c r="K683" s="22" t="s">
        <v>19574</v>
      </c>
      <c r="L683" s="22"/>
      <c r="M683" s="22"/>
      <c r="N683" s="25" t="str">
        <f>HYPERLINK("http://slimages.macys.com/is/image/MCY/21209026 ")</f>
        <v xml:space="preserve">http://slimages.macys.com/is/image/MCY/21209026 </v>
      </c>
    </row>
    <row r="684" spans="1:14" ht="24.75" x14ac:dyDescent="0.25">
      <c r="A684" s="21" t="s">
        <v>17447</v>
      </c>
      <c r="B684" s="22" t="s">
        <v>17448</v>
      </c>
      <c r="C684" s="2">
        <v>1</v>
      </c>
      <c r="D684" s="23">
        <v>5.99</v>
      </c>
      <c r="E684" s="3">
        <v>5.99</v>
      </c>
      <c r="F684" s="2" t="s">
        <v>17449</v>
      </c>
      <c r="G684" s="22" t="s">
        <v>19415</v>
      </c>
      <c r="H684" s="24" t="s">
        <v>19324</v>
      </c>
      <c r="I684" s="22" t="s">
        <v>19309</v>
      </c>
      <c r="J684" s="22" t="s">
        <v>19573</v>
      </c>
      <c r="K684" s="22" t="s">
        <v>19574</v>
      </c>
      <c r="L684" s="22"/>
      <c r="M684" s="22"/>
      <c r="N684" s="25" t="str">
        <f>HYPERLINK("http://slimages.macys.com/is/image/MCY/21209295 ")</f>
        <v xml:space="preserve">http://slimages.macys.com/is/image/MCY/21209295 </v>
      </c>
    </row>
    <row r="685" spans="1:14" ht="24.75" x14ac:dyDescent="0.25">
      <c r="A685" s="21" t="s">
        <v>17450</v>
      </c>
      <c r="B685" s="22" t="s">
        <v>17451</v>
      </c>
      <c r="C685" s="2">
        <v>1</v>
      </c>
      <c r="D685" s="23">
        <v>5.99</v>
      </c>
      <c r="E685" s="3">
        <v>5.99</v>
      </c>
      <c r="F685" s="2" t="s">
        <v>17452</v>
      </c>
      <c r="G685" s="22" t="s">
        <v>19467</v>
      </c>
      <c r="H685" s="24" t="s">
        <v>19324</v>
      </c>
      <c r="I685" s="22" t="s">
        <v>19309</v>
      </c>
      <c r="J685" s="22" t="s">
        <v>19573</v>
      </c>
      <c r="K685" s="22" t="s">
        <v>19574</v>
      </c>
      <c r="L685" s="22"/>
      <c r="M685" s="22"/>
      <c r="N685" s="25" t="str">
        <f>HYPERLINK("http://slimages.macys.com/is/image/MCY/21209018 ")</f>
        <v xml:space="preserve">http://slimages.macys.com/is/image/MCY/21209018 </v>
      </c>
    </row>
    <row r="686" spans="1:14" ht="24.75" x14ac:dyDescent="0.25">
      <c r="A686" s="21" t="s">
        <v>17453</v>
      </c>
      <c r="B686" s="22" t="s">
        <v>17454</v>
      </c>
      <c r="C686" s="2">
        <v>2</v>
      </c>
      <c r="D686" s="23">
        <v>5.99</v>
      </c>
      <c r="E686" s="3">
        <v>11.98</v>
      </c>
      <c r="F686" s="2" t="s">
        <v>17455</v>
      </c>
      <c r="G686" s="22" t="s">
        <v>19431</v>
      </c>
      <c r="H686" s="24" t="s">
        <v>19384</v>
      </c>
      <c r="I686" s="22" t="s">
        <v>19309</v>
      </c>
      <c r="J686" s="22" t="s">
        <v>19573</v>
      </c>
      <c r="K686" s="22" t="s">
        <v>19574</v>
      </c>
      <c r="L686" s="22"/>
      <c r="M686" s="22"/>
      <c r="N686" s="25" t="str">
        <f>HYPERLINK("http://slimages.macys.com/is/image/MCY/21089250 ")</f>
        <v xml:space="preserve">http://slimages.macys.com/is/image/MCY/21089250 </v>
      </c>
    </row>
    <row r="687" spans="1:14" ht="24.75" x14ac:dyDescent="0.25">
      <c r="A687" s="21" t="s">
        <v>17456</v>
      </c>
      <c r="B687" s="22" t="s">
        <v>17457</v>
      </c>
      <c r="C687" s="2">
        <v>1</v>
      </c>
      <c r="D687" s="23">
        <v>5.99</v>
      </c>
      <c r="E687" s="3">
        <v>5.99</v>
      </c>
      <c r="F687" s="2" t="s">
        <v>17458</v>
      </c>
      <c r="G687" s="22" t="s">
        <v>19351</v>
      </c>
      <c r="H687" s="24" t="s">
        <v>19538</v>
      </c>
      <c r="I687" s="22" t="s">
        <v>19309</v>
      </c>
      <c r="J687" s="22" t="s">
        <v>19573</v>
      </c>
      <c r="K687" s="22" t="s">
        <v>19574</v>
      </c>
      <c r="L687" s="22"/>
      <c r="M687" s="22"/>
      <c r="N687" s="25" t="str">
        <f>HYPERLINK("http://slimages.macys.com/is/image/MCY/1122113 ")</f>
        <v xml:space="preserve">http://slimages.macys.com/is/image/MCY/1122113 </v>
      </c>
    </row>
    <row r="688" spans="1:14" ht="24.75" x14ac:dyDescent="0.25">
      <c r="A688" s="21" t="s">
        <v>17459</v>
      </c>
      <c r="B688" s="22" t="s">
        <v>17460</v>
      </c>
      <c r="C688" s="2">
        <v>1</v>
      </c>
      <c r="D688" s="23">
        <v>5.99</v>
      </c>
      <c r="E688" s="3">
        <v>5.99</v>
      </c>
      <c r="F688" s="2" t="s">
        <v>17455</v>
      </c>
      <c r="G688" s="22" t="s">
        <v>19431</v>
      </c>
      <c r="H688" s="24" t="s">
        <v>19324</v>
      </c>
      <c r="I688" s="22" t="s">
        <v>19309</v>
      </c>
      <c r="J688" s="22" t="s">
        <v>19573</v>
      </c>
      <c r="K688" s="22" t="s">
        <v>19574</v>
      </c>
      <c r="L688" s="22"/>
      <c r="M688" s="22"/>
      <c r="N688" s="25" t="str">
        <f>HYPERLINK("http://slimages.macys.com/is/image/MCY/21089250 ")</f>
        <v xml:space="preserve">http://slimages.macys.com/is/image/MCY/21089250 </v>
      </c>
    </row>
    <row r="689" spans="1:14" ht="24.75" x14ac:dyDescent="0.25">
      <c r="A689" s="21" t="s">
        <v>17461</v>
      </c>
      <c r="B689" s="22" t="s">
        <v>17462</v>
      </c>
      <c r="C689" s="2">
        <v>2</v>
      </c>
      <c r="D689" s="23">
        <v>4.99</v>
      </c>
      <c r="E689" s="3">
        <v>9.98</v>
      </c>
      <c r="F689" s="2" t="s">
        <v>17463</v>
      </c>
      <c r="G689" s="22" t="s">
        <v>19323</v>
      </c>
      <c r="H689" s="24" t="s">
        <v>19364</v>
      </c>
      <c r="I689" s="22" t="s">
        <v>19309</v>
      </c>
      <c r="J689" s="22" t="s">
        <v>20076</v>
      </c>
      <c r="K689" s="22" t="s">
        <v>20077</v>
      </c>
      <c r="L689" s="22" t="s">
        <v>19319</v>
      </c>
      <c r="M689" s="22" t="s">
        <v>19209</v>
      </c>
      <c r="N689" s="25" t="str">
        <f>HYPERLINK("http://slimages.macys.com/is/image/MCY/9378229 ")</f>
        <v xml:space="preserve">http://slimages.macys.com/is/image/MCY/9378229 </v>
      </c>
    </row>
    <row r="690" spans="1:14" ht="24.75" x14ac:dyDescent="0.25">
      <c r="A690" s="21" t="s">
        <v>17464</v>
      </c>
      <c r="B690" s="22" t="s">
        <v>17465</v>
      </c>
      <c r="C690" s="2">
        <v>1</v>
      </c>
      <c r="D690" s="23">
        <v>4.99</v>
      </c>
      <c r="E690" s="3">
        <v>4.99</v>
      </c>
      <c r="F690" s="2" t="s">
        <v>17463</v>
      </c>
      <c r="G690" s="22" t="s">
        <v>19323</v>
      </c>
      <c r="H690" s="24" t="s">
        <v>19339</v>
      </c>
      <c r="I690" s="22" t="s">
        <v>19309</v>
      </c>
      <c r="J690" s="22" t="s">
        <v>20076</v>
      </c>
      <c r="K690" s="22" t="s">
        <v>20077</v>
      </c>
      <c r="L690" s="22" t="s">
        <v>19319</v>
      </c>
      <c r="M690" s="22" t="s">
        <v>19209</v>
      </c>
      <c r="N690" s="25" t="str">
        <f>HYPERLINK("http://slimages.macys.com/is/image/MCY/9378229 ")</f>
        <v xml:space="preserve">http://slimages.macys.com/is/image/MCY/9378229 </v>
      </c>
    </row>
    <row r="691" spans="1:14" ht="24.75" x14ac:dyDescent="0.25">
      <c r="A691" s="21" t="s">
        <v>17466</v>
      </c>
      <c r="B691" s="22" t="s">
        <v>17467</v>
      </c>
      <c r="C691" s="2">
        <v>1</v>
      </c>
      <c r="D691" s="23">
        <v>4.99</v>
      </c>
      <c r="E691" s="3">
        <v>4.99</v>
      </c>
      <c r="F691" s="2" t="s">
        <v>17463</v>
      </c>
      <c r="G691" s="22" t="s">
        <v>19323</v>
      </c>
      <c r="H691" s="24" t="s">
        <v>19797</v>
      </c>
      <c r="I691" s="22" t="s">
        <v>19309</v>
      </c>
      <c r="J691" s="22" t="s">
        <v>20076</v>
      </c>
      <c r="K691" s="22" t="s">
        <v>20077</v>
      </c>
      <c r="L691" s="22" t="s">
        <v>19319</v>
      </c>
      <c r="M691" s="22" t="s">
        <v>19209</v>
      </c>
      <c r="N691" s="25" t="str">
        <f>HYPERLINK("http://slimages.macys.com/is/image/MCY/9378229 ")</f>
        <v xml:space="preserve">http://slimages.macys.com/is/image/MCY/9378229 </v>
      </c>
    </row>
    <row r="692" spans="1:14" ht="24.75" x14ac:dyDescent="0.25">
      <c r="A692" s="21" t="s">
        <v>17468</v>
      </c>
      <c r="B692" s="22" t="s">
        <v>17469</v>
      </c>
      <c r="C692" s="2">
        <v>1</v>
      </c>
      <c r="D692" s="23">
        <v>4.99</v>
      </c>
      <c r="E692" s="3">
        <v>4.99</v>
      </c>
      <c r="F692" s="2" t="s">
        <v>17463</v>
      </c>
      <c r="G692" s="22" t="s">
        <v>19323</v>
      </c>
      <c r="H692" s="24" t="s">
        <v>19352</v>
      </c>
      <c r="I692" s="22" t="s">
        <v>19309</v>
      </c>
      <c r="J692" s="22" t="s">
        <v>20076</v>
      </c>
      <c r="K692" s="22" t="s">
        <v>20077</v>
      </c>
      <c r="L692" s="22" t="s">
        <v>19319</v>
      </c>
      <c r="M692" s="22" t="s">
        <v>19209</v>
      </c>
      <c r="N692" s="25" t="str">
        <f>HYPERLINK("http://slimages.macys.com/is/image/MCY/9378229 ")</f>
        <v xml:space="preserve">http://slimages.macys.com/is/image/MCY/9378229 </v>
      </c>
    </row>
    <row r="693" spans="1:14" ht="24.75" x14ac:dyDescent="0.25">
      <c r="A693" s="21" t="s">
        <v>17470</v>
      </c>
      <c r="B693" s="22" t="s">
        <v>17471</v>
      </c>
      <c r="C693" s="2">
        <v>1</v>
      </c>
      <c r="D693" s="23">
        <v>5.99</v>
      </c>
      <c r="E693" s="3">
        <v>5.99</v>
      </c>
      <c r="F693" s="2" t="s">
        <v>17472</v>
      </c>
      <c r="G693" s="22" t="s">
        <v>19467</v>
      </c>
      <c r="H693" s="24" t="s">
        <v>19330</v>
      </c>
      <c r="I693" s="22" t="s">
        <v>19309</v>
      </c>
      <c r="J693" s="22" t="s">
        <v>19573</v>
      </c>
      <c r="K693" s="22" t="s">
        <v>19574</v>
      </c>
      <c r="L693" s="22"/>
      <c r="M693" s="22"/>
      <c r="N693" s="25" t="str">
        <f>HYPERLINK("http://slimages.macys.com/is/image/MCY/16605973 ")</f>
        <v xml:space="preserve">http://slimages.macys.com/is/image/MCY/16605973 </v>
      </c>
    </row>
    <row r="694" spans="1:14" ht="24.75" x14ac:dyDescent="0.25">
      <c r="A694" s="21" t="s">
        <v>17473</v>
      </c>
      <c r="B694" s="22" t="s">
        <v>17474</v>
      </c>
      <c r="C694" s="2">
        <v>1</v>
      </c>
      <c r="D694" s="23">
        <v>35.99</v>
      </c>
      <c r="E694" s="3">
        <v>35.99</v>
      </c>
      <c r="F694" s="2" t="s">
        <v>17475</v>
      </c>
      <c r="G694" s="22" t="s">
        <v>19674</v>
      </c>
      <c r="H694" s="24" t="s">
        <v>19330</v>
      </c>
      <c r="I694" s="22" t="s">
        <v>19309</v>
      </c>
      <c r="J694" s="22" t="s">
        <v>19385</v>
      </c>
      <c r="K694" s="22" t="s">
        <v>19487</v>
      </c>
      <c r="L694" s="22"/>
      <c r="M694" s="22"/>
      <c r="N694" s="25"/>
    </row>
    <row r="695" spans="1:14" ht="24.75" x14ac:dyDescent="0.25">
      <c r="A695" s="21" t="s">
        <v>17476</v>
      </c>
      <c r="B695" s="22" t="s">
        <v>17477</v>
      </c>
      <c r="C695" s="2">
        <v>1</v>
      </c>
      <c r="D695" s="23">
        <v>34.99</v>
      </c>
      <c r="E695" s="3">
        <v>34.99</v>
      </c>
      <c r="F695" s="2" t="s">
        <v>17478</v>
      </c>
      <c r="G695" s="22" t="s">
        <v>19333</v>
      </c>
      <c r="H695" s="24" t="s">
        <v>19330</v>
      </c>
      <c r="I695" s="22" t="s">
        <v>19309</v>
      </c>
      <c r="J695" s="22" t="s">
        <v>19385</v>
      </c>
      <c r="K695" s="22" t="s">
        <v>19487</v>
      </c>
      <c r="L695" s="22"/>
      <c r="M695" s="22"/>
      <c r="N695" s="25"/>
    </row>
    <row r="696" spans="1:14" ht="24.75" x14ac:dyDescent="0.25">
      <c r="A696" s="21" t="s">
        <v>17479</v>
      </c>
      <c r="B696" s="22" t="s">
        <v>17480</v>
      </c>
      <c r="C696" s="2">
        <v>1</v>
      </c>
      <c r="D696" s="23">
        <v>32.99</v>
      </c>
      <c r="E696" s="3">
        <v>32.99</v>
      </c>
      <c r="F696" s="2" t="s">
        <v>17481</v>
      </c>
      <c r="G696" s="22" t="s">
        <v>19415</v>
      </c>
      <c r="H696" s="24" t="s">
        <v>19538</v>
      </c>
      <c r="I696" s="22" t="s">
        <v>19309</v>
      </c>
      <c r="J696" s="22" t="s">
        <v>19385</v>
      </c>
      <c r="K696" s="22" t="s">
        <v>19487</v>
      </c>
      <c r="L696" s="22"/>
      <c r="M696" s="22"/>
      <c r="N696" s="25"/>
    </row>
    <row r="697" spans="1:14" ht="24.75" x14ac:dyDescent="0.25">
      <c r="A697" s="21" t="s">
        <v>17482</v>
      </c>
      <c r="B697" s="22" t="s">
        <v>17483</v>
      </c>
      <c r="C697" s="2">
        <v>1</v>
      </c>
      <c r="D697" s="23">
        <v>32.99</v>
      </c>
      <c r="E697" s="3">
        <v>32.99</v>
      </c>
      <c r="F697" s="2" t="s">
        <v>17481</v>
      </c>
      <c r="G697" s="22" t="s">
        <v>19415</v>
      </c>
      <c r="H697" s="24" t="s">
        <v>19384</v>
      </c>
      <c r="I697" s="22" t="s">
        <v>19309</v>
      </c>
      <c r="J697" s="22" t="s">
        <v>19385</v>
      </c>
      <c r="K697" s="22" t="s">
        <v>19487</v>
      </c>
      <c r="L697" s="22"/>
      <c r="M697" s="22"/>
      <c r="N697" s="25"/>
    </row>
    <row r="698" spans="1:14" ht="24.75" x14ac:dyDescent="0.25">
      <c r="A698" s="21" t="s">
        <v>17484</v>
      </c>
      <c r="B698" s="22" t="s">
        <v>17485</v>
      </c>
      <c r="C698" s="2">
        <v>1</v>
      </c>
      <c r="D698" s="23">
        <v>32.99</v>
      </c>
      <c r="E698" s="3">
        <v>32.99</v>
      </c>
      <c r="F698" s="2" t="s">
        <v>17481</v>
      </c>
      <c r="G698" s="22" t="s">
        <v>19415</v>
      </c>
      <c r="H698" s="24" t="s">
        <v>19330</v>
      </c>
      <c r="I698" s="22" t="s">
        <v>19309</v>
      </c>
      <c r="J698" s="22" t="s">
        <v>19385</v>
      </c>
      <c r="K698" s="22" t="s">
        <v>19487</v>
      </c>
      <c r="L698" s="22"/>
      <c r="M698" s="22"/>
      <c r="N698" s="25"/>
    </row>
    <row r="699" spans="1:14" ht="24.75" x14ac:dyDescent="0.25">
      <c r="A699" s="21" t="s">
        <v>17486</v>
      </c>
      <c r="B699" s="22" t="s">
        <v>17487</v>
      </c>
      <c r="C699" s="2">
        <v>2</v>
      </c>
      <c r="D699" s="23">
        <v>26.99</v>
      </c>
      <c r="E699" s="3">
        <v>53.98</v>
      </c>
      <c r="F699" s="2" t="s">
        <v>17488</v>
      </c>
      <c r="G699" s="22" t="s">
        <v>19357</v>
      </c>
      <c r="H699" s="24" t="s">
        <v>19416</v>
      </c>
      <c r="I699" s="22" t="s">
        <v>19309</v>
      </c>
      <c r="J699" s="22" t="s">
        <v>19385</v>
      </c>
      <c r="K699" s="22" t="s">
        <v>19487</v>
      </c>
      <c r="L699" s="22"/>
      <c r="M699" s="22"/>
      <c r="N699" s="25"/>
    </row>
    <row r="700" spans="1:14" ht="24.75" x14ac:dyDescent="0.25">
      <c r="A700" s="21" t="s">
        <v>17489</v>
      </c>
      <c r="B700" s="22" t="s">
        <v>17490</v>
      </c>
      <c r="C700" s="2">
        <v>2</v>
      </c>
      <c r="D700" s="23">
        <v>26.99</v>
      </c>
      <c r="E700" s="3">
        <v>53.98</v>
      </c>
      <c r="F700" s="2" t="s">
        <v>17488</v>
      </c>
      <c r="G700" s="22" t="s">
        <v>19357</v>
      </c>
      <c r="H700" s="24" t="s">
        <v>19324</v>
      </c>
      <c r="I700" s="22" t="s">
        <v>19309</v>
      </c>
      <c r="J700" s="22" t="s">
        <v>19385</v>
      </c>
      <c r="K700" s="22" t="s">
        <v>19487</v>
      </c>
      <c r="L700" s="22"/>
      <c r="M700" s="22"/>
      <c r="N700" s="25"/>
    </row>
    <row r="701" spans="1:14" ht="24.75" x14ac:dyDescent="0.25">
      <c r="A701" s="21" t="s">
        <v>17491</v>
      </c>
      <c r="B701" s="22" t="s">
        <v>17492</v>
      </c>
      <c r="C701" s="2">
        <v>1</v>
      </c>
      <c r="D701" s="23">
        <v>26.99</v>
      </c>
      <c r="E701" s="3">
        <v>26.99</v>
      </c>
      <c r="F701" s="2" t="s">
        <v>17488</v>
      </c>
      <c r="G701" s="22" t="s">
        <v>19357</v>
      </c>
      <c r="H701" s="24" t="s">
        <v>19384</v>
      </c>
      <c r="I701" s="22" t="s">
        <v>19309</v>
      </c>
      <c r="J701" s="22" t="s">
        <v>19385</v>
      </c>
      <c r="K701" s="22" t="s">
        <v>19487</v>
      </c>
      <c r="L701" s="22"/>
      <c r="M701" s="22"/>
      <c r="N701" s="25"/>
    </row>
    <row r="702" spans="1:14" ht="24.75" x14ac:dyDescent="0.25">
      <c r="A702" s="21" t="s">
        <v>17493</v>
      </c>
      <c r="B702" s="22" t="s">
        <v>17494</v>
      </c>
      <c r="C702" s="2">
        <v>1</v>
      </c>
      <c r="D702" s="23">
        <v>26.99</v>
      </c>
      <c r="E702" s="3">
        <v>26.99</v>
      </c>
      <c r="F702" s="2" t="s">
        <v>17488</v>
      </c>
      <c r="G702" s="22" t="s">
        <v>19357</v>
      </c>
      <c r="H702" s="24" t="s">
        <v>19538</v>
      </c>
      <c r="I702" s="22" t="s">
        <v>19309</v>
      </c>
      <c r="J702" s="22" t="s">
        <v>19385</v>
      </c>
      <c r="K702" s="22" t="s">
        <v>19487</v>
      </c>
      <c r="L702" s="22"/>
      <c r="M702" s="22"/>
      <c r="N702" s="25"/>
    </row>
    <row r="703" spans="1:14" x14ac:dyDescent="0.25">
      <c r="A703" s="21" t="s">
        <v>17495</v>
      </c>
      <c r="B703" s="22" t="s">
        <v>17496</v>
      </c>
      <c r="C703" s="2">
        <v>1</v>
      </c>
      <c r="D703" s="23">
        <v>16</v>
      </c>
      <c r="E703" s="3">
        <v>16</v>
      </c>
      <c r="F703" s="2" t="s">
        <v>17497</v>
      </c>
      <c r="G703" s="22" t="s">
        <v>19763</v>
      </c>
      <c r="H703" s="24" t="s">
        <v>19542</v>
      </c>
      <c r="I703" s="22" t="s">
        <v>19309</v>
      </c>
      <c r="J703" s="22" t="s">
        <v>19514</v>
      </c>
      <c r="K703" s="22" t="s">
        <v>18514</v>
      </c>
      <c r="L703" s="22"/>
      <c r="M703" s="22"/>
      <c r="N703" s="25"/>
    </row>
    <row r="704" spans="1:14" ht="24.75" x14ac:dyDescent="0.25">
      <c r="A704" s="21" t="s">
        <v>17498</v>
      </c>
      <c r="B704" s="22" t="s">
        <v>17499</v>
      </c>
      <c r="C704" s="2">
        <v>1</v>
      </c>
      <c r="D704" s="23">
        <v>25.99</v>
      </c>
      <c r="E704" s="3">
        <v>25.99</v>
      </c>
      <c r="F704" s="2" t="s">
        <v>17500</v>
      </c>
      <c r="G704" s="22" t="s">
        <v>19513</v>
      </c>
      <c r="H704" s="24" t="s">
        <v>19542</v>
      </c>
      <c r="I704" s="22" t="s">
        <v>19309</v>
      </c>
      <c r="J704" s="22" t="s">
        <v>19595</v>
      </c>
      <c r="K704" s="22" t="s">
        <v>19596</v>
      </c>
      <c r="L704" s="22"/>
      <c r="M704" s="22"/>
      <c r="N704" s="25"/>
    </row>
    <row r="705" spans="1:14" ht="24.75" x14ac:dyDescent="0.25">
      <c r="A705" s="21" t="s">
        <v>17501</v>
      </c>
      <c r="B705" s="22" t="s">
        <v>17502</v>
      </c>
      <c r="C705" s="2">
        <v>30</v>
      </c>
      <c r="D705" s="23">
        <v>7.5</v>
      </c>
      <c r="E705" s="3">
        <v>225</v>
      </c>
      <c r="F705" s="2" t="s">
        <v>17503</v>
      </c>
      <c r="G705" s="22" t="s">
        <v>17504</v>
      </c>
      <c r="H705" s="24" t="s">
        <v>17505</v>
      </c>
      <c r="I705" s="22" t="s">
        <v>19309</v>
      </c>
      <c r="J705" s="22" t="s">
        <v>19573</v>
      </c>
      <c r="K705" s="22" t="s">
        <v>19574</v>
      </c>
      <c r="L705" s="22"/>
      <c r="M705" s="22"/>
      <c r="N705" s="25"/>
    </row>
    <row r="706" spans="1:14" ht="24.75" x14ac:dyDescent="0.25">
      <c r="A706" s="21" t="s">
        <v>17506</v>
      </c>
      <c r="B706" s="22" t="s">
        <v>17507</v>
      </c>
      <c r="C706" s="2">
        <v>1</v>
      </c>
      <c r="D706" s="23">
        <v>2.5</v>
      </c>
      <c r="E706" s="3">
        <v>2.5</v>
      </c>
      <c r="F706" s="2" t="s">
        <v>17507</v>
      </c>
      <c r="G706" s="22" t="s">
        <v>17504</v>
      </c>
      <c r="H706" s="24" t="s">
        <v>17505</v>
      </c>
      <c r="I706" s="22" t="s">
        <v>19309</v>
      </c>
      <c r="J706" s="22" t="s">
        <v>19696</v>
      </c>
      <c r="K706" s="22" t="s">
        <v>17508</v>
      </c>
      <c r="L706" s="22"/>
      <c r="M706" s="22"/>
      <c r="N706" s="25"/>
    </row>
    <row r="707" spans="1:14" x14ac:dyDescent="0.25">
      <c r="A707" s="21" t="s">
        <v>17509</v>
      </c>
      <c r="B707" s="22" t="s">
        <v>17510</v>
      </c>
      <c r="C707" s="2">
        <v>8</v>
      </c>
      <c r="D707" s="23">
        <v>7.5</v>
      </c>
      <c r="E707" s="3">
        <v>60</v>
      </c>
      <c r="F707" s="2" t="s">
        <v>17510</v>
      </c>
      <c r="G707" s="22" t="s">
        <v>17504</v>
      </c>
      <c r="H707" s="24" t="s">
        <v>17505</v>
      </c>
      <c r="I707" s="22" t="s">
        <v>19309</v>
      </c>
      <c r="J707" s="22" t="s">
        <v>19708</v>
      </c>
      <c r="K707" s="22" t="s">
        <v>19709</v>
      </c>
      <c r="L707" s="22"/>
      <c r="M707" s="22"/>
      <c r="N707" s="25"/>
    </row>
  </sheetData>
  <phoneticPr fontId="0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1"/>
  <sheetViews>
    <sheetView workbookViewId="0">
      <selection activeCell="E12" sqref="E12"/>
    </sheetView>
  </sheetViews>
  <sheetFormatPr defaultRowHeight="15" x14ac:dyDescent="0.25"/>
  <cols>
    <col min="1" max="1" width="14.42578125" customWidth="1"/>
    <col min="2" max="2" width="52" customWidth="1"/>
    <col min="3" max="4" width="15" customWidth="1"/>
    <col min="5" max="5" width="9.5703125" customWidth="1"/>
    <col min="6" max="6" width="14.42578125" customWidth="1"/>
    <col min="7" max="8" width="11.42578125" customWidth="1"/>
    <col min="9" max="9" width="10.85546875" customWidth="1"/>
    <col min="10" max="10" width="12.140625" customWidth="1"/>
    <col min="11" max="11" width="36.5703125" bestFit="1" customWidth="1"/>
    <col min="12" max="13" width="20.5703125" customWidth="1"/>
    <col min="14" max="14" width="64.42578125" customWidth="1"/>
  </cols>
  <sheetData>
    <row r="1" spans="1:14" ht="36" x14ac:dyDescent="0.25">
      <c r="A1" s="1" t="s">
        <v>19291</v>
      </c>
      <c r="B1" s="1" t="s">
        <v>19292</v>
      </c>
      <c r="C1" s="1" t="s">
        <v>19293</v>
      </c>
      <c r="D1" s="1" t="s">
        <v>19284</v>
      </c>
      <c r="E1" s="1" t="s">
        <v>19294</v>
      </c>
      <c r="F1" s="1" t="s">
        <v>19295</v>
      </c>
      <c r="G1" s="1" t="s">
        <v>19296</v>
      </c>
      <c r="H1" s="1" t="s">
        <v>19297</v>
      </c>
      <c r="I1" s="1" t="s">
        <v>19298</v>
      </c>
      <c r="J1" s="1" t="s">
        <v>19299</v>
      </c>
      <c r="K1" s="1" t="s">
        <v>19300</v>
      </c>
      <c r="L1" s="1" t="s">
        <v>19301</v>
      </c>
      <c r="M1" s="1" t="s">
        <v>19302</v>
      </c>
      <c r="N1" s="1" t="s">
        <v>19303</v>
      </c>
    </row>
    <row r="2" spans="1:14" ht="24.75" x14ac:dyDescent="0.25">
      <c r="A2" s="21" t="s">
        <v>4512</v>
      </c>
      <c r="B2" s="22" t="s">
        <v>4513</v>
      </c>
      <c r="C2" s="2">
        <v>1</v>
      </c>
      <c r="D2" s="23">
        <v>79.989999999999995</v>
      </c>
      <c r="E2" s="3">
        <v>79.989999999999995</v>
      </c>
      <c r="F2" s="2" t="s">
        <v>4514</v>
      </c>
      <c r="G2" s="22" t="s">
        <v>19333</v>
      </c>
      <c r="H2" s="24" t="s">
        <v>4515</v>
      </c>
      <c r="I2" s="22" t="s">
        <v>19309</v>
      </c>
      <c r="J2" s="22" t="s">
        <v>19317</v>
      </c>
      <c r="K2" s="22" t="s">
        <v>9389</v>
      </c>
      <c r="L2" s="22" t="s">
        <v>19319</v>
      </c>
      <c r="M2" s="22" t="s">
        <v>4516</v>
      </c>
      <c r="N2" s="25" t="str">
        <f>HYPERLINK("http://slimages.macys.com/is/image/MCY/2630573 ")</f>
        <v xml:space="preserve">http://slimages.macys.com/is/image/MCY/2630573 </v>
      </c>
    </row>
    <row r="3" spans="1:14" ht="24.75" x14ac:dyDescent="0.25">
      <c r="A3" s="21" t="s">
        <v>4517</v>
      </c>
      <c r="B3" s="22" t="s">
        <v>4518</v>
      </c>
      <c r="C3" s="2">
        <v>1</v>
      </c>
      <c r="D3" s="23">
        <v>59.5</v>
      </c>
      <c r="E3" s="3">
        <v>59.5</v>
      </c>
      <c r="F3" s="2">
        <v>320799032007</v>
      </c>
      <c r="G3" s="22" t="s">
        <v>19801</v>
      </c>
      <c r="H3" s="24" t="s">
        <v>19416</v>
      </c>
      <c r="I3" s="22" t="s">
        <v>19309</v>
      </c>
      <c r="J3" s="22" t="s">
        <v>19325</v>
      </c>
      <c r="K3" s="22" t="s">
        <v>19326</v>
      </c>
      <c r="L3" s="22"/>
      <c r="M3" s="22"/>
      <c r="N3" s="25" t="str">
        <f>HYPERLINK("http://slimages.macys.com/is/image/MCY/19878334 ")</f>
        <v xml:space="preserve">http://slimages.macys.com/is/image/MCY/19878334 </v>
      </c>
    </row>
    <row r="4" spans="1:14" x14ac:dyDescent="0.25">
      <c r="A4" s="21" t="s">
        <v>8197</v>
      </c>
      <c r="B4" s="22" t="s">
        <v>8198</v>
      </c>
      <c r="C4" s="2">
        <v>22</v>
      </c>
      <c r="D4" s="23">
        <v>49.99</v>
      </c>
      <c r="E4" s="3">
        <v>1099.78</v>
      </c>
      <c r="F4" s="2">
        <v>115554</v>
      </c>
      <c r="G4" s="22" t="s">
        <v>19315</v>
      </c>
      <c r="H4" s="24" t="s">
        <v>17505</v>
      </c>
      <c r="I4" s="22" t="s">
        <v>19309</v>
      </c>
      <c r="J4" s="22" t="s">
        <v>19417</v>
      </c>
      <c r="K4" s="22" t="s">
        <v>8199</v>
      </c>
      <c r="L4" s="22"/>
      <c r="M4" s="22"/>
      <c r="N4" s="25" t="str">
        <f>HYPERLINK("http://slimages.macys.com/is/image/MCY/16873339 ")</f>
        <v xml:space="preserve">http://slimages.macys.com/is/image/MCY/16873339 </v>
      </c>
    </row>
    <row r="5" spans="1:14" ht="24.75" x14ac:dyDescent="0.25">
      <c r="A5" s="21" t="s">
        <v>4519</v>
      </c>
      <c r="B5" s="22" t="s">
        <v>4520</v>
      </c>
      <c r="C5" s="2">
        <v>4</v>
      </c>
      <c r="D5" s="23">
        <v>43.99</v>
      </c>
      <c r="E5" s="3">
        <v>175.96</v>
      </c>
      <c r="F5" s="2" t="s">
        <v>4521</v>
      </c>
      <c r="G5" s="22" t="s">
        <v>19338</v>
      </c>
      <c r="H5" s="24" t="s">
        <v>19352</v>
      </c>
      <c r="I5" s="22" t="s">
        <v>19309</v>
      </c>
      <c r="J5" s="22" t="s">
        <v>19310</v>
      </c>
      <c r="K5" s="22" t="s">
        <v>19311</v>
      </c>
      <c r="L5" s="22"/>
      <c r="M5" s="22"/>
      <c r="N5" s="25" t="str">
        <f>HYPERLINK("http://slimages.macys.com/is/image/MCY/20077736 ")</f>
        <v xml:space="preserve">http://slimages.macys.com/is/image/MCY/20077736 </v>
      </c>
    </row>
    <row r="6" spans="1:14" ht="24.75" x14ac:dyDescent="0.25">
      <c r="A6" s="21" t="s">
        <v>10847</v>
      </c>
      <c r="B6" s="22" t="s">
        <v>10848</v>
      </c>
      <c r="C6" s="2">
        <v>12</v>
      </c>
      <c r="D6" s="23">
        <v>39.5</v>
      </c>
      <c r="E6" s="3">
        <v>474</v>
      </c>
      <c r="F6" s="2">
        <v>322842275002</v>
      </c>
      <c r="G6" s="22" t="s">
        <v>19333</v>
      </c>
      <c r="H6" s="24" t="s">
        <v>19432</v>
      </c>
      <c r="I6" s="22" t="s">
        <v>19309</v>
      </c>
      <c r="J6" s="22" t="s">
        <v>19335</v>
      </c>
      <c r="K6" s="22" t="s">
        <v>19326</v>
      </c>
      <c r="L6" s="22"/>
      <c r="M6" s="22"/>
      <c r="N6" s="25" t="str">
        <f>HYPERLINK("http://slimages.macys.com/is/image/MCY/19469073 ")</f>
        <v xml:space="preserve">http://slimages.macys.com/is/image/MCY/19469073 </v>
      </c>
    </row>
    <row r="7" spans="1:14" ht="24.75" x14ac:dyDescent="0.25">
      <c r="A7" s="21" t="s">
        <v>4522</v>
      </c>
      <c r="B7" s="22" t="s">
        <v>4523</v>
      </c>
      <c r="C7" s="2">
        <v>1</v>
      </c>
      <c r="D7" s="23">
        <v>39.5</v>
      </c>
      <c r="E7" s="3">
        <v>39.5</v>
      </c>
      <c r="F7" s="2">
        <v>313786657001</v>
      </c>
      <c r="G7" s="22" t="s">
        <v>19801</v>
      </c>
      <c r="H7" s="24" t="s">
        <v>19364</v>
      </c>
      <c r="I7" s="22" t="s">
        <v>19309</v>
      </c>
      <c r="J7" s="22" t="s">
        <v>19389</v>
      </c>
      <c r="K7" s="22" t="s">
        <v>19326</v>
      </c>
      <c r="L7" s="22" t="s">
        <v>19319</v>
      </c>
      <c r="M7" s="22" t="s">
        <v>20251</v>
      </c>
      <c r="N7" s="25" t="str">
        <f>HYPERLINK("http://slimages.macys.com/is/image/MCY/16735864 ")</f>
        <v xml:space="preserve">http://slimages.macys.com/is/image/MCY/16735864 </v>
      </c>
    </row>
    <row r="8" spans="1:14" ht="24.75" x14ac:dyDescent="0.25">
      <c r="A8" s="21" t="s">
        <v>4524</v>
      </c>
      <c r="B8" s="22" t="s">
        <v>4525</v>
      </c>
      <c r="C8" s="2">
        <v>1</v>
      </c>
      <c r="D8" s="23">
        <v>39.5</v>
      </c>
      <c r="E8" s="3">
        <v>39.5</v>
      </c>
      <c r="F8" s="2">
        <v>321859767002</v>
      </c>
      <c r="G8" s="22" t="s">
        <v>19351</v>
      </c>
      <c r="H8" s="24" t="s">
        <v>19392</v>
      </c>
      <c r="I8" s="22" t="s">
        <v>19309</v>
      </c>
      <c r="J8" s="22" t="s">
        <v>19335</v>
      </c>
      <c r="K8" s="22" t="s">
        <v>19326</v>
      </c>
      <c r="L8" s="22"/>
      <c r="M8" s="22"/>
      <c r="N8" s="25" t="str">
        <f>HYPERLINK("http://slimages.macys.com/is/image/MCY/20725029 ")</f>
        <v xml:space="preserve">http://slimages.macys.com/is/image/MCY/20725029 </v>
      </c>
    </row>
    <row r="9" spans="1:14" ht="24.75" x14ac:dyDescent="0.25">
      <c r="A9" s="21" t="s">
        <v>4526</v>
      </c>
      <c r="B9" s="22" t="s">
        <v>4527</v>
      </c>
      <c r="C9" s="2">
        <v>1</v>
      </c>
      <c r="D9" s="23">
        <v>35</v>
      </c>
      <c r="E9" s="3">
        <v>35</v>
      </c>
      <c r="F9" s="2" t="s">
        <v>4528</v>
      </c>
      <c r="G9" s="22" t="s">
        <v>19315</v>
      </c>
      <c r="H9" s="24" t="s">
        <v>4515</v>
      </c>
      <c r="I9" s="22" t="s">
        <v>19309</v>
      </c>
      <c r="J9" s="22" t="s">
        <v>19317</v>
      </c>
      <c r="K9" s="22" t="s">
        <v>9389</v>
      </c>
      <c r="L9" s="22"/>
      <c r="M9" s="22"/>
      <c r="N9" s="25" t="str">
        <f>HYPERLINK("http://slimages.macys.com/is/image/MCY/20266537 ")</f>
        <v xml:space="preserve">http://slimages.macys.com/is/image/MCY/20266537 </v>
      </c>
    </row>
    <row r="10" spans="1:14" ht="24.75" x14ac:dyDescent="0.25">
      <c r="A10" s="21" t="s">
        <v>4529</v>
      </c>
      <c r="B10" s="22" t="s">
        <v>4530</v>
      </c>
      <c r="C10" s="2">
        <v>4</v>
      </c>
      <c r="D10" s="23">
        <v>38.99</v>
      </c>
      <c r="E10" s="3">
        <v>155.96</v>
      </c>
      <c r="F10" s="2" t="s">
        <v>12760</v>
      </c>
      <c r="G10" s="22" t="s">
        <v>18821</v>
      </c>
      <c r="H10" s="24" t="s">
        <v>19364</v>
      </c>
      <c r="I10" s="22" t="s">
        <v>19309</v>
      </c>
      <c r="J10" s="22" t="s">
        <v>19310</v>
      </c>
      <c r="K10" s="22" t="s">
        <v>19631</v>
      </c>
      <c r="L10" s="22"/>
      <c r="M10" s="22"/>
      <c r="N10" s="25" t="str">
        <f>HYPERLINK("http://slimages.macys.com/is/image/MCY/21118445 ")</f>
        <v xml:space="preserve">http://slimages.macys.com/is/image/MCY/21118445 </v>
      </c>
    </row>
    <row r="11" spans="1:14" ht="24.75" x14ac:dyDescent="0.25">
      <c r="A11" s="21" t="s">
        <v>17573</v>
      </c>
      <c r="B11" s="22" t="s">
        <v>17574</v>
      </c>
      <c r="C11" s="2">
        <v>1</v>
      </c>
      <c r="D11" s="23">
        <v>39.549999999999997</v>
      </c>
      <c r="E11" s="3">
        <v>39.549999999999997</v>
      </c>
      <c r="F11" s="2" t="s">
        <v>17575</v>
      </c>
      <c r="G11" s="22" t="s">
        <v>19315</v>
      </c>
      <c r="H11" s="24" t="s">
        <v>17576</v>
      </c>
      <c r="I11" s="22" t="s">
        <v>19309</v>
      </c>
      <c r="J11" s="22" t="s">
        <v>19405</v>
      </c>
      <c r="K11" s="22" t="s">
        <v>19406</v>
      </c>
      <c r="L11" s="22" t="s">
        <v>19319</v>
      </c>
      <c r="M11" s="22" t="s">
        <v>19435</v>
      </c>
      <c r="N11" s="25" t="str">
        <f>HYPERLINK("http://slimages.macys.com/is/image/MCY/9712846 ")</f>
        <v xml:space="preserve">http://slimages.macys.com/is/image/MCY/9712846 </v>
      </c>
    </row>
    <row r="12" spans="1:14" ht="24.75" x14ac:dyDescent="0.25">
      <c r="A12" s="21" t="s">
        <v>4531</v>
      </c>
      <c r="B12" s="22" t="s">
        <v>4532</v>
      </c>
      <c r="C12" s="2">
        <v>1</v>
      </c>
      <c r="D12" s="23">
        <v>29.99</v>
      </c>
      <c r="E12" s="3">
        <v>29.99</v>
      </c>
      <c r="F12" s="2">
        <v>1618281</v>
      </c>
      <c r="G12" s="22" t="s">
        <v>19307</v>
      </c>
      <c r="H12" s="24" t="s">
        <v>19339</v>
      </c>
      <c r="I12" s="22" t="s">
        <v>19309</v>
      </c>
      <c r="J12" s="22" t="s">
        <v>15506</v>
      </c>
      <c r="K12" s="22" t="s">
        <v>15507</v>
      </c>
      <c r="L12" s="22"/>
      <c r="M12" s="22"/>
      <c r="N12" s="25" t="str">
        <f>HYPERLINK("http://slimages.macys.com/is/image/MCY/19900811 ")</f>
        <v xml:space="preserve">http://slimages.macys.com/is/image/MCY/19900811 </v>
      </c>
    </row>
    <row r="13" spans="1:14" ht="24.75" x14ac:dyDescent="0.25">
      <c r="A13" s="21" t="s">
        <v>8675</v>
      </c>
      <c r="B13" s="22" t="s">
        <v>8676</v>
      </c>
      <c r="C13" s="2">
        <v>27</v>
      </c>
      <c r="D13" s="23">
        <v>36.99</v>
      </c>
      <c r="E13" s="3">
        <v>998.73</v>
      </c>
      <c r="F13" s="2" t="s">
        <v>8677</v>
      </c>
      <c r="G13" s="22" t="s">
        <v>19439</v>
      </c>
      <c r="H13" s="24" t="s">
        <v>19432</v>
      </c>
      <c r="I13" s="22" t="s">
        <v>19309</v>
      </c>
      <c r="J13" s="22" t="s">
        <v>19310</v>
      </c>
      <c r="K13" s="22" t="s">
        <v>8678</v>
      </c>
      <c r="L13" s="22"/>
      <c r="M13" s="22"/>
      <c r="N13" s="25" t="str">
        <f>HYPERLINK("http://slimages.macys.com/is/image/MCY/21305453 ")</f>
        <v xml:space="preserve">http://slimages.macys.com/is/image/MCY/21305453 </v>
      </c>
    </row>
    <row r="14" spans="1:14" ht="24.75" x14ac:dyDescent="0.25">
      <c r="A14" s="21" t="s">
        <v>4533</v>
      </c>
      <c r="B14" s="22" t="s">
        <v>4534</v>
      </c>
      <c r="C14" s="2">
        <v>1</v>
      </c>
      <c r="D14" s="23">
        <v>44.99</v>
      </c>
      <c r="E14" s="3">
        <v>44.99</v>
      </c>
      <c r="F14" s="2" t="s">
        <v>4535</v>
      </c>
      <c r="G14" s="22" t="s">
        <v>19594</v>
      </c>
      <c r="H14" s="24" t="s">
        <v>19316</v>
      </c>
      <c r="I14" s="22" t="s">
        <v>19309</v>
      </c>
      <c r="J14" s="22" t="s">
        <v>19400</v>
      </c>
      <c r="K14" s="22" t="s">
        <v>17589</v>
      </c>
      <c r="L14" s="22"/>
      <c r="M14" s="22"/>
      <c r="N14" s="25" t="str">
        <f>HYPERLINK("http://slimages.macys.com/is/image/MCY/16737704 ")</f>
        <v xml:space="preserve">http://slimages.macys.com/is/image/MCY/16737704 </v>
      </c>
    </row>
    <row r="15" spans="1:14" ht="24.75" x14ac:dyDescent="0.25">
      <c r="A15" s="21" t="s">
        <v>4536</v>
      </c>
      <c r="B15" s="22" t="s">
        <v>4537</v>
      </c>
      <c r="C15" s="2">
        <v>1</v>
      </c>
      <c r="D15" s="23">
        <v>31.15</v>
      </c>
      <c r="E15" s="3">
        <v>31.15</v>
      </c>
      <c r="F15" s="2" t="s">
        <v>4538</v>
      </c>
      <c r="G15" s="22" t="s">
        <v>19415</v>
      </c>
      <c r="H15" s="24" t="s">
        <v>19478</v>
      </c>
      <c r="I15" s="22" t="s">
        <v>19309</v>
      </c>
      <c r="J15" s="22" t="s">
        <v>19317</v>
      </c>
      <c r="K15" s="22" t="s">
        <v>11349</v>
      </c>
      <c r="L15" s="22"/>
      <c r="M15" s="22"/>
      <c r="N15" s="25" t="str">
        <f>HYPERLINK("http://slimages.macys.com/is/image/MCY/21211457 ")</f>
        <v xml:space="preserve">http://slimages.macys.com/is/image/MCY/21211457 </v>
      </c>
    </row>
    <row r="16" spans="1:14" ht="24.75" x14ac:dyDescent="0.25">
      <c r="A16" s="21" t="s">
        <v>4539</v>
      </c>
      <c r="B16" s="22" t="s">
        <v>4540</v>
      </c>
      <c r="C16" s="2">
        <v>1</v>
      </c>
      <c r="D16" s="23">
        <v>32</v>
      </c>
      <c r="E16" s="3">
        <v>32</v>
      </c>
      <c r="F16" s="2">
        <v>1366377</v>
      </c>
      <c r="G16" s="22" t="s">
        <v>19357</v>
      </c>
      <c r="H16" s="24" t="s">
        <v>19364</v>
      </c>
      <c r="I16" s="22" t="s">
        <v>19309</v>
      </c>
      <c r="J16" s="22" t="s">
        <v>19310</v>
      </c>
      <c r="K16" s="22" t="s">
        <v>17686</v>
      </c>
      <c r="L16" s="22"/>
      <c r="M16" s="22"/>
      <c r="N16" s="25" t="str">
        <f>HYPERLINK("http://slimages.macys.com/is/image/MCY/20071402 ")</f>
        <v xml:space="preserve">http://slimages.macys.com/is/image/MCY/20071402 </v>
      </c>
    </row>
    <row r="17" spans="1:14" ht="24.75" x14ac:dyDescent="0.25">
      <c r="A17" s="21" t="s">
        <v>8200</v>
      </c>
      <c r="B17" s="22" t="s">
        <v>8201</v>
      </c>
      <c r="C17" s="2">
        <v>10</v>
      </c>
      <c r="D17" s="23">
        <v>30.99</v>
      </c>
      <c r="E17" s="3">
        <v>309.89999999999998</v>
      </c>
      <c r="F17" s="2" t="s">
        <v>9398</v>
      </c>
      <c r="G17" s="22" t="s">
        <v>19333</v>
      </c>
      <c r="H17" s="24" t="s">
        <v>19797</v>
      </c>
      <c r="I17" s="22" t="s">
        <v>19309</v>
      </c>
      <c r="J17" s="22" t="s">
        <v>19447</v>
      </c>
      <c r="K17" s="22" t="s">
        <v>19533</v>
      </c>
      <c r="L17" s="22"/>
      <c r="M17" s="22"/>
      <c r="N17" s="25" t="str">
        <f>HYPERLINK("http://slimages.macys.com/is/image/MCY/20783926 ")</f>
        <v xml:space="preserve">http://slimages.macys.com/is/image/MCY/20783926 </v>
      </c>
    </row>
    <row r="18" spans="1:14" x14ac:dyDescent="0.25">
      <c r="A18" s="21" t="s">
        <v>9399</v>
      </c>
      <c r="B18" s="22" t="s">
        <v>9400</v>
      </c>
      <c r="C18" s="2">
        <v>2</v>
      </c>
      <c r="D18" s="23">
        <v>27</v>
      </c>
      <c r="E18" s="3">
        <v>54</v>
      </c>
      <c r="F18" s="2" t="s">
        <v>9401</v>
      </c>
      <c r="G18" s="22" t="s">
        <v>19307</v>
      </c>
      <c r="H18" s="24" t="s">
        <v>19339</v>
      </c>
      <c r="I18" s="22" t="s">
        <v>19309</v>
      </c>
      <c r="J18" s="22" t="s">
        <v>19310</v>
      </c>
      <c r="K18" s="22" t="s">
        <v>19311</v>
      </c>
      <c r="L18" s="22"/>
      <c r="M18" s="22"/>
      <c r="N18" s="25" t="str">
        <f>HYPERLINK("http://slimages.macys.com/is/image/MCY/18249638 ")</f>
        <v xml:space="preserve">http://slimages.macys.com/is/image/MCY/18249638 </v>
      </c>
    </row>
    <row r="19" spans="1:14" ht="24.75" x14ac:dyDescent="0.25">
      <c r="A19" s="21" t="s">
        <v>4541</v>
      </c>
      <c r="B19" s="22" t="s">
        <v>4542</v>
      </c>
      <c r="C19" s="2">
        <v>1</v>
      </c>
      <c r="D19" s="23">
        <v>29.5</v>
      </c>
      <c r="E19" s="3">
        <v>29.5</v>
      </c>
      <c r="F19" s="2">
        <v>323785653036</v>
      </c>
      <c r="G19" s="22" t="s">
        <v>19879</v>
      </c>
      <c r="H19" s="24"/>
      <c r="I19" s="22" t="s">
        <v>19309</v>
      </c>
      <c r="J19" s="22" t="s">
        <v>19335</v>
      </c>
      <c r="K19" s="22" t="s">
        <v>19326</v>
      </c>
      <c r="L19" s="22"/>
      <c r="M19" s="22"/>
      <c r="N19" s="25" t="str">
        <f>HYPERLINK("http://slimages.macys.com/is/image/MCY/21990680 ")</f>
        <v xml:space="preserve">http://slimages.macys.com/is/image/MCY/21990680 </v>
      </c>
    </row>
    <row r="20" spans="1:14" ht="24.75" x14ac:dyDescent="0.25">
      <c r="A20" s="21" t="s">
        <v>4543</v>
      </c>
      <c r="B20" s="22" t="s">
        <v>4544</v>
      </c>
      <c r="C20" s="2">
        <v>2</v>
      </c>
      <c r="D20" s="23">
        <v>29.99</v>
      </c>
      <c r="E20" s="3">
        <v>59.98</v>
      </c>
      <c r="F20" s="2" t="s">
        <v>4545</v>
      </c>
      <c r="G20" s="22" t="s">
        <v>19338</v>
      </c>
      <c r="H20" s="24" t="s">
        <v>19334</v>
      </c>
      <c r="I20" s="22" t="s">
        <v>19309</v>
      </c>
      <c r="J20" s="22" t="s">
        <v>19447</v>
      </c>
      <c r="K20" s="22" t="s">
        <v>19463</v>
      </c>
      <c r="L20" s="22"/>
      <c r="M20" s="22"/>
      <c r="N20" s="25" t="str">
        <f>HYPERLINK("http://slimages.macys.com/is/image/MCY/21682281 ")</f>
        <v xml:space="preserve">http://slimages.macys.com/is/image/MCY/21682281 </v>
      </c>
    </row>
    <row r="21" spans="1:14" ht="24.75" x14ac:dyDescent="0.25">
      <c r="A21" s="21" t="s">
        <v>9402</v>
      </c>
      <c r="B21" s="22" t="s">
        <v>9403</v>
      </c>
      <c r="C21" s="2">
        <v>1</v>
      </c>
      <c r="D21" s="23">
        <v>36</v>
      </c>
      <c r="E21" s="3">
        <v>36</v>
      </c>
      <c r="F21" s="2" t="s">
        <v>9404</v>
      </c>
      <c r="G21" s="22" t="s">
        <v>19404</v>
      </c>
      <c r="H21" s="24" t="s">
        <v>19324</v>
      </c>
      <c r="I21" s="22" t="s">
        <v>19309</v>
      </c>
      <c r="J21" s="22" t="s">
        <v>19417</v>
      </c>
      <c r="K21" s="22" t="s">
        <v>19854</v>
      </c>
      <c r="L21" s="22"/>
      <c r="M21" s="22"/>
      <c r="N21" s="25" t="str">
        <f>HYPERLINK("http://slimages.macys.com/is/image/MCY/21363431 ")</f>
        <v xml:space="preserve">http://slimages.macys.com/is/image/MCY/21363431 </v>
      </c>
    </row>
    <row r="22" spans="1:14" ht="24.75" x14ac:dyDescent="0.25">
      <c r="A22" s="21" t="s">
        <v>17619</v>
      </c>
      <c r="B22" s="22" t="s">
        <v>17620</v>
      </c>
      <c r="C22" s="2">
        <v>1</v>
      </c>
      <c r="D22" s="23">
        <v>32.99</v>
      </c>
      <c r="E22" s="3">
        <v>32.99</v>
      </c>
      <c r="F22" s="2" t="s">
        <v>17481</v>
      </c>
      <c r="G22" s="22" t="s">
        <v>19415</v>
      </c>
      <c r="H22" s="24" t="s">
        <v>19416</v>
      </c>
      <c r="I22" s="22" t="s">
        <v>19309</v>
      </c>
      <c r="J22" s="22" t="s">
        <v>19385</v>
      </c>
      <c r="K22" s="22" t="s">
        <v>19487</v>
      </c>
      <c r="L22" s="22"/>
      <c r="M22" s="22"/>
      <c r="N22" s="25" t="str">
        <f>HYPERLINK("http://slimages.macys.com/is/image/MCY/21008172 ")</f>
        <v xml:space="preserve">http://slimages.macys.com/is/image/MCY/21008172 </v>
      </c>
    </row>
    <row r="23" spans="1:14" ht="24.75" x14ac:dyDescent="0.25">
      <c r="A23" s="21" t="s">
        <v>4546</v>
      </c>
      <c r="B23" s="22" t="s">
        <v>4547</v>
      </c>
      <c r="C23" s="2">
        <v>14</v>
      </c>
      <c r="D23" s="23">
        <v>32.99</v>
      </c>
      <c r="E23" s="3">
        <v>461.86</v>
      </c>
      <c r="F23" s="2" t="s">
        <v>11194</v>
      </c>
      <c r="G23" s="22" t="s">
        <v>19415</v>
      </c>
      <c r="H23" s="24" t="s">
        <v>19384</v>
      </c>
      <c r="I23" s="22" t="s">
        <v>19309</v>
      </c>
      <c r="J23" s="22" t="s">
        <v>19385</v>
      </c>
      <c r="K23" s="22" t="s">
        <v>19487</v>
      </c>
      <c r="L23" s="22"/>
      <c r="M23" s="22"/>
      <c r="N23" s="25" t="str">
        <f>HYPERLINK("http://slimages.macys.com/is/image/MCY/21008170 ")</f>
        <v xml:space="preserve">http://slimages.macys.com/is/image/MCY/21008170 </v>
      </c>
    </row>
    <row r="24" spans="1:14" ht="24.75" x14ac:dyDescent="0.25">
      <c r="A24" s="21" t="s">
        <v>8701</v>
      </c>
      <c r="B24" s="22" t="s">
        <v>8702</v>
      </c>
      <c r="C24" s="2">
        <v>7</v>
      </c>
      <c r="D24" s="23">
        <v>24.99</v>
      </c>
      <c r="E24" s="3">
        <v>174.93</v>
      </c>
      <c r="F24" s="2" t="s">
        <v>8703</v>
      </c>
      <c r="G24" s="22" t="s">
        <v>19342</v>
      </c>
      <c r="H24" s="24" t="s">
        <v>19324</v>
      </c>
      <c r="I24" s="22" t="s">
        <v>19309</v>
      </c>
      <c r="J24" s="22" t="s">
        <v>19385</v>
      </c>
      <c r="K24" s="22" t="s">
        <v>18064</v>
      </c>
      <c r="L24" s="22"/>
      <c r="M24" s="22"/>
      <c r="N24" s="25" t="str">
        <f>HYPERLINK("http://slimages.macys.com/is/image/MCY/21775768 ")</f>
        <v xml:space="preserve">http://slimages.macys.com/is/image/MCY/21775768 </v>
      </c>
    </row>
    <row r="25" spans="1:14" ht="24.75" x14ac:dyDescent="0.25">
      <c r="A25" s="21" t="s">
        <v>15138</v>
      </c>
      <c r="B25" s="22" t="s">
        <v>15139</v>
      </c>
      <c r="C25" s="2">
        <v>1</v>
      </c>
      <c r="D25" s="23">
        <v>26.99</v>
      </c>
      <c r="E25" s="3">
        <v>26.99</v>
      </c>
      <c r="F25" s="2" t="s">
        <v>19486</v>
      </c>
      <c r="G25" s="22" t="s">
        <v>19415</v>
      </c>
      <c r="H25" s="24" t="s">
        <v>19538</v>
      </c>
      <c r="I25" s="22" t="s">
        <v>19309</v>
      </c>
      <c r="J25" s="22" t="s">
        <v>19385</v>
      </c>
      <c r="K25" s="22" t="s">
        <v>19487</v>
      </c>
      <c r="L25" s="22"/>
      <c r="M25" s="22"/>
      <c r="N25" s="25" t="str">
        <f>HYPERLINK("http://slimages.macys.com/is/image/MCY/21856821 ")</f>
        <v xml:space="preserve">http://slimages.macys.com/is/image/MCY/21856821 </v>
      </c>
    </row>
    <row r="26" spans="1:14" ht="24.75" x14ac:dyDescent="0.25">
      <c r="A26" s="21" t="s">
        <v>6493</v>
      </c>
      <c r="B26" s="22" t="s">
        <v>6494</v>
      </c>
      <c r="C26" s="2">
        <v>1</v>
      </c>
      <c r="D26" s="23">
        <v>26.99</v>
      </c>
      <c r="E26" s="3">
        <v>26.99</v>
      </c>
      <c r="F26" s="2" t="s">
        <v>6495</v>
      </c>
      <c r="G26" s="22" t="s">
        <v>19351</v>
      </c>
      <c r="H26" s="24" t="s">
        <v>19364</v>
      </c>
      <c r="I26" s="22" t="s">
        <v>19309</v>
      </c>
      <c r="J26" s="22" t="s">
        <v>19447</v>
      </c>
      <c r="K26" s="22" t="s">
        <v>19533</v>
      </c>
      <c r="L26" s="22"/>
      <c r="M26" s="22"/>
      <c r="N26" s="25" t="str">
        <f>HYPERLINK("http://slimages.macys.com/is/image/MCY/21150478 ")</f>
        <v xml:space="preserve">http://slimages.macys.com/is/image/MCY/21150478 </v>
      </c>
    </row>
    <row r="27" spans="1:14" ht="24.75" x14ac:dyDescent="0.25">
      <c r="A27" s="21" t="s">
        <v>4548</v>
      </c>
      <c r="B27" s="22" t="s">
        <v>4549</v>
      </c>
      <c r="C27" s="2">
        <v>1</v>
      </c>
      <c r="D27" s="23">
        <v>26.99</v>
      </c>
      <c r="E27" s="3">
        <v>26.99</v>
      </c>
      <c r="F27" s="2" t="s">
        <v>6495</v>
      </c>
      <c r="G27" s="22" t="s">
        <v>19351</v>
      </c>
      <c r="H27" s="24" t="s">
        <v>19352</v>
      </c>
      <c r="I27" s="22" t="s">
        <v>19309</v>
      </c>
      <c r="J27" s="22" t="s">
        <v>19447</v>
      </c>
      <c r="K27" s="22" t="s">
        <v>19533</v>
      </c>
      <c r="L27" s="22"/>
      <c r="M27" s="22"/>
      <c r="N27" s="25" t="str">
        <f>HYPERLINK("http://slimages.macys.com/is/image/MCY/21150478 ")</f>
        <v xml:space="preserve">http://slimages.macys.com/is/image/MCY/21150478 </v>
      </c>
    </row>
    <row r="28" spans="1:14" x14ac:dyDescent="0.25">
      <c r="A28" s="21" t="s">
        <v>4550</v>
      </c>
      <c r="B28" s="22" t="s">
        <v>4551</v>
      </c>
      <c r="C28" s="2">
        <v>1</v>
      </c>
      <c r="D28" s="23">
        <v>26.4</v>
      </c>
      <c r="E28" s="3">
        <v>26.4</v>
      </c>
      <c r="F28" s="2" t="s">
        <v>4552</v>
      </c>
      <c r="G28" s="22" t="s">
        <v>19342</v>
      </c>
      <c r="H28" s="24" t="s">
        <v>19542</v>
      </c>
      <c r="I28" s="22" t="s">
        <v>19309</v>
      </c>
      <c r="J28" s="22" t="s">
        <v>19514</v>
      </c>
      <c r="K28" s="22" t="s">
        <v>19546</v>
      </c>
      <c r="L28" s="22"/>
      <c r="M28" s="22"/>
      <c r="N28" s="25" t="str">
        <f>HYPERLINK("http://slimages.macys.com/is/image/MCY/20369818 ")</f>
        <v xml:space="preserve">http://slimages.macys.com/is/image/MCY/20369818 </v>
      </c>
    </row>
    <row r="29" spans="1:14" ht="24.75" x14ac:dyDescent="0.25">
      <c r="A29" s="21" t="s">
        <v>4553</v>
      </c>
      <c r="B29" s="22" t="s">
        <v>4554</v>
      </c>
      <c r="C29" s="2">
        <v>1</v>
      </c>
      <c r="D29" s="23">
        <v>24.99</v>
      </c>
      <c r="E29" s="3">
        <v>24.99</v>
      </c>
      <c r="F29" s="2">
        <v>1989741</v>
      </c>
      <c r="G29" s="22" t="s">
        <v>19307</v>
      </c>
      <c r="H29" s="24" t="s">
        <v>19308</v>
      </c>
      <c r="I29" s="22" t="s">
        <v>19309</v>
      </c>
      <c r="J29" s="22" t="s">
        <v>15506</v>
      </c>
      <c r="K29" s="22" t="s">
        <v>15507</v>
      </c>
      <c r="L29" s="22"/>
      <c r="M29" s="22"/>
      <c r="N29" s="25" t="str">
        <f>HYPERLINK("http://slimages.macys.com/is/image/MCY/21317767 ")</f>
        <v xml:space="preserve">http://slimages.macys.com/is/image/MCY/21317767 </v>
      </c>
    </row>
    <row r="30" spans="1:14" ht="24.75" x14ac:dyDescent="0.25">
      <c r="A30" s="21" t="s">
        <v>4555</v>
      </c>
      <c r="B30" s="22" t="s">
        <v>4556</v>
      </c>
      <c r="C30" s="2">
        <v>1</v>
      </c>
      <c r="D30" s="23">
        <v>24.99</v>
      </c>
      <c r="E30" s="3">
        <v>24.99</v>
      </c>
      <c r="F30" s="2">
        <v>1989741</v>
      </c>
      <c r="G30" s="22" t="s">
        <v>19307</v>
      </c>
      <c r="H30" s="24" t="s">
        <v>19364</v>
      </c>
      <c r="I30" s="22" t="s">
        <v>19309</v>
      </c>
      <c r="J30" s="22" t="s">
        <v>15506</v>
      </c>
      <c r="K30" s="22" t="s">
        <v>15507</v>
      </c>
      <c r="L30" s="22"/>
      <c r="M30" s="22"/>
      <c r="N30" s="25" t="str">
        <f>HYPERLINK("http://slimages.macys.com/is/image/MCY/21317767 ")</f>
        <v xml:space="preserve">http://slimages.macys.com/is/image/MCY/21317767 </v>
      </c>
    </row>
    <row r="31" spans="1:14" ht="24.75" x14ac:dyDescent="0.25">
      <c r="A31" s="21" t="s">
        <v>4557</v>
      </c>
      <c r="B31" s="22" t="s">
        <v>4558</v>
      </c>
      <c r="C31" s="2">
        <v>1</v>
      </c>
      <c r="D31" s="23">
        <v>22.99</v>
      </c>
      <c r="E31" s="3">
        <v>22.99</v>
      </c>
      <c r="F31" s="2" t="s">
        <v>4559</v>
      </c>
      <c r="G31" s="22" t="s">
        <v>19886</v>
      </c>
      <c r="H31" s="24" t="s">
        <v>19324</v>
      </c>
      <c r="I31" s="22" t="s">
        <v>19309</v>
      </c>
      <c r="J31" s="22" t="s">
        <v>19491</v>
      </c>
      <c r="K31" s="22" t="s">
        <v>19458</v>
      </c>
      <c r="L31" s="22"/>
      <c r="M31" s="22"/>
      <c r="N31" s="25" t="str">
        <f>HYPERLINK("http://slimages.macys.com/is/image/MCY/21602744 ")</f>
        <v xml:space="preserve">http://slimages.macys.com/is/image/MCY/21602744 </v>
      </c>
    </row>
    <row r="32" spans="1:14" ht="24.75" x14ac:dyDescent="0.25">
      <c r="A32" s="21" t="s">
        <v>4560</v>
      </c>
      <c r="B32" s="22" t="s">
        <v>4561</v>
      </c>
      <c r="C32" s="2">
        <v>1</v>
      </c>
      <c r="D32" s="23">
        <v>42.5</v>
      </c>
      <c r="E32" s="3">
        <v>42.5</v>
      </c>
      <c r="F32" s="2" t="s">
        <v>4562</v>
      </c>
      <c r="G32" s="22" t="s">
        <v>19307</v>
      </c>
      <c r="H32" s="24"/>
      <c r="I32" s="22" t="s">
        <v>19309</v>
      </c>
      <c r="J32" s="22" t="s">
        <v>19613</v>
      </c>
      <c r="K32" s="22" t="s">
        <v>19614</v>
      </c>
      <c r="L32" s="22"/>
      <c r="M32" s="22"/>
      <c r="N32" s="25" t="str">
        <f>HYPERLINK("http://slimages.macys.com/is/image/MCY/21345582 ")</f>
        <v xml:space="preserve">http://slimages.macys.com/is/image/MCY/21345582 </v>
      </c>
    </row>
    <row r="33" spans="1:14" ht="24.75" x14ac:dyDescent="0.25">
      <c r="A33" s="21" t="s">
        <v>4563</v>
      </c>
      <c r="B33" s="22" t="s">
        <v>4564</v>
      </c>
      <c r="C33" s="2">
        <v>1</v>
      </c>
      <c r="D33" s="23">
        <v>23.99</v>
      </c>
      <c r="E33" s="3">
        <v>23.99</v>
      </c>
      <c r="F33" s="2" t="s">
        <v>10320</v>
      </c>
      <c r="G33" s="22" t="s">
        <v>11228</v>
      </c>
      <c r="H33" s="24" t="s">
        <v>19352</v>
      </c>
      <c r="I33" s="22" t="s">
        <v>19309</v>
      </c>
      <c r="J33" s="22" t="s">
        <v>19310</v>
      </c>
      <c r="K33" s="22" t="s">
        <v>19311</v>
      </c>
      <c r="L33" s="22"/>
      <c r="M33" s="22"/>
      <c r="N33" s="25" t="str">
        <f>HYPERLINK("http://slimages.macys.com/is/image/MCY/18618603 ")</f>
        <v xml:space="preserve">http://slimages.macys.com/is/image/MCY/18618603 </v>
      </c>
    </row>
    <row r="34" spans="1:14" x14ac:dyDescent="0.25">
      <c r="A34" s="21" t="s">
        <v>4565</v>
      </c>
      <c r="B34" s="22" t="s">
        <v>4566</v>
      </c>
      <c r="C34" s="2">
        <v>1</v>
      </c>
      <c r="D34" s="23">
        <v>30.99</v>
      </c>
      <c r="E34" s="3">
        <v>30.99</v>
      </c>
      <c r="F34" s="2" t="s">
        <v>4567</v>
      </c>
      <c r="G34" s="22" t="s">
        <v>19342</v>
      </c>
      <c r="H34" s="24" t="s">
        <v>19478</v>
      </c>
      <c r="I34" s="22" t="s">
        <v>19309</v>
      </c>
      <c r="J34" s="22" t="s">
        <v>19696</v>
      </c>
      <c r="K34" s="22" t="s">
        <v>19965</v>
      </c>
      <c r="L34" s="22"/>
      <c r="M34" s="22"/>
      <c r="N34" s="25" t="str">
        <f>HYPERLINK("http://slimages.macys.com/is/image/MCY/20662529 ")</f>
        <v xml:space="preserve">http://slimages.macys.com/is/image/MCY/20662529 </v>
      </c>
    </row>
    <row r="35" spans="1:14" ht="24.75" x14ac:dyDescent="0.25">
      <c r="A35" s="21" t="s">
        <v>4568</v>
      </c>
      <c r="B35" s="22" t="s">
        <v>4569</v>
      </c>
      <c r="C35" s="2">
        <v>1</v>
      </c>
      <c r="D35" s="23">
        <v>42.5</v>
      </c>
      <c r="E35" s="3">
        <v>42.5</v>
      </c>
      <c r="F35" s="2" t="s">
        <v>4570</v>
      </c>
      <c r="G35" s="22" t="s">
        <v>19618</v>
      </c>
      <c r="H35" s="24" t="s">
        <v>19997</v>
      </c>
      <c r="I35" s="22" t="s">
        <v>19309</v>
      </c>
      <c r="J35" s="22" t="s">
        <v>15149</v>
      </c>
      <c r="K35" s="22" t="s">
        <v>7355</v>
      </c>
      <c r="L35" s="22"/>
      <c r="M35" s="22"/>
      <c r="N35" s="25" t="str">
        <f>HYPERLINK("http://slimages.macys.com/is/image/MCY/20158227 ")</f>
        <v xml:space="preserve">http://slimages.macys.com/is/image/MCY/20158227 </v>
      </c>
    </row>
    <row r="36" spans="1:14" ht="24.75" x14ac:dyDescent="0.25">
      <c r="A36" s="21" t="s">
        <v>4571</v>
      </c>
      <c r="B36" s="22" t="s">
        <v>4572</v>
      </c>
      <c r="C36" s="2">
        <v>2</v>
      </c>
      <c r="D36" s="23">
        <v>34.99</v>
      </c>
      <c r="E36" s="3">
        <v>69.98</v>
      </c>
      <c r="F36" s="2" t="s">
        <v>4573</v>
      </c>
      <c r="G36" s="22"/>
      <c r="H36" s="24" t="s">
        <v>19399</v>
      </c>
      <c r="I36" s="22" t="s">
        <v>19309</v>
      </c>
      <c r="J36" s="22" t="s">
        <v>19400</v>
      </c>
      <c r="K36" s="22" t="s">
        <v>19423</v>
      </c>
      <c r="L36" s="22"/>
      <c r="M36" s="22"/>
      <c r="N36" s="25" t="str">
        <f>HYPERLINK("http://slimages.macys.com/is/image/MCY/19785785 ")</f>
        <v xml:space="preserve">http://slimages.macys.com/is/image/MCY/19785785 </v>
      </c>
    </row>
    <row r="37" spans="1:14" ht="24.75" x14ac:dyDescent="0.25">
      <c r="A37" s="21" t="s">
        <v>4574</v>
      </c>
      <c r="B37" s="22" t="s">
        <v>4575</v>
      </c>
      <c r="C37" s="2">
        <v>1</v>
      </c>
      <c r="D37" s="23">
        <v>24.99</v>
      </c>
      <c r="E37" s="3">
        <v>24.99</v>
      </c>
      <c r="F37" s="2" t="s">
        <v>13558</v>
      </c>
      <c r="G37" s="22" t="s">
        <v>19342</v>
      </c>
      <c r="H37" s="24" t="s">
        <v>19416</v>
      </c>
      <c r="I37" s="22" t="s">
        <v>19309</v>
      </c>
      <c r="J37" s="22" t="s">
        <v>19385</v>
      </c>
      <c r="K37" s="22" t="s">
        <v>18064</v>
      </c>
      <c r="L37" s="22"/>
      <c r="M37" s="22"/>
      <c r="N37" s="25" t="str">
        <f>HYPERLINK("http://slimages.macys.com/is/image/MCY/21313652 ")</f>
        <v xml:space="preserve">http://slimages.macys.com/is/image/MCY/21313652 </v>
      </c>
    </row>
    <row r="38" spans="1:14" ht="24.75" x14ac:dyDescent="0.25">
      <c r="A38" s="21" t="s">
        <v>4576</v>
      </c>
      <c r="B38" s="22" t="s">
        <v>4577</v>
      </c>
      <c r="C38" s="2">
        <v>1</v>
      </c>
      <c r="D38" s="23">
        <v>44.5</v>
      </c>
      <c r="E38" s="3">
        <v>44.5</v>
      </c>
      <c r="F38" s="2" t="s">
        <v>4578</v>
      </c>
      <c r="G38" s="22" t="s">
        <v>19801</v>
      </c>
      <c r="H38" s="24"/>
      <c r="I38" s="22" t="s">
        <v>19309</v>
      </c>
      <c r="J38" s="22" t="s">
        <v>19613</v>
      </c>
      <c r="K38" s="22" t="s">
        <v>19614</v>
      </c>
      <c r="L38" s="22"/>
      <c r="M38" s="22"/>
      <c r="N38" s="25" t="str">
        <f>HYPERLINK("http://slimages.macys.com/is/image/MCY/17927272 ")</f>
        <v xml:space="preserve">http://slimages.macys.com/is/image/MCY/17927272 </v>
      </c>
    </row>
    <row r="39" spans="1:14" x14ac:dyDescent="0.25">
      <c r="A39" s="21" t="s">
        <v>4579</v>
      </c>
      <c r="B39" s="22" t="s">
        <v>4580</v>
      </c>
      <c r="C39" s="2">
        <v>4</v>
      </c>
      <c r="D39" s="23">
        <v>29.99</v>
      </c>
      <c r="E39" s="3">
        <v>119.96</v>
      </c>
      <c r="F39" s="2" t="s">
        <v>4581</v>
      </c>
      <c r="G39" s="22" t="s">
        <v>19342</v>
      </c>
      <c r="H39" s="24" t="s">
        <v>19395</v>
      </c>
      <c r="I39" s="22" t="s">
        <v>19309</v>
      </c>
      <c r="J39" s="22" t="s">
        <v>19696</v>
      </c>
      <c r="K39" s="22" t="s">
        <v>19965</v>
      </c>
      <c r="L39" s="22"/>
      <c r="M39" s="22"/>
      <c r="N39" s="25" t="str">
        <f>HYPERLINK("http://slimages.macys.com/is/image/MCY/21643408 ")</f>
        <v xml:space="preserve">http://slimages.macys.com/is/image/MCY/21643408 </v>
      </c>
    </row>
    <row r="40" spans="1:14" ht="24.75" x14ac:dyDescent="0.25">
      <c r="A40" s="21" t="s">
        <v>4582</v>
      </c>
      <c r="B40" s="22" t="s">
        <v>4583</v>
      </c>
      <c r="C40" s="2">
        <v>1</v>
      </c>
      <c r="D40" s="23">
        <v>23.99</v>
      </c>
      <c r="E40" s="3">
        <v>23.99</v>
      </c>
      <c r="F40" s="2" t="s">
        <v>4584</v>
      </c>
      <c r="G40" s="22" t="s">
        <v>19801</v>
      </c>
      <c r="H40" s="24" t="s">
        <v>20159</v>
      </c>
      <c r="I40" s="22" t="s">
        <v>19309</v>
      </c>
      <c r="J40" s="22" t="s">
        <v>19491</v>
      </c>
      <c r="K40" s="22" t="s">
        <v>19631</v>
      </c>
      <c r="L40" s="22"/>
      <c r="M40" s="22"/>
      <c r="N40" s="25" t="str">
        <f>HYPERLINK("http://slimages.macys.com/is/image/MCY/20504894 ")</f>
        <v xml:space="preserve">http://slimages.macys.com/is/image/MCY/20504894 </v>
      </c>
    </row>
    <row r="41" spans="1:14" x14ac:dyDescent="0.25">
      <c r="A41" s="21" t="s">
        <v>19619</v>
      </c>
      <c r="B41" s="22" t="s">
        <v>19620</v>
      </c>
      <c r="C41" s="2">
        <v>1</v>
      </c>
      <c r="D41" s="23">
        <v>21.99</v>
      </c>
      <c r="E41" s="3">
        <v>21.99</v>
      </c>
      <c r="F41" s="2" t="s">
        <v>19621</v>
      </c>
      <c r="G41" s="22" t="s">
        <v>19622</v>
      </c>
      <c r="H41" s="24" t="s">
        <v>19432</v>
      </c>
      <c r="I41" s="22" t="s">
        <v>19309</v>
      </c>
      <c r="J41" s="22" t="s">
        <v>19310</v>
      </c>
      <c r="K41" s="22" t="s">
        <v>19623</v>
      </c>
      <c r="L41" s="22" t="s">
        <v>19319</v>
      </c>
      <c r="M41" s="22" t="s">
        <v>19435</v>
      </c>
      <c r="N41" s="25" t="str">
        <f>HYPERLINK("http://slimages.macys.com/is/image/MCY/13318435 ")</f>
        <v xml:space="preserve">http://slimages.macys.com/is/image/MCY/13318435 </v>
      </c>
    </row>
    <row r="42" spans="1:14" ht="24.75" x14ac:dyDescent="0.25">
      <c r="A42" s="21" t="s">
        <v>15683</v>
      </c>
      <c r="B42" s="22" t="s">
        <v>15684</v>
      </c>
      <c r="C42" s="2">
        <v>6</v>
      </c>
      <c r="D42" s="23">
        <v>18.989999999999998</v>
      </c>
      <c r="E42" s="3">
        <v>113.94</v>
      </c>
      <c r="F42" s="2" t="s">
        <v>15685</v>
      </c>
      <c r="G42" s="22" t="s">
        <v>19513</v>
      </c>
      <c r="H42" s="24" t="s">
        <v>19364</v>
      </c>
      <c r="I42" s="22" t="s">
        <v>19309</v>
      </c>
      <c r="J42" s="22" t="s">
        <v>19310</v>
      </c>
      <c r="K42" s="22" t="s">
        <v>19873</v>
      </c>
      <c r="L42" s="22"/>
      <c r="M42" s="22"/>
      <c r="N42" s="25" t="str">
        <f>HYPERLINK("http://slimages.macys.com/is/image/MCY/20663274 ")</f>
        <v xml:space="preserve">http://slimages.macys.com/is/image/MCY/20663274 </v>
      </c>
    </row>
    <row r="43" spans="1:14" ht="24.75" x14ac:dyDescent="0.25">
      <c r="A43" s="21" t="s">
        <v>4585</v>
      </c>
      <c r="B43" s="22" t="s">
        <v>4586</v>
      </c>
      <c r="C43" s="2">
        <v>2</v>
      </c>
      <c r="D43" s="23">
        <v>18.989999999999998</v>
      </c>
      <c r="E43" s="3">
        <v>37.979999999999997</v>
      </c>
      <c r="F43" s="2" t="s">
        <v>15685</v>
      </c>
      <c r="G43" s="22" t="s">
        <v>19513</v>
      </c>
      <c r="H43" s="24" t="s">
        <v>19308</v>
      </c>
      <c r="I43" s="22" t="s">
        <v>19309</v>
      </c>
      <c r="J43" s="22" t="s">
        <v>19310</v>
      </c>
      <c r="K43" s="22" t="s">
        <v>19873</v>
      </c>
      <c r="L43" s="22"/>
      <c r="M43" s="22"/>
      <c r="N43" s="25" t="str">
        <f>HYPERLINK("http://slimages.macys.com/is/image/MCY/20663274 ")</f>
        <v xml:space="preserve">http://slimages.macys.com/is/image/MCY/20663274 </v>
      </c>
    </row>
    <row r="44" spans="1:14" ht="24.75" x14ac:dyDescent="0.25">
      <c r="A44" s="21" t="s">
        <v>19654</v>
      </c>
      <c r="B44" s="22" t="s">
        <v>19655</v>
      </c>
      <c r="C44" s="2">
        <v>1</v>
      </c>
      <c r="D44" s="23">
        <v>24.99</v>
      </c>
      <c r="E44" s="3">
        <v>24.99</v>
      </c>
      <c r="F44" s="2" t="s">
        <v>19656</v>
      </c>
      <c r="G44" s="22" t="s">
        <v>19333</v>
      </c>
      <c r="H44" s="24" t="s">
        <v>19416</v>
      </c>
      <c r="I44" s="22" t="s">
        <v>19309</v>
      </c>
      <c r="J44" s="22" t="s">
        <v>19385</v>
      </c>
      <c r="K44" s="22" t="s">
        <v>19487</v>
      </c>
      <c r="L44" s="22"/>
      <c r="M44" s="22"/>
      <c r="N44" s="25" t="str">
        <f>HYPERLINK("http://slimages.macys.com/is/image/MCY/21856823 ")</f>
        <v xml:space="preserve">http://slimages.macys.com/is/image/MCY/21856823 </v>
      </c>
    </row>
    <row r="45" spans="1:14" ht="24.75" x14ac:dyDescent="0.25">
      <c r="A45" s="21" t="s">
        <v>4587</v>
      </c>
      <c r="B45" s="22" t="s">
        <v>4588</v>
      </c>
      <c r="C45" s="2">
        <v>1</v>
      </c>
      <c r="D45" s="23">
        <v>17.989999999999998</v>
      </c>
      <c r="E45" s="3">
        <v>17.989999999999998</v>
      </c>
      <c r="F45" s="2" t="s">
        <v>4589</v>
      </c>
      <c r="G45" s="22" t="s">
        <v>18821</v>
      </c>
      <c r="H45" s="24" t="s">
        <v>19339</v>
      </c>
      <c r="I45" s="22" t="s">
        <v>19309</v>
      </c>
      <c r="J45" s="22" t="s">
        <v>19447</v>
      </c>
      <c r="K45" s="22" t="s">
        <v>5443</v>
      </c>
      <c r="L45" s="22"/>
      <c r="M45" s="22"/>
      <c r="N45" s="25" t="str">
        <f>HYPERLINK("http://slimages.macys.com/is/image/MCY/21918649 ")</f>
        <v xml:space="preserve">http://slimages.macys.com/is/image/MCY/21918649 </v>
      </c>
    </row>
    <row r="46" spans="1:14" ht="24.75" x14ac:dyDescent="0.25">
      <c r="A46" s="21" t="s">
        <v>10889</v>
      </c>
      <c r="B46" s="22" t="s">
        <v>10890</v>
      </c>
      <c r="C46" s="2">
        <v>1</v>
      </c>
      <c r="D46" s="23">
        <v>24.99</v>
      </c>
      <c r="E46" s="3">
        <v>24.99</v>
      </c>
      <c r="F46" s="2" t="s">
        <v>10882</v>
      </c>
      <c r="G46" s="22" t="s">
        <v>19323</v>
      </c>
      <c r="H46" s="24" t="s">
        <v>19330</v>
      </c>
      <c r="I46" s="22" t="s">
        <v>19309</v>
      </c>
      <c r="J46" s="22" t="s">
        <v>19385</v>
      </c>
      <c r="K46" s="22" t="s">
        <v>19386</v>
      </c>
      <c r="L46" s="22"/>
      <c r="M46" s="22"/>
      <c r="N46" s="25" t="str">
        <f>HYPERLINK("http://slimages.macys.com/is/image/MCY/21820640 ")</f>
        <v xml:space="preserve">http://slimages.macys.com/is/image/MCY/21820640 </v>
      </c>
    </row>
    <row r="47" spans="1:14" ht="24.75" x14ac:dyDescent="0.25">
      <c r="A47" s="21" t="s">
        <v>5564</v>
      </c>
      <c r="B47" s="22" t="s">
        <v>5565</v>
      </c>
      <c r="C47" s="2">
        <v>37</v>
      </c>
      <c r="D47" s="23">
        <v>26.99</v>
      </c>
      <c r="E47" s="3">
        <v>998.63</v>
      </c>
      <c r="F47" s="2" t="s">
        <v>19663</v>
      </c>
      <c r="G47" s="22" t="s">
        <v>19333</v>
      </c>
      <c r="H47" s="24" t="s">
        <v>19384</v>
      </c>
      <c r="I47" s="22" t="s">
        <v>19309</v>
      </c>
      <c r="J47" s="22" t="s">
        <v>19385</v>
      </c>
      <c r="K47" s="22" t="s">
        <v>19487</v>
      </c>
      <c r="L47" s="22"/>
      <c r="M47" s="22"/>
      <c r="N47" s="25" t="str">
        <f>HYPERLINK("http://slimages.macys.com/is/image/MCY/21856819 ")</f>
        <v xml:space="preserve">http://slimages.macys.com/is/image/MCY/21856819 </v>
      </c>
    </row>
    <row r="48" spans="1:14" ht="24.75" x14ac:dyDescent="0.25">
      <c r="A48" s="21" t="s">
        <v>4590</v>
      </c>
      <c r="B48" s="22" t="s">
        <v>4591</v>
      </c>
      <c r="C48" s="2">
        <v>1</v>
      </c>
      <c r="D48" s="23">
        <v>24.99</v>
      </c>
      <c r="E48" s="3">
        <v>24.99</v>
      </c>
      <c r="F48" s="2" t="s">
        <v>4592</v>
      </c>
      <c r="G48" s="22" t="s">
        <v>19594</v>
      </c>
      <c r="H48" s="24" t="s">
        <v>19324</v>
      </c>
      <c r="I48" s="22" t="s">
        <v>19309</v>
      </c>
      <c r="J48" s="22" t="s">
        <v>19385</v>
      </c>
      <c r="K48" s="22" t="s">
        <v>19487</v>
      </c>
      <c r="L48" s="22"/>
      <c r="M48" s="22"/>
      <c r="N48" s="25" t="str">
        <f>HYPERLINK("http://slimages.macys.com/is/image/MCY/21436880 ")</f>
        <v xml:space="preserve">http://slimages.macys.com/is/image/MCY/21436880 </v>
      </c>
    </row>
    <row r="49" spans="1:14" ht="24.75" x14ac:dyDescent="0.25">
      <c r="A49" s="21" t="s">
        <v>10883</v>
      </c>
      <c r="B49" s="22" t="s">
        <v>10884</v>
      </c>
      <c r="C49" s="2">
        <v>2</v>
      </c>
      <c r="D49" s="23">
        <v>24.99</v>
      </c>
      <c r="E49" s="3">
        <v>49.98</v>
      </c>
      <c r="F49" s="2" t="s">
        <v>10885</v>
      </c>
      <c r="G49" s="22" t="s">
        <v>19660</v>
      </c>
      <c r="H49" s="24" t="s">
        <v>19324</v>
      </c>
      <c r="I49" s="22" t="s">
        <v>19309</v>
      </c>
      <c r="J49" s="22" t="s">
        <v>19385</v>
      </c>
      <c r="K49" s="22" t="s">
        <v>19386</v>
      </c>
      <c r="L49" s="22"/>
      <c r="M49" s="22"/>
      <c r="N49" s="25" t="str">
        <f>HYPERLINK("http://slimages.macys.com/is/image/MCY/21688904 ")</f>
        <v xml:space="preserve">http://slimages.macys.com/is/image/MCY/21688904 </v>
      </c>
    </row>
    <row r="50" spans="1:14" ht="24.75" x14ac:dyDescent="0.25">
      <c r="A50" s="21" t="s">
        <v>8745</v>
      </c>
      <c r="B50" s="22" t="s">
        <v>8746</v>
      </c>
      <c r="C50" s="2">
        <v>5</v>
      </c>
      <c r="D50" s="23">
        <v>24.99</v>
      </c>
      <c r="E50" s="3">
        <v>124.95</v>
      </c>
      <c r="F50" s="2" t="s">
        <v>10888</v>
      </c>
      <c r="G50" s="22" t="s">
        <v>19333</v>
      </c>
      <c r="H50" s="24" t="s">
        <v>19416</v>
      </c>
      <c r="I50" s="22" t="s">
        <v>19309</v>
      </c>
      <c r="J50" s="22" t="s">
        <v>19385</v>
      </c>
      <c r="K50" s="22" t="s">
        <v>19386</v>
      </c>
      <c r="L50" s="22"/>
      <c r="M50" s="22"/>
      <c r="N50" s="25" t="str">
        <f>HYPERLINK("http://slimages.macys.com/is/image/MCY/21313489 ")</f>
        <v xml:space="preserve">http://slimages.macys.com/is/image/MCY/21313489 </v>
      </c>
    </row>
    <row r="51" spans="1:14" ht="24.75" x14ac:dyDescent="0.25">
      <c r="A51" s="21" t="s">
        <v>11451</v>
      </c>
      <c r="B51" s="22" t="s">
        <v>11452</v>
      </c>
      <c r="C51" s="2">
        <v>18</v>
      </c>
      <c r="D51" s="23">
        <v>26.99</v>
      </c>
      <c r="E51" s="3">
        <v>485.82</v>
      </c>
      <c r="F51" s="2" t="s">
        <v>19663</v>
      </c>
      <c r="G51" s="22" t="s">
        <v>19333</v>
      </c>
      <c r="H51" s="24" t="s">
        <v>19324</v>
      </c>
      <c r="I51" s="22" t="s">
        <v>19309</v>
      </c>
      <c r="J51" s="22" t="s">
        <v>19385</v>
      </c>
      <c r="K51" s="22" t="s">
        <v>19487</v>
      </c>
      <c r="L51" s="22"/>
      <c r="M51" s="22"/>
      <c r="N51" s="25" t="str">
        <f>HYPERLINK("http://slimages.macys.com/is/image/MCY/21856819 ")</f>
        <v xml:space="preserve">http://slimages.macys.com/is/image/MCY/21856819 </v>
      </c>
    </row>
    <row r="52" spans="1:14" ht="24.75" x14ac:dyDescent="0.25">
      <c r="A52" s="21" t="s">
        <v>4593</v>
      </c>
      <c r="B52" s="22" t="s">
        <v>4594</v>
      </c>
      <c r="C52" s="2">
        <v>1</v>
      </c>
      <c r="D52" s="23">
        <v>26.99</v>
      </c>
      <c r="E52" s="3">
        <v>26.99</v>
      </c>
      <c r="F52" s="2" t="s">
        <v>4595</v>
      </c>
      <c r="G52" s="22" t="s">
        <v>19518</v>
      </c>
      <c r="H52" s="24" t="s">
        <v>19542</v>
      </c>
      <c r="I52" s="22" t="s">
        <v>19309</v>
      </c>
      <c r="J52" s="22" t="s">
        <v>19849</v>
      </c>
      <c r="K52" s="22" t="s">
        <v>19850</v>
      </c>
      <c r="L52" s="22"/>
      <c r="M52" s="22"/>
      <c r="N52" s="25" t="str">
        <f>HYPERLINK("http://slimages.macys.com/is/image/MCY/20752183 ")</f>
        <v xml:space="preserve">http://slimages.macys.com/is/image/MCY/20752183 </v>
      </c>
    </row>
    <row r="53" spans="1:14" x14ac:dyDescent="0.25">
      <c r="A53" s="21" t="s">
        <v>8415</v>
      </c>
      <c r="B53" s="22" t="s">
        <v>8416</v>
      </c>
      <c r="C53" s="2">
        <v>10</v>
      </c>
      <c r="D53" s="23">
        <v>27.99</v>
      </c>
      <c r="E53" s="3">
        <v>279.89999999999998</v>
      </c>
      <c r="F53" s="2" t="s">
        <v>8417</v>
      </c>
      <c r="G53" s="22" t="s">
        <v>19342</v>
      </c>
      <c r="H53" s="24" t="s">
        <v>19334</v>
      </c>
      <c r="I53" s="22" t="s">
        <v>19309</v>
      </c>
      <c r="J53" s="22" t="s">
        <v>19696</v>
      </c>
      <c r="K53" s="22" t="s">
        <v>19697</v>
      </c>
      <c r="L53" s="22"/>
      <c r="M53" s="22"/>
      <c r="N53" s="25" t="str">
        <f>HYPERLINK("http://slimages.macys.com/is/image/MCY/21355148 ")</f>
        <v xml:space="preserve">http://slimages.macys.com/is/image/MCY/21355148 </v>
      </c>
    </row>
    <row r="54" spans="1:14" ht="24.75" x14ac:dyDescent="0.25">
      <c r="A54" s="21" t="s">
        <v>8025</v>
      </c>
      <c r="B54" s="22" t="s">
        <v>8026</v>
      </c>
      <c r="C54" s="2">
        <v>11</v>
      </c>
      <c r="D54" s="23">
        <v>27.99</v>
      </c>
      <c r="E54" s="3">
        <v>307.89</v>
      </c>
      <c r="F54" s="2" t="s">
        <v>10896</v>
      </c>
      <c r="G54" s="22" t="s">
        <v>19342</v>
      </c>
      <c r="H54" s="24" t="s">
        <v>19392</v>
      </c>
      <c r="I54" s="22" t="s">
        <v>19309</v>
      </c>
      <c r="J54" s="22" t="s">
        <v>19696</v>
      </c>
      <c r="K54" s="22" t="s">
        <v>19965</v>
      </c>
      <c r="L54" s="22"/>
      <c r="M54" s="22"/>
      <c r="N54" s="25" t="str">
        <f>HYPERLINK("http://slimages.macys.com/is/image/MCY/21356000 ")</f>
        <v xml:space="preserve">http://slimages.macys.com/is/image/MCY/21356000 </v>
      </c>
    </row>
    <row r="55" spans="1:14" x14ac:dyDescent="0.25">
      <c r="A55" s="21" t="s">
        <v>8418</v>
      </c>
      <c r="B55" s="22" t="s">
        <v>8419</v>
      </c>
      <c r="C55" s="2">
        <v>5</v>
      </c>
      <c r="D55" s="23">
        <v>27.99</v>
      </c>
      <c r="E55" s="3">
        <v>139.94999999999999</v>
      </c>
      <c r="F55" s="2" t="s">
        <v>8420</v>
      </c>
      <c r="G55" s="22" t="s">
        <v>19342</v>
      </c>
      <c r="H55" s="24" t="s">
        <v>19334</v>
      </c>
      <c r="I55" s="22" t="s">
        <v>19309</v>
      </c>
      <c r="J55" s="22" t="s">
        <v>19696</v>
      </c>
      <c r="K55" s="22" t="s">
        <v>19697</v>
      </c>
      <c r="L55" s="22"/>
      <c r="M55" s="22"/>
      <c r="N55" s="25" t="str">
        <f>HYPERLINK("http://slimages.macys.com/is/image/MCY/21364970 ")</f>
        <v xml:space="preserve">http://slimages.macys.com/is/image/MCY/21364970 </v>
      </c>
    </row>
    <row r="56" spans="1:14" x14ac:dyDescent="0.25">
      <c r="A56" s="21" t="s">
        <v>8224</v>
      </c>
      <c r="B56" s="22" t="s">
        <v>8225</v>
      </c>
      <c r="C56" s="2">
        <v>1</v>
      </c>
      <c r="D56" s="23">
        <v>27.99</v>
      </c>
      <c r="E56" s="3">
        <v>27.99</v>
      </c>
      <c r="F56" s="2" t="s">
        <v>9429</v>
      </c>
      <c r="G56" s="22" t="s">
        <v>19342</v>
      </c>
      <c r="H56" s="24" t="s">
        <v>19334</v>
      </c>
      <c r="I56" s="22" t="s">
        <v>19309</v>
      </c>
      <c r="J56" s="22" t="s">
        <v>19696</v>
      </c>
      <c r="K56" s="22" t="s">
        <v>19697</v>
      </c>
      <c r="L56" s="22"/>
      <c r="M56" s="22"/>
      <c r="N56" s="25" t="str">
        <f>HYPERLINK("http://slimages.macys.com/is/image/MCY/21355162 ")</f>
        <v xml:space="preserve">http://slimages.macys.com/is/image/MCY/21355162 </v>
      </c>
    </row>
    <row r="57" spans="1:14" x14ac:dyDescent="0.25">
      <c r="A57" s="21" t="s">
        <v>8027</v>
      </c>
      <c r="B57" s="22" t="s">
        <v>8028</v>
      </c>
      <c r="C57" s="2">
        <v>14</v>
      </c>
      <c r="D57" s="23">
        <v>27.99</v>
      </c>
      <c r="E57" s="3">
        <v>391.86</v>
      </c>
      <c r="F57" s="2" t="s">
        <v>9821</v>
      </c>
      <c r="G57" s="22" t="s">
        <v>19342</v>
      </c>
      <c r="H57" s="24" t="s">
        <v>19334</v>
      </c>
      <c r="I57" s="22" t="s">
        <v>19309</v>
      </c>
      <c r="J57" s="22" t="s">
        <v>19696</v>
      </c>
      <c r="K57" s="22" t="s">
        <v>19697</v>
      </c>
      <c r="L57" s="22"/>
      <c r="M57" s="22"/>
      <c r="N57" s="25" t="str">
        <f>HYPERLINK("http://slimages.macys.com/is/image/MCY/21355165 ")</f>
        <v xml:space="preserve">http://slimages.macys.com/is/image/MCY/21355165 </v>
      </c>
    </row>
    <row r="58" spans="1:14" x14ac:dyDescent="0.25">
      <c r="A58" s="21" t="s">
        <v>9824</v>
      </c>
      <c r="B58" s="22" t="s">
        <v>9825</v>
      </c>
      <c r="C58" s="2">
        <v>5</v>
      </c>
      <c r="D58" s="23">
        <v>27.99</v>
      </c>
      <c r="E58" s="3">
        <v>139.94999999999999</v>
      </c>
      <c r="F58" s="2" t="s">
        <v>10899</v>
      </c>
      <c r="G58" s="22" t="s">
        <v>19342</v>
      </c>
      <c r="H58" s="24" t="s">
        <v>19334</v>
      </c>
      <c r="I58" s="22" t="s">
        <v>19309</v>
      </c>
      <c r="J58" s="22" t="s">
        <v>19696</v>
      </c>
      <c r="K58" s="22" t="s">
        <v>19697</v>
      </c>
      <c r="L58" s="22"/>
      <c r="M58" s="22"/>
      <c r="N58" s="25" t="str">
        <f>HYPERLINK("http://slimages.macys.com/is/image/MCY/21355157 ")</f>
        <v xml:space="preserve">http://slimages.macys.com/is/image/MCY/21355157 </v>
      </c>
    </row>
    <row r="59" spans="1:14" x14ac:dyDescent="0.25">
      <c r="A59" s="21" t="s">
        <v>10897</v>
      </c>
      <c r="B59" s="22" t="s">
        <v>10898</v>
      </c>
      <c r="C59" s="2">
        <v>6</v>
      </c>
      <c r="D59" s="23">
        <v>27.99</v>
      </c>
      <c r="E59" s="3">
        <v>167.94</v>
      </c>
      <c r="F59" s="2" t="s">
        <v>10899</v>
      </c>
      <c r="G59" s="22" t="s">
        <v>19342</v>
      </c>
      <c r="H59" s="24" t="s">
        <v>19345</v>
      </c>
      <c r="I59" s="22" t="s">
        <v>19309</v>
      </c>
      <c r="J59" s="22" t="s">
        <v>19696</v>
      </c>
      <c r="K59" s="22" t="s">
        <v>19697</v>
      </c>
      <c r="L59" s="22"/>
      <c r="M59" s="22"/>
      <c r="N59" s="25" t="str">
        <f>HYPERLINK("http://slimages.macys.com/is/image/MCY/21355157 ")</f>
        <v xml:space="preserve">http://slimages.macys.com/is/image/MCY/21355157 </v>
      </c>
    </row>
    <row r="60" spans="1:14" ht="24.75" x14ac:dyDescent="0.25">
      <c r="A60" s="21" t="s">
        <v>8226</v>
      </c>
      <c r="B60" s="22" t="s">
        <v>8227</v>
      </c>
      <c r="C60" s="2">
        <v>5</v>
      </c>
      <c r="D60" s="23">
        <v>27.99</v>
      </c>
      <c r="E60" s="3">
        <v>139.94999999999999</v>
      </c>
      <c r="F60" s="2" t="s">
        <v>10896</v>
      </c>
      <c r="G60" s="22" t="s">
        <v>19342</v>
      </c>
      <c r="H60" s="24" t="s">
        <v>19345</v>
      </c>
      <c r="I60" s="22" t="s">
        <v>19309</v>
      </c>
      <c r="J60" s="22" t="s">
        <v>19696</v>
      </c>
      <c r="K60" s="22" t="s">
        <v>19965</v>
      </c>
      <c r="L60" s="22"/>
      <c r="M60" s="22"/>
      <c r="N60" s="25" t="str">
        <f>HYPERLINK("http://slimages.macys.com/is/image/MCY/21356000 ")</f>
        <v xml:space="preserve">http://slimages.macys.com/is/image/MCY/21356000 </v>
      </c>
    </row>
    <row r="61" spans="1:14" ht="24.75" x14ac:dyDescent="0.25">
      <c r="A61" s="21" t="s">
        <v>9436</v>
      </c>
      <c r="B61" s="22" t="s">
        <v>9437</v>
      </c>
      <c r="C61" s="2">
        <v>11</v>
      </c>
      <c r="D61" s="23">
        <v>24.99</v>
      </c>
      <c r="E61" s="3">
        <v>274.89</v>
      </c>
      <c r="F61" s="2" t="s">
        <v>9432</v>
      </c>
      <c r="G61" s="22" t="s">
        <v>19333</v>
      </c>
      <c r="H61" s="24" t="s">
        <v>19416</v>
      </c>
      <c r="I61" s="22" t="s">
        <v>19309</v>
      </c>
      <c r="J61" s="22" t="s">
        <v>19385</v>
      </c>
      <c r="K61" s="22" t="s">
        <v>19386</v>
      </c>
      <c r="L61" s="22"/>
      <c r="M61" s="22"/>
      <c r="N61" s="25" t="str">
        <f>HYPERLINK("http://slimages.macys.com/is/image/MCY/21446553 ")</f>
        <v xml:space="preserve">http://slimages.macys.com/is/image/MCY/21446553 </v>
      </c>
    </row>
    <row r="62" spans="1:14" ht="24.75" x14ac:dyDescent="0.25">
      <c r="A62" s="21" t="s">
        <v>8029</v>
      </c>
      <c r="B62" s="22" t="s">
        <v>8030</v>
      </c>
      <c r="C62" s="2">
        <v>49</v>
      </c>
      <c r="D62" s="23">
        <v>24.99</v>
      </c>
      <c r="E62" s="3">
        <v>1224.51</v>
      </c>
      <c r="F62" s="2" t="s">
        <v>10905</v>
      </c>
      <c r="G62" s="22" t="s">
        <v>19342</v>
      </c>
      <c r="H62" s="24" t="s">
        <v>19324</v>
      </c>
      <c r="I62" s="22" t="s">
        <v>19309</v>
      </c>
      <c r="J62" s="22" t="s">
        <v>19491</v>
      </c>
      <c r="K62" s="22" t="s">
        <v>19554</v>
      </c>
      <c r="L62" s="22"/>
      <c r="M62" s="22"/>
      <c r="N62" s="25" t="str">
        <f>HYPERLINK("http://slimages.macys.com/is/image/MCY/21483063 ")</f>
        <v xml:space="preserve">http://slimages.macys.com/is/image/MCY/21483063 </v>
      </c>
    </row>
    <row r="63" spans="1:14" x14ac:dyDescent="0.25">
      <c r="A63" s="21" t="s">
        <v>8230</v>
      </c>
      <c r="B63" s="22" t="s">
        <v>8231</v>
      </c>
      <c r="C63" s="2">
        <v>7</v>
      </c>
      <c r="D63" s="23">
        <v>20.58</v>
      </c>
      <c r="E63" s="3">
        <v>144.06</v>
      </c>
      <c r="F63" s="2" t="s">
        <v>8232</v>
      </c>
      <c r="G63" s="22" t="s">
        <v>19342</v>
      </c>
      <c r="H63" s="24" t="s">
        <v>19345</v>
      </c>
      <c r="I63" s="22" t="s">
        <v>19309</v>
      </c>
      <c r="J63" s="22" t="s">
        <v>19514</v>
      </c>
      <c r="K63" s="22" t="s">
        <v>10909</v>
      </c>
      <c r="L63" s="22"/>
      <c r="M63" s="22"/>
      <c r="N63" s="25" t="str">
        <f>HYPERLINK("http://slimages.macys.com/is/image/MCY/21192199 ")</f>
        <v xml:space="preserve">http://slimages.macys.com/is/image/MCY/21192199 </v>
      </c>
    </row>
    <row r="64" spans="1:14" x14ac:dyDescent="0.25">
      <c r="A64" s="21" t="s">
        <v>8034</v>
      </c>
      <c r="B64" s="22" t="s">
        <v>8035</v>
      </c>
      <c r="C64" s="2">
        <v>1</v>
      </c>
      <c r="D64" s="23">
        <v>20.58</v>
      </c>
      <c r="E64" s="3">
        <v>20.58</v>
      </c>
      <c r="F64" s="2" t="s">
        <v>8036</v>
      </c>
      <c r="G64" s="22" t="s">
        <v>19342</v>
      </c>
      <c r="H64" s="24" t="s">
        <v>19395</v>
      </c>
      <c r="I64" s="22" t="s">
        <v>19309</v>
      </c>
      <c r="J64" s="22" t="s">
        <v>19514</v>
      </c>
      <c r="K64" s="22" t="s">
        <v>10909</v>
      </c>
      <c r="L64" s="22"/>
      <c r="M64" s="22"/>
      <c r="N64" s="25" t="str">
        <f>HYPERLINK("http://slimages.macys.com/is/image/MCY/21192202 ")</f>
        <v xml:space="preserve">http://slimages.macys.com/is/image/MCY/21192202 </v>
      </c>
    </row>
    <row r="65" spans="1:14" x14ac:dyDescent="0.25">
      <c r="A65" s="21" t="s">
        <v>8041</v>
      </c>
      <c r="B65" s="22" t="s">
        <v>8042</v>
      </c>
      <c r="C65" s="2">
        <v>4</v>
      </c>
      <c r="D65" s="23">
        <v>20.58</v>
      </c>
      <c r="E65" s="3">
        <v>82.32</v>
      </c>
      <c r="F65" s="2" t="s">
        <v>8036</v>
      </c>
      <c r="G65" s="22" t="s">
        <v>19342</v>
      </c>
      <c r="H65" s="24" t="s">
        <v>19361</v>
      </c>
      <c r="I65" s="22" t="s">
        <v>19309</v>
      </c>
      <c r="J65" s="22" t="s">
        <v>19514</v>
      </c>
      <c r="K65" s="22" t="s">
        <v>10909</v>
      </c>
      <c r="L65" s="22"/>
      <c r="M65" s="22"/>
      <c r="N65" s="25" t="str">
        <f>HYPERLINK("http://slimages.macys.com/is/image/MCY/21192202 ")</f>
        <v xml:space="preserve">http://slimages.macys.com/is/image/MCY/21192202 </v>
      </c>
    </row>
    <row r="66" spans="1:14" x14ac:dyDescent="0.25">
      <c r="A66" s="21" t="s">
        <v>4596</v>
      </c>
      <c r="B66" s="22" t="s">
        <v>4597</v>
      </c>
      <c r="C66" s="2">
        <v>1</v>
      </c>
      <c r="D66" s="23">
        <v>20.58</v>
      </c>
      <c r="E66" s="3">
        <v>20.58</v>
      </c>
      <c r="F66" s="2" t="s">
        <v>8036</v>
      </c>
      <c r="G66" s="22" t="s">
        <v>19342</v>
      </c>
      <c r="H66" s="24" t="s">
        <v>19432</v>
      </c>
      <c r="I66" s="22" t="s">
        <v>19309</v>
      </c>
      <c r="J66" s="22" t="s">
        <v>19514</v>
      </c>
      <c r="K66" s="22" t="s">
        <v>10909</v>
      </c>
      <c r="L66" s="22"/>
      <c r="M66" s="22"/>
      <c r="N66" s="25" t="str">
        <f>HYPERLINK("http://slimages.macys.com/is/image/MCY/21192202 ")</f>
        <v xml:space="preserve">http://slimages.macys.com/is/image/MCY/21192202 </v>
      </c>
    </row>
    <row r="67" spans="1:14" x14ac:dyDescent="0.25">
      <c r="A67" s="21" t="s">
        <v>8037</v>
      </c>
      <c r="B67" s="22" t="s">
        <v>8038</v>
      </c>
      <c r="C67" s="2">
        <v>9</v>
      </c>
      <c r="D67" s="23">
        <v>20.58</v>
      </c>
      <c r="E67" s="3">
        <v>185.22</v>
      </c>
      <c r="F67" s="2" t="s">
        <v>8036</v>
      </c>
      <c r="G67" s="22" t="s">
        <v>19342</v>
      </c>
      <c r="H67" s="24" t="s">
        <v>19542</v>
      </c>
      <c r="I67" s="22" t="s">
        <v>19309</v>
      </c>
      <c r="J67" s="22" t="s">
        <v>19514</v>
      </c>
      <c r="K67" s="22" t="s">
        <v>10909</v>
      </c>
      <c r="L67" s="22"/>
      <c r="M67" s="22"/>
      <c r="N67" s="25" t="str">
        <f>HYPERLINK("http://slimages.macys.com/is/image/MCY/21192202 ")</f>
        <v xml:space="preserve">http://slimages.macys.com/is/image/MCY/21192202 </v>
      </c>
    </row>
    <row r="68" spans="1:14" ht="24.75" x14ac:dyDescent="0.25">
      <c r="A68" s="21" t="s">
        <v>4598</v>
      </c>
      <c r="B68" s="22" t="s">
        <v>4599</v>
      </c>
      <c r="C68" s="2">
        <v>12</v>
      </c>
      <c r="D68" s="23">
        <v>24.99</v>
      </c>
      <c r="E68" s="3">
        <v>299.88</v>
      </c>
      <c r="F68" s="2" t="s">
        <v>4600</v>
      </c>
      <c r="G68" s="22" t="s">
        <v>19342</v>
      </c>
      <c r="H68" s="24" t="s">
        <v>19324</v>
      </c>
      <c r="I68" s="22" t="s">
        <v>19309</v>
      </c>
      <c r="J68" s="22" t="s">
        <v>19491</v>
      </c>
      <c r="K68" s="22" t="s">
        <v>19554</v>
      </c>
      <c r="L68" s="22"/>
      <c r="M68" s="22"/>
      <c r="N68" s="25" t="str">
        <f>HYPERLINK("http://slimages.macys.com/is/image/MCY/21243466 ")</f>
        <v xml:space="preserve">http://slimages.macys.com/is/image/MCY/21243466 </v>
      </c>
    </row>
    <row r="69" spans="1:14" ht="24.75" x14ac:dyDescent="0.25">
      <c r="A69" s="21" t="s">
        <v>4601</v>
      </c>
      <c r="B69" s="22" t="s">
        <v>4602</v>
      </c>
      <c r="C69" s="2">
        <v>1</v>
      </c>
      <c r="D69" s="23">
        <v>24.99</v>
      </c>
      <c r="E69" s="3">
        <v>24.99</v>
      </c>
      <c r="F69" s="2" t="s">
        <v>4603</v>
      </c>
      <c r="G69" s="22" t="s">
        <v>19342</v>
      </c>
      <c r="H69" s="24" t="s">
        <v>19330</v>
      </c>
      <c r="I69" s="22" t="s">
        <v>19309</v>
      </c>
      <c r="J69" s="22" t="s">
        <v>19385</v>
      </c>
      <c r="K69" s="22" t="s">
        <v>19614</v>
      </c>
      <c r="L69" s="22"/>
      <c r="M69" s="22"/>
      <c r="N69" s="25" t="str">
        <f>HYPERLINK("http://slimages.macys.com/is/image/MCY/22070701 ")</f>
        <v xml:space="preserve">http://slimages.macys.com/is/image/MCY/22070701 </v>
      </c>
    </row>
    <row r="70" spans="1:14" ht="24.75" x14ac:dyDescent="0.25">
      <c r="A70" s="21" t="s">
        <v>4604</v>
      </c>
      <c r="B70" s="22" t="s">
        <v>4605</v>
      </c>
      <c r="C70" s="2">
        <v>1</v>
      </c>
      <c r="D70" s="23">
        <v>24.99</v>
      </c>
      <c r="E70" s="3">
        <v>24.99</v>
      </c>
      <c r="F70" s="2" t="s">
        <v>15780</v>
      </c>
      <c r="G70" s="22" t="s">
        <v>19342</v>
      </c>
      <c r="H70" s="24" t="s">
        <v>19416</v>
      </c>
      <c r="I70" s="22" t="s">
        <v>19309</v>
      </c>
      <c r="J70" s="22" t="s">
        <v>19385</v>
      </c>
      <c r="K70" s="22" t="s">
        <v>19729</v>
      </c>
      <c r="L70" s="22"/>
      <c r="M70" s="22"/>
      <c r="N70" s="25" t="str">
        <f>HYPERLINK("http://slimages.macys.com/is/image/MCY/21506851 ")</f>
        <v xml:space="preserve">http://slimages.macys.com/is/image/MCY/21506851 </v>
      </c>
    </row>
    <row r="71" spans="1:14" ht="24.75" x14ac:dyDescent="0.25">
      <c r="A71" s="21" t="s">
        <v>9453</v>
      </c>
      <c r="B71" s="22" t="s">
        <v>9454</v>
      </c>
      <c r="C71" s="2">
        <v>1</v>
      </c>
      <c r="D71" s="23">
        <v>24.99</v>
      </c>
      <c r="E71" s="3">
        <v>24.99</v>
      </c>
      <c r="F71" s="2" t="s">
        <v>9452</v>
      </c>
      <c r="G71" s="22" t="s">
        <v>19670</v>
      </c>
      <c r="H71" s="24" t="s">
        <v>19538</v>
      </c>
      <c r="I71" s="22" t="s">
        <v>19309</v>
      </c>
      <c r="J71" s="22" t="s">
        <v>19385</v>
      </c>
      <c r="K71" s="22" t="s">
        <v>19386</v>
      </c>
      <c r="L71" s="22"/>
      <c r="M71" s="22"/>
      <c r="N71" s="25" t="str">
        <f>HYPERLINK("http://slimages.macys.com/is/image/MCY/21820644 ")</f>
        <v xml:space="preserve">http://slimages.macys.com/is/image/MCY/21820644 </v>
      </c>
    </row>
    <row r="72" spans="1:14" ht="24.75" x14ac:dyDescent="0.25">
      <c r="A72" s="21" t="s">
        <v>15810</v>
      </c>
      <c r="B72" s="22" t="s">
        <v>15811</v>
      </c>
      <c r="C72" s="2">
        <v>1</v>
      </c>
      <c r="D72" s="23">
        <v>20.99</v>
      </c>
      <c r="E72" s="3">
        <v>20.99</v>
      </c>
      <c r="F72" s="2" t="s">
        <v>15812</v>
      </c>
      <c r="G72" s="22" t="s">
        <v>20306</v>
      </c>
      <c r="H72" s="24" t="s">
        <v>19367</v>
      </c>
      <c r="I72" s="22" t="s">
        <v>19309</v>
      </c>
      <c r="J72" s="22" t="s">
        <v>19385</v>
      </c>
      <c r="K72" s="22" t="s">
        <v>19463</v>
      </c>
      <c r="L72" s="22"/>
      <c r="M72" s="22"/>
      <c r="N72" s="25" t="str">
        <f>HYPERLINK("http://slimages.macys.com/is/image/MCY/21636882 ")</f>
        <v xml:space="preserve">http://slimages.macys.com/is/image/MCY/21636882 </v>
      </c>
    </row>
    <row r="73" spans="1:14" ht="24.75" x14ac:dyDescent="0.25">
      <c r="A73" s="21" t="s">
        <v>4606</v>
      </c>
      <c r="B73" s="22" t="s">
        <v>4607</v>
      </c>
      <c r="C73" s="2">
        <v>1</v>
      </c>
      <c r="D73" s="23">
        <v>21.41</v>
      </c>
      <c r="E73" s="3">
        <v>21.41</v>
      </c>
      <c r="F73" s="2" t="s">
        <v>11896</v>
      </c>
      <c r="G73" s="22"/>
      <c r="H73" s="24" t="s">
        <v>19392</v>
      </c>
      <c r="I73" s="22" t="s">
        <v>19309</v>
      </c>
      <c r="J73" s="22" t="s">
        <v>19602</v>
      </c>
      <c r="K73" s="22" t="s">
        <v>19603</v>
      </c>
      <c r="L73" s="22"/>
      <c r="M73" s="22"/>
      <c r="N73" s="25" t="str">
        <f>HYPERLINK("http://slimages.macys.com/is/image/MCY/21723199 ")</f>
        <v xml:space="preserve">http://slimages.macys.com/is/image/MCY/21723199 </v>
      </c>
    </row>
    <row r="74" spans="1:14" ht="24.75" x14ac:dyDescent="0.25">
      <c r="A74" s="21" t="s">
        <v>4608</v>
      </c>
      <c r="B74" s="22" t="s">
        <v>4609</v>
      </c>
      <c r="C74" s="2">
        <v>1</v>
      </c>
      <c r="D74" s="23">
        <v>21.41</v>
      </c>
      <c r="E74" s="3">
        <v>21.41</v>
      </c>
      <c r="F74" s="2" t="s">
        <v>4610</v>
      </c>
      <c r="G74" s="22"/>
      <c r="H74" s="24" t="s">
        <v>19345</v>
      </c>
      <c r="I74" s="22" t="s">
        <v>19309</v>
      </c>
      <c r="J74" s="22" t="s">
        <v>19602</v>
      </c>
      <c r="K74" s="22" t="s">
        <v>19603</v>
      </c>
      <c r="L74" s="22"/>
      <c r="M74" s="22"/>
      <c r="N74" s="25" t="str">
        <f>HYPERLINK("http://slimages.macys.com/is/image/MCY/21728924 ")</f>
        <v xml:space="preserve">http://slimages.macys.com/is/image/MCY/21728924 </v>
      </c>
    </row>
    <row r="75" spans="1:14" ht="24.75" x14ac:dyDescent="0.25">
      <c r="A75" s="21" t="s">
        <v>4611</v>
      </c>
      <c r="B75" s="22" t="s">
        <v>4612</v>
      </c>
      <c r="C75" s="2">
        <v>1</v>
      </c>
      <c r="D75" s="23">
        <v>21.41</v>
      </c>
      <c r="E75" s="3">
        <v>21.41</v>
      </c>
      <c r="F75" s="2" t="s">
        <v>4610</v>
      </c>
      <c r="G75" s="22"/>
      <c r="H75" s="24" t="s">
        <v>19334</v>
      </c>
      <c r="I75" s="22" t="s">
        <v>19309</v>
      </c>
      <c r="J75" s="22" t="s">
        <v>19602</v>
      </c>
      <c r="K75" s="22" t="s">
        <v>19603</v>
      </c>
      <c r="L75" s="22"/>
      <c r="M75" s="22"/>
      <c r="N75" s="25" t="str">
        <f>HYPERLINK("http://slimages.macys.com/is/image/MCY/21728924 ")</f>
        <v xml:space="preserve">http://slimages.macys.com/is/image/MCY/21728924 </v>
      </c>
    </row>
    <row r="76" spans="1:14" x14ac:dyDescent="0.25">
      <c r="A76" s="21" t="s">
        <v>4613</v>
      </c>
      <c r="B76" s="22" t="s">
        <v>4614</v>
      </c>
      <c r="C76" s="2">
        <v>1</v>
      </c>
      <c r="D76" s="23">
        <v>26.05</v>
      </c>
      <c r="E76" s="3">
        <v>26.05</v>
      </c>
      <c r="F76" s="2" t="s">
        <v>4615</v>
      </c>
      <c r="G76" s="22"/>
      <c r="H76" s="24" t="s">
        <v>19330</v>
      </c>
      <c r="I76" s="22" t="s">
        <v>19309</v>
      </c>
      <c r="J76" s="22" t="s">
        <v>19708</v>
      </c>
      <c r="K76" s="22" t="s">
        <v>19754</v>
      </c>
      <c r="L76" s="22"/>
      <c r="M76" s="22"/>
      <c r="N76" s="25" t="str">
        <f>HYPERLINK("http://slimages.macys.com/is/image/MCY/21422917 ")</f>
        <v xml:space="preserve">http://slimages.macys.com/is/image/MCY/21422917 </v>
      </c>
    </row>
    <row r="77" spans="1:14" x14ac:dyDescent="0.25">
      <c r="A77" s="21" t="s">
        <v>4616</v>
      </c>
      <c r="B77" s="22" t="s">
        <v>4617</v>
      </c>
      <c r="C77" s="2">
        <v>1</v>
      </c>
      <c r="D77" s="23">
        <v>26.05</v>
      </c>
      <c r="E77" s="3">
        <v>26.05</v>
      </c>
      <c r="F77" s="2" t="s">
        <v>4618</v>
      </c>
      <c r="G77" s="22"/>
      <c r="H77" s="24" t="s">
        <v>19324</v>
      </c>
      <c r="I77" s="22" t="s">
        <v>19309</v>
      </c>
      <c r="J77" s="22" t="s">
        <v>19708</v>
      </c>
      <c r="K77" s="22" t="s">
        <v>19754</v>
      </c>
      <c r="L77" s="22"/>
      <c r="M77" s="22"/>
      <c r="N77" s="25" t="str">
        <f>HYPERLINK("http://slimages.macys.com/is/image/MCY/21422884 ")</f>
        <v xml:space="preserve">http://slimages.macys.com/is/image/MCY/21422884 </v>
      </c>
    </row>
    <row r="78" spans="1:14" ht="24.75" x14ac:dyDescent="0.25">
      <c r="A78" s="21" t="s">
        <v>4619</v>
      </c>
      <c r="B78" s="22" t="s">
        <v>4620</v>
      </c>
      <c r="C78" s="2">
        <v>1</v>
      </c>
      <c r="D78" s="23">
        <v>37.5</v>
      </c>
      <c r="E78" s="3">
        <v>37.5</v>
      </c>
      <c r="F78" s="2" t="s">
        <v>4621</v>
      </c>
      <c r="G78" s="22" t="s">
        <v>19879</v>
      </c>
      <c r="H78" s="24"/>
      <c r="I78" s="22" t="s">
        <v>19309</v>
      </c>
      <c r="J78" s="22" t="s">
        <v>19613</v>
      </c>
      <c r="K78" s="22" t="s">
        <v>19614</v>
      </c>
      <c r="L78" s="22"/>
      <c r="M78" s="22"/>
      <c r="N78" s="25" t="str">
        <f>HYPERLINK("http://slimages.macys.com/is/image/MCY/18885036 ")</f>
        <v xml:space="preserve">http://slimages.macys.com/is/image/MCY/18885036 </v>
      </c>
    </row>
    <row r="79" spans="1:14" ht="24.75" x14ac:dyDescent="0.25">
      <c r="A79" s="21" t="s">
        <v>4622</v>
      </c>
      <c r="B79" s="22" t="s">
        <v>4623</v>
      </c>
      <c r="C79" s="2">
        <v>1</v>
      </c>
      <c r="D79" s="23">
        <v>22.99</v>
      </c>
      <c r="E79" s="3">
        <v>22.99</v>
      </c>
      <c r="F79" s="2" t="s">
        <v>11522</v>
      </c>
      <c r="G79" s="22" t="s">
        <v>19674</v>
      </c>
      <c r="H79" s="24" t="s">
        <v>19384</v>
      </c>
      <c r="I79" s="22" t="s">
        <v>19309</v>
      </c>
      <c r="J79" s="22" t="s">
        <v>19573</v>
      </c>
      <c r="K79" s="22" t="s">
        <v>19574</v>
      </c>
      <c r="L79" s="22"/>
      <c r="M79" s="22"/>
      <c r="N79" s="25" t="str">
        <f>HYPERLINK("http://slimages.macys.com/is/image/MCY/17709369 ")</f>
        <v xml:space="preserve">http://slimages.macys.com/is/image/MCY/17709369 </v>
      </c>
    </row>
    <row r="80" spans="1:14" ht="24.75" x14ac:dyDescent="0.25">
      <c r="A80" s="21" t="s">
        <v>4624</v>
      </c>
      <c r="B80" s="22" t="s">
        <v>4625</v>
      </c>
      <c r="C80" s="2">
        <v>16</v>
      </c>
      <c r="D80" s="23">
        <v>21.99</v>
      </c>
      <c r="E80" s="3">
        <v>351.84</v>
      </c>
      <c r="F80" s="2" t="s">
        <v>15851</v>
      </c>
      <c r="G80" s="22" t="s">
        <v>19357</v>
      </c>
      <c r="H80" s="24" t="s">
        <v>19395</v>
      </c>
      <c r="I80" s="22" t="s">
        <v>19309</v>
      </c>
      <c r="J80" s="22" t="s">
        <v>19595</v>
      </c>
      <c r="K80" s="22" t="s">
        <v>19596</v>
      </c>
      <c r="L80" s="22"/>
      <c r="M80" s="22"/>
      <c r="N80" s="25" t="str">
        <f>HYPERLINK("http://slimages.macys.com/is/image/MCY/21909784 ")</f>
        <v xml:space="preserve">http://slimages.macys.com/is/image/MCY/21909784 </v>
      </c>
    </row>
    <row r="81" spans="1:14" ht="24.75" x14ac:dyDescent="0.25">
      <c r="A81" s="21" t="s">
        <v>4626</v>
      </c>
      <c r="B81" s="22" t="s">
        <v>4627</v>
      </c>
      <c r="C81" s="2">
        <v>8</v>
      </c>
      <c r="D81" s="23">
        <v>24</v>
      </c>
      <c r="E81" s="3">
        <v>192</v>
      </c>
      <c r="F81" s="2" t="s">
        <v>10949</v>
      </c>
      <c r="G81" s="22" t="s">
        <v>19351</v>
      </c>
      <c r="H81" s="24" t="s">
        <v>20152</v>
      </c>
      <c r="I81" s="22" t="s">
        <v>19309</v>
      </c>
      <c r="J81" s="22" t="s">
        <v>19417</v>
      </c>
      <c r="K81" s="22" t="s">
        <v>19854</v>
      </c>
      <c r="L81" s="22"/>
      <c r="M81" s="22"/>
      <c r="N81" s="25" t="str">
        <f>HYPERLINK("http://slimages.macys.com/is/image/MCY/21369853 ")</f>
        <v xml:space="preserve">http://slimages.macys.com/is/image/MCY/21369853 </v>
      </c>
    </row>
    <row r="82" spans="1:14" ht="24.75" x14ac:dyDescent="0.25">
      <c r="A82" s="21" t="s">
        <v>4628</v>
      </c>
      <c r="B82" s="22" t="s">
        <v>4629</v>
      </c>
      <c r="C82" s="2">
        <v>18</v>
      </c>
      <c r="D82" s="23">
        <v>24</v>
      </c>
      <c r="E82" s="3">
        <v>432</v>
      </c>
      <c r="F82" s="2" t="s">
        <v>4630</v>
      </c>
      <c r="G82" s="22" t="s">
        <v>19422</v>
      </c>
      <c r="H82" s="24" t="s">
        <v>19367</v>
      </c>
      <c r="I82" s="22" t="s">
        <v>19309</v>
      </c>
      <c r="J82" s="22" t="s">
        <v>19417</v>
      </c>
      <c r="K82" s="22" t="s">
        <v>19854</v>
      </c>
      <c r="L82" s="22"/>
      <c r="M82" s="22"/>
      <c r="N82" s="25" t="str">
        <f>HYPERLINK("http://slimages.macys.com/is/image/MCY/21370156 ")</f>
        <v xml:space="preserve">http://slimages.macys.com/is/image/MCY/21370156 </v>
      </c>
    </row>
    <row r="83" spans="1:14" ht="24.75" x14ac:dyDescent="0.25">
      <c r="A83" s="21" t="s">
        <v>4631</v>
      </c>
      <c r="B83" s="22" t="s">
        <v>4632</v>
      </c>
      <c r="C83" s="2">
        <v>19</v>
      </c>
      <c r="D83" s="23">
        <v>24</v>
      </c>
      <c r="E83" s="3">
        <v>456</v>
      </c>
      <c r="F83" s="2" t="s">
        <v>10946</v>
      </c>
      <c r="G83" s="22" t="s">
        <v>19404</v>
      </c>
      <c r="H83" s="24" t="s">
        <v>20159</v>
      </c>
      <c r="I83" s="22" t="s">
        <v>19309</v>
      </c>
      <c r="J83" s="22" t="s">
        <v>19417</v>
      </c>
      <c r="K83" s="22" t="s">
        <v>19854</v>
      </c>
      <c r="L83" s="22"/>
      <c r="M83" s="22"/>
      <c r="N83" s="25" t="str">
        <f>HYPERLINK("http://slimages.macys.com/is/image/MCY/21362948 ")</f>
        <v xml:space="preserve">http://slimages.macys.com/is/image/MCY/21362948 </v>
      </c>
    </row>
    <row r="84" spans="1:14" ht="24.75" x14ac:dyDescent="0.25">
      <c r="A84" s="21" t="s">
        <v>10935</v>
      </c>
      <c r="B84" s="22" t="s">
        <v>10936</v>
      </c>
      <c r="C84" s="2">
        <v>7</v>
      </c>
      <c r="D84" s="23">
        <v>24</v>
      </c>
      <c r="E84" s="3">
        <v>168</v>
      </c>
      <c r="F84" s="2" t="s">
        <v>10937</v>
      </c>
      <c r="G84" s="22" t="s">
        <v>19404</v>
      </c>
      <c r="H84" s="24" t="s">
        <v>20159</v>
      </c>
      <c r="I84" s="22" t="s">
        <v>19309</v>
      </c>
      <c r="J84" s="22" t="s">
        <v>19417</v>
      </c>
      <c r="K84" s="22" t="s">
        <v>19854</v>
      </c>
      <c r="L84" s="22"/>
      <c r="M84" s="22"/>
      <c r="N84" s="25" t="str">
        <f>HYPERLINK("http://slimages.macys.com/is/image/MCY/21370054 ")</f>
        <v xml:space="preserve">http://slimages.macys.com/is/image/MCY/21370054 </v>
      </c>
    </row>
    <row r="85" spans="1:14" ht="24.75" x14ac:dyDescent="0.25">
      <c r="A85" s="21" t="s">
        <v>8533</v>
      </c>
      <c r="B85" s="22" t="s">
        <v>8534</v>
      </c>
      <c r="C85" s="2">
        <v>1</v>
      </c>
      <c r="D85" s="23">
        <v>24</v>
      </c>
      <c r="E85" s="3">
        <v>24</v>
      </c>
      <c r="F85" s="2" t="s">
        <v>8530</v>
      </c>
      <c r="G85" s="22" t="s">
        <v>19674</v>
      </c>
      <c r="H85" s="24" t="s">
        <v>19367</v>
      </c>
      <c r="I85" s="22" t="s">
        <v>19309</v>
      </c>
      <c r="J85" s="22" t="s">
        <v>19417</v>
      </c>
      <c r="K85" s="22" t="s">
        <v>19854</v>
      </c>
      <c r="L85" s="22"/>
      <c r="M85" s="22"/>
      <c r="N85" s="25" t="str">
        <f>HYPERLINK("http://slimages.macys.com/is/image/MCY/21363366 ")</f>
        <v xml:space="preserve">http://slimages.macys.com/is/image/MCY/21363366 </v>
      </c>
    </row>
    <row r="86" spans="1:14" ht="24.75" x14ac:dyDescent="0.25">
      <c r="A86" s="21" t="s">
        <v>8052</v>
      </c>
      <c r="B86" s="22" t="s">
        <v>8053</v>
      </c>
      <c r="C86" s="2">
        <v>20</v>
      </c>
      <c r="D86" s="23">
        <v>24</v>
      </c>
      <c r="E86" s="3">
        <v>480</v>
      </c>
      <c r="F86" s="2" t="s">
        <v>9471</v>
      </c>
      <c r="G86" s="22"/>
      <c r="H86" s="24" t="s">
        <v>20159</v>
      </c>
      <c r="I86" s="22" t="s">
        <v>19309</v>
      </c>
      <c r="J86" s="22" t="s">
        <v>19417</v>
      </c>
      <c r="K86" s="22" t="s">
        <v>19854</v>
      </c>
      <c r="L86" s="22"/>
      <c r="M86" s="22"/>
      <c r="N86" s="25" t="str">
        <f>HYPERLINK("http://slimages.macys.com/is/image/MCY/21369970 ")</f>
        <v xml:space="preserve">http://slimages.macys.com/is/image/MCY/21369970 </v>
      </c>
    </row>
    <row r="87" spans="1:14" ht="24.75" x14ac:dyDescent="0.25">
      <c r="A87" s="21" t="s">
        <v>4633</v>
      </c>
      <c r="B87" s="22" t="s">
        <v>4634</v>
      </c>
      <c r="C87" s="2">
        <v>1</v>
      </c>
      <c r="D87" s="23">
        <v>19.989999999999998</v>
      </c>
      <c r="E87" s="3">
        <v>19.989999999999998</v>
      </c>
      <c r="F87" s="2" t="s">
        <v>19860</v>
      </c>
      <c r="G87" s="22" t="s">
        <v>19886</v>
      </c>
      <c r="H87" s="24" t="s">
        <v>19432</v>
      </c>
      <c r="I87" s="22" t="s">
        <v>19309</v>
      </c>
      <c r="J87" s="22" t="s">
        <v>19310</v>
      </c>
      <c r="K87" s="22" t="s">
        <v>19433</v>
      </c>
      <c r="L87" s="22"/>
      <c r="M87" s="22"/>
      <c r="N87" s="25" t="str">
        <f>HYPERLINK("http://slimages.macys.com/is/image/MCY/21397177 ")</f>
        <v xml:space="preserve">http://slimages.macys.com/is/image/MCY/21397177 </v>
      </c>
    </row>
    <row r="88" spans="1:14" ht="24.75" x14ac:dyDescent="0.25">
      <c r="A88" s="21" t="s">
        <v>4635</v>
      </c>
      <c r="B88" s="22" t="s">
        <v>4636</v>
      </c>
      <c r="C88" s="2">
        <v>18</v>
      </c>
      <c r="D88" s="23">
        <v>24</v>
      </c>
      <c r="E88" s="3">
        <v>432</v>
      </c>
      <c r="F88" s="2" t="s">
        <v>4630</v>
      </c>
      <c r="G88" s="22" t="s">
        <v>19422</v>
      </c>
      <c r="H88" s="24" t="s">
        <v>19324</v>
      </c>
      <c r="I88" s="22" t="s">
        <v>19309</v>
      </c>
      <c r="J88" s="22" t="s">
        <v>19417</v>
      </c>
      <c r="K88" s="22" t="s">
        <v>19854</v>
      </c>
      <c r="L88" s="22"/>
      <c r="M88" s="22"/>
      <c r="N88" s="25" t="str">
        <f>HYPERLINK("http://slimages.macys.com/is/image/MCY/21370156 ")</f>
        <v xml:space="preserve">http://slimages.macys.com/is/image/MCY/21370156 </v>
      </c>
    </row>
    <row r="89" spans="1:14" x14ac:dyDescent="0.25">
      <c r="A89" s="21" t="s">
        <v>10953</v>
      </c>
      <c r="B89" s="22" t="s">
        <v>10954</v>
      </c>
      <c r="C89" s="2">
        <v>2</v>
      </c>
      <c r="D89" s="23">
        <v>22.75</v>
      </c>
      <c r="E89" s="3">
        <v>45.5</v>
      </c>
      <c r="F89" s="2" t="s">
        <v>10955</v>
      </c>
      <c r="G89" s="22" t="s">
        <v>19431</v>
      </c>
      <c r="H89" s="24" t="s">
        <v>20159</v>
      </c>
      <c r="I89" s="22" t="s">
        <v>19309</v>
      </c>
      <c r="J89" s="22" t="s">
        <v>19708</v>
      </c>
      <c r="K89" s="22" t="s">
        <v>19709</v>
      </c>
      <c r="L89" s="22"/>
      <c r="M89" s="22"/>
      <c r="N89" s="25" t="str">
        <f>HYPERLINK("http://slimages.macys.com/is/image/MCY/21726587 ")</f>
        <v xml:space="preserve">http://slimages.macys.com/is/image/MCY/21726587 </v>
      </c>
    </row>
    <row r="90" spans="1:14" ht="24.75" x14ac:dyDescent="0.25">
      <c r="A90" s="21" t="s">
        <v>4637</v>
      </c>
      <c r="B90" s="22" t="s">
        <v>4638</v>
      </c>
      <c r="C90" s="2">
        <v>2</v>
      </c>
      <c r="D90" s="23">
        <v>21.99</v>
      </c>
      <c r="E90" s="3">
        <v>43.98</v>
      </c>
      <c r="F90" s="2" t="s">
        <v>4639</v>
      </c>
      <c r="G90" s="22" t="s">
        <v>19342</v>
      </c>
      <c r="H90" s="24" t="s">
        <v>19384</v>
      </c>
      <c r="I90" s="22" t="s">
        <v>19309</v>
      </c>
      <c r="J90" s="22" t="s">
        <v>19385</v>
      </c>
      <c r="K90" s="22" t="s">
        <v>19614</v>
      </c>
      <c r="L90" s="22"/>
      <c r="M90" s="22"/>
      <c r="N90" s="25" t="str">
        <f>HYPERLINK("http://slimages.macys.com/is/image/MCY/21255638 ")</f>
        <v xml:space="preserve">http://slimages.macys.com/is/image/MCY/21255638 </v>
      </c>
    </row>
    <row r="91" spans="1:14" ht="24.75" x14ac:dyDescent="0.25">
      <c r="A91" s="21" t="s">
        <v>4640</v>
      </c>
      <c r="B91" s="22" t="s">
        <v>4641</v>
      </c>
      <c r="C91" s="2">
        <v>1</v>
      </c>
      <c r="D91" s="23">
        <v>17.989999999999998</v>
      </c>
      <c r="E91" s="3">
        <v>17.989999999999998</v>
      </c>
      <c r="F91" s="2" t="s">
        <v>15290</v>
      </c>
      <c r="G91" s="22" t="s">
        <v>19351</v>
      </c>
      <c r="H91" s="24" t="s">
        <v>19339</v>
      </c>
      <c r="I91" s="22" t="s">
        <v>19309</v>
      </c>
      <c r="J91" s="22" t="s">
        <v>19447</v>
      </c>
      <c r="K91" s="22" t="s">
        <v>19533</v>
      </c>
      <c r="L91" s="22"/>
      <c r="M91" s="22"/>
      <c r="N91" s="25" t="str">
        <f>HYPERLINK("http://slimages.macys.com/is/image/MCY/21151517 ")</f>
        <v xml:space="preserve">http://slimages.macys.com/is/image/MCY/21151517 </v>
      </c>
    </row>
    <row r="92" spans="1:14" ht="24.75" x14ac:dyDescent="0.25">
      <c r="A92" s="21" t="s">
        <v>4642</v>
      </c>
      <c r="B92" s="22" t="s">
        <v>4643</v>
      </c>
      <c r="C92" s="2">
        <v>12</v>
      </c>
      <c r="D92" s="23">
        <v>21.99</v>
      </c>
      <c r="E92" s="3">
        <v>263.88</v>
      </c>
      <c r="F92" s="2" t="s">
        <v>4644</v>
      </c>
      <c r="G92" s="22" t="s">
        <v>19351</v>
      </c>
      <c r="H92" s="24" t="s">
        <v>19797</v>
      </c>
      <c r="I92" s="22" t="s">
        <v>19309</v>
      </c>
      <c r="J92" s="22" t="s">
        <v>19353</v>
      </c>
      <c r="K92" s="22" t="s">
        <v>19524</v>
      </c>
      <c r="L92" s="22"/>
      <c r="M92" s="22"/>
      <c r="N92" s="25" t="str">
        <f>HYPERLINK("http://slimages.macys.com/is/image/MCY/21233440 ")</f>
        <v xml:space="preserve">http://slimages.macys.com/is/image/MCY/21233440 </v>
      </c>
    </row>
    <row r="93" spans="1:14" ht="24.75" x14ac:dyDescent="0.25">
      <c r="A93" s="21" t="s">
        <v>4645</v>
      </c>
      <c r="B93" s="22" t="s">
        <v>4646</v>
      </c>
      <c r="C93" s="2">
        <v>9</v>
      </c>
      <c r="D93" s="23">
        <v>21.99</v>
      </c>
      <c r="E93" s="3">
        <v>197.91</v>
      </c>
      <c r="F93" s="2" t="s">
        <v>4644</v>
      </c>
      <c r="G93" s="22" t="s">
        <v>19351</v>
      </c>
      <c r="H93" s="24" t="s">
        <v>19352</v>
      </c>
      <c r="I93" s="22" t="s">
        <v>19309</v>
      </c>
      <c r="J93" s="22" t="s">
        <v>19353</v>
      </c>
      <c r="K93" s="22" t="s">
        <v>19524</v>
      </c>
      <c r="L93" s="22"/>
      <c r="M93" s="22"/>
      <c r="N93" s="25" t="str">
        <f>HYPERLINK("http://slimages.macys.com/is/image/MCY/21233440 ")</f>
        <v xml:space="preserve">http://slimages.macys.com/is/image/MCY/21233440 </v>
      </c>
    </row>
    <row r="94" spans="1:14" ht="24.75" x14ac:dyDescent="0.25">
      <c r="A94" s="21" t="s">
        <v>4647</v>
      </c>
      <c r="B94" s="22" t="s">
        <v>4648</v>
      </c>
      <c r="C94" s="2">
        <v>1</v>
      </c>
      <c r="D94" s="23">
        <v>17.989999999999998</v>
      </c>
      <c r="E94" s="3">
        <v>17.989999999999998</v>
      </c>
      <c r="F94" s="2" t="s">
        <v>15293</v>
      </c>
      <c r="G94" s="22" t="s">
        <v>19351</v>
      </c>
      <c r="H94" s="24" t="s">
        <v>19352</v>
      </c>
      <c r="I94" s="22" t="s">
        <v>19309</v>
      </c>
      <c r="J94" s="22" t="s">
        <v>19447</v>
      </c>
      <c r="K94" s="22" t="s">
        <v>19533</v>
      </c>
      <c r="L94" s="22"/>
      <c r="M94" s="22"/>
      <c r="N94" s="25" t="str">
        <f>HYPERLINK("http://slimages.macys.com/is/image/MCY/21167714 ")</f>
        <v xml:space="preserve">http://slimages.macys.com/is/image/MCY/21167714 </v>
      </c>
    </row>
    <row r="95" spans="1:14" ht="24.75" x14ac:dyDescent="0.25">
      <c r="A95" s="21" t="s">
        <v>4649</v>
      </c>
      <c r="B95" s="22" t="s">
        <v>4650</v>
      </c>
      <c r="C95" s="2">
        <v>1</v>
      </c>
      <c r="D95" s="23">
        <v>17.989999999999998</v>
      </c>
      <c r="E95" s="3">
        <v>17.989999999999998</v>
      </c>
      <c r="F95" s="2" t="s">
        <v>15293</v>
      </c>
      <c r="G95" s="22" t="s">
        <v>19351</v>
      </c>
      <c r="H95" s="24" t="s">
        <v>19364</v>
      </c>
      <c r="I95" s="22" t="s">
        <v>19309</v>
      </c>
      <c r="J95" s="22" t="s">
        <v>19447</v>
      </c>
      <c r="K95" s="22" t="s">
        <v>19533</v>
      </c>
      <c r="L95" s="22"/>
      <c r="M95" s="22"/>
      <c r="N95" s="25" t="str">
        <f>HYPERLINK("http://slimages.macys.com/is/image/MCY/21167714 ")</f>
        <v xml:space="preserve">http://slimages.macys.com/is/image/MCY/21167714 </v>
      </c>
    </row>
    <row r="96" spans="1:14" ht="24.75" x14ac:dyDescent="0.25">
      <c r="A96" s="21" t="s">
        <v>15313</v>
      </c>
      <c r="B96" s="22" t="s">
        <v>15314</v>
      </c>
      <c r="C96" s="2">
        <v>1</v>
      </c>
      <c r="D96" s="23">
        <v>18.989999999999998</v>
      </c>
      <c r="E96" s="3">
        <v>18.989999999999998</v>
      </c>
      <c r="F96" s="2" t="s">
        <v>15302</v>
      </c>
      <c r="G96" s="22" t="s">
        <v>19814</v>
      </c>
      <c r="H96" s="24" t="s">
        <v>19352</v>
      </c>
      <c r="I96" s="22" t="s">
        <v>19309</v>
      </c>
      <c r="J96" s="22" t="s">
        <v>19815</v>
      </c>
      <c r="K96" s="22" t="s">
        <v>19816</v>
      </c>
      <c r="L96" s="22"/>
      <c r="M96" s="22"/>
      <c r="N96" s="25" t="str">
        <f>HYPERLINK("http://slimages.macys.com/is/image/MCY/20549845 ")</f>
        <v xml:space="preserve">http://slimages.macys.com/is/image/MCY/20549845 </v>
      </c>
    </row>
    <row r="97" spans="1:14" ht="24.75" x14ac:dyDescent="0.25">
      <c r="A97" s="21" t="s">
        <v>4651</v>
      </c>
      <c r="B97" s="22" t="s">
        <v>4652</v>
      </c>
      <c r="C97" s="2">
        <v>1</v>
      </c>
      <c r="D97" s="23">
        <v>24.99</v>
      </c>
      <c r="E97" s="3">
        <v>24.99</v>
      </c>
      <c r="F97" s="2" t="s">
        <v>4653</v>
      </c>
      <c r="G97" s="22" t="s">
        <v>19342</v>
      </c>
      <c r="H97" s="24" t="s">
        <v>19361</v>
      </c>
      <c r="I97" s="22" t="s">
        <v>19309</v>
      </c>
      <c r="J97" s="22" t="s">
        <v>19595</v>
      </c>
      <c r="K97" s="22" t="s">
        <v>17917</v>
      </c>
      <c r="L97" s="22"/>
      <c r="M97" s="22"/>
      <c r="N97" s="25" t="str">
        <f>HYPERLINK("http://slimages.macys.com/is/image/MCY/19328078 ")</f>
        <v xml:space="preserve">http://slimages.macys.com/is/image/MCY/19328078 </v>
      </c>
    </row>
    <row r="98" spans="1:14" x14ac:dyDescent="0.25">
      <c r="A98" s="21" t="s">
        <v>9486</v>
      </c>
      <c r="B98" s="22" t="s">
        <v>9487</v>
      </c>
      <c r="C98" s="2">
        <v>19</v>
      </c>
      <c r="D98" s="23">
        <v>22.99</v>
      </c>
      <c r="E98" s="3">
        <v>436.81</v>
      </c>
      <c r="F98" s="2" t="s">
        <v>9485</v>
      </c>
      <c r="G98" s="22" t="s">
        <v>19342</v>
      </c>
      <c r="H98" s="24" t="s">
        <v>19478</v>
      </c>
      <c r="I98" s="22" t="s">
        <v>19309</v>
      </c>
      <c r="J98" s="22" t="s">
        <v>19696</v>
      </c>
      <c r="K98" s="22" t="s">
        <v>19965</v>
      </c>
      <c r="L98" s="22"/>
      <c r="M98" s="22"/>
      <c r="N98" s="25" t="str">
        <f>HYPERLINK("http://slimages.macys.com/is/image/MCY/20084478 ")</f>
        <v xml:space="preserve">http://slimages.macys.com/is/image/MCY/20084478 </v>
      </c>
    </row>
    <row r="99" spans="1:14" x14ac:dyDescent="0.25">
      <c r="A99" s="21" t="s">
        <v>9488</v>
      </c>
      <c r="B99" s="22" t="s">
        <v>9489</v>
      </c>
      <c r="C99" s="2">
        <v>42</v>
      </c>
      <c r="D99" s="23">
        <v>22.99</v>
      </c>
      <c r="E99" s="3">
        <v>965.58</v>
      </c>
      <c r="F99" s="2" t="s">
        <v>9485</v>
      </c>
      <c r="G99" s="22" t="s">
        <v>19342</v>
      </c>
      <c r="H99" s="24" t="s">
        <v>19542</v>
      </c>
      <c r="I99" s="22" t="s">
        <v>19309</v>
      </c>
      <c r="J99" s="22" t="s">
        <v>19696</v>
      </c>
      <c r="K99" s="22" t="s">
        <v>19965</v>
      </c>
      <c r="L99" s="22"/>
      <c r="M99" s="22"/>
      <c r="N99" s="25" t="str">
        <f>HYPERLINK("http://slimages.macys.com/is/image/MCY/20084478 ")</f>
        <v xml:space="preserve">http://slimages.macys.com/is/image/MCY/20084478 </v>
      </c>
    </row>
    <row r="100" spans="1:14" x14ac:dyDescent="0.25">
      <c r="A100" s="21" t="s">
        <v>4654</v>
      </c>
      <c r="B100" s="22" t="s">
        <v>4655</v>
      </c>
      <c r="C100" s="2">
        <v>15</v>
      </c>
      <c r="D100" s="23">
        <v>22.99</v>
      </c>
      <c r="E100" s="3">
        <v>344.85</v>
      </c>
      <c r="F100" s="2" t="s">
        <v>9485</v>
      </c>
      <c r="G100" s="22" t="s">
        <v>19342</v>
      </c>
      <c r="H100" s="24"/>
      <c r="I100" s="22" t="s">
        <v>19309</v>
      </c>
      <c r="J100" s="22" t="s">
        <v>19696</v>
      </c>
      <c r="K100" s="22" t="s">
        <v>19965</v>
      </c>
      <c r="L100" s="22"/>
      <c r="M100" s="22"/>
      <c r="N100" s="25" t="str">
        <f>HYPERLINK("http://slimages.macys.com/is/image/MCY/20084478 ")</f>
        <v xml:space="preserve">http://slimages.macys.com/is/image/MCY/20084478 </v>
      </c>
    </row>
    <row r="101" spans="1:14" x14ac:dyDescent="0.25">
      <c r="A101" s="21" t="s">
        <v>4656</v>
      </c>
      <c r="B101" s="22" t="s">
        <v>4657</v>
      </c>
      <c r="C101" s="2">
        <v>1</v>
      </c>
      <c r="D101" s="23">
        <v>20</v>
      </c>
      <c r="E101" s="3">
        <v>20</v>
      </c>
      <c r="F101" s="2">
        <v>1341128</v>
      </c>
      <c r="G101" s="22" t="s">
        <v>19307</v>
      </c>
      <c r="H101" s="24" t="s">
        <v>19364</v>
      </c>
      <c r="I101" s="22" t="s">
        <v>19309</v>
      </c>
      <c r="J101" s="22" t="s">
        <v>19310</v>
      </c>
      <c r="K101" s="22" t="s">
        <v>17686</v>
      </c>
      <c r="L101" s="22"/>
      <c r="M101" s="22"/>
      <c r="N101" s="25" t="str">
        <f>HYPERLINK("http://slimages.macys.com/is/image/MCY/18079063 ")</f>
        <v xml:space="preserve">http://slimages.macys.com/is/image/MCY/18079063 </v>
      </c>
    </row>
    <row r="102" spans="1:14" x14ac:dyDescent="0.25">
      <c r="A102" s="21" t="s">
        <v>4658</v>
      </c>
      <c r="B102" s="22" t="s">
        <v>4659</v>
      </c>
      <c r="C102" s="2">
        <v>1</v>
      </c>
      <c r="D102" s="23">
        <v>20</v>
      </c>
      <c r="E102" s="3">
        <v>20</v>
      </c>
      <c r="F102" s="2" t="s">
        <v>4660</v>
      </c>
      <c r="G102" s="22" t="s">
        <v>19801</v>
      </c>
      <c r="H102" s="24" t="s">
        <v>19364</v>
      </c>
      <c r="I102" s="22" t="s">
        <v>19309</v>
      </c>
      <c r="J102" s="22" t="s">
        <v>19559</v>
      </c>
      <c r="K102" s="22" t="s">
        <v>12721</v>
      </c>
      <c r="L102" s="22"/>
      <c r="M102" s="22"/>
      <c r="N102" s="25" t="str">
        <f>HYPERLINK("http://slimages.macys.com/is/image/MCY/21495604 ")</f>
        <v xml:space="preserve">http://slimages.macys.com/is/image/MCY/21495604 </v>
      </c>
    </row>
    <row r="103" spans="1:14" ht="24.75" x14ac:dyDescent="0.25">
      <c r="A103" s="21" t="s">
        <v>4661</v>
      </c>
      <c r="B103" s="22" t="s">
        <v>4662</v>
      </c>
      <c r="C103" s="2">
        <v>1</v>
      </c>
      <c r="D103" s="23">
        <v>21.99</v>
      </c>
      <c r="E103" s="3">
        <v>21.99</v>
      </c>
      <c r="F103" s="2" t="s">
        <v>4663</v>
      </c>
      <c r="G103" s="22" t="s">
        <v>19674</v>
      </c>
      <c r="H103" s="24" t="s">
        <v>19384</v>
      </c>
      <c r="I103" s="22" t="s">
        <v>19309</v>
      </c>
      <c r="J103" s="22" t="s">
        <v>19385</v>
      </c>
      <c r="K103" s="22" t="s">
        <v>4664</v>
      </c>
      <c r="L103" s="22"/>
      <c r="M103" s="22"/>
      <c r="N103" s="25" t="str">
        <f>HYPERLINK("http://slimages.macys.com/is/image/MCY/21181879 ")</f>
        <v xml:space="preserve">http://slimages.macys.com/is/image/MCY/21181879 </v>
      </c>
    </row>
    <row r="104" spans="1:14" x14ac:dyDescent="0.25">
      <c r="A104" s="21" t="s">
        <v>4665</v>
      </c>
      <c r="B104" s="22" t="s">
        <v>4666</v>
      </c>
      <c r="C104" s="2">
        <v>1</v>
      </c>
      <c r="D104" s="23">
        <v>21.61</v>
      </c>
      <c r="E104" s="3">
        <v>21.61</v>
      </c>
      <c r="F104" s="2" t="s">
        <v>10976</v>
      </c>
      <c r="G104" s="22"/>
      <c r="H104" s="24" t="s">
        <v>19367</v>
      </c>
      <c r="I104" s="22" t="s">
        <v>19309</v>
      </c>
      <c r="J104" s="22" t="s">
        <v>19708</v>
      </c>
      <c r="K104" s="22" t="s">
        <v>19709</v>
      </c>
      <c r="L104" s="22"/>
      <c r="M104" s="22"/>
      <c r="N104" s="25" t="str">
        <f>HYPERLINK("http://slimages.macys.com/is/image/MCY/21423053 ")</f>
        <v xml:space="preserve">http://slimages.macys.com/is/image/MCY/21423053 </v>
      </c>
    </row>
    <row r="105" spans="1:14" x14ac:dyDescent="0.25">
      <c r="A105" s="21" t="s">
        <v>10974</v>
      </c>
      <c r="B105" s="22" t="s">
        <v>10975</v>
      </c>
      <c r="C105" s="2">
        <v>1</v>
      </c>
      <c r="D105" s="23">
        <v>21.61</v>
      </c>
      <c r="E105" s="3">
        <v>21.61</v>
      </c>
      <c r="F105" s="2" t="s">
        <v>10976</v>
      </c>
      <c r="G105" s="22"/>
      <c r="H105" s="24" t="s">
        <v>20159</v>
      </c>
      <c r="I105" s="22" t="s">
        <v>19309</v>
      </c>
      <c r="J105" s="22" t="s">
        <v>19708</v>
      </c>
      <c r="K105" s="22" t="s">
        <v>19709</v>
      </c>
      <c r="L105" s="22"/>
      <c r="M105" s="22"/>
      <c r="N105" s="25" t="str">
        <f>HYPERLINK("http://slimages.macys.com/is/image/MCY/21423053 ")</f>
        <v xml:space="preserve">http://slimages.macys.com/is/image/MCY/21423053 </v>
      </c>
    </row>
    <row r="106" spans="1:14" ht="24.75" x14ac:dyDescent="0.25">
      <c r="A106" s="21" t="s">
        <v>4667</v>
      </c>
      <c r="B106" s="22" t="s">
        <v>4668</v>
      </c>
      <c r="C106" s="2">
        <v>1</v>
      </c>
      <c r="D106" s="23">
        <v>15.99</v>
      </c>
      <c r="E106" s="3">
        <v>15.99</v>
      </c>
      <c r="F106" s="2" t="s">
        <v>4669</v>
      </c>
      <c r="G106" s="22" t="s">
        <v>18073</v>
      </c>
      <c r="H106" s="24" t="s">
        <v>19395</v>
      </c>
      <c r="I106" s="22" t="s">
        <v>19309</v>
      </c>
      <c r="J106" s="22" t="s">
        <v>19447</v>
      </c>
      <c r="K106" s="22" t="s">
        <v>20146</v>
      </c>
      <c r="L106" s="22"/>
      <c r="M106" s="22"/>
      <c r="N106" s="25" t="str">
        <f>HYPERLINK("http://slimages.macys.com/is/image/MCY/21550757 ")</f>
        <v xml:space="preserve">http://slimages.macys.com/is/image/MCY/21550757 </v>
      </c>
    </row>
    <row r="107" spans="1:14" x14ac:dyDescent="0.25">
      <c r="A107" s="21" t="s">
        <v>8814</v>
      </c>
      <c r="B107" s="22" t="s">
        <v>8815</v>
      </c>
      <c r="C107" s="2">
        <v>12</v>
      </c>
      <c r="D107" s="23">
        <v>21.99</v>
      </c>
      <c r="E107" s="3">
        <v>263.88</v>
      </c>
      <c r="F107" s="2" t="s">
        <v>8250</v>
      </c>
      <c r="G107" s="22" t="s">
        <v>19342</v>
      </c>
      <c r="H107" s="24" t="s">
        <v>19478</v>
      </c>
      <c r="I107" s="22" t="s">
        <v>19309</v>
      </c>
      <c r="J107" s="22" t="s">
        <v>19696</v>
      </c>
      <c r="K107" s="22" t="s">
        <v>19697</v>
      </c>
      <c r="L107" s="22"/>
      <c r="M107" s="22"/>
      <c r="N107" s="25" t="str">
        <f>HYPERLINK("http://slimages.macys.com/is/image/MCY/21836769 ")</f>
        <v xml:space="preserve">http://slimages.macys.com/is/image/MCY/21836769 </v>
      </c>
    </row>
    <row r="108" spans="1:14" x14ac:dyDescent="0.25">
      <c r="A108" s="21" t="s">
        <v>11982</v>
      </c>
      <c r="B108" s="22" t="s">
        <v>11983</v>
      </c>
      <c r="C108" s="2">
        <v>1</v>
      </c>
      <c r="D108" s="23">
        <v>21.99</v>
      </c>
      <c r="E108" s="3">
        <v>21.99</v>
      </c>
      <c r="F108" s="2" t="s">
        <v>18018</v>
      </c>
      <c r="G108" s="22" t="s">
        <v>19342</v>
      </c>
      <c r="H108" s="24" t="s">
        <v>19395</v>
      </c>
      <c r="I108" s="22" t="s">
        <v>19309</v>
      </c>
      <c r="J108" s="22" t="s">
        <v>19696</v>
      </c>
      <c r="K108" s="22" t="s">
        <v>19965</v>
      </c>
      <c r="L108" s="22"/>
      <c r="M108" s="22"/>
      <c r="N108" s="25" t="str">
        <f>HYPERLINK("http://slimages.macys.com/is/image/MCY/21530623 ")</f>
        <v xml:space="preserve">http://slimages.macys.com/is/image/MCY/21530623 </v>
      </c>
    </row>
    <row r="109" spans="1:14" x14ac:dyDescent="0.25">
      <c r="A109" s="21" t="s">
        <v>4670</v>
      </c>
      <c r="B109" s="22" t="s">
        <v>4671</v>
      </c>
      <c r="C109" s="2">
        <v>17</v>
      </c>
      <c r="D109" s="23">
        <v>21.99</v>
      </c>
      <c r="E109" s="3">
        <v>373.83</v>
      </c>
      <c r="F109" s="2" t="s">
        <v>8070</v>
      </c>
      <c r="G109" s="22" t="s">
        <v>19342</v>
      </c>
      <c r="H109" s="24"/>
      <c r="I109" s="22" t="s">
        <v>19309</v>
      </c>
      <c r="J109" s="22" t="s">
        <v>19696</v>
      </c>
      <c r="K109" s="22" t="s">
        <v>19965</v>
      </c>
      <c r="L109" s="22"/>
      <c r="M109" s="22"/>
      <c r="N109" s="25" t="str">
        <f>HYPERLINK("http://slimages.macys.com/is/image/MCY/21540670 ")</f>
        <v xml:space="preserve">http://slimages.macys.com/is/image/MCY/21540670 </v>
      </c>
    </row>
    <row r="110" spans="1:14" x14ac:dyDescent="0.25">
      <c r="A110" s="21" t="s">
        <v>8248</v>
      </c>
      <c r="B110" s="22" t="s">
        <v>8249</v>
      </c>
      <c r="C110" s="2">
        <v>11</v>
      </c>
      <c r="D110" s="23">
        <v>21.99</v>
      </c>
      <c r="E110" s="3">
        <v>241.89</v>
      </c>
      <c r="F110" s="2" t="s">
        <v>8250</v>
      </c>
      <c r="G110" s="22" t="s">
        <v>19342</v>
      </c>
      <c r="H110" s="24" t="s">
        <v>19542</v>
      </c>
      <c r="I110" s="22" t="s">
        <v>19309</v>
      </c>
      <c r="J110" s="22" t="s">
        <v>19696</v>
      </c>
      <c r="K110" s="22" t="s">
        <v>19697</v>
      </c>
      <c r="L110" s="22"/>
      <c r="M110" s="22"/>
      <c r="N110" s="25" t="str">
        <f>HYPERLINK("http://slimages.macys.com/is/image/MCY/21836768 ")</f>
        <v xml:space="preserve">http://slimages.macys.com/is/image/MCY/21836768 </v>
      </c>
    </row>
    <row r="111" spans="1:14" x14ac:dyDescent="0.25">
      <c r="A111" s="21" t="s">
        <v>5698</v>
      </c>
      <c r="B111" s="22" t="s">
        <v>5699</v>
      </c>
      <c r="C111" s="2">
        <v>3</v>
      </c>
      <c r="D111" s="23">
        <v>16.739999999999998</v>
      </c>
      <c r="E111" s="3">
        <v>50.22</v>
      </c>
      <c r="F111" s="2" t="s">
        <v>5700</v>
      </c>
      <c r="G111" s="22" t="s">
        <v>19351</v>
      </c>
      <c r="H111" s="24" t="s">
        <v>19367</v>
      </c>
      <c r="I111" s="22" t="s">
        <v>19309</v>
      </c>
      <c r="J111" s="22" t="s">
        <v>19708</v>
      </c>
      <c r="K111" s="22" t="s">
        <v>19709</v>
      </c>
      <c r="L111" s="22" t="s">
        <v>19319</v>
      </c>
      <c r="M111" s="22" t="s">
        <v>19358</v>
      </c>
      <c r="N111" s="25" t="str">
        <f>HYPERLINK("http://slimages.macys.com/is/image/MCY/8407121 ")</f>
        <v xml:space="preserve">http://slimages.macys.com/is/image/MCY/8407121 </v>
      </c>
    </row>
    <row r="112" spans="1:14" x14ac:dyDescent="0.25">
      <c r="A112" s="21" t="s">
        <v>4672</v>
      </c>
      <c r="B112" s="22" t="s">
        <v>4673</v>
      </c>
      <c r="C112" s="2">
        <v>1</v>
      </c>
      <c r="D112" s="23">
        <v>16.739999999999998</v>
      </c>
      <c r="E112" s="3">
        <v>16.739999999999998</v>
      </c>
      <c r="F112" s="2" t="s">
        <v>5700</v>
      </c>
      <c r="G112" s="22" t="s">
        <v>19351</v>
      </c>
      <c r="H112" s="24" t="s">
        <v>20152</v>
      </c>
      <c r="I112" s="22" t="s">
        <v>19309</v>
      </c>
      <c r="J112" s="22" t="s">
        <v>19708</v>
      </c>
      <c r="K112" s="22" t="s">
        <v>19709</v>
      </c>
      <c r="L112" s="22" t="s">
        <v>19319</v>
      </c>
      <c r="M112" s="22" t="s">
        <v>19358</v>
      </c>
      <c r="N112" s="25" t="str">
        <f>HYPERLINK("http://slimages.macys.com/is/image/MCY/8407121 ")</f>
        <v xml:space="preserve">http://slimages.macys.com/is/image/MCY/8407121 </v>
      </c>
    </row>
    <row r="113" spans="1:14" ht="24.75" x14ac:dyDescent="0.25">
      <c r="A113" s="21" t="s">
        <v>4674</v>
      </c>
      <c r="B113" s="22" t="s">
        <v>4675</v>
      </c>
      <c r="C113" s="2">
        <v>1</v>
      </c>
      <c r="D113" s="23">
        <v>18.989999999999998</v>
      </c>
      <c r="E113" s="3">
        <v>18.989999999999998</v>
      </c>
      <c r="F113" s="2" t="s">
        <v>4676</v>
      </c>
      <c r="G113" s="22" t="s">
        <v>19467</v>
      </c>
      <c r="H113" s="24" t="s">
        <v>19416</v>
      </c>
      <c r="I113" s="22" t="s">
        <v>19309</v>
      </c>
      <c r="J113" s="22" t="s">
        <v>19573</v>
      </c>
      <c r="K113" s="22" t="s">
        <v>19574</v>
      </c>
      <c r="L113" s="22"/>
      <c r="M113" s="22"/>
      <c r="N113" s="25" t="str">
        <f>HYPERLINK("http://slimages.macys.com/is/image/MCY/20386310 ")</f>
        <v xml:space="preserve">http://slimages.macys.com/is/image/MCY/20386310 </v>
      </c>
    </row>
    <row r="114" spans="1:14" x14ac:dyDescent="0.25">
      <c r="A114" s="21" t="s">
        <v>4677</v>
      </c>
      <c r="B114" s="22" t="s">
        <v>4678</v>
      </c>
      <c r="C114" s="2">
        <v>1</v>
      </c>
      <c r="D114" s="23">
        <v>19.989999999999998</v>
      </c>
      <c r="E114" s="3">
        <v>19.989999999999998</v>
      </c>
      <c r="F114" s="2" t="s">
        <v>4679</v>
      </c>
      <c r="G114" s="22" t="s">
        <v>19333</v>
      </c>
      <c r="H114" s="24"/>
      <c r="I114" s="22" t="s">
        <v>19309</v>
      </c>
      <c r="J114" s="22" t="s">
        <v>19696</v>
      </c>
      <c r="K114" s="22" t="s">
        <v>18094</v>
      </c>
      <c r="L114" s="22"/>
      <c r="M114" s="22"/>
      <c r="N114" s="25" t="str">
        <f>HYPERLINK("http://slimages.macys.com/is/image/MCY/20426342 ")</f>
        <v xml:space="preserve">http://slimages.macys.com/is/image/MCY/20426342 </v>
      </c>
    </row>
    <row r="115" spans="1:14" x14ac:dyDescent="0.25">
      <c r="A115" s="21" t="s">
        <v>20003</v>
      </c>
      <c r="B115" s="22" t="s">
        <v>20004</v>
      </c>
      <c r="C115" s="2">
        <v>1</v>
      </c>
      <c r="D115" s="23">
        <v>16.989999999999998</v>
      </c>
      <c r="E115" s="3">
        <v>16.989999999999998</v>
      </c>
      <c r="F115" s="2" t="s">
        <v>20002</v>
      </c>
      <c r="G115" s="22" t="s">
        <v>19674</v>
      </c>
      <c r="H115" s="24" t="s">
        <v>19364</v>
      </c>
      <c r="I115" s="22" t="s">
        <v>19309</v>
      </c>
      <c r="J115" s="22" t="s">
        <v>19849</v>
      </c>
      <c r="K115" s="22" t="s">
        <v>19850</v>
      </c>
      <c r="L115" s="22"/>
      <c r="M115" s="22"/>
      <c r="N115" s="25" t="str">
        <f>HYPERLINK("http://slimages.macys.com/is/image/MCY/20549392 ")</f>
        <v xml:space="preserve">http://slimages.macys.com/is/image/MCY/20549392 </v>
      </c>
    </row>
    <row r="116" spans="1:14" ht="24.75" x14ac:dyDescent="0.25">
      <c r="A116" s="21" t="s">
        <v>4680</v>
      </c>
      <c r="B116" s="22" t="s">
        <v>4681</v>
      </c>
      <c r="C116" s="2">
        <v>1</v>
      </c>
      <c r="D116" s="23">
        <v>20.99</v>
      </c>
      <c r="E116" s="3">
        <v>20.99</v>
      </c>
      <c r="F116" s="2" t="s">
        <v>4682</v>
      </c>
      <c r="G116" s="22" t="s">
        <v>19342</v>
      </c>
      <c r="H116" s="24" t="s">
        <v>19324</v>
      </c>
      <c r="I116" s="22" t="s">
        <v>19309</v>
      </c>
      <c r="J116" s="22" t="s">
        <v>19385</v>
      </c>
      <c r="K116" s="22" t="s">
        <v>18064</v>
      </c>
      <c r="L116" s="22"/>
      <c r="M116" s="22"/>
      <c r="N116" s="25" t="str">
        <f>HYPERLINK("http://slimages.macys.com/is/image/MCY/21484168 ")</f>
        <v xml:space="preserve">http://slimages.macys.com/is/image/MCY/21484168 </v>
      </c>
    </row>
    <row r="117" spans="1:14" ht="24.75" x14ac:dyDescent="0.25">
      <c r="A117" s="21" t="s">
        <v>4683</v>
      </c>
      <c r="B117" s="22" t="s">
        <v>4684</v>
      </c>
      <c r="C117" s="2">
        <v>1</v>
      </c>
      <c r="D117" s="23">
        <v>20.99</v>
      </c>
      <c r="E117" s="3">
        <v>20.99</v>
      </c>
      <c r="F117" s="2" t="s">
        <v>4685</v>
      </c>
      <c r="G117" s="22" t="s">
        <v>19342</v>
      </c>
      <c r="H117" s="24" t="s">
        <v>19416</v>
      </c>
      <c r="I117" s="22" t="s">
        <v>19309</v>
      </c>
      <c r="J117" s="22" t="s">
        <v>19385</v>
      </c>
      <c r="K117" s="22" t="s">
        <v>18064</v>
      </c>
      <c r="L117" s="22"/>
      <c r="M117" s="22"/>
      <c r="N117" s="25" t="str">
        <f>HYPERLINK("http://slimages.macys.com/is/image/MCY/21484166 ")</f>
        <v xml:space="preserve">http://slimages.macys.com/is/image/MCY/21484166 </v>
      </c>
    </row>
    <row r="118" spans="1:14" ht="24.75" x14ac:dyDescent="0.25">
      <c r="A118" s="21" t="s">
        <v>4686</v>
      </c>
      <c r="B118" s="22" t="s">
        <v>4687</v>
      </c>
      <c r="C118" s="2">
        <v>1</v>
      </c>
      <c r="D118" s="23">
        <v>29.5</v>
      </c>
      <c r="E118" s="3">
        <v>29.5</v>
      </c>
      <c r="F118" s="2" t="s">
        <v>4688</v>
      </c>
      <c r="G118" s="22" t="s">
        <v>19618</v>
      </c>
      <c r="H118" s="24" t="s">
        <v>19432</v>
      </c>
      <c r="I118" s="22" t="s">
        <v>19309</v>
      </c>
      <c r="J118" s="22" t="s">
        <v>20104</v>
      </c>
      <c r="K118" s="22" t="s">
        <v>20105</v>
      </c>
      <c r="L118" s="22"/>
      <c r="M118" s="22"/>
      <c r="N118" s="25" t="str">
        <f>HYPERLINK("http://slimages.macys.com/is/image/MCY/21254194 ")</f>
        <v xml:space="preserve">http://slimages.macys.com/is/image/MCY/21254194 </v>
      </c>
    </row>
    <row r="119" spans="1:14" ht="24.75" x14ac:dyDescent="0.25">
      <c r="A119" s="21" t="s">
        <v>10984</v>
      </c>
      <c r="B119" s="22" t="s">
        <v>10985</v>
      </c>
      <c r="C119" s="2">
        <v>2</v>
      </c>
      <c r="D119" s="23">
        <v>29.5</v>
      </c>
      <c r="E119" s="3">
        <v>59</v>
      </c>
      <c r="F119" s="2" t="s">
        <v>10986</v>
      </c>
      <c r="G119" s="22" t="s">
        <v>19594</v>
      </c>
      <c r="H119" s="24" t="s">
        <v>18139</v>
      </c>
      <c r="I119" s="22" t="s">
        <v>19309</v>
      </c>
      <c r="J119" s="22" t="s">
        <v>20104</v>
      </c>
      <c r="K119" s="22" t="s">
        <v>20105</v>
      </c>
      <c r="L119" s="22"/>
      <c r="M119" s="22"/>
      <c r="N119" s="25" t="str">
        <f>HYPERLINK("http://slimages.macys.com/is/image/MCY/21254194 ")</f>
        <v xml:space="preserve">http://slimages.macys.com/is/image/MCY/21254194 </v>
      </c>
    </row>
    <row r="120" spans="1:14" x14ac:dyDescent="0.25">
      <c r="A120" s="21" t="s">
        <v>6709</v>
      </c>
      <c r="B120" s="22" t="s">
        <v>6710</v>
      </c>
      <c r="C120" s="2">
        <v>1</v>
      </c>
      <c r="D120" s="23">
        <v>21.99</v>
      </c>
      <c r="E120" s="3">
        <v>21.99</v>
      </c>
      <c r="F120" s="2" t="s">
        <v>20034</v>
      </c>
      <c r="G120" s="22" t="s">
        <v>19674</v>
      </c>
      <c r="H120" s="24" t="s">
        <v>19352</v>
      </c>
      <c r="I120" s="22" t="s">
        <v>19309</v>
      </c>
      <c r="J120" s="22" t="s">
        <v>19849</v>
      </c>
      <c r="K120" s="22" t="s">
        <v>19850</v>
      </c>
      <c r="L120" s="22"/>
      <c r="M120" s="22"/>
      <c r="N120" s="25" t="str">
        <f>HYPERLINK("http://slimages.macys.com/is/image/MCY/20530693 ")</f>
        <v xml:space="preserve">http://slimages.macys.com/is/image/MCY/20530693 </v>
      </c>
    </row>
    <row r="121" spans="1:14" x14ac:dyDescent="0.25">
      <c r="A121" s="21" t="s">
        <v>12036</v>
      </c>
      <c r="B121" s="22" t="s">
        <v>12037</v>
      </c>
      <c r="C121" s="2">
        <v>12</v>
      </c>
      <c r="D121" s="23">
        <v>18.989999999999998</v>
      </c>
      <c r="E121" s="3">
        <v>227.88</v>
      </c>
      <c r="F121" s="2" t="s">
        <v>12038</v>
      </c>
      <c r="G121" s="22" t="s">
        <v>19467</v>
      </c>
      <c r="H121" s="24"/>
      <c r="I121" s="22" t="s">
        <v>19309</v>
      </c>
      <c r="J121" s="22" t="s">
        <v>19696</v>
      </c>
      <c r="K121" s="22" t="s">
        <v>18094</v>
      </c>
      <c r="L121" s="22"/>
      <c r="M121" s="22"/>
      <c r="N121" s="25" t="str">
        <f>HYPERLINK("http://slimages.macys.com/is/image/MCY/21408518 ")</f>
        <v xml:space="preserve">http://slimages.macys.com/is/image/MCY/21408518 </v>
      </c>
    </row>
    <row r="122" spans="1:14" x14ac:dyDescent="0.25">
      <c r="A122" s="21" t="s">
        <v>15975</v>
      </c>
      <c r="B122" s="22" t="s">
        <v>15976</v>
      </c>
      <c r="C122" s="2">
        <v>1</v>
      </c>
      <c r="D122" s="23">
        <v>18.989999999999998</v>
      </c>
      <c r="E122" s="3">
        <v>18.989999999999998</v>
      </c>
      <c r="F122" s="2" t="s">
        <v>15977</v>
      </c>
      <c r="G122" s="22" t="s">
        <v>19594</v>
      </c>
      <c r="H122" s="24"/>
      <c r="I122" s="22" t="s">
        <v>19309</v>
      </c>
      <c r="J122" s="22" t="s">
        <v>19696</v>
      </c>
      <c r="K122" s="22" t="s">
        <v>15978</v>
      </c>
      <c r="L122" s="22"/>
      <c r="M122" s="22"/>
      <c r="N122" s="25" t="str">
        <f>HYPERLINK("http://slimages.macys.com/is/image/MCY/21408526 ")</f>
        <v xml:space="preserve">http://slimages.macys.com/is/image/MCY/21408526 </v>
      </c>
    </row>
    <row r="123" spans="1:14" x14ac:dyDescent="0.25">
      <c r="A123" s="21" t="s">
        <v>4689</v>
      </c>
      <c r="B123" s="22" t="s">
        <v>4690</v>
      </c>
      <c r="C123" s="2">
        <v>2</v>
      </c>
      <c r="D123" s="23">
        <v>18.989999999999998</v>
      </c>
      <c r="E123" s="3">
        <v>37.979999999999997</v>
      </c>
      <c r="F123" s="2" t="s">
        <v>4691</v>
      </c>
      <c r="G123" s="22" t="s">
        <v>19333</v>
      </c>
      <c r="H123" s="24"/>
      <c r="I123" s="22" t="s">
        <v>19309</v>
      </c>
      <c r="J123" s="22" t="s">
        <v>19696</v>
      </c>
      <c r="K123" s="22" t="s">
        <v>18094</v>
      </c>
      <c r="L123" s="22"/>
      <c r="M123" s="22"/>
      <c r="N123" s="25" t="str">
        <f>HYPERLINK("http://slimages.macys.com/is/image/MCY/21408575 ")</f>
        <v xml:space="preserve">http://slimages.macys.com/is/image/MCY/21408575 </v>
      </c>
    </row>
    <row r="124" spans="1:14" x14ac:dyDescent="0.25">
      <c r="A124" s="21" t="s">
        <v>4692</v>
      </c>
      <c r="B124" s="22" t="s">
        <v>4693</v>
      </c>
      <c r="C124" s="2">
        <v>1</v>
      </c>
      <c r="D124" s="23">
        <v>18.989999999999998</v>
      </c>
      <c r="E124" s="3">
        <v>18.989999999999998</v>
      </c>
      <c r="F124" s="2" t="s">
        <v>4694</v>
      </c>
      <c r="G124" s="22" t="s">
        <v>19333</v>
      </c>
      <c r="H124" s="24"/>
      <c r="I124" s="22" t="s">
        <v>19309</v>
      </c>
      <c r="J124" s="22" t="s">
        <v>19696</v>
      </c>
      <c r="K124" s="22" t="s">
        <v>18094</v>
      </c>
      <c r="L124" s="22"/>
      <c r="M124" s="22"/>
      <c r="N124" s="25" t="str">
        <f>HYPERLINK("http://slimages.macys.com/is/image/MCY/21408600 ")</f>
        <v xml:space="preserve">http://slimages.macys.com/is/image/MCY/21408600 </v>
      </c>
    </row>
    <row r="125" spans="1:14" x14ac:dyDescent="0.25">
      <c r="A125" s="21" t="s">
        <v>4695</v>
      </c>
      <c r="B125" s="22" t="s">
        <v>4696</v>
      </c>
      <c r="C125" s="2">
        <v>1</v>
      </c>
      <c r="D125" s="23">
        <v>18.989999999999998</v>
      </c>
      <c r="E125" s="3">
        <v>18.989999999999998</v>
      </c>
      <c r="F125" s="2" t="s">
        <v>4697</v>
      </c>
      <c r="G125" s="22" t="s">
        <v>19315</v>
      </c>
      <c r="H125" s="24"/>
      <c r="I125" s="22" t="s">
        <v>19309</v>
      </c>
      <c r="J125" s="22" t="s">
        <v>19696</v>
      </c>
      <c r="K125" s="22" t="s">
        <v>18094</v>
      </c>
      <c r="L125" s="22"/>
      <c r="M125" s="22"/>
      <c r="N125" s="25" t="str">
        <f>HYPERLINK("http://slimages.macys.com/is/image/MCY/21408601 ")</f>
        <v xml:space="preserve">http://slimages.macys.com/is/image/MCY/21408601 </v>
      </c>
    </row>
    <row r="126" spans="1:14" x14ac:dyDescent="0.25">
      <c r="A126" s="21" t="s">
        <v>4698</v>
      </c>
      <c r="B126" s="22" t="s">
        <v>4699</v>
      </c>
      <c r="C126" s="2">
        <v>4</v>
      </c>
      <c r="D126" s="23">
        <v>36</v>
      </c>
      <c r="E126" s="3">
        <v>144</v>
      </c>
      <c r="F126" s="2" t="s">
        <v>15434</v>
      </c>
      <c r="G126" s="22" t="s">
        <v>19351</v>
      </c>
      <c r="H126" s="24" t="s">
        <v>19330</v>
      </c>
      <c r="I126" s="22" t="s">
        <v>19309</v>
      </c>
      <c r="J126" s="22" t="s">
        <v>19417</v>
      </c>
      <c r="K126" s="22" t="s">
        <v>20110</v>
      </c>
      <c r="L126" s="22"/>
      <c r="M126" s="22"/>
      <c r="N126" s="25" t="str">
        <f>HYPERLINK("http://slimages.macys.com/is/image/MCY/21400820 ")</f>
        <v xml:space="preserve">http://slimages.macys.com/is/image/MCY/21400820 </v>
      </c>
    </row>
    <row r="127" spans="1:14" x14ac:dyDescent="0.25">
      <c r="A127" s="21" t="s">
        <v>4700</v>
      </c>
      <c r="B127" s="22" t="s">
        <v>4701</v>
      </c>
      <c r="C127" s="2">
        <v>7</v>
      </c>
      <c r="D127" s="23">
        <v>21.99</v>
      </c>
      <c r="E127" s="3">
        <v>153.93</v>
      </c>
      <c r="F127" s="2" t="s">
        <v>4702</v>
      </c>
      <c r="G127" s="22" t="s">
        <v>19814</v>
      </c>
      <c r="H127" s="24" t="s">
        <v>19339</v>
      </c>
      <c r="I127" s="22" t="s">
        <v>19309</v>
      </c>
      <c r="J127" s="22" t="s">
        <v>19849</v>
      </c>
      <c r="K127" s="22" t="s">
        <v>19850</v>
      </c>
      <c r="L127" s="22"/>
      <c r="M127" s="22"/>
      <c r="N127" s="25" t="str">
        <f>HYPERLINK("http://slimages.macys.com/is/image/MCY/21932644 ")</f>
        <v xml:space="preserve">http://slimages.macys.com/is/image/MCY/21932644 </v>
      </c>
    </row>
    <row r="128" spans="1:14" ht="24.75" x14ac:dyDescent="0.25">
      <c r="A128" s="21" t="s">
        <v>4703</v>
      </c>
      <c r="B128" s="22" t="s">
        <v>4704</v>
      </c>
      <c r="C128" s="2">
        <v>1</v>
      </c>
      <c r="D128" s="23">
        <v>16.989999999999998</v>
      </c>
      <c r="E128" s="3">
        <v>16.989999999999998</v>
      </c>
      <c r="F128" s="2" t="s">
        <v>4705</v>
      </c>
      <c r="G128" s="22" t="s">
        <v>19618</v>
      </c>
      <c r="H128" s="24" t="s">
        <v>19542</v>
      </c>
      <c r="I128" s="22" t="s">
        <v>19309</v>
      </c>
      <c r="J128" s="22" t="s">
        <v>19454</v>
      </c>
      <c r="K128" s="22" t="s">
        <v>19524</v>
      </c>
      <c r="L128" s="22"/>
      <c r="M128" s="22"/>
      <c r="N128" s="25" t="str">
        <f>HYPERLINK("http://slimages.macys.com/is/image/MCY/20669890 ")</f>
        <v xml:space="preserve">http://slimages.macys.com/is/image/MCY/20669890 </v>
      </c>
    </row>
    <row r="129" spans="1:14" x14ac:dyDescent="0.25">
      <c r="A129" s="21" t="s">
        <v>8080</v>
      </c>
      <c r="B129" s="22" t="s">
        <v>8081</v>
      </c>
      <c r="C129" s="2">
        <v>1</v>
      </c>
      <c r="D129" s="23">
        <v>19.989999999999998</v>
      </c>
      <c r="E129" s="3">
        <v>19.989999999999998</v>
      </c>
      <c r="F129" s="2" t="s">
        <v>8079</v>
      </c>
      <c r="G129" s="22" t="s">
        <v>19342</v>
      </c>
      <c r="H129" s="24" t="s">
        <v>19478</v>
      </c>
      <c r="I129" s="22" t="s">
        <v>19309</v>
      </c>
      <c r="J129" s="22" t="s">
        <v>19696</v>
      </c>
      <c r="K129" s="22" t="s">
        <v>19965</v>
      </c>
      <c r="L129" s="22"/>
      <c r="M129" s="22"/>
      <c r="N129" s="25" t="str">
        <f>HYPERLINK("http://slimages.macys.com/is/image/MCY/21689633 ")</f>
        <v xml:space="preserve">http://slimages.macys.com/is/image/MCY/21689633 </v>
      </c>
    </row>
    <row r="130" spans="1:14" x14ac:dyDescent="0.25">
      <c r="A130" s="21" t="s">
        <v>4706</v>
      </c>
      <c r="B130" s="22" t="s">
        <v>4707</v>
      </c>
      <c r="C130" s="2">
        <v>1</v>
      </c>
      <c r="D130" s="23">
        <v>19.989999999999998</v>
      </c>
      <c r="E130" s="3">
        <v>19.989999999999998</v>
      </c>
      <c r="F130" s="2" t="s">
        <v>4708</v>
      </c>
      <c r="G130" s="22" t="s">
        <v>19342</v>
      </c>
      <c r="H130" s="24" t="s">
        <v>19395</v>
      </c>
      <c r="I130" s="22" t="s">
        <v>19309</v>
      </c>
      <c r="J130" s="22" t="s">
        <v>19696</v>
      </c>
      <c r="K130" s="22" t="s">
        <v>19697</v>
      </c>
      <c r="L130" s="22"/>
      <c r="M130" s="22"/>
      <c r="N130" s="25" t="str">
        <f>HYPERLINK("http://slimages.macys.com/is/image/MCY/20662533 ")</f>
        <v xml:space="preserve">http://slimages.macys.com/is/image/MCY/20662533 </v>
      </c>
    </row>
    <row r="131" spans="1:14" x14ac:dyDescent="0.25">
      <c r="A131" s="21" t="s">
        <v>8560</v>
      </c>
      <c r="B131" s="22" t="s">
        <v>8561</v>
      </c>
      <c r="C131" s="2">
        <v>1</v>
      </c>
      <c r="D131" s="23">
        <v>19.989999999999998</v>
      </c>
      <c r="E131" s="3">
        <v>19.989999999999998</v>
      </c>
      <c r="F131" s="2" t="s">
        <v>15998</v>
      </c>
      <c r="G131" s="22" t="s">
        <v>19342</v>
      </c>
      <c r="H131" s="24" t="s">
        <v>19478</v>
      </c>
      <c r="I131" s="22" t="s">
        <v>19309</v>
      </c>
      <c r="J131" s="22" t="s">
        <v>19696</v>
      </c>
      <c r="K131" s="22" t="s">
        <v>19965</v>
      </c>
      <c r="L131" s="22"/>
      <c r="M131" s="22"/>
      <c r="N131" s="25" t="str">
        <f>HYPERLINK("http://slimages.macys.com/is/image/MCY/20662562 ")</f>
        <v xml:space="preserve">http://slimages.macys.com/is/image/MCY/20662562 </v>
      </c>
    </row>
    <row r="132" spans="1:14" x14ac:dyDescent="0.25">
      <c r="A132" s="21" t="s">
        <v>8077</v>
      </c>
      <c r="B132" s="22" t="s">
        <v>8078</v>
      </c>
      <c r="C132" s="2">
        <v>12</v>
      </c>
      <c r="D132" s="23">
        <v>19.989999999999998</v>
      </c>
      <c r="E132" s="3">
        <v>239.88</v>
      </c>
      <c r="F132" s="2" t="s">
        <v>8079</v>
      </c>
      <c r="G132" s="22" t="s">
        <v>19342</v>
      </c>
      <c r="H132" s="24" t="s">
        <v>19542</v>
      </c>
      <c r="I132" s="22" t="s">
        <v>19309</v>
      </c>
      <c r="J132" s="22" t="s">
        <v>19696</v>
      </c>
      <c r="K132" s="22" t="s">
        <v>19965</v>
      </c>
      <c r="L132" s="22"/>
      <c r="M132" s="22"/>
      <c r="N132" s="25" t="str">
        <f>HYPERLINK("http://slimages.macys.com/is/image/MCY/21689633 ")</f>
        <v xml:space="preserve">http://slimages.macys.com/is/image/MCY/21689633 </v>
      </c>
    </row>
    <row r="133" spans="1:14" ht="24.75" x14ac:dyDescent="0.25">
      <c r="A133" s="21" t="s">
        <v>4709</v>
      </c>
      <c r="B133" s="22" t="s">
        <v>4710</v>
      </c>
      <c r="C133" s="2">
        <v>1</v>
      </c>
      <c r="D133" s="23">
        <v>21.99</v>
      </c>
      <c r="E133" s="3">
        <v>21.99</v>
      </c>
      <c r="F133" s="2" t="s">
        <v>4711</v>
      </c>
      <c r="G133" s="22" t="s">
        <v>19342</v>
      </c>
      <c r="H133" s="24" t="s">
        <v>19330</v>
      </c>
      <c r="I133" s="22" t="s">
        <v>19309</v>
      </c>
      <c r="J133" s="22" t="s">
        <v>19491</v>
      </c>
      <c r="K133" s="22" t="s">
        <v>18064</v>
      </c>
      <c r="L133" s="22"/>
      <c r="M133" s="22"/>
      <c r="N133" s="25" t="str">
        <f>HYPERLINK("http://slimages.macys.com/is/image/MCY/21772886 ")</f>
        <v xml:space="preserve">http://slimages.macys.com/is/image/MCY/21772886 </v>
      </c>
    </row>
    <row r="134" spans="1:14" x14ac:dyDescent="0.25">
      <c r="A134" s="21" t="s">
        <v>4712</v>
      </c>
      <c r="B134" s="22" t="s">
        <v>4713</v>
      </c>
      <c r="C134" s="2">
        <v>1</v>
      </c>
      <c r="D134" s="23">
        <v>20</v>
      </c>
      <c r="E134" s="3">
        <v>20</v>
      </c>
      <c r="F134" s="2" t="s">
        <v>8255</v>
      </c>
      <c r="G134" s="22"/>
      <c r="H134" s="24" t="s">
        <v>19367</v>
      </c>
      <c r="I134" s="22" t="s">
        <v>19309</v>
      </c>
      <c r="J134" s="22" t="s">
        <v>19417</v>
      </c>
      <c r="K134" s="22" t="s">
        <v>19854</v>
      </c>
      <c r="L134" s="22"/>
      <c r="M134" s="22"/>
      <c r="N134" s="25" t="str">
        <f>HYPERLINK("http://slimages.macys.com/is/image/MCY/21363102 ")</f>
        <v xml:space="preserve">http://slimages.macys.com/is/image/MCY/21363102 </v>
      </c>
    </row>
    <row r="135" spans="1:14" ht="24.75" x14ac:dyDescent="0.25">
      <c r="A135" s="21" t="s">
        <v>8082</v>
      </c>
      <c r="B135" s="22" t="s">
        <v>8083</v>
      </c>
      <c r="C135" s="2">
        <v>12</v>
      </c>
      <c r="D135" s="23">
        <v>20</v>
      </c>
      <c r="E135" s="3">
        <v>240</v>
      </c>
      <c r="F135" s="2" t="s">
        <v>10995</v>
      </c>
      <c r="G135" s="22" t="s">
        <v>19404</v>
      </c>
      <c r="H135" s="24" t="s">
        <v>19324</v>
      </c>
      <c r="I135" s="22" t="s">
        <v>19309</v>
      </c>
      <c r="J135" s="22" t="s">
        <v>19417</v>
      </c>
      <c r="K135" s="22" t="s">
        <v>19854</v>
      </c>
      <c r="L135" s="22"/>
      <c r="M135" s="22"/>
      <c r="N135" s="25" t="str">
        <f>HYPERLINK("http://slimages.macys.com/is/image/MCY/21370155 ")</f>
        <v xml:space="preserve">http://slimages.macys.com/is/image/MCY/21370155 </v>
      </c>
    </row>
    <row r="136" spans="1:14" ht="24.75" x14ac:dyDescent="0.25">
      <c r="A136" s="21" t="s">
        <v>4714</v>
      </c>
      <c r="B136" s="22" t="s">
        <v>4715</v>
      </c>
      <c r="C136" s="2">
        <v>7</v>
      </c>
      <c r="D136" s="23">
        <v>20</v>
      </c>
      <c r="E136" s="3">
        <v>140</v>
      </c>
      <c r="F136" s="2" t="s">
        <v>10995</v>
      </c>
      <c r="G136" s="22" t="s">
        <v>19404</v>
      </c>
      <c r="H136" s="24" t="s">
        <v>20159</v>
      </c>
      <c r="I136" s="22" t="s">
        <v>19309</v>
      </c>
      <c r="J136" s="22" t="s">
        <v>19417</v>
      </c>
      <c r="K136" s="22" t="s">
        <v>19854</v>
      </c>
      <c r="L136" s="22"/>
      <c r="M136" s="22"/>
      <c r="N136" s="25" t="str">
        <f>HYPERLINK("http://slimages.macys.com/is/image/MCY/21370155 ")</f>
        <v xml:space="preserve">http://slimages.macys.com/is/image/MCY/21370155 </v>
      </c>
    </row>
    <row r="137" spans="1:14" ht="24.75" x14ac:dyDescent="0.25">
      <c r="A137" s="21" t="s">
        <v>4716</v>
      </c>
      <c r="B137" s="22" t="s">
        <v>4717</v>
      </c>
      <c r="C137" s="2">
        <v>9</v>
      </c>
      <c r="D137" s="23">
        <v>20</v>
      </c>
      <c r="E137" s="3">
        <v>180</v>
      </c>
      <c r="F137" s="2" t="s">
        <v>10995</v>
      </c>
      <c r="G137" s="22" t="s">
        <v>19404</v>
      </c>
      <c r="H137" s="24" t="s">
        <v>19367</v>
      </c>
      <c r="I137" s="22" t="s">
        <v>19309</v>
      </c>
      <c r="J137" s="22" t="s">
        <v>19417</v>
      </c>
      <c r="K137" s="22" t="s">
        <v>19854</v>
      </c>
      <c r="L137" s="22"/>
      <c r="M137" s="22"/>
      <c r="N137" s="25" t="str">
        <f>HYPERLINK("http://slimages.macys.com/is/image/MCY/21370155 ")</f>
        <v xml:space="preserve">http://slimages.macys.com/is/image/MCY/21370155 </v>
      </c>
    </row>
    <row r="138" spans="1:14" ht="24.75" x14ac:dyDescent="0.25">
      <c r="A138" s="21" t="s">
        <v>4718</v>
      </c>
      <c r="B138" s="22" t="s">
        <v>4719</v>
      </c>
      <c r="C138" s="2">
        <v>1</v>
      </c>
      <c r="D138" s="23">
        <v>16.989999999999998</v>
      </c>
      <c r="E138" s="3">
        <v>16.989999999999998</v>
      </c>
      <c r="F138" s="2" t="s">
        <v>4720</v>
      </c>
      <c r="G138" s="22" t="s">
        <v>19422</v>
      </c>
      <c r="H138" s="24" t="s">
        <v>11751</v>
      </c>
      <c r="I138" s="22" t="s">
        <v>19309</v>
      </c>
      <c r="J138" s="22" t="s">
        <v>20076</v>
      </c>
      <c r="K138" s="22" t="s">
        <v>12029</v>
      </c>
      <c r="L138" s="22"/>
      <c r="M138" s="22"/>
      <c r="N138" s="25" t="str">
        <f>HYPERLINK("http://slimages.macys.com/is/image/MCY/20154538 ")</f>
        <v xml:space="preserve">http://slimages.macys.com/is/image/MCY/20154538 </v>
      </c>
    </row>
    <row r="139" spans="1:14" x14ac:dyDescent="0.25">
      <c r="A139" s="21" t="s">
        <v>11631</v>
      </c>
      <c r="B139" s="22" t="s">
        <v>11632</v>
      </c>
      <c r="C139" s="2">
        <v>15</v>
      </c>
      <c r="D139" s="23">
        <v>24.99</v>
      </c>
      <c r="E139" s="3">
        <v>374.85</v>
      </c>
      <c r="F139" s="2" t="s">
        <v>11633</v>
      </c>
      <c r="G139" s="22" t="s">
        <v>19674</v>
      </c>
      <c r="H139" s="24" t="s">
        <v>19364</v>
      </c>
      <c r="I139" s="22" t="s">
        <v>19309</v>
      </c>
      <c r="J139" s="22" t="s">
        <v>19849</v>
      </c>
      <c r="K139" s="22" t="s">
        <v>19850</v>
      </c>
      <c r="L139" s="22"/>
      <c r="M139" s="22"/>
      <c r="N139" s="25" t="str">
        <f>HYPERLINK("http://slimages.macys.com/is/image/MCY/20549494 ")</f>
        <v xml:space="preserve">http://slimages.macys.com/is/image/MCY/20549494 </v>
      </c>
    </row>
    <row r="140" spans="1:14" ht="24.75" x14ac:dyDescent="0.25">
      <c r="A140" s="21" t="s">
        <v>12089</v>
      </c>
      <c r="B140" s="22" t="s">
        <v>12090</v>
      </c>
      <c r="C140" s="2">
        <v>9</v>
      </c>
      <c r="D140" s="23">
        <v>12.99</v>
      </c>
      <c r="E140" s="3">
        <v>116.91</v>
      </c>
      <c r="F140" s="2" t="s">
        <v>20141</v>
      </c>
      <c r="G140" s="22" t="s">
        <v>19585</v>
      </c>
      <c r="H140" s="24" t="s">
        <v>19364</v>
      </c>
      <c r="I140" s="22" t="s">
        <v>19309</v>
      </c>
      <c r="J140" s="22" t="s">
        <v>19447</v>
      </c>
      <c r="K140" s="22" t="s">
        <v>19873</v>
      </c>
      <c r="L140" s="22"/>
      <c r="M140" s="22"/>
      <c r="N140" s="25" t="str">
        <f>HYPERLINK("http://slimages.macys.com/is/image/MCY/21122038 ")</f>
        <v xml:space="preserve">http://slimages.macys.com/is/image/MCY/21122038 </v>
      </c>
    </row>
    <row r="141" spans="1:14" x14ac:dyDescent="0.25">
      <c r="A141" s="21" t="s">
        <v>12094</v>
      </c>
      <c r="B141" s="22" t="s">
        <v>12095</v>
      </c>
      <c r="C141" s="2">
        <v>1</v>
      </c>
      <c r="D141" s="23">
        <v>14.67</v>
      </c>
      <c r="E141" s="3">
        <v>14.67</v>
      </c>
      <c r="F141" s="2" t="s">
        <v>13097</v>
      </c>
      <c r="G141" s="22" t="s">
        <v>19323</v>
      </c>
      <c r="H141" s="24" t="s">
        <v>19367</v>
      </c>
      <c r="I141" s="22" t="s">
        <v>19309</v>
      </c>
      <c r="J141" s="22" t="s">
        <v>19708</v>
      </c>
      <c r="K141" s="22" t="s">
        <v>19709</v>
      </c>
      <c r="L141" s="22"/>
      <c r="M141" s="22"/>
      <c r="N141" s="25" t="str">
        <f>HYPERLINK("http://slimages.macys.com/is/image/MCY/19062876 ")</f>
        <v xml:space="preserve">http://slimages.macys.com/is/image/MCY/19062876 </v>
      </c>
    </row>
    <row r="142" spans="1:14" x14ac:dyDescent="0.25">
      <c r="A142" s="21" t="s">
        <v>4721</v>
      </c>
      <c r="B142" s="22" t="s">
        <v>4722</v>
      </c>
      <c r="C142" s="2">
        <v>2</v>
      </c>
      <c r="D142" s="23">
        <v>18.2</v>
      </c>
      <c r="E142" s="3">
        <v>36.4</v>
      </c>
      <c r="F142" s="2" t="s">
        <v>9533</v>
      </c>
      <c r="G142" s="22"/>
      <c r="H142" s="24" t="s">
        <v>19367</v>
      </c>
      <c r="I142" s="22" t="s">
        <v>19309</v>
      </c>
      <c r="J142" s="22" t="s">
        <v>19708</v>
      </c>
      <c r="K142" s="22" t="s">
        <v>19709</v>
      </c>
      <c r="L142" s="22"/>
      <c r="M142" s="22"/>
      <c r="N142" s="25" t="str">
        <f>HYPERLINK("http://slimages.macys.com/is/image/MCY/21423014 ")</f>
        <v xml:space="preserve">http://slimages.macys.com/is/image/MCY/21423014 </v>
      </c>
    </row>
    <row r="143" spans="1:14" x14ac:dyDescent="0.25">
      <c r="A143" s="21" t="s">
        <v>4723</v>
      </c>
      <c r="B143" s="22" t="s">
        <v>4724</v>
      </c>
      <c r="C143" s="2">
        <v>1</v>
      </c>
      <c r="D143" s="23">
        <v>18.2</v>
      </c>
      <c r="E143" s="3">
        <v>18.2</v>
      </c>
      <c r="F143" s="2" t="s">
        <v>4725</v>
      </c>
      <c r="G143" s="22"/>
      <c r="H143" s="24" t="s">
        <v>19367</v>
      </c>
      <c r="I143" s="22" t="s">
        <v>19309</v>
      </c>
      <c r="J143" s="22" t="s">
        <v>19708</v>
      </c>
      <c r="K143" s="22" t="s">
        <v>19709</v>
      </c>
      <c r="L143" s="22"/>
      <c r="M143" s="22"/>
      <c r="N143" s="25" t="str">
        <f>HYPERLINK("http://slimages.macys.com/is/image/MCY/21422978 ")</f>
        <v xml:space="preserve">http://slimages.macys.com/is/image/MCY/21422978 </v>
      </c>
    </row>
    <row r="144" spans="1:14" x14ac:dyDescent="0.25">
      <c r="A144" s="21" t="s">
        <v>9531</v>
      </c>
      <c r="B144" s="22" t="s">
        <v>9532</v>
      </c>
      <c r="C144" s="2">
        <v>1</v>
      </c>
      <c r="D144" s="23">
        <v>18.2</v>
      </c>
      <c r="E144" s="3">
        <v>18.2</v>
      </c>
      <c r="F144" s="2" t="s">
        <v>9533</v>
      </c>
      <c r="G144" s="22"/>
      <c r="H144" s="24" t="s">
        <v>20159</v>
      </c>
      <c r="I144" s="22" t="s">
        <v>19309</v>
      </c>
      <c r="J144" s="22" t="s">
        <v>19708</v>
      </c>
      <c r="K144" s="22" t="s">
        <v>19709</v>
      </c>
      <c r="L144" s="22"/>
      <c r="M144" s="22"/>
      <c r="N144" s="25" t="str">
        <f>HYPERLINK("http://slimages.macys.com/is/image/MCY/21423014 ")</f>
        <v xml:space="preserve">http://slimages.macys.com/is/image/MCY/21423014 </v>
      </c>
    </row>
    <row r="145" spans="1:14" ht="24.75" x14ac:dyDescent="0.25">
      <c r="A145" s="21" t="s">
        <v>4726</v>
      </c>
      <c r="B145" s="22" t="s">
        <v>4727</v>
      </c>
      <c r="C145" s="2">
        <v>1</v>
      </c>
      <c r="D145" s="23">
        <v>24</v>
      </c>
      <c r="E145" s="3">
        <v>24</v>
      </c>
      <c r="F145" s="2" t="s">
        <v>4728</v>
      </c>
      <c r="G145" s="22" t="s">
        <v>19351</v>
      </c>
      <c r="H145" s="24"/>
      <c r="I145" s="22" t="s">
        <v>19309</v>
      </c>
      <c r="J145" s="22" t="s">
        <v>15149</v>
      </c>
      <c r="K145" s="22" t="s">
        <v>19546</v>
      </c>
      <c r="L145" s="22"/>
      <c r="M145" s="22"/>
      <c r="N145" s="25" t="str">
        <f>HYPERLINK("http://slimages.macys.com/is/image/MCY/18839210 ")</f>
        <v xml:space="preserve">http://slimages.macys.com/is/image/MCY/18839210 </v>
      </c>
    </row>
    <row r="146" spans="1:14" ht="24.75" x14ac:dyDescent="0.25">
      <c r="A146" s="21" t="s">
        <v>4729</v>
      </c>
      <c r="B146" s="22" t="s">
        <v>4730</v>
      </c>
      <c r="C146" s="2">
        <v>1</v>
      </c>
      <c r="D146" s="23">
        <v>14.99</v>
      </c>
      <c r="E146" s="3">
        <v>14.99</v>
      </c>
      <c r="F146" s="2" t="s">
        <v>4731</v>
      </c>
      <c r="G146" s="22" t="s">
        <v>19351</v>
      </c>
      <c r="H146" s="24" t="s">
        <v>19345</v>
      </c>
      <c r="I146" s="22" t="s">
        <v>19309</v>
      </c>
      <c r="J146" s="22" t="s">
        <v>19447</v>
      </c>
      <c r="K146" s="22" t="s">
        <v>19463</v>
      </c>
      <c r="L146" s="22"/>
      <c r="M146" s="22"/>
      <c r="N146" s="25" t="str">
        <f>HYPERLINK("http://slimages.macys.com/is/image/MCY/21682128 ")</f>
        <v xml:space="preserve">http://slimages.macys.com/is/image/MCY/21682128 </v>
      </c>
    </row>
    <row r="147" spans="1:14" ht="24.75" x14ac:dyDescent="0.25">
      <c r="A147" s="21" t="s">
        <v>8084</v>
      </c>
      <c r="B147" s="22" t="s">
        <v>8085</v>
      </c>
      <c r="C147" s="2">
        <v>3</v>
      </c>
      <c r="D147" s="23">
        <v>16.989999999999998</v>
      </c>
      <c r="E147" s="3">
        <v>50.97</v>
      </c>
      <c r="F147" s="2" t="s">
        <v>8086</v>
      </c>
      <c r="G147" s="22" t="s">
        <v>19333</v>
      </c>
      <c r="H147" s="24"/>
      <c r="I147" s="22" t="s">
        <v>19309</v>
      </c>
      <c r="J147" s="22" t="s">
        <v>19519</v>
      </c>
      <c r="K147" s="22" t="s">
        <v>11201</v>
      </c>
      <c r="L147" s="22"/>
      <c r="M147" s="22"/>
      <c r="N147" s="25" t="str">
        <f>HYPERLINK("http://slimages.macys.com/is/image/MCY/21776966 ")</f>
        <v xml:space="preserve">http://slimages.macys.com/is/image/MCY/21776966 </v>
      </c>
    </row>
    <row r="148" spans="1:14" ht="24.75" x14ac:dyDescent="0.25">
      <c r="A148" s="21" t="s">
        <v>8087</v>
      </c>
      <c r="B148" s="22" t="s">
        <v>8088</v>
      </c>
      <c r="C148" s="2">
        <v>9</v>
      </c>
      <c r="D148" s="23">
        <v>15.99</v>
      </c>
      <c r="E148" s="3">
        <v>143.91</v>
      </c>
      <c r="F148" s="2" t="s">
        <v>9539</v>
      </c>
      <c r="G148" s="22" t="s">
        <v>19333</v>
      </c>
      <c r="H148" s="24" t="s">
        <v>19392</v>
      </c>
      <c r="I148" s="22" t="s">
        <v>19309</v>
      </c>
      <c r="J148" s="22" t="s">
        <v>19519</v>
      </c>
      <c r="K148" s="22" t="s">
        <v>17725</v>
      </c>
      <c r="L148" s="22"/>
      <c r="M148" s="22"/>
      <c r="N148" s="25" t="str">
        <f>HYPERLINK("http://slimages.macys.com/is/image/MCY/21141716 ")</f>
        <v xml:space="preserve">http://slimages.macys.com/is/image/MCY/21141716 </v>
      </c>
    </row>
    <row r="149" spans="1:14" ht="24.75" x14ac:dyDescent="0.25">
      <c r="A149" s="21" t="s">
        <v>4732</v>
      </c>
      <c r="B149" s="22" t="s">
        <v>4733</v>
      </c>
      <c r="C149" s="2">
        <v>1</v>
      </c>
      <c r="D149" s="23">
        <v>15.99</v>
      </c>
      <c r="E149" s="3">
        <v>15.99</v>
      </c>
      <c r="F149" s="2" t="s">
        <v>4734</v>
      </c>
      <c r="G149" s="22" t="s">
        <v>19814</v>
      </c>
      <c r="H149" s="24" t="s">
        <v>19416</v>
      </c>
      <c r="I149" s="22" t="s">
        <v>19309</v>
      </c>
      <c r="J149" s="22" t="s">
        <v>19385</v>
      </c>
      <c r="K149" s="22" t="s">
        <v>18197</v>
      </c>
      <c r="L149" s="22"/>
      <c r="M149" s="22"/>
      <c r="N149" s="25" t="str">
        <f>HYPERLINK("http://slimages.macys.com/is/image/MCY/21541853 ")</f>
        <v xml:space="preserve">http://slimages.macys.com/is/image/MCY/21541853 </v>
      </c>
    </row>
    <row r="150" spans="1:14" ht="24.75" x14ac:dyDescent="0.25">
      <c r="A150" s="21" t="s">
        <v>8258</v>
      </c>
      <c r="B150" s="22" t="s">
        <v>8259</v>
      </c>
      <c r="C150" s="2">
        <v>7</v>
      </c>
      <c r="D150" s="23">
        <v>15.99</v>
      </c>
      <c r="E150" s="3">
        <v>111.93</v>
      </c>
      <c r="F150" s="2" t="s">
        <v>9539</v>
      </c>
      <c r="G150" s="22" t="s">
        <v>19333</v>
      </c>
      <c r="H150" s="24" t="s">
        <v>19334</v>
      </c>
      <c r="I150" s="22" t="s">
        <v>19309</v>
      </c>
      <c r="J150" s="22" t="s">
        <v>19519</v>
      </c>
      <c r="K150" s="22" t="s">
        <v>17725</v>
      </c>
      <c r="L150" s="22"/>
      <c r="M150" s="22"/>
      <c r="N150" s="25" t="str">
        <f>HYPERLINK("http://slimages.macys.com/is/image/MCY/21141716 ")</f>
        <v xml:space="preserve">http://slimages.macys.com/is/image/MCY/21141716 </v>
      </c>
    </row>
    <row r="151" spans="1:14" ht="24.75" x14ac:dyDescent="0.25">
      <c r="A151" s="21" t="s">
        <v>9537</v>
      </c>
      <c r="B151" s="22" t="s">
        <v>9538</v>
      </c>
      <c r="C151" s="2">
        <v>10</v>
      </c>
      <c r="D151" s="23">
        <v>15.99</v>
      </c>
      <c r="E151" s="3">
        <v>159.9</v>
      </c>
      <c r="F151" s="2" t="s">
        <v>9539</v>
      </c>
      <c r="G151" s="22" t="s">
        <v>19333</v>
      </c>
      <c r="H151" s="24" t="s">
        <v>19345</v>
      </c>
      <c r="I151" s="22" t="s">
        <v>19309</v>
      </c>
      <c r="J151" s="22" t="s">
        <v>19519</v>
      </c>
      <c r="K151" s="22" t="s">
        <v>17725</v>
      </c>
      <c r="L151" s="22"/>
      <c r="M151" s="22"/>
      <c r="N151" s="25" t="str">
        <f>HYPERLINK("http://slimages.macys.com/is/image/MCY/21141716 ")</f>
        <v xml:space="preserve">http://slimages.macys.com/is/image/MCY/21141716 </v>
      </c>
    </row>
    <row r="152" spans="1:14" x14ac:dyDescent="0.25">
      <c r="A152" s="21" t="s">
        <v>8431</v>
      </c>
      <c r="B152" s="22" t="s">
        <v>8432</v>
      </c>
      <c r="C152" s="2">
        <v>13</v>
      </c>
      <c r="D152" s="23">
        <v>17.989999999999998</v>
      </c>
      <c r="E152" s="3">
        <v>233.87</v>
      </c>
      <c r="F152" s="2" t="s">
        <v>8433</v>
      </c>
      <c r="G152" s="22" t="s">
        <v>19342</v>
      </c>
      <c r="H152" s="24" t="s">
        <v>19334</v>
      </c>
      <c r="I152" s="22" t="s">
        <v>19309</v>
      </c>
      <c r="J152" s="22" t="s">
        <v>19696</v>
      </c>
      <c r="K152" s="22" t="s">
        <v>19697</v>
      </c>
      <c r="L152" s="22"/>
      <c r="M152" s="22"/>
      <c r="N152" s="25" t="str">
        <f>HYPERLINK("http://slimages.macys.com/is/image/MCY/21622678 ")</f>
        <v xml:space="preserve">http://slimages.macys.com/is/image/MCY/21622678 </v>
      </c>
    </row>
    <row r="153" spans="1:14" x14ac:dyDescent="0.25">
      <c r="A153" s="21" t="s">
        <v>4735</v>
      </c>
      <c r="B153" s="22" t="s">
        <v>4736</v>
      </c>
      <c r="C153" s="2">
        <v>3</v>
      </c>
      <c r="D153" s="23">
        <v>17.989999999999998</v>
      </c>
      <c r="E153" s="3">
        <v>53.97</v>
      </c>
      <c r="F153" s="2" t="s">
        <v>4737</v>
      </c>
      <c r="G153" s="22" t="s">
        <v>19342</v>
      </c>
      <c r="H153" s="24" t="s">
        <v>19334</v>
      </c>
      <c r="I153" s="22" t="s">
        <v>19309</v>
      </c>
      <c r="J153" s="22" t="s">
        <v>19696</v>
      </c>
      <c r="K153" s="22" t="s">
        <v>19965</v>
      </c>
      <c r="L153" s="22"/>
      <c r="M153" s="22"/>
      <c r="N153" s="25" t="str">
        <f>HYPERLINK("http://slimages.macys.com/is/image/MCY/21355983 ")</f>
        <v xml:space="preserve">http://slimages.macys.com/is/image/MCY/21355983 </v>
      </c>
    </row>
    <row r="154" spans="1:14" x14ac:dyDescent="0.25">
      <c r="A154" s="21" t="s">
        <v>4738</v>
      </c>
      <c r="B154" s="22" t="s">
        <v>4739</v>
      </c>
      <c r="C154" s="2">
        <v>1</v>
      </c>
      <c r="D154" s="23">
        <v>17.989999999999998</v>
      </c>
      <c r="E154" s="3">
        <v>17.989999999999998</v>
      </c>
      <c r="F154" s="2" t="s">
        <v>4737</v>
      </c>
      <c r="G154" s="22" t="s">
        <v>19342</v>
      </c>
      <c r="H154" s="24" t="s">
        <v>19345</v>
      </c>
      <c r="I154" s="22" t="s">
        <v>19309</v>
      </c>
      <c r="J154" s="22" t="s">
        <v>19696</v>
      </c>
      <c r="K154" s="22" t="s">
        <v>19965</v>
      </c>
      <c r="L154" s="22"/>
      <c r="M154" s="22"/>
      <c r="N154" s="25" t="str">
        <f>HYPERLINK("http://slimages.macys.com/is/image/MCY/21355983 ")</f>
        <v xml:space="preserve">http://slimages.macys.com/is/image/MCY/21355983 </v>
      </c>
    </row>
    <row r="155" spans="1:14" x14ac:dyDescent="0.25">
      <c r="A155" s="21" t="s">
        <v>11013</v>
      </c>
      <c r="B155" s="22" t="s">
        <v>11014</v>
      </c>
      <c r="C155" s="2">
        <v>8</v>
      </c>
      <c r="D155" s="23">
        <v>17.989999999999998</v>
      </c>
      <c r="E155" s="3">
        <v>143.91999999999999</v>
      </c>
      <c r="F155" s="2" t="s">
        <v>11012</v>
      </c>
      <c r="G155" s="22" t="s">
        <v>19342</v>
      </c>
      <c r="H155" s="24" t="s">
        <v>19334</v>
      </c>
      <c r="I155" s="22" t="s">
        <v>19309</v>
      </c>
      <c r="J155" s="22" t="s">
        <v>19696</v>
      </c>
      <c r="K155" s="22" t="s">
        <v>19697</v>
      </c>
      <c r="L155" s="22"/>
      <c r="M155" s="22"/>
      <c r="N155" s="25" t="str">
        <f>HYPERLINK("http://slimages.macys.com/is/image/MCY/21642765 ")</f>
        <v xml:space="preserve">http://slimages.macys.com/is/image/MCY/21642765 </v>
      </c>
    </row>
    <row r="156" spans="1:14" x14ac:dyDescent="0.25">
      <c r="A156" s="21" t="s">
        <v>4740</v>
      </c>
      <c r="B156" s="22" t="s">
        <v>4741</v>
      </c>
      <c r="C156" s="2">
        <v>1</v>
      </c>
      <c r="D156" s="23">
        <v>32</v>
      </c>
      <c r="E156" s="3">
        <v>32</v>
      </c>
      <c r="F156" s="2" t="s">
        <v>4742</v>
      </c>
      <c r="G156" s="22" t="s">
        <v>19814</v>
      </c>
      <c r="H156" s="24" t="s">
        <v>19538</v>
      </c>
      <c r="I156" s="22" t="s">
        <v>19309</v>
      </c>
      <c r="J156" s="22" t="s">
        <v>19417</v>
      </c>
      <c r="K156" s="22" t="s">
        <v>20110</v>
      </c>
      <c r="L156" s="22"/>
      <c r="M156" s="22"/>
      <c r="N156" s="25" t="str">
        <f>HYPERLINK("http://slimages.macys.com/is/image/MCY/21734714 ")</f>
        <v xml:space="preserve">http://slimages.macys.com/is/image/MCY/21734714 </v>
      </c>
    </row>
    <row r="157" spans="1:14" ht="24.75" x14ac:dyDescent="0.25">
      <c r="A157" s="21" t="s">
        <v>4743</v>
      </c>
      <c r="B157" s="22" t="s">
        <v>4744</v>
      </c>
      <c r="C157" s="2">
        <v>3</v>
      </c>
      <c r="D157" s="23">
        <v>21.99</v>
      </c>
      <c r="E157" s="3">
        <v>65.97</v>
      </c>
      <c r="F157" s="2" t="s">
        <v>4745</v>
      </c>
      <c r="G157" s="22" t="s">
        <v>19342</v>
      </c>
      <c r="H157" s="24" t="s">
        <v>19324</v>
      </c>
      <c r="I157" s="22" t="s">
        <v>19309</v>
      </c>
      <c r="J157" s="22" t="s">
        <v>19491</v>
      </c>
      <c r="K157" s="22" t="s">
        <v>18064</v>
      </c>
      <c r="L157" s="22"/>
      <c r="M157" s="22"/>
      <c r="N157" s="25" t="str">
        <f>HYPERLINK("http://slimages.macys.com/is/image/MCY/21771105 ")</f>
        <v xml:space="preserve">http://slimages.macys.com/is/image/MCY/21771105 </v>
      </c>
    </row>
    <row r="158" spans="1:14" x14ac:dyDescent="0.25">
      <c r="A158" s="21" t="s">
        <v>9543</v>
      </c>
      <c r="B158" s="22" t="s">
        <v>9544</v>
      </c>
      <c r="C158" s="2">
        <v>2</v>
      </c>
      <c r="D158" s="23">
        <v>17.059999999999999</v>
      </c>
      <c r="E158" s="3">
        <v>34.119999999999997</v>
      </c>
      <c r="F158" s="2" t="s">
        <v>9545</v>
      </c>
      <c r="G158" s="22"/>
      <c r="H158" s="24" t="s">
        <v>20159</v>
      </c>
      <c r="I158" s="22" t="s">
        <v>19309</v>
      </c>
      <c r="J158" s="22" t="s">
        <v>19708</v>
      </c>
      <c r="K158" s="22" t="s">
        <v>19709</v>
      </c>
      <c r="L158" s="22"/>
      <c r="M158" s="22"/>
      <c r="N158" s="25" t="str">
        <f>HYPERLINK("http://slimages.macys.com/is/image/MCY/21726580 ")</f>
        <v xml:space="preserve">http://slimages.macys.com/is/image/MCY/21726580 </v>
      </c>
    </row>
    <row r="159" spans="1:14" x14ac:dyDescent="0.25">
      <c r="A159" s="21" t="s">
        <v>8580</v>
      </c>
      <c r="B159" s="22" t="s">
        <v>8581</v>
      </c>
      <c r="C159" s="2">
        <v>1</v>
      </c>
      <c r="D159" s="23">
        <v>17.059999999999999</v>
      </c>
      <c r="E159" s="3">
        <v>17.059999999999999</v>
      </c>
      <c r="F159" s="2" t="s">
        <v>8582</v>
      </c>
      <c r="G159" s="22"/>
      <c r="H159" s="24" t="s">
        <v>20159</v>
      </c>
      <c r="I159" s="22" t="s">
        <v>19309</v>
      </c>
      <c r="J159" s="22" t="s">
        <v>19708</v>
      </c>
      <c r="K159" s="22" t="s">
        <v>19709</v>
      </c>
      <c r="L159" s="22"/>
      <c r="M159" s="22"/>
      <c r="N159" s="25" t="str">
        <f>HYPERLINK("http://slimages.macys.com/is/image/MCY/21422976 ")</f>
        <v xml:space="preserve">http://slimages.macys.com/is/image/MCY/21422976 </v>
      </c>
    </row>
    <row r="160" spans="1:14" x14ac:dyDescent="0.25">
      <c r="A160" s="21" t="s">
        <v>4746</v>
      </c>
      <c r="B160" s="22" t="s">
        <v>4747</v>
      </c>
      <c r="C160" s="2">
        <v>1</v>
      </c>
      <c r="D160" s="23">
        <v>17.059999999999999</v>
      </c>
      <c r="E160" s="3">
        <v>17.059999999999999</v>
      </c>
      <c r="F160" s="2" t="s">
        <v>9545</v>
      </c>
      <c r="G160" s="22"/>
      <c r="H160" s="24" t="s">
        <v>19367</v>
      </c>
      <c r="I160" s="22" t="s">
        <v>19309</v>
      </c>
      <c r="J160" s="22" t="s">
        <v>19708</v>
      </c>
      <c r="K160" s="22" t="s">
        <v>19709</v>
      </c>
      <c r="L160" s="22"/>
      <c r="M160" s="22"/>
      <c r="N160" s="25" t="str">
        <f>HYPERLINK("http://slimages.macys.com/is/image/MCY/21726580 ")</f>
        <v xml:space="preserve">http://slimages.macys.com/is/image/MCY/21726580 </v>
      </c>
    </row>
    <row r="161" spans="1:14" ht="24.75" x14ac:dyDescent="0.25">
      <c r="A161" s="21" t="s">
        <v>4748</v>
      </c>
      <c r="B161" s="22" t="s">
        <v>4749</v>
      </c>
      <c r="C161" s="2">
        <v>1</v>
      </c>
      <c r="D161" s="23">
        <v>24</v>
      </c>
      <c r="E161" s="3">
        <v>24</v>
      </c>
      <c r="F161" s="2" t="s">
        <v>4750</v>
      </c>
      <c r="G161" s="22" t="s">
        <v>19315</v>
      </c>
      <c r="H161" s="24"/>
      <c r="I161" s="22" t="s">
        <v>19309</v>
      </c>
      <c r="J161" s="22" t="s">
        <v>15149</v>
      </c>
      <c r="K161" s="22" t="s">
        <v>19546</v>
      </c>
      <c r="L161" s="22"/>
      <c r="M161" s="22"/>
      <c r="N161" s="25" t="str">
        <f>HYPERLINK("http://slimages.macys.com/is/image/MCY/20533657 ")</f>
        <v xml:space="preserve">http://slimages.macys.com/is/image/MCY/20533657 </v>
      </c>
    </row>
    <row r="162" spans="1:14" x14ac:dyDescent="0.25">
      <c r="A162" s="21" t="s">
        <v>4751</v>
      </c>
      <c r="B162" s="22" t="s">
        <v>4752</v>
      </c>
      <c r="C162" s="2">
        <v>1</v>
      </c>
      <c r="D162" s="23">
        <v>17.989999999999998</v>
      </c>
      <c r="E162" s="3">
        <v>17.989999999999998</v>
      </c>
      <c r="F162" s="2" t="s">
        <v>4753</v>
      </c>
      <c r="G162" s="22" t="s">
        <v>19342</v>
      </c>
      <c r="H162" s="24" t="s">
        <v>19334</v>
      </c>
      <c r="I162" s="22" t="s">
        <v>19309</v>
      </c>
      <c r="J162" s="22" t="s">
        <v>19696</v>
      </c>
      <c r="K162" s="22" t="s">
        <v>19965</v>
      </c>
      <c r="L162" s="22"/>
      <c r="M162" s="22"/>
      <c r="N162" s="25" t="str">
        <f>HYPERLINK("http://slimages.macys.com/is/image/MCY/20662565 ")</f>
        <v xml:space="preserve">http://slimages.macys.com/is/image/MCY/20662565 </v>
      </c>
    </row>
    <row r="163" spans="1:14" x14ac:dyDescent="0.25">
      <c r="A163" s="21" t="s">
        <v>8270</v>
      </c>
      <c r="B163" s="22" t="s">
        <v>8271</v>
      </c>
      <c r="C163" s="2">
        <v>2</v>
      </c>
      <c r="D163" s="23">
        <v>15.99</v>
      </c>
      <c r="E163" s="3">
        <v>31.98</v>
      </c>
      <c r="F163" s="2" t="s">
        <v>18227</v>
      </c>
      <c r="G163" s="22" t="s">
        <v>19315</v>
      </c>
      <c r="H163" s="24" t="s">
        <v>19364</v>
      </c>
      <c r="I163" s="22" t="s">
        <v>19309</v>
      </c>
      <c r="J163" s="22" t="s">
        <v>19849</v>
      </c>
      <c r="K163" s="22" t="s">
        <v>19850</v>
      </c>
      <c r="L163" s="22"/>
      <c r="M163" s="22"/>
      <c r="N163" s="25" t="str">
        <f>HYPERLINK("http://slimages.macys.com/is/image/MCY/1521344 ")</f>
        <v xml:space="preserve">http://slimages.macys.com/is/image/MCY/1521344 </v>
      </c>
    </row>
    <row r="164" spans="1:14" x14ac:dyDescent="0.25">
      <c r="A164" s="21" t="s">
        <v>16101</v>
      </c>
      <c r="B164" s="22" t="s">
        <v>16102</v>
      </c>
      <c r="C164" s="2">
        <v>26</v>
      </c>
      <c r="D164" s="23">
        <v>15.99</v>
      </c>
      <c r="E164" s="3">
        <v>415.74</v>
      </c>
      <c r="F164" s="2" t="s">
        <v>18227</v>
      </c>
      <c r="G164" s="22" t="s">
        <v>19670</v>
      </c>
      <c r="H164" s="24" t="s">
        <v>19352</v>
      </c>
      <c r="I164" s="22" t="s">
        <v>19309</v>
      </c>
      <c r="J164" s="22" t="s">
        <v>19849</v>
      </c>
      <c r="K164" s="22" t="s">
        <v>19850</v>
      </c>
      <c r="L164" s="22"/>
      <c r="M164" s="22"/>
      <c r="N164" s="25" t="str">
        <f>HYPERLINK("http://slimages.macys.com/is/image/MCY/1553370 ")</f>
        <v xml:space="preserve">http://slimages.macys.com/is/image/MCY/1553370 </v>
      </c>
    </row>
    <row r="165" spans="1:14" ht="24.75" x14ac:dyDescent="0.25">
      <c r="A165" s="21" t="s">
        <v>4754</v>
      </c>
      <c r="B165" s="22" t="s">
        <v>4755</v>
      </c>
      <c r="C165" s="2">
        <v>1</v>
      </c>
      <c r="D165" s="23">
        <v>14.62</v>
      </c>
      <c r="E165" s="3">
        <v>14.62</v>
      </c>
      <c r="F165" s="2" t="s">
        <v>4756</v>
      </c>
      <c r="G165" s="22"/>
      <c r="H165" s="24"/>
      <c r="I165" s="22" t="s">
        <v>19309</v>
      </c>
      <c r="J165" s="22" t="s">
        <v>19602</v>
      </c>
      <c r="K165" s="22" t="s">
        <v>20041</v>
      </c>
      <c r="L165" s="22"/>
      <c r="M165" s="22"/>
      <c r="N165" s="25" t="str">
        <f>HYPERLINK("http://slimages.macys.com/is/image/MCY/20194065 ")</f>
        <v xml:space="preserve">http://slimages.macys.com/is/image/MCY/20194065 </v>
      </c>
    </row>
    <row r="166" spans="1:14" x14ac:dyDescent="0.25">
      <c r="A166" s="21" t="s">
        <v>8092</v>
      </c>
      <c r="B166" s="22" t="s">
        <v>8093</v>
      </c>
      <c r="C166" s="2">
        <v>1</v>
      </c>
      <c r="D166" s="23">
        <v>32</v>
      </c>
      <c r="E166" s="3">
        <v>32</v>
      </c>
      <c r="F166" s="2" t="s">
        <v>11026</v>
      </c>
      <c r="G166" s="22" t="s">
        <v>19351</v>
      </c>
      <c r="H166" s="24"/>
      <c r="I166" s="22" t="s">
        <v>19309</v>
      </c>
      <c r="J166" s="22" t="s">
        <v>19417</v>
      </c>
      <c r="K166" s="22" t="s">
        <v>20110</v>
      </c>
      <c r="L166" s="22"/>
      <c r="M166" s="22"/>
      <c r="N166" s="25" t="str">
        <f>HYPERLINK("http://slimages.macys.com/is/image/MCY/21400712 ")</f>
        <v xml:space="preserve">http://slimages.macys.com/is/image/MCY/21400712 </v>
      </c>
    </row>
    <row r="167" spans="1:14" ht="24.75" x14ac:dyDescent="0.25">
      <c r="A167" s="21" t="s">
        <v>4757</v>
      </c>
      <c r="B167" s="22" t="s">
        <v>4758</v>
      </c>
      <c r="C167" s="2">
        <v>1</v>
      </c>
      <c r="D167" s="23">
        <v>30</v>
      </c>
      <c r="E167" s="3">
        <v>30</v>
      </c>
      <c r="F167" s="2" t="s">
        <v>4759</v>
      </c>
      <c r="G167" s="22"/>
      <c r="H167" s="24" t="s">
        <v>19384</v>
      </c>
      <c r="I167" s="22" t="s">
        <v>19309</v>
      </c>
      <c r="J167" s="22" t="s">
        <v>19417</v>
      </c>
      <c r="K167" s="22" t="s">
        <v>18317</v>
      </c>
      <c r="L167" s="22"/>
      <c r="M167" s="22"/>
      <c r="N167" s="25" t="str">
        <f>HYPERLINK("http://slimages.macys.com/is/image/MCY/21614990 ")</f>
        <v xml:space="preserve">http://slimages.macys.com/is/image/MCY/21614990 </v>
      </c>
    </row>
    <row r="168" spans="1:14" ht="24.75" x14ac:dyDescent="0.25">
      <c r="A168" s="21" t="s">
        <v>4760</v>
      </c>
      <c r="B168" s="22" t="s">
        <v>4761</v>
      </c>
      <c r="C168" s="2">
        <v>1</v>
      </c>
      <c r="D168" s="23">
        <v>18.989999999999998</v>
      </c>
      <c r="E168" s="3">
        <v>18.989999999999998</v>
      </c>
      <c r="F168" s="2" t="s">
        <v>4762</v>
      </c>
      <c r="G168" s="22" t="s">
        <v>19670</v>
      </c>
      <c r="H168" s="24" t="s">
        <v>19377</v>
      </c>
      <c r="I168" s="22" t="s">
        <v>19309</v>
      </c>
      <c r="J168" s="22" t="s">
        <v>19595</v>
      </c>
      <c r="K168" s="22" t="s">
        <v>8263</v>
      </c>
      <c r="L168" s="22"/>
      <c r="M168" s="22"/>
      <c r="N168" s="25" t="str">
        <f>HYPERLINK("http://slimages.macys.com/is/image/MCY/20764055 ")</f>
        <v xml:space="preserve">http://slimages.macys.com/is/image/MCY/20764055 </v>
      </c>
    </row>
    <row r="169" spans="1:14" x14ac:dyDescent="0.25">
      <c r="A169" s="21" t="s">
        <v>4763</v>
      </c>
      <c r="B169" s="22" t="s">
        <v>4764</v>
      </c>
      <c r="C169" s="2">
        <v>1</v>
      </c>
      <c r="D169" s="23">
        <v>30</v>
      </c>
      <c r="E169" s="3">
        <v>30</v>
      </c>
      <c r="F169" s="2" t="s">
        <v>8102</v>
      </c>
      <c r="G169" s="22"/>
      <c r="H169" s="24" t="s">
        <v>19538</v>
      </c>
      <c r="I169" s="22" t="s">
        <v>19309</v>
      </c>
      <c r="J169" s="22" t="s">
        <v>19417</v>
      </c>
      <c r="K169" s="22" t="s">
        <v>18317</v>
      </c>
      <c r="L169" s="22"/>
      <c r="M169" s="22"/>
      <c r="N169" s="25" t="str">
        <f>HYPERLINK("http://slimages.macys.com/is/image/MCY/21615008 ")</f>
        <v xml:space="preserve">http://slimages.macys.com/is/image/MCY/21615008 </v>
      </c>
    </row>
    <row r="170" spans="1:14" x14ac:dyDescent="0.25">
      <c r="A170" s="21" t="s">
        <v>4765</v>
      </c>
      <c r="B170" s="22" t="s">
        <v>4766</v>
      </c>
      <c r="C170" s="2">
        <v>1</v>
      </c>
      <c r="D170" s="23">
        <v>30</v>
      </c>
      <c r="E170" s="3">
        <v>30</v>
      </c>
      <c r="F170" s="2" t="s">
        <v>8102</v>
      </c>
      <c r="G170" s="22"/>
      <c r="H170" s="24" t="s">
        <v>19384</v>
      </c>
      <c r="I170" s="22" t="s">
        <v>19309</v>
      </c>
      <c r="J170" s="22" t="s">
        <v>19417</v>
      </c>
      <c r="K170" s="22" t="s">
        <v>18317</v>
      </c>
      <c r="L170" s="22"/>
      <c r="M170" s="22"/>
      <c r="N170" s="25" t="str">
        <f>HYPERLINK("http://slimages.macys.com/is/image/MCY/21615008 ")</f>
        <v xml:space="preserve">http://slimages.macys.com/is/image/MCY/21615008 </v>
      </c>
    </row>
    <row r="171" spans="1:14" x14ac:dyDescent="0.25">
      <c r="A171" s="21" t="s">
        <v>8272</v>
      </c>
      <c r="B171" s="22" t="s">
        <v>8273</v>
      </c>
      <c r="C171" s="2">
        <v>1</v>
      </c>
      <c r="D171" s="23">
        <v>30</v>
      </c>
      <c r="E171" s="3">
        <v>30</v>
      </c>
      <c r="F171" s="2" t="s">
        <v>8274</v>
      </c>
      <c r="G171" s="22" t="s">
        <v>19333</v>
      </c>
      <c r="H171" s="24" t="s">
        <v>19324</v>
      </c>
      <c r="I171" s="22" t="s">
        <v>19309</v>
      </c>
      <c r="J171" s="22" t="s">
        <v>19417</v>
      </c>
      <c r="K171" s="22" t="s">
        <v>18317</v>
      </c>
      <c r="L171" s="22"/>
      <c r="M171" s="22"/>
      <c r="N171" s="25" t="str">
        <f>HYPERLINK("http://slimages.macys.com/is/image/MCY/22226507 ")</f>
        <v xml:space="preserve">http://slimages.macys.com/is/image/MCY/22226507 </v>
      </c>
    </row>
    <row r="172" spans="1:14" x14ac:dyDescent="0.25">
      <c r="A172" s="21" t="s">
        <v>4767</v>
      </c>
      <c r="B172" s="22" t="s">
        <v>4768</v>
      </c>
      <c r="C172" s="2">
        <v>1</v>
      </c>
      <c r="D172" s="23">
        <v>30</v>
      </c>
      <c r="E172" s="3">
        <v>30</v>
      </c>
      <c r="F172" s="2" t="s">
        <v>4769</v>
      </c>
      <c r="G172" s="22" t="s">
        <v>19333</v>
      </c>
      <c r="H172" s="24" t="s">
        <v>15738</v>
      </c>
      <c r="I172" s="22" t="s">
        <v>19309</v>
      </c>
      <c r="J172" s="22" t="s">
        <v>19417</v>
      </c>
      <c r="K172" s="22" t="s">
        <v>18317</v>
      </c>
      <c r="L172" s="22"/>
      <c r="M172" s="22"/>
      <c r="N172" s="25" t="str">
        <f>HYPERLINK("http://slimages.macys.com/is/image/MCY/22226507 ")</f>
        <v xml:space="preserve">http://slimages.macys.com/is/image/MCY/22226507 </v>
      </c>
    </row>
    <row r="173" spans="1:14" x14ac:dyDescent="0.25">
      <c r="A173" s="21" t="s">
        <v>8103</v>
      </c>
      <c r="B173" s="22" t="s">
        <v>8104</v>
      </c>
      <c r="C173" s="2">
        <v>4</v>
      </c>
      <c r="D173" s="23">
        <v>30</v>
      </c>
      <c r="E173" s="3">
        <v>120</v>
      </c>
      <c r="F173" s="2" t="s">
        <v>8105</v>
      </c>
      <c r="G173" s="22" t="s">
        <v>19333</v>
      </c>
      <c r="H173" s="24"/>
      <c r="I173" s="22" t="s">
        <v>19309</v>
      </c>
      <c r="J173" s="22" t="s">
        <v>19417</v>
      </c>
      <c r="K173" s="22" t="s">
        <v>18317</v>
      </c>
      <c r="L173" s="22"/>
      <c r="M173" s="22"/>
      <c r="N173" s="25" t="str">
        <f>HYPERLINK("http://slimages.macys.com/is/image/MCY/22226519 ")</f>
        <v xml:space="preserve">http://slimages.macys.com/is/image/MCY/22226519 </v>
      </c>
    </row>
    <row r="174" spans="1:14" x14ac:dyDescent="0.25">
      <c r="A174" s="21" t="s">
        <v>12175</v>
      </c>
      <c r="B174" s="22" t="s">
        <v>12176</v>
      </c>
      <c r="C174" s="2">
        <v>7</v>
      </c>
      <c r="D174" s="23">
        <v>30</v>
      </c>
      <c r="E174" s="3">
        <v>210</v>
      </c>
      <c r="F174" s="2" t="s">
        <v>12177</v>
      </c>
      <c r="G174" s="22" t="s">
        <v>19357</v>
      </c>
      <c r="H174" s="24"/>
      <c r="I174" s="22" t="s">
        <v>19309</v>
      </c>
      <c r="J174" s="22" t="s">
        <v>19417</v>
      </c>
      <c r="K174" s="22" t="s">
        <v>18317</v>
      </c>
      <c r="L174" s="22"/>
      <c r="M174" s="22"/>
      <c r="N174" s="25" t="str">
        <f>HYPERLINK("http://slimages.macys.com/is/image/MCY/21615012 ")</f>
        <v xml:space="preserve">http://slimages.macys.com/is/image/MCY/21615012 </v>
      </c>
    </row>
    <row r="175" spans="1:14" x14ac:dyDescent="0.25">
      <c r="A175" s="21" t="s">
        <v>11042</v>
      </c>
      <c r="B175" s="22" t="s">
        <v>11043</v>
      </c>
      <c r="C175" s="2">
        <v>9</v>
      </c>
      <c r="D175" s="23">
        <v>30</v>
      </c>
      <c r="E175" s="3">
        <v>270</v>
      </c>
      <c r="F175" s="2" t="s">
        <v>11044</v>
      </c>
      <c r="G175" s="22" t="s">
        <v>19333</v>
      </c>
      <c r="H175" s="24"/>
      <c r="I175" s="22" t="s">
        <v>19309</v>
      </c>
      <c r="J175" s="22" t="s">
        <v>19417</v>
      </c>
      <c r="K175" s="22" t="s">
        <v>18317</v>
      </c>
      <c r="L175" s="22"/>
      <c r="M175" s="22"/>
      <c r="N175" s="25" t="str">
        <f>HYPERLINK("http://slimages.macys.com/is/image/MCY/22226519 ")</f>
        <v xml:space="preserve">http://slimages.macys.com/is/image/MCY/22226519 </v>
      </c>
    </row>
    <row r="176" spans="1:14" x14ac:dyDescent="0.25">
      <c r="A176" s="21" t="s">
        <v>4770</v>
      </c>
      <c r="B176" s="22" t="s">
        <v>4771</v>
      </c>
      <c r="C176" s="2">
        <v>10</v>
      </c>
      <c r="D176" s="23">
        <v>30</v>
      </c>
      <c r="E176" s="3">
        <v>300</v>
      </c>
      <c r="F176" s="2" t="s">
        <v>4772</v>
      </c>
      <c r="G176" s="22" t="s">
        <v>19594</v>
      </c>
      <c r="H176" s="24" t="s">
        <v>19324</v>
      </c>
      <c r="I176" s="22" t="s">
        <v>19309</v>
      </c>
      <c r="J176" s="22" t="s">
        <v>19417</v>
      </c>
      <c r="K176" s="22" t="s">
        <v>18317</v>
      </c>
      <c r="L176" s="22"/>
      <c r="M176" s="22"/>
      <c r="N176" s="25" t="str">
        <f>HYPERLINK("http://slimages.macys.com/is/image/MCY/21615012 ")</f>
        <v xml:space="preserve">http://slimages.macys.com/is/image/MCY/21615012 </v>
      </c>
    </row>
    <row r="177" spans="1:14" x14ac:dyDescent="0.25">
      <c r="A177" s="21" t="s">
        <v>4773</v>
      </c>
      <c r="B177" s="22" t="s">
        <v>4774</v>
      </c>
      <c r="C177" s="2">
        <v>1</v>
      </c>
      <c r="D177" s="23">
        <v>30</v>
      </c>
      <c r="E177" s="3">
        <v>30</v>
      </c>
      <c r="F177" s="2" t="s">
        <v>4772</v>
      </c>
      <c r="G177" s="22" t="s">
        <v>19594</v>
      </c>
      <c r="H177" s="24" t="s">
        <v>19416</v>
      </c>
      <c r="I177" s="22" t="s">
        <v>19309</v>
      </c>
      <c r="J177" s="22" t="s">
        <v>19417</v>
      </c>
      <c r="K177" s="22" t="s">
        <v>18317</v>
      </c>
      <c r="L177" s="22"/>
      <c r="M177" s="22"/>
      <c r="N177" s="25" t="str">
        <f>HYPERLINK("http://slimages.macys.com/is/image/MCY/21615012 ")</f>
        <v xml:space="preserve">http://slimages.macys.com/is/image/MCY/21615012 </v>
      </c>
    </row>
    <row r="178" spans="1:14" x14ac:dyDescent="0.25">
      <c r="A178" s="21" t="s">
        <v>6820</v>
      </c>
      <c r="B178" s="22" t="s">
        <v>6821</v>
      </c>
      <c r="C178" s="2">
        <v>18</v>
      </c>
      <c r="D178" s="23">
        <v>16.989999999999998</v>
      </c>
      <c r="E178" s="3">
        <v>305.82</v>
      </c>
      <c r="F178" s="2" t="s">
        <v>11061</v>
      </c>
      <c r="G178" s="22" t="s">
        <v>19462</v>
      </c>
      <c r="H178" s="24" t="s">
        <v>19352</v>
      </c>
      <c r="I178" s="22" t="s">
        <v>19309</v>
      </c>
      <c r="J178" s="22" t="s">
        <v>19849</v>
      </c>
      <c r="K178" s="22" t="s">
        <v>19850</v>
      </c>
      <c r="L178" s="22"/>
      <c r="M178" s="22"/>
      <c r="N178" s="25" t="str">
        <f>HYPERLINK("http://slimages.macys.com/is/image/MCY/1553435 ")</f>
        <v xml:space="preserve">http://slimages.macys.com/is/image/MCY/1553435 </v>
      </c>
    </row>
    <row r="179" spans="1:14" x14ac:dyDescent="0.25">
      <c r="A179" s="21" t="s">
        <v>4775</v>
      </c>
      <c r="B179" s="22" t="s">
        <v>4776</v>
      </c>
      <c r="C179" s="2">
        <v>1</v>
      </c>
      <c r="D179" s="23">
        <v>16.989999999999998</v>
      </c>
      <c r="E179" s="3">
        <v>16.989999999999998</v>
      </c>
      <c r="F179" s="2" t="s">
        <v>11061</v>
      </c>
      <c r="G179" s="22" t="s">
        <v>19674</v>
      </c>
      <c r="H179" s="24" t="s">
        <v>19797</v>
      </c>
      <c r="I179" s="22" t="s">
        <v>19309</v>
      </c>
      <c r="J179" s="22" t="s">
        <v>19849</v>
      </c>
      <c r="K179" s="22" t="s">
        <v>19850</v>
      </c>
      <c r="L179" s="22"/>
      <c r="M179" s="22"/>
      <c r="N179" s="25" t="str">
        <f>HYPERLINK("http://slimages.macys.com/is/image/MCY/21250910 ")</f>
        <v xml:space="preserve">http://slimages.macys.com/is/image/MCY/21250910 </v>
      </c>
    </row>
    <row r="180" spans="1:14" x14ac:dyDescent="0.25">
      <c r="A180" s="21" t="s">
        <v>8275</v>
      </c>
      <c r="B180" s="22" t="s">
        <v>8276</v>
      </c>
      <c r="C180" s="2">
        <v>3</v>
      </c>
      <c r="D180" s="23">
        <v>16.989999999999998</v>
      </c>
      <c r="E180" s="3">
        <v>50.97</v>
      </c>
      <c r="F180" s="2" t="s">
        <v>16133</v>
      </c>
      <c r="G180" s="22" t="s">
        <v>19357</v>
      </c>
      <c r="H180" s="24" t="s">
        <v>19797</v>
      </c>
      <c r="I180" s="22" t="s">
        <v>19309</v>
      </c>
      <c r="J180" s="22" t="s">
        <v>19849</v>
      </c>
      <c r="K180" s="22" t="s">
        <v>19850</v>
      </c>
      <c r="L180" s="22"/>
      <c r="M180" s="22"/>
      <c r="N180" s="25" t="str">
        <f>HYPERLINK("http://slimages.macys.com/is/image/MCY/18685353 ")</f>
        <v xml:space="preserve">http://slimages.macys.com/is/image/MCY/18685353 </v>
      </c>
    </row>
    <row r="181" spans="1:14" x14ac:dyDescent="0.25">
      <c r="A181" s="21" t="s">
        <v>4777</v>
      </c>
      <c r="B181" s="22" t="s">
        <v>4778</v>
      </c>
      <c r="C181" s="2">
        <v>1</v>
      </c>
      <c r="D181" s="23">
        <v>12.77</v>
      </c>
      <c r="E181" s="3">
        <v>12.77</v>
      </c>
      <c r="F181" s="2" t="s">
        <v>4779</v>
      </c>
      <c r="G181" s="22" t="s">
        <v>19670</v>
      </c>
      <c r="H181" s="24" t="s">
        <v>18168</v>
      </c>
      <c r="I181" s="22" t="s">
        <v>19309</v>
      </c>
      <c r="J181" s="22" t="s">
        <v>19708</v>
      </c>
      <c r="K181" s="22" t="s">
        <v>19709</v>
      </c>
      <c r="L181" s="22"/>
      <c r="M181" s="22"/>
      <c r="N181" s="25" t="str">
        <f>HYPERLINK("http://slimages.macys.com/is/image/MCY/16974321 ")</f>
        <v xml:space="preserve">http://slimages.macys.com/is/image/MCY/16974321 </v>
      </c>
    </row>
    <row r="182" spans="1:14" ht="24.75" x14ac:dyDescent="0.25">
      <c r="A182" s="21" t="s">
        <v>4780</v>
      </c>
      <c r="B182" s="22" t="s">
        <v>4781</v>
      </c>
      <c r="C182" s="2">
        <v>2</v>
      </c>
      <c r="D182" s="23">
        <v>14.22</v>
      </c>
      <c r="E182" s="3">
        <v>28.44</v>
      </c>
      <c r="F182" s="2" t="s">
        <v>4782</v>
      </c>
      <c r="G182" s="22"/>
      <c r="H182" s="24"/>
      <c r="I182" s="22" t="s">
        <v>19309</v>
      </c>
      <c r="J182" s="22" t="s">
        <v>19602</v>
      </c>
      <c r="K182" s="22" t="s">
        <v>20041</v>
      </c>
      <c r="L182" s="22"/>
      <c r="M182" s="22"/>
      <c r="N182" s="25" t="str">
        <f>HYPERLINK("http://slimages.macys.com/is/image/MCY/19371767 ")</f>
        <v xml:space="preserve">http://slimages.macys.com/is/image/MCY/19371767 </v>
      </c>
    </row>
    <row r="183" spans="1:14" ht="24.75" x14ac:dyDescent="0.25">
      <c r="A183" s="21" t="s">
        <v>8115</v>
      </c>
      <c r="B183" s="22" t="s">
        <v>8116</v>
      </c>
      <c r="C183" s="2">
        <v>16</v>
      </c>
      <c r="D183" s="23">
        <v>24.5</v>
      </c>
      <c r="E183" s="3">
        <v>392</v>
      </c>
      <c r="F183" s="2" t="s">
        <v>8113</v>
      </c>
      <c r="G183" s="22" t="s">
        <v>19618</v>
      </c>
      <c r="H183" s="24"/>
      <c r="I183" s="22" t="s">
        <v>19309</v>
      </c>
      <c r="J183" s="22" t="s">
        <v>19613</v>
      </c>
      <c r="K183" s="22" t="s">
        <v>19614</v>
      </c>
      <c r="L183" s="22"/>
      <c r="M183" s="22"/>
      <c r="N183" s="25" t="str">
        <f>HYPERLINK("http://slimages.macys.com/is/image/MCY/21035738 ")</f>
        <v xml:space="preserve">http://slimages.macys.com/is/image/MCY/21035738 </v>
      </c>
    </row>
    <row r="184" spans="1:14" ht="24.75" x14ac:dyDescent="0.25">
      <c r="A184" s="21" t="s">
        <v>8111</v>
      </c>
      <c r="B184" s="22" t="s">
        <v>8112</v>
      </c>
      <c r="C184" s="2">
        <v>1</v>
      </c>
      <c r="D184" s="23">
        <v>24.5</v>
      </c>
      <c r="E184" s="3">
        <v>24.5</v>
      </c>
      <c r="F184" s="2" t="s">
        <v>8113</v>
      </c>
      <c r="G184" s="22" t="s">
        <v>19618</v>
      </c>
      <c r="H184" s="24"/>
      <c r="I184" s="22" t="s">
        <v>19309</v>
      </c>
      <c r="J184" s="22" t="s">
        <v>19613</v>
      </c>
      <c r="K184" s="22" t="s">
        <v>19614</v>
      </c>
      <c r="L184" s="22"/>
      <c r="M184" s="22"/>
      <c r="N184" s="25" t="str">
        <f>HYPERLINK("http://slimages.macys.com/is/image/MCY/21035738 ")</f>
        <v xml:space="preserve">http://slimages.macys.com/is/image/MCY/21035738 </v>
      </c>
    </row>
    <row r="185" spans="1:14" ht="24.75" x14ac:dyDescent="0.25">
      <c r="A185" s="21" t="s">
        <v>4783</v>
      </c>
      <c r="B185" s="22" t="s">
        <v>4784</v>
      </c>
      <c r="C185" s="2">
        <v>2</v>
      </c>
      <c r="D185" s="23">
        <v>24.5</v>
      </c>
      <c r="E185" s="3">
        <v>49</v>
      </c>
      <c r="F185" s="2" t="s">
        <v>4785</v>
      </c>
      <c r="G185" s="22" t="s">
        <v>18764</v>
      </c>
      <c r="H185" s="24" t="s">
        <v>19334</v>
      </c>
      <c r="I185" s="22" t="s">
        <v>19309</v>
      </c>
      <c r="J185" s="22" t="s">
        <v>19688</v>
      </c>
      <c r="K185" s="22" t="s">
        <v>19614</v>
      </c>
      <c r="L185" s="22"/>
      <c r="M185" s="22"/>
      <c r="N185" s="25" t="str">
        <f>HYPERLINK("http://slimages.macys.com/is/image/MCY/21965046 ")</f>
        <v xml:space="preserve">http://slimages.macys.com/is/image/MCY/21965046 </v>
      </c>
    </row>
    <row r="186" spans="1:14" ht="24.75" x14ac:dyDescent="0.25">
      <c r="A186" s="21" t="s">
        <v>4786</v>
      </c>
      <c r="B186" s="22" t="s">
        <v>4787</v>
      </c>
      <c r="C186" s="2">
        <v>2</v>
      </c>
      <c r="D186" s="23">
        <v>24.5</v>
      </c>
      <c r="E186" s="3">
        <v>49</v>
      </c>
      <c r="F186" s="2" t="s">
        <v>11069</v>
      </c>
      <c r="G186" s="22" t="s">
        <v>18764</v>
      </c>
      <c r="H186" s="24" t="s">
        <v>19345</v>
      </c>
      <c r="I186" s="22" t="s">
        <v>19309</v>
      </c>
      <c r="J186" s="22" t="s">
        <v>19688</v>
      </c>
      <c r="K186" s="22" t="s">
        <v>19614</v>
      </c>
      <c r="L186" s="22"/>
      <c r="M186" s="22"/>
      <c r="N186" s="25" t="str">
        <f>HYPERLINK("http://slimages.macys.com/is/image/MCY/21589145 ")</f>
        <v xml:space="preserve">http://slimages.macys.com/is/image/MCY/21589145 </v>
      </c>
    </row>
    <row r="187" spans="1:14" ht="24.75" x14ac:dyDescent="0.25">
      <c r="A187" s="21" t="s">
        <v>11067</v>
      </c>
      <c r="B187" s="22" t="s">
        <v>11068</v>
      </c>
      <c r="C187" s="2">
        <v>1</v>
      </c>
      <c r="D187" s="23">
        <v>24.5</v>
      </c>
      <c r="E187" s="3">
        <v>24.5</v>
      </c>
      <c r="F187" s="2" t="s">
        <v>11069</v>
      </c>
      <c r="G187" s="22" t="s">
        <v>18764</v>
      </c>
      <c r="H187" s="24" t="s">
        <v>19334</v>
      </c>
      <c r="I187" s="22" t="s">
        <v>19309</v>
      </c>
      <c r="J187" s="22" t="s">
        <v>19688</v>
      </c>
      <c r="K187" s="22" t="s">
        <v>19614</v>
      </c>
      <c r="L187" s="22"/>
      <c r="M187" s="22"/>
      <c r="N187" s="25" t="str">
        <f>HYPERLINK("http://slimages.macys.com/is/image/MCY/21589145 ")</f>
        <v xml:space="preserve">http://slimages.macys.com/is/image/MCY/21589145 </v>
      </c>
    </row>
    <row r="188" spans="1:14" ht="24.75" x14ac:dyDescent="0.25">
      <c r="A188" s="21" t="s">
        <v>8899</v>
      </c>
      <c r="B188" s="22" t="s">
        <v>8900</v>
      </c>
      <c r="C188" s="2">
        <v>1</v>
      </c>
      <c r="D188" s="23">
        <v>15.99</v>
      </c>
      <c r="E188" s="3">
        <v>15.99</v>
      </c>
      <c r="F188" s="2" t="s">
        <v>20323</v>
      </c>
      <c r="G188" s="22" t="s">
        <v>19415</v>
      </c>
      <c r="H188" s="24"/>
      <c r="I188" s="22" t="s">
        <v>19309</v>
      </c>
      <c r="J188" s="22" t="s">
        <v>19573</v>
      </c>
      <c r="K188" s="22" t="s">
        <v>19574</v>
      </c>
      <c r="L188" s="22"/>
      <c r="M188" s="22"/>
      <c r="N188" s="25" t="str">
        <f>HYPERLINK("http://slimages.macys.com/is/image/MCY/20757473 ")</f>
        <v xml:space="preserve">http://slimages.macys.com/is/image/MCY/20757473 </v>
      </c>
    </row>
    <row r="189" spans="1:14" ht="24.75" x14ac:dyDescent="0.25">
      <c r="A189" s="21" t="s">
        <v>4788</v>
      </c>
      <c r="B189" s="22" t="s">
        <v>4789</v>
      </c>
      <c r="C189" s="2">
        <v>1</v>
      </c>
      <c r="D189" s="23">
        <v>13.62</v>
      </c>
      <c r="E189" s="3">
        <v>13.62</v>
      </c>
      <c r="F189" s="2" t="s">
        <v>4790</v>
      </c>
      <c r="G189" s="22"/>
      <c r="H189" s="24" t="s">
        <v>19345</v>
      </c>
      <c r="I189" s="22" t="s">
        <v>19309</v>
      </c>
      <c r="J189" s="22" t="s">
        <v>19602</v>
      </c>
      <c r="K189" s="22" t="s">
        <v>20041</v>
      </c>
      <c r="L189" s="22"/>
      <c r="M189" s="22"/>
      <c r="N189" s="25" t="str">
        <f>HYPERLINK("http://slimages.macys.com/is/image/MCY/20193849 ")</f>
        <v xml:space="preserve">http://slimages.macys.com/is/image/MCY/20193849 </v>
      </c>
    </row>
    <row r="190" spans="1:14" x14ac:dyDescent="0.25">
      <c r="A190" s="21" t="s">
        <v>4791</v>
      </c>
      <c r="B190" s="22" t="s">
        <v>4792</v>
      </c>
      <c r="C190" s="2">
        <v>1</v>
      </c>
      <c r="D190" s="23">
        <v>21.99</v>
      </c>
      <c r="E190" s="3">
        <v>21.99</v>
      </c>
      <c r="F190" s="2" t="s">
        <v>4793</v>
      </c>
      <c r="G190" s="22" t="s">
        <v>19315</v>
      </c>
      <c r="H190" s="24" t="s">
        <v>19364</v>
      </c>
      <c r="I190" s="22" t="s">
        <v>19309</v>
      </c>
      <c r="J190" s="22" t="s">
        <v>19849</v>
      </c>
      <c r="K190" s="22" t="s">
        <v>19850</v>
      </c>
      <c r="L190" s="22"/>
      <c r="M190" s="22"/>
      <c r="N190" s="25" t="str">
        <f>HYPERLINK("http://slimages.macys.com/is/image/MCY/19975551 ")</f>
        <v xml:space="preserve">http://slimages.macys.com/is/image/MCY/19975551 </v>
      </c>
    </row>
    <row r="191" spans="1:14" x14ac:dyDescent="0.25">
      <c r="A191" s="21" t="s">
        <v>8282</v>
      </c>
      <c r="B191" s="22" t="s">
        <v>8283</v>
      </c>
      <c r="C191" s="2">
        <v>36</v>
      </c>
      <c r="D191" s="23">
        <v>22</v>
      </c>
      <c r="E191" s="3">
        <v>792</v>
      </c>
      <c r="F191" s="2" t="s">
        <v>9569</v>
      </c>
      <c r="G191" s="22" t="s">
        <v>19333</v>
      </c>
      <c r="H191" s="24"/>
      <c r="I191" s="22" t="s">
        <v>19309</v>
      </c>
      <c r="J191" s="22" t="s">
        <v>19417</v>
      </c>
      <c r="K191" s="22" t="s">
        <v>20110</v>
      </c>
      <c r="L191" s="22"/>
      <c r="M191" s="22"/>
      <c r="N191" s="25" t="str">
        <f>HYPERLINK("http://slimages.macys.com/is/image/MCY/21551778 ")</f>
        <v xml:space="preserve">http://slimages.macys.com/is/image/MCY/21551778 </v>
      </c>
    </row>
    <row r="192" spans="1:14" ht="24.75" x14ac:dyDescent="0.25">
      <c r="A192" s="21" t="s">
        <v>4794</v>
      </c>
      <c r="B192" s="22" t="s">
        <v>4795</v>
      </c>
      <c r="C192" s="2">
        <v>1</v>
      </c>
      <c r="D192" s="23">
        <v>26</v>
      </c>
      <c r="E192" s="3">
        <v>26</v>
      </c>
      <c r="F192" s="2" t="s">
        <v>4796</v>
      </c>
      <c r="G192" s="22" t="s">
        <v>19431</v>
      </c>
      <c r="H192" s="24" t="s">
        <v>19334</v>
      </c>
      <c r="I192" s="22" t="s">
        <v>19309</v>
      </c>
      <c r="J192" s="22" t="s">
        <v>19519</v>
      </c>
      <c r="K192" s="22" t="s">
        <v>18406</v>
      </c>
      <c r="L192" s="22"/>
      <c r="M192" s="22"/>
      <c r="N192" s="25" t="str">
        <f>HYPERLINK("http://slimages.macys.com/is/image/MCY/21266010 ")</f>
        <v xml:space="preserve">http://slimages.macys.com/is/image/MCY/21266010 </v>
      </c>
    </row>
    <row r="193" spans="1:14" ht="24.75" x14ac:dyDescent="0.25">
      <c r="A193" s="21" t="s">
        <v>11085</v>
      </c>
      <c r="B193" s="22" t="s">
        <v>11086</v>
      </c>
      <c r="C193" s="2">
        <v>17</v>
      </c>
      <c r="D193" s="23">
        <v>22.5</v>
      </c>
      <c r="E193" s="3">
        <v>382.5</v>
      </c>
      <c r="F193" s="2" t="s">
        <v>13234</v>
      </c>
      <c r="G193" s="22" t="s">
        <v>19351</v>
      </c>
      <c r="H193" s="24" t="s">
        <v>19334</v>
      </c>
      <c r="I193" s="22" t="s">
        <v>19309</v>
      </c>
      <c r="J193" s="22" t="s">
        <v>19688</v>
      </c>
      <c r="K193" s="22" t="s">
        <v>19614</v>
      </c>
      <c r="L193" s="22"/>
      <c r="M193" s="22"/>
      <c r="N193" s="25" t="str">
        <f>HYPERLINK("http://slimages.macys.com/is/image/MCY/21035870 ")</f>
        <v xml:space="preserve">http://slimages.macys.com/is/image/MCY/21035870 </v>
      </c>
    </row>
    <row r="194" spans="1:14" x14ac:dyDescent="0.25">
      <c r="A194" s="21" t="s">
        <v>8909</v>
      </c>
      <c r="B194" s="22" t="s">
        <v>8910</v>
      </c>
      <c r="C194" s="2">
        <v>1</v>
      </c>
      <c r="D194" s="23">
        <v>22.5</v>
      </c>
      <c r="E194" s="3">
        <v>22.5</v>
      </c>
      <c r="F194" s="2" t="s">
        <v>11081</v>
      </c>
      <c r="G194" s="22" t="s">
        <v>19618</v>
      </c>
      <c r="H194" s="24" t="s">
        <v>19361</v>
      </c>
      <c r="I194" s="22" t="s">
        <v>19309</v>
      </c>
      <c r="J194" s="22" t="s">
        <v>19688</v>
      </c>
      <c r="K194" s="22" t="s">
        <v>19614</v>
      </c>
      <c r="L194" s="22"/>
      <c r="M194" s="22"/>
      <c r="N194" s="25" t="str">
        <f>HYPERLINK("http://slimages.macys.com/is/image/MCY/21035860 ")</f>
        <v xml:space="preserve">http://slimages.macys.com/is/image/MCY/21035860 </v>
      </c>
    </row>
    <row r="195" spans="1:14" ht="24.75" x14ac:dyDescent="0.25">
      <c r="A195" s="21" t="s">
        <v>8295</v>
      </c>
      <c r="B195" s="22" t="s">
        <v>8296</v>
      </c>
      <c r="C195" s="2">
        <v>15</v>
      </c>
      <c r="D195" s="23">
        <v>22.5</v>
      </c>
      <c r="E195" s="3">
        <v>337.5</v>
      </c>
      <c r="F195" s="2" t="s">
        <v>16184</v>
      </c>
      <c r="G195" s="22" t="s">
        <v>19528</v>
      </c>
      <c r="H195" s="24" t="s">
        <v>19395</v>
      </c>
      <c r="I195" s="22" t="s">
        <v>19309</v>
      </c>
      <c r="J195" s="22" t="s">
        <v>19688</v>
      </c>
      <c r="K195" s="22" t="s">
        <v>19614</v>
      </c>
      <c r="L195" s="22"/>
      <c r="M195" s="22"/>
      <c r="N195" s="25" t="str">
        <f>HYPERLINK("http://slimages.macys.com/is/image/MCY/21035886 ")</f>
        <v xml:space="preserve">http://slimages.macys.com/is/image/MCY/21035886 </v>
      </c>
    </row>
    <row r="196" spans="1:14" x14ac:dyDescent="0.25">
      <c r="A196" s="21" t="s">
        <v>4797</v>
      </c>
      <c r="B196" s="22" t="s">
        <v>4798</v>
      </c>
      <c r="C196" s="2">
        <v>1</v>
      </c>
      <c r="D196" s="23">
        <v>22.5</v>
      </c>
      <c r="E196" s="3">
        <v>22.5</v>
      </c>
      <c r="F196" s="2" t="s">
        <v>11089</v>
      </c>
      <c r="G196" s="22" t="s">
        <v>19618</v>
      </c>
      <c r="H196" s="24" t="s">
        <v>19542</v>
      </c>
      <c r="I196" s="22" t="s">
        <v>19309</v>
      </c>
      <c r="J196" s="22" t="s">
        <v>19688</v>
      </c>
      <c r="K196" s="22" t="s">
        <v>19614</v>
      </c>
      <c r="L196" s="22"/>
      <c r="M196" s="22"/>
      <c r="N196" s="25" t="str">
        <f>HYPERLINK("http://slimages.macys.com/is/image/MCY/21035880 ")</f>
        <v xml:space="preserve">http://slimages.macys.com/is/image/MCY/21035880 </v>
      </c>
    </row>
    <row r="197" spans="1:14" ht="24.75" x14ac:dyDescent="0.25">
      <c r="A197" s="21" t="s">
        <v>8297</v>
      </c>
      <c r="B197" s="22" t="s">
        <v>8298</v>
      </c>
      <c r="C197" s="2">
        <v>39</v>
      </c>
      <c r="D197" s="23">
        <v>22.5</v>
      </c>
      <c r="E197" s="3">
        <v>877.5</v>
      </c>
      <c r="F197" s="2" t="s">
        <v>9576</v>
      </c>
      <c r="G197" s="22" t="s">
        <v>19415</v>
      </c>
      <c r="H197" s="24" t="s">
        <v>19334</v>
      </c>
      <c r="I197" s="22" t="s">
        <v>19309</v>
      </c>
      <c r="J197" s="22" t="s">
        <v>19688</v>
      </c>
      <c r="K197" s="22" t="s">
        <v>19614</v>
      </c>
      <c r="L197" s="22"/>
      <c r="M197" s="22"/>
      <c r="N197" s="25" t="str">
        <f>HYPERLINK("http://slimages.macys.com/is/image/MCY/21035858 ")</f>
        <v xml:space="preserve">http://slimages.macys.com/is/image/MCY/21035858 </v>
      </c>
    </row>
    <row r="198" spans="1:14" x14ac:dyDescent="0.25">
      <c r="A198" s="21" t="s">
        <v>8293</v>
      </c>
      <c r="B198" s="22" t="s">
        <v>8294</v>
      </c>
      <c r="C198" s="2">
        <v>26</v>
      </c>
      <c r="D198" s="23">
        <v>22.5</v>
      </c>
      <c r="E198" s="3">
        <v>585</v>
      </c>
      <c r="F198" s="2" t="s">
        <v>9576</v>
      </c>
      <c r="G198" s="22" t="s">
        <v>19415</v>
      </c>
      <c r="H198" s="24" t="s">
        <v>19542</v>
      </c>
      <c r="I198" s="22" t="s">
        <v>19309</v>
      </c>
      <c r="J198" s="22" t="s">
        <v>19688</v>
      </c>
      <c r="K198" s="22" t="s">
        <v>19614</v>
      </c>
      <c r="L198" s="22"/>
      <c r="M198" s="22"/>
      <c r="N198" s="25" t="str">
        <f>HYPERLINK("http://slimages.macys.com/is/image/MCY/21035860 ")</f>
        <v xml:space="preserve">http://slimages.macys.com/is/image/MCY/21035860 </v>
      </c>
    </row>
    <row r="199" spans="1:14" ht="24.75" x14ac:dyDescent="0.25">
      <c r="A199" s="21" t="s">
        <v>8299</v>
      </c>
      <c r="B199" s="22" t="s">
        <v>8300</v>
      </c>
      <c r="C199" s="2">
        <v>28</v>
      </c>
      <c r="D199" s="23">
        <v>22.5</v>
      </c>
      <c r="E199" s="3">
        <v>630</v>
      </c>
      <c r="F199" s="2" t="s">
        <v>9576</v>
      </c>
      <c r="G199" s="22" t="s">
        <v>19415</v>
      </c>
      <c r="H199" s="24" t="s">
        <v>19345</v>
      </c>
      <c r="I199" s="22" t="s">
        <v>19309</v>
      </c>
      <c r="J199" s="22" t="s">
        <v>19688</v>
      </c>
      <c r="K199" s="22" t="s">
        <v>19614</v>
      </c>
      <c r="L199" s="22"/>
      <c r="M199" s="22"/>
      <c r="N199" s="25" t="str">
        <f>HYPERLINK("http://slimages.macys.com/is/image/MCY/21035858 ")</f>
        <v xml:space="preserve">http://slimages.macys.com/is/image/MCY/21035858 </v>
      </c>
    </row>
    <row r="200" spans="1:14" x14ac:dyDescent="0.25">
      <c r="A200" s="21" t="s">
        <v>4799</v>
      </c>
      <c r="B200" s="22" t="s">
        <v>4800</v>
      </c>
      <c r="C200" s="2">
        <v>17</v>
      </c>
      <c r="D200" s="23">
        <v>22.5</v>
      </c>
      <c r="E200" s="3">
        <v>382.5</v>
      </c>
      <c r="F200" s="2" t="s">
        <v>11081</v>
      </c>
      <c r="G200" s="22" t="s">
        <v>19618</v>
      </c>
      <c r="H200" s="24" t="s">
        <v>19432</v>
      </c>
      <c r="I200" s="22" t="s">
        <v>19309</v>
      </c>
      <c r="J200" s="22" t="s">
        <v>19688</v>
      </c>
      <c r="K200" s="22" t="s">
        <v>19614</v>
      </c>
      <c r="L200" s="22"/>
      <c r="M200" s="22"/>
      <c r="N200" s="25" t="str">
        <f>HYPERLINK("http://slimages.macys.com/is/image/MCY/21035860 ")</f>
        <v xml:space="preserve">http://slimages.macys.com/is/image/MCY/21035860 </v>
      </c>
    </row>
    <row r="201" spans="1:14" x14ac:dyDescent="0.25">
      <c r="A201" s="21" t="s">
        <v>9583</v>
      </c>
      <c r="B201" s="22" t="s">
        <v>9584</v>
      </c>
      <c r="C201" s="2">
        <v>30</v>
      </c>
      <c r="D201" s="23">
        <v>22.5</v>
      </c>
      <c r="E201" s="3">
        <v>675</v>
      </c>
      <c r="F201" s="2" t="s">
        <v>18338</v>
      </c>
      <c r="G201" s="22" t="s">
        <v>19351</v>
      </c>
      <c r="H201" s="24" t="s">
        <v>19395</v>
      </c>
      <c r="I201" s="22" t="s">
        <v>19309</v>
      </c>
      <c r="J201" s="22" t="s">
        <v>19688</v>
      </c>
      <c r="K201" s="22" t="s">
        <v>19614</v>
      </c>
      <c r="L201" s="22"/>
      <c r="M201" s="22"/>
      <c r="N201" s="25" t="str">
        <f>HYPERLINK("http://slimages.macys.com/is/image/MCY/21035864 ")</f>
        <v xml:space="preserve">http://slimages.macys.com/is/image/MCY/21035864 </v>
      </c>
    </row>
    <row r="202" spans="1:14" x14ac:dyDescent="0.25">
      <c r="A202" s="21" t="s">
        <v>8131</v>
      </c>
      <c r="B202" s="22" t="s">
        <v>8132</v>
      </c>
      <c r="C202" s="2">
        <v>29</v>
      </c>
      <c r="D202" s="23">
        <v>22.5</v>
      </c>
      <c r="E202" s="3">
        <v>652.5</v>
      </c>
      <c r="F202" s="2" t="s">
        <v>13234</v>
      </c>
      <c r="G202" s="22" t="s">
        <v>19351</v>
      </c>
      <c r="H202" s="24" t="s">
        <v>19542</v>
      </c>
      <c r="I202" s="22" t="s">
        <v>19309</v>
      </c>
      <c r="J202" s="22" t="s">
        <v>19688</v>
      </c>
      <c r="K202" s="22" t="s">
        <v>19614</v>
      </c>
      <c r="L202" s="22"/>
      <c r="M202" s="22"/>
      <c r="N202" s="25" t="str">
        <f>HYPERLINK("http://slimages.macys.com/is/image/MCY/21035872 ")</f>
        <v xml:space="preserve">http://slimages.macys.com/is/image/MCY/21035872 </v>
      </c>
    </row>
    <row r="203" spans="1:14" x14ac:dyDescent="0.25">
      <c r="A203" s="21" t="s">
        <v>4801</v>
      </c>
      <c r="B203" s="22" t="s">
        <v>4802</v>
      </c>
      <c r="C203" s="2">
        <v>2</v>
      </c>
      <c r="D203" s="23">
        <v>22.5</v>
      </c>
      <c r="E203" s="3">
        <v>45</v>
      </c>
      <c r="F203" s="2" t="s">
        <v>18338</v>
      </c>
      <c r="G203" s="22" t="s">
        <v>19351</v>
      </c>
      <c r="H203" s="24" t="s">
        <v>19432</v>
      </c>
      <c r="I203" s="22" t="s">
        <v>19309</v>
      </c>
      <c r="J203" s="22" t="s">
        <v>19688</v>
      </c>
      <c r="K203" s="22" t="s">
        <v>19614</v>
      </c>
      <c r="L203" s="22"/>
      <c r="M203" s="22"/>
      <c r="N203" s="25" t="str">
        <f>HYPERLINK("http://slimages.macys.com/is/image/MCY/21035864 ")</f>
        <v xml:space="preserve">http://slimages.macys.com/is/image/MCY/21035864 </v>
      </c>
    </row>
    <row r="204" spans="1:14" x14ac:dyDescent="0.25">
      <c r="A204" s="21" t="s">
        <v>8127</v>
      </c>
      <c r="B204" s="22" t="s">
        <v>8128</v>
      </c>
      <c r="C204" s="2">
        <v>10</v>
      </c>
      <c r="D204" s="23">
        <v>22.5</v>
      </c>
      <c r="E204" s="3">
        <v>225</v>
      </c>
      <c r="F204" s="2" t="s">
        <v>18338</v>
      </c>
      <c r="G204" s="22" t="s">
        <v>19351</v>
      </c>
      <c r="H204" s="24" t="s">
        <v>19361</v>
      </c>
      <c r="I204" s="22" t="s">
        <v>19309</v>
      </c>
      <c r="J204" s="22" t="s">
        <v>19688</v>
      </c>
      <c r="K204" s="22" t="s">
        <v>19614</v>
      </c>
      <c r="L204" s="22"/>
      <c r="M204" s="22"/>
      <c r="N204" s="25" t="str">
        <f>HYPERLINK("http://slimages.macys.com/is/image/MCY/21035864 ")</f>
        <v xml:space="preserve">http://slimages.macys.com/is/image/MCY/21035864 </v>
      </c>
    </row>
    <row r="205" spans="1:14" ht="24.75" x14ac:dyDescent="0.25">
      <c r="A205" s="21" t="s">
        <v>4803</v>
      </c>
      <c r="B205" s="22" t="s">
        <v>4804</v>
      </c>
      <c r="C205" s="2">
        <v>1</v>
      </c>
      <c r="D205" s="23">
        <v>11.99</v>
      </c>
      <c r="E205" s="3">
        <v>11.99</v>
      </c>
      <c r="F205" s="2" t="s">
        <v>4805</v>
      </c>
      <c r="G205" s="22" t="s">
        <v>19338</v>
      </c>
      <c r="H205" s="24" t="s">
        <v>19308</v>
      </c>
      <c r="I205" s="22" t="s">
        <v>19309</v>
      </c>
      <c r="J205" s="22" t="s">
        <v>19454</v>
      </c>
      <c r="K205" s="22" t="s">
        <v>18654</v>
      </c>
      <c r="L205" s="22"/>
      <c r="M205" s="22"/>
      <c r="N205" s="25" t="str">
        <f>HYPERLINK("http://slimages.macys.com/is/image/MCY/21047161 ")</f>
        <v xml:space="preserve">http://slimages.macys.com/is/image/MCY/21047161 </v>
      </c>
    </row>
    <row r="206" spans="1:14" x14ac:dyDescent="0.25">
      <c r="A206" s="21" t="s">
        <v>4806</v>
      </c>
      <c r="B206" s="22" t="s">
        <v>4807</v>
      </c>
      <c r="C206" s="2">
        <v>1</v>
      </c>
      <c r="D206" s="23">
        <v>30</v>
      </c>
      <c r="E206" s="3">
        <v>30</v>
      </c>
      <c r="F206" s="2" t="s">
        <v>4808</v>
      </c>
      <c r="G206" s="22" t="s">
        <v>19422</v>
      </c>
      <c r="H206" s="24" t="s">
        <v>19538</v>
      </c>
      <c r="I206" s="22" t="s">
        <v>19309</v>
      </c>
      <c r="J206" s="22" t="s">
        <v>19417</v>
      </c>
      <c r="K206" s="22" t="s">
        <v>18317</v>
      </c>
      <c r="L206" s="22"/>
      <c r="M206" s="22"/>
      <c r="N206" s="25" t="str">
        <f>HYPERLINK("http://slimages.macys.com/is/image/MCY/21614856 ")</f>
        <v xml:space="preserve">http://slimages.macys.com/is/image/MCY/21614856 </v>
      </c>
    </row>
    <row r="207" spans="1:14" ht="24.75" x14ac:dyDescent="0.25">
      <c r="A207" s="21" t="s">
        <v>4809</v>
      </c>
      <c r="B207" s="22" t="s">
        <v>4810</v>
      </c>
      <c r="C207" s="2">
        <v>1</v>
      </c>
      <c r="D207" s="23">
        <v>26</v>
      </c>
      <c r="E207" s="3">
        <v>26</v>
      </c>
      <c r="F207" s="2" t="s">
        <v>12268</v>
      </c>
      <c r="G207" s="22" t="s">
        <v>19537</v>
      </c>
      <c r="H207" s="24"/>
      <c r="I207" s="22" t="s">
        <v>19309</v>
      </c>
      <c r="J207" s="22" t="s">
        <v>19417</v>
      </c>
      <c r="K207" s="22" t="s">
        <v>18317</v>
      </c>
      <c r="L207" s="22"/>
      <c r="M207" s="22"/>
      <c r="N207" s="25" t="str">
        <f>HYPERLINK("http://slimages.macys.com/is/image/MCY/21614894 ")</f>
        <v xml:space="preserve">http://slimages.macys.com/is/image/MCY/21614894 </v>
      </c>
    </row>
    <row r="208" spans="1:14" ht="24.75" x14ac:dyDescent="0.25">
      <c r="A208" s="21" t="s">
        <v>16484</v>
      </c>
      <c r="B208" s="22" t="s">
        <v>16485</v>
      </c>
      <c r="C208" s="2">
        <v>4</v>
      </c>
      <c r="D208" s="23">
        <v>30</v>
      </c>
      <c r="E208" s="3">
        <v>120</v>
      </c>
      <c r="F208" s="2" t="s">
        <v>16486</v>
      </c>
      <c r="G208" s="22" t="s">
        <v>19422</v>
      </c>
      <c r="H208" s="24"/>
      <c r="I208" s="22" t="s">
        <v>19309</v>
      </c>
      <c r="J208" s="22" t="s">
        <v>19417</v>
      </c>
      <c r="K208" s="22" t="s">
        <v>18317</v>
      </c>
      <c r="L208" s="22"/>
      <c r="M208" s="22"/>
      <c r="N208" s="25" t="str">
        <f>HYPERLINK("http://slimages.macys.com/is/image/MCY/21614856 ")</f>
        <v xml:space="preserve">http://slimages.macys.com/is/image/MCY/21614856 </v>
      </c>
    </row>
    <row r="209" spans="1:14" x14ac:dyDescent="0.25">
      <c r="A209" s="21" t="s">
        <v>4811</v>
      </c>
      <c r="B209" s="22" t="s">
        <v>4812</v>
      </c>
      <c r="C209" s="2">
        <v>41</v>
      </c>
      <c r="D209" s="23">
        <v>22</v>
      </c>
      <c r="E209" s="3">
        <v>902</v>
      </c>
      <c r="F209" s="2" t="s">
        <v>16204</v>
      </c>
      <c r="G209" s="22" t="s">
        <v>19333</v>
      </c>
      <c r="H209" s="24" t="s">
        <v>19770</v>
      </c>
      <c r="I209" s="22" t="s">
        <v>19309</v>
      </c>
      <c r="J209" s="22" t="s">
        <v>19417</v>
      </c>
      <c r="K209" s="22" t="s">
        <v>20110</v>
      </c>
      <c r="L209" s="22"/>
      <c r="M209" s="22"/>
      <c r="N209" s="25" t="str">
        <f>HYPERLINK("http://slimages.macys.com/is/image/MCY/21551778 ")</f>
        <v xml:space="preserve">http://slimages.macys.com/is/image/MCY/21551778 </v>
      </c>
    </row>
    <row r="210" spans="1:14" x14ac:dyDescent="0.25">
      <c r="A210" s="21" t="s">
        <v>4813</v>
      </c>
      <c r="B210" s="22" t="s">
        <v>4814</v>
      </c>
      <c r="C210" s="2">
        <v>7</v>
      </c>
      <c r="D210" s="23">
        <v>15.99</v>
      </c>
      <c r="E210" s="3">
        <v>111.93</v>
      </c>
      <c r="F210" s="2" t="s">
        <v>18462</v>
      </c>
      <c r="G210" s="22" t="s">
        <v>19674</v>
      </c>
      <c r="H210" s="24" t="s">
        <v>19377</v>
      </c>
      <c r="I210" s="22" t="s">
        <v>19309</v>
      </c>
      <c r="J210" s="22" t="s">
        <v>19849</v>
      </c>
      <c r="K210" s="22" t="s">
        <v>19850</v>
      </c>
      <c r="L210" s="22"/>
      <c r="M210" s="22"/>
      <c r="N210" s="25" t="str">
        <f>HYPERLINK("http://slimages.macys.com/is/image/MCY/1159077 ")</f>
        <v xml:space="preserve">http://slimages.macys.com/is/image/MCY/1159077 </v>
      </c>
    </row>
    <row r="211" spans="1:14" x14ac:dyDescent="0.25">
      <c r="A211" s="21" t="s">
        <v>4815</v>
      </c>
      <c r="B211" s="22" t="s">
        <v>4816</v>
      </c>
      <c r="C211" s="2">
        <v>1</v>
      </c>
      <c r="D211" s="23">
        <v>10.99</v>
      </c>
      <c r="E211" s="3">
        <v>10.99</v>
      </c>
      <c r="F211" s="2" t="s">
        <v>16624</v>
      </c>
      <c r="G211" s="22" t="s">
        <v>19477</v>
      </c>
      <c r="H211" s="24" t="s">
        <v>19797</v>
      </c>
      <c r="I211" s="22" t="s">
        <v>19309</v>
      </c>
      <c r="J211" s="22" t="s">
        <v>19849</v>
      </c>
      <c r="K211" s="22" t="s">
        <v>19850</v>
      </c>
      <c r="L211" s="22"/>
      <c r="M211" s="22"/>
      <c r="N211" s="25" t="str">
        <f>HYPERLINK("http://slimages.macys.com/is/image/MCY/22503415 ")</f>
        <v xml:space="preserve">http://slimages.macys.com/is/image/MCY/22503415 </v>
      </c>
    </row>
    <row r="212" spans="1:14" ht="24.75" x14ac:dyDescent="0.25">
      <c r="A212" s="21" t="s">
        <v>4817</v>
      </c>
      <c r="B212" s="22" t="s">
        <v>4818</v>
      </c>
      <c r="C212" s="2">
        <v>1</v>
      </c>
      <c r="D212" s="23">
        <v>9.8000000000000007</v>
      </c>
      <c r="E212" s="3">
        <v>9.8000000000000007</v>
      </c>
      <c r="F212" s="2" t="s">
        <v>4819</v>
      </c>
      <c r="G212" s="22" t="s">
        <v>19315</v>
      </c>
      <c r="H212" s="24" t="s">
        <v>19339</v>
      </c>
      <c r="I212" s="22" t="s">
        <v>19309</v>
      </c>
      <c r="J212" s="22" t="s">
        <v>19565</v>
      </c>
      <c r="K212" s="22" t="s">
        <v>18514</v>
      </c>
      <c r="L212" s="22"/>
      <c r="M212" s="22"/>
      <c r="N212" s="25" t="str">
        <f>HYPERLINK("http://slimages.macys.com/is/image/MCY/21532809 ")</f>
        <v xml:space="preserve">http://slimages.macys.com/is/image/MCY/21532809 </v>
      </c>
    </row>
    <row r="213" spans="1:14" ht="24.75" x14ac:dyDescent="0.25">
      <c r="A213" s="21" t="s">
        <v>8306</v>
      </c>
      <c r="B213" s="22" t="s">
        <v>8307</v>
      </c>
      <c r="C213" s="2">
        <v>16</v>
      </c>
      <c r="D213" s="23">
        <v>13.99</v>
      </c>
      <c r="E213" s="3">
        <v>223.84</v>
      </c>
      <c r="F213" s="2" t="s">
        <v>9604</v>
      </c>
      <c r="G213" s="22" t="s">
        <v>19618</v>
      </c>
      <c r="H213" s="24" t="s">
        <v>19538</v>
      </c>
      <c r="I213" s="22" t="s">
        <v>19309</v>
      </c>
      <c r="J213" s="22" t="s">
        <v>19573</v>
      </c>
      <c r="K213" s="22" t="s">
        <v>19574</v>
      </c>
      <c r="L213" s="22"/>
      <c r="M213" s="22"/>
      <c r="N213" s="25" t="str">
        <f>HYPERLINK("http://slimages.macys.com/is/image/MCY/1554881 ")</f>
        <v xml:space="preserve">http://slimages.macys.com/is/image/MCY/1554881 </v>
      </c>
    </row>
    <row r="214" spans="1:14" ht="24.75" x14ac:dyDescent="0.25">
      <c r="A214" s="21" t="s">
        <v>9602</v>
      </c>
      <c r="B214" s="22" t="s">
        <v>9603</v>
      </c>
      <c r="C214" s="2">
        <v>30</v>
      </c>
      <c r="D214" s="23">
        <v>13.99</v>
      </c>
      <c r="E214" s="3">
        <v>419.7</v>
      </c>
      <c r="F214" s="2" t="s">
        <v>9604</v>
      </c>
      <c r="G214" s="22" t="s">
        <v>19618</v>
      </c>
      <c r="H214" s="24" t="s">
        <v>19330</v>
      </c>
      <c r="I214" s="22" t="s">
        <v>19309</v>
      </c>
      <c r="J214" s="22" t="s">
        <v>19573</v>
      </c>
      <c r="K214" s="22" t="s">
        <v>19574</v>
      </c>
      <c r="L214" s="22"/>
      <c r="M214" s="22"/>
      <c r="N214" s="25" t="str">
        <f>HYPERLINK("http://slimages.macys.com/is/image/MCY/1554881 ")</f>
        <v xml:space="preserve">http://slimages.macys.com/is/image/MCY/1554881 </v>
      </c>
    </row>
    <row r="215" spans="1:14" ht="24.75" x14ac:dyDescent="0.25">
      <c r="A215" s="21" t="s">
        <v>7706</v>
      </c>
      <c r="B215" s="22" t="s">
        <v>7707</v>
      </c>
      <c r="C215" s="2">
        <v>1</v>
      </c>
      <c r="D215" s="23">
        <v>13.99</v>
      </c>
      <c r="E215" s="3">
        <v>13.99</v>
      </c>
      <c r="F215" s="2" t="s">
        <v>16245</v>
      </c>
      <c r="G215" s="22" t="s">
        <v>19351</v>
      </c>
      <c r="H215" s="24" t="s">
        <v>19384</v>
      </c>
      <c r="I215" s="22" t="s">
        <v>19309</v>
      </c>
      <c r="J215" s="22" t="s">
        <v>19573</v>
      </c>
      <c r="K215" s="22" t="s">
        <v>19574</v>
      </c>
      <c r="L215" s="22"/>
      <c r="M215" s="22"/>
      <c r="N215" s="25" t="str">
        <f>HYPERLINK("http://slimages.macys.com/is/image/MCY/1554881 ")</f>
        <v xml:space="preserve">http://slimages.macys.com/is/image/MCY/1554881 </v>
      </c>
    </row>
    <row r="216" spans="1:14" x14ac:dyDescent="0.25">
      <c r="A216" s="21" t="s">
        <v>9898</v>
      </c>
      <c r="B216" s="22" t="s">
        <v>9899</v>
      </c>
      <c r="C216" s="2">
        <v>5</v>
      </c>
      <c r="D216" s="23">
        <v>19.989999999999998</v>
      </c>
      <c r="E216" s="3">
        <v>99.95</v>
      </c>
      <c r="F216" s="2" t="s">
        <v>18541</v>
      </c>
      <c r="G216" s="22" t="s">
        <v>19674</v>
      </c>
      <c r="H216" s="24" t="s">
        <v>19377</v>
      </c>
      <c r="I216" s="22" t="s">
        <v>19309</v>
      </c>
      <c r="J216" s="22" t="s">
        <v>19849</v>
      </c>
      <c r="K216" s="22" t="s">
        <v>19850</v>
      </c>
      <c r="L216" s="22"/>
      <c r="M216" s="22"/>
      <c r="N216" s="25" t="str">
        <f>HYPERLINK("http://slimages.macys.com/is/image/MCY/21349887 ")</f>
        <v xml:space="preserve">http://slimages.macys.com/is/image/MCY/21349887 </v>
      </c>
    </row>
    <row r="217" spans="1:14" ht="24.75" x14ac:dyDescent="0.25">
      <c r="A217" s="21" t="s">
        <v>8308</v>
      </c>
      <c r="B217" s="22" t="s">
        <v>8309</v>
      </c>
      <c r="C217" s="2">
        <v>3</v>
      </c>
      <c r="D217" s="23">
        <v>13.99</v>
      </c>
      <c r="E217" s="3">
        <v>41.97</v>
      </c>
      <c r="F217" s="2" t="s">
        <v>18551</v>
      </c>
      <c r="G217" s="22" t="s">
        <v>19415</v>
      </c>
      <c r="H217" s="24" t="s">
        <v>19538</v>
      </c>
      <c r="I217" s="22" t="s">
        <v>19309</v>
      </c>
      <c r="J217" s="22" t="s">
        <v>19573</v>
      </c>
      <c r="K217" s="22" t="s">
        <v>19574</v>
      </c>
      <c r="L217" s="22"/>
      <c r="M217" s="22"/>
      <c r="N217" s="25" t="str">
        <f>HYPERLINK("http://slimages.macys.com/is/image/MCY/1619637 ")</f>
        <v xml:space="preserve">http://slimages.macys.com/is/image/MCY/1619637 </v>
      </c>
    </row>
    <row r="218" spans="1:14" ht="24.75" x14ac:dyDescent="0.25">
      <c r="A218" s="21" t="s">
        <v>18549</v>
      </c>
      <c r="B218" s="22" t="s">
        <v>18550</v>
      </c>
      <c r="C218" s="2">
        <v>8</v>
      </c>
      <c r="D218" s="23">
        <v>13.99</v>
      </c>
      <c r="E218" s="3">
        <v>111.92</v>
      </c>
      <c r="F218" s="2" t="s">
        <v>18551</v>
      </c>
      <c r="G218" s="22" t="s">
        <v>19467</v>
      </c>
      <c r="H218" s="24" t="s">
        <v>19384</v>
      </c>
      <c r="I218" s="22" t="s">
        <v>19309</v>
      </c>
      <c r="J218" s="22" t="s">
        <v>19573</v>
      </c>
      <c r="K218" s="22" t="s">
        <v>19574</v>
      </c>
      <c r="L218" s="22"/>
      <c r="M218" s="22"/>
      <c r="N218" s="25" t="str">
        <f>HYPERLINK("http://slimages.macys.com/is/image/MCY/21361645 ")</f>
        <v xml:space="preserve">http://slimages.macys.com/is/image/MCY/21361645 </v>
      </c>
    </row>
    <row r="219" spans="1:14" ht="24.75" x14ac:dyDescent="0.25">
      <c r="A219" s="21" t="s">
        <v>18552</v>
      </c>
      <c r="B219" s="22" t="s">
        <v>18553</v>
      </c>
      <c r="C219" s="2">
        <v>4</v>
      </c>
      <c r="D219" s="23">
        <v>13.99</v>
      </c>
      <c r="E219" s="3">
        <v>55.96</v>
      </c>
      <c r="F219" s="2" t="s">
        <v>18551</v>
      </c>
      <c r="G219" s="22" t="s">
        <v>19467</v>
      </c>
      <c r="H219" s="24" t="s">
        <v>19330</v>
      </c>
      <c r="I219" s="22" t="s">
        <v>19309</v>
      </c>
      <c r="J219" s="22" t="s">
        <v>19573</v>
      </c>
      <c r="K219" s="22" t="s">
        <v>19574</v>
      </c>
      <c r="L219" s="22"/>
      <c r="M219" s="22"/>
      <c r="N219" s="25" t="str">
        <f>HYPERLINK("http://slimages.macys.com/is/image/MCY/21361645 ")</f>
        <v xml:space="preserve">http://slimages.macys.com/is/image/MCY/21361645 </v>
      </c>
    </row>
    <row r="220" spans="1:14" ht="24.75" x14ac:dyDescent="0.25">
      <c r="A220" s="21" t="s">
        <v>4820</v>
      </c>
      <c r="B220" s="22" t="s">
        <v>4821</v>
      </c>
      <c r="C220" s="2">
        <v>8</v>
      </c>
      <c r="D220" s="23">
        <v>8.99</v>
      </c>
      <c r="E220" s="3">
        <v>71.92</v>
      </c>
      <c r="F220" s="2" t="s">
        <v>4822</v>
      </c>
      <c r="G220" s="22" t="s">
        <v>20306</v>
      </c>
      <c r="H220" s="24" t="s">
        <v>19345</v>
      </c>
      <c r="I220" s="22" t="s">
        <v>19309</v>
      </c>
      <c r="J220" s="22" t="s">
        <v>19447</v>
      </c>
      <c r="K220" s="22" t="s">
        <v>20146</v>
      </c>
      <c r="L220" s="22"/>
      <c r="M220" s="22"/>
      <c r="N220" s="25" t="str">
        <f>HYPERLINK("http://slimages.macys.com/is/image/MCY/21550806 ")</f>
        <v xml:space="preserve">http://slimages.macys.com/is/image/MCY/21550806 </v>
      </c>
    </row>
    <row r="221" spans="1:14" ht="24.75" x14ac:dyDescent="0.25">
      <c r="A221" s="21" t="s">
        <v>4823</v>
      </c>
      <c r="B221" s="22" t="s">
        <v>4824</v>
      </c>
      <c r="C221" s="2">
        <v>6</v>
      </c>
      <c r="D221" s="23">
        <v>10.91</v>
      </c>
      <c r="E221" s="3">
        <v>65.459999999999994</v>
      </c>
      <c r="F221" s="2" t="s">
        <v>4825</v>
      </c>
      <c r="G221" s="22" t="s">
        <v>18439</v>
      </c>
      <c r="H221" s="24" t="s">
        <v>19364</v>
      </c>
      <c r="I221" s="22" t="s">
        <v>19309</v>
      </c>
      <c r="J221" s="22" t="s">
        <v>19405</v>
      </c>
      <c r="K221" s="22" t="s">
        <v>19406</v>
      </c>
      <c r="L221" s="22"/>
      <c r="M221" s="22"/>
      <c r="N221" s="25" t="str">
        <f>HYPERLINK("http://slimages.macys.com/is/image/MCY/19699303 ")</f>
        <v xml:space="preserve">http://slimages.macys.com/is/image/MCY/19699303 </v>
      </c>
    </row>
    <row r="222" spans="1:14" ht="24.75" x14ac:dyDescent="0.25">
      <c r="A222" s="21" t="s">
        <v>4826</v>
      </c>
      <c r="B222" s="22" t="s">
        <v>4827</v>
      </c>
      <c r="C222" s="2">
        <v>1</v>
      </c>
      <c r="D222" s="23">
        <v>13.99</v>
      </c>
      <c r="E222" s="3">
        <v>13.99</v>
      </c>
      <c r="F222" s="2" t="s">
        <v>18608</v>
      </c>
      <c r="G222" s="22" t="s">
        <v>19674</v>
      </c>
      <c r="H222" s="24" t="s">
        <v>19538</v>
      </c>
      <c r="I222" s="22" t="s">
        <v>19309</v>
      </c>
      <c r="J222" s="22" t="s">
        <v>19573</v>
      </c>
      <c r="K222" s="22" t="s">
        <v>19574</v>
      </c>
      <c r="L222" s="22"/>
      <c r="M222" s="22"/>
      <c r="N222" s="25" t="str">
        <f>HYPERLINK("http://slimages.macys.com/is/image/MCY/18424257 ")</f>
        <v xml:space="preserve">http://slimages.macys.com/is/image/MCY/18424257 </v>
      </c>
    </row>
    <row r="223" spans="1:14" ht="24.75" x14ac:dyDescent="0.25">
      <c r="A223" s="21" t="s">
        <v>8310</v>
      </c>
      <c r="B223" s="22" t="s">
        <v>8311</v>
      </c>
      <c r="C223" s="2">
        <v>15</v>
      </c>
      <c r="D223" s="23">
        <v>8.25</v>
      </c>
      <c r="E223" s="3">
        <v>123.75</v>
      </c>
      <c r="F223" s="2" t="s">
        <v>8312</v>
      </c>
      <c r="G223" s="22" t="s">
        <v>19351</v>
      </c>
      <c r="H223" s="24" t="s">
        <v>19395</v>
      </c>
      <c r="I223" s="22" t="s">
        <v>19309</v>
      </c>
      <c r="J223" s="22" t="s">
        <v>19447</v>
      </c>
      <c r="K223" s="22" t="s">
        <v>20146</v>
      </c>
      <c r="L223" s="22"/>
      <c r="M223" s="22"/>
      <c r="N223" s="25" t="str">
        <f>HYPERLINK("http://slimages.macys.com/is/image/MCY/20437124 ")</f>
        <v xml:space="preserve">http://slimages.macys.com/is/image/MCY/20437124 </v>
      </c>
    </row>
    <row r="224" spans="1:14" ht="24.75" x14ac:dyDescent="0.25">
      <c r="A224" s="21" t="s">
        <v>4828</v>
      </c>
      <c r="B224" s="22" t="s">
        <v>4829</v>
      </c>
      <c r="C224" s="2">
        <v>9</v>
      </c>
      <c r="D224" s="23">
        <v>8.25</v>
      </c>
      <c r="E224" s="3">
        <v>74.25</v>
      </c>
      <c r="F224" s="2" t="s">
        <v>8312</v>
      </c>
      <c r="G224" s="22" t="s">
        <v>19351</v>
      </c>
      <c r="H224" s="24" t="s">
        <v>19361</v>
      </c>
      <c r="I224" s="22" t="s">
        <v>19309</v>
      </c>
      <c r="J224" s="22" t="s">
        <v>19447</v>
      </c>
      <c r="K224" s="22" t="s">
        <v>20146</v>
      </c>
      <c r="L224" s="22"/>
      <c r="M224" s="22"/>
      <c r="N224" s="25" t="str">
        <f>HYPERLINK("http://slimages.macys.com/is/image/MCY/20437124 ")</f>
        <v xml:space="preserve">http://slimages.macys.com/is/image/MCY/20437124 </v>
      </c>
    </row>
    <row r="225" spans="1:14" ht="24.75" x14ac:dyDescent="0.25">
      <c r="A225" s="21" t="s">
        <v>8313</v>
      </c>
      <c r="B225" s="22" t="s">
        <v>8314</v>
      </c>
      <c r="C225" s="2">
        <v>10</v>
      </c>
      <c r="D225" s="23">
        <v>8.25</v>
      </c>
      <c r="E225" s="3">
        <v>82.5</v>
      </c>
      <c r="F225" s="2" t="s">
        <v>8312</v>
      </c>
      <c r="G225" s="22" t="s">
        <v>19351</v>
      </c>
      <c r="H225" s="24" t="s">
        <v>19542</v>
      </c>
      <c r="I225" s="22" t="s">
        <v>19309</v>
      </c>
      <c r="J225" s="22" t="s">
        <v>19447</v>
      </c>
      <c r="K225" s="22" t="s">
        <v>20146</v>
      </c>
      <c r="L225" s="22"/>
      <c r="M225" s="22"/>
      <c r="N225" s="25" t="str">
        <f>HYPERLINK("http://slimages.macys.com/is/image/MCY/20437124 ")</f>
        <v xml:space="preserve">http://slimages.macys.com/is/image/MCY/20437124 </v>
      </c>
    </row>
    <row r="226" spans="1:14" x14ac:dyDescent="0.25">
      <c r="A226" s="21" t="s">
        <v>4830</v>
      </c>
      <c r="B226" s="22" t="s">
        <v>4831</v>
      </c>
      <c r="C226" s="2">
        <v>1</v>
      </c>
      <c r="D226" s="23">
        <v>9.99</v>
      </c>
      <c r="E226" s="3">
        <v>9.99</v>
      </c>
      <c r="F226" s="2" t="s">
        <v>4832</v>
      </c>
      <c r="G226" s="22" t="s">
        <v>19351</v>
      </c>
      <c r="H226" s="24" t="s">
        <v>19334</v>
      </c>
      <c r="I226" s="22" t="s">
        <v>19309</v>
      </c>
      <c r="J226" s="22" t="s">
        <v>19310</v>
      </c>
      <c r="K226" s="22" t="s">
        <v>19468</v>
      </c>
      <c r="L226" s="22"/>
      <c r="M226" s="22"/>
      <c r="N226" s="25" t="str">
        <f>HYPERLINK("http://slimages.macys.com/is/image/MCY/18858856 ")</f>
        <v xml:space="preserve">http://slimages.macys.com/is/image/MCY/18858856 </v>
      </c>
    </row>
    <row r="227" spans="1:14" ht="24.75" x14ac:dyDescent="0.25">
      <c r="A227" s="21" t="s">
        <v>8978</v>
      </c>
      <c r="B227" s="22" t="s">
        <v>8979</v>
      </c>
      <c r="C227" s="2">
        <v>1</v>
      </c>
      <c r="D227" s="23">
        <v>13.99</v>
      </c>
      <c r="E227" s="3">
        <v>13.99</v>
      </c>
      <c r="F227" s="2" t="s">
        <v>16593</v>
      </c>
      <c r="G227" s="22" t="s">
        <v>18429</v>
      </c>
      <c r="H227" s="24" t="s">
        <v>19352</v>
      </c>
      <c r="I227" s="22" t="s">
        <v>19309</v>
      </c>
      <c r="J227" s="22" t="s">
        <v>19815</v>
      </c>
      <c r="K227" s="22" t="s">
        <v>19816</v>
      </c>
      <c r="L227" s="22"/>
      <c r="M227" s="22"/>
      <c r="N227" s="25" t="str">
        <f>HYPERLINK("http://slimages.macys.com/is/image/MCY/21188139 ")</f>
        <v xml:space="preserve">http://slimages.macys.com/is/image/MCY/21188139 </v>
      </c>
    </row>
    <row r="228" spans="1:14" ht="24.75" x14ac:dyDescent="0.25">
      <c r="A228" s="21" t="s">
        <v>4833</v>
      </c>
      <c r="B228" s="22" t="s">
        <v>4834</v>
      </c>
      <c r="C228" s="2">
        <v>1</v>
      </c>
      <c r="D228" s="23">
        <v>10.91</v>
      </c>
      <c r="E228" s="3">
        <v>10.91</v>
      </c>
      <c r="F228" s="2" t="s">
        <v>4835</v>
      </c>
      <c r="G228" s="22" t="s">
        <v>19323</v>
      </c>
      <c r="H228" s="24" t="s">
        <v>19334</v>
      </c>
      <c r="I228" s="22" t="s">
        <v>19309</v>
      </c>
      <c r="J228" s="22" t="s">
        <v>19602</v>
      </c>
      <c r="K228" s="22" t="s">
        <v>20041</v>
      </c>
      <c r="L228" s="22"/>
      <c r="M228" s="22"/>
      <c r="N228" s="25" t="str">
        <f>HYPERLINK("http://slimages.macys.com/is/image/MCY/21421578 ")</f>
        <v xml:space="preserve">http://slimages.macys.com/is/image/MCY/21421578 </v>
      </c>
    </row>
    <row r="229" spans="1:14" x14ac:dyDescent="0.25">
      <c r="A229" s="21" t="s">
        <v>4836</v>
      </c>
      <c r="B229" s="22" t="s">
        <v>4837</v>
      </c>
      <c r="C229" s="2">
        <v>12</v>
      </c>
      <c r="D229" s="23">
        <v>18</v>
      </c>
      <c r="E229" s="3">
        <v>216</v>
      </c>
      <c r="F229" s="2" t="s">
        <v>8407</v>
      </c>
      <c r="G229" s="22" t="s">
        <v>19635</v>
      </c>
      <c r="H229" s="24" t="s">
        <v>20152</v>
      </c>
      <c r="I229" s="22" t="s">
        <v>19309</v>
      </c>
      <c r="J229" s="22" t="s">
        <v>19708</v>
      </c>
      <c r="K229" s="22" t="s">
        <v>19709</v>
      </c>
      <c r="L229" s="22"/>
      <c r="M229" s="22"/>
      <c r="N229" s="25" t="str">
        <f>HYPERLINK("http://slimages.macys.com/is/image/MCY/21726788 ")</f>
        <v xml:space="preserve">http://slimages.macys.com/is/image/MCY/21726788 </v>
      </c>
    </row>
    <row r="230" spans="1:14" ht="24.75" x14ac:dyDescent="0.25">
      <c r="A230" s="21" t="s">
        <v>18645</v>
      </c>
      <c r="B230" s="22" t="s">
        <v>18646</v>
      </c>
      <c r="C230" s="2">
        <v>1</v>
      </c>
      <c r="D230" s="23">
        <v>10.91</v>
      </c>
      <c r="E230" s="3">
        <v>10.91</v>
      </c>
      <c r="F230" s="2" t="s">
        <v>18647</v>
      </c>
      <c r="G230" s="22"/>
      <c r="H230" s="24" t="s">
        <v>19345</v>
      </c>
      <c r="I230" s="22" t="s">
        <v>19309</v>
      </c>
      <c r="J230" s="22" t="s">
        <v>19602</v>
      </c>
      <c r="K230" s="22" t="s">
        <v>19603</v>
      </c>
      <c r="L230" s="22"/>
      <c r="M230" s="22"/>
      <c r="N230" s="25" t="str">
        <f>HYPERLINK("http://slimages.macys.com/is/image/MCY/21421177 ")</f>
        <v xml:space="preserve">http://slimages.macys.com/is/image/MCY/21421177 </v>
      </c>
    </row>
    <row r="231" spans="1:14" ht="24.75" x14ac:dyDescent="0.25">
      <c r="A231" s="21" t="s">
        <v>4838</v>
      </c>
      <c r="B231" s="22" t="s">
        <v>4839</v>
      </c>
      <c r="C231" s="2">
        <v>6</v>
      </c>
      <c r="D231" s="23">
        <v>10.91</v>
      </c>
      <c r="E231" s="3">
        <v>65.459999999999994</v>
      </c>
      <c r="F231" s="2" t="s">
        <v>9612</v>
      </c>
      <c r="G231" s="22" t="s">
        <v>19635</v>
      </c>
      <c r="H231" s="24" t="s">
        <v>19345</v>
      </c>
      <c r="I231" s="22" t="s">
        <v>19309</v>
      </c>
      <c r="J231" s="22" t="s">
        <v>19602</v>
      </c>
      <c r="K231" s="22" t="s">
        <v>20041</v>
      </c>
      <c r="L231" s="22"/>
      <c r="M231" s="22"/>
      <c r="N231" s="25" t="str">
        <f>HYPERLINK("http://slimages.macys.com/is/image/MCY/21669854 ")</f>
        <v xml:space="preserve">http://slimages.macys.com/is/image/MCY/21669854 </v>
      </c>
    </row>
    <row r="232" spans="1:14" x14ac:dyDescent="0.25">
      <c r="A232" s="21" t="s">
        <v>4840</v>
      </c>
      <c r="B232" s="22" t="s">
        <v>4841</v>
      </c>
      <c r="C232" s="2">
        <v>1</v>
      </c>
      <c r="D232" s="23">
        <v>12.4</v>
      </c>
      <c r="E232" s="3">
        <v>12.4</v>
      </c>
      <c r="F232" s="2" t="s">
        <v>4842</v>
      </c>
      <c r="G232" s="22"/>
      <c r="H232" s="24" t="s">
        <v>19770</v>
      </c>
      <c r="I232" s="22" t="s">
        <v>19309</v>
      </c>
      <c r="J232" s="22" t="s">
        <v>19708</v>
      </c>
      <c r="K232" s="22" t="s">
        <v>19709</v>
      </c>
      <c r="L232" s="22"/>
      <c r="M232" s="22"/>
      <c r="N232" s="25" t="str">
        <f>HYPERLINK("http://slimages.macys.com/is/image/MCY/21414256 ")</f>
        <v xml:space="preserve">http://slimages.macys.com/is/image/MCY/21414256 </v>
      </c>
    </row>
    <row r="233" spans="1:14" ht="24.75" x14ac:dyDescent="0.25">
      <c r="A233" s="21" t="s">
        <v>9613</v>
      </c>
      <c r="B233" s="22" t="s">
        <v>9614</v>
      </c>
      <c r="C233" s="2">
        <v>1</v>
      </c>
      <c r="D233" s="23">
        <v>10.91</v>
      </c>
      <c r="E233" s="3">
        <v>10.91</v>
      </c>
      <c r="F233" s="2" t="s">
        <v>16276</v>
      </c>
      <c r="G233" s="22" t="s">
        <v>19357</v>
      </c>
      <c r="H233" s="24" t="s">
        <v>19345</v>
      </c>
      <c r="I233" s="22" t="s">
        <v>19309</v>
      </c>
      <c r="J233" s="22" t="s">
        <v>19602</v>
      </c>
      <c r="K233" s="22" t="s">
        <v>20041</v>
      </c>
      <c r="L233" s="22"/>
      <c r="M233" s="22"/>
      <c r="N233" s="25" t="str">
        <f>HYPERLINK("http://slimages.macys.com/is/image/MCY/21669854 ")</f>
        <v xml:space="preserve">http://slimages.macys.com/is/image/MCY/21669854 </v>
      </c>
    </row>
    <row r="234" spans="1:14" ht="24.75" x14ac:dyDescent="0.25">
      <c r="A234" s="21" t="s">
        <v>4843</v>
      </c>
      <c r="B234" s="22" t="s">
        <v>4844</v>
      </c>
      <c r="C234" s="2">
        <v>1</v>
      </c>
      <c r="D234" s="23">
        <v>11.99</v>
      </c>
      <c r="E234" s="3">
        <v>11.99</v>
      </c>
      <c r="F234" s="2" t="s">
        <v>4845</v>
      </c>
      <c r="G234" s="22" t="s">
        <v>19351</v>
      </c>
      <c r="H234" s="24" t="s">
        <v>19352</v>
      </c>
      <c r="I234" s="22" t="s">
        <v>19309</v>
      </c>
      <c r="J234" s="22" t="s">
        <v>19454</v>
      </c>
      <c r="K234" s="22" t="s">
        <v>18654</v>
      </c>
      <c r="L234" s="22"/>
      <c r="M234" s="22"/>
      <c r="N234" s="25" t="str">
        <f>HYPERLINK("http://slimages.macys.com/is/image/MCY/20673047 ")</f>
        <v xml:space="preserve">http://slimages.macys.com/is/image/MCY/20673047 </v>
      </c>
    </row>
    <row r="235" spans="1:14" x14ac:dyDescent="0.25">
      <c r="A235" s="21" t="s">
        <v>16320</v>
      </c>
      <c r="B235" s="22" t="s">
        <v>16321</v>
      </c>
      <c r="C235" s="2">
        <v>28</v>
      </c>
      <c r="D235" s="23">
        <v>18</v>
      </c>
      <c r="E235" s="3">
        <v>504</v>
      </c>
      <c r="F235" s="2" t="s">
        <v>16319</v>
      </c>
      <c r="G235" s="22" t="s">
        <v>19307</v>
      </c>
      <c r="H235" s="24" t="s">
        <v>19770</v>
      </c>
      <c r="I235" s="22" t="s">
        <v>19309</v>
      </c>
      <c r="J235" s="22" t="s">
        <v>19417</v>
      </c>
      <c r="K235" s="22" t="s">
        <v>20110</v>
      </c>
      <c r="L235" s="22"/>
      <c r="M235" s="22"/>
      <c r="N235" s="25" t="str">
        <f>HYPERLINK("http://slimages.macys.com/is/image/MCY/21551781 ")</f>
        <v xml:space="preserve">http://slimages.macys.com/is/image/MCY/21551781 </v>
      </c>
    </row>
    <row r="236" spans="1:14" ht="24.75" x14ac:dyDescent="0.25">
      <c r="A236" s="21" t="s">
        <v>4846</v>
      </c>
      <c r="B236" s="22" t="s">
        <v>4847</v>
      </c>
      <c r="C236" s="2">
        <v>1</v>
      </c>
      <c r="D236" s="23">
        <v>12.99</v>
      </c>
      <c r="E236" s="3">
        <v>12.99</v>
      </c>
      <c r="F236" s="2" t="s">
        <v>4848</v>
      </c>
      <c r="G236" s="22" t="s">
        <v>19351</v>
      </c>
      <c r="H236" s="24" t="s">
        <v>19330</v>
      </c>
      <c r="I236" s="22" t="s">
        <v>19309</v>
      </c>
      <c r="J236" s="22" t="s">
        <v>19573</v>
      </c>
      <c r="K236" s="22" t="s">
        <v>19574</v>
      </c>
      <c r="L236" s="22"/>
      <c r="M236" s="22"/>
      <c r="N236" s="25" t="str">
        <f>HYPERLINK("http://slimages.macys.com/is/image/MCY/19042418 ")</f>
        <v xml:space="preserve">http://slimages.macys.com/is/image/MCY/19042418 </v>
      </c>
    </row>
    <row r="237" spans="1:14" ht="24.75" x14ac:dyDescent="0.25">
      <c r="A237" s="21" t="s">
        <v>4849</v>
      </c>
      <c r="B237" s="22" t="s">
        <v>4850</v>
      </c>
      <c r="C237" s="2">
        <v>1</v>
      </c>
      <c r="D237" s="23">
        <v>10.41</v>
      </c>
      <c r="E237" s="3">
        <v>10.41</v>
      </c>
      <c r="F237" s="2" t="s">
        <v>4851</v>
      </c>
      <c r="G237" s="22" t="s">
        <v>19467</v>
      </c>
      <c r="H237" s="24" t="s">
        <v>19334</v>
      </c>
      <c r="I237" s="22" t="s">
        <v>19309</v>
      </c>
      <c r="J237" s="22" t="s">
        <v>19602</v>
      </c>
      <c r="K237" s="22" t="s">
        <v>20041</v>
      </c>
      <c r="L237" s="22"/>
      <c r="M237" s="22"/>
      <c r="N237" s="25" t="str">
        <f>HYPERLINK("http://slimages.macys.com/is/image/MCY/19859542 ")</f>
        <v xml:space="preserve">http://slimages.macys.com/is/image/MCY/19859542 </v>
      </c>
    </row>
    <row r="238" spans="1:14" ht="24.75" x14ac:dyDescent="0.25">
      <c r="A238" s="21" t="s">
        <v>4852</v>
      </c>
      <c r="B238" s="22" t="s">
        <v>4853</v>
      </c>
      <c r="C238" s="2">
        <v>51</v>
      </c>
      <c r="D238" s="23">
        <v>13.99</v>
      </c>
      <c r="E238" s="3">
        <v>713.49</v>
      </c>
      <c r="F238" s="2" t="s">
        <v>16688</v>
      </c>
      <c r="G238" s="22" t="s">
        <v>19906</v>
      </c>
      <c r="H238" s="24" t="s">
        <v>19538</v>
      </c>
      <c r="I238" s="22" t="s">
        <v>19309</v>
      </c>
      <c r="J238" s="22" t="s">
        <v>19573</v>
      </c>
      <c r="K238" s="22" t="s">
        <v>19574</v>
      </c>
      <c r="L238" s="22"/>
      <c r="M238" s="22"/>
      <c r="N238" s="25" t="str">
        <f>HYPERLINK("http://slimages.macys.com/is/image/MCY/21361108 ")</f>
        <v xml:space="preserve">http://slimages.macys.com/is/image/MCY/21361108 </v>
      </c>
    </row>
    <row r="239" spans="1:14" ht="24.75" x14ac:dyDescent="0.25">
      <c r="A239" s="21" t="s">
        <v>9627</v>
      </c>
      <c r="B239" s="22" t="s">
        <v>9628</v>
      </c>
      <c r="C239" s="2">
        <v>6</v>
      </c>
      <c r="D239" s="23">
        <v>13.99</v>
      </c>
      <c r="E239" s="3">
        <v>83.94</v>
      </c>
      <c r="F239" s="2" t="s">
        <v>16688</v>
      </c>
      <c r="G239" s="22" t="s">
        <v>19518</v>
      </c>
      <c r="H239" s="24" t="s">
        <v>19324</v>
      </c>
      <c r="I239" s="22" t="s">
        <v>19309</v>
      </c>
      <c r="J239" s="22" t="s">
        <v>19573</v>
      </c>
      <c r="K239" s="22" t="s">
        <v>19574</v>
      </c>
      <c r="L239" s="22"/>
      <c r="M239" s="22"/>
      <c r="N239" s="25" t="str">
        <f>HYPERLINK("http://slimages.macys.com/is/image/MCY/1554876 ")</f>
        <v xml:space="preserve">http://slimages.macys.com/is/image/MCY/1554876 </v>
      </c>
    </row>
    <row r="240" spans="1:14" ht="24.75" x14ac:dyDescent="0.25">
      <c r="A240" s="21" t="s">
        <v>16686</v>
      </c>
      <c r="B240" s="22" t="s">
        <v>16687</v>
      </c>
      <c r="C240" s="2">
        <v>50</v>
      </c>
      <c r="D240" s="23">
        <v>13.99</v>
      </c>
      <c r="E240" s="3">
        <v>699.5</v>
      </c>
      <c r="F240" s="2" t="s">
        <v>16688</v>
      </c>
      <c r="G240" s="22" t="s">
        <v>19518</v>
      </c>
      <c r="H240" s="24" t="s">
        <v>19384</v>
      </c>
      <c r="I240" s="22" t="s">
        <v>19309</v>
      </c>
      <c r="J240" s="22" t="s">
        <v>19573</v>
      </c>
      <c r="K240" s="22" t="s">
        <v>19574</v>
      </c>
      <c r="L240" s="22"/>
      <c r="M240" s="22"/>
      <c r="N240" s="25" t="str">
        <f>HYPERLINK("http://slimages.macys.com/is/image/MCY/21361108 ")</f>
        <v xml:space="preserve">http://slimages.macys.com/is/image/MCY/21361108 </v>
      </c>
    </row>
    <row r="241" spans="1:14" x14ac:dyDescent="0.25">
      <c r="A241" s="21" t="s">
        <v>4854</v>
      </c>
      <c r="B241" s="22" t="s">
        <v>4855</v>
      </c>
      <c r="C241" s="2">
        <v>1</v>
      </c>
      <c r="D241" s="23">
        <v>9.99</v>
      </c>
      <c r="E241" s="3">
        <v>9.99</v>
      </c>
      <c r="F241" s="2" t="s">
        <v>16396</v>
      </c>
      <c r="G241" s="22" t="s">
        <v>19670</v>
      </c>
      <c r="H241" s="24" t="s">
        <v>19377</v>
      </c>
      <c r="I241" s="22" t="s">
        <v>19309</v>
      </c>
      <c r="J241" s="22" t="s">
        <v>19849</v>
      </c>
      <c r="K241" s="22" t="s">
        <v>19850</v>
      </c>
      <c r="L241" s="22"/>
      <c r="M241" s="22"/>
      <c r="N241" s="25" t="str">
        <f>HYPERLINK("http://slimages.macys.com/is/image/MCY/19068331 ")</f>
        <v xml:space="preserve">http://slimages.macys.com/is/image/MCY/19068331 </v>
      </c>
    </row>
    <row r="242" spans="1:14" x14ac:dyDescent="0.25">
      <c r="A242" s="21" t="s">
        <v>9080</v>
      </c>
      <c r="B242" s="22" t="s">
        <v>9081</v>
      </c>
      <c r="C242" s="2">
        <v>1</v>
      </c>
      <c r="D242" s="23">
        <v>8.99</v>
      </c>
      <c r="E242" s="3">
        <v>8.99</v>
      </c>
      <c r="F242" s="2" t="s">
        <v>16396</v>
      </c>
      <c r="G242" s="22" t="s">
        <v>19618</v>
      </c>
      <c r="H242" s="24" t="s">
        <v>19377</v>
      </c>
      <c r="I242" s="22" t="s">
        <v>19309</v>
      </c>
      <c r="J242" s="22" t="s">
        <v>19849</v>
      </c>
      <c r="K242" s="22" t="s">
        <v>19850</v>
      </c>
      <c r="L242" s="22"/>
      <c r="M242" s="22"/>
      <c r="N242" s="25" t="str">
        <f>HYPERLINK("http://slimages.macys.com/is/image/MCY/19068331 ")</f>
        <v xml:space="preserve">http://slimages.macys.com/is/image/MCY/19068331 </v>
      </c>
    </row>
    <row r="243" spans="1:14" ht="24.75" x14ac:dyDescent="0.25">
      <c r="A243" s="21" t="s">
        <v>13944</v>
      </c>
      <c r="B243" s="22" t="s">
        <v>13945</v>
      </c>
      <c r="C243" s="2">
        <v>1</v>
      </c>
      <c r="D243" s="23">
        <v>10.99</v>
      </c>
      <c r="E243" s="3">
        <v>10.99</v>
      </c>
      <c r="F243" s="2" t="s">
        <v>13946</v>
      </c>
      <c r="G243" s="22" t="s">
        <v>19674</v>
      </c>
      <c r="H243" s="24" t="s">
        <v>19797</v>
      </c>
      <c r="I243" s="22" t="s">
        <v>19309</v>
      </c>
      <c r="J243" s="22" t="s">
        <v>19353</v>
      </c>
      <c r="K243" s="22" t="s">
        <v>19524</v>
      </c>
      <c r="L243" s="22"/>
      <c r="M243" s="22"/>
      <c r="N243" s="25" t="str">
        <f>HYPERLINK("http://slimages.macys.com/is/image/MCY/21083376 ")</f>
        <v xml:space="preserve">http://slimages.macys.com/is/image/MCY/21083376 </v>
      </c>
    </row>
    <row r="244" spans="1:14" ht="24.75" x14ac:dyDescent="0.25">
      <c r="A244" s="21" t="s">
        <v>4856</v>
      </c>
      <c r="B244" s="22" t="s">
        <v>4857</v>
      </c>
      <c r="C244" s="2">
        <v>1</v>
      </c>
      <c r="D244" s="23">
        <v>10.99</v>
      </c>
      <c r="E244" s="3">
        <v>10.99</v>
      </c>
      <c r="F244" s="2" t="s">
        <v>13316</v>
      </c>
      <c r="G244" s="22" t="s">
        <v>19351</v>
      </c>
      <c r="H244" s="24" t="s">
        <v>19797</v>
      </c>
      <c r="I244" s="22" t="s">
        <v>19309</v>
      </c>
      <c r="J244" s="22" t="s">
        <v>19353</v>
      </c>
      <c r="K244" s="22" t="s">
        <v>19524</v>
      </c>
      <c r="L244" s="22"/>
      <c r="M244" s="22"/>
      <c r="N244" s="25" t="str">
        <f>HYPERLINK("http://slimages.macys.com/is/image/MCY/21083383 ")</f>
        <v xml:space="preserve">http://slimages.macys.com/is/image/MCY/21083383 </v>
      </c>
    </row>
    <row r="245" spans="1:14" ht="24.75" x14ac:dyDescent="0.25">
      <c r="A245" s="21" t="s">
        <v>4858</v>
      </c>
      <c r="B245" s="22" t="s">
        <v>4859</v>
      </c>
      <c r="C245" s="2">
        <v>2</v>
      </c>
      <c r="D245" s="23">
        <v>10.99</v>
      </c>
      <c r="E245" s="3">
        <v>21.98</v>
      </c>
      <c r="F245" s="2" t="s">
        <v>13946</v>
      </c>
      <c r="G245" s="22" t="s">
        <v>19674</v>
      </c>
      <c r="H245" s="24" t="s">
        <v>19364</v>
      </c>
      <c r="I245" s="22" t="s">
        <v>19309</v>
      </c>
      <c r="J245" s="22" t="s">
        <v>19353</v>
      </c>
      <c r="K245" s="22" t="s">
        <v>19524</v>
      </c>
      <c r="L245" s="22"/>
      <c r="M245" s="22"/>
      <c r="N245" s="25" t="str">
        <f>HYPERLINK("http://slimages.macys.com/is/image/MCY/21083376 ")</f>
        <v xml:space="preserve">http://slimages.macys.com/is/image/MCY/21083376 </v>
      </c>
    </row>
    <row r="246" spans="1:14" ht="24.75" x14ac:dyDescent="0.25">
      <c r="A246" s="21" t="s">
        <v>6032</v>
      </c>
      <c r="B246" s="22" t="s">
        <v>6033</v>
      </c>
      <c r="C246" s="2">
        <v>56</v>
      </c>
      <c r="D246" s="23">
        <v>10.99</v>
      </c>
      <c r="E246" s="3">
        <v>615.44000000000005</v>
      </c>
      <c r="F246" s="2" t="s">
        <v>13319</v>
      </c>
      <c r="G246" s="22" t="s">
        <v>19415</v>
      </c>
      <c r="H246" s="24" t="s">
        <v>19352</v>
      </c>
      <c r="I246" s="22" t="s">
        <v>19309</v>
      </c>
      <c r="J246" s="22" t="s">
        <v>19353</v>
      </c>
      <c r="K246" s="22" t="s">
        <v>19524</v>
      </c>
      <c r="L246" s="22"/>
      <c r="M246" s="22"/>
      <c r="N246" s="25" t="str">
        <f>HYPERLINK("http://slimages.macys.com/is/image/MCY/21083368 ")</f>
        <v xml:space="preserve">http://slimages.macys.com/is/image/MCY/21083368 </v>
      </c>
    </row>
    <row r="247" spans="1:14" ht="24.75" x14ac:dyDescent="0.25">
      <c r="A247" s="21" t="s">
        <v>6036</v>
      </c>
      <c r="B247" s="22" t="s">
        <v>6037</v>
      </c>
      <c r="C247" s="2">
        <v>1</v>
      </c>
      <c r="D247" s="23">
        <v>10.99</v>
      </c>
      <c r="E247" s="3">
        <v>10.99</v>
      </c>
      <c r="F247" s="2" t="s">
        <v>13319</v>
      </c>
      <c r="G247" s="22" t="s">
        <v>19333</v>
      </c>
      <c r="H247" s="24" t="s">
        <v>19797</v>
      </c>
      <c r="I247" s="22" t="s">
        <v>19309</v>
      </c>
      <c r="J247" s="22" t="s">
        <v>19353</v>
      </c>
      <c r="K247" s="22" t="s">
        <v>19524</v>
      </c>
      <c r="L247" s="22"/>
      <c r="M247" s="22"/>
      <c r="N247" s="25" t="str">
        <f>HYPERLINK("http://slimages.macys.com/is/image/MCY/21083368 ")</f>
        <v xml:space="preserve">http://slimages.macys.com/is/image/MCY/21083368 </v>
      </c>
    </row>
    <row r="248" spans="1:14" ht="24.75" x14ac:dyDescent="0.25">
      <c r="A248" s="21" t="s">
        <v>4860</v>
      </c>
      <c r="B248" s="22" t="s">
        <v>4861</v>
      </c>
      <c r="C248" s="2">
        <v>8</v>
      </c>
      <c r="D248" s="23">
        <v>13.99</v>
      </c>
      <c r="E248" s="3">
        <v>111.92</v>
      </c>
      <c r="F248" s="2" t="s">
        <v>18729</v>
      </c>
      <c r="G248" s="22" t="s">
        <v>19670</v>
      </c>
      <c r="H248" s="24"/>
      <c r="I248" s="22" t="s">
        <v>19309</v>
      </c>
      <c r="J248" s="22" t="s">
        <v>19573</v>
      </c>
      <c r="K248" s="22" t="s">
        <v>19574</v>
      </c>
      <c r="L248" s="22"/>
      <c r="M248" s="22"/>
      <c r="N248" s="25" t="str">
        <f>HYPERLINK("http://slimages.macys.com/is/image/MCY/1520506 ")</f>
        <v xml:space="preserve">http://slimages.macys.com/is/image/MCY/1520506 </v>
      </c>
    </row>
    <row r="249" spans="1:14" ht="24.75" x14ac:dyDescent="0.25">
      <c r="A249" s="21" t="s">
        <v>4862</v>
      </c>
      <c r="B249" s="22" t="s">
        <v>4863</v>
      </c>
      <c r="C249" s="2">
        <v>1</v>
      </c>
      <c r="D249" s="23">
        <v>12.99</v>
      </c>
      <c r="E249" s="3">
        <v>12.99</v>
      </c>
      <c r="F249" s="2" t="s">
        <v>4864</v>
      </c>
      <c r="G249" s="22" t="s">
        <v>19351</v>
      </c>
      <c r="H249" s="24" t="s">
        <v>4865</v>
      </c>
      <c r="I249" s="22" t="s">
        <v>19309</v>
      </c>
      <c r="J249" s="22" t="s">
        <v>20076</v>
      </c>
      <c r="K249" s="22" t="s">
        <v>18822</v>
      </c>
      <c r="L249" s="22"/>
      <c r="M249" s="22"/>
      <c r="N249" s="25" t="str">
        <f>HYPERLINK("http://slimages.macys.com/is/image/MCY/20052312 ")</f>
        <v xml:space="preserve">http://slimages.macys.com/is/image/MCY/20052312 </v>
      </c>
    </row>
    <row r="250" spans="1:14" ht="24.75" x14ac:dyDescent="0.25">
      <c r="A250" s="21" t="s">
        <v>4866</v>
      </c>
      <c r="B250" s="22" t="s">
        <v>4867</v>
      </c>
      <c r="C250" s="2">
        <v>1</v>
      </c>
      <c r="D250" s="23">
        <v>14.99</v>
      </c>
      <c r="E250" s="3">
        <v>14.99</v>
      </c>
      <c r="F250" s="2" t="s">
        <v>18746</v>
      </c>
      <c r="G250" s="22" t="s">
        <v>19351</v>
      </c>
      <c r="H250" s="24" t="s">
        <v>19352</v>
      </c>
      <c r="I250" s="22" t="s">
        <v>19309</v>
      </c>
      <c r="J250" s="22" t="s">
        <v>19815</v>
      </c>
      <c r="K250" s="22" t="s">
        <v>19816</v>
      </c>
      <c r="L250" s="22"/>
      <c r="M250" s="22"/>
      <c r="N250" s="25" t="str">
        <f>HYPERLINK("http://slimages.macys.com/is/image/MCY/20815259 ")</f>
        <v xml:space="preserve">http://slimages.macys.com/is/image/MCY/20815259 </v>
      </c>
    </row>
    <row r="251" spans="1:14" x14ac:dyDescent="0.25">
      <c r="A251" s="21" t="s">
        <v>4868</v>
      </c>
      <c r="B251" s="22" t="s">
        <v>4869</v>
      </c>
      <c r="C251" s="2">
        <v>1</v>
      </c>
      <c r="D251" s="23">
        <v>18</v>
      </c>
      <c r="E251" s="3">
        <v>18</v>
      </c>
      <c r="F251" s="2" t="s">
        <v>4870</v>
      </c>
      <c r="G251" s="22"/>
      <c r="H251" s="24" t="s">
        <v>19330</v>
      </c>
      <c r="I251" s="22" t="s">
        <v>19309</v>
      </c>
      <c r="J251" s="22" t="s">
        <v>19708</v>
      </c>
      <c r="K251" s="22" t="s">
        <v>19709</v>
      </c>
      <c r="L251" s="22"/>
      <c r="M251" s="22"/>
      <c r="N251" s="25" t="str">
        <f>HYPERLINK("http://slimages.macys.com/is/image/MCY/21726356 ")</f>
        <v xml:space="preserve">http://slimages.macys.com/is/image/MCY/21726356 </v>
      </c>
    </row>
    <row r="252" spans="1:14" ht="24.75" x14ac:dyDescent="0.25">
      <c r="A252" s="21" t="s">
        <v>4871</v>
      </c>
      <c r="B252" s="22" t="s">
        <v>4872</v>
      </c>
      <c r="C252" s="2">
        <v>1</v>
      </c>
      <c r="D252" s="23">
        <v>11.99</v>
      </c>
      <c r="E252" s="3">
        <v>11.99</v>
      </c>
      <c r="F252" s="2">
        <v>4217</v>
      </c>
      <c r="G252" s="22" t="s">
        <v>19351</v>
      </c>
      <c r="H252" s="24" t="s">
        <v>19797</v>
      </c>
      <c r="I252" s="22" t="s">
        <v>19309</v>
      </c>
      <c r="J252" s="22" t="s">
        <v>20076</v>
      </c>
      <c r="K252" s="22" t="s">
        <v>20077</v>
      </c>
      <c r="L252" s="22" t="s">
        <v>19319</v>
      </c>
      <c r="M252" s="22" t="s">
        <v>19209</v>
      </c>
      <c r="N252" s="25" t="str">
        <f>HYPERLINK("http://slimages.macys.com/is/image/MCY/13050192 ")</f>
        <v xml:space="preserve">http://slimages.macys.com/is/image/MCY/13050192 </v>
      </c>
    </row>
    <row r="253" spans="1:14" ht="24.75" x14ac:dyDescent="0.25">
      <c r="A253" s="21" t="s">
        <v>9636</v>
      </c>
      <c r="B253" s="22" t="s">
        <v>9637</v>
      </c>
      <c r="C253" s="2">
        <v>1</v>
      </c>
      <c r="D253" s="23">
        <v>11.99</v>
      </c>
      <c r="E253" s="3">
        <v>11.99</v>
      </c>
      <c r="F253" s="2">
        <v>4217</v>
      </c>
      <c r="G253" s="22" t="s">
        <v>19351</v>
      </c>
      <c r="H253" s="24" t="s">
        <v>19352</v>
      </c>
      <c r="I253" s="22" t="s">
        <v>19309</v>
      </c>
      <c r="J253" s="22" t="s">
        <v>20076</v>
      </c>
      <c r="K253" s="22" t="s">
        <v>20077</v>
      </c>
      <c r="L253" s="22" t="s">
        <v>19319</v>
      </c>
      <c r="M253" s="22" t="s">
        <v>19209</v>
      </c>
      <c r="N253" s="25" t="str">
        <f>HYPERLINK("http://slimages.macys.com/is/image/MCY/13050192 ")</f>
        <v xml:space="preserve">http://slimages.macys.com/is/image/MCY/13050192 </v>
      </c>
    </row>
    <row r="254" spans="1:14" ht="24.75" x14ac:dyDescent="0.25">
      <c r="A254" s="21" t="s">
        <v>8331</v>
      </c>
      <c r="B254" s="22" t="s">
        <v>8332</v>
      </c>
      <c r="C254" s="2">
        <v>11</v>
      </c>
      <c r="D254" s="23">
        <v>8.31</v>
      </c>
      <c r="E254" s="3">
        <v>91.41</v>
      </c>
      <c r="F254" s="2" t="s">
        <v>11115</v>
      </c>
      <c r="G254" s="22" t="s">
        <v>19431</v>
      </c>
      <c r="H254" s="24" t="s">
        <v>19352</v>
      </c>
      <c r="I254" s="22" t="s">
        <v>19309</v>
      </c>
      <c r="J254" s="22" t="s">
        <v>19565</v>
      </c>
      <c r="K254" s="22" t="s">
        <v>18514</v>
      </c>
      <c r="L254" s="22"/>
      <c r="M254" s="22"/>
      <c r="N254" s="25" t="str">
        <f>HYPERLINK("http://slimages.macys.com/is/image/MCY/21901987 ")</f>
        <v xml:space="preserve">http://slimages.macys.com/is/image/MCY/21901987 </v>
      </c>
    </row>
    <row r="255" spans="1:14" x14ac:dyDescent="0.25">
      <c r="A255" s="21" t="s">
        <v>6079</v>
      </c>
      <c r="B255" s="22" t="s">
        <v>6080</v>
      </c>
      <c r="C255" s="2">
        <v>1</v>
      </c>
      <c r="D255" s="23">
        <v>9.99</v>
      </c>
      <c r="E255" s="3">
        <v>9.99</v>
      </c>
      <c r="F255" s="2" t="s">
        <v>6078</v>
      </c>
      <c r="G255" s="22" t="s">
        <v>19467</v>
      </c>
      <c r="H255" s="24" t="s">
        <v>20089</v>
      </c>
      <c r="I255" s="22" t="s">
        <v>19309</v>
      </c>
      <c r="J255" s="22" t="s">
        <v>19849</v>
      </c>
      <c r="K255" s="22" t="s">
        <v>19850</v>
      </c>
      <c r="L255" s="22"/>
      <c r="M255" s="22"/>
      <c r="N255" s="25" t="str">
        <f>HYPERLINK("http://slimages.macys.com/is/image/MCY/20949674 ")</f>
        <v xml:space="preserve">http://slimages.macys.com/is/image/MCY/20949674 </v>
      </c>
    </row>
    <row r="256" spans="1:14" x14ac:dyDescent="0.25">
      <c r="A256" s="21" t="s">
        <v>16401</v>
      </c>
      <c r="B256" s="22" t="s">
        <v>16402</v>
      </c>
      <c r="C256" s="2">
        <v>1</v>
      </c>
      <c r="D256" s="23">
        <v>9.99</v>
      </c>
      <c r="E256" s="3">
        <v>9.99</v>
      </c>
      <c r="F256" s="2" t="s">
        <v>16800</v>
      </c>
      <c r="G256" s="22" t="s">
        <v>19670</v>
      </c>
      <c r="H256" s="24" t="s">
        <v>19377</v>
      </c>
      <c r="I256" s="22" t="s">
        <v>19309</v>
      </c>
      <c r="J256" s="22" t="s">
        <v>19849</v>
      </c>
      <c r="K256" s="22" t="s">
        <v>19850</v>
      </c>
      <c r="L256" s="22"/>
      <c r="M256" s="22"/>
      <c r="N256" s="25" t="str">
        <f>HYPERLINK("http://slimages.macys.com/is/image/MCY/20949718 ")</f>
        <v xml:space="preserve">http://slimages.macys.com/is/image/MCY/20949718 </v>
      </c>
    </row>
    <row r="257" spans="1:14" x14ac:dyDescent="0.25">
      <c r="A257" s="21" t="s">
        <v>4873</v>
      </c>
      <c r="B257" s="22" t="s">
        <v>4874</v>
      </c>
      <c r="C257" s="2">
        <v>1</v>
      </c>
      <c r="D257" s="23">
        <v>11.99</v>
      </c>
      <c r="E257" s="3">
        <v>11.99</v>
      </c>
      <c r="F257" s="2" t="s">
        <v>4875</v>
      </c>
      <c r="G257" s="22" t="s">
        <v>19415</v>
      </c>
      <c r="H257" s="24" t="s">
        <v>19352</v>
      </c>
      <c r="I257" s="22" t="s">
        <v>19309</v>
      </c>
      <c r="J257" s="22" t="s">
        <v>19849</v>
      </c>
      <c r="K257" s="22" t="s">
        <v>19850</v>
      </c>
      <c r="L257" s="22"/>
      <c r="M257" s="22"/>
      <c r="N257" s="25" t="str">
        <f>HYPERLINK("http://slimages.macys.com/is/image/MCY/20531197 ")</f>
        <v xml:space="preserve">http://slimages.macys.com/is/image/MCY/20531197 </v>
      </c>
    </row>
    <row r="258" spans="1:14" x14ac:dyDescent="0.25">
      <c r="A258" s="21" t="s">
        <v>7113</v>
      </c>
      <c r="B258" s="22" t="s">
        <v>7114</v>
      </c>
      <c r="C258" s="2">
        <v>1</v>
      </c>
      <c r="D258" s="23">
        <v>16</v>
      </c>
      <c r="E258" s="3">
        <v>16</v>
      </c>
      <c r="F258" s="2" t="s">
        <v>7115</v>
      </c>
      <c r="G258" s="22" t="s">
        <v>19467</v>
      </c>
      <c r="H258" s="24" t="s">
        <v>20159</v>
      </c>
      <c r="I258" s="22" t="s">
        <v>19309</v>
      </c>
      <c r="J258" s="22" t="s">
        <v>19708</v>
      </c>
      <c r="K258" s="22" t="s">
        <v>19709</v>
      </c>
      <c r="L258" s="22"/>
      <c r="M258" s="22"/>
      <c r="N258" s="25" t="str">
        <f>HYPERLINK("http://slimages.macys.com/is/image/MCY/21726120 ")</f>
        <v xml:space="preserve">http://slimages.macys.com/is/image/MCY/21726120 </v>
      </c>
    </row>
    <row r="259" spans="1:14" ht="24.75" x14ac:dyDescent="0.25">
      <c r="A259" s="21" t="s">
        <v>4876</v>
      </c>
      <c r="B259" s="22" t="s">
        <v>4877</v>
      </c>
      <c r="C259" s="2">
        <v>1</v>
      </c>
      <c r="D259" s="23">
        <v>9.4</v>
      </c>
      <c r="E259" s="3">
        <v>9.4</v>
      </c>
      <c r="F259" s="2" t="s">
        <v>4878</v>
      </c>
      <c r="G259" s="22" t="s">
        <v>19333</v>
      </c>
      <c r="H259" s="24" t="s">
        <v>19345</v>
      </c>
      <c r="I259" s="22" t="s">
        <v>19309</v>
      </c>
      <c r="J259" s="22" t="s">
        <v>19602</v>
      </c>
      <c r="K259" s="22" t="s">
        <v>20041</v>
      </c>
      <c r="L259" s="22"/>
      <c r="M259" s="22"/>
      <c r="N259" s="25" t="str">
        <f>HYPERLINK("http://slimages.macys.com/is/image/MCY/21669765 ")</f>
        <v xml:space="preserve">http://slimages.macys.com/is/image/MCY/21669765 </v>
      </c>
    </row>
    <row r="260" spans="1:14" x14ac:dyDescent="0.25">
      <c r="A260" s="21" t="s">
        <v>16835</v>
      </c>
      <c r="B260" s="22" t="s">
        <v>16836</v>
      </c>
      <c r="C260" s="2">
        <v>1</v>
      </c>
      <c r="D260" s="23">
        <v>9.99</v>
      </c>
      <c r="E260" s="3">
        <v>9.99</v>
      </c>
      <c r="F260" s="2" t="s">
        <v>16837</v>
      </c>
      <c r="G260" s="22" t="s">
        <v>19351</v>
      </c>
      <c r="H260" s="24" t="s">
        <v>20089</v>
      </c>
      <c r="I260" s="22" t="s">
        <v>19309</v>
      </c>
      <c r="J260" s="22" t="s">
        <v>19849</v>
      </c>
      <c r="K260" s="22" t="s">
        <v>19850</v>
      </c>
      <c r="L260" s="22"/>
      <c r="M260" s="22"/>
      <c r="N260" s="25" t="str">
        <f>HYPERLINK("http://slimages.macys.com/is/image/MCY/20949730 ")</f>
        <v xml:space="preserve">http://slimages.macys.com/is/image/MCY/20949730 </v>
      </c>
    </row>
    <row r="261" spans="1:14" x14ac:dyDescent="0.25">
      <c r="A261" s="21" t="s">
        <v>4879</v>
      </c>
      <c r="B261" s="22" t="s">
        <v>4880</v>
      </c>
      <c r="C261" s="2">
        <v>1</v>
      </c>
      <c r="D261" s="23">
        <v>11.99</v>
      </c>
      <c r="E261" s="3">
        <v>11.99</v>
      </c>
      <c r="F261" s="2" t="s">
        <v>4881</v>
      </c>
      <c r="G261" s="22" t="s">
        <v>19315</v>
      </c>
      <c r="H261" s="24" t="s">
        <v>19797</v>
      </c>
      <c r="I261" s="22" t="s">
        <v>19309</v>
      </c>
      <c r="J261" s="22" t="s">
        <v>19849</v>
      </c>
      <c r="K261" s="22" t="s">
        <v>19850</v>
      </c>
      <c r="L261" s="22"/>
      <c r="M261" s="22"/>
      <c r="N261" s="25" t="str">
        <f>HYPERLINK("http://slimages.macys.com/is/image/MCY/21349868 ")</f>
        <v xml:space="preserve">http://slimages.macys.com/is/image/MCY/21349868 </v>
      </c>
    </row>
    <row r="262" spans="1:14" ht="24.75" x14ac:dyDescent="0.25">
      <c r="A262" s="21" t="s">
        <v>4882</v>
      </c>
      <c r="B262" s="22" t="s">
        <v>4883</v>
      </c>
      <c r="C262" s="2">
        <v>2</v>
      </c>
      <c r="D262" s="23">
        <v>13.99</v>
      </c>
      <c r="E262" s="3">
        <v>27.98</v>
      </c>
      <c r="F262" s="2" t="s">
        <v>16432</v>
      </c>
      <c r="G262" s="22" t="s">
        <v>19351</v>
      </c>
      <c r="H262" s="24" t="s">
        <v>19432</v>
      </c>
      <c r="I262" s="22" t="s">
        <v>19309</v>
      </c>
      <c r="J262" s="22" t="s">
        <v>19815</v>
      </c>
      <c r="K262" s="22" t="s">
        <v>19816</v>
      </c>
      <c r="L262" s="22"/>
      <c r="M262" s="22"/>
      <c r="N262" s="25" t="str">
        <f>HYPERLINK("http://slimages.macys.com/is/image/MCY/21278560 ")</f>
        <v xml:space="preserve">http://slimages.macys.com/is/image/MCY/21278560 </v>
      </c>
    </row>
    <row r="263" spans="1:14" ht="24.75" x14ac:dyDescent="0.25">
      <c r="A263" s="21" t="s">
        <v>4884</v>
      </c>
      <c r="B263" s="22" t="s">
        <v>4885</v>
      </c>
      <c r="C263" s="2">
        <v>23</v>
      </c>
      <c r="D263" s="23">
        <v>11.99</v>
      </c>
      <c r="E263" s="3">
        <v>275.77</v>
      </c>
      <c r="F263" s="2">
        <v>4217</v>
      </c>
      <c r="G263" s="22" t="s">
        <v>19422</v>
      </c>
      <c r="H263" s="24" t="s">
        <v>19364</v>
      </c>
      <c r="I263" s="22" t="s">
        <v>19309</v>
      </c>
      <c r="J263" s="22" t="s">
        <v>20076</v>
      </c>
      <c r="K263" s="22" t="s">
        <v>20077</v>
      </c>
      <c r="L263" s="22" t="s">
        <v>19319</v>
      </c>
      <c r="M263" s="22" t="s">
        <v>19209</v>
      </c>
      <c r="N263" s="25" t="str">
        <f>HYPERLINK("http://slimages.macys.com/is/image/MCY/13050192 ")</f>
        <v xml:space="preserve">http://slimages.macys.com/is/image/MCY/13050192 </v>
      </c>
    </row>
    <row r="264" spans="1:14" ht="24.75" x14ac:dyDescent="0.25">
      <c r="A264" s="21" t="s">
        <v>9645</v>
      </c>
      <c r="B264" s="22" t="s">
        <v>9646</v>
      </c>
      <c r="C264" s="2">
        <v>3</v>
      </c>
      <c r="D264" s="23">
        <v>11.99</v>
      </c>
      <c r="E264" s="3">
        <v>35.97</v>
      </c>
      <c r="F264" s="2">
        <v>4217</v>
      </c>
      <c r="G264" s="22" t="s">
        <v>19422</v>
      </c>
      <c r="H264" s="24" t="s">
        <v>19797</v>
      </c>
      <c r="I264" s="22" t="s">
        <v>19309</v>
      </c>
      <c r="J264" s="22" t="s">
        <v>20076</v>
      </c>
      <c r="K264" s="22" t="s">
        <v>20077</v>
      </c>
      <c r="L264" s="22" t="s">
        <v>19319</v>
      </c>
      <c r="M264" s="22" t="s">
        <v>19209</v>
      </c>
      <c r="N264" s="25" t="str">
        <f>HYPERLINK("http://slimages.macys.com/is/image/MCY/13050192 ")</f>
        <v xml:space="preserve">http://slimages.macys.com/is/image/MCY/13050192 </v>
      </c>
    </row>
    <row r="265" spans="1:14" ht="24.75" x14ac:dyDescent="0.25">
      <c r="A265" s="21" t="s">
        <v>9109</v>
      </c>
      <c r="B265" s="22" t="s">
        <v>9110</v>
      </c>
      <c r="C265" s="2">
        <v>1</v>
      </c>
      <c r="D265" s="23">
        <v>6.99</v>
      </c>
      <c r="E265" s="3">
        <v>6.99</v>
      </c>
      <c r="F265" s="2" t="s">
        <v>18841</v>
      </c>
      <c r="G265" s="22" t="s">
        <v>19618</v>
      </c>
      <c r="H265" s="24" t="s">
        <v>19797</v>
      </c>
      <c r="I265" s="22" t="s">
        <v>19309</v>
      </c>
      <c r="J265" s="22" t="s">
        <v>19849</v>
      </c>
      <c r="K265" s="22" t="s">
        <v>19850</v>
      </c>
      <c r="L265" s="22"/>
      <c r="M265" s="22"/>
      <c r="N265" s="25" t="str">
        <f>HYPERLINK("http://slimages.macys.com/is/image/MCY/19068309 ")</f>
        <v xml:space="preserve">http://slimages.macys.com/is/image/MCY/19068309 </v>
      </c>
    </row>
    <row r="266" spans="1:14" x14ac:dyDescent="0.25">
      <c r="A266" s="21" t="s">
        <v>4886</v>
      </c>
      <c r="B266" s="22" t="s">
        <v>4887</v>
      </c>
      <c r="C266" s="2">
        <v>1</v>
      </c>
      <c r="D266" s="23">
        <v>6.99</v>
      </c>
      <c r="E266" s="3">
        <v>6.99</v>
      </c>
      <c r="F266" s="2" t="s">
        <v>9119</v>
      </c>
      <c r="G266" s="22" t="s">
        <v>19618</v>
      </c>
      <c r="H266" s="24" t="s">
        <v>19542</v>
      </c>
      <c r="I266" s="22" t="s">
        <v>19309</v>
      </c>
      <c r="J266" s="22" t="s">
        <v>19849</v>
      </c>
      <c r="K266" s="22" t="s">
        <v>19850</v>
      </c>
      <c r="L266" s="22"/>
      <c r="M266" s="22"/>
      <c r="N266" s="25" t="str">
        <f>HYPERLINK("http://slimages.macys.com/is/image/MCY/20549231 ")</f>
        <v xml:space="preserve">http://slimages.macys.com/is/image/MCY/20549231 </v>
      </c>
    </row>
    <row r="267" spans="1:14" x14ac:dyDescent="0.25">
      <c r="A267" s="21" t="s">
        <v>4888</v>
      </c>
      <c r="B267" s="22" t="s">
        <v>4889</v>
      </c>
      <c r="C267" s="2">
        <v>1</v>
      </c>
      <c r="D267" s="23">
        <v>6.99</v>
      </c>
      <c r="E267" s="3">
        <v>6.99</v>
      </c>
      <c r="F267" s="2" t="s">
        <v>9119</v>
      </c>
      <c r="G267" s="22" t="s">
        <v>19618</v>
      </c>
      <c r="H267" s="24" t="s">
        <v>19377</v>
      </c>
      <c r="I267" s="22" t="s">
        <v>19309</v>
      </c>
      <c r="J267" s="22" t="s">
        <v>19849</v>
      </c>
      <c r="K267" s="22" t="s">
        <v>19850</v>
      </c>
      <c r="L267" s="22"/>
      <c r="M267" s="22"/>
      <c r="N267" s="25" t="str">
        <f>HYPERLINK("http://slimages.macys.com/is/image/MCY/20549231 ")</f>
        <v xml:space="preserve">http://slimages.macys.com/is/image/MCY/20549231 </v>
      </c>
    </row>
    <row r="268" spans="1:14" x14ac:dyDescent="0.25">
      <c r="A268" s="21" t="s">
        <v>4890</v>
      </c>
      <c r="B268" s="22" t="s">
        <v>4891</v>
      </c>
      <c r="C268" s="2">
        <v>1</v>
      </c>
      <c r="D268" s="23">
        <v>9.99</v>
      </c>
      <c r="E268" s="3">
        <v>9.99</v>
      </c>
      <c r="F268" s="2" t="s">
        <v>16446</v>
      </c>
      <c r="G268" s="22" t="s">
        <v>19315</v>
      </c>
      <c r="H268" s="24" t="s">
        <v>19542</v>
      </c>
      <c r="I268" s="22" t="s">
        <v>19309</v>
      </c>
      <c r="J268" s="22" t="s">
        <v>19849</v>
      </c>
      <c r="K268" s="22" t="s">
        <v>19850</v>
      </c>
      <c r="L268" s="22"/>
      <c r="M268" s="22"/>
      <c r="N268" s="25" t="str">
        <f>HYPERLINK("http://slimages.macys.com/is/image/MCY/21251285 ")</f>
        <v xml:space="preserve">http://slimages.macys.com/is/image/MCY/21251285 </v>
      </c>
    </row>
    <row r="269" spans="1:14" ht="24.75" x14ac:dyDescent="0.25">
      <c r="A269" s="21" t="s">
        <v>4892</v>
      </c>
      <c r="B269" s="22" t="s">
        <v>4893</v>
      </c>
      <c r="C269" s="2">
        <v>1</v>
      </c>
      <c r="D269" s="23">
        <v>10.99</v>
      </c>
      <c r="E269" s="3">
        <v>10.99</v>
      </c>
      <c r="F269" s="2" t="s">
        <v>16871</v>
      </c>
      <c r="G269" s="22" t="s">
        <v>19585</v>
      </c>
      <c r="H269" s="24" t="s">
        <v>19384</v>
      </c>
      <c r="I269" s="22" t="s">
        <v>19309</v>
      </c>
      <c r="J269" s="22" t="s">
        <v>19573</v>
      </c>
      <c r="K269" s="22" t="s">
        <v>19574</v>
      </c>
      <c r="L269" s="22"/>
      <c r="M269" s="22"/>
      <c r="N269" s="25" t="str">
        <f>HYPERLINK("http://slimages.macys.com/is/image/MCY/1141502 ")</f>
        <v xml:space="preserve">http://slimages.macys.com/is/image/MCY/1141502 </v>
      </c>
    </row>
    <row r="270" spans="1:14" ht="24.75" x14ac:dyDescent="0.25">
      <c r="A270" s="21" t="s">
        <v>14071</v>
      </c>
      <c r="B270" s="22" t="s">
        <v>14072</v>
      </c>
      <c r="C270" s="2">
        <v>18</v>
      </c>
      <c r="D270" s="23">
        <v>8.99</v>
      </c>
      <c r="E270" s="3">
        <v>161.82</v>
      </c>
      <c r="F270" s="2" t="s">
        <v>18872</v>
      </c>
      <c r="G270" s="22" t="s">
        <v>19906</v>
      </c>
      <c r="H270" s="24" t="s">
        <v>20135</v>
      </c>
      <c r="I270" s="22" t="s">
        <v>19309</v>
      </c>
      <c r="J270" s="22" t="s">
        <v>19573</v>
      </c>
      <c r="K270" s="22" t="s">
        <v>19574</v>
      </c>
      <c r="L270" s="22"/>
      <c r="M270" s="22"/>
      <c r="N270" s="25" t="str">
        <f>HYPERLINK("http://slimages.macys.com/is/image/MCY/21361653 ")</f>
        <v xml:space="preserve">http://slimages.macys.com/is/image/MCY/21361653 </v>
      </c>
    </row>
    <row r="271" spans="1:14" ht="24.75" x14ac:dyDescent="0.25">
      <c r="A271" s="21" t="s">
        <v>14089</v>
      </c>
      <c r="B271" s="22" t="s">
        <v>14090</v>
      </c>
      <c r="C271" s="2">
        <v>1</v>
      </c>
      <c r="D271" s="23">
        <v>8.42</v>
      </c>
      <c r="E271" s="3">
        <v>8.42</v>
      </c>
      <c r="F271" s="2" t="s">
        <v>16463</v>
      </c>
      <c r="G271" s="22"/>
      <c r="H271" s="24" t="s">
        <v>19392</v>
      </c>
      <c r="I271" s="22" t="s">
        <v>19309</v>
      </c>
      <c r="J271" s="22" t="s">
        <v>19602</v>
      </c>
      <c r="K271" s="22" t="s">
        <v>20041</v>
      </c>
      <c r="L271" s="22"/>
      <c r="M271" s="22"/>
      <c r="N271" s="25" t="str">
        <f>HYPERLINK("http://slimages.macys.com/is/image/MCY/21722988 ")</f>
        <v xml:space="preserve">http://slimages.macys.com/is/image/MCY/21722988 </v>
      </c>
    </row>
    <row r="272" spans="1:14" ht="24.75" x14ac:dyDescent="0.25">
      <c r="A272" s="21" t="s">
        <v>18884</v>
      </c>
      <c r="B272" s="22" t="s">
        <v>18885</v>
      </c>
      <c r="C272" s="2">
        <v>1</v>
      </c>
      <c r="D272" s="23">
        <v>8.99</v>
      </c>
      <c r="E272" s="3">
        <v>8.99</v>
      </c>
      <c r="F272" s="2" t="s">
        <v>18886</v>
      </c>
      <c r="G272" s="22" t="s">
        <v>19415</v>
      </c>
      <c r="H272" s="24" t="s">
        <v>19907</v>
      </c>
      <c r="I272" s="22" t="s">
        <v>19309</v>
      </c>
      <c r="J272" s="22" t="s">
        <v>19573</v>
      </c>
      <c r="K272" s="22" t="s">
        <v>19574</v>
      </c>
      <c r="L272" s="22"/>
      <c r="M272" s="22"/>
      <c r="N272" s="25" t="str">
        <f>HYPERLINK("http://slimages.macys.com/is/image/MCY/21361541 ")</f>
        <v xml:space="preserve">http://slimages.macys.com/is/image/MCY/21361541 </v>
      </c>
    </row>
    <row r="273" spans="1:14" x14ac:dyDescent="0.25">
      <c r="A273" s="21" t="s">
        <v>4894</v>
      </c>
      <c r="B273" s="22" t="s">
        <v>4895</v>
      </c>
      <c r="C273" s="2">
        <v>1</v>
      </c>
      <c r="D273" s="23">
        <v>9.1999999999999993</v>
      </c>
      <c r="E273" s="3">
        <v>9.1999999999999993</v>
      </c>
      <c r="F273" s="2" t="s">
        <v>4896</v>
      </c>
      <c r="G273" s="22"/>
      <c r="H273" s="24" t="s">
        <v>20159</v>
      </c>
      <c r="I273" s="22" t="s">
        <v>19309</v>
      </c>
      <c r="J273" s="22" t="s">
        <v>19708</v>
      </c>
      <c r="K273" s="22" t="s">
        <v>19709</v>
      </c>
      <c r="L273" s="22"/>
      <c r="M273" s="22"/>
      <c r="N273" s="25" t="str">
        <f>HYPERLINK("http://slimages.macys.com/is/image/MCY/19018948 ")</f>
        <v xml:space="preserve">http://slimages.macys.com/is/image/MCY/19018948 </v>
      </c>
    </row>
    <row r="274" spans="1:14" ht="24.75" x14ac:dyDescent="0.25">
      <c r="A274" s="21" t="s">
        <v>4897</v>
      </c>
      <c r="B274" s="22" t="s">
        <v>4898</v>
      </c>
      <c r="C274" s="2">
        <v>1</v>
      </c>
      <c r="D274" s="23">
        <v>6.99</v>
      </c>
      <c r="E274" s="3">
        <v>6.99</v>
      </c>
      <c r="F274" s="2">
        <v>7128</v>
      </c>
      <c r="G274" s="22" t="s">
        <v>11766</v>
      </c>
      <c r="H274" s="24" t="s">
        <v>19364</v>
      </c>
      <c r="I274" s="22" t="s">
        <v>19309</v>
      </c>
      <c r="J274" s="22" t="s">
        <v>20076</v>
      </c>
      <c r="K274" s="22" t="s">
        <v>12019</v>
      </c>
      <c r="L274" s="22"/>
      <c r="M274" s="22"/>
      <c r="N274" s="25" t="str">
        <f>HYPERLINK("http://slimages.macys.com/is/image/MCY/21485283 ")</f>
        <v xml:space="preserve">http://slimages.macys.com/is/image/MCY/21485283 </v>
      </c>
    </row>
    <row r="275" spans="1:14" x14ac:dyDescent="0.25">
      <c r="A275" s="21" t="s">
        <v>6171</v>
      </c>
      <c r="B275" s="22" t="s">
        <v>6172</v>
      </c>
      <c r="C275" s="2">
        <v>1</v>
      </c>
      <c r="D275" s="23">
        <v>7.99</v>
      </c>
      <c r="E275" s="3">
        <v>7.99</v>
      </c>
      <c r="F275" s="2" t="s">
        <v>16840</v>
      </c>
      <c r="G275" s="22" t="s">
        <v>19674</v>
      </c>
      <c r="H275" s="24" t="s">
        <v>20089</v>
      </c>
      <c r="I275" s="22" t="s">
        <v>19309</v>
      </c>
      <c r="J275" s="22" t="s">
        <v>19849</v>
      </c>
      <c r="K275" s="22" t="s">
        <v>19850</v>
      </c>
      <c r="L275" s="22"/>
      <c r="M275" s="22"/>
      <c r="N275" s="25" t="str">
        <f>HYPERLINK("http://slimages.macys.com/is/image/MCY/19068277 ")</f>
        <v xml:space="preserve">http://slimages.macys.com/is/image/MCY/19068277 </v>
      </c>
    </row>
    <row r="276" spans="1:14" ht="24.75" x14ac:dyDescent="0.25">
      <c r="A276" s="21" t="s">
        <v>14106</v>
      </c>
      <c r="B276" s="22" t="s">
        <v>14107</v>
      </c>
      <c r="C276" s="2">
        <v>1</v>
      </c>
      <c r="D276" s="23">
        <v>7.99</v>
      </c>
      <c r="E276" s="3">
        <v>7.99</v>
      </c>
      <c r="F276" s="2" t="s">
        <v>14108</v>
      </c>
      <c r="G276" s="22" t="s">
        <v>19351</v>
      </c>
      <c r="H276" s="24" t="s">
        <v>20089</v>
      </c>
      <c r="I276" s="22" t="s">
        <v>19309</v>
      </c>
      <c r="J276" s="22" t="s">
        <v>19908</v>
      </c>
      <c r="K276" s="22" t="s">
        <v>19524</v>
      </c>
      <c r="L276" s="22"/>
      <c r="M276" s="22"/>
      <c r="N276" s="25" t="str">
        <f>HYPERLINK("http://slimages.macys.com/is/image/MCY/20450163 ")</f>
        <v xml:space="preserve">http://slimages.macys.com/is/image/MCY/20450163 </v>
      </c>
    </row>
    <row r="277" spans="1:14" ht="24.75" x14ac:dyDescent="0.25">
      <c r="A277" s="21" t="s">
        <v>4899</v>
      </c>
      <c r="B277" s="22" t="s">
        <v>4900</v>
      </c>
      <c r="C277" s="2">
        <v>1</v>
      </c>
      <c r="D277" s="23">
        <v>6.99</v>
      </c>
      <c r="E277" s="3">
        <v>6.99</v>
      </c>
      <c r="F277" s="2" t="s">
        <v>4901</v>
      </c>
      <c r="G277" s="22" t="s">
        <v>19351</v>
      </c>
      <c r="H277" s="24" t="s">
        <v>19797</v>
      </c>
      <c r="I277" s="22" t="s">
        <v>19309</v>
      </c>
      <c r="J277" s="22" t="s">
        <v>19353</v>
      </c>
      <c r="K277" s="22" t="s">
        <v>19354</v>
      </c>
      <c r="L277" s="22"/>
      <c r="M277" s="22"/>
      <c r="N277" s="25" t="str">
        <f>HYPERLINK("http://slimages.macys.com/is/image/MCY/20708668 ")</f>
        <v xml:space="preserve">http://slimages.macys.com/is/image/MCY/20708668 </v>
      </c>
    </row>
    <row r="278" spans="1:14" ht="24.75" x14ac:dyDescent="0.25">
      <c r="A278" s="21" t="s">
        <v>4902</v>
      </c>
      <c r="B278" s="22" t="s">
        <v>4903</v>
      </c>
      <c r="C278" s="2">
        <v>1</v>
      </c>
      <c r="D278" s="23">
        <v>8.99</v>
      </c>
      <c r="E278" s="3">
        <v>8.99</v>
      </c>
      <c r="F278" s="2" t="s">
        <v>4904</v>
      </c>
      <c r="G278" s="22" t="s">
        <v>19906</v>
      </c>
      <c r="H278" s="24" t="s">
        <v>20135</v>
      </c>
      <c r="I278" s="22" t="s">
        <v>19309</v>
      </c>
      <c r="J278" s="22" t="s">
        <v>19573</v>
      </c>
      <c r="K278" s="22" t="s">
        <v>19574</v>
      </c>
      <c r="L278" s="22"/>
      <c r="M278" s="22"/>
      <c r="N278" s="25" t="str">
        <f>HYPERLINK("http://slimages.macys.com/is/image/MCY/1610400 ")</f>
        <v xml:space="preserve">http://slimages.macys.com/is/image/MCY/1610400 </v>
      </c>
    </row>
    <row r="279" spans="1:14" ht="24.75" x14ac:dyDescent="0.25">
      <c r="A279" s="21" t="s">
        <v>4905</v>
      </c>
      <c r="B279" s="22" t="s">
        <v>4906</v>
      </c>
      <c r="C279" s="2">
        <v>1</v>
      </c>
      <c r="D279" s="23">
        <v>7.99</v>
      </c>
      <c r="E279" s="3">
        <v>7.99</v>
      </c>
      <c r="F279" s="2" t="s">
        <v>12515</v>
      </c>
      <c r="G279" s="22" t="s">
        <v>19518</v>
      </c>
      <c r="H279" s="24" t="s">
        <v>20089</v>
      </c>
      <c r="I279" s="22" t="s">
        <v>19309</v>
      </c>
      <c r="J279" s="22" t="s">
        <v>19573</v>
      </c>
      <c r="K279" s="22" t="s">
        <v>19574</v>
      </c>
      <c r="L279" s="22"/>
      <c r="M279" s="22"/>
      <c r="N279" s="25" t="str">
        <f>HYPERLINK("http://slimages.macys.com/is/image/MCY/17661777 ")</f>
        <v xml:space="preserve">http://slimages.macys.com/is/image/MCY/17661777 </v>
      </c>
    </row>
    <row r="280" spans="1:14" ht="24.75" x14ac:dyDescent="0.25">
      <c r="A280" s="21" t="s">
        <v>4907</v>
      </c>
      <c r="B280" s="22" t="s">
        <v>4908</v>
      </c>
      <c r="C280" s="2">
        <v>1</v>
      </c>
      <c r="D280" s="23">
        <v>7.99</v>
      </c>
      <c r="E280" s="3">
        <v>7.99</v>
      </c>
      <c r="F280" s="2" t="s">
        <v>4909</v>
      </c>
      <c r="G280" s="22" t="s">
        <v>19674</v>
      </c>
      <c r="H280" s="24" t="s">
        <v>19907</v>
      </c>
      <c r="I280" s="22" t="s">
        <v>19309</v>
      </c>
      <c r="J280" s="22" t="s">
        <v>19573</v>
      </c>
      <c r="K280" s="22" t="s">
        <v>19574</v>
      </c>
      <c r="L280" s="22"/>
      <c r="M280" s="22"/>
      <c r="N280" s="25" t="str">
        <f>HYPERLINK("http://slimages.macys.com/is/image/MCY/1619657 ")</f>
        <v xml:space="preserve">http://slimages.macys.com/is/image/MCY/1619657 </v>
      </c>
    </row>
    <row r="281" spans="1:14" x14ac:dyDescent="0.25">
      <c r="A281" s="21" t="s">
        <v>7130</v>
      </c>
      <c r="B281" s="22" t="s">
        <v>7131</v>
      </c>
      <c r="C281" s="2">
        <v>4</v>
      </c>
      <c r="D281" s="23">
        <v>12</v>
      </c>
      <c r="E281" s="3">
        <v>48</v>
      </c>
      <c r="F281" s="2" t="s">
        <v>7132</v>
      </c>
      <c r="G281" s="22"/>
      <c r="H281" s="24" t="s">
        <v>20152</v>
      </c>
      <c r="I281" s="22" t="s">
        <v>19309</v>
      </c>
      <c r="J281" s="22" t="s">
        <v>19708</v>
      </c>
      <c r="K281" s="22" t="s">
        <v>19709</v>
      </c>
      <c r="L281" s="22"/>
      <c r="M281" s="22"/>
      <c r="N281" s="25" t="str">
        <f>HYPERLINK("http://slimages.macys.com/is/image/MCY/21726801 ")</f>
        <v xml:space="preserve">http://slimages.macys.com/is/image/MCY/21726801 </v>
      </c>
    </row>
    <row r="282" spans="1:14" ht="24.75" x14ac:dyDescent="0.25">
      <c r="A282" s="21" t="s">
        <v>4910</v>
      </c>
      <c r="B282" s="22" t="s">
        <v>4911</v>
      </c>
      <c r="C282" s="2">
        <v>1</v>
      </c>
      <c r="D282" s="23">
        <v>8.99</v>
      </c>
      <c r="E282" s="3">
        <v>8.99</v>
      </c>
      <c r="F282" s="2" t="s">
        <v>4912</v>
      </c>
      <c r="G282" s="22" t="s">
        <v>19415</v>
      </c>
      <c r="H282" s="24" t="s">
        <v>19907</v>
      </c>
      <c r="I282" s="22" t="s">
        <v>19309</v>
      </c>
      <c r="J282" s="22" t="s">
        <v>19573</v>
      </c>
      <c r="K282" s="22" t="s">
        <v>19574</v>
      </c>
      <c r="L282" s="22"/>
      <c r="M282" s="22"/>
      <c r="N282" s="25" t="str">
        <f>HYPERLINK("http://slimages.macys.com/is/image/MCY/1610400 ")</f>
        <v xml:space="preserve">http://slimages.macys.com/is/image/MCY/1610400 </v>
      </c>
    </row>
    <row r="283" spans="1:14" ht="24.75" x14ac:dyDescent="0.25">
      <c r="A283" s="21" t="s">
        <v>18989</v>
      </c>
      <c r="B283" s="22" t="s">
        <v>18990</v>
      </c>
      <c r="C283" s="2">
        <v>1</v>
      </c>
      <c r="D283" s="23">
        <v>8.99</v>
      </c>
      <c r="E283" s="3">
        <v>8.99</v>
      </c>
      <c r="F283" s="2" t="s">
        <v>18984</v>
      </c>
      <c r="G283" s="22" t="s">
        <v>19315</v>
      </c>
      <c r="H283" s="24" t="s">
        <v>19364</v>
      </c>
      <c r="I283" s="22" t="s">
        <v>19309</v>
      </c>
      <c r="J283" s="22" t="s">
        <v>19815</v>
      </c>
      <c r="K283" s="22" t="s">
        <v>19816</v>
      </c>
      <c r="L283" s="22"/>
      <c r="M283" s="22"/>
      <c r="N283" s="25" t="str">
        <f>HYPERLINK("http://slimages.macys.com/is/image/MCY/21278530 ")</f>
        <v xml:space="preserve">http://slimages.macys.com/is/image/MCY/21278530 </v>
      </c>
    </row>
    <row r="284" spans="1:14" x14ac:dyDescent="0.25">
      <c r="A284" s="21" t="s">
        <v>8451</v>
      </c>
      <c r="B284" s="22" t="s">
        <v>8452</v>
      </c>
      <c r="C284" s="2">
        <v>31</v>
      </c>
      <c r="D284" s="23">
        <v>8.3000000000000007</v>
      </c>
      <c r="E284" s="3">
        <v>257.3</v>
      </c>
      <c r="F284" s="2" t="s">
        <v>9664</v>
      </c>
      <c r="G284" s="22" t="s">
        <v>19594</v>
      </c>
      <c r="H284" s="24" t="s">
        <v>19367</v>
      </c>
      <c r="I284" s="22" t="s">
        <v>19309</v>
      </c>
      <c r="J284" s="22" t="s">
        <v>19708</v>
      </c>
      <c r="K284" s="22" t="s">
        <v>19709</v>
      </c>
      <c r="L284" s="22"/>
      <c r="M284" s="22"/>
      <c r="N284" s="25" t="str">
        <f>HYPERLINK("http://slimages.macys.com/is/image/MCY/21726389 ")</f>
        <v xml:space="preserve">http://slimages.macys.com/is/image/MCY/21726389 </v>
      </c>
    </row>
    <row r="285" spans="1:14" x14ac:dyDescent="0.25">
      <c r="A285" s="21" t="s">
        <v>7133</v>
      </c>
      <c r="B285" s="22" t="s">
        <v>7134</v>
      </c>
      <c r="C285" s="2">
        <v>23</v>
      </c>
      <c r="D285" s="23">
        <v>8.3000000000000007</v>
      </c>
      <c r="E285" s="3">
        <v>190.9</v>
      </c>
      <c r="F285" s="2" t="s">
        <v>9667</v>
      </c>
      <c r="G285" s="22" t="s">
        <v>19431</v>
      </c>
      <c r="H285" s="24" t="s">
        <v>19367</v>
      </c>
      <c r="I285" s="22" t="s">
        <v>19309</v>
      </c>
      <c r="J285" s="22" t="s">
        <v>19708</v>
      </c>
      <c r="K285" s="22" t="s">
        <v>19709</v>
      </c>
      <c r="L285" s="22"/>
      <c r="M285" s="22"/>
      <c r="N285" s="25" t="str">
        <f>HYPERLINK("http://slimages.macys.com/is/image/MCY/21726415 ")</f>
        <v xml:space="preserve">http://slimages.macys.com/is/image/MCY/21726415 </v>
      </c>
    </row>
    <row r="286" spans="1:14" x14ac:dyDescent="0.25">
      <c r="A286" s="21" t="s">
        <v>4913</v>
      </c>
      <c r="B286" s="22" t="s">
        <v>4914</v>
      </c>
      <c r="C286" s="2">
        <v>20</v>
      </c>
      <c r="D286" s="23">
        <v>8.3000000000000007</v>
      </c>
      <c r="E286" s="3">
        <v>166</v>
      </c>
      <c r="F286" s="2" t="s">
        <v>9664</v>
      </c>
      <c r="G286" s="22" t="s">
        <v>19594</v>
      </c>
      <c r="H286" s="24" t="s">
        <v>20152</v>
      </c>
      <c r="I286" s="22" t="s">
        <v>19309</v>
      </c>
      <c r="J286" s="22" t="s">
        <v>19708</v>
      </c>
      <c r="K286" s="22" t="s">
        <v>19709</v>
      </c>
      <c r="L286" s="22"/>
      <c r="M286" s="22"/>
      <c r="N286" s="25" t="str">
        <f>HYPERLINK("http://slimages.macys.com/is/image/MCY/21726389 ")</f>
        <v xml:space="preserve">http://slimages.macys.com/is/image/MCY/21726389 </v>
      </c>
    </row>
    <row r="287" spans="1:14" x14ac:dyDescent="0.25">
      <c r="A287" s="21" t="s">
        <v>4915</v>
      </c>
      <c r="B287" s="22" t="s">
        <v>11724</v>
      </c>
      <c r="C287" s="2">
        <v>1</v>
      </c>
      <c r="D287" s="23">
        <v>8.3000000000000007</v>
      </c>
      <c r="E287" s="3">
        <v>8.3000000000000007</v>
      </c>
      <c r="F287" s="2" t="s">
        <v>7994</v>
      </c>
      <c r="G287" s="22" t="s">
        <v>19635</v>
      </c>
      <c r="H287" s="24" t="s">
        <v>19770</v>
      </c>
      <c r="I287" s="22" t="s">
        <v>19309</v>
      </c>
      <c r="J287" s="22" t="s">
        <v>19708</v>
      </c>
      <c r="K287" s="22" t="s">
        <v>19709</v>
      </c>
      <c r="L287" s="22"/>
      <c r="M287" s="22"/>
      <c r="N287" s="25" t="str">
        <f>HYPERLINK("http://slimages.macys.com/is/image/MCY/21726389 ")</f>
        <v xml:space="preserve">http://slimages.macys.com/is/image/MCY/21726389 </v>
      </c>
    </row>
    <row r="288" spans="1:14" ht="24.75" x14ac:dyDescent="0.25">
      <c r="A288" s="21" t="s">
        <v>4916</v>
      </c>
      <c r="B288" s="22" t="s">
        <v>4917</v>
      </c>
      <c r="C288" s="2">
        <v>1</v>
      </c>
      <c r="D288" s="23">
        <v>5.99</v>
      </c>
      <c r="E288" s="3">
        <v>5.99</v>
      </c>
      <c r="F288" s="2" t="s">
        <v>19000</v>
      </c>
      <c r="G288" s="22" t="s">
        <v>18439</v>
      </c>
      <c r="H288" s="24" t="s">
        <v>19324</v>
      </c>
      <c r="I288" s="22" t="s">
        <v>19309</v>
      </c>
      <c r="J288" s="22" t="s">
        <v>19573</v>
      </c>
      <c r="K288" s="22" t="s">
        <v>19574</v>
      </c>
      <c r="L288" s="22"/>
      <c r="M288" s="22"/>
      <c r="N288" s="25" t="str">
        <f>HYPERLINK("http://slimages.macys.com/is/image/MCY/21515593 ")</f>
        <v xml:space="preserve">http://slimages.macys.com/is/image/MCY/21515593 </v>
      </c>
    </row>
    <row r="289" spans="1:14" ht="24.75" x14ac:dyDescent="0.25">
      <c r="A289" s="21" t="s">
        <v>14708</v>
      </c>
      <c r="B289" s="22" t="s">
        <v>14709</v>
      </c>
      <c r="C289" s="2">
        <v>1</v>
      </c>
      <c r="D289" s="23">
        <v>5.99</v>
      </c>
      <c r="E289" s="3">
        <v>5.99</v>
      </c>
      <c r="F289" s="2" t="s">
        <v>19000</v>
      </c>
      <c r="G289" s="22" t="s">
        <v>18439</v>
      </c>
      <c r="H289" s="24" t="s">
        <v>19330</v>
      </c>
      <c r="I289" s="22" t="s">
        <v>19309</v>
      </c>
      <c r="J289" s="22" t="s">
        <v>19573</v>
      </c>
      <c r="K289" s="22" t="s">
        <v>19574</v>
      </c>
      <c r="L289" s="22"/>
      <c r="M289" s="22"/>
      <c r="N289" s="25" t="str">
        <f>HYPERLINK("http://slimages.macys.com/is/image/MCY/21515593 ")</f>
        <v xml:space="preserve">http://slimages.macys.com/is/image/MCY/21515593 </v>
      </c>
    </row>
    <row r="290" spans="1:14" ht="24.75" x14ac:dyDescent="0.25">
      <c r="A290" s="21" t="s">
        <v>4918</v>
      </c>
      <c r="B290" s="22" t="s">
        <v>4919</v>
      </c>
      <c r="C290" s="2">
        <v>1</v>
      </c>
      <c r="D290" s="23">
        <v>7.99</v>
      </c>
      <c r="E290" s="3">
        <v>7.99</v>
      </c>
      <c r="F290" s="2" t="s">
        <v>4920</v>
      </c>
      <c r="G290" s="22" t="s">
        <v>19618</v>
      </c>
      <c r="H290" s="24" t="s">
        <v>20135</v>
      </c>
      <c r="I290" s="22" t="s">
        <v>19309</v>
      </c>
      <c r="J290" s="22" t="s">
        <v>19573</v>
      </c>
      <c r="K290" s="22" t="s">
        <v>19574</v>
      </c>
      <c r="L290" s="22"/>
      <c r="M290" s="22"/>
      <c r="N290" s="25" t="str">
        <f>HYPERLINK("http://slimages.macys.com/is/image/MCY/19588653 ")</f>
        <v xml:space="preserve">http://slimages.macys.com/is/image/MCY/19588653 </v>
      </c>
    </row>
    <row r="291" spans="1:14" ht="24.75" x14ac:dyDescent="0.25">
      <c r="A291" s="21" t="s">
        <v>4921</v>
      </c>
      <c r="B291" s="22" t="s">
        <v>4922</v>
      </c>
      <c r="C291" s="2">
        <v>1</v>
      </c>
      <c r="D291" s="23">
        <v>6.99</v>
      </c>
      <c r="E291" s="3">
        <v>6.99</v>
      </c>
      <c r="F291" s="2" t="s">
        <v>17054</v>
      </c>
      <c r="G291" s="22" t="s">
        <v>19351</v>
      </c>
      <c r="H291" s="24" t="s">
        <v>19324</v>
      </c>
      <c r="I291" s="22" t="s">
        <v>19309</v>
      </c>
      <c r="J291" s="22" t="s">
        <v>19573</v>
      </c>
      <c r="K291" s="22" t="s">
        <v>19574</v>
      </c>
      <c r="L291" s="22"/>
      <c r="M291" s="22"/>
      <c r="N291" s="25" t="str">
        <f>HYPERLINK("http://slimages.macys.com/is/image/MCY/1586967 ")</f>
        <v xml:space="preserve">http://slimages.macys.com/is/image/MCY/1586967 </v>
      </c>
    </row>
    <row r="292" spans="1:14" ht="24.75" x14ac:dyDescent="0.25">
      <c r="A292" s="21" t="s">
        <v>4923</v>
      </c>
      <c r="B292" s="22" t="s">
        <v>4924</v>
      </c>
      <c r="C292" s="2">
        <v>11</v>
      </c>
      <c r="D292" s="23">
        <v>7.99</v>
      </c>
      <c r="E292" s="3">
        <v>87.89</v>
      </c>
      <c r="F292" s="2" t="s">
        <v>19012</v>
      </c>
      <c r="G292" s="22" t="s">
        <v>19415</v>
      </c>
      <c r="H292" s="24" t="s">
        <v>19416</v>
      </c>
      <c r="I292" s="22" t="s">
        <v>19309</v>
      </c>
      <c r="J292" s="22" t="s">
        <v>19573</v>
      </c>
      <c r="K292" s="22" t="s">
        <v>19574</v>
      </c>
      <c r="L292" s="22"/>
      <c r="M292" s="22"/>
      <c r="N292" s="25" t="str">
        <f>HYPERLINK("http://slimages.macys.com/is/image/MCY/1554879 ")</f>
        <v xml:space="preserve">http://slimages.macys.com/is/image/MCY/1554879 </v>
      </c>
    </row>
    <row r="293" spans="1:14" ht="24.75" x14ac:dyDescent="0.25">
      <c r="A293" s="21" t="s">
        <v>4925</v>
      </c>
      <c r="B293" s="22" t="s">
        <v>4926</v>
      </c>
      <c r="C293" s="2">
        <v>1</v>
      </c>
      <c r="D293" s="23">
        <v>7.99</v>
      </c>
      <c r="E293" s="3">
        <v>7.99</v>
      </c>
      <c r="F293" s="2" t="s">
        <v>4927</v>
      </c>
      <c r="G293" s="22" t="s">
        <v>19618</v>
      </c>
      <c r="H293" s="24" t="s">
        <v>19907</v>
      </c>
      <c r="I293" s="22" t="s">
        <v>19309</v>
      </c>
      <c r="J293" s="22" t="s">
        <v>19573</v>
      </c>
      <c r="K293" s="22" t="s">
        <v>19574</v>
      </c>
      <c r="L293" s="22"/>
      <c r="M293" s="22"/>
      <c r="N293" s="25" t="str">
        <f>HYPERLINK("http://slimages.macys.com/is/image/MCY/17709100 ")</f>
        <v xml:space="preserve">http://slimages.macys.com/is/image/MCY/17709100 </v>
      </c>
    </row>
    <row r="294" spans="1:14" ht="24.75" x14ac:dyDescent="0.25">
      <c r="A294" s="21" t="s">
        <v>4928</v>
      </c>
      <c r="B294" s="22" t="s">
        <v>4929</v>
      </c>
      <c r="C294" s="2">
        <v>1</v>
      </c>
      <c r="D294" s="23">
        <v>7.99</v>
      </c>
      <c r="E294" s="3">
        <v>7.99</v>
      </c>
      <c r="F294" s="2" t="s">
        <v>4930</v>
      </c>
      <c r="G294" s="22" t="s">
        <v>19415</v>
      </c>
      <c r="H294" s="24" t="s">
        <v>19907</v>
      </c>
      <c r="I294" s="22" t="s">
        <v>19309</v>
      </c>
      <c r="J294" s="22" t="s">
        <v>19573</v>
      </c>
      <c r="K294" s="22" t="s">
        <v>19574</v>
      </c>
      <c r="L294" s="22"/>
      <c r="M294" s="22"/>
      <c r="N294" s="25" t="str">
        <f>HYPERLINK("http://slimages.macys.com/is/image/MCY/20760060 ")</f>
        <v xml:space="preserve">http://slimages.macys.com/is/image/MCY/20760060 </v>
      </c>
    </row>
    <row r="295" spans="1:14" ht="24.75" x14ac:dyDescent="0.25">
      <c r="A295" s="21" t="s">
        <v>4931</v>
      </c>
      <c r="B295" s="22" t="s">
        <v>4932</v>
      </c>
      <c r="C295" s="2">
        <v>12</v>
      </c>
      <c r="D295" s="23">
        <v>7.99</v>
      </c>
      <c r="E295" s="3">
        <v>95.88</v>
      </c>
      <c r="F295" s="2" t="s">
        <v>11132</v>
      </c>
      <c r="G295" s="22" t="s">
        <v>19618</v>
      </c>
      <c r="H295" s="24" t="s">
        <v>20135</v>
      </c>
      <c r="I295" s="22" t="s">
        <v>19309</v>
      </c>
      <c r="J295" s="22" t="s">
        <v>19573</v>
      </c>
      <c r="K295" s="22" t="s">
        <v>19574</v>
      </c>
      <c r="L295" s="22"/>
      <c r="M295" s="22"/>
      <c r="N295" s="25" t="str">
        <f>HYPERLINK("http://slimages.macys.com/is/image/MCY/1573861 ")</f>
        <v xml:space="preserve">http://slimages.macys.com/is/image/MCY/1573861 </v>
      </c>
    </row>
    <row r="296" spans="1:14" ht="24.75" x14ac:dyDescent="0.25">
      <c r="A296" s="21" t="s">
        <v>4933</v>
      </c>
      <c r="B296" s="22" t="s">
        <v>4934</v>
      </c>
      <c r="C296" s="2">
        <v>1</v>
      </c>
      <c r="D296" s="23">
        <v>7.99</v>
      </c>
      <c r="E296" s="3">
        <v>7.99</v>
      </c>
      <c r="F296" s="2" t="s">
        <v>14720</v>
      </c>
      <c r="G296" s="22" t="s">
        <v>19670</v>
      </c>
      <c r="H296" s="24" t="s">
        <v>20089</v>
      </c>
      <c r="I296" s="22" t="s">
        <v>19309</v>
      </c>
      <c r="J296" s="22" t="s">
        <v>19573</v>
      </c>
      <c r="K296" s="22" t="s">
        <v>19574</v>
      </c>
      <c r="L296" s="22"/>
      <c r="M296" s="22"/>
      <c r="N296" s="25" t="str">
        <f>HYPERLINK("http://slimages.macys.com/is/image/MCY/21209245 ")</f>
        <v xml:space="preserve">http://slimages.macys.com/is/image/MCY/21209245 </v>
      </c>
    </row>
    <row r="297" spans="1:14" ht="24.75" x14ac:dyDescent="0.25">
      <c r="A297" s="21" t="s">
        <v>6207</v>
      </c>
      <c r="B297" s="22" t="s">
        <v>6208</v>
      </c>
      <c r="C297" s="2">
        <v>3</v>
      </c>
      <c r="D297" s="23">
        <v>7.99</v>
      </c>
      <c r="E297" s="3">
        <v>23.97</v>
      </c>
      <c r="F297" s="2" t="s">
        <v>6206</v>
      </c>
      <c r="G297" s="22" t="s">
        <v>19351</v>
      </c>
      <c r="H297" s="24" t="s">
        <v>19907</v>
      </c>
      <c r="I297" s="22" t="s">
        <v>19309</v>
      </c>
      <c r="J297" s="22" t="s">
        <v>19573</v>
      </c>
      <c r="K297" s="22" t="s">
        <v>19574</v>
      </c>
      <c r="L297" s="22"/>
      <c r="M297" s="22"/>
      <c r="N297" s="25" t="str">
        <f>HYPERLINK("http://slimages.macys.com/is/image/MCY/1122116 ")</f>
        <v xml:space="preserve">http://slimages.macys.com/is/image/MCY/1122116 </v>
      </c>
    </row>
    <row r="298" spans="1:14" ht="24.75" x14ac:dyDescent="0.25">
      <c r="A298" s="21" t="s">
        <v>8149</v>
      </c>
      <c r="B298" s="22" t="s">
        <v>8150</v>
      </c>
      <c r="C298" s="2">
        <v>10</v>
      </c>
      <c r="D298" s="23">
        <v>7.99</v>
      </c>
      <c r="E298" s="3">
        <v>79.900000000000006</v>
      </c>
      <c r="F298" s="2" t="s">
        <v>17068</v>
      </c>
      <c r="G298" s="22" t="s">
        <v>19674</v>
      </c>
      <c r="H298" s="24" t="s">
        <v>19907</v>
      </c>
      <c r="I298" s="22" t="s">
        <v>19309</v>
      </c>
      <c r="J298" s="22" t="s">
        <v>19573</v>
      </c>
      <c r="K298" s="22" t="s">
        <v>19574</v>
      </c>
      <c r="L298" s="22"/>
      <c r="M298" s="22"/>
      <c r="N298" s="25" t="str">
        <f>HYPERLINK("http://slimages.macys.com/is/image/MCY/1554809 ")</f>
        <v xml:space="preserve">http://slimages.macys.com/is/image/MCY/1554809 </v>
      </c>
    </row>
    <row r="299" spans="1:14" ht="24.75" x14ac:dyDescent="0.25">
      <c r="A299" s="21" t="s">
        <v>4935</v>
      </c>
      <c r="B299" s="22" t="s">
        <v>4936</v>
      </c>
      <c r="C299" s="2">
        <v>1</v>
      </c>
      <c r="D299" s="23">
        <v>7.99</v>
      </c>
      <c r="E299" s="3">
        <v>7.99</v>
      </c>
      <c r="F299" s="2" t="s">
        <v>4937</v>
      </c>
      <c r="G299" s="22" t="s">
        <v>19351</v>
      </c>
      <c r="H299" s="24" t="s">
        <v>19907</v>
      </c>
      <c r="I299" s="22" t="s">
        <v>19309</v>
      </c>
      <c r="J299" s="22" t="s">
        <v>19573</v>
      </c>
      <c r="K299" s="22" t="s">
        <v>19574</v>
      </c>
      <c r="L299" s="22"/>
      <c r="M299" s="22"/>
      <c r="N299" s="25" t="str">
        <f>HYPERLINK("http://slimages.macys.com/is/image/MCY/1519043 ")</f>
        <v xml:space="preserve">http://slimages.macys.com/is/image/MCY/1519043 </v>
      </c>
    </row>
    <row r="300" spans="1:14" x14ac:dyDescent="0.25">
      <c r="A300" s="21" t="s">
        <v>19033</v>
      </c>
      <c r="B300" s="22" t="s">
        <v>19034</v>
      </c>
      <c r="C300" s="2">
        <v>1</v>
      </c>
      <c r="D300" s="23">
        <v>6.99</v>
      </c>
      <c r="E300" s="3">
        <v>6.99</v>
      </c>
      <c r="F300" s="2" t="s">
        <v>19035</v>
      </c>
      <c r="G300" s="22" t="s">
        <v>19315</v>
      </c>
      <c r="H300" s="24" t="s">
        <v>19339</v>
      </c>
      <c r="I300" s="22" t="s">
        <v>19309</v>
      </c>
      <c r="J300" s="22" t="s">
        <v>19849</v>
      </c>
      <c r="K300" s="22" t="s">
        <v>19850</v>
      </c>
      <c r="L300" s="22"/>
      <c r="M300" s="22"/>
      <c r="N300" s="25" t="str">
        <f>HYPERLINK("http://slimages.macys.com/is/image/MCY/19068274 ")</f>
        <v xml:space="preserve">http://slimages.macys.com/is/image/MCY/19068274 </v>
      </c>
    </row>
    <row r="301" spans="1:14" ht="24.75" x14ac:dyDescent="0.25">
      <c r="A301" s="21" t="s">
        <v>4938</v>
      </c>
      <c r="B301" s="22" t="s">
        <v>4939</v>
      </c>
      <c r="C301" s="2">
        <v>1</v>
      </c>
      <c r="D301" s="23">
        <v>6.99</v>
      </c>
      <c r="E301" s="3">
        <v>6.99</v>
      </c>
      <c r="F301" s="2" t="s">
        <v>6217</v>
      </c>
      <c r="G301" s="22" t="s">
        <v>19618</v>
      </c>
      <c r="H301" s="24" t="s">
        <v>19324</v>
      </c>
      <c r="I301" s="22" t="s">
        <v>19309</v>
      </c>
      <c r="J301" s="22" t="s">
        <v>19573</v>
      </c>
      <c r="K301" s="22" t="s">
        <v>19574</v>
      </c>
      <c r="L301" s="22"/>
      <c r="M301" s="22"/>
      <c r="N301" s="25" t="str">
        <f>HYPERLINK("http://slimages.macys.com/is/image/MCY/19977728 ")</f>
        <v xml:space="preserve">http://slimages.macys.com/is/image/MCY/19977728 </v>
      </c>
    </row>
    <row r="302" spans="1:14" ht="24.75" x14ac:dyDescent="0.25">
      <c r="A302" s="21" t="s">
        <v>14740</v>
      </c>
      <c r="B302" s="22" t="s">
        <v>14741</v>
      </c>
      <c r="C302" s="2">
        <v>8</v>
      </c>
      <c r="D302" s="23">
        <v>7.99</v>
      </c>
      <c r="E302" s="3">
        <v>63.92</v>
      </c>
      <c r="F302" s="2" t="s">
        <v>19040</v>
      </c>
      <c r="G302" s="22" t="s">
        <v>19906</v>
      </c>
      <c r="H302" s="24" t="s">
        <v>20135</v>
      </c>
      <c r="I302" s="22" t="s">
        <v>19309</v>
      </c>
      <c r="J302" s="22" t="s">
        <v>19573</v>
      </c>
      <c r="K302" s="22" t="s">
        <v>19574</v>
      </c>
      <c r="L302" s="22"/>
      <c r="M302" s="22"/>
      <c r="N302" s="25" t="str">
        <f>HYPERLINK("http://slimages.macys.com/is/image/MCY/21209467 ")</f>
        <v xml:space="preserve">http://slimages.macys.com/is/image/MCY/21209467 </v>
      </c>
    </row>
    <row r="303" spans="1:14" ht="24.75" x14ac:dyDescent="0.25">
      <c r="A303" s="21" t="s">
        <v>4940</v>
      </c>
      <c r="B303" s="22" t="s">
        <v>4941</v>
      </c>
      <c r="C303" s="2">
        <v>1</v>
      </c>
      <c r="D303" s="23">
        <v>7.99</v>
      </c>
      <c r="E303" s="3">
        <v>7.99</v>
      </c>
      <c r="F303" s="2" t="s">
        <v>19054</v>
      </c>
      <c r="G303" s="22" t="s">
        <v>19415</v>
      </c>
      <c r="H303" s="24" t="s">
        <v>20089</v>
      </c>
      <c r="I303" s="22" t="s">
        <v>19309</v>
      </c>
      <c r="J303" s="22" t="s">
        <v>19573</v>
      </c>
      <c r="K303" s="22" t="s">
        <v>19574</v>
      </c>
      <c r="L303" s="22"/>
      <c r="M303" s="22"/>
      <c r="N303" s="25" t="str">
        <f>HYPERLINK("http://slimages.macys.com/is/image/MCY/1594361 ")</f>
        <v xml:space="preserve">http://slimages.macys.com/is/image/MCY/1594361 </v>
      </c>
    </row>
    <row r="304" spans="1:14" ht="24.75" x14ac:dyDescent="0.25">
      <c r="A304" s="21" t="s">
        <v>4942</v>
      </c>
      <c r="B304" s="22" t="s">
        <v>4943</v>
      </c>
      <c r="C304" s="2">
        <v>1</v>
      </c>
      <c r="D304" s="23">
        <v>7.99</v>
      </c>
      <c r="E304" s="3">
        <v>7.99</v>
      </c>
      <c r="F304" s="2" t="s">
        <v>4944</v>
      </c>
      <c r="G304" s="22" t="s">
        <v>19415</v>
      </c>
      <c r="H304" s="24" t="s">
        <v>19907</v>
      </c>
      <c r="I304" s="22" t="s">
        <v>19309</v>
      </c>
      <c r="J304" s="22" t="s">
        <v>19573</v>
      </c>
      <c r="K304" s="22" t="s">
        <v>19574</v>
      </c>
      <c r="L304" s="22"/>
      <c r="M304" s="22"/>
      <c r="N304" s="25" t="str">
        <f>HYPERLINK("http://slimages.macys.com/is/image/MCY/1594361 ")</f>
        <v xml:space="preserve">http://slimages.macys.com/is/image/MCY/1594361 </v>
      </c>
    </row>
    <row r="305" spans="1:14" ht="24.75" x14ac:dyDescent="0.25">
      <c r="A305" s="21" t="s">
        <v>4945</v>
      </c>
      <c r="B305" s="22" t="s">
        <v>4946</v>
      </c>
      <c r="C305" s="2">
        <v>1</v>
      </c>
      <c r="D305" s="23">
        <v>7.99</v>
      </c>
      <c r="E305" s="3">
        <v>7.99</v>
      </c>
      <c r="F305" s="2" t="s">
        <v>9680</v>
      </c>
      <c r="G305" s="22" t="s">
        <v>19906</v>
      </c>
      <c r="H305" s="24" t="s">
        <v>20135</v>
      </c>
      <c r="I305" s="22" t="s">
        <v>19309</v>
      </c>
      <c r="J305" s="22" t="s">
        <v>19573</v>
      </c>
      <c r="K305" s="22" t="s">
        <v>19574</v>
      </c>
      <c r="L305" s="22"/>
      <c r="M305" s="22"/>
      <c r="N305" s="25" t="str">
        <f>HYPERLINK("http://slimages.macys.com/is/image/MCY/1610413 ")</f>
        <v xml:space="preserve">http://slimages.macys.com/is/image/MCY/1610413 </v>
      </c>
    </row>
    <row r="306" spans="1:14" ht="24.75" x14ac:dyDescent="0.25">
      <c r="A306" s="21" t="s">
        <v>8360</v>
      </c>
      <c r="B306" s="22" t="s">
        <v>8361</v>
      </c>
      <c r="C306" s="2">
        <v>7</v>
      </c>
      <c r="D306" s="23">
        <v>7.99</v>
      </c>
      <c r="E306" s="3">
        <v>55.93</v>
      </c>
      <c r="F306" s="2" t="s">
        <v>8359</v>
      </c>
      <c r="G306" s="22" t="s">
        <v>19351</v>
      </c>
      <c r="H306" s="24" t="s">
        <v>19907</v>
      </c>
      <c r="I306" s="22" t="s">
        <v>19309</v>
      </c>
      <c r="J306" s="22" t="s">
        <v>19573</v>
      </c>
      <c r="K306" s="22" t="s">
        <v>19574</v>
      </c>
      <c r="L306" s="22"/>
      <c r="M306" s="22"/>
      <c r="N306" s="25" t="str">
        <f>HYPERLINK("http://slimages.macys.com/is/image/MCY/21088503 ")</f>
        <v xml:space="preserve">http://slimages.macys.com/is/image/MCY/21088503 </v>
      </c>
    </row>
    <row r="307" spans="1:14" ht="24.75" x14ac:dyDescent="0.25">
      <c r="A307" s="21" t="s">
        <v>8357</v>
      </c>
      <c r="B307" s="22" t="s">
        <v>8358</v>
      </c>
      <c r="C307" s="2">
        <v>3</v>
      </c>
      <c r="D307" s="23">
        <v>7.99</v>
      </c>
      <c r="E307" s="3">
        <v>23.97</v>
      </c>
      <c r="F307" s="2" t="s">
        <v>8359</v>
      </c>
      <c r="G307" s="22" t="s">
        <v>19351</v>
      </c>
      <c r="H307" s="24" t="s">
        <v>20089</v>
      </c>
      <c r="I307" s="22" t="s">
        <v>19309</v>
      </c>
      <c r="J307" s="22" t="s">
        <v>19573</v>
      </c>
      <c r="K307" s="22" t="s">
        <v>19574</v>
      </c>
      <c r="L307" s="22"/>
      <c r="M307" s="22"/>
      <c r="N307" s="25" t="str">
        <f>HYPERLINK("http://slimages.macys.com/is/image/MCY/21088503 ")</f>
        <v xml:space="preserve">http://slimages.macys.com/is/image/MCY/21088503 </v>
      </c>
    </row>
    <row r="308" spans="1:14" ht="24.75" x14ac:dyDescent="0.25">
      <c r="A308" s="21" t="s">
        <v>8362</v>
      </c>
      <c r="B308" s="22" t="s">
        <v>8363</v>
      </c>
      <c r="C308" s="2">
        <v>22</v>
      </c>
      <c r="D308" s="23">
        <v>7.99</v>
      </c>
      <c r="E308" s="3">
        <v>175.78</v>
      </c>
      <c r="F308" s="2" t="s">
        <v>8359</v>
      </c>
      <c r="G308" s="22" t="s">
        <v>19351</v>
      </c>
      <c r="H308" s="24" t="s">
        <v>20135</v>
      </c>
      <c r="I308" s="22" t="s">
        <v>19309</v>
      </c>
      <c r="J308" s="22" t="s">
        <v>19573</v>
      </c>
      <c r="K308" s="22" t="s">
        <v>19574</v>
      </c>
      <c r="L308" s="22"/>
      <c r="M308" s="22"/>
      <c r="N308" s="25" t="str">
        <f>HYPERLINK("http://slimages.macys.com/is/image/MCY/21088503 ")</f>
        <v xml:space="preserve">http://slimages.macys.com/is/image/MCY/21088503 </v>
      </c>
    </row>
    <row r="309" spans="1:14" ht="24.75" x14ac:dyDescent="0.25">
      <c r="A309" s="21" t="s">
        <v>11135</v>
      </c>
      <c r="B309" s="22" t="s">
        <v>11136</v>
      </c>
      <c r="C309" s="2">
        <v>18</v>
      </c>
      <c r="D309" s="23">
        <v>7.99</v>
      </c>
      <c r="E309" s="3">
        <v>143.82</v>
      </c>
      <c r="F309" s="2" t="s">
        <v>17068</v>
      </c>
      <c r="G309" s="22" t="s">
        <v>19674</v>
      </c>
      <c r="H309" s="24" t="s">
        <v>20089</v>
      </c>
      <c r="I309" s="22" t="s">
        <v>19309</v>
      </c>
      <c r="J309" s="22" t="s">
        <v>19573</v>
      </c>
      <c r="K309" s="22" t="s">
        <v>19574</v>
      </c>
      <c r="L309" s="22"/>
      <c r="M309" s="22"/>
      <c r="N309" s="25" t="str">
        <f>HYPERLINK("http://slimages.macys.com/is/image/MCY/20757995 ")</f>
        <v xml:space="preserve">http://slimages.macys.com/is/image/MCY/20757995 </v>
      </c>
    </row>
    <row r="310" spans="1:14" ht="24.75" x14ac:dyDescent="0.25">
      <c r="A310" s="21" t="s">
        <v>11139</v>
      </c>
      <c r="B310" s="22" t="s">
        <v>11140</v>
      </c>
      <c r="C310" s="2">
        <v>2</v>
      </c>
      <c r="D310" s="23">
        <v>7.99</v>
      </c>
      <c r="E310" s="3">
        <v>15.98</v>
      </c>
      <c r="F310" s="2" t="s">
        <v>17068</v>
      </c>
      <c r="G310" s="22" t="s">
        <v>19674</v>
      </c>
      <c r="H310" s="24" t="s">
        <v>19907</v>
      </c>
      <c r="I310" s="22" t="s">
        <v>19309</v>
      </c>
      <c r="J310" s="22" t="s">
        <v>19573</v>
      </c>
      <c r="K310" s="22" t="s">
        <v>19574</v>
      </c>
      <c r="L310" s="22"/>
      <c r="M310" s="22"/>
      <c r="N310" s="25" t="str">
        <f>HYPERLINK("http://slimages.macys.com/is/image/MCY/20757995 ")</f>
        <v xml:space="preserve">http://slimages.macys.com/is/image/MCY/20757995 </v>
      </c>
    </row>
    <row r="311" spans="1:14" ht="24.75" x14ac:dyDescent="0.25">
      <c r="A311" s="21" t="s">
        <v>4947</v>
      </c>
      <c r="B311" s="22" t="s">
        <v>4948</v>
      </c>
      <c r="C311" s="2">
        <v>1</v>
      </c>
      <c r="D311" s="23">
        <v>6.99</v>
      </c>
      <c r="E311" s="3">
        <v>6.99</v>
      </c>
      <c r="F311" s="2" t="s">
        <v>4949</v>
      </c>
      <c r="G311" s="22" t="s">
        <v>19674</v>
      </c>
      <c r="H311" s="24" t="s">
        <v>19324</v>
      </c>
      <c r="I311" s="22" t="s">
        <v>19309</v>
      </c>
      <c r="J311" s="22" t="s">
        <v>19573</v>
      </c>
      <c r="K311" s="22" t="s">
        <v>19574</v>
      </c>
      <c r="L311" s="22"/>
      <c r="M311" s="22"/>
      <c r="N311" s="25" t="str">
        <f>HYPERLINK("http://slimages.macys.com/is/image/MCY/19217512 ")</f>
        <v xml:space="preserve">http://slimages.macys.com/is/image/MCY/19217512 </v>
      </c>
    </row>
    <row r="312" spans="1:14" ht="24.75" x14ac:dyDescent="0.25">
      <c r="A312" s="21" t="s">
        <v>4950</v>
      </c>
      <c r="B312" s="22" t="s">
        <v>4951</v>
      </c>
      <c r="C312" s="2">
        <v>34</v>
      </c>
      <c r="D312" s="23">
        <v>7.99</v>
      </c>
      <c r="E312" s="3">
        <v>271.66000000000003</v>
      </c>
      <c r="F312" s="2" t="s">
        <v>19060</v>
      </c>
      <c r="G312" s="22" t="s">
        <v>19674</v>
      </c>
      <c r="H312" s="24" t="s">
        <v>20089</v>
      </c>
      <c r="I312" s="22" t="s">
        <v>19309</v>
      </c>
      <c r="J312" s="22" t="s">
        <v>19573</v>
      </c>
      <c r="K312" s="22" t="s">
        <v>19574</v>
      </c>
      <c r="L312" s="22"/>
      <c r="M312" s="22"/>
      <c r="N312" s="25" t="str">
        <f>HYPERLINK("http://slimages.macys.com/is/image/MCY/1522093 ")</f>
        <v xml:space="preserve">http://slimages.macys.com/is/image/MCY/1522093 </v>
      </c>
    </row>
    <row r="313" spans="1:14" ht="24.75" x14ac:dyDescent="0.25">
      <c r="A313" s="21" t="s">
        <v>4952</v>
      </c>
      <c r="B313" s="22" t="s">
        <v>4953</v>
      </c>
      <c r="C313" s="2">
        <v>7</v>
      </c>
      <c r="D313" s="23">
        <v>6.99</v>
      </c>
      <c r="E313" s="3">
        <v>48.93</v>
      </c>
      <c r="F313" s="2" t="s">
        <v>7160</v>
      </c>
      <c r="G313" s="22" t="s">
        <v>19906</v>
      </c>
      <c r="H313" s="24" t="s">
        <v>19324</v>
      </c>
      <c r="I313" s="22" t="s">
        <v>19309</v>
      </c>
      <c r="J313" s="22" t="s">
        <v>19573</v>
      </c>
      <c r="K313" s="22" t="s">
        <v>19574</v>
      </c>
      <c r="L313" s="22"/>
      <c r="M313" s="22"/>
      <c r="N313" s="25" t="str">
        <f>HYPERLINK("http://slimages.macys.com/is/image/MCY/1554928 ")</f>
        <v xml:space="preserve">http://slimages.macys.com/is/image/MCY/1554928 </v>
      </c>
    </row>
    <row r="314" spans="1:14" ht="24.75" x14ac:dyDescent="0.25">
      <c r="A314" s="21" t="s">
        <v>4954</v>
      </c>
      <c r="B314" s="22" t="s">
        <v>4955</v>
      </c>
      <c r="C314" s="2">
        <v>6</v>
      </c>
      <c r="D314" s="23">
        <v>7.99</v>
      </c>
      <c r="E314" s="3">
        <v>47.94</v>
      </c>
      <c r="F314" s="2" t="s">
        <v>4956</v>
      </c>
      <c r="G314" s="22" t="s">
        <v>19415</v>
      </c>
      <c r="H314" s="24" t="s">
        <v>19907</v>
      </c>
      <c r="I314" s="22" t="s">
        <v>19309</v>
      </c>
      <c r="J314" s="22" t="s">
        <v>19573</v>
      </c>
      <c r="K314" s="22" t="s">
        <v>19574</v>
      </c>
      <c r="L314" s="22"/>
      <c r="M314" s="22"/>
      <c r="N314" s="25" t="str">
        <f>HYPERLINK("http://slimages.macys.com/is/image/MCY/22168965 ")</f>
        <v xml:space="preserve">http://slimages.macys.com/is/image/MCY/22168965 </v>
      </c>
    </row>
    <row r="315" spans="1:14" ht="24.75" x14ac:dyDescent="0.25">
      <c r="A315" s="21" t="s">
        <v>14225</v>
      </c>
      <c r="B315" s="22" t="s">
        <v>14226</v>
      </c>
      <c r="C315" s="2">
        <v>1</v>
      </c>
      <c r="D315" s="23">
        <v>7.99</v>
      </c>
      <c r="E315" s="3">
        <v>7.99</v>
      </c>
      <c r="F315" s="2" t="s">
        <v>17100</v>
      </c>
      <c r="G315" s="22" t="s">
        <v>19814</v>
      </c>
      <c r="H315" s="24" t="s">
        <v>19432</v>
      </c>
      <c r="I315" s="22" t="s">
        <v>19309</v>
      </c>
      <c r="J315" s="22" t="s">
        <v>19815</v>
      </c>
      <c r="K315" s="22" t="s">
        <v>19816</v>
      </c>
      <c r="L315" s="22"/>
      <c r="M315" s="22"/>
      <c r="N315" s="25" t="str">
        <f>HYPERLINK("http://slimages.macys.com/is/image/MCY/21188057 ")</f>
        <v xml:space="preserve">http://slimages.macys.com/is/image/MCY/21188057 </v>
      </c>
    </row>
    <row r="316" spans="1:14" ht="24.75" x14ac:dyDescent="0.25">
      <c r="A316" s="21" t="s">
        <v>4957</v>
      </c>
      <c r="B316" s="22" t="s">
        <v>4958</v>
      </c>
      <c r="C316" s="2">
        <v>1</v>
      </c>
      <c r="D316" s="23">
        <v>7.99</v>
      </c>
      <c r="E316" s="3">
        <v>7.99</v>
      </c>
      <c r="F316" s="2" t="s">
        <v>17100</v>
      </c>
      <c r="G316" s="22" t="s">
        <v>19814</v>
      </c>
      <c r="H316" s="24" t="s">
        <v>19392</v>
      </c>
      <c r="I316" s="22" t="s">
        <v>19309</v>
      </c>
      <c r="J316" s="22" t="s">
        <v>19815</v>
      </c>
      <c r="K316" s="22" t="s">
        <v>19816</v>
      </c>
      <c r="L316" s="22"/>
      <c r="M316" s="22"/>
      <c r="N316" s="25" t="str">
        <f>HYPERLINK("http://slimages.macys.com/is/image/MCY/21188057 ")</f>
        <v xml:space="preserve">http://slimages.macys.com/is/image/MCY/21188057 </v>
      </c>
    </row>
    <row r="317" spans="1:14" ht="24.75" x14ac:dyDescent="0.25">
      <c r="A317" s="21" t="s">
        <v>4959</v>
      </c>
      <c r="B317" s="22" t="s">
        <v>4960</v>
      </c>
      <c r="C317" s="2">
        <v>2</v>
      </c>
      <c r="D317" s="23">
        <v>5.99</v>
      </c>
      <c r="E317" s="3">
        <v>11.98</v>
      </c>
      <c r="F317" s="2" t="s">
        <v>14755</v>
      </c>
      <c r="G317" s="22" t="s">
        <v>19674</v>
      </c>
      <c r="H317" s="24" t="s">
        <v>19416</v>
      </c>
      <c r="I317" s="22" t="s">
        <v>19309</v>
      </c>
      <c r="J317" s="22" t="s">
        <v>19573</v>
      </c>
      <c r="K317" s="22" t="s">
        <v>19574</v>
      </c>
      <c r="L317" s="22"/>
      <c r="M317" s="22"/>
      <c r="N317" s="25" t="str">
        <f>HYPERLINK("http://slimages.macys.com/is/image/MCY/21970161 ")</f>
        <v xml:space="preserve">http://slimages.macys.com/is/image/MCY/21970161 </v>
      </c>
    </row>
    <row r="318" spans="1:14" ht="24.75" x14ac:dyDescent="0.25">
      <c r="A318" s="21" t="s">
        <v>7164</v>
      </c>
      <c r="B318" s="22" t="s">
        <v>7165</v>
      </c>
      <c r="C318" s="2">
        <v>4</v>
      </c>
      <c r="D318" s="23">
        <v>5.99</v>
      </c>
      <c r="E318" s="3">
        <v>23.96</v>
      </c>
      <c r="F318" s="2" t="s">
        <v>14758</v>
      </c>
      <c r="G318" s="22" t="s">
        <v>19351</v>
      </c>
      <c r="H318" s="24" t="s">
        <v>19330</v>
      </c>
      <c r="I318" s="22" t="s">
        <v>19309</v>
      </c>
      <c r="J318" s="22" t="s">
        <v>19573</v>
      </c>
      <c r="K318" s="22" t="s">
        <v>19574</v>
      </c>
      <c r="L318" s="22"/>
      <c r="M318" s="22"/>
      <c r="N318" s="25" t="str">
        <f>HYPERLINK("http://slimages.macys.com/is/image/MCY/1537013 ")</f>
        <v xml:space="preserve">http://slimages.macys.com/is/image/MCY/1537013 </v>
      </c>
    </row>
    <row r="319" spans="1:14" ht="24.75" x14ac:dyDescent="0.25">
      <c r="A319" s="21" t="s">
        <v>7110</v>
      </c>
      <c r="B319" s="22" t="s">
        <v>5270</v>
      </c>
      <c r="C319" s="2">
        <v>1</v>
      </c>
      <c r="D319" s="23">
        <v>7.99</v>
      </c>
      <c r="E319" s="3">
        <v>7.99</v>
      </c>
      <c r="F319" s="2" t="s">
        <v>6239</v>
      </c>
      <c r="G319" s="22" t="s">
        <v>19351</v>
      </c>
      <c r="H319" s="24" t="s">
        <v>19907</v>
      </c>
      <c r="I319" s="22" t="s">
        <v>19309</v>
      </c>
      <c r="J319" s="22" t="s">
        <v>19573</v>
      </c>
      <c r="K319" s="22" t="s">
        <v>19574</v>
      </c>
      <c r="L319" s="22"/>
      <c r="M319" s="22"/>
      <c r="N319" s="25" t="str">
        <f>HYPERLINK("http://slimages.macys.com/is/image/MCY/21088629 ")</f>
        <v xml:space="preserve">http://slimages.macys.com/is/image/MCY/21088629 </v>
      </c>
    </row>
    <row r="320" spans="1:14" ht="24.75" x14ac:dyDescent="0.25">
      <c r="A320" s="21" t="s">
        <v>19079</v>
      </c>
      <c r="B320" s="22" t="s">
        <v>19080</v>
      </c>
      <c r="C320" s="2">
        <v>16</v>
      </c>
      <c r="D320" s="23">
        <v>7.99</v>
      </c>
      <c r="E320" s="3">
        <v>127.84</v>
      </c>
      <c r="F320" s="2" t="s">
        <v>19081</v>
      </c>
      <c r="G320" s="22" t="s">
        <v>19351</v>
      </c>
      <c r="H320" s="24" t="s">
        <v>20089</v>
      </c>
      <c r="I320" s="22" t="s">
        <v>19309</v>
      </c>
      <c r="J320" s="22" t="s">
        <v>19573</v>
      </c>
      <c r="K320" s="22" t="s">
        <v>19574</v>
      </c>
      <c r="L320" s="22"/>
      <c r="M320" s="22"/>
      <c r="N320" s="25" t="str">
        <f>HYPERLINK("http://slimages.macys.com/is/image/MCY/20736374 ")</f>
        <v xml:space="preserve">http://slimages.macys.com/is/image/MCY/20736374 </v>
      </c>
    </row>
    <row r="321" spans="1:14" ht="24.75" x14ac:dyDescent="0.25">
      <c r="A321" s="21" t="s">
        <v>8151</v>
      </c>
      <c r="B321" s="22" t="s">
        <v>8152</v>
      </c>
      <c r="C321" s="2">
        <v>1</v>
      </c>
      <c r="D321" s="23">
        <v>7.99</v>
      </c>
      <c r="E321" s="3">
        <v>7.99</v>
      </c>
      <c r="F321" s="2" t="s">
        <v>8153</v>
      </c>
      <c r="G321" s="22" t="s">
        <v>19674</v>
      </c>
      <c r="H321" s="24" t="s">
        <v>20089</v>
      </c>
      <c r="I321" s="22" t="s">
        <v>19309</v>
      </c>
      <c r="J321" s="22" t="s">
        <v>19573</v>
      </c>
      <c r="K321" s="22" t="s">
        <v>19574</v>
      </c>
      <c r="L321" s="22"/>
      <c r="M321" s="22"/>
      <c r="N321" s="25" t="str">
        <f>HYPERLINK("http://slimages.macys.com/is/image/MCY/20753453 ")</f>
        <v xml:space="preserve">http://slimages.macys.com/is/image/MCY/20753453 </v>
      </c>
    </row>
    <row r="322" spans="1:14" ht="24.75" x14ac:dyDescent="0.25">
      <c r="A322" s="21" t="s">
        <v>4961</v>
      </c>
      <c r="B322" s="22" t="s">
        <v>4962</v>
      </c>
      <c r="C322" s="2">
        <v>63</v>
      </c>
      <c r="D322" s="23">
        <v>7.99</v>
      </c>
      <c r="E322" s="3">
        <v>503.37</v>
      </c>
      <c r="F322" s="2" t="s">
        <v>8153</v>
      </c>
      <c r="G322" s="22" t="s">
        <v>19674</v>
      </c>
      <c r="H322" s="24" t="s">
        <v>19907</v>
      </c>
      <c r="I322" s="22" t="s">
        <v>19309</v>
      </c>
      <c r="J322" s="22" t="s">
        <v>19573</v>
      </c>
      <c r="K322" s="22" t="s">
        <v>19574</v>
      </c>
      <c r="L322" s="22"/>
      <c r="M322" s="22"/>
      <c r="N322" s="25" t="str">
        <f>HYPERLINK("http://slimages.macys.com/is/image/MCY/20753453 ")</f>
        <v xml:space="preserve">http://slimages.macys.com/is/image/MCY/20753453 </v>
      </c>
    </row>
    <row r="323" spans="1:14" ht="24.75" x14ac:dyDescent="0.25">
      <c r="A323" s="21" t="s">
        <v>8460</v>
      </c>
      <c r="B323" s="22" t="s">
        <v>8461</v>
      </c>
      <c r="C323" s="2">
        <v>1</v>
      </c>
      <c r="D323" s="23">
        <v>7.99</v>
      </c>
      <c r="E323" s="3">
        <v>7.99</v>
      </c>
      <c r="F323" s="2" t="s">
        <v>8365</v>
      </c>
      <c r="G323" s="22" t="s">
        <v>19618</v>
      </c>
      <c r="H323" s="24" t="s">
        <v>20135</v>
      </c>
      <c r="I323" s="22" t="s">
        <v>19309</v>
      </c>
      <c r="J323" s="22" t="s">
        <v>19573</v>
      </c>
      <c r="K323" s="22" t="s">
        <v>19574</v>
      </c>
      <c r="L323" s="22"/>
      <c r="M323" s="22"/>
      <c r="N323" s="25" t="str">
        <f>HYPERLINK("http://slimages.macys.com/is/image/MCY/1610409 ")</f>
        <v xml:space="preserve">http://slimages.macys.com/is/image/MCY/1610409 </v>
      </c>
    </row>
    <row r="324" spans="1:14" ht="24.75" x14ac:dyDescent="0.25">
      <c r="A324" s="21" t="s">
        <v>8364</v>
      </c>
      <c r="B324" s="22" t="s">
        <v>13442</v>
      </c>
      <c r="C324" s="2">
        <v>4</v>
      </c>
      <c r="D324" s="23">
        <v>7.99</v>
      </c>
      <c r="E324" s="3">
        <v>31.96</v>
      </c>
      <c r="F324" s="2" t="s">
        <v>8365</v>
      </c>
      <c r="G324" s="22" t="s">
        <v>19618</v>
      </c>
      <c r="H324" s="24" t="s">
        <v>19907</v>
      </c>
      <c r="I324" s="22" t="s">
        <v>19309</v>
      </c>
      <c r="J324" s="22" t="s">
        <v>19573</v>
      </c>
      <c r="K324" s="22" t="s">
        <v>19574</v>
      </c>
      <c r="L324" s="22"/>
      <c r="M324" s="22"/>
      <c r="N324" s="25" t="str">
        <f>HYPERLINK("http://slimages.macys.com/is/image/MCY/1610409 ")</f>
        <v xml:space="preserve">http://slimages.macys.com/is/image/MCY/1610409 </v>
      </c>
    </row>
    <row r="325" spans="1:14" ht="24.75" x14ac:dyDescent="0.25">
      <c r="A325" s="21" t="s">
        <v>11141</v>
      </c>
      <c r="B325" s="22" t="s">
        <v>11142</v>
      </c>
      <c r="C325" s="2">
        <v>1</v>
      </c>
      <c r="D325" s="23">
        <v>7.99</v>
      </c>
      <c r="E325" s="3">
        <v>7.99</v>
      </c>
      <c r="F325" s="2" t="s">
        <v>11143</v>
      </c>
      <c r="G325" s="22" t="s">
        <v>19670</v>
      </c>
      <c r="H325" s="24" t="s">
        <v>20135</v>
      </c>
      <c r="I325" s="22" t="s">
        <v>19309</v>
      </c>
      <c r="J325" s="22" t="s">
        <v>19573</v>
      </c>
      <c r="K325" s="22" t="s">
        <v>19574</v>
      </c>
      <c r="L325" s="22"/>
      <c r="M325" s="22"/>
      <c r="N325" s="25" t="str">
        <f>HYPERLINK("http://slimages.macys.com/is/image/MCY/21209533 ")</f>
        <v xml:space="preserve">http://slimages.macys.com/is/image/MCY/21209533 </v>
      </c>
    </row>
    <row r="326" spans="1:14" ht="24.75" x14ac:dyDescent="0.25">
      <c r="A326" s="21" t="s">
        <v>4963</v>
      </c>
      <c r="B326" s="22" t="s">
        <v>4964</v>
      </c>
      <c r="C326" s="2">
        <v>1</v>
      </c>
      <c r="D326" s="23">
        <v>6.99</v>
      </c>
      <c r="E326" s="3">
        <v>6.99</v>
      </c>
      <c r="F326" s="2" t="s">
        <v>19101</v>
      </c>
      <c r="G326" s="22" t="s">
        <v>19415</v>
      </c>
      <c r="H326" s="24" t="s">
        <v>19324</v>
      </c>
      <c r="I326" s="22" t="s">
        <v>19309</v>
      </c>
      <c r="J326" s="22" t="s">
        <v>19573</v>
      </c>
      <c r="K326" s="22" t="s">
        <v>19574</v>
      </c>
      <c r="L326" s="22"/>
      <c r="M326" s="22"/>
      <c r="N326" s="25" t="str">
        <f>HYPERLINK("http://slimages.macys.com/is/image/MCY/1554928 ")</f>
        <v xml:space="preserve">http://slimages.macys.com/is/image/MCY/1554928 </v>
      </c>
    </row>
    <row r="327" spans="1:14" ht="24.75" x14ac:dyDescent="0.25">
      <c r="A327" s="21" t="s">
        <v>9687</v>
      </c>
      <c r="B327" s="22" t="s">
        <v>9688</v>
      </c>
      <c r="C327" s="2">
        <v>1</v>
      </c>
      <c r="D327" s="23">
        <v>7.99</v>
      </c>
      <c r="E327" s="3">
        <v>7.99</v>
      </c>
      <c r="F327" s="2" t="s">
        <v>9689</v>
      </c>
      <c r="G327" s="22" t="s">
        <v>19674</v>
      </c>
      <c r="H327" s="24" t="s">
        <v>20089</v>
      </c>
      <c r="I327" s="22" t="s">
        <v>19309</v>
      </c>
      <c r="J327" s="22" t="s">
        <v>19573</v>
      </c>
      <c r="K327" s="22" t="s">
        <v>19574</v>
      </c>
      <c r="L327" s="22"/>
      <c r="M327" s="22"/>
      <c r="N327" s="25" t="str">
        <f>HYPERLINK("http://slimages.macys.com/is/image/MCY/21361805 ")</f>
        <v xml:space="preserve">http://slimages.macys.com/is/image/MCY/21361805 </v>
      </c>
    </row>
    <row r="328" spans="1:14" ht="24.75" x14ac:dyDescent="0.25">
      <c r="A328" s="21" t="s">
        <v>19119</v>
      </c>
      <c r="B328" s="22" t="s">
        <v>19120</v>
      </c>
      <c r="C328" s="2">
        <v>1</v>
      </c>
      <c r="D328" s="23">
        <v>5.99</v>
      </c>
      <c r="E328" s="3">
        <v>5.99</v>
      </c>
      <c r="F328" s="2" t="s">
        <v>19109</v>
      </c>
      <c r="G328" s="22" t="s">
        <v>19670</v>
      </c>
      <c r="H328" s="24" t="s">
        <v>19416</v>
      </c>
      <c r="I328" s="22" t="s">
        <v>19309</v>
      </c>
      <c r="J328" s="22" t="s">
        <v>19573</v>
      </c>
      <c r="K328" s="22" t="s">
        <v>19574</v>
      </c>
      <c r="L328" s="22"/>
      <c r="M328" s="22"/>
      <c r="N328" s="25" t="str">
        <f>HYPERLINK("http://slimages.macys.com/is/image/MCY/1734374 ")</f>
        <v xml:space="preserve">http://slimages.macys.com/is/image/MCY/1734374 </v>
      </c>
    </row>
    <row r="329" spans="1:14" ht="24.75" x14ac:dyDescent="0.25">
      <c r="A329" s="21" t="s">
        <v>19112</v>
      </c>
      <c r="B329" s="22" t="s">
        <v>19113</v>
      </c>
      <c r="C329" s="2">
        <v>45</v>
      </c>
      <c r="D329" s="23">
        <v>5.99</v>
      </c>
      <c r="E329" s="3">
        <v>269.55</v>
      </c>
      <c r="F329" s="2" t="s">
        <v>19109</v>
      </c>
      <c r="G329" s="22" t="s">
        <v>19670</v>
      </c>
      <c r="H329" s="24" t="s">
        <v>19324</v>
      </c>
      <c r="I329" s="22" t="s">
        <v>19309</v>
      </c>
      <c r="J329" s="22" t="s">
        <v>19573</v>
      </c>
      <c r="K329" s="22" t="s">
        <v>19574</v>
      </c>
      <c r="L329" s="22"/>
      <c r="M329" s="22"/>
      <c r="N329" s="25" t="str">
        <f>HYPERLINK("http://slimages.macys.com/is/image/MCY/21209381 ")</f>
        <v xml:space="preserve">http://slimages.macys.com/is/image/MCY/21209381 </v>
      </c>
    </row>
    <row r="330" spans="1:14" ht="24.75" x14ac:dyDescent="0.25">
      <c r="A330" s="21" t="s">
        <v>19107</v>
      </c>
      <c r="B330" s="22" t="s">
        <v>19108</v>
      </c>
      <c r="C330" s="2">
        <v>7</v>
      </c>
      <c r="D330" s="23">
        <v>5.99</v>
      </c>
      <c r="E330" s="3">
        <v>41.93</v>
      </c>
      <c r="F330" s="2" t="s">
        <v>19109</v>
      </c>
      <c r="G330" s="22" t="s">
        <v>19670</v>
      </c>
      <c r="H330" s="24" t="s">
        <v>19384</v>
      </c>
      <c r="I330" s="22" t="s">
        <v>19309</v>
      </c>
      <c r="J330" s="22" t="s">
        <v>19573</v>
      </c>
      <c r="K330" s="22" t="s">
        <v>19574</v>
      </c>
      <c r="L330" s="22"/>
      <c r="M330" s="22"/>
      <c r="N330" s="25" t="str">
        <f>HYPERLINK("http://slimages.macys.com/is/image/MCY/1734374 ")</f>
        <v xml:space="preserve">http://slimages.macys.com/is/image/MCY/1734374 </v>
      </c>
    </row>
    <row r="331" spans="1:14" ht="24.75" x14ac:dyDescent="0.25">
      <c r="A331" s="21" t="s">
        <v>8618</v>
      </c>
      <c r="B331" s="22" t="s">
        <v>8619</v>
      </c>
      <c r="C331" s="2">
        <v>20</v>
      </c>
      <c r="D331" s="23">
        <v>7.99</v>
      </c>
      <c r="E331" s="3">
        <v>159.80000000000001</v>
      </c>
      <c r="F331" s="2" t="s">
        <v>9696</v>
      </c>
      <c r="G331" s="22" t="s">
        <v>19351</v>
      </c>
      <c r="H331" s="24" t="s">
        <v>19907</v>
      </c>
      <c r="I331" s="22" t="s">
        <v>19309</v>
      </c>
      <c r="J331" s="22" t="s">
        <v>19573</v>
      </c>
      <c r="K331" s="22" t="s">
        <v>19574</v>
      </c>
      <c r="L331" s="22"/>
      <c r="M331" s="22"/>
      <c r="N331" s="25" t="str">
        <f>HYPERLINK("http://slimages.macys.com/is/image/MCY/1610409 ")</f>
        <v xml:space="preserve">http://slimages.macys.com/is/image/MCY/1610409 </v>
      </c>
    </row>
    <row r="332" spans="1:14" ht="24.75" x14ac:dyDescent="0.25">
      <c r="A332" s="21" t="s">
        <v>9694</v>
      </c>
      <c r="B332" s="22" t="s">
        <v>9695</v>
      </c>
      <c r="C332" s="2">
        <v>5</v>
      </c>
      <c r="D332" s="23">
        <v>7.99</v>
      </c>
      <c r="E332" s="3">
        <v>39.950000000000003</v>
      </c>
      <c r="F332" s="2" t="s">
        <v>9696</v>
      </c>
      <c r="G332" s="22" t="s">
        <v>19351</v>
      </c>
      <c r="H332" s="24" t="s">
        <v>20135</v>
      </c>
      <c r="I332" s="22" t="s">
        <v>19309</v>
      </c>
      <c r="J332" s="22" t="s">
        <v>19573</v>
      </c>
      <c r="K332" s="22" t="s">
        <v>19574</v>
      </c>
      <c r="L332" s="22"/>
      <c r="M332" s="22"/>
      <c r="N332" s="25" t="str">
        <f>HYPERLINK("http://slimages.macys.com/is/image/MCY/1610409 ")</f>
        <v xml:space="preserve">http://slimages.macys.com/is/image/MCY/1610409 </v>
      </c>
    </row>
    <row r="333" spans="1:14" ht="24.75" x14ac:dyDescent="0.25">
      <c r="A333" s="21" t="s">
        <v>4965</v>
      </c>
      <c r="B333" s="22" t="s">
        <v>4966</v>
      </c>
      <c r="C333" s="2">
        <v>1</v>
      </c>
      <c r="D333" s="23">
        <v>6.99</v>
      </c>
      <c r="E333" s="3">
        <v>6.99</v>
      </c>
      <c r="F333" s="2" t="s">
        <v>4967</v>
      </c>
      <c r="G333" s="22" t="s">
        <v>18821</v>
      </c>
      <c r="H333" s="24"/>
      <c r="I333" s="22" t="s">
        <v>19309</v>
      </c>
      <c r="J333" s="22" t="s">
        <v>19573</v>
      </c>
      <c r="K333" s="22" t="s">
        <v>19574</v>
      </c>
      <c r="L333" s="22"/>
      <c r="M333" s="22"/>
      <c r="N333" s="25" t="str">
        <f>HYPERLINK("http://slimages.macys.com/is/image/MCY/1046188 ")</f>
        <v xml:space="preserve">http://slimages.macys.com/is/image/MCY/1046188 </v>
      </c>
    </row>
    <row r="334" spans="1:14" ht="24.75" x14ac:dyDescent="0.25">
      <c r="A334" s="21" t="s">
        <v>4968</v>
      </c>
      <c r="B334" s="22" t="s">
        <v>4969</v>
      </c>
      <c r="C334" s="2">
        <v>2</v>
      </c>
      <c r="D334" s="23">
        <v>6.99</v>
      </c>
      <c r="E334" s="3">
        <v>13.98</v>
      </c>
      <c r="F334" s="2" t="s">
        <v>4970</v>
      </c>
      <c r="G334" s="22" t="s">
        <v>19674</v>
      </c>
      <c r="H334" s="24" t="s">
        <v>19416</v>
      </c>
      <c r="I334" s="22" t="s">
        <v>19309</v>
      </c>
      <c r="J334" s="22" t="s">
        <v>19573</v>
      </c>
      <c r="K334" s="22" t="s">
        <v>19574</v>
      </c>
      <c r="L334" s="22"/>
      <c r="M334" s="22"/>
      <c r="N334" s="25" t="str">
        <f>HYPERLINK("http://slimages.macys.com/is/image/MCY/19737945 ")</f>
        <v xml:space="preserve">http://slimages.macys.com/is/image/MCY/19737945 </v>
      </c>
    </row>
    <row r="335" spans="1:14" ht="24.75" x14ac:dyDescent="0.25">
      <c r="A335" s="21" t="s">
        <v>11144</v>
      </c>
      <c r="B335" s="22" t="s">
        <v>11145</v>
      </c>
      <c r="C335" s="2">
        <v>2</v>
      </c>
      <c r="D335" s="23">
        <v>7.99</v>
      </c>
      <c r="E335" s="3">
        <v>15.98</v>
      </c>
      <c r="F335" s="2" t="s">
        <v>11146</v>
      </c>
      <c r="G335" s="22" t="s">
        <v>19351</v>
      </c>
      <c r="H335" s="24" t="s">
        <v>20135</v>
      </c>
      <c r="I335" s="22" t="s">
        <v>19309</v>
      </c>
      <c r="J335" s="22" t="s">
        <v>19573</v>
      </c>
      <c r="K335" s="22" t="s">
        <v>19574</v>
      </c>
      <c r="L335" s="22"/>
      <c r="M335" s="22"/>
      <c r="N335" s="25" t="str">
        <f>HYPERLINK("http://slimages.macys.com/is/image/MCY/21209453 ")</f>
        <v xml:space="preserve">http://slimages.macys.com/is/image/MCY/21209453 </v>
      </c>
    </row>
    <row r="336" spans="1:14" ht="24.75" x14ac:dyDescent="0.25">
      <c r="A336" s="21" t="s">
        <v>11147</v>
      </c>
      <c r="B336" s="22" t="s">
        <v>11148</v>
      </c>
      <c r="C336" s="2">
        <v>4</v>
      </c>
      <c r="D336" s="23">
        <v>7.99</v>
      </c>
      <c r="E336" s="3">
        <v>31.96</v>
      </c>
      <c r="F336" s="2" t="s">
        <v>11146</v>
      </c>
      <c r="G336" s="22" t="s">
        <v>19351</v>
      </c>
      <c r="H336" s="24" t="s">
        <v>20089</v>
      </c>
      <c r="I336" s="22" t="s">
        <v>19309</v>
      </c>
      <c r="J336" s="22" t="s">
        <v>19573</v>
      </c>
      <c r="K336" s="22" t="s">
        <v>19574</v>
      </c>
      <c r="L336" s="22"/>
      <c r="M336" s="22"/>
      <c r="N336" s="25" t="str">
        <f>HYPERLINK("http://slimages.macys.com/is/image/MCY/21209453 ")</f>
        <v xml:space="preserve">http://slimages.macys.com/is/image/MCY/21209453 </v>
      </c>
    </row>
    <row r="337" spans="1:14" ht="24.75" x14ac:dyDescent="0.25">
      <c r="A337" s="21" t="s">
        <v>4971</v>
      </c>
      <c r="B337" s="22" t="s">
        <v>4972</v>
      </c>
      <c r="C337" s="2">
        <v>2</v>
      </c>
      <c r="D337" s="23">
        <v>5.99</v>
      </c>
      <c r="E337" s="3">
        <v>11.98</v>
      </c>
      <c r="F337" s="2" t="s">
        <v>4973</v>
      </c>
      <c r="G337" s="22" t="s">
        <v>19351</v>
      </c>
      <c r="H337" s="24" t="s">
        <v>19416</v>
      </c>
      <c r="I337" s="22" t="s">
        <v>19309</v>
      </c>
      <c r="J337" s="22" t="s">
        <v>19573</v>
      </c>
      <c r="K337" s="22" t="s">
        <v>19574</v>
      </c>
      <c r="L337" s="22"/>
      <c r="M337" s="22"/>
      <c r="N337" s="25" t="str">
        <f>HYPERLINK("http://slimages.macys.com/is/image/MCY/20548403 ")</f>
        <v xml:space="preserve">http://slimages.macys.com/is/image/MCY/20548403 </v>
      </c>
    </row>
    <row r="338" spans="1:14" ht="24.75" x14ac:dyDescent="0.25">
      <c r="A338" s="21" t="s">
        <v>4974</v>
      </c>
      <c r="B338" s="22" t="s">
        <v>4975</v>
      </c>
      <c r="C338" s="2">
        <v>1</v>
      </c>
      <c r="D338" s="23">
        <v>6.99</v>
      </c>
      <c r="E338" s="3">
        <v>6.99</v>
      </c>
      <c r="F338" s="2" t="s">
        <v>4976</v>
      </c>
      <c r="G338" s="22" t="s">
        <v>19431</v>
      </c>
      <c r="H338" s="24" t="s">
        <v>19416</v>
      </c>
      <c r="I338" s="22" t="s">
        <v>19309</v>
      </c>
      <c r="J338" s="22" t="s">
        <v>19573</v>
      </c>
      <c r="K338" s="22" t="s">
        <v>19574</v>
      </c>
      <c r="L338" s="22"/>
      <c r="M338" s="22"/>
      <c r="N338" s="25" t="str">
        <f>HYPERLINK("http://slimages.macys.com/is/image/MCY/20386036 ")</f>
        <v xml:space="preserve">http://slimages.macys.com/is/image/MCY/20386036 </v>
      </c>
    </row>
    <row r="339" spans="1:14" ht="24.75" x14ac:dyDescent="0.25">
      <c r="A339" s="21" t="s">
        <v>4977</v>
      </c>
      <c r="B339" s="22" t="s">
        <v>4978</v>
      </c>
      <c r="C339" s="2">
        <v>1</v>
      </c>
      <c r="D339" s="23">
        <v>5.99</v>
      </c>
      <c r="E339" s="3">
        <v>5.99</v>
      </c>
      <c r="F339" s="2" t="s">
        <v>4979</v>
      </c>
      <c r="G339" s="22" t="s">
        <v>19618</v>
      </c>
      <c r="H339" s="24" t="s">
        <v>19330</v>
      </c>
      <c r="I339" s="22" t="s">
        <v>19309</v>
      </c>
      <c r="J339" s="22" t="s">
        <v>19573</v>
      </c>
      <c r="K339" s="22" t="s">
        <v>19574</v>
      </c>
      <c r="L339" s="22"/>
      <c r="M339" s="22"/>
      <c r="N339" s="25" t="str">
        <f>HYPERLINK("http://slimages.macys.com/is/image/MCY/19588616 ")</f>
        <v xml:space="preserve">http://slimages.macys.com/is/image/MCY/19588616 </v>
      </c>
    </row>
    <row r="340" spans="1:14" ht="24.75" x14ac:dyDescent="0.25">
      <c r="A340" s="21" t="s">
        <v>8159</v>
      </c>
      <c r="B340" s="22" t="s">
        <v>8160</v>
      </c>
      <c r="C340" s="2">
        <v>11</v>
      </c>
      <c r="D340" s="23">
        <v>5.99</v>
      </c>
      <c r="E340" s="3">
        <v>65.89</v>
      </c>
      <c r="F340" s="2" t="s">
        <v>11156</v>
      </c>
      <c r="G340" s="22" t="s">
        <v>19351</v>
      </c>
      <c r="H340" s="24" t="s">
        <v>19416</v>
      </c>
      <c r="I340" s="22" t="s">
        <v>19309</v>
      </c>
      <c r="J340" s="22" t="s">
        <v>19573</v>
      </c>
      <c r="K340" s="22" t="s">
        <v>19574</v>
      </c>
      <c r="L340" s="22"/>
      <c r="M340" s="22"/>
      <c r="N340" s="25" t="str">
        <f>HYPERLINK("http://slimages.macys.com/is/image/MCY/21361186 ")</f>
        <v xml:space="preserve">http://slimages.macys.com/is/image/MCY/21361186 </v>
      </c>
    </row>
    <row r="341" spans="1:14" ht="24.75" x14ac:dyDescent="0.25">
      <c r="A341" s="21" t="s">
        <v>4980</v>
      </c>
      <c r="B341" s="22" t="s">
        <v>4981</v>
      </c>
      <c r="C341" s="2">
        <v>1</v>
      </c>
      <c r="D341" s="23">
        <v>7.99</v>
      </c>
      <c r="E341" s="3">
        <v>7.99</v>
      </c>
      <c r="F341" s="2">
        <v>64832</v>
      </c>
      <c r="G341" s="22" t="s">
        <v>19674</v>
      </c>
      <c r="H341" s="24" t="s">
        <v>13359</v>
      </c>
      <c r="I341" s="22" t="s">
        <v>19309</v>
      </c>
      <c r="J341" s="22" t="s">
        <v>20076</v>
      </c>
      <c r="K341" s="22" t="s">
        <v>18822</v>
      </c>
      <c r="L341" s="22"/>
      <c r="M341" s="22"/>
      <c r="N341" s="25" t="str">
        <f>HYPERLINK("http://slimages.macys.com/is/image/MCY/20052282 ")</f>
        <v xml:space="preserve">http://slimages.macys.com/is/image/MCY/20052282 </v>
      </c>
    </row>
    <row r="342" spans="1:14" ht="24.75" x14ac:dyDescent="0.25">
      <c r="A342" s="21" t="s">
        <v>12633</v>
      </c>
      <c r="B342" s="22" t="s">
        <v>12634</v>
      </c>
      <c r="C342" s="2">
        <v>1</v>
      </c>
      <c r="D342" s="23">
        <v>7.99</v>
      </c>
      <c r="E342" s="3">
        <v>7.99</v>
      </c>
      <c r="F342" s="2" t="s">
        <v>13483</v>
      </c>
      <c r="G342" s="22" t="s">
        <v>19415</v>
      </c>
      <c r="H342" s="24" t="s">
        <v>19907</v>
      </c>
      <c r="I342" s="22" t="s">
        <v>19309</v>
      </c>
      <c r="J342" s="22" t="s">
        <v>19573</v>
      </c>
      <c r="K342" s="22" t="s">
        <v>19574</v>
      </c>
      <c r="L342" s="22"/>
      <c r="M342" s="22"/>
      <c r="N342" s="25" t="str">
        <f>HYPERLINK("http://slimages.macys.com/is/image/MCY/22078179 ")</f>
        <v xml:space="preserve">http://slimages.macys.com/is/image/MCY/22078179 </v>
      </c>
    </row>
    <row r="343" spans="1:14" ht="24.75" x14ac:dyDescent="0.25">
      <c r="A343" s="21" t="s">
        <v>4982</v>
      </c>
      <c r="B343" s="22" t="s">
        <v>4983</v>
      </c>
      <c r="C343" s="2">
        <v>18</v>
      </c>
      <c r="D343" s="23">
        <v>6.99</v>
      </c>
      <c r="E343" s="3">
        <v>125.82</v>
      </c>
      <c r="F343" s="2" t="s">
        <v>4984</v>
      </c>
      <c r="G343" s="22" t="s">
        <v>19415</v>
      </c>
      <c r="H343" s="24"/>
      <c r="I343" s="22" t="s">
        <v>19309</v>
      </c>
      <c r="J343" s="22" t="s">
        <v>19573</v>
      </c>
      <c r="K343" s="22" t="s">
        <v>19574</v>
      </c>
      <c r="L343" s="22"/>
      <c r="M343" s="22"/>
      <c r="N343" s="25" t="str">
        <f>HYPERLINK("http://slimages.macys.com/is/image/MCY/1062101 ")</f>
        <v xml:space="preserve">http://slimages.macys.com/is/image/MCY/1062101 </v>
      </c>
    </row>
    <row r="344" spans="1:14" ht="24.75" x14ac:dyDescent="0.25">
      <c r="A344" s="21" t="s">
        <v>7175</v>
      </c>
      <c r="B344" s="22" t="s">
        <v>7176</v>
      </c>
      <c r="C344" s="2">
        <v>1</v>
      </c>
      <c r="D344" s="23">
        <v>5.99</v>
      </c>
      <c r="E344" s="3">
        <v>5.99</v>
      </c>
      <c r="F344" s="2" t="s">
        <v>19173</v>
      </c>
      <c r="G344" s="22" t="s">
        <v>19585</v>
      </c>
      <c r="H344" s="24" t="s">
        <v>19330</v>
      </c>
      <c r="I344" s="22" t="s">
        <v>19309</v>
      </c>
      <c r="J344" s="22" t="s">
        <v>19573</v>
      </c>
      <c r="K344" s="22" t="s">
        <v>19574</v>
      </c>
      <c r="L344" s="22"/>
      <c r="M344" s="22"/>
      <c r="N344" s="25" t="str">
        <f>HYPERLINK("http://slimages.macys.com/is/image/MCY/20547842 ")</f>
        <v xml:space="preserve">http://slimages.macys.com/is/image/MCY/20547842 </v>
      </c>
    </row>
    <row r="345" spans="1:14" ht="24.75" x14ac:dyDescent="0.25">
      <c r="A345" s="21" t="s">
        <v>4985</v>
      </c>
      <c r="B345" s="22" t="s">
        <v>4986</v>
      </c>
      <c r="C345" s="2">
        <v>1</v>
      </c>
      <c r="D345" s="23">
        <v>5.99</v>
      </c>
      <c r="E345" s="3">
        <v>5.99</v>
      </c>
      <c r="F345" s="2" t="s">
        <v>4987</v>
      </c>
      <c r="G345" s="22" t="s">
        <v>19518</v>
      </c>
      <c r="H345" s="24" t="s">
        <v>19538</v>
      </c>
      <c r="I345" s="22" t="s">
        <v>19309</v>
      </c>
      <c r="J345" s="22" t="s">
        <v>19573</v>
      </c>
      <c r="K345" s="22" t="s">
        <v>19574</v>
      </c>
      <c r="L345" s="22"/>
      <c r="M345" s="22"/>
      <c r="N345" s="25" t="str">
        <f>HYPERLINK("http://slimages.macys.com/is/image/MCY/20385953 ")</f>
        <v xml:space="preserve">http://slimages.macys.com/is/image/MCY/20385953 </v>
      </c>
    </row>
    <row r="346" spans="1:14" ht="24.75" x14ac:dyDescent="0.25">
      <c r="A346" s="21" t="s">
        <v>4988</v>
      </c>
      <c r="B346" s="22" t="s">
        <v>4989</v>
      </c>
      <c r="C346" s="2">
        <v>1</v>
      </c>
      <c r="D346" s="23">
        <v>5.99</v>
      </c>
      <c r="E346" s="3">
        <v>5.99</v>
      </c>
      <c r="F346" s="2" t="s">
        <v>19173</v>
      </c>
      <c r="G346" s="22" t="s">
        <v>18439</v>
      </c>
      <c r="H346" s="24" t="s">
        <v>19538</v>
      </c>
      <c r="I346" s="22" t="s">
        <v>19309</v>
      </c>
      <c r="J346" s="22" t="s">
        <v>19573</v>
      </c>
      <c r="K346" s="22" t="s">
        <v>19574</v>
      </c>
      <c r="L346" s="22"/>
      <c r="M346" s="22"/>
      <c r="N346" s="25" t="str">
        <f>HYPERLINK("http://slimages.macys.com/is/image/MCY/20759560 ")</f>
        <v xml:space="preserve">http://slimages.macys.com/is/image/MCY/20759560 </v>
      </c>
    </row>
    <row r="347" spans="1:14" ht="24.75" x14ac:dyDescent="0.25">
      <c r="A347" s="21" t="s">
        <v>19168</v>
      </c>
      <c r="B347" s="22" t="s">
        <v>19169</v>
      </c>
      <c r="C347" s="2">
        <v>1</v>
      </c>
      <c r="D347" s="23">
        <v>5.99</v>
      </c>
      <c r="E347" s="3">
        <v>5.99</v>
      </c>
      <c r="F347" s="2" t="s">
        <v>19170</v>
      </c>
      <c r="G347" s="22" t="s">
        <v>19906</v>
      </c>
      <c r="H347" s="24" t="s">
        <v>19330</v>
      </c>
      <c r="I347" s="22" t="s">
        <v>19309</v>
      </c>
      <c r="J347" s="22" t="s">
        <v>19573</v>
      </c>
      <c r="K347" s="22" t="s">
        <v>19574</v>
      </c>
      <c r="L347" s="22"/>
      <c r="M347" s="22"/>
      <c r="N347" s="25" t="str">
        <f>HYPERLINK("http://slimages.macys.com/is/image/MCY/21361119 ")</f>
        <v xml:space="preserve">http://slimages.macys.com/is/image/MCY/21361119 </v>
      </c>
    </row>
    <row r="348" spans="1:14" ht="24.75" x14ac:dyDescent="0.25">
      <c r="A348" s="21" t="s">
        <v>4990</v>
      </c>
      <c r="B348" s="22" t="s">
        <v>4991</v>
      </c>
      <c r="C348" s="2">
        <v>1</v>
      </c>
      <c r="D348" s="23">
        <v>5.99</v>
      </c>
      <c r="E348" s="3">
        <v>5.99</v>
      </c>
      <c r="F348" s="2" t="s">
        <v>19170</v>
      </c>
      <c r="G348" s="22" t="s">
        <v>19618</v>
      </c>
      <c r="H348" s="24" t="s">
        <v>19416</v>
      </c>
      <c r="I348" s="22" t="s">
        <v>19309</v>
      </c>
      <c r="J348" s="22" t="s">
        <v>19573</v>
      </c>
      <c r="K348" s="22" t="s">
        <v>19574</v>
      </c>
      <c r="L348" s="22"/>
      <c r="M348" s="22"/>
      <c r="N348" s="25" t="str">
        <f>HYPERLINK("http://slimages.macys.com/is/image/MCY/21361119 ")</f>
        <v xml:space="preserve">http://slimages.macys.com/is/image/MCY/21361119 </v>
      </c>
    </row>
    <row r="349" spans="1:14" ht="24.75" x14ac:dyDescent="0.25">
      <c r="A349" s="21" t="s">
        <v>4992</v>
      </c>
      <c r="B349" s="22" t="s">
        <v>4993</v>
      </c>
      <c r="C349" s="2">
        <v>1</v>
      </c>
      <c r="D349" s="23">
        <v>5.99</v>
      </c>
      <c r="E349" s="3">
        <v>5.99</v>
      </c>
      <c r="F349" s="2" t="s">
        <v>19173</v>
      </c>
      <c r="G349" s="22" t="s">
        <v>19518</v>
      </c>
      <c r="H349" s="24" t="s">
        <v>19324</v>
      </c>
      <c r="I349" s="22" t="s">
        <v>19309</v>
      </c>
      <c r="J349" s="22" t="s">
        <v>19573</v>
      </c>
      <c r="K349" s="22" t="s">
        <v>19574</v>
      </c>
      <c r="L349" s="22"/>
      <c r="M349" s="22"/>
      <c r="N349" s="25" t="str">
        <f>HYPERLINK("http://slimages.macys.com/is/image/MCY/21110507 ")</f>
        <v xml:space="preserve">http://slimages.macys.com/is/image/MCY/21110507 </v>
      </c>
    </row>
    <row r="350" spans="1:14" ht="24.75" x14ac:dyDescent="0.25">
      <c r="A350" s="21" t="s">
        <v>17186</v>
      </c>
      <c r="B350" s="22" t="s">
        <v>17187</v>
      </c>
      <c r="C350" s="2">
        <v>11</v>
      </c>
      <c r="D350" s="23">
        <v>5.99</v>
      </c>
      <c r="E350" s="3">
        <v>65.89</v>
      </c>
      <c r="F350" s="2" t="s">
        <v>19180</v>
      </c>
      <c r="G350" s="22" t="s">
        <v>19477</v>
      </c>
      <c r="H350" s="24" t="s">
        <v>19330</v>
      </c>
      <c r="I350" s="22" t="s">
        <v>19309</v>
      </c>
      <c r="J350" s="22" t="s">
        <v>19573</v>
      </c>
      <c r="K350" s="22" t="s">
        <v>19574</v>
      </c>
      <c r="L350" s="22"/>
      <c r="M350" s="22"/>
      <c r="N350" s="25" t="str">
        <f>HYPERLINK("http://slimages.macys.com/is/image/MCY/1521972 ")</f>
        <v xml:space="preserve">http://slimages.macys.com/is/image/MCY/1521972 </v>
      </c>
    </row>
    <row r="351" spans="1:14" ht="24.75" x14ac:dyDescent="0.25">
      <c r="A351" s="21" t="s">
        <v>19178</v>
      </c>
      <c r="B351" s="22" t="s">
        <v>19179</v>
      </c>
      <c r="C351" s="2">
        <v>18</v>
      </c>
      <c r="D351" s="23">
        <v>5.99</v>
      </c>
      <c r="E351" s="3">
        <v>107.82</v>
      </c>
      <c r="F351" s="2" t="s">
        <v>19180</v>
      </c>
      <c r="G351" s="22" t="s">
        <v>19477</v>
      </c>
      <c r="H351" s="24" t="s">
        <v>19384</v>
      </c>
      <c r="I351" s="22" t="s">
        <v>19309</v>
      </c>
      <c r="J351" s="22" t="s">
        <v>19573</v>
      </c>
      <c r="K351" s="22" t="s">
        <v>19574</v>
      </c>
      <c r="L351" s="22"/>
      <c r="M351" s="22"/>
      <c r="N351" s="25" t="str">
        <f>HYPERLINK("http://slimages.macys.com/is/image/MCY/1521974 ")</f>
        <v xml:space="preserve">http://slimages.macys.com/is/image/MCY/1521974 </v>
      </c>
    </row>
    <row r="352" spans="1:14" ht="24.75" x14ac:dyDescent="0.25">
      <c r="A352" s="21" t="s">
        <v>4994</v>
      </c>
      <c r="B352" s="22" t="s">
        <v>4995</v>
      </c>
      <c r="C352" s="2">
        <v>1</v>
      </c>
      <c r="D352" s="23">
        <v>5.99</v>
      </c>
      <c r="E352" s="3">
        <v>5.99</v>
      </c>
      <c r="F352" s="2" t="s">
        <v>6301</v>
      </c>
      <c r="G352" s="22" t="s">
        <v>19351</v>
      </c>
      <c r="H352" s="24" t="s">
        <v>19330</v>
      </c>
      <c r="I352" s="22" t="s">
        <v>19309</v>
      </c>
      <c r="J352" s="22" t="s">
        <v>19573</v>
      </c>
      <c r="K352" s="22" t="s">
        <v>19574</v>
      </c>
      <c r="L352" s="22"/>
      <c r="M352" s="22"/>
      <c r="N352" s="25" t="str">
        <f>HYPERLINK("http://slimages.macys.com/is/image/MCY/18421939 ")</f>
        <v xml:space="preserve">http://slimages.macys.com/is/image/MCY/18421939 </v>
      </c>
    </row>
    <row r="353" spans="1:14" ht="24.75" x14ac:dyDescent="0.25">
      <c r="A353" s="21" t="s">
        <v>4996</v>
      </c>
      <c r="B353" s="22" t="s">
        <v>4997</v>
      </c>
      <c r="C353" s="2">
        <v>1</v>
      </c>
      <c r="D353" s="23">
        <v>6.99</v>
      </c>
      <c r="E353" s="3">
        <v>6.99</v>
      </c>
      <c r="F353" s="2" t="s">
        <v>17155</v>
      </c>
      <c r="G353" s="22" t="s">
        <v>19674</v>
      </c>
      <c r="H353" s="24" t="s">
        <v>19416</v>
      </c>
      <c r="I353" s="22" t="s">
        <v>19309</v>
      </c>
      <c r="J353" s="22" t="s">
        <v>19573</v>
      </c>
      <c r="K353" s="22" t="s">
        <v>19574</v>
      </c>
      <c r="L353" s="22"/>
      <c r="M353" s="22"/>
      <c r="N353" s="25" t="str">
        <f>HYPERLINK("http://slimages.macys.com/is/image/MCY/19762874 ")</f>
        <v xml:space="preserve">http://slimages.macys.com/is/image/MCY/19762874 </v>
      </c>
    </row>
    <row r="354" spans="1:14" ht="24.75" x14ac:dyDescent="0.25">
      <c r="A354" s="21" t="s">
        <v>10133</v>
      </c>
      <c r="B354" s="22" t="s">
        <v>10134</v>
      </c>
      <c r="C354" s="2">
        <v>1</v>
      </c>
      <c r="D354" s="23">
        <v>7.99</v>
      </c>
      <c r="E354" s="3">
        <v>7.99</v>
      </c>
      <c r="F354" s="2" t="s">
        <v>12647</v>
      </c>
      <c r="G354" s="22" t="s">
        <v>19415</v>
      </c>
      <c r="H354" s="24" t="s">
        <v>20135</v>
      </c>
      <c r="I354" s="22" t="s">
        <v>19309</v>
      </c>
      <c r="J354" s="22" t="s">
        <v>19573</v>
      </c>
      <c r="K354" s="22" t="s">
        <v>19574</v>
      </c>
      <c r="L354" s="22"/>
      <c r="M354" s="22"/>
      <c r="N354" s="25" t="str">
        <f>HYPERLINK("http://slimages.macys.com/is/image/MCY/21209295 ")</f>
        <v xml:space="preserve">http://slimages.macys.com/is/image/MCY/21209295 </v>
      </c>
    </row>
    <row r="355" spans="1:14" ht="24.75" x14ac:dyDescent="0.25">
      <c r="A355" s="21" t="s">
        <v>4998</v>
      </c>
      <c r="B355" s="22" t="s">
        <v>4999</v>
      </c>
      <c r="C355" s="2">
        <v>17</v>
      </c>
      <c r="D355" s="23">
        <v>5.99</v>
      </c>
      <c r="E355" s="3">
        <v>101.83</v>
      </c>
      <c r="F355" s="2" t="s">
        <v>17203</v>
      </c>
      <c r="G355" s="22" t="s">
        <v>19415</v>
      </c>
      <c r="H355" s="24" t="s">
        <v>19384</v>
      </c>
      <c r="I355" s="22" t="s">
        <v>19309</v>
      </c>
      <c r="J355" s="22" t="s">
        <v>19573</v>
      </c>
      <c r="K355" s="22" t="s">
        <v>19574</v>
      </c>
      <c r="L355" s="22"/>
      <c r="M355" s="22"/>
      <c r="N355" s="25" t="str">
        <f>HYPERLINK("http://slimages.macys.com/is/image/MCY/20757989 ")</f>
        <v xml:space="preserve">http://slimages.macys.com/is/image/MCY/20757989 </v>
      </c>
    </row>
    <row r="356" spans="1:14" ht="24.75" x14ac:dyDescent="0.25">
      <c r="A356" s="21" t="s">
        <v>5000</v>
      </c>
      <c r="B356" s="22" t="s">
        <v>5001</v>
      </c>
      <c r="C356" s="2">
        <v>1</v>
      </c>
      <c r="D356" s="23">
        <v>6.99</v>
      </c>
      <c r="E356" s="3">
        <v>6.99</v>
      </c>
      <c r="F356" s="2" t="s">
        <v>12650</v>
      </c>
      <c r="G356" s="22" t="s">
        <v>19585</v>
      </c>
      <c r="H356" s="24" t="s">
        <v>19416</v>
      </c>
      <c r="I356" s="22" t="s">
        <v>19309</v>
      </c>
      <c r="J356" s="22" t="s">
        <v>19573</v>
      </c>
      <c r="K356" s="22" t="s">
        <v>19574</v>
      </c>
      <c r="L356" s="22"/>
      <c r="M356" s="22"/>
      <c r="N356" s="25" t="str">
        <f>HYPERLINK("http://slimages.macys.com/is/image/MCY/19977735 ")</f>
        <v xml:space="preserve">http://slimages.macys.com/is/image/MCY/19977735 </v>
      </c>
    </row>
    <row r="357" spans="1:14" ht="24.75" x14ac:dyDescent="0.25">
      <c r="A357" s="21" t="s">
        <v>5002</v>
      </c>
      <c r="B357" s="22" t="s">
        <v>5003</v>
      </c>
      <c r="C357" s="2">
        <v>1</v>
      </c>
      <c r="D357" s="23">
        <v>6.99</v>
      </c>
      <c r="E357" s="3">
        <v>6.99</v>
      </c>
      <c r="F357" s="2" t="s">
        <v>19201</v>
      </c>
      <c r="G357" s="22" t="s">
        <v>19618</v>
      </c>
      <c r="H357" s="24" t="s">
        <v>19330</v>
      </c>
      <c r="I357" s="22" t="s">
        <v>19309</v>
      </c>
      <c r="J357" s="22" t="s">
        <v>19573</v>
      </c>
      <c r="K357" s="22" t="s">
        <v>19574</v>
      </c>
      <c r="L357" s="22"/>
      <c r="M357" s="22"/>
      <c r="N357" s="25" t="str">
        <f>HYPERLINK("http://slimages.macys.com/is/image/MCY/19977732 ")</f>
        <v xml:space="preserve">http://slimages.macys.com/is/image/MCY/19977732 </v>
      </c>
    </row>
    <row r="358" spans="1:14" ht="24.75" x14ac:dyDescent="0.25">
      <c r="A358" s="21" t="s">
        <v>17191</v>
      </c>
      <c r="B358" s="22" t="s">
        <v>17192</v>
      </c>
      <c r="C358" s="2">
        <v>10</v>
      </c>
      <c r="D358" s="23">
        <v>5.99</v>
      </c>
      <c r="E358" s="3">
        <v>59.9</v>
      </c>
      <c r="F358" s="2" t="s">
        <v>17190</v>
      </c>
      <c r="G358" s="22" t="s">
        <v>19674</v>
      </c>
      <c r="H358" s="24" t="s">
        <v>19384</v>
      </c>
      <c r="I358" s="22" t="s">
        <v>19309</v>
      </c>
      <c r="J358" s="22" t="s">
        <v>19573</v>
      </c>
      <c r="K358" s="22" t="s">
        <v>19574</v>
      </c>
      <c r="L358" s="22"/>
      <c r="M358" s="22"/>
      <c r="N358" s="25" t="str">
        <f>HYPERLINK("http://slimages.macys.com/is/image/MCY/21209566 ")</f>
        <v xml:space="preserve">http://slimages.macys.com/is/image/MCY/21209566 </v>
      </c>
    </row>
    <row r="359" spans="1:14" ht="24.75" x14ac:dyDescent="0.25">
      <c r="A359" s="21" t="s">
        <v>5004</v>
      </c>
      <c r="B359" s="22" t="s">
        <v>5005</v>
      </c>
      <c r="C359" s="2">
        <v>14</v>
      </c>
      <c r="D359" s="23">
        <v>7.99</v>
      </c>
      <c r="E359" s="3">
        <v>111.86</v>
      </c>
      <c r="F359" s="2" t="s">
        <v>9709</v>
      </c>
      <c r="G359" s="22" t="s">
        <v>19467</v>
      </c>
      <c r="H359" s="24" t="s">
        <v>20135</v>
      </c>
      <c r="I359" s="22" t="s">
        <v>19309</v>
      </c>
      <c r="J359" s="22" t="s">
        <v>19573</v>
      </c>
      <c r="K359" s="22" t="s">
        <v>19574</v>
      </c>
      <c r="L359" s="22"/>
      <c r="M359" s="22"/>
      <c r="N359" s="25" t="str">
        <f>HYPERLINK("http://slimages.macys.com/is/image/MCY/21970216 ")</f>
        <v xml:space="preserve">http://slimages.macys.com/is/image/MCY/21970216 </v>
      </c>
    </row>
    <row r="360" spans="1:14" ht="24.75" x14ac:dyDescent="0.25">
      <c r="A360" s="21" t="s">
        <v>8373</v>
      </c>
      <c r="B360" s="22" t="s">
        <v>8374</v>
      </c>
      <c r="C360" s="2">
        <v>31</v>
      </c>
      <c r="D360" s="23">
        <v>5.99</v>
      </c>
      <c r="E360" s="3">
        <v>185.69</v>
      </c>
      <c r="F360" s="2" t="s">
        <v>8375</v>
      </c>
      <c r="G360" s="22" t="s">
        <v>19674</v>
      </c>
      <c r="H360" s="24" t="s">
        <v>19416</v>
      </c>
      <c r="I360" s="22" t="s">
        <v>19309</v>
      </c>
      <c r="J360" s="22" t="s">
        <v>19573</v>
      </c>
      <c r="K360" s="22" t="s">
        <v>19574</v>
      </c>
      <c r="L360" s="22"/>
      <c r="M360" s="22"/>
      <c r="N360" s="25" t="str">
        <f>HYPERLINK("http://slimages.macys.com/is/image/MCY/20385946 ")</f>
        <v xml:space="preserve">http://slimages.macys.com/is/image/MCY/20385946 </v>
      </c>
    </row>
    <row r="361" spans="1:14" ht="24.75" x14ac:dyDescent="0.25">
      <c r="A361" s="21" t="s">
        <v>10146</v>
      </c>
      <c r="B361" s="22" t="s">
        <v>10147</v>
      </c>
      <c r="C361" s="2">
        <v>1</v>
      </c>
      <c r="D361" s="23">
        <v>7.99</v>
      </c>
      <c r="E361" s="3">
        <v>7.99</v>
      </c>
      <c r="F361" s="2" t="s">
        <v>12655</v>
      </c>
      <c r="G361" s="22" t="s">
        <v>19351</v>
      </c>
      <c r="H361" s="24" t="s">
        <v>20135</v>
      </c>
      <c r="I361" s="22" t="s">
        <v>19309</v>
      </c>
      <c r="J361" s="22" t="s">
        <v>19573</v>
      </c>
      <c r="K361" s="22" t="s">
        <v>19574</v>
      </c>
      <c r="L361" s="22"/>
      <c r="M361" s="22"/>
      <c r="N361" s="25" t="str">
        <f>HYPERLINK("http://slimages.macys.com/is/image/MCY/20839696 ")</f>
        <v xml:space="preserve">http://slimages.macys.com/is/image/MCY/20839696 </v>
      </c>
    </row>
    <row r="362" spans="1:14" ht="24.75" x14ac:dyDescent="0.25">
      <c r="A362" s="21" t="s">
        <v>19212</v>
      </c>
      <c r="B362" s="22" t="s">
        <v>19213</v>
      </c>
      <c r="C362" s="2">
        <v>9</v>
      </c>
      <c r="D362" s="23">
        <v>5.99</v>
      </c>
      <c r="E362" s="3">
        <v>53.91</v>
      </c>
      <c r="F362" s="2" t="s">
        <v>19214</v>
      </c>
      <c r="G362" s="22" t="s">
        <v>19674</v>
      </c>
      <c r="H362" s="24" t="s">
        <v>19538</v>
      </c>
      <c r="I362" s="22" t="s">
        <v>19309</v>
      </c>
      <c r="J362" s="22" t="s">
        <v>19573</v>
      </c>
      <c r="K362" s="22" t="s">
        <v>19574</v>
      </c>
      <c r="L362" s="22"/>
      <c r="M362" s="22"/>
      <c r="N362" s="25" t="str">
        <f>HYPERLINK("http://slimages.macys.com/is/image/MCY/1570641 ")</f>
        <v xml:space="preserve">http://slimages.macys.com/is/image/MCY/1570641 </v>
      </c>
    </row>
    <row r="363" spans="1:14" ht="24.75" x14ac:dyDescent="0.25">
      <c r="A363" s="21" t="s">
        <v>5006</v>
      </c>
      <c r="B363" s="22" t="s">
        <v>5007</v>
      </c>
      <c r="C363" s="2">
        <v>1</v>
      </c>
      <c r="D363" s="23">
        <v>7.99</v>
      </c>
      <c r="E363" s="3">
        <v>7.99</v>
      </c>
      <c r="F363" s="2" t="s">
        <v>10727</v>
      </c>
      <c r="G363" s="22" t="s">
        <v>19467</v>
      </c>
      <c r="H363" s="24" t="s">
        <v>19907</v>
      </c>
      <c r="I363" s="22" t="s">
        <v>19309</v>
      </c>
      <c r="J363" s="22" t="s">
        <v>19573</v>
      </c>
      <c r="K363" s="22" t="s">
        <v>19574</v>
      </c>
      <c r="L363" s="22"/>
      <c r="M363" s="22"/>
      <c r="N363" s="25" t="str">
        <f>HYPERLINK("http://slimages.macys.com/is/image/MCY/20757965 ")</f>
        <v xml:space="preserve">http://slimages.macys.com/is/image/MCY/20757965 </v>
      </c>
    </row>
    <row r="364" spans="1:14" ht="24.75" x14ac:dyDescent="0.25">
      <c r="A364" s="21" t="s">
        <v>8163</v>
      </c>
      <c r="B364" s="22" t="s">
        <v>8164</v>
      </c>
      <c r="C364" s="2">
        <v>21</v>
      </c>
      <c r="D364" s="23">
        <v>5.99</v>
      </c>
      <c r="E364" s="3">
        <v>125.79</v>
      </c>
      <c r="F364" s="2" t="s">
        <v>17203</v>
      </c>
      <c r="G364" s="22" t="s">
        <v>19585</v>
      </c>
      <c r="H364" s="24" t="s">
        <v>19330</v>
      </c>
      <c r="I364" s="22" t="s">
        <v>19309</v>
      </c>
      <c r="J364" s="22" t="s">
        <v>19573</v>
      </c>
      <c r="K364" s="22" t="s">
        <v>19574</v>
      </c>
      <c r="L364" s="22"/>
      <c r="M364" s="22"/>
      <c r="N364" s="25" t="str">
        <f>HYPERLINK("http://slimages.macys.com/is/image/MCY/20757989 ")</f>
        <v xml:space="preserve">http://slimages.macys.com/is/image/MCY/20757989 </v>
      </c>
    </row>
    <row r="365" spans="1:14" ht="24.75" x14ac:dyDescent="0.25">
      <c r="A365" s="21" t="s">
        <v>10157</v>
      </c>
      <c r="B365" s="22" t="s">
        <v>10158</v>
      </c>
      <c r="C365" s="2">
        <v>1</v>
      </c>
      <c r="D365" s="23">
        <v>5.99</v>
      </c>
      <c r="E365" s="3">
        <v>5.99</v>
      </c>
      <c r="F365" s="2" t="s">
        <v>10156</v>
      </c>
      <c r="G365" s="22" t="s">
        <v>19357</v>
      </c>
      <c r="H365" s="24" t="s">
        <v>20089</v>
      </c>
      <c r="I365" s="22" t="s">
        <v>19309</v>
      </c>
      <c r="J365" s="22" t="s">
        <v>19908</v>
      </c>
      <c r="K365" s="22" t="s">
        <v>19524</v>
      </c>
      <c r="L365" s="22"/>
      <c r="M365" s="22"/>
      <c r="N365" s="25" t="str">
        <f>HYPERLINK("http://slimages.macys.com/is/image/MCY/19263806 ")</f>
        <v xml:space="preserve">http://slimages.macys.com/is/image/MCY/19263806 </v>
      </c>
    </row>
    <row r="366" spans="1:14" ht="24.75" x14ac:dyDescent="0.25">
      <c r="A366" s="21" t="s">
        <v>8161</v>
      </c>
      <c r="B366" s="22" t="s">
        <v>8162</v>
      </c>
      <c r="C366" s="2">
        <v>36</v>
      </c>
      <c r="D366" s="23">
        <v>5.99</v>
      </c>
      <c r="E366" s="3">
        <v>215.64</v>
      </c>
      <c r="F366" s="2" t="s">
        <v>17203</v>
      </c>
      <c r="G366" s="22" t="s">
        <v>19467</v>
      </c>
      <c r="H366" s="24" t="s">
        <v>19330</v>
      </c>
      <c r="I366" s="22" t="s">
        <v>19309</v>
      </c>
      <c r="J366" s="22" t="s">
        <v>19573</v>
      </c>
      <c r="K366" s="22" t="s">
        <v>19574</v>
      </c>
      <c r="L366" s="22"/>
      <c r="M366" s="22"/>
      <c r="N366" s="25" t="str">
        <f>HYPERLINK("http://slimages.macys.com/is/image/MCY/20757989 ")</f>
        <v xml:space="preserve">http://slimages.macys.com/is/image/MCY/20757989 </v>
      </c>
    </row>
    <row r="367" spans="1:14" ht="24.75" x14ac:dyDescent="0.25">
      <c r="A367" s="21" t="s">
        <v>9713</v>
      </c>
      <c r="B367" s="22" t="s">
        <v>9714</v>
      </c>
      <c r="C367" s="2">
        <v>36</v>
      </c>
      <c r="D367" s="23">
        <v>5.99</v>
      </c>
      <c r="E367" s="3">
        <v>215.64</v>
      </c>
      <c r="F367" s="2" t="s">
        <v>17203</v>
      </c>
      <c r="G367" s="22" t="s">
        <v>19585</v>
      </c>
      <c r="H367" s="24" t="s">
        <v>19416</v>
      </c>
      <c r="I367" s="22" t="s">
        <v>19309</v>
      </c>
      <c r="J367" s="22" t="s">
        <v>19573</v>
      </c>
      <c r="K367" s="22" t="s">
        <v>19574</v>
      </c>
      <c r="L367" s="22"/>
      <c r="M367" s="22"/>
      <c r="N367" s="25" t="str">
        <f>HYPERLINK("http://slimages.macys.com/is/image/MCY/20757989 ")</f>
        <v xml:space="preserve">http://slimages.macys.com/is/image/MCY/20757989 </v>
      </c>
    </row>
    <row r="368" spans="1:14" ht="24.75" x14ac:dyDescent="0.25">
      <c r="A368" s="21" t="s">
        <v>5008</v>
      </c>
      <c r="B368" s="22" t="s">
        <v>5009</v>
      </c>
      <c r="C368" s="2">
        <v>1</v>
      </c>
      <c r="D368" s="23">
        <v>7.99</v>
      </c>
      <c r="E368" s="3">
        <v>7.99</v>
      </c>
      <c r="F368" s="2" t="s">
        <v>10727</v>
      </c>
      <c r="G368" s="22" t="s">
        <v>19351</v>
      </c>
      <c r="H368" s="24" t="s">
        <v>20089</v>
      </c>
      <c r="I368" s="22" t="s">
        <v>19309</v>
      </c>
      <c r="J368" s="22" t="s">
        <v>19573</v>
      </c>
      <c r="K368" s="22" t="s">
        <v>19574</v>
      </c>
      <c r="L368" s="22"/>
      <c r="M368" s="22"/>
      <c r="N368" s="25" t="str">
        <f>HYPERLINK("http://slimages.macys.com/is/image/MCY/20757969 ")</f>
        <v xml:space="preserve">http://slimages.macys.com/is/image/MCY/20757969 </v>
      </c>
    </row>
    <row r="369" spans="1:14" ht="24.75" x14ac:dyDescent="0.25">
      <c r="A369" s="21" t="s">
        <v>10723</v>
      </c>
      <c r="B369" s="22" t="s">
        <v>10724</v>
      </c>
      <c r="C369" s="2">
        <v>11</v>
      </c>
      <c r="D369" s="23">
        <v>5.99</v>
      </c>
      <c r="E369" s="3">
        <v>65.89</v>
      </c>
      <c r="F369" s="2" t="s">
        <v>17203</v>
      </c>
      <c r="G369" s="22" t="s">
        <v>19585</v>
      </c>
      <c r="H369" s="24" t="s">
        <v>19538</v>
      </c>
      <c r="I369" s="22" t="s">
        <v>19309</v>
      </c>
      <c r="J369" s="22" t="s">
        <v>19573</v>
      </c>
      <c r="K369" s="22" t="s">
        <v>19574</v>
      </c>
      <c r="L369" s="22"/>
      <c r="M369" s="22"/>
      <c r="N369" s="25" t="str">
        <f>HYPERLINK("http://slimages.macys.com/is/image/MCY/20757989 ")</f>
        <v xml:space="preserve">http://slimages.macys.com/is/image/MCY/20757989 </v>
      </c>
    </row>
    <row r="370" spans="1:14" ht="24.75" x14ac:dyDescent="0.25">
      <c r="A370" s="21" t="s">
        <v>5010</v>
      </c>
      <c r="B370" s="22" t="s">
        <v>5011</v>
      </c>
      <c r="C370" s="2">
        <v>18</v>
      </c>
      <c r="D370" s="23">
        <v>5.99</v>
      </c>
      <c r="E370" s="3">
        <v>107.82</v>
      </c>
      <c r="F370" s="2" t="s">
        <v>8169</v>
      </c>
      <c r="G370" s="22" t="s">
        <v>19351</v>
      </c>
      <c r="H370" s="24" t="s">
        <v>19324</v>
      </c>
      <c r="I370" s="22" t="s">
        <v>19309</v>
      </c>
      <c r="J370" s="22" t="s">
        <v>19573</v>
      </c>
      <c r="K370" s="22" t="s">
        <v>19574</v>
      </c>
      <c r="L370" s="22"/>
      <c r="M370" s="22"/>
      <c r="N370" s="25" t="str">
        <f>HYPERLINK("http://slimages.macys.com/is/image/MCY/21371425 ")</f>
        <v xml:space="preserve">http://slimages.macys.com/is/image/MCY/21371425 </v>
      </c>
    </row>
    <row r="371" spans="1:14" ht="24.75" x14ac:dyDescent="0.25">
      <c r="A371" s="21" t="s">
        <v>14912</v>
      </c>
      <c r="B371" s="22" t="s">
        <v>14913</v>
      </c>
      <c r="C371" s="2">
        <v>1</v>
      </c>
      <c r="D371" s="23">
        <v>5.99</v>
      </c>
      <c r="E371" s="3">
        <v>5.99</v>
      </c>
      <c r="F371" s="2" t="s">
        <v>19241</v>
      </c>
      <c r="G371" s="22" t="s">
        <v>19415</v>
      </c>
      <c r="H371" s="24" t="s">
        <v>19324</v>
      </c>
      <c r="I371" s="22" t="s">
        <v>19309</v>
      </c>
      <c r="J371" s="22" t="s">
        <v>19573</v>
      </c>
      <c r="K371" s="22" t="s">
        <v>19574</v>
      </c>
      <c r="L371" s="22"/>
      <c r="M371" s="22"/>
      <c r="N371" s="25" t="str">
        <f>HYPERLINK("http://slimages.macys.com/is/image/MCY/21209269 ")</f>
        <v xml:space="preserve">http://slimages.macys.com/is/image/MCY/21209269 </v>
      </c>
    </row>
    <row r="372" spans="1:14" ht="24.75" x14ac:dyDescent="0.25">
      <c r="A372" s="21" t="s">
        <v>11165</v>
      </c>
      <c r="B372" s="22" t="s">
        <v>11166</v>
      </c>
      <c r="C372" s="2">
        <v>1</v>
      </c>
      <c r="D372" s="23">
        <v>5.99</v>
      </c>
      <c r="E372" s="3">
        <v>5.99</v>
      </c>
      <c r="F372" s="2" t="s">
        <v>14302</v>
      </c>
      <c r="G372" s="22" t="s">
        <v>19351</v>
      </c>
      <c r="H372" s="24" t="s">
        <v>19324</v>
      </c>
      <c r="I372" s="22" t="s">
        <v>19309</v>
      </c>
      <c r="J372" s="22" t="s">
        <v>19573</v>
      </c>
      <c r="K372" s="22" t="s">
        <v>19574</v>
      </c>
      <c r="L372" s="22"/>
      <c r="M372" s="22"/>
      <c r="N372" s="25" t="str">
        <f>HYPERLINK("http://slimages.macys.com/is/image/MCY/21371433 ")</f>
        <v xml:space="preserve">http://slimages.macys.com/is/image/MCY/21371433 </v>
      </c>
    </row>
    <row r="373" spans="1:14" ht="24.75" x14ac:dyDescent="0.25">
      <c r="A373" s="21" t="s">
        <v>14300</v>
      </c>
      <c r="B373" s="22" t="s">
        <v>14301</v>
      </c>
      <c r="C373" s="2">
        <v>22</v>
      </c>
      <c r="D373" s="23">
        <v>5.99</v>
      </c>
      <c r="E373" s="3">
        <v>131.78</v>
      </c>
      <c r="F373" s="2" t="s">
        <v>14302</v>
      </c>
      <c r="G373" s="22" t="s">
        <v>19351</v>
      </c>
      <c r="H373" s="24" t="s">
        <v>19538</v>
      </c>
      <c r="I373" s="22" t="s">
        <v>19309</v>
      </c>
      <c r="J373" s="22" t="s">
        <v>19573</v>
      </c>
      <c r="K373" s="22" t="s">
        <v>19574</v>
      </c>
      <c r="L373" s="22"/>
      <c r="M373" s="22"/>
      <c r="N373" s="25" t="str">
        <f>HYPERLINK("http://slimages.macys.com/is/image/MCY/21371433 ")</f>
        <v xml:space="preserve">http://slimages.macys.com/is/image/MCY/21371433 </v>
      </c>
    </row>
    <row r="374" spans="1:14" ht="24.75" x14ac:dyDescent="0.25">
      <c r="A374" s="21" t="s">
        <v>8167</v>
      </c>
      <c r="B374" s="22" t="s">
        <v>8168</v>
      </c>
      <c r="C374" s="2">
        <v>11</v>
      </c>
      <c r="D374" s="23">
        <v>5.99</v>
      </c>
      <c r="E374" s="3">
        <v>65.89</v>
      </c>
      <c r="F374" s="2" t="s">
        <v>8169</v>
      </c>
      <c r="G374" s="22" t="s">
        <v>19351</v>
      </c>
      <c r="H374" s="24" t="s">
        <v>19384</v>
      </c>
      <c r="I374" s="22" t="s">
        <v>19309</v>
      </c>
      <c r="J374" s="22" t="s">
        <v>19573</v>
      </c>
      <c r="K374" s="22" t="s">
        <v>19574</v>
      </c>
      <c r="L374" s="22"/>
      <c r="M374" s="22"/>
      <c r="N374" s="25" t="str">
        <f>HYPERLINK("http://slimages.macys.com/is/image/MCY/21371425 ")</f>
        <v xml:space="preserve">http://slimages.macys.com/is/image/MCY/21371425 </v>
      </c>
    </row>
    <row r="375" spans="1:14" ht="24.75" x14ac:dyDescent="0.25">
      <c r="A375" s="21" t="s">
        <v>8170</v>
      </c>
      <c r="B375" s="22" t="s">
        <v>8171</v>
      </c>
      <c r="C375" s="2">
        <v>15</v>
      </c>
      <c r="D375" s="23">
        <v>5.99</v>
      </c>
      <c r="E375" s="3">
        <v>89.85</v>
      </c>
      <c r="F375" s="2" t="s">
        <v>8169</v>
      </c>
      <c r="G375" s="22" t="s">
        <v>19351</v>
      </c>
      <c r="H375" s="24" t="s">
        <v>19538</v>
      </c>
      <c r="I375" s="22" t="s">
        <v>19309</v>
      </c>
      <c r="J375" s="22" t="s">
        <v>19573</v>
      </c>
      <c r="K375" s="22" t="s">
        <v>19574</v>
      </c>
      <c r="L375" s="22"/>
      <c r="M375" s="22"/>
      <c r="N375" s="25" t="str">
        <f>HYPERLINK("http://slimages.macys.com/is/image/MCY/21371425 ")</f>
        <v xml:space="preserve">http://slimages.macys.com/is/image/MCY/21371425 </v>
      </c>
    </row>
    <row r="376" spans="1:14" ht="24.75" x14ac:dyDescent="0.25">
      <c r="A376" s="21" t="s">
        <v>8382</v>
      </c>
      <c r="B376" s="22" t="s">
        <v>8383</v>
      </c>
      <c r="C376" s="2">
        <v>5</v>
      </c>
      <c r="D376" s="23">
        <v>5.99</v>
      </c>
      <c r="E376" s="3">
        <v>29.95</v>
      </c>
      <c r="F376" s="2" t="s">
        <v>8384</v>
      </c>
      <c r="G376" s="22" t="s">
        <v>19618</v>
      </c>
      <c r="H376" s="24" t="s">
        <v>19330</v>
      </c>
      <c r="I376" s="22" t="s">
        <v>19309</v>
      </c>
      <c r="J376" s="22" t="s">
        <v>19573</v>
      </c>
      <c r="K376" s="22" t="s">
        <v>19574</v>
      </c>
      <c r="L376" s="22"/>
      <c r="M376" s="22"/>
      <c r="N376" s="25" t="str">
        <f>HYPERLINK("http://slimages.macys.com/is/image/MCY/21371487 ")</f>
        <v xml:space="preserve">http://slimages.macys.com/is/image/MCY/21371487 </v>
      </c>
    </row>
    <row r="377" spans="1:14" ht="24.75" x14ac:dyDescent="0.25">
      <c r="A377" s="21" t="s">
        <v>5012</v>
      </c>
      <c r="B377" s="22" t="s">
        <v>5013</v>
      </c>
      <c r="C377" s="2">
        <v>28</v>
      </c>
      <c r="D377" s="23">
        <v>5.99</v>
      </c>
      <c r="E377" s="3">
        <v>167.72</v>
      </c>
      <c r="F377" s="2" t="s">
        <v>10172</v>
      </c>
      <c r="G377" s="22" t="s">
        <v>19670</v>
      </c>
      <c r="H377" s="24" t="s">
        <v>19538</v>
      </c>
      <c r="I377" s="22" t="s">
        <v>19309</v>
      </c>
      <c r="J377" s="22" t="s">
        <v>19573</v>
      </c>
      <c r="K377" s="22" t="s">
        <v>19574</v>
      </c>
      <c r="L377" s="22"/>
      <c r="M377" s="22"/>
      <c r="N377" s="25" t="str">
        <f>HYPERLINK("http://slimages.macys.com/is/image/MCY/21209200 ")</f>
        <v xml:space="preserve">http://slimages.macys.com/is/image/MCY/21209200 </v>
      </c>
    </row>
    <row r="378" spans="1:14" ht="24.75" x14ac:dyDescent="0.25">
      <c r="A378" s="21" t="s">
        <v>19249</v>
      </c>
      <c r="B378" s="22" t="s">
        <v>19250</v>
      </c>
      <c r="C378" s="2">
        <v>49</v>
      </c>
      <c r="D378" s="23">
        <v>5.99</v>
      </c>
      <c r="E378" s="3">
        <v>293.51</v>
      </c>
      <c r="F378" s="2" t="s">
        <v>19251</v>
      </c>
      <c r="G378" s="22" t="s">
        <v>19351</v>
      </c>
      <c r="H378" s="24" t="s">
        <v>19384</v>
      </c>
      <c r="I378" s="22" t="s">
        <v>19309</v>
      </c>
      <c r="J378" s="22" t="s">
        <v>19573</v>
      </c>
      <c r="K378" s="22" t="s">
        <v>19574</v>
      </c>
      <c r="L378" s="22"/>
      <c r="M378" s="22"/>
      <c r="N378" s="25" t="str">
        <f>HYPERLINK("http://slimages.macys.com/is/image/MCY/21088503 ")</f>
        <v xml:space="preserve">http://slimages.macys.com/is/image/MCY/21088503 </v>
      </c>
    </row>
    <row r="379" spans="1:14" ht="24.75" x14ac:dyDescent="0.25">
      <c r="A379" s="21" t="s">
        <v>5014</v>
      </c>
      <c r="B379" s="22" t="s">
        <v>5015</v>
      </c>
      <c r="C379" s="2">
        <v>6</v>
      </c>
      <c r="D379" s="23">
        <v>5.99</v>
      </c>
      <c r="E379" s="3">
        <v>35.94</v>
      </c>
      <c r="F379" s="2" t="s">
        <v>19251</v>
      </c>
      <c r="G379" s="22" t="s">
        <v>19351</v>
      </c>
      <c r="H379" s="24" t="s">
        <v>19330</v>
      </c>
      <c r="I379" s="22" t="s">
        <v>19309</v>
      </c>
      <c r="J379" s="22" t="s">
        <v>19573</v>
      </c>
      <c r="K379" s="22" t="s">
        <v>19574</v>
      </c>
      <c r="L379" s="22"/>
      <c r="M379" s="22"/>
      <c r="N379" s="25" t="str">
        <f>HYPERLINK("http://slimages.macys.com/is/image/MCY/21088503 ")</f>
        <v xml:space="preserve">http://slimages.macys.com/is/image/MCY/21088503 </v>
      </c>
    </row>
    <row r="380" spans="1:14" ht="24.75" x14ac:dyDescent="0.25">
      <c r="A380" s="21" t="s">
        <v>5016</v>
      </c>
      <c r="B380" s="22" t="s">
        <v>5017</v>
      </c>
      <c r="C380" s="2">
        <v>19</v>
      </c>
      <c r="D380" s="23">
        <v>5.99</v>
      </c>
      <c r="E380" s="3">
        <v>113.81</v>
      </c>
      <c r="F380" s="2" t="s">
        <v>10172</v>
      </c>
      <c r="G380" s="22" t="s">
        <v>19670</v>
      </c>
      <c r="H380" s="24" t="s">
        <v>19384</v>
      </c>
      <c r="I380" s="22" t="s">
        <v>19309</v>
      </c>
      <c r="J380" s="22" t="s">
        <v>19573</v>
      </c>
      <c r="K380" s="22" t="s">
        <v>19574</v>
      </c>
      <c r="L380" s="22"/>
      <c r="M380" s="22"/>
      <c r="N380" s="25" t="str">
        <f>HYPERLINK("http://slimages.macys.com/is/image/MCY/21209200 ")</f>
        <v xml:space="preserve">http://slimages.macys.com/is/image/MCY/21209200 </v>
      </c>
    </row>
    <row r="381" spans="1:14" ht="24.75" x14ac:dyDescent="0.25">
      <c r="A381" s="21" t="s">
        <v>10173</v>
      </c>
      <c r="B381" s="22" t="s">
        <v>10174</v>
      </c>
      <c r="C381" s="2">
        <v>42</v>
      </c>
      <c r="D381" s="23">
        <v>5.99</v>
      </c>
      <c r="E381" s="3">
        <v>251.58</v>
      </c>
      <c r="F381" s="2" t="s">
        <v>19251</v>
      </c>
      <c r="G381" s="22" t="s">
        <v>19351</v>
      </c>
      <c r="H381" s="24" t="s">
        <v>19324</v>
      </c>
      <c r="I381" s="22" t="s">
        <v>19309</v>
      </c>
      <c r="J381" s="22" t="s">
        <v>19573</v>
      </c>
      <c r="K381" s="22" t="s">
        <v>19574</v>
      </c>
      <c r="L381" s="22"/>
      <c r="M381" s="22"/>
      <c r="N381" s="25" t="str">
        <f>HYPERLINK("http://slimages.macys.com/is/image/MCY/21088503 ")</f>
        <v xml:space="preserve">http://slimages.macys.com/is/image/MCY/21088503 </v>
      </c>
    </row>
    <row r="382" spans="1:14" ht="24.75" x14ac:dyDescent="0.25">
      <c r="A382" s="21" t="s">
        <v>5018</v>
      </c>
      <c r="B382" s="22" t="s">
        <v>5019</v>
      </c>
      <c r="C382" s="2">
        <v>1</v>
      </c>
      <c r="D382" s="23">
        <v>5.99</v>
      </c>
      <c r="E382" s="3">
        <v>5.99</v>
      </c>
      <c r="F382" s="2" t="s">
        <v>14927</v>
      </c>
      <c r="G382" s="22" t="s">
        <v>19618</v>
      </c>
      <c r="H382" s="24" t="s">
        <v>19324</v>
      </c>
      <c r="I382" s="22" t="s">
        <v>19309</v>
      </c>
      <c r="J382" s="22" t="s">
        <v>19573</v>
      </c>
      <c r="K382" s="22" t="s">
        <v>19574</v>
      </c>
      <c r="L382" s="22"/>
      <c r="M382" s="22"/>
      <c r="N382" s="25" t="str">
        <f>HYPERLINK("http://slimages.macys.com/is/image/MCY/21088408 ")</f>
        <v xml:space="preserve">http://slimages.macys.com/is/image/MCY/21088408 </v>
      </c>
    </row>
    <row r="383" spans="1:14" ht="24.75" x14ac:dyDescent="0.25">
      <c r="A383" s="21" t="s">
        <v>8174</v>
      </c>
      <c r="B383" s="22" t="s">
        <v>8175</v>
      </c>
      <c r="C383" s="2">
        <v>1</v>
      </c>
      <c r="D383" s="23">
        <v>5.99</v>
      </c>
      <c r="E383" s="3">
        <v>5.99</v>
      </c>
      <c r="F383" s="2" t="s">
        <v>9721</v>
      </c>
      <c r="G383" s="22" t="s">
        <v>19351</v>
      </c>
      <c r="H383" s="24" t="s">
        <v>19416</v>
      </c>
      <c r="I383" s="22" t="s">
        <v>19309</v>
      </c>
      <c r="J383" s="22" t="s">
        <v>19573</v>
      </c>
      <c r="K383" s="22" t="s">
        <v>19574</v>
      </c>
      <c r="L383" s="22"/>
      <c r="M383" s="22"/>
      <c r="N383" s="25" t="str">
        <f>HYPERLINK("http://slimages.macys.com/is/image/MCY/21371491 ")</f>
        <v xml:space="preserve">http://slimages.macys.com/is/image/MCY/21371491 </v>
      </c>
    </row>
    <row r="384" spans="1:14" ht="24.75" x14ac:dyDescent="0.25">
      <c r="A384" s="21" t="s">
        <v>9730</v>
      </c>
      <c r="B384" s="22" t="s">
        <v>9731</v>
      </c>
      <c r="C384" s="2">
        <v>1</v>
      </c>
      <c r="D384" s="23">
        <v>7.99</v>
      </c>
      <c r="E384" s="3">
        <v>7.99</v>
      </c>
      <c r="F384" s="2" t="s">
        <v>10744</v>
      </c>
      <c r="G384" s="22" t="s">
        <v>19431</v>
      </c>
      <c r="H384" s="24" t="s">
        <v>20089</v>
      </c>
      <c r="I384" s="22" t="s">
        <v>19309</v>
      </c>
      <c r="J384" s="22" t="s">
        <v>19573</v>
      </c>
      <c r="K384" s="22" t="s">
        <v>19574</v>
      </c>
      <c r="L384" s="22"/>
      <c r="M384" s="22"/>
      <c r="N384" s="25" t="str">
        <f>HYPERLINK("http://slimages.macys.com/is/image/MCY/21209287 ")</f>
        <v xml:space="preserve">http://slimages.macys.com/is/image/MCY/21209287 </v>
      </c>
    </row>
    <row r="385" spans="1:14" ht="24.75" x14ac:dyDescent="0.25">
      <c r="A385" s="21" t="s">
        <v>5020</v>
      </c>
      <c r="B385" s="22" t="s">
        <v>5021</v>
      </c>
      <c r="C385" s="2">
        <v>34</v>
      </c>
      <c r="D385" s="23">
        <v>5.99</v>
      </c>
      <c r="E385" s="3">
        <v>203.66</v>
      </c>
      <c r="F385" s="2" t="s">
        <v>9727</v>
      </c>
      <c r="G385" s="22" t="s">
        <v>19906</v>
      </c>
      <c r="H385" s="24" t="s">
        <v>19330</v>
      </c>
      <c r="I385" s="22" t="s">
        <v>19309</v>
      </c>
      <c r="J385" s="22" t="s">
        <v>19573</v>
      </c>
      <c r="K385" s="22" t="s">
        <v>19574</v>
      </c>
      <c r="L385" s="22"/>
      <c r="M385" s="22"/>
      <c r="N385" s="25" t="str">
        <f>HYPERLINK("http://slimages.macys.com/is/image/MCY/1658414 ")</f>
        <v xml:space="preserve">http://slimages.macys.com/is/image/MCY/1658414 </v>
      </c>
    </row>
    <row r="386" spans="1:14" ht="24.75" x14ac:dyDescent="0.25">
      <c r="A386" s="21" t="s">
        <v>9732</v>
      </c>
      <c r="B386" s="22" t="s">
        <v>9733</v>
      </c>
      <c r="C386" s="2">
        <v>17</v>
      </c>
      <c r="D386" s="23">
        <v>5.99</v>
      </c>
      <c r="E386" s="3">
        <v>101.83</v>
      </c>
      <c r="F386" s="2" t="s">
        <v>9721</v>
      </c>
      <c r="G386" s="22" t="s">
        <v>19351</v>
      </c>
      <c r="H386" s="24" t="s">
        <v>19330</v>
      </c>
      <c r="I386" s="22" t="s">
        <v>19309</v>
      </c>
      <c r="J386" s="22" t="s">
        <v>19573</v>
      </c>
      <c r="K386" s="22" t="s">
        <v>19574</v>
      </c>
      <c r="L386" s="22"/>
      <c r="M386" s="22"/>
      <c r="N386" s="25" t="str">
        <f>HYPERLINK("http://slimages.macys.com/is/image/MCY/21371491 ")</f>
        <v xml:space="preserve">http://slimages.macys.com/is/image/MCY/21371491 </v>
      </c>
    </row>
    <row r="387" spans="1:14" ht="24.75" x14ac:dyDescent="0.25">
      <c r="A387" s="21" t="s">
        <v>14957</v>
      </c>
      <c r="B387" s="22" t="s">
        <v>14958</v>
      </c>
      <c r="C387" s="2">
        <v>1</v>
      </c>
      <c r="D387" s="23">
        <v>7.99</v>
      </c>
      <c r="E387" s="3">
        <v>7.99</v>
      </c>
      <c r="F387" s="2" t="s">
        <v>14959</v>
      </c>
      <c r="G387" s="22" t="s">
        <v>19415</v>
      </c>
      <c r="H387" s="24" t="s">
        <v>19907</v>
      </c>
      <c r="I387" s="22" t="s">
        <v>19309</v>
      </c>
      <c r="J387" s="22" t="s">
        <v>19573</v>
      </c>
      <c r="K387" s="22" t="s">
        <v>19574</v>
      </c>
      <c r="L387" s="22"/>
      <c r="M387" s="22"/>
      <c r="N387" s="25" t="str">
        <f>HYPERLINK("http://slimages.macys.com/is/image/MCY/21209562 ")</f>
        <v xml:space="preserve">http://slimages.macys.com/is/image/MCY/21209562 </v>
      </c>
    </row>
    <row r="388" spans="1:14" ht="24.75" x14ac:dyDescent="0.25">
      <c r="A388" s="21" t="s">
        <v>5022</v>
      </c>
      <c r="B388" s="22" t="s">
        <v>5023</v>
      </c>
      <c r="C388" s="2">
        <v>1</v>
      </c>
      <c r="D388" s="23">
        <v>5.99</v>
      </c>
      <c r="E388" s="3">
        <v>5.99</v>
      </c>
      <c r="F388" s="2" t="s">
        <v>5024</v>
      </c>
      <c r="G388" s="22" t="s">
        <v>19674</v>
      </c>
      <c r="H388" s="24" t="s">
        <v>19384</v>
      </c>
      <c r="I388" s="22" t="s">
        <v>19309</v>
      </c>
      <c r="J388" s="22" t="s">
        <v>19573</v>
      </c>
      <c r="K388" s="22" t="s">
        <v>19574</v>
      </c>
      <c r="L388" s="22"/>
      <c r="M388" s="22"/>
      <c r="N388" s="25" t="str">
        <f>HYPERLINK("http://slimages.macys.com/is/image/MCY/19977748 ")</f>
        <v xml:space="preserve">http://slimages.macys.com/is/image/MCY/19977748 </v>
      </c>
    </row>
    <row r="389" spans="1:14" ht="24.75" x14ac:dyDescent="0.25">
      <c r="A389" s="21" t="s">
        <v>9327</v>
      </c>
      <c r="B389" s="22" t="s">
        <v>9328</v>
      </c>
      <c r="C389" s="2">
        <v>53</v>
      </c>
      <c r="D389" s="23">
        <v>5.99</v>
      </c>
      <c r="E389" s="3">
        <v>317.47000000000003</v>
      </c>
      <c r="F389" s="2" t="s">
        <v>17245</v>
      </c>
      <c r="G389" s="22" t="s">
        <v>19794</v>
      </c>
      <c r="H389" s="24" t="s">
        <v>19384</v>
      </c>
      <c r="I389" s="22" t="s">
        <v>19309</v>
      </c>
      <c r="J389" s="22" t="s">
        <v>19573</v>
      </c>
      <c r="K389" s="22" t="s">
        <v>19574</v>
      </c>
      <c r="L389" s="22"/>
      <c r="M389" s="22"/>
      <c r="N389" s="25" t="str">
        <f>HYPERLINK("http://slimages.macys.com/is/image/MCY/1520523 ")</f>
        <v xml:space="preserve">http://slimages.macys.com/is/image/MCY/1520523 </v>
      </c>
    </row>
    <row r="390" spans="1:14" ht="24.75" x14ac:dyDescent="0.25">
      <c r="A390" s="21" t="s">
        <v>11172</v>
      </c>
      <c r="B390" s="22" t="s">
        <v>11173</v>
      </c>
      <c r="C390" s="2">
        <v>6</v>
      </c>
      <c r="D390" s="23">
        <v>5.99</v>
      </c>
      <c r="E390" s="3">
        <v>35.94</v>
      </c>
      <c r="F390" s="2" t="s">
        <v>17245</v>
      </c>
      <c r="G390" s="22" t="s">
        <v>19906</v>
      </c>
      <c r="H390" s="24" t="s">
        <v>19384</v>
      </c>
      <c r="I390" s="22" t="s">
        <v>19309</v>
      </c>
      <c r="J390" s="22" t="s">
        <v>19573</v>
      </c>
      <c r="K390" s="22" t="s">
        <v>19574</v>
      </c>
      <c r="L390" s="22"/>
      <c r="M390" s="22"/>
      <c r="N390" s="25" t="str">
        <f>HYPERLINK("http://slimages.macys.com/is/image/MCY/1520523 ")</f>
        <v xml:space="preserve">http://slimages.macys.com/is/image/MCY/1520523 </v>
      </c>
    </row>
    <row r="391" spans="1:14" ht="24.75" x14ac:dyDescent="0.25">
      <c r="A391" s="21" t="s">
        <v>17255</v>
      </c>
      <c r="B391" s="22" t="s">
        <v>17256</v>
      </c>
      <c r="C391" s="2">
        <v>1</v>
      </c>
      <c r="D391" s="23">
        <v>5.99</v>
      </c>
      <c r="E391" s="3">
        <v>5.99</v>
      </c>
      <c r="F391" s="2" t="s">
        <v>17257</v>
      </c>
      <c r="G391" s="22" t="s">
        <v>19431</v>
      </c>
      <c r="H391" s="24" t="s">
        <v>19538</v>
      </c>
      <c r="I391" s="22" t="s">
        <v>19309</v>
      </c>
      <c r="J391" s="22" t="s">
        <v>19573</v>
      </c>
      <c r="K391" s="22" t="s">
        <v>19574</v>
      </c>
      <c r="L391" s="22"/>
      <c r="M391" s="22"/>
      <c r="N391" s="25" t="str">
        <f>HYPERLINK("http://slimages.macys.com/is/image/MCY/21209617 ")</f>
        <v xml:space="preserve">http://slimages.macys.com/is/image/MCY/21209617 </v>
      </c>
    </row>
    <row r="392" spans="1:14" ht="24.75" x14ac:dyDescent="0.25">
      <c r="A392" s="21" t="s">
        <v>5025</v>
      </c>
      <c r="B392" s="22" t="s">
        <v>5026</v>
      </c>
      <c r="C392" s="2">
        <v>1</v>
      </c>
      <c r="D392" s="23">
        <v>5.99</v>
      </c>
      <c r="E392" s="3">
        <v>5.99</v>
      </c>
      <c r="F392" s="2" t="s">
        <v>5027</v>
      </c>
      <c r="G392" s="22" t="s">
        <v>19431</v>
      </c>
      <c r="H392" s="24" t="s">
        <v>19324</v>
      </c>
      <c r="I392" s="22" t="s">
        <v>19309</v>
      </c>
      <c r="J392" s="22" t="s">
        <v>19573</v>
      </c>
      <c r="K392" s="22" t="s">
        <v>19574</v>
      </c>
      <c r="L392" s="22"/>
      <c r="M392" s="22"/>
      <c r="N392" s="25" t="str">
        <f>HYPERLINK("http://slimages.macys.com/is/image/MCY/16999715 ")</f>
        <v xml:space="preserve">http://slimages.macys.com/is/image/MCY/16999715 </v>
      </c>
    </row>
    <row r="393" spans="1:14" ht="24.75" x14ac:dyDescent="0.25">
      <c r="A393" s="21" t="s">
        <v>17252</v>
      </c>
      <c r="B393" s="22" t="s">
        <v>17253</v>
      </c>
      <c r="C393" s="2">
        <v>1</v>
      </c>
      <c r="D393" s="23">
        <v>5.99</v>
      </c>
      <c r="E393" s="3">
        <v>5.99</v>
      </c>
      <c r="F393" s="2" t="s">
        <v>17254</v>
      </c>
      <c r="G393" s="22" t="s">
        <v>19906</v>
      </c>
      <c r="H393" s="24" t="s">
        <v>19330</v>
      </c>
      <c r="I393" s="22" t="s">
        <v>19309</v>
      </c>
      <c r="J393" s="22" t="s">
        <v>19573</v>
      </c>
      <c r="K393" s="22" t="s">
        <v>19574</v>
      </c>
      <c r="L393" s="22"/>
      <c r="M393" s="22"/>
      <c r="N393" s="25" t="str">
        <f>HYPERLINK("http://slimages.macys.com/is/image/MCY/21209467 ")</f>
        <v xml:space="preserve">http://slimages.macys.com/is/image/MCY/21209467 </v>
      </c>
    </row>
    <row r="394" spans="1:14" ht="24.75" x14ac:dyDescent="0.25">
      <c r="A394" s="21" t="s">
        <v>19274</v>
      </c>
      <c r="B394" s="22" t="s">
        <v>19275</v>
      </c>
      <c r="C394" s="2">
        <v>1</v>
      </c>
      <c r="D394" s="23">
        <v>5.99</v>
      </c>
      <c r="E394" s="3">
        <v>5.99</v>
      </c>
      <c r="F394" s="2" t="s">
        <v>19270</v>
      </c>
      <c r="G394" s="22" t="s">
        <v>19351</v>
      </c>
      <c r="H394" s="24" t="s">
        <v>19324</v>
      </c>
      <c r="I394" s="22" t="s">
        <v>19309</v>
      </c>
      <c r="J394" s="22" t="s">
        <v>19573</v>
      </c>
      <c r="K394" s="22" t="s">
        <v>19574</v>
      </c>
      <c r="L394" s="22"/>
      <c r="M394" s="22"/>
      <c r="N394" s="25" t="str">
        <f>HYPERLINK("http://slimages.macys.com/is/image/MCY/20839696 ")</f>
        <v xml:space="preserve">http://slimages.macys.com/is/image/MCY/20839696 </v>
      </c>
    </row>
    <row r="395" spans="1:14" ht="24.75" x14ac:dyDescent="0.25">
      <c r="A395" s="21" t="s">
        <v>19279</v>
      </c>
      <c r="B395" s="22" t="s">
        <v>17383</v>
      </c>
      <c r="C395" s="2">
        <v>14</v>
      </c>
      <c r="D395" s="23">
        <v>5.99</v>
      </c>
      <c r="E395" s="3">
        <v>83.86</v>
      </c>
      <c r="F395" s="2" t="s">
        <v>17384</v>
      </c>
      <c r="G395" s="22" t="s">
        <v>18439</v>
      </c>
      <c r="H395" s="24" t="s">
        <v>19416</v>
      </c>
      <c r="I395" s="22" t="s">
        <v>19309</v>
      </c>
      <c r="J395" s="22" t="s">
        <v>19573</v>
      </c>
      <c r="K395" s="22" t="s">
        <v>19574</v>
      </c>
      <c r="L395" s="22"/>
      <c r="M395" s="22"/>
      <c r="N395" s="25" t="str">
        <f>HYPERLINK("http://slimages.macys.com/is/image/MCY/1905756 ")</f>
        <v xml:space="preserve">http://slimages.macys.com/is/image/MCY/1905756 </v>
      </c>
    </row>
    <row r="396" spans="1:14" ht="24.75" x14ac:dyDescent="0.25">
      <c r="A396" s="21" t="s">
        <v>8391</v>
      </c>
      <c r="B396" s="22" t="s">
        <v>8392</v>
      </c>
      <c r="C396" s="2">
        <v>1</v>
      </c>
      <c r="D396" s="23">
        <v>6.99</v>
      </c>
      <c r="E396" s="3">
        <v>6.99</v>
      </c>
      <c r="F396" s="2" t="s">
        <v>9335</v>
      </c>
      <c r="G396" s="22" t="s">
        <v>18821</v>
      </c>
      <c r="H396" s="24" t="s">
        <v>19324</v>
      </c>
      <c r="I396" s="22" t="s">
        <v>19309</v>
      </c>
      <c r="J396" s="22" t="s">
        <v>19573</v>
      </c>
      <c r="K396" s="22" t="s">
        <v>19574</v>
      </c>
      <c r="L396" s="22"/>
      <c r="M396" s="22"/>
      <c r="N396" s="25" t="str">
        <f>HYPERLINK("http://slimages.macys.com/is/image/MCY/20142540 ")</f>
        <v xml:space="preserve">http://slimages.macys.com/is/image/MCY/20142540 </v>
      </c>
    </row>
    <row r="397" spans="1:14" ht="24.75" x14ac:dyDescent="0.25">
      <c r="A397" s="21" t="s">
        <v>17409</v>
      </c>
      <c r="B397" s="22" t="s">
        <v>17410</v>
      </c>
      <c r="C397" s="2">
        <v>21</v>
      </c>
      <c r="D397" s="23">
        <v>5.99</v>
      </c>
      <c r="E397" s="3">
        <v>125.79</v>
      </c>
      <c r="F397" s="2" t="s">
        <v>17411</v>
      </c>
      <c r="G397" s="22" t="s">
        <v>19351</v>
      </c>
      <c r="H397" s="24" t="s">
        <v>19416</v>
      </c>
      <c r="I397" s="22" t="s">
        <v>19309</v>
      </c>
      <c r="J397" s="22" t="s">
        <v>19573</v>
      </c>
      <c r="K397" s="22" t="s">
        <v>19574</v>
      </c>
      <c r="L397" s="22"/>
      <c r="M397" s="22"/>
      <c r="N397" s="25" t="str">
        <f>HYPERLINK("http://slimages.macys.com/is/image/MCY/1537013 ")</f>
        <v xml:space="preserve">http://slimages.macys.com/is/image/MCY/1537013 </v>
      </c>
    </row>
    <row r="398" spans="1:14" ht="24.75" x14ac:dyDescent="0.25">
      <c r="A398" s="21" t="s">
        <v>10189</v>
      </c>
      <c r="B398" s="22" t="s">
        <v>10190</v>
      </c>
      <c r="C398" s="2">
        <v>8</v>
      </c>
      <c r="D398" s="23">
        <v>5.99</v>
      </c>
      <c r="E398" s="3">
        <v>47.92</v>
      </c>
      <c r="F398" s="2" t="s">
        <v>17411</v>
      </c>
      <c r="G398" s="22" t="s">
        <v>19351</v>
      </c>
      <c r="H398" s="24" t="s">
        <v>19538</v>
      </c>
      <c r="I398" s="22" t="s">
        <v>19309</v>
      </c>
      <c r="J398" s="22" t="s">
        <v>19573</v>
      </c>
      <c r="K398" s="22" t="s">
        <v>19574</v>
      </c>
      <c r="L398" s="22"/>
      <c r="M398" s="22"/>
      <c r="N398" s="25" t="str">
        <f>HYPERLINK("http://slimages.macys.com/is/image/MCY/1537013 ")</f>
        <v xml:space="preserve">http://slimages.macys.com/is/image/MCY/1537013 </v>
      </c>
    </row>
    <row r="399" spans="1:14" ht="24.75" x14ac:dyDescent="0.25">
      <c r="A399" s="21" t="s">
        <v>11180</v>
      </c>
      <c r="B399" s="22" t="s">
        <v>11181</v>
      </c>
      <c r="C399" s="2">
        <v>38</v>
      </c>
      <c r="D399" s="23">
        <v>5.99</v>
      </c>
      <c r="E399" s="3">
        <v>227.62</v>
      </c>
      <c r="F399" s="2" t="s">
        <v>17411</v>
      </c>
      <c r="G399" s="22" t="s">
        <v>19351</v>
      </c>
      <c r="H399" s="24" t="s">
        <v>19324</v>
      </c>
      <c r="I399" s="22" t="s">
        <v>19309</v>
      </c>
      <c r="J399" s="22" t="s">
        <v>19573</v>
      </c>
      <c r="K399" s="22" t="s">
        <v>19574</v>
      </c>
      <c r="L399" s="22"/>
      <c r="M399" s="22"/>
      <c r="N399" s="25" t="str">
        <f>HYPERLINK("http://slimages.macys.com/is/image/MCY/1537013 ")</f>
        <v xml:space="preserve">http://slimages.macys.com/is/image/MCY/1537013 </v>
      </c>
    </row>
    <row r="400" spans="1:14" ht="24.75" x14ac:dyDescent="0.25">
      <c r="A400" s="21" t="s">
        <v>5028</v>
      </c>
      <c r="B400" s="22" t="s">
        <v>5029</v>
      </c>
      <c r="C400" s="2">
        <v>1</v>
      </c>
      <c r="D400" s="23">
        <v>5.99</v>
      </c>
      <c r="E400" s="3">
        <v>5.99</v>
      </c>
      <c r="F400" s="2" t="s">
        <v>5030</v>
      </c>
      <c r="G400" s="22" t="s">
        <v>19467</v>
      </c>
      <c r="H400" s="24" t="s">
        <v>19324</v>
      </c>
      <c r="I400" s="22" t="s">
        <v>19309</v>
      </c>
      <c r="J400" s="22" t="s">
        <v>19573</v>
      </c>
      <c r="K400" s="22" t="s">
        <v>19574</v>
      </c>
      <c r="L400" s="22"/>
      <c r="M400" s="22"/>
      <c r="N400" s="25" t="str">
        <f>HYPERLINK("http://slimages.macys.com/is/image/MCY/20757453 ")</f>
        <v xml:space="preserve">http://slimages.macys.com/is/image/MCY/20757453 </v>
      </c>
    </row>
    <row r="401" spans="1:14" ht="24.75" x14ac:dyDescent="0.25">
      <c r="A401" s="21" t="s">
        <v>5031</v>
      </c>
      <c r="B401" s="22" t="s">
        <v>5032</v>
      </c>
      <c r="C401" s="2">
        <v>1</v>
      </c>
      <c r="D401" s="23">
        <v>5.99</v>
      </c>
      <c r="E401" s="3">
        <v>5.99</v>
      </c>
      <c r="F401" s="2" t="s">
        <v>7220</v>
      </c>
      <c r="G401" s="22" t="s">
        <v>19906</v>
      </c>
      <c r="H401" s="24" t="s">
        <v>19330</v>
      </c>
      <c r="I401" s="22" t="s">
        <v>19309</v>
      </c>
      <c r="J401" s="22" t="s">
        <v>19573</v>
      </c>
      <c r="K401" s="22" t="s">
        <v>19574</v>
      </c>
      <c r="L401" s="22"/>
      <c r="M401" s="22"/>
      <c r="N401" s="25" t="str">
        <f>HYPERLINK("http://slimages.macys.com/is/image/MCY/21209295 ")</f>
        <v xml:space="preserve">http://slimages.macys.com/is/image/MCY/21209295 </v>
      </c>
    </row>
    <row r="402" spans="1:14" ht="24.75" x14ac:dyDescent="0.25">
      <c r="A402" s="21" t="s">
        <v>5033</v>
      </c>
      <c r="B402" s="22" t="s">
        <v>5034</v>
      </c>
      <c r="C402" s="2">
        <v>1</v>
      </c>
      <c r="D402" s="23">
        <v>5.99</v>
      </c>
      <c r="E402" s="3">
        <v>5.99</v>
      </c>
      <c r="F402" s="2" t="s">
        <v>17433</v>
      </c>
      <c r="G402" s="22" t="s">
        <v>19670</v>
      </c>
      <c r="H402" s="24" t="s">
        <v>19538</v>
      </c>
      <c r="I402" s="22" t="s">
        <v>19309</v>
      </c>
      <c r="J402" s="22" t="s">
        <v>19573</v>
      </c>
      <c r="K402" s="22" t="s">
        <v>19574</v>
      </c>
      <c r="L402" s="22"/>
      <c r="M402" s="22"/>
      <c r="N402" s="25" t="str">
        <f>HYPERLINK("http://slimages.macys.com/is/image/MCY/21209307 ")</f>
        <v xml:space="preserve">http://slimages.macys.com/is/image/MCY/21209307 </v>
      </c>
    </row>
    <row r="403" spans="1:14" ht="24.75" x14ac:dyDescent="0.25">
      <c r="A403" s="21" t="s">
        <v>5035</v>
      </c>
      <c r="B403" s="22" t="s">
        <v>5036</v>
      </c>
      <c r="C403" s="2">
        <v>18</v>
      </c>
      <c r="D403" s="23">
        <v>5.99</v>
      </c>
      <c r="E403" s="3">
        <v>107.82</v>
      </c>
      <c r="F403" s="2" t="s">
        <v>17433</v>
      </c>
      <c r="G403" s="22" t="s">
        <v>19670</v>
      </c>
      <c r="H403" s="24" t="s">
        <v>19416</v>
      </c>
      <c r="I403" s="22" t="s">
        <v>19309</v>
      </c>
      <c r="J403" s="22" t="s">
        <v>19573</v>
      </c>
      <c r="K403" s="22" t="s">
        <v>19574</v>
      </c>
      <c r="L403" s="22"/>
      <c r="M403" s="22"/>
      <c r="N403" s="25" t="str">
        <f>HYPERLINK("http://slimages.macys.com/is/image/MCY/21209307 ")</f>
        <v xml:space="preserve">http://slimages.macys.com/is/image/MCY/21209307 </v>
      </c>
    </row>
    <row r="404" spans="1:14" ht="24.75" x14ac:dyDescent="0.25">
      <c r="A404" s="21" t="s">
        <v>17436</v>
      </c>
      <c r="B404" s="22" t="s">
        <v>17437</v>
      </c>
      <c r="C404" s="2">
        <v>11</v>
      </c>
      <c r="D404" s="23">
        <v>5.99</v>
      </c>
      <c r="E404" s="3">
        <v>65.89</v>
      </c>
      <c r="F404" s="2" t="s">
        <v>17433</v>
      </c>
      <c r="G404" s="22" t="s">
        <v>19467</v>
      </c>
      <c r="H404" s="24" t="s">
        <v>19330</v>
      </c>
      <c r="I404" s="22" t="s">
        <v>19309</v>
      </c>
      <c r="J404" s="22" t="s">
        <v>19573</v>
      </c>
      <c r="K404" s="22" t="s">
        <v>19574</v>
      </c>
      <c r="L404" s="22"/>
      <c r="M404" s="22"/>
      <c r="N404" s="25" t="str">
        <f>HYPERLINK("http://slimages.macys.com/is/image/MCY/21209307 ")</f>
        <v xml:space="preserve">http://slimages.macys.com/is/image/MCY/21209307 </v>
      </c>
    </row>
    <row r="405" spans="1:14" ht="24.75" x14ac:dyDescent="0.25">
      <c r="A405" s="21" t="s">
        <v>17431</v>
      </c>
      <c r="B405" s="22" t="s">
        <v>17432</v>
      </c>
      <c r="C405" s="2">
        <v>2</v>
      </c>
      <c r="D405" s="23">
        <v>5.99</v>
      </c>
      <c r="E405" s="3">
        <v>11.98</v>
      </c>
      <c r="F405" s="2" t="s">
        <v>17433</v>
      </c>
      <c r="G405" s="22" t="s">
        <v>19467</v>
      </c>
      <c r="H405" s="24" t="s">
        <v>19384</v>
      </c>
      <c r="I405" s="22" t="s">
        <v>19309</v>
      </c>
      <c r="J405" s="22" t="s">
        <v>19573</v>
      </c>
      <c r="K405" s="22" t="s">
        <v>19574</v>
      </c>
      <c r="L405" s="22"/>
      <c r="M405" s="22"/>
      <c r="N405" s="25" t="str">
        <f>HYPERLINK("http://slimages.macys.com/is/image/MCY/21209307 ")</f>
        <v xml:space="preserve">http://slimages.macys.com/is/image/MCY/21209307 </v>
      </c>
    </row>
    <row r="406" spans="1:14" ht="24.75" x14ac:dyDescent="0.25">
      <c r="A406" s="21" t="s">
        <v>15007</v>
      </c>
      <c r="B406" s="22" t="s">
        <v>15008</v>
      </c>
      <c r="C406" s="2">
        <v>1</v>
      </c>
      <c r="D406" s="23">
        <v>5.99</v>
      </c>
      <c r="E406" s="3">
        <v>5.99</v>
      </c>
      <c r="F406" s="2" t="s">
        <v>17440</v>
      </c>
      <c r="G406" s="22" t="s">
        <v>19906</v>
      </c>
      <c r="H406" s="24" t="s">
        <v>19324</v>
      </c>
      <c r="I406" s="22" t="s">
        <v>19309</v>
      </c>
      <c r="J406" s="22" t="s">
        <v>19573</v>
      </c>
      <c r="K406" s="22" t="s">
        <v>19574</v>
      </c>
      <c r="L406" s="22"/>
      <c r="M406" s="22"/>
      <c r="N406" s="25" t="str">
        <f>HYPERLINK("http://slimages.macys.com/is/image/MCY/21209026 ")</f>
        <v xml:space="preserve">http://slimages.macys.com/is/image/MCY/21209026 </v>
      </c>
    </row>
    <row r="407" spans="1:14" ht="24.75" x14ac:dyDescent="0.25">
      <c r="A407" s="21" t="s">
        <v>5037</v>
      </c>
      <c r="B407" s="22" t="s">
        <v>5038</v>
      </c>
      <c r="C407" s="2">
        <v>1</v>
      </c>
      <c r="D407" s="23">
        <v>5.99</v>
      </c>
      <c r="E407" s="3">
        <v>5.99</v>
      </c>
      <c r="F407" s="2" t="s">
        <v>5039</v>
      </c>
      <c r="G407" s="22" t="s">
        <v>19794</v>
      </c>
      <c r="H407" s="24" t="s">
        <v>19324</v>
      </c>
      <c r="I407" s="22" t="s">
        <v>19309</v>
      </c>
      <c r="J407" s="22" t="s">
        <v>19573</v>
      </c>
      <c r="K407" s="22" t="s">
        <v>19574</v>
      </c>
      <c r="L407" s="22"/>
      <c r="M407" s="22"/>
      <c r="N407" s="25" t="str">
        <f>HYPERLINK("http://slimages.macys.com/is/image/MCY/1537013 ")</f>
        <v xml:space="preserve">http://slimages.macys.com/is/image/MCY/1537013 </v>
      </c>
    </row>
    <row r="408" spans="1:14" ht="24.75" x14ac:dyDescent="0.25">
      <c r="A408" s="21" t="s">
        <v>17470</v>
      </c>
      <c r="B408" s="22" t="s">
        <v>17471</v>
      </c>
      <c r="C408" s="2">
        <v>18</v>
      </c>
      <c r="D408" s="23">
        <v>5.99</v>
      </c>
      <c r="E408" s="3">
        <v>107.82</v>
      </c>
      <c r="F408" s="2" t="s">
        <v>17472</v>
      </c>
      <c r="G408" s="22" t="s">
        <v>19467</v>
      </c>
      <c r="H408" s="24" t="s">
        <v>19330</v>
      </c>
      <c r="I408" s="22" t="s">
        <v>19309</v>
      </c>
      <c r="J408" s="22" t="s">
        <v>19573</v>
      </c>
      <c r="K408" s="22" t="s">
        <v>19574</v>
      </c>
      <c r="L408" s="22"/>
      <c r="M408" s="22"/>
      <c r="N408" s="25" t="str">
        <f>HYPERLINK("http://slimages.macys.com/is/image/MCY/16605973 ")</f>
        <v xml:space="preserve">http://slimages.macys.com/is/image/MCY/16605973 </v>
      </c>
    </row>
    <row r="409" spans="1:14" ht="24.75" x14ac:dyDescent="0.25">
      <c r="A409" s="21" t="s">
        <v>15021</v>
      </c>
      <c r="B409" s="22" t="s">
        <v>15022</v>
      </c>
      <c r="C409" s="2">
        <v>1</v>
      </c>
      <c r="D409" s="23">
        <v>5.99</v>
      </c>
      <c r="E409" s="3">
        <v>5.99</v>
      </c>
      <c r="F409" s="2" t="s">
        <v>17472</v>
      </c>
      <c r="G409" s="22" t="s">
        <v>19467</v>
      </c>
      <c r="H409" s="24" t="s">
        <v>19538</v>
      </c>
      <c r="I409" s="22" t="s">
        <v>19309</v>
      </c>
      <c r="J409" s="22" t="s">
        <v>19573</v>
      </c>
      <c r="K409" s="22" t="s">
        <v>19574</v>
      </c>
      <c r="L409" s="22"/>
      <c r="M409" s="22"/>
      <c r="N409" s="25" t="str">
        <f>HYPERLINK("http://slimages.macys.com/is/image/MCY/16605973 ")</f>
        <v xml:space="preserve">http://slimages.macys.com/is/image/MCY/16605973 </v>
      </c>
    </row>
    <row r="410" spans="1:14" ht="24.75" x14ac:dyDescent="0.25">
      <c r="A410" s="21" t="s">
        <v>9364</v>
      </c>
      <c r="B410" s="22" t="s">
        <v>9365</v>
      </c>
      <c r="C410" s="2">
        <v>4</v>
      </c>
      <c r="D410" s="23">
        <v>5.99</v>
      </c>
      <c r="E410" s="3">
        <v>23.96</v>
      </c>
      <c r="F410" s="2" t="s">
        <v>17472</v>
      </c>
      <c r="G410" s="22" t="s">
        <v>19467</v>
      </c>
      <c r="H410" s="24" t="s">
        <v>19384</v>
      </c>
      <c r="I410" s="22" t="s">
        <v>19309</v>
      </c>
      <c r="J410" s="22" t="s">
        <v>19573</v>
      </c>
      <c r="K410" s="22" t="s">
        <v>19574</v>
      </c>
      <c r="L410" s="22"/>
      <c r="M410" s="22"/>
      <c r="N410" s="25" t="str">
        <f>HYPERLINK("http://slimages.macys.com/is/image/MCY/16605973 ")</f>
        <v xml:space="preserve">http://slimages.macys.com/is/image/MCY/16605973 </v>
      </c>
    </row>
    <row r="411" spans="1:14" ht="24.75" x14ac:dyDescent="0.25">
      <c r="A411" s="21" t="s">
        <v>5040</v>
      </c>
      <c r="B411" s="22" t="s">
        <v>5041</v>
      </c>
      <c r="C411" s="2">
        <v>53</v>
      </c>
      <c r="D411" s="23">
        <v>5.99</v>
      </c>
      <c r="E411" s="3">
        <v>317.47000000000003</v>
      </c>
      <c r="F411" s="2" t="s">
        <v>17472</v>
      </c>
      <c r="G411" s="22" t="s">
        <v>19467</v>
      </c>
      <c r="H411" s="24" t="s">
        <v>19416</v>
      </c>
      <c r="I411" s="22" t="s">
        <v>19309</v>
      </c>
      <c r="J411" s="22" t="s">
        <v>19573</v>
      </c>
      <c r="K411" s="22" t="s">
        <v>19574</v>
      </c>
      <c r="L411" s="22"/>
      <c r="M411" s="22"/>
      <c r="N411" s="25" t="str">
        <f>HYPERLINK("http://slimages.macys.com/is/image/MCY/16605973 ")</f>
        <v xml:space="preserve">http://slimages.macys.com/is/image/MCY/16605973 </v>
      </c>
    </row>
    <row r="412" spans="1:14" ht="24.75" x14ac:dyDescent="0.25">
      <c r="A412" s="21" t="s">
        <v>5042</v>
      </c>
      <c r="B412" s="22" t="s">
        <v>5043</v>
      </c>
      <c r="C412" s="2">
        <v>40</v>
      </c>
      <c r="D412" s="23">
        <v>32</v>
      </c>
      <c r="E412" s="3">
        <v>1280</v>
      </c>
      <c r="F412" s="2" t="s">
        <v>5044</v>
      </c>
      <c r="G412" s="22"/>
      <c r="H412" s="24" t="s">
        <v>19345</v>
      </c>
      <c r="I412" s="22" t="s">
        <v>19309</v>
      </c>
      <c r="J412" s="22" t="s">
        <v>19602</v>
      </c>
      <c r="K412" s="22" t="s">
        <v>20041</v>
      </c>
      <c r="L412" s="22"/>
      <c r="M412" s="22"/>
      <c r="N412" s="25"/>
    </row>
    <row r="413" spans="1:14" ht="24.75" x14ac:dyDescent="0.25">
      <c r="A413" s="21" t="s">
        <v>5045</v>
      </c>
      <c r="B413" s="22" t="s">
        <v>5046</v>
      </c>
      <c r="C413" s="2">
        <v>7</v>
      </c>
      <c r="D413" s="23">
        <v>33.99</v>
      </c>
      <c r="E413" s="3">
        <v>237.93</v>
      </c>
      <c r="F413" s="2" t="s">
        <v>17592</v>
      </c>
      <c r="G413" s="22" t="s">
        <v>19422</v>
      </c>
      <c r="H413" s="24" t="s">
        <v>19538</v>
      </c>
      <c r="I413" s="22" t="s">
        <v>19309</v>
      </c>
      <c r="J413" s="22" t="s">
        <v>19385</v>
      </c>
      <c r="K413" s="22" t="s">
        <v>19386</v>
      </c>
      <c r="L413" s="22"/>
      <c r="M413" s="22"/>
      <c r="N413" s="25"/>
    </row>
    <row r="414" spans="1:14" ht="24.75" x14ac:dyDescent="0.25">
      <c r="A414" s="21" t="s">
        <v>5047</v>
      </c>
      <c r="B414" s="22" t="s">
        <v>5048</v>
      </c>
      <c r="C414" s="2">
        <v>1</v>
      </c>
      <c r="D414" s="23">
        <v>33.99</v>
      </c>
      <c r="E414" s="3">
        <v>33.99</v>
      </c>
      <c r="F414" s="2" t="s">
        <v>5049</v>
      </c>
      <c r="G414" s="22" t="s">
        <v>19635</v>
      </c>
      <c r="H414" s="24" t="s">
        <v>19384</v>
      </c>
      <c r="I414" s="22" t="s">
        <v>19309</v>
      </c>
      <c r="J414" s="22" t="s">
        <v>19385</v>
      </c>
      <c r="K414" s="22" t="s">
        <v>19386</v>
      </c>
      <c r="L414" s="22"/>
      <c r="M414" s="22"/>
      <c r="N414" s="25"/>
    </row>
    <row r="415" spans="1:14" ht="24.75" x14ac:dyDescent="0.25">
      <c r="A415" s="21" t="s">
        <v>7231</v>
      </c>
      <c r="B415" s="22" t="s">
        <v>7232</v>
      </c>
      <c r="C415" s="2">
        <v>1</v>
      </c>
      <c r="D415" s="23">
        <v>32.99</v>
      </c>
      <c r="E415" s="3">
        <v>32.99</v>
      </c>
      <c r="F415" s="2" t="s">
        <v>17481</v>
      </c>
      <c r="G415" s="22" t="s">
        <v>19415</v>
      </c>
      <c r="H415" s="24" t="s">
        <v>19324</v>
      </c>
      <c r="I415" s="22" t="s">
        <v>19309</v>
      </c>
      <c r="J415" s="22" t="s">
        <v>19385</v>
      </c>
      <c r="K415" s="22" t="s">
        <v>19487</v>
      </c>
      <c r="L415" s="22"/>
      <c r="M415" s="22"/>
      <c r="N415" s="25"/>
    </row>
    <row r="416" spans="1:14" x14ac:dyDescent="0.25">
      <c r="A416" s="21" t="s">
        <v>5050</v>
      </c>
      <c r="B416" s="22" t="s">
        <v>5051</v>
      </c>
      <c r="C416" s="2">
        <v>1</v>
      </c>
      <c r="D416" s="23">
        <v>36</v>
      </c>
      <c r="E416" s="3">
        <v>36</v>
      </c>
      <c r="F416" s="2" t="s">
        <v>5052</v>
      </c>
      <c r="G416" s="22" t="s">
        <v>19415</v>
      </c>
      <c r="H416" s="24" t="s">
        <v>19324</v>
      </c>
      <c r="I416" s="22" t="s">
        <v>19309</v>
      </c>
      <c r="J416" s="22" t="s">
        <v>19417</v>
      </c>
      <c r="K416" s="22" t="s">
        <v>19418</v>
      </c>
      <c r="L416" s="22"/>
      <c r="M416" s="22"/>
      <c r="N416" s="25"/>
    </row>
    <row r="417" spans="1:14" ht="24.75" x14ac:dyDescent="0.25">
      <c r="A417" s="21" t="s">
        <v>5053</v>
      </c>
      <c r="B417" s="22" t="s">
        <v>5054</v>
      </c>
      <c r="C417" s="2">
        <v>40</v>
      </c>
      <c r="D417" s="23">
        <v>30.99</v>
      </c>
      <c r="E417" s="3">
        <v>1239.5999999999999</v>
      </c>
      <c r="F417" s="2" t="s">
        <v>17342</v>
      </c>
      <c r="G417" s="22" t="s">
        <v>19674</v>
      </c>
      <c r="H417" s="24" t="s">
        <v>19324</v>
      </c>
      <c r="I417" s="22" t="s">
        <v>19309</v>
      </c>
      <c r="J417" s="22" t="s">
        <v>19385</v>
      </c>
      <c r="K417" s="22" t="s">
        <v>19487</v>
      </c>
      <c r="L417" s="22"/>
      <c r="M417" s="22"/>
      <c r="N417" s="25"/>
    </row>
    <row r="418" spans="1:14" ht="24.75" x14ac:dyDescent="0.25">
      <c r="A418" s="21" t="s">
        <v>17491</v>
      </c>
      <c r="B418" s="22" t="s">
        <v>17492</v>
      </c>
      <c r="C418" s="2">
        <v>23</v>
      </c>
      <c r="D418" s="23">
        <v>26.99</v>
      </c>
      <c r="E418" s="3">
        <v>620.77</v>
      </c>
      <c r="F418" s="2" t="s">
        <v>17488</v>
      </c>
      <c r="G418" s="22" t="s">
        <v>19357</v>
      </c>
      <c r="H418" s="24" t="s">
        <v>19384</v>
      </c>
      <c r="I418" s="22" t="s">
        <v>19309</v>
      </c>
      <c r="J418" s="22" t="s">
        <v>19385</v>
      </c>
      <c r="K418" s="22" t="s">
        <v>19487</v>
      </c>
      <c r="L418" s="22"/>
      <c r="M418" s="22"/>
      <c r="N418" s="25"/>
    </row>
    <row r="419" spans="1:14" ht="24.75" x14ac:dyDescent="0.25">
      <c r="A419" s="21" t="s">
        <v>5055</v>
      </c>
      <c r="B419" s="22" t="s">
        <v>5056</v>
      </c>
      <c r="C419" s="2">
        <v>1</v>
      </c>
      <c r="D419" s="23">
        <v>24.99</v>
      </c>
      <c r="E419" s="3">
        <v>24.99</v>
      </c>
      <c r="F419" s="2" t="s">
        <v>5057</v>
      </c>
      <c r="G419" s="22" t="s">
        <v>19333</v>
      </c>
      <c r="H419" s="24" t="s">
        <v>19384</v>
      </c>
      <c r="I419" s="22" t="s">
        <v>19309</v>
      </c>
      <c r="J419" s="22" t="s">
        <v>19417</v>
      </c>
      <c r="K419" s="22" t="s">
        <v>17976</v>
      </c>
      <c r="L419" s="22"/>
      <c r="M419" s="22"/>
      <c r="N419" s="25"/>
    </row>
    <row r="420" spans="1:14" x14ac:dyDescent="0.25">
      <c r="A420" s="21" t="s">
        <v>5058</v>
      </c>
      <c r="B420" s="22" t="s">
        <v>5059</v>
      </c>
      <c r="C420" s="2">
        <v>1</v>
      </c>
      <c r="D420" s="23">
        <v>26.05</v>
      </c>
      <c r="E420" s="3">
        <v>26.05</v>
      </c>
      <c r="F420" s="2" t="s">
        <v>5060</v>
      </c>
      <c r="G420" s="22"/>
      <c r="H420" s="24" t="s">
        <v>19324</v>
      </c>
      <c r="I420" s="22" t="s">
        <v>19309</v>
      </c>
      <c r="J420" s="22" t="s">
        <v>19708</v>
      </c>
      <c r="K420" s="22" t="s">
        <v>19754</v>
      </c>
      <c r="L420" s="22"/>
      <c r="M420" s="22"/>
      <c r="N420" s="25"/>
    </row>
    <row r="421" spans="1:14" x14ac:dyDescent="0.25">
      <c r="A421" s="21" t="s">
        <v>5061</v>
      </c>
      <c r="B421" s="22" t="s">
        <v>5062</v>
      </c>
      <c r="C421" s="2">
        <v>12</v>
      </c>
      <c r="D421" s="23">
        <v>18.989999999999998</v>
      </c>
      <c r="E421" s="3">
        <v>227.88</v>
      </c>
      <c r="F421" s="2" t="s">
        <v>7239</v>
      </c>
      <c r="G421" s="22" t="s">
        <v>19307</v>
      </c>
      <c r="H421" s="24"/>
      <c r="I421" s="22" t="s">
        <v>19309</v>
      </c>
      <c r="J421" s="22" t="s">
        <v>19310</v>
      </c>
      <c r="K421" s="22" t="s">
        <v>19311</v>
      </c>
      <c r="L421" s="22"/>
      <c r="M421" s="22"/>
      <c r="N421" s="25"/>
    </row>
    <row r="422" spans="1:14" x14ac:dyDescent="0.25">
      <c r="A422" s="21" t="s">
        <v>5063</v>
      </c>
      <c r="B422" s="22" t="s">
        <v>5064</v>
      </c>
      <c r="C422" s="2">
        <v>11</v>
      </c>
      <c r="D422" s="23">
        <v>18.989999999999998</v>
      </c>
      <c r="E422" s="3">
        <v>208.89</v>
      </c>
      <c r="F422" s="2" t="s">
        <v>7239</v>
      </c>
      <c r="G422" s="22" t="s">
        <v>19307</v>
      </c>
      <c r="H422" s="24"/>
      <c r="I422" s="22" t="s">
        <v>19309</v>
      </c>
      <c r="J422" s="22" t="s">
        <v>19310</v>
      </c>
      <c r="K422" s="22" t="s">
        <v>19311</v>
      </c>
      <c r="L422" s="22"/>
      <c r="M422" s="22"/>
      <c r="N422" s="25"/>
    </row>
    <row r="423" spans="1:14" x14ac:dyDescent="0.25">
      <c r="A423" s="21" t="s">
        <v>7237</v>
      </c>
      <c r="B423" s="22" t="s">
        <v>7238</v>
      </c>
      <c r="C423" s="2">
        <v>2</v>
      </c>
      <c r="D423" s="23">
        <v>18.989999999999998</v>
      </c>
      <c r="E423" s="3">
        <v>37.979999999999997</v>
      </c>
      <c r="F423" s="2" t="s">
        <v>7239</v>
      </c>
      <c r="G423" s="22" t="s">
        <v>19307</v>
      </c>
      <c r="H423" s="24"/>
      <c r="I423" s="22" t="s">
        <v>19309</v>
      </c>
      <c r="J423" s="22" t="s">
        <v>19310</v>
      </c>
      <c r="K423" s="22" t="s">
        <v>19311</v>
      </c>
      <c r="L423" s="22"/>
      <c r="M423" s="22"/>
      <c r="N423" s="25"/>
    </row>
    <row r="424" spans="1:14" x14ac:dyDescent="0.25">
      <c r="A424" s="21" t="s">
        <v>5065</v>
      </c>
      <c r="B424" s="22" t="s">
        <v>5066</v>
      </c>
      <c r="C424" s="2">
        <v>1</v>
      </c>
      <c r="D424" s="23">
        <v>21.99</v>
      </c>
      <c r="E424" s="3">
        <v>21.99</v>
      </c>
      <c r="F424" s="2" t="s">
        <v>5067</v>
      </c>
      <c r="G424" s="22" t="s">
        <v>19814</v>
      </c>
      <c r="H424" s="24" t="s">
        <v>19334</v>
      </c>
      <c r="I424" s="22" t="s">
        <v>19309</v>
      </c>
      <c r="J424" s="22" t="s">
        <v>19696</v>
      </c>
      <c r="K424" s="22" t="s">
        <v>5068</v>
      </c>
      <c r="L424" s="22"/>
      <c r="M424" s="22"/>
      <c r="N424" s="25"/>
    </row>
    <row r="425" spans="1:14" ht="24.75" x14ac:dyDescent="0.25">
      <c r="A425" s="21" t="s">
        <v>5069</v>
      </c>
      <c r="B425" s="22" t="s">
        <v>5070</v>
      </c>
      <c r="C425" s="2">
        <v>1</v>
      </c>
      <c r="D425" s="23">
        <v>13.99</v>
      </c>
      <c r="E425" s="3">
        <v>13.99</v>
      </c>
      <c r="F425" s="2" t="s">
        <v>5071</v>
      </c>
      <c r="G425" s="22" t="s">
        <v>19528</v>
      </c>
      <c r="H425" s="24" t="s">
        <v>20152</v>
      </c>
      <c r="I425" s="22" t="s">
        <v>19309</v>
      </c>
      <c r="J425" s="22" t="s">
        <v>19491</v>
      </c>
      <c r="K425" s="22" t="s">
        <v>19458</v>
      </c>
      <c r="L425" s="22"/>
      <c r="M425" s="22"/>
      <c r="N425" s="25"/>
    </row>
    <row r="426" spans="1:14" ht="24.75" x14ac:dyDescent="0.25">
      <c r="A426" s="21" t="s">
        <v>5072</v>
      </c>
      <c r="B426" s="22" t="s">
        <v>5073</v>
      </c>
      <c r="C426" s="2">
        <v>1</v>
      </c>
      <c r="D426" s="23">
        <v>28</v>
      </c>
      <c r="E426" s="3">
        <v>28</v>
      </c>
      <c r="F426" s="2" t="s">
        <v>5074</v>
      </c>
      <c r="G426" s="22" t="s">
        <v>19357</v>
      </c>
      <c r="H426" s="24" t="s">
        <v>19324</v>
      </c>
      <c r="I426" s="22" t="s">
        <v>19309</v>
      </c>
      <c r="J426" s="22" t="s">
        <v>19417</v>
      </c>
      <c r="K426" s="22" t="s">
        <v>5545</v>
      </c>
      <c r="L426" s="22"/>
      <c r="M426" s="22"/>
      <c r="N426" s="25"/>
    </row>
    <row r="427" spans="1:14" x14ac:dyDescent="0.25">
      <c r="A427" s="21" t="s">
        <v>5075</v>
      </c>
      <c r="B427" s="22" t="s">
        <v>5076</v>
      </c>
      <c r="C427" s="2">
        <v>1</v>
      </c>
      <c r="D427" s="23">
        <v>24</v>
      </c>
      <c r="E427" s="3">
        <v>24</v>
      </c>
      <c r="F427" s="2" t="s">
        <v>5077</v>
      </c>
      <c r="G427" s="22" t="s">
        <v>19333</v>
      </c>
      <c r="H427" s="24"/>
      <c r="I427" s="22" t="s">
        <v>19309</v>
      </c>
      <c r="J427" s="22" t="s">
        <v>19417</v>
      </c>
      <c r="K427" s="22" t="s">
        <v>20110</v>
      </c>
      <c r="L427" s="22"/>
      <c r="M427" s="22"/>
      <c r="N427" s="25"/>
    </row>
    <row r="428" spans="1:14" ht="24.75" x14ac:dyDescent="0.25">
      <c r="A428" s="21" t="s">
        <v>9766</v>
      </c>
      <c r="B428" s="22" t="s">
        <v>9767</v>
      </c>
      <c r="C428" s="2">
        <v>1</v>
      </c>
      <c r="D428" s="23">
        <v>16.989999999999998</v>
      </c>
      <c r="E428" s="3">
        <v>16.989999999999998</v>
      </c>
      <c r="F428" s="2" t="s">
        <v>11200</v>
      </c>
      <c r="G428" s="22" t="s">
        <v>19333</v>
      </c>
      <c r="H428" s="24" t="s">
        <v>19334</v>
      </c>
      <c r="I428" s="22" t="s">
        <v>19309</v>
      </c>
      <c r="J428" s="22" t="s">
        <v>19519</v>
      </c>
      <c r="K428" s="22" t="s">
        <v>11201</v>
      </c>
      <c r="L428" s="22"/>
      <c r="M428" s="22"/>
      <c r="N428" s="25"/>
    </row>
    <row r="429" spans="1:14" ht="24.75" x14ac:dyDescent="0.25">
      <c r="A429" s="21" t="s">
        <v>5078</v>
      </c>
      <c r="B429" s="22" t="s">
        <v>5079</v>
      </c>
      <c r="C429" s="2">
        <v>1</v>
      </c>
      <c r="D429" s="23">
        <v>16.989999999999998</v>
      </c>
      <c r="E429" s="3">
        <v>16.989999999999998</v>
      </c>
      <c r="F429" s="2" t="s">
        <v>9774</v>
      </c>
      <c r="G429" s="22" t="s">
        <v>19315</v>
      </c>
      <c r="H429" s="24" t="s">
        <v>19339</v>
      </c>
      <c r="I429" s="22" t="s">
        <v>19309</v>
      </c>
      <c r="J429" s="22" t="s">
        <v>19815</v>
      </c>
      <c r="K429" s="22" t="s">
        <v>9775</v>
      </c>
      <c r="L429" s="22"/>
      <c r="M429" s="22"/>
      <c r="N429" s="25"/>
    </row>
    <row r="430" spans="1:14" ht="24.75" x14ac:dyDescent="0.25">
      <c r="A430" s="21" t="s">
        <v>5080</v>
      </c>
      <c r="B430" s="22" t="s">
        <v>5081</v>
      </c>
      <c r="C430" s="2">
        <v>1</v>
      </c>
      <c r="D430" s="23">
        <v>13.91</v>
      </c>
      <c r="E430" s="3">
        <v>13.91</v>
      </c>
      <c r="F430" s="2" t="s">
        <v>5082</v>
      </c>
      <c r="G430" s="22" t="s">
        <v>19467</v>
      </c>
      <c r="H430" s="24" t="s">
        <v>19361</v>
      </c>
      <c r="I430" s="22" t="s">
        <v>19309</v>
      </c>
      <c r="J430" s="22" t="s">
        <v>19602</v>
      </c>
      <c r="K430" s="22" t="s">
        <v>20041</v>
      </c>
      <c r="L430" s="22"/>
      <c r="M430" s="22"/>
      <c r="N430" s="25"/>
    </row>
    <row r="431" spans="1:14" x14ac:dyDescent="0.25">
      <c r="A431" s="21" t="s">
        <v>5083</v>
      </c>
      <c r="B431" s="22" t="s">
        <v>5084</v>
      </c>
      <c r="C431" s="2">
        <v>1</v>
      </c>
      <c r="D431" s="23">
        <v>15.13</v>
      </c>
      <c r="E431" s="3">
        <v>15.13</v>
      </c>
      <c r="F431" s="2" t="s">
        <v>5912</v>
      </c>
      <c r="G431" s="22" t="s">
        <v>19594</v>
      </c>
      <c r="H431" s="24" t="s">
        <v>20159</v>
      </c>
      <c r="I431" s="22" t="s">
        <v>19309</v>
      </c>
      <c r="J431" s="22" t="s">
        <v>19708</v>
      </c>
      <c r="K431" s="22" t="s">
        <v>19709</v>
      </c>
      <c r="L431" s="22"/>
      <c r="M431" s="22"/>
      <c r="N431" s="25"/>
    </row>
    <row r="432" spans="1:14" ht="24.75" x14ac:dyDescent="0.25">
      <c r="A432" s="21" t="s">
        <v>5085</v>
      </c>
      <c r="B432" s="22" t="s">
        <v>5086</v>
      </c>
      <c r="C432" s="2">
        <v>9</v>
      </c>
      <c r="D432" s="23">
        <v>16</v>
      </c>
      <c r="E432" s="3">
        <v>144</v>
      </c>
      <c r="F432" s="2" t="s">
        <v>5087</v>
      </c>
      <c r="G432" s="22" t="s">
        <v>19404</v>
      </c>
      <c r="H432" s="24" t="s">
        <v>19324</v>
      </c>
      <c r="I432" s="22" t="s">
        <v>19309</v>
      </c>
      <c r="J432" s="22" t="s">
        <v>19491</v>
      </c>
      <c r="K432" s="22" t="s">
        <v>17934</v>
      </c>
      <c r="L432" s="22"/>
      <c r="M432" s="22"/>
      <c r="N432" s="25"/>
    </row>
    <row r="433" spans="1:14" x14ac:dyDescent="0.25">
      <c r="A433" s="21" t="s">
        <v>5088</v>
      </c>
      <c r="B433" s="22" t="s">
        <v>5089</v>
      </c>
      <c r="C433" s="2">
        <v>14</v>
      </c>
      <c r="D433" s="23">
        <v>18</v>
      </c>
      <c r="E433" s="3">
        <v>252</v>
      </c>
      <c r="F433" s="2" t="s">
        <v>8407</v>
      </c>
      <c r="G433" s="22" t="s">
        <v>19635</v>
      </c>
      <c r="H433" s="24" t="s">
        <v>19367</v>
      </c>
      <c r="I433" s="22" t="s">
        <v>19309</v>
      </c>
      <c r="J433" s="22" t="s">
        <v>19708</v>
      </c>
      <c r="K433" s="22" t="s">
        <v>19709</v>
      </c>
      <c r="L433" s="22"/>
      <c r="M433" s="22"/>
      <c r="N433" s="25"/>
    </row>
    <row r="434" spans="1:14" x14ac:dyDescent="0.25">
      <c r="A434" s="21" t="s">
        <v>5090</v>
      </c>
      <c r="B434" s="22" t="s">
        <v>5091</v>
      </c>
      <c r="C434" s="2">
        <v>15</v>
      </c>
      <c r="D434" s="23">
        <v>18</v>
      </c>
      <c r="E434" s="3">
        <v>270</v>
      </c>
      <c r="F434" s="2" t="s">
        <v>8407</v>
      </c>
      <c r="G434" s="22" t="s">
        <v>19635</v>
      </c>
      <c r="H434" s="24" t="s">
        <v>19330</v>
      </c>
      <c r="I434" s="22" t="s">
        <v>19309</v>
      </c>
      <c r="J434" s="22" t="s">
        <v>19708</v>
      </c>
      <c r="K434" s="22" t="s">
        <v>19709</v>
      </c>
      <c r="L434" s="22"/>
      <c r="M434" s="22"/>
      <c r="N434" s="25"/>
    </row>
    <row r="435" spans="1:14" x14ac:dyDescent="0.25">
      <c r="A435" s="21" t="s">
        <v>8405</v>
      </c>
      <c r="B435" s="22" t="s">
        <v>8406</v>
      </c>
      <c r="C435" s="2">
        <v>8</v>
      </c>
      <c r="D435" s="23">
        <v>18</v>
      </c>
      <c r="E435" s="3">
        <v>144</v>
      </c>
      <c r="F435" s="2" t="s">
        <v>8407</v>
      </c>
      <c r="G435" s="22" t="s">
        <v>19635</v>
      </c>
      <c r="H435" s="24" t="s">
        <v>19324</v>
      </c>
      <c r="I435" s="22" t="s">
        <v>19309</v>
      </c>
      <c r="J435" s="22" t="s">
        <v>19708</v>
      </c>
      <c r="K435" s="22" t="s">
        <v>19709</v>
      </c>
      <c r="L435" s="22"/>
      <c r="M435" s="22"/>
      <c r="N435" s="25"/>
    </row>
    <row r="436" spans="1:14" x14ac:dyDescent="0.25">
      <c r="A436" s="21" t="s">
        <v>5092</v>
      </c>
      <c r="B436" s="22" t="s">
        <v>5093</v>
      </c>
      <c r="C436" s="2">
        <v>1</v>
      </c>
      <c r="D436" s="23">
        <v>16</v>
      </c>
      <c r="E436" s="3">
        <v>16</v>
      </c>
      <c r="F436" s="2" t="s">
        <v>4511</v>
      </c>
      <c r="G436" s="22" t="s">
        <v>19814</v>
      </c>
      <c r="H436" s="24" t="s">
        <v>19330</v>
      </c>
      <c r="I436" s="22" t="s">
        <v>19309</v>
      </c>
      <c r="J436" s="22" t="s">
        <v>19708</v>
      </c>
      <c r="K436" s="22" t="s">
        <v>19709</v>
      </c>
      <c r="L436" s="22"/>
      <c r="M436" s="22"/>
      <c r="N436" s="25"/>
    </row>
    <row r="437" spans="1:14" x14ac:dyDescent="0.25">
      <c r="A437" s="21" t="s">
        <v>5094</v>
      </c>
      <c r="B437" s="22" t="s">
        <v>5095</v>
      </c>
      <c r="C437" s="2">
        <v>18</v>
      </c>
      <c r="D437" s="23">
        <v>16</v>
      </c>
      <c r="E437" s="3">
        <v>288</v>
      </c>
      <c r="F437" s="2" t="s">
        <v>7251</v>
      </c>
      <c r="G437" s="22"/>
      <c r="H437" s="24" t="s">
        <v>20159</v>
      </c>
      <c r="I437" s="22" t="s">
        <v>19309</v>
      </c>
      <c r="J437" s="22" t="s">
        <v>19708</v>
      </c>
      <c r="K437" s="22" t="s">
        <v>19709</v>
      </c>
      <c r="L437" s="22"/>
      <c r="M437" s="22"/>
      <c r="N437" s="25"/>
    </row>
    <row r="438" spans="1:14" x14ac:dyDescent="0.25">
      <c r="A438" s="21" t="s">
        <v>5096</v>
      </c>
      <c r="B438" s="22" t="s">
        <v>5097</v>
      </c>
      <c r="C438" s="2">
        <v>1</v>
      </c>
      <c r="D438" s="23">
        <v>9.44</v>
      </c>
      <c r="E438" s="3">
        <v>9.44</v>
      </c>
      <c r="F438" s="2" t="s">
        <v>5098</v>
      </c>
      <c r="G438" s="22" t="s">
        <v>19333</v>
      </c>
      <c r="H438" s="24" t="s">
        <v>19324</v>
      </c>
      <c r="I438" s="22" t="s">
        <v>19309</v>
      </c>
      <c r="J438" s="22" t="s">
        <v>19708</v>
      </c>
      <c r="K438" s="22" t="s">
        <v>19709</v>
      </c>
      <c r="L438" s="22"/>
      <c r="M438" s="22"/>
      <c r="N438" s="25"/>
    </row>
    <row r="439" spans="1:14" x14ac:dyDescent="0.25">
      <c r="A439" s="21" t="s">
        <v>5099</v>
      </c>
      <c r="B439" s="22" t="s">
        <v>5100</v>
      </c>
      <c r="C439" s="2">
        <v>23</v>
      </c>
      <c r="D439" s="23">
        <v>12</v>
      </c>
      <c r="E439" s="3">
        <v>276</v>
      </c>
      <c r="F439" s="2" t="s">
        <v>11220</v>
      </c>
      <c r="G439" s="22"/>
      <c r="H439" s="24" t="s">
        <v>20159</v>
      </c>
      <c r="I439" s="22" t="s">
        <v>19309</v>
      </c>
      <c r="J439" s="22" t="s">
        <v>19708</v>
      </c>
      <c r="K439" s="22" t="s">
        <v>19709</v>
      </c>
      <c r="L439" s="22"/>
      <c r="M439" s="22"/>
      <c r="N439" s="25"/>
    </row>
    <row r="440" spans="1:14" x14ac:dyDescent="0.25">
      <c r="A440" s="21" t="s">
        <v>7257</v>
      </c>
      <c r="B440" s="22" t="s">
        <v>7258</v>
      </c>
      <c r="C440" s="2">
        <v>1</v>
      </c>
      <c r="D440" s="23">
        <v>12</v>
      </c>
      <c r="E440" s="3">
        <v>12</v>
      </c>
      <c r="F440" s="2" t="s">
        <v>11220</v>
      </c>
      <c r="G440" s="22"/>
      <c r="H440" s="24" t="s">
        <v>20152</v>
      </c>
      <c r="I440" s="22" t="s">
        <v>19309</v>
      </c>
      <c r="J440" s="22" t="s">
        <v>19708</v>
      </c>
      <c r="K440" s="22" t="s">
        <v>19709</v>
      </c>
      <c r="L440" s="22"/>
      <c r="M440" s="22"/>
      <c r="N440" s="25"/>
    </row>
    <row r="441" spans="1:14" ht="24.75" x14ac:dyDescent="0.25">
      <c r="A441" s="21" t="s">
        <v>5101</v>
      </c>
      <c r="B441" s="22" t="s">
        <v>5102</v>
      </c>
      <c r="C441" s="2">
        <v>1</v>
      </c>
      <c r="D441" s="23">
        <v>5.99</v>
      </c>
      <c r="E441" s="3">
        <v>5.99</v>
      </c>
      <c r="F441" s="2" t="s">
        <v>4987</v>
      </c>
      <c r="G441" s="22" t="s">
        <v>19674</v>
      </c>
      <c r="H441" s="24" t="s">
        <v>19538</v>
      </c>
      <c r="I441" s="22" t="s">
        <v>19309</v>
      </c>
      <c r="J441" s="22" t="s">
        <v>19573</v>
      </c>
      <c r="K441" s="22" t="s">
        <v>19574</v>
      </c>
      <c r="L441" s="22"/>
      <c r="M441" s="22"/>
      <c r="N441" s="25"/>
    </row>
  </sheetData>
  <phoneticPr fontId="0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7"/>
  <sheetViews>
    <sheetView workbookViewId="0">
      <selection activeCell="C13" sqref="C13"/>
    </sheetView>
  </sheetViews>
  <sheetFormatPr defaultRowHeight="15" x14ac:dyDescent="0.25"/>
  <cols>
    <col min="1" max="1" width="14.42578125" customWidth="1"/>
    <col min="2" max="2" width="55.42578125" customWidth="1"/>
    <col min="3" max="4" width="15" customWidth="1"/>
    <col min="5" max="5" width="10.42578125" customWidth="1"/>
    <col min="6" max="6" width="13.5703125" customWidth="1"/>
    <col min="7" max="8" width="11.42578125" customWidth="1"/>
    <col min="9" max="9" width="10.85546875" customWidth="1"/>
    <col min="10" max="10" width="12.140625" customWidth="1"/>
    <col min="11" max="11" width="36.5703125" bestFit="1" customWidth="1"/>
    <col min="12" max="13" width="20.5703125" customWidth="1"/>
    <col min="14" max="14" width="64.42578125" customWidth="1"/>
  </cols>
  <sheetData>
    <row r="1" spans="1:14" ht="36" x14ac:dyDescent="0.25">
      <c r="A1" s="1" t="s">
        <v>19291</v>
      </c>
      <c r="B1" s="1" t="s">
        <v>19292</v>
      </c>
      <c r="C1" s="1" t="s">
        <v>19293</v>
      </c>
      <c r="D1" s="1" t="s">
        <v>19284</v>
      </c>
      <c r="E1" s="1" t="s">
        <v>19294</v>
      </c>
      <c r="F1" s="1" t="s">
        <v>19295</v>
      </c>
      <c r="G1" s="1" t="s">
        <v>19296</v>
      </c>
      <c r="H1" s="1" t="s">
        <v>19297</v>
      </c>
      <c r="I1" s="1" t="s">
        <v>19298</v>
      </c>
      <c r="J1" s="1" t="s">
        <v>19299</v>
      </c>
      <c r="K1" s="1" t="s">
        <v>19300</v>
      </c>
      <c r="L1" s="1" t="s">
        <v>19301</v>
      </c>
      <c r="M1" s="1" t="s">
        <v>19302</v>
      </c>
      <c r="N1" s="1" t="s">
        <v>19303</v>
      </c>
    </row>
    <row r="2" spans="1:14" ht="24.75" x14ac:dyDescent="0.25">
      <c r="A2" s="21" t="s">
        <v>5103</v>
      </c>
      <c r="B2" s="22" t="s">
        <v>5104</v>
      </c>
      <c r="C2" s="2">
        <v>9</v>
      </c>
      <c r="D2" s="23">
        <v>75.5</v>
      </c>
      <c r="E2" s="3">
        <v>679.5</v>
      </c>
      <c r="F2" s="2" t="s">
        <v>5105</v>
      </c>
      <c r="G2" s="22" t="s">
        <v>19315</v>
      </c>
      <c r="H2" s="24" t="s">
        <v>5106</v>
      </c>
      <c r="I2" s="22" t="s">
        <v>19309</v>
      </c>
      <c r="J2" s="22" t="s">
        <v>19317</v>
      </c>
      <c r="K2" s="22" t="s">
        <v>9389</v>
      </c>
      <c r="L2" s="22" t="s">
        <v>19319</v>
      </c>
      <c r="M2" s="22" t="s">
        <v>4516</v>
      </c>
      <c r="N2" s="25" t="str">
        <f>HYPERLINK("http://slimages.macys.com/is/image/MCY/2011281 ")</f>
        <v xml:space="preserve">http://slimages.macys.com/is/image/MCY/2011281 </v>
      </c>
    </row>
    <row r="3" spans="1:14" ht="24.75" x14ac:dyDescent="0.25">
      <c r="A3" s="21" t="s">
        <v>5107</v>
      </c>
      <c r="B3" s="22" t="s">
        <v>5108</v>
      </c>
      <c r="C3" s="2">
        <v>17</v>
      </c>
      <c r="D3" s="23">
        <v>75.5</v>
      </c>
      <c r="E3" s="3">
        <v>1283.5</v>
      </c>
      <c r="F3" s="2" t="s">
        <v>5105</v>
      </c>
      <c r="G3" s="22" t="s">
        <v>19315</v>
      </c>
      <c r="H3" s="24" t="s">
        <v>5109</v>
      </c>
      <c r="I3" s="22" t="s">
        <v>19309</v>
      </c>
      <c r="J3" s="22" t="s">
        <v>19317</v>
      </c>
      <c r="K3" s="22" t="s">
        <v>9389</v>
      </c>
      <c r="L3" s="22" t="s">
        <v>19319</v>
      </c>
      <c r="M3" s="22" t="s">
        <v>4516</v>
      </c>
      <c r="N3" s="25" t="str">
        <f>HYPERLINK("http://slimages.macys.com/is/image/MCY/2011281 ")</f>
        <v xml:space="preserve">http://slimages.macys.com/is/image/MCY/2011281 </v>
      </c>
    </row>
    <row r="4" spans="1:14" ht="24.75" x14ac:dyDescent="0.25">
      <c r="A4" s="21" t="s">
        <v>5110</v>
      </c>
      <c r="B4" s="22" t="s">
        <v>5111</v>
      </c>
      <c r="C4" s="2">
        <v>1</v>
      </c>
      <c r="D4" s="23">
        <v>59.5</v>
      </c>
      <c r="E4" s="3">
        <v>59.5</v>
      </c>
      <c r="F4" s="2">
        <v>323865234001</v>
      </c>
      <c r="G4" s="22" t="s">
        <v>19342</v>
      </c>
      <c r="H4" s="24" t="s">
        <v>19364</v>
      </c>
      <c r="I4" s="22" t="s">
        <v>19309</v>
      </c>
      <c r="J4" s="22" t="s">
        <v>19335</v>
      </c>
      <c r="K4" s="22" t="s">
        <v>19326</v>
      </c>
      <c r="L4" s="22"/>
      <c r="M4" s="22"/>
      <c r="N4" s="25" t="str">
        <f>HYPERLINK("http://slimages.macys.com/is/image/MCY/21293417 ")</f>
        <v xml:space="preserve">http://slimages.macys.com/is/image/MCY/21293417 </v>
      </c>
    </row>
    <row r="5" spans="1:14" ht="24.75" x14ac:dyDescent="0.25">
      <c r="A5" s="21" t="s">
        <v>5112</v>
      </c>
      <c r="B5" s="22" t="s">
        <v>5113</v>
      </c>
      <c r="C5" s="2">
        <v>1</v>
      </c>
      <c r="D5" s="23">
        <v>49.5</v>
      </c>
      <c r="E5" s="3">
        <v>49.5</v>
      </c>
      <c r="F5" s="2">
        <v>323850940002</v>
      </c>
      <c r="G5" s="22" t="s">
        <v>19338</v>
      </c>
      <c r="H5" s="24" t="s">
        <v>19339</v>
      </c>
      <c r="I5" s="22" t="s">
        <v>19309</v>
      </c>
      <c r="J5" s="22" t="s">
        <v>19335</v>
      </c>
      <c r="K5" s="22" t="s">
        <v>19326</v>
      </c>
      <c r="L5" s="22" t="s">
        <v>5114</v>
      </c>
      <c r="M5" s="22" t="s">
        <v>17531</v>
      </c>
      <c r="N5" s="25" t="str">
        <f>HYPERLINK("http://images.bloomingdales.com/is/image/BLM/11770493 ")</f>
        <v xml:space="preserve">http://images.bloomingdales.com/is/image/BLM/11770493 </v>
      </c>
    </row>
    <row r="6" spans="1:14" x14ac:dyDescent="0.25">
      <c r="A6" s="21" t="s">
        <v>8197</v>
      </c>
      <c r="B6" s="22" t="s">
        <v>8198</v>
      </c>
      <c r="C6" s="2">
        <v>15</v>
      </c>
      <c r="D6" s="23">
        <v>49.99</v>
      </c>
      <c r="E6" s="3">
        <v>749.85</v>
      </c>
      <c r="F6" s="2">
        <v>115554</v>
      </c>
      <c r="G6" s="22" t="s">
        <v>19315</v>
      </c>
      <c r="H6" s="24" t="s">
        <v>17505</v>
      </c>
      <c r="I6" s="22" t="s">
        <v>19309</v>
      </c>
      <c r="J6" s="22" t="s">
        <v>19417</v>
      </c>
      <c r="K6" s="22" t="s">
        <v>8199</v>
      </c>
      <c r="L6" s="22"/>
      <c r="M6" s="22"/>
      <c r="N6" s="25" t="str">
        <f>HYPERLINK("http://slimages.macys.com/is/image/MCY/16873339 ")</f>
        <v xml:space="preserve">http://slimages.macys.com/is/image/MCY/16873339 </v>
      </c>
    </row>
    <row r="7" spans="1:14" ht="24.75" x14ac:dyDescent="0.25">
      <c r="A7" s="21" t="s">
        <v>5115</v>
      </c>
      <c r="B7" s="22" t="s">
        <v>5116</v>
      </c>
      <c r="C7" s="2">
        <v>1</v>
      </c>
      <c r="D7" s="23">
        <v>45</v>
      </c>
      <c r="E7" s="3">
        <v>45</v>
      </c>
      <c r="F7" s="2">
        <v>322692377002</v>
      </c>
      <c r="G7" s="22" t="s">
        <v>19351</v>
      </c>
      <c r="H7" s="24" t="s">
        <v>19432</v>
      </c>
      <c r="I7" s="22" t="s">
        <v>19309</v>
      </c>
      <c r="J7" s="22" t="s">
        <v>19335</v>
      </c>
      <c r="K7" s="22" t="s">
        <v>19326</v>
      </c>
      <c r="L7" s="22" t="s">
        <v>19319</v>
      </c>
      <c r="M7" s="22" t="s">
        <v>20257</v>
      </c>
      <c r="N7" s="25" t="str">
        <f>HYPERLINK("http://slimages.macys.com/is/image/MCY/9704457 ")</f>
        <v xml:space="preserve">http://slimages.macys.com/is/image/MCY/9704457 </v>
      </c>
    </row>
    <row r="8" spans="1:14" ht="24.75" x14ac:dyDescent="0.25">
      <c r="A8" s="21" t="s">
        <v>5117</v>
      </c>
      <c r="B8" s="22" t="s">
        <v>5118</v>
      </c>
      <c r="C8" s="2">
        <v>3</v>
      </c>
      <c r="D8" s="23">
        <v>45</v>
      </c>
      <c r="E8" s="3">
        <v>135</v>
      </c>
      <c r="F8" s="2">
        <v>323832971002</v>
      </c>
      <c r="G8" s="22" t="s">
        <v>19357</v>
      </c>
      <c r="H8" s="24" t="s">
        <v>19364</v>
      </c>
      <c r="I8" s="22" t="s">
        <v>19309</v>
      </c>
      <c r="J8" s="22" t="s">
        <v>19335</v>
      </c>
      <c r="K8" s="22" t="s">
        <v>19326</v>
      </c>
      <c r="L8" s="22"/>
      <c r="M8" s="22"/>
      <c r="N8" s="25" t="str">
        <f>HYPERLINK("http://slimages.macys.com/is/image/MCY/18459304 ")</f>
        <v xml:space="preserve">http://slimages.macys.com/is/image/MCY/18459304 </v>
      </c>
    </row>
    <row r="9" spans="1:14" ht="24.75" x14ac:dyDescent="0.25">
      <c r="A9" s="21" t="s">
        <v>5119</v>
      </c>
      <c r="B9" s="22" t="s">
        <v>5120</v>
      </c>
      <c r="C9" s="2">
        <v>1</v>
      </c>
      <c r="D9" s="23">
        <v>45</v>
      </c>
      <c r="E9" s="3">
        <v>45</v>
      </c>
      <c r="F9" s="2">
        <v>323853907003</v>
      </c>
      <c r="G9" s="22" t="s">
        <v>19333</v>
      </c>
      <c r="H9" s="24" t="s">
        <v>19308</v>
      </c>
      <c r="I9" s="22" t="s">
        <v>19309</v>
      </c>
      <c r="J9" s="22" t="s">
        <v>19335</v>
      </c>
      <c r="K9" s="22" t="s">
        <v>19326</v>
      </c>
      <c r="L9" s="22" t="s">
        <v>17530</v>
      </c>
      <c r="M9" s="22" t="s">
        <v>19358</v>
      </c>
      <c r="N9" s="25" t="str">
        <f>HYPERLINK("http://images.bloomingdales.com/is/image/BLM/11775146 ")</f>
        <v xml:space="preserve">http://images.bloomingdales.com/is/image/BLM/11775146 </v>
      </c>
    </row>
    <row r="10" spans="1:14" ht="24.75" x14ac:dyDescent="0.25">
      <c r="A10" s="21" t="s">
        <v>10847</v>
      </c>
      <c r="B10" s="22" t="s">
        <v>10848</v>
      </c>
      <c r="C10" s="2">
        <v>40</v>
      </c>
      <c r="D10" s="23">
        <v>39.5</v>
      </c>
      <c r="E10" s="3">
        <v>1580</v>
      </c>
      <c r="F10" s="2">
        <v>322842275002</v>
      </c>
      <c r="G10" s="22" t="s">
        <v>19333</v>
      </c>
      <c r="H10" s="24" t="s">
        <v>19432</v>
      </c>
      <c r="I10" s="22" t="s">
        <v>19309</v>
      </c>
      <c r="J10" s="22" t="s">
        <v>19335</v>
      </c>
      <c r="K10" s="22" t="s">
        <v>19326</v>
      </c>
      <c r="L10" s="22"/>
      <c r="M10" s="22"/>
      <c r="N10" s="25" t="str">
        <f>HYPERLINK("http://slimages.macys.com/is/image/MCY/19469073 ")</f>
        <v xml:space="preserve">http://slimages.macys.com/is/image/MCY/19469073 </v>
      </c>
    </row>
    <row r="11" spans="1:14" ht="24.75" x14ac:dyDescent="0.25">
      <c r="A11" s="21" t="s">
        <v>9803</v>
      </c>
      <c r="B11" s="22" t="s">
        <v>9804</v>
      </c>
      <c r="C11" s="2">
        <v>15</v>
      </c>
      <c r="D11" s="23">
        <v>39.5</v>
      </c>
      <c r="E11" s="3">
        <v>592.5</v>
      </c>
      <c r="F11" s="2">
        <v>322842275002</v>
      </c>
      <c r="G11" s="22" t="s">
        <v>19333</v>
      </c>
      <c r="H11" s="24" t="s">
        <v>19542</v>
      </c>
      <c r="I11" s="22" t="s">
        <v>19309</v>
      </c>
      <c r="J11" s="22" t="s">
        <v>19335</v>
      </c>
      <c r="K11" s="22" t="s">
        <v>19326</v>
      </c>
      <c r="L11" s="22"/>
      <c r="M11" s="22"/>
      <c r="N11" s="25" t="str">
        <f>HYPERLINK("http://slimages.macys.com/is/image/MCY/19469073 ")</f>
        <v xml:space="preserve">http://slimages.macys.com/is/image/MCY/19469073 </v>
      </c>
    </row>
    <row r="12" spans="1:14" ht="24.75" x14ac:dyDescent="0.25">
      <c r="A12" s="21" t="s">
        <v>5121</v>
      </c>
      <c r="B12" s="22" t="s">
        <v>5122</v>
      </c>
      <c r="C12" s="2">
        <v>1</v>
      </c>
      <c r="D12" s="23">
        <v>38.99</v>
      </c>
      <c r="E12" s="3">
        <v>38.99</v>
      </c>
      <c r="F12" s="2" t="s">
        <v>5123</v>
      </c>
      <c r="G12" s="22" t="s">
        <v>19333</v>
      </c>
      <c r="H12" s="24"/>
      <c r="I12" s="22" t="s">
        <v>19309</v>
      </c>
      <c r="J12" s="22" t="s">
        <v>19417</v>
      </c>
      <c r="K12" s="22" t="s">
        <v>19969</v>
      </c>
      <c r="L12" s="22" t="s">
        <v>19319</v>
      </c>
      <c r="M12" s="22" t="s">
        <v>8671</v>
      </c>
      <c r="N12" s="25" t="str">
        <f>HYPERLINK("http://slimages.macys.com/is/image/MCY/15357856 ")</f>
        <v xml:space="preserve">http://slimages.macys.com/is/image/MCY/15357856 </v>
      </c>
    </row>
    <row r="13" spans="1:14" x14ac:dyDescent="0.25">
      <c r="A13" s="21" t="s">
        <v>5124</v>
      </c>
      <c r="B13" s="22" t="s">
        <v>5125</v>
      </c>
      <c r="C13" s="2">
        <v>1</v>
      </c>
      <c r="D13" s="23">
        <v>40</v>
      </c>
      <c r="E13" s="3">
        <v>40</v>
      </c>
      <c r="F13" s="2">
        <v>4169</v>
      </c>
      <c r="G13" s="22"/>
      <c r="H13" s="24" t="s">
        <v>18530</v>
      </c>
      <c r="I13" s="22" t="s">
        <v>19309</v>
      </c>
      <c r="J13" s="22" t="s">
        <v>19417</v>
      </c>
      <c r="K13" s="22" t="s">
        <v>15566</v>
      </c>
      <c r="L13" s="22" t="s">
        <v>19319</v>
      </c>
      <c r="M13" s="22" t="s">
        <v>5126</v>
      </c>
      <c r="N13" s="25" t="str">
        <f>HYPERLINK("http://slimages.macys.com/is/image/MCY/13704738 ")</f>
        <v xml:space="preserve">http://slimages.macys.com/is/image/MCY/13704738 </v>
      </c>
    </row>
    <row r="14" spans="1:14" ht="24.75" x14ac:dyDescent="0.25">
      <c r="A14" s="21" t="s">
        <v>9392</v>
      </c>
      <c r="B14" s="22" t="s">
        <v>9393</v>
      </c>
      <c r="C14" s="2">
        <v>2</v>
      </c>
      <c r="D14" s="23">
        <v>29.99</v>
      </c>
      <c r="E14" s="3">
        <v>59.98</v>
      </c>
      <c r="F14" s="2">
        <v>1574733</v>
      </c>
      <c r="G14" s="22" t="s">
        <v>19307</v>
      </c>
      <c r="H14" s="24"/>
      <c r="I14" s="22" t="s">
        <v>19309</v>
      </c>
      <c r="J14" s="22" t="s">
        <v>15506</v>
      </c>
      <c r="K14" s="22" t="s">
        <v>13612</v>
      </c>
      <c r="L14" s="22"/>
      <c r="M14" s="22"/>
      <c r="N14" s="25" t="str">
        <f>HYPERLINK("http://slimages.macys.com/is/image/MCY/19900738 ")</f>
        <v xml:space="preserve">http://slimages.macys.com/is/image/MCY/19900738 </v>
      </c>
    </row>
    <row r="15" spans="1:14" ht="24.75" x14ac:dyDescent="0.25">
      <c r="A15" s="21" t="s">
        <v>5127</v>
      </c>
      <c r="B15" s="22" t="s">
        <v>5128</v>
      </c>
      <c r="C15" s="2">
        <v>1</v>
      </c>
      <c r="D15" s="23">
        <v>36.99</v>
      </c>
      <c r="E15" s="3">
        <v>36.99</v>
      </c>
      <c r="F15" s="2" t="s">
        <v>5129</v>
      </c>
      <c r="G15" s="22" t="s">
        <v>19763</v>
      </c>
      <c r="H15" s="24" t="s">
        <v>19345</v>
      </c>
      <c r="I15" s="22" t="s">
        <v>19309</v>
      </c>
      <c r="J15" s="22" t="s">
        <v>19310</v>
      </c>
      <c r="K15" s="22" t="s">
        <v>19440</v>
      </c>
      <c r="L15" s="22"/>
      <c r="M15" s="22"/>
      <c r="N15" s="25" t="str">
        <f>HYPERLINK("http://slimages.macys.com/is/image/MCY/19950898 ")</f>
        <v xml:space="preserve">http://slimages.macys.com/is/image/MCY/19950898 </v>
      </c>
    </row>
    <row r="16" spans="1:14" ht="24.75" x14ac:dyDescent="0.25">
      <c r="A16" s="21" t="s">
        <v>5130</v>
      </c>
      <c r="B16" s="22" t="s">
        <v>5131</v>
      </c>
      <c r="C16" s="2">
        <v>1</v>
      </c>
      <c r="D16" s="23">
        <v>35</v>
      </c>
      <c r="E16" s="3">
        <v>35</v>
      </c>
      <c r="F16" s="2" t="s">
        <v>5132</v>
      </c>
      <c r="G16" s="22" t="s">
        <v>19315</v>
      </c>
      <c r="H16" s="24" t="s">
        <v>19364</v>
      </c>
      <c r="I16" s="22" t="s">
        <v>19309</v>
      </c>
      <c r="J16" s="22" t="s">
        <v>19310</v>
      </c>
      <c r="K16" s="22" t="s">
        <v>17538</v>
      </c>
      <c r="L16" s="22" t="s">
        <v>19319</v>
      </c>
      <c r="M16" s="22" t="s">
        <v>5133</v>
      </c>
      <c r="N16" s="25" t="str">
        <f>HYPERLINK("http://slimages.macys.com/is/image/MCY/16345471 ")</f>
        <v xml:space="preserve">http://slimages.macys.com/is/image/MCY/16345471 </v>
      </c>
    </row>
    <row r="17" spans="1:14" ht="24.75" x14ac:dyDescent="0.25">
      <c r="A17" s="21" t="s">
        <v>4539</v>
      </c>
      <c r="B17" s="22" t="s">
        <v>4540</v>
      </c>
      <c r="C17" s="2">
        <v>19</v>
      </c>
      <c r="D17" s="23">
        <v>32</v>
      </c>
      <c r="E17" s="3">
        <v>608</v>
      </c>
      <c r="F17" s="2">
        <v>1366377</v>
      </c>
      <c r="G17" s="22" t="s">
        <v>19357</v>
      </c>
      <c r="H17" s="24" t="s">
        <v>19364</v>
      </c>
      <c r="I17" s="22" t="s">
        <v>19309</v>
      </c>
      <c r="J17" s="22" t="s">
        <v>19310</v>
      </c>
      <c r="K17" s="22" t="s">
        <v>17686</v>
      </c>
      <c r="L17" s="22"/>
      <c r="M17" s="22"/>
      <c r="N17" s="25" t="str">
        <f>HYPERLINK("http://slimages.macys.com/is/image/MCY/20071402 ")</f>
        <v xml:space="preserve">http://slimages.macys.com/is/image/MCY/20071402 </v>
      </c>
    </row>
    <row r="18" spans="1:14" ht="24.75" x14ac:dyDescent="0.25">
      <c r="A18" s="21" t="s">
        <v>9396</v>
      </c>
      <c r="B18" s="22" t="s">
        <v>9397</v>
      </c>
      <c r="C18" s="2">
        <v>1</v>
      </c>
      <c r="D18" s="23">
        <v>30.99</v>
      </c>
      <c r="E18" s="3">
        <v>30.99</v>
      </c>
      <c r="F18" s="2" t="s">
        <v>9398</v>
      </c>
      <c r="G18" s="22" t="s">
        <v>19431</v>
      </c>
      <c r="H18" s="24" t="s">
        <v>19364</v>
      </c>
      <c r="I18" s="22" t="s">
        <v>19309</v>
      </c>
      <c r="J18" s="22" t="s">
        <v>19447</v>
      </c>
      <c r="K18" s="22" t="s">
        <v>19533</v>
      </c>
      <c r="L18" s="22"/>
      <c r="M18" s="22"/>
      <c r="N18" s="25" t="str">
        <f>HYPERLINK("http://slimages.macys.com/is/image/MCY/20783926 ")</f>
        <v xml:space="preserve">http://slimages.macys.com/is/image/MCY/20783926 </v>
      </c>
    </row>
    <row r="19" spans="1:14" ht="24.75" x14ac:dyDescent="0.25">
      <c r="A19" s="21" t="s">
        <v>5134</v>
      </c>
      <c r="B19" s="22" t="s">
        <v>5135</v>
      </c>
      <c r="C19" s="2">
        <v>1</v>
      </c>
      <c r="D19" s="23">
        <v>28.28</v>
      </c>
      <c r="E19" s="3">
        <v>28.28</v>
      </c>
      <c r="F19" s="2" t="s">
        <v>5136</v>
      </c>
      <c r="G19" s="22" t="s">
        <v>19528</v>
      </c>
      <c r="H19" s="24"/>
      <c r="I19" s="22" t="s">
        <v>19309</v>
      </c>
      <c r="J19" s="22" t="s">
        <v>19317</v>
      </c>
      <c r="K19" s="22" t="s">
        <v>17515</v>
      </c>
      <c r="L19" s="22"/>
      <c r="M19" s="22"/>
      <c r="N19" s="25" t="str">
        <f>HYPERLINK("http://slimages.macys.com/is/image/MCY/20123696 ")</f>
        <v xml:space="preserve">http://slimages.macys.com/is/image/MCY/20123696 </v>
      </c>
    </row>
    <row r="20" spans="1:14" ht="24.75" x14ac:dyDescent="0.25">
      <c r="A20" s="21" t="s">
        <v>5137</v>
      </c>
      <c r="B20" s="22" t="s">
        <v>5138</v>
      </c>
      <c r="C20" s="2">
        <v>1</v>
      </c>
      <c r="D20" s="23">
        <v>28.28</v>
      </c>
      <c r="E20" s="3">
        <v>28.28</v>
      </c>
      <c r="F20" s="2" t="s">
        <v>5139</v>
      </c>
      <c r="G20" s="22" t="s">
        <v>19315</v>
      </c>
      <c r="H20" s="24"/>
      <c r="I20" s="22" t="s">
        <v>19309</v>
      </c>
      <c r="J20" s="22" t="s">
        <v>19317</v>
      </c>
      <c r="K20" s="22" t="s">
        <v>17515</v>
      </c>
      <c r="L20" s="22"/>
      <c r="M20" s="22"/>
      <c r="N20" s="25" t="str">
        <f>HYPERLINK("http://slimages.macys.com/is/image/MCY/20123696 ")</f>
        <v xml:space="preserve">http://slimages.macys.com/is/image/MCY/20123696 </v>
      </c>
    </row>
    <row r="21" spans="1:14" ht="24.75" x14ac:dyDescent="0.25">
      <c r="A21" s="21" t="s">
        <v>5140</v>
      </c>
      <c r="B21" s="22" t="s">
        <v>5141</v>
      </c>
      <c r="C21" s="2">
        <v>4</v>
      </c>
      <c r="D21" s="23">
        <v>29.99</v>
      </c>
      <c r="E21" s="3">
        <v>119.96</v>
      </c>
      <c r="F21" s="2" t="s">
        <v>5142</v>
      </c>
      <c r="G21" s="22" t="s">
        <v>19660</v>
      </c>
      <c r="H21" s="24" t="s">
        <v>19324</v>
      </c>
      <c r="I21" s="22" t="s">
        <v>19309</v>
      </c>
      <c r="J21" s="22" t="s">
        <v>19491</v>
      </c>
      <c r="K21" s="22" t="s">
        <v>15106</v>
      </c>
      <c r="L21" s="22"/>
      <c r="M21" s="22"/>
      <c r="N21" s="25" t="str">
        <f>HYPERLINK("http://slimages.macys.com/is/image/MCY/21313215 ")</f>
        <v xml:space="preserve">http://slimages.macys.com/is/image/MCY/21313215 </v>
      </c>
    </row>
    <row r="22" spans="1:14" ht="24.75" x14ac:dyDescent="0.25">
      <c r="A22" s="21" t="s">
        <v>5143</v>
      </c>
      <c r="B22" s="22" t="s">
        <v>5144</v>
      </c>
      <c r="C22" s="2">
        <v>1</v>
      </c>
      <c r="D22" s="23">
        <v>28.99</v>
      </c>
      <c r="E22" s="3">
        <v>28.99</v>
      </c>
      <c r="F22" s="2" t="s">
        <v>8698</v>
      </c>
      <c r="G22" s="22" t="s">
        <v>19422</v>
      </c>
      <c r="H22" s="24" t="s">
        <v>19907</v>
      </c>
      <c r="I22" s="22" t="s">
        <v>19309</v>
      </c>
      <c r="J22" s="22" t="s">
        <v>19573</v>
      </c>
      <c r="K22" s="22" t="s">
        <v>19574</v>
      </c>
      <c r="L22" s="22"/>
      <c r="M22" s="22"/>
      <c r="N22" s="25" t="str">
        <f>HYPERLINK("http://slimages.macys.com/is/image/MCY/2096925 ")</f>
        <v xml:space="preserve">http://slimages.macys.com/is/image/MCY/2096925 </v>
      </c>
    </row>
    <row r="23" spans="1:14" ht="24.75" x14ac:dyDescent="0.25">
      <c r="A23" s="21" t="s">
        <v>5145</v>
      </c>
      <c r="B23" s="22" t="s">
        <v>5146</v>
      </c>
      <c r="C23" s="2">
        <v>1</v>
      </c>
      <c r="D23" s="23">
        <v>28.99</v>
      </c>
      <c r="E23" s="3">
        <v>28.99</v>
      </c>
      <c r="F23" s="2" t="s">
        <v>8698</v>
      </c>
      <c r="G23" s="22" t="s">
        <v>19422</v>
      </c>
      <c r="H23" s="24" t="s">
        <v>20089</v>
      </c>
      <c r="I23" s="22" t="s">
        <v>19309</v>
      </c>
      <c r="J23" s="22" t="s">
        <v>19573</v>
      </c>
      <c r="K23" s="22" t="s">
        <v>19574</v>
      </c>
      <c r="L23" s="22"/>
      <c r="M23" s="22"/>
      <c r="N23" s="25" t="str">
        <f>HYPERLINK("http://slimages.macys.com/is/image/MCY/2096925 ")</f>
        <v xml:space="preserve">http://slimages.macys.com/is/image/MCY/2096925 </v>
      </c>
    </row>
    <row r="24" spans="1:14" ht="24.75" x14ac:dyDescent="0.25">
      <c r="A24" s="21" t="s">
        <v>15138</v>
      </c>
      <c r="B24" s="22" t="s">
        <v>15139</v>
      </c>
      <c r="C24" s="2">
        <v>16</v>
      </c>
      <c r="D24" s="23">
        <v>26.99</v>
      </c>
      <c r="E24" s="3">
        <v>431.84</v>
      </c>
      <c r="F24" s="2" t="s">
        <v>19486</v>
      </c>
      <c r="G24" s="22" t="s">
        <v>19415</v>
      </c>
      <c r="H24" s="24" t="s">
        <v>19538</v>
      </c>
      <c r="I24" s="22" t="s">
        <v>19309</v>
      </c>
      <c r="J24" s="22" t="s">
        <v>19385</v>
      </c>
      <c r="K24" s="22" t="s">
        <v>19487</v>
      </c>
      <c r="L24" s="22"/>
      <c r="M24" s="22"/>
      <c r="N24" s="25" t="str">
        <f>HYPERLINK("http://slimages.macys.com/is/image/MCY/21856821 ")</f>
        <v xml:space="preserve">http://slimages.macys.com/is/image/MCY/21856821 </v>
      </c>
    </row>
    <row r="25" spans="1:14" ht="24.75" x14ac:dyDescent="0.25">
      <c r="A25" s="21" t="s">
        <v>5147</v>
      </c>
      <c r="B25" s="22" t="s">
        <v>5148</v>
      </c>
      <c r="C25" s="2">
        <v>1</v>
      </c>
      <c r="D25" s="23">
        <v>26.99</v>
      </c>
      <c r="E25" s="3">
        <v>26.99</v>
      </c>
      <c r="F25" s="2" t="s">
        <v>19486</v>
      </c>
      <c r="G25" s="22" t="s">
        <v>19415</v>
      </c>
      <c r="H25" s="24" t="s">
        <v>19324</v>
      </c>
      <c r="I25" s="22" t="s">
        <v>19309</v>
      </c>
      <c r="J25" s="22" t="s">
        <v>19385</v>
      </c>
      <c r="K25" s="22" t="s">
        <v>19487</v>
      </c>
      <c r="L25" s="22"/>
      <c r="M25" s="22"/>
      <c r="N25" s="25" t="str">
        <f>HYPERLINK("http://slimages.macys.com/is/image/MCY/21856821 ")</f>
        <v xml:space="preserve">http://slimages.macys.com/is/image/MCY/21856821 </v>
      </c>
    </row>
    <row r="26" spans="1:14" ht="24.75" x14ac:dyDescent="0.25">
      <c r="A26" s="21" t="s">
        <v>5149</v>
      </c>
      <c r="B26" s="22" t="s">
        <v>5150</v>
      </c>
      <c r="C26" s="2">
        <v>1</v>
      </c>
      <c r="D26" s="23">
        <v>25.99</v>
      </c>
      <c r="E26" s="3">
        <v>25.99</v>
      </c>
      <c r="F26" s="2" t="s">
        <v>5151</v>
      </c>
      <c r="G26" s="22" t="s">
        <v>19763</v>
      </c>
      <c r="H26" s="24" t="s">
        <v>19797</v>
      </c>
      <c r="I26" s="22" t="s">
        <v>19309</v>
      </c>
      <c r="J26" s="22" t="s">
        <v>19447</v>
      </c>
      <c r="K26" s="22" t="s">
        <v>19533</v>
      </c>
      <c r="L26" s="22"/>
      <c r="M26" s="22"/>
      <c r="N26" s="25" t="str">
        <f>HYPERLINK("http://slimages.macys.com/is/image/MCY/19589530 ")</f>
        <v xml:space="preserve">http://slimages.macys.com/is/image/MCY/19589530 </v>
      </c>
    </row>
    <row r="27" spans="1:14" ht="24.75" x14ac:dyDescent="0.25">
      <c r="A27" s="21" t="s">
        <v>5152</v>
      </c>
      <c r="B27" s="22" t="s">
        <v>5153</v>
      </c>
      <c r="C27" s="2">
        <v>1</v>
      </c>
      <c r="D27" s="23">
        <v>21.99</v>
      </c>
      <c r="E27" s="3">
        <v>21.99</v>
      </c>
      <c r="F27" s="2" t="s">
        <v>5154</v>
      </c>
      <c r="G27" s="22" t="s">
        <v>19351</v>
      </c>
      <c r="H27" s="24" t="s">
        <v>19330</v>
      </c>
      <c r="I27" s="22" t="s">
        <v>19309</v>
      </c>
      <c r="J27" s="22" t="s">
        <v>19491</v>
      </c>
      <c r="K27" s="22" t="s">
        <v>19458</v>
      </c>
      <c r="L27" s="22"/>
      <c r="M27" s="22"/>
      <c r="N27" s="25" t="str">
        <f>HYPERLINK("http://slimages.macys.com/is/image/MCY/21433208 ")</f>
        <v xml:space="preserve">http://slimages.macys.com/is/image/MCY/21433208 </v>
      </c>
    </row>
    <row r="28" spans="1:14" ht="24.75" x14ac:dyDescent="0.25">
      <c r="A28" s="21" t="s">
        <v>4563</v>
      </c>
      <c r="B28" s="22" t="s">
        <v>4564</v>
      </c>
      <c r="C28" s="2">
        <v>17</v>
      </c>
      <c r="D28" s="23">
        <v>23.99</v>
      </c>
      <c r="E28" s="3">
        <v>407.83</v>
      </c>
      <c r="F28" s="2" t="s">
        <v>10320</v>
      </c>
      <c r="G28" s="22" t="s">
        <v>11228</v>
      </c>
      <c r="H28" s="24" t="s">
        <v>19352</v>
      </c>
      <c r="I28" s="22" t="s">
        <v>19309</v>
      </c>
      <c r="J28" s="22" t="s">
        <v>19310</v>
      </c>
      <c r="K28" s="22" t="s">
        <v>19311</v>
      </c>
      <c r="L28" s="22"/>
      <c r="M28" s="22"/>
      <c r="N28" s="25" t="str">
        <f>HYPERLINK("http://slimages.macys.com/is/image/MCY/18618603 ")</f>
        <v xml:space="preserve">http://slimages.macys.com/is/image/MCY/18618603 </v>
      </c>
    </row>
    <row r="29" spans="1:14" ht="24.75" x14ac:dyDescent="0.25">
      <c r="A29" s="21" t="s">
        <v>5155</v>
      </c>
      <c r="B29" s="22" t="s">
        <v>5156</v>
      </c>
      <c r="C29" s="2">
        <v>1</v>
      </c>
      <c r="D29" s="23">
        <v>23.99</v>
      </c>
      <c r="E29" s="3">
        <v>23.99</v>
      </c>
      <c r="F29" s="2" t="s">
        <v>10320</v>
      </c>
      <c r="G29" s="22" t="s">
        <v>19794</v>
      </c>
      <c r="H29" s="24" t="s">
        <v>19308</v>
      </c>
      <c r="I29" s="22" t="s">
        <v>19309</v>
      </c>
      <c r="J29" s="22" t="s">
        <v>19310</v>
      </c>
      <c r="K29" s="22" t="s">
        <v>19311</v>
      </c>
      <c r="L29" s="22"/>
      <c r="M29" s="22"/>
      <c r="N29" s="25" t="str">
        <f>HYPERLINK("http://slimages.macys.com/is/image/MCY/19540801 ")</f>
        <v xml:space="preserve">http://slimages.macys.com/is/image/MCY/19540801 </v>
      </c>
    </row>
    <row r="30" spans="1:14" ht="24.75" x14ac:dyDescent="0.25">
      <c r="A30" s="21" t="s">
        <v>5157</v>
      </c>
      <c r="B30" s="22" t="s">
        <v>5158</v>
      </c>
      <c r="C30" s="2">
        <v>1</v>
      </c>
      <c r="D30" s="23">
        <v>27.99</v>
      </c>
      <c r="E30" s="3">
        <v>27.99</v>
      </c>
      <c r="F30" s="2" t="s">
        <v>5159</v>
      </c>
      <c r="G30" s="22" t="s">
        <v>19415</v>
      </c>
      <c r="H30" s="24" t="s">
        <v>20089</v>
      </c>
      <c r="I30" s="22" t="s">
        <v>19309</v>
      </c>
      <c r="J30" s="22" t="s">
        <v>19573</v>
      </c>
      <c r="K30" s="22" t="s">
        <v>19574</v>
      </c>
      <c r="L30" s="22"/>
      <c r="M30" s="22"/>
      <c r="N30" s="25" t="str">
        <f>HYPERLINK("http://slimages.macys.com/is/image/MCY/13987537 ")</f>
        <v xml:space="preserve">http://slimages.macys.com/is/image/MCY/13987537 </v>
      </c>
    </row>
    <row r="31" spans="1:14" ht="24.75" x14ac:dyDescent="0.25">
      <c r="A31" s="21" t="s">
        <v>5160</v>
      </c>
      <c r="B31" s="22" t="s">
        <v>5161</v>
      </c>
      <c r="C31" s="2">
        <v>1</v>
      </c>
      <c r="D31" s="23">
        <v>26.99</v>
      </c>
      <c r="E31" s="3">
        <v>26.99</v>
      </c>
      <c r="F31" s="2" t="s">
        <v>10326</v>
      </c>
      <c r="G31" s="22" t="s">
        <v>19333</v>
      </c>
      <c r="H31" s="24" t="s">
        <v>19392</v>
      </c>
      <c r="I31" s="22" t="s">
        <v>19309</v>
      </c>
      <c r="J31" s="22" t="s">
        <v>15506</v>
      </c>
      <c r="K31" s="22" t="s">
        <v>15511</v>
      </c>
      <c r="L31" s="22"/>
      <c r="M31" s="22"/>
      <c r="N31" s="25" t="str">
        <f>HYPERLINK("http://slimages.macys.com/is/image/MCY/20077179 ")</f>
        <v xml:space="preserve">http://slimages.macys.com/is/image/MCY/20077179 </v>
      </c>
    </row>
    <row r="32" spans="1:14" x14ac:dyDescent="0.25">
      <c r="A32" s="21" t="s">
        <v>8731</v>
      </c>
      <c r="B32" s="22" t="s">
        <v>8732</v>
      </c>
      <c r="C32" s="2">
        <v>1</v>
      </c>
      <c r="D32" s="23">
        <v>30.99</v>
      </c>
      <c r="E32" s="3">
        <v>30.99</v>
      </c>
      <c r="F32" s="2" t="s">
        <v>8211</v>
      </c>
      <c r="G32" s="22" t="s">
        <v>19431</v>
      </c>
      <c r="H32" s="24"/>
      <c r="I32" s="22" t="s">
        <v>19309</v>
      </c>
      <c r="J32" s="22" t="s">
        <v>19696</v>
      </c>
      <c r="K32" s="22" t="s">
        <v>8212</v>
      </c>
      <c r="L32" s="22"/>
      <c r="M32" s="22"/>
      <c r="N32" s="25" t="str">
        <f>HYPERLINK("http://slimages.macys.com/is/image/MCY/19292060 ")</f>
        <v xml:space="preserve">http://slimages.macys.com/is/image/MCY/19292060 </v>
      </c>
    </row>
    <row r="33" spans="1:14" x14ac:dyDescent="0.25">
      <c r="A33" s="21" t="s">
        <v>8209</v>
      </c>
      <c r="B33" s="22" t="s">
        <v>8210</v>
      </c>
      <c r="C33" s="2">
        <v>20</v>
      </c>
      <c r="D33" s="23">
        <v>30.99</v>
      </c>
      <c r="E33" s="3">
        <v>619.79999999999995</v>
      </c>
      <c r="F33" s="2" t="s">
        <v>8211</v>
      </c>
      <c r="G33" s="22" t="s">
        <v>19431</v>
      </c>
      <c r="H33" s="24"/>
      <c r="I33" s="22" t="s">
        <v>19309</v>
      </c>
      <c r="J33" s="22" t="s">
        <v>19696</v>
      </c>
      <c r="K33" s="22" t="s">
        <v>8212</v>
      </c>
      <c r="L33" s="22"/>
      <c r="M33" s="22"/>
      <c r="N33" s="25" t="str">
        <f>HYPERLINK("http://slimages.macys.com/is/image/MCY/19292060 ")</f>
        <v xml:space="preserve">http://slimages.macys.com/is/image/MCY/19292060 </v>
      </c>
    </row>
    <row r="34" spans="1:14" x14ac:dyDescent="0.25">
      <c r="A34" s="21" t="s">
        <v>9805</v>
      </c>
      <c r="B34" s="22" t="s">
        <v>9806</v>
      </c>
      <c r="C34" s="2">
        <v>9</v>
      </c>
      <c r="D34" s="23">
        <v>29.99</v>
      </c>
      <c r="E34" s="3">
        <v>269.91000000000003</v>
      </c>
      <c r="F34" s="2" t="s">
        <v>9807</v>
      </c>
      <c r="G34" s="22" t="s">
        <v>19342</v>
      </c>
      <c r="H34" s="24" t="s">
        <v>19478</v>
      </c>
      <c r="I34" s="22" t="s">
        <v>19309</v>
      </c>
      <c r="J34" s="22" t="s">
        <v>19696</v>
      </c>
      <c r="K34" s="22" t="s">
        <v>19697</v>
      </c>
      <c r="L34" s="22"/>
      <c r="M34" s="22"/>
      <c r="N34" s="25" t="str">
        <f>HYPERLINK("http://slimages.macys.com/is/image/MCY/21355146 ")</f>
        <v xml:space="preserve">http://slimages.macys.com/is/image/MCY/21355146 </v>
      </c>
    </row>
    <row r="35" spans="1:14" x14ac:dyDescent="0.25">
      <c r="A35" s="21" t="s">
        <v>9808</v>
      </c>
      <c r="B35" s="22" t="s">
        <v>9809</v>
      </c>
      <c r="C35" s="2">
        <v>4</v>
      </c>
      <c r="D35" s="23">
        <v>29.99</v>
      </c>
      <c r="E35" s="3">
        <v>119.96</v>
      </c>
      <c r="F35" s="2" t="s">
        <v>9807</v>
      </c>
      <c r="G35" s="22" t="s">
        <v>19342</v>
      </c>
      <c r="H35" s="24" t="s">
        <v>19395</v>
      </c>
      <c r="I35" s="22" t="s">
        <v>19309</v>
      </c>
      <c r="J35" s="22" t="s">
        <v>19696</v>
      </c>
      <c r="K35" s="22" t="s">
        <v>19697</v>
      </c>
      <c r="L35" s="22"/>
      <c r="M35" s="22"/>
      <c r="N35" s="25" t="str">
        <f>HYPERLINK("http://slimages.macys.com/is/image/MCY/21355146 ")</f>
        <v xml:space="preserve">http://slimages.macys.com/is/image/MCY/21355146 </v>
      </c>
    </row>
    <row r="36" spans="1:14" x14ac:dyDescent="0.25">
      <c r="A36" s="21" t="s">
        <v>8502</v>
      </c>
      <c r="B36" s="22" t="s">
        <v>8503</v>
      </c>
      <c r="C36" s="2">
        <v>1</v>
      </c>
      <c r="D36" s="23">
        <v>29.99</v>
      </c>
      <c r="E36" s="3">
        <v>29.99</v>
      </c>
      <c r="F36" s="2" t="s">
        <v>9807</v>
      </c>
      <c r="G36" s="22" t="s">
        <v>19342</v>
      </c>
      <c r="H36" s="24" t="s">
        <v>19542</v>
      </c>
      <c r="I36" s="22" t="s">
        <v>19309</v>
      </c>
      <c r="J36" s="22" t="s">
        <v>19696</v>
      </c>
      <c r="K36" s="22" t="s">
        <v>19697</v>
      </c>
      <c r="L36" s="22"/>
      <c r="M36" s="22"/>
      <c r="N36" s="25" t="str">
        <f>HYPERLINK("http://slimages.macys.com/is/image/MCY/21355146 ")</f>
        <v xml:space="preserve">http://slimages.macys.com/is/image/MCY/21355146 </v>
      </c>
    </row>
    <row r="37" spans="1:14" ht="24.75" x14ac:dyDescent="0.25">
      <c r="A37" s="21" t="s">
        <v>5162</v>
      </c>
      <c r="B37" s="22" t="s">
        <v>5163</v>
      </c>
      <c r="C37" s="2">
        <v>1</v>
      </c>
      <c r="D37" s="23">
        <v>30.99</v>
      </c>
      <c r="E37" s="3">
        <v>30.99</v>
      </c>
      <c r="F37" s="2" t="s">
        <v>5164</v>
      </c>
      <c r="G37" s="22" t="s">
        <v>19879</v>
      </c>
      <c r="H37" s="24"/>
      <c r="I37" s="22" t="s">
        <v>19309</v>
      </c>
      <c r="J37" s="22" t="s">
        <v>19353</v>
      </c>
      <c r="K37" s="22" t="s">
        <v>19524</v>
      </c>
      <c r="L37" s="22"/>
      <c r="M37" s="22"/>
      <c r="N37" s="25" t="str">
        <f>HYPERLINK("http://slimages.macys.com/is/image/MCY/2127933 ")</f>
        <v xml:space="preserve">http://slimages.macys.com/is/image/MCY/2127933 </v>
      </c>
    </row>
    <row r="38" spans="1:14" ht="24.75" x14ac:dyDescent="0.25">
      <c r="A38" s="21" t="s">
        <v>5165</v>
      </c>
      <c r="B38" s="22" t="s">
        <v>5166</v>
      </c>
      <c r="C38" s="2">
        <v>1</v>
      </c>
      <c r="D38" s="23">
        <v>30.99</v>
      </c>
      <c r="E38" s="3">
        <v>30.99</v>
      </c>
      <c r="F38" s="2" t="s">
        <v>8735</v>
      </c>
      <c r="G38" s="22" t="s">
        <v>19315</v>
      </c>
      <c r="H38" s="24" t="s">
        <v>19316</v>
      </c>
      <c r="I38" s="22" t="s">
        <v>19309</v>
      </c>
      <c r="J38" s="22" t="s">
        <v>19447</v>
      </c>
      <c r="K38" s="22" t="s">
        <v>18333</v>
      </c>
      <c r="L38" s="22"/>
      <c r="M38" s="22"/>
      <c r="N38" s="25" t="str">
        <f>HYPERLINK("http://slimages.macys.com/is/image/MCY/21048338 ")</f>
        <v xml:space="preserve">http://slimages.macys.com/is/image/MCY/21048338 </v>
      </c>
    </row>
    <row r="39" spans="1:14" ht="24.75" x14ac:dyDescent="0.25">
      <c r="A39" s="21" t="s">
        <v>5167</v>
      </c>
      <c r="B39" s="22" t="s">
        <v>5168</v>
      </c>
      <c r="C39" s="2">
        <v>1</v>
      </c>
      <c r="D39" s="23">
        <v>23.99</v>
      </c>
      <c r="E39" s="3">
        <v>23.99</v>
      </c>
      <c r="F39" s="2" t="s">
        <v>5169</v>
      </c>
      <c r="G39" s="22" t="s">
        <v>19333</v>
      </c>
      <c r="H39" s="24" t="s">
        <v>15935</v>
      </c>
      <c r="I39" s="22" t="s">
        <v>19309</v>
      </c>
      <c r="J39" s="22" t="s">
        <v>19491</v>
      </c>
      <c r="K39" s="22" t="s">
        <v>19463</v>
      </c>
      <c r="L39" s="22"/>
      <c r="M39" s="22"/>
      <c r="N39" s="25" t="str">
        <f>HYPERLINK("http://slimages.macys.com/is/image/MCY/21333684 ")</f>
        <v xml:space="preserve">http://slimages.macys.com/is/image/MCY/21333684 </v>
      </c>
    </row>
    <row r="40" spans="1:14" ht="24.75" x14ac:dyDescent="0.25">
      <c r="A40" s="21" t="s">
        <v>5170</v>
      </c>
      <c r="B40" s="22" t="s">
        <v>5171</v>
      </c>
      <c r="C40" s="2">
        <v>1</v>
      </c>
      <c r="D40" s="23">
        <v>24.99</v>
      </c>
      <c r="E40" s="3">
        <v>24.99</v>
      </c>
      <c r="F40" s="2" t="s">
        <v>19656</v>
      </c>
      <c r="G40" s="22" t="s">
        <v>19333</v>
      </c>
      <c r="H40" s="24" t="s">
        <v>19538</v>
      </c>
      <c r="I40" s="22" t="s">
        <v>19309</v>
      </c>
      <c r="J40" s="22" t="s">
        <v>19385</v>
      </c>
      <c r="K40" s="22" t="s">
        <v>19487</v>
      </c>
      <c r="L40" s="22"/>
      <c r="M40" s="22"/>
      <c r="N40" s="25" t="str">
        <f>HYPERLINK("http://slimages.macys.com/is/image/MCY/21856823 ")</f>
        <v xml:space="preserve">http://slimages.macys.com/is/image/MCY/21856823 </v>
      </c>
    </row>
    <row r="41" spans="1:14" ht="24.75" x14ac:dyDescent="0.25">
      <c r="A41" s="21" t="s">
        <v>5172</v>
      </c>
      <c r="B41" s="22" t="s">
        <v>5173</v>
      </c>
      <c r="C41" s="2">
        <v>2</v>
      </c>
      <c r="D41" s="23">
        <v>27.99</v>
      </c>
      <c r="E41" s="3">
        <v>55.98</v>
      </c>
      <c r="F41" s="2" t="s">
        <v>5174</v>
      </c>
      <c r="G41" s="22" t="s">
        <v>19315</v>
      </c>
      <c r="H41" s="24" t="s">
        <v>18139</v>
      </c>
      <c r="I41" s="22" t="s">
        <v>19309</v>
      </c>
      <c r="J41" s="22" t="s">
        <v>19447</v>
      </c>
      <c r="K41" s="22" t="s">
        <v>18333</v>
      </c>
      <c r="L41" s="22"/>
      <c r="M41" s="22"/>
      <c r="N41" s="25" t="str">
        <f>HYPERLINK("http://slimages.macys.com/is/image/MCY/21048334 ")</f>
        <v xml:space="preserve">http://slimages.macys.com/is/image/MCY/21048334 </v>
      </c>
    </row>
    <row r="42" spans="1:14" ht="24.75" x14ac:dyDescent="0.25">
      <c r="A42" s="21" t="s">
        <v>15694</v>
      </c>
      <c r="B42" s="22" t="s">
        <v>15695</v>
      </c>
      <c r="C42" s="2">
        <v>1</v>
      </c>
      <c r="D42" s="23">
        <v>26.99</v>
      </c>
      <c r="E42" s="3">
        <v>26.99</v>
      </c>
      <c r="F42" s="2" t="s">
        <v>19663</v>
      </c>
      <c r="G42" s="22" t="s">
        <v>19333</v>
      </c>
      <c r="H42" s="24" t="s">
        <v>19330</v>
      </c>
      <c r="I42" s="22" t="s">
        <v>19309</v>
      </c>
      <c r="J42" s="22" t="s">
        <v>19385</v>
      </c>
      <c r="K42" s="22" t="s">
        <v>19487</v>
      </c>
      <c r="L42" s="22"/>
      <c r="M42" s="22"/>
      <c r="N42" s="25" t="str">
        <f>HYPERLINK("http://slimages.macys.com/is/image/MCY/21856819 ")</f>
        <v xml:space="preserve">http://slimages.macys.com/is/image/MCY/21856819 </v>
      </c>
    </row>
    <row r="43" spans="1:14" ht="24.75" x14ac:dyDescent="0.25">
      <c r="A43" s="21" t="s">
        <v>9817</v>
      </c>
      <c r="B43" s="22" t="s">
        <v>9818</v>
      </c>
      <c r="C43" s="2">
        <v>6</v>
      </c>
      <c r="D43" s="23">
        <v>24.99</v>
      </c>
      <c r="E43" s="3">
        <v>149.94</v>
      </c>
      <c r="F43" s="2" t="s">
        <v>9421</v>
      </c>
      <c r="G43" s="22" t="s">
        <v>19462</v>
      </c>
      <c r="H43" s="24" t="s">
        <v>19324</v>
      </c>
      <c r="I43" s="22" t="s">
        <v>19309</v>
      </c>
      <c r="J43" s="22" t="s">
        <v>19385</v>
      </c>
      <c r="K43" s="22" t="s">
        <v>19386</v>
      </c>
      <c r="L43" s="22"/>
      <c r="M43" s="22"/>
      <c r="N43" s="25" t="str">
        <f>HYPERLINK("http://slimages.macys.com/is/image/MCY/21465558 ")</f>
        <v xml:space="preserve">http://slimages.macys.com/is/image/MCY/21465558 </v>
      </c>
    </row>
    <row r="44" spans="1:14" x14ac:dyDescent="0.25">
      <c r="A44" s="21" t="s">
        <v>8749</v>
      </c>
      <c r="B44" s="22" t="s">
        <v>8750</v>
      </c>
      <c r="C44" s="2">
        <v>1</v>
      </c>
      <c r="D44" s="23">
        <v>27.99</v>
      </c>
      <c r="E44" s="3">
        <v>27.99</v>
      </c>
      <c r="F44" s="2" t="s">
        <v>8751</v>
      </c>
      <c r="G44" s="22" t="s">
        <v>19342</v>
      </c>
      <c r="H44" s="24" t="s">
        <v>19334</v>
      </c>
      <c r="I44" s="22" t="s">
        <v>19309</v>
      </c>
      <c r="J44" s="22" t="s">
        <v>19696</v>
      </c>
      <c r="K44" s="22" t="s">
        <v>19697</v>
      </c>
      <c r="L44" s="22"/>
      <c r="M44" s="22"/>
      <c r="N44" s="25" t="str">
        <f>HYPERLINK("http://slimages.macys.com/is/image/MCY/21355155 ")</f>
        <v xml:space="preserve">http://slimages.macys.com/is/image/MCY/21355155 </v>
      </c>
    </row>
    <row r="45" spans="1:14" x14ac:dyDescent="0.25">
      <c r="A45" s="21" t="s">
        <v>9424</v>
      </c>
      <c r="B45" s="22" t="s">
        <v>9425</v>
      </c>
      <c r="C45" s="2">
        <v>2</v>
      </c>
      <c r="D45" s="23">
        <v>27.99</v>
      </c>
      <c r="E45" s="3">
        <v>55.98</v>
      </c>
      <c r="F45" s="2" t="s">
        <v>9426</v>
      </c>
      <c r="G45" s="22" t="s">
        <v>19342</v>
      </c>
      <c r="H45" s="24" t="s">
        <v>19334</v>
      </c>
      <c r="I45" s="22" t="s">
        <v>19309</v>
      </c>
      <c r="J45" s="22" t="s">
        <v>19696</v>
      </c>
      <c r="K45" s="22" t="s">
        <v>19965</v>
      </c>
      <c r="L45" s="22"/>
      <c r="M45" s="22"/>
      <c r="N45" s="25" t="str">
        <f>HYPERLINK("http://slimages.macys.com/is/image/MCY/21355996 ")</f>
        <v xml:space="preserve">http://slimages.macys.com/is/image/MCY/21355996 </v>
      </c>
    </row>
    <row r="46" spans="1:14" ht="24.75" x14ac:dyDescent="0.25">
      <c r="A46" s="21" t="s">
        <v>5175</v>
      </c>
      <c r="B46" s="22" t="s">
        <v>5176</v>
      </c>
      <c r="C46" s="2">
        <v>1</v>
      </c>
      <c r="D46" s="23">
        <v>29.99</v>
      </c>
      <c r="E46" s="3">
        <v>29.99</v>
      </c>
      <c r="F46" s="2" t="s">
        <v>15724</v>
      </c>
      <c r="G46" s="22" t="s">
        <v>19342</v>
      </c>
      <c r="H46" s="24" t="s">
        <v>19416</v>
      </c>
      <c r="I46" s="22" t="s">
        <v>19309</v>
      </c>
      <c r="J46" s="22" t="s">
        <v>19491</v>
      </c>
      <c r="K46" s="22" t="s">
        <v>15725</v>
      </c>
      <c r="L46" s="22"/>
      <c r="M46" s="22"/>
      <c r="N46" s="25" t="str">
        <f>HYPERLINK("http://slimages.macys.com/is/image/MCY/21176916 ")</f>
        <v xml:space="preserve">http://slimages.macys.com/is/image/MCY/21176916 </v>
      </c>
    </row>
    <row r="47" spans="1:14" x14ac:dyDescent="0.25">
      <c r="A47" s="21" t="s">
        <v>15714</v>
      </c>
      <c r="B47" s="22" t="s">
        <v>15715</v>
      </c>
      <c r="C47" s="2">
        <v>3</v>
      </c>
      <c r="D47" s="23">
        <v>27.99</v>
      </c>
      <c r="E47" s="3">
        <v>83.97</v>
      </c>
      <c r="F47" s="2" t="s">
        <v>17774</v>
      </c>
      <c r="G47" s="22" t="s">
        <v>19342</v>
      </c>
      <c r="H47" s="24" t="s">
        <v>19334</v>
      </c>
      <c r="I47" s="22" t="s">
        <v>19309</v>
      </c>
      <c r="J47" s="22" t="s">
        <v>19696</v>
      </c>
      <c r="K47" s="22" t="s">
        <v>19965</v>
      </c>
      <c r="L47" s="22"/>
      <c r="M47" s="22"/>
      <c r="N47" s="25" t="str">
        <f>HYPERLINK("http://slimages.macys.com/is/image/MCY/21540669 ")</f>
        <v xml:space="preserve">http://slimages.macys.com/is/image/MCY/21540669 </v>
      </c>
    </row>
    <row r="48" spans="1:14" ht="24.75" x14ac:dyDescent="0.25">
      <c r="A48" s="21" t="s">
        <v>15722</v>
      </c>
      <c r="B48" s="22" t="s">
        <v>15723</v>
      </c>
      <c r="C48" s="2">
        <v>2</v>
      </c>
      <c r="D48" s="23">
        <v>29.99</v>
      </c>
      <c r="E48" s="3">
        <v>59.98</v>
      </c>
      <c r="F48" s="2" t="s">
        <v>15724</v>
      </c>
      <c r="G48" s="22" t="s">
        <v>19342</v>
      </c>
      <c r="H48" s="24" t="s">
        <v>19330</v>
      </c>
      <c r="I48" s="22" t="s">
        <v>19309</v>
      </c>
      <c r="J48" s="22" t="s">
        <v>19491</v>
      </c>
      <c r="K48" s="22" t="s">
        <v>15725</v>
      </c>
      <c r="L48" s="22"/>
      <c r="M48" s="22"/>
      <c r="N48" s="25" t="str">
        <f>HYPERLINK("http://slimages.macys.com/is/image/MCY/21176916 ")</f>
        <v xml:space="preserve">http://slimages.macys.com/is/image/MCY/21176916 </v>
      </c>
    </row>
    <row r="49" spans="1:14" ht="24.75" x14ac:dyDescent="0.25">
      <c r="A49" s="21" t="s">
        <v>5177</v>
      </c>
      <c r="B49" s="22" t="s">
        <v>5178</v>
      </c>
      <c r="C49" s="2">
        <v>1</v>
      </c>
      <c r="D49" s="23">
        <v>24.99</v>
      </c>
      <c r="E49" s="3">
        <v>24.99</v>
      </c>
      <c r="F49" s="2" t="s">
        <v>9440</v>
      </c>
      <c r="G49" s="22" t="s">
        <v>19342</v>
      </c>
      <c r="H49" s="24" t="s">
        <v>19330</v>
      </c>
      <c r="I49" s="22" t="s">
        <v>19309</v>
      </c>
      <c r="J49" s="22" t="s">
        <v>19491</v>
      </c>
      <c r="K49" s="22" t="s">
        <v>19554</v>
      </c>
      <c r="L49" s="22"/>
      <c r="M49" s="22"/>
      <c r="N49" s="25" t="str">
        <f>HYPERLINK("http://slimages.macys.com/is/image/MCY/21483063 ")</f>
        <v xml:space="preserve">http://slimages.macys.com/is/image/MCY/21483063 </v>
      </c>
    </row>
    <row r="50" spans="1:14" ht="24.75" x14ac:dyDescent="0.25">
      <c r="A50" s="21" t="s">
        <v>5179</v>
      </c>
      <c r="B50" s="22" t="s">
        <v>5180</v>
      </c>
      <c r="C50" s="2">
        <v>1</v>
      </c>
      <c r="D50" s="23">
        <v>26.99</v>
      </c>
      <c r="E50" s="3">
        <v>26.99</v>
      </c>
      <c r="F50" s="2" t="s">
        <v>5181</v>
      </c>
      <c r="G50" s="22" t="s">
        <v>19415</v>
      </c>
      <c r="H50" s="24"/>
      <c r="I50" s="22" t="s">
        <v>19309</v>
      </c>
      <c r="J50" s="22" t="s">
        <v>19519</v>
      </c>
      <c r="K50" s="22" t="s">
        <v>5590</v>
      </c>
      <c r="L50" s="22"/>
      <c r="M50" s="22"/>
      <c r="N50" s="25" t="str">
        <f>HYPERLINK("http://slimages.macys.com/is/image/MCY/21168037 ")</f>
        <v xml:space="preserve">http://slimages.macys.com/is/image/MCY/21168037 </v>
      </c>
    </row>
    <row r="51" spans="1:14" x14ac:dyDescent="0.25">
      <c r="A51" s="21" t="s">
        <v>9433</v>
      </c>
      <c r="B51" s="22" t="s">
        <v>9434</v>
      </c>
      <c r="C51" s="2">
        <v>2</v>
      </c>
      <c r="D51" s="23">
        <v>26.99</v>
      </c>
      <c r="E51" s="3">
        <v>53.98</v>
      </c>
      <c r="F51" s="2" t="s">
        <v>9435</v>
      </c>
      <c r="G51" s="22" t="s">
        <v>19342</v>
      </c>
      <c r="H51" s="24" t="s">
        <v>19395</v>
      </c>
      <c r="I51" s="22" t="s">
        <v>19309</v>
      </c>
      <c r="J51" s="22" t="s">
        <v>19696</v>
      </c>
      <c r="K51" s="22" t="s">
        <v>19697</v>
      </c>
      <c r="L51" s="22"/>
      <c r="M51" s="22"/>
      <c r="N51" s="25" t="str">
        <f>HYPERLINK("http://slimages.macys.com/is/image/MCY/21622674 ")</f>
        <v xml:space="preserve">http://slimages.macys.com/is/image/MCY/21622674 </v>
      </c>
    </row>
    <row r="52" spans="1:14" ht="24.75" x14ac:dyDescent="0.25">
      <c r="A52" s="21" t="s">
        <v>8029</v>
      </c>
      <c r="B52" s="22" t="s">
        <v>8030</v>
      </c>
      <c r="C52" s="2">
        <v>1</v>
      </c>
      <c r="D52" s="23">
        <v>24.99</v>
      </c>
      <c r="E52" s="3">
        <v>24.99</v>
      </c>
      <c r="F52" s="2" t="s">
        <v>10905</v>
      </c>
      <c r="G52" s="22" t="s">
        <v>19342</v>
      </c>
      <c r="H52" s="24" t="s">
        <v>19324</v>
      </c>
      <c r="I52" s="22" t="s">
        <v>19309</v>
      </c>
      <c r="J52" s="22" t="s">
        <v>19491</v>
      </c>
      <c r="K52" s="22" t="s">
        <v>19554</v>
      </c>
      <c r="L52" s="22"/>
      <c r="M52" s="22"/>
      <c r="N52" s="25" t="str">
        <f>HYPERLINK("http://slimages.macys.com/is/image/MCY/21483063 ")</f>
        <v xml:space="preserve">http://slimages.macys.com/is/image/MCY/21483063 </v>
      </c>
    </row>
    <row r="53" spans="1:14" x14ac:dyDescent="0.25">
      <c r="A53" s="21" t="s">
        <v>8037</v>
      </c>
      <c r="B53" s="22" t="s">
        <v>8038</v>
      </c>
      <c r="C53" s="2">
        <v>2</v>
      </c>
      <c r="D53" s="23">
        <v>20.58</v>
      </c>
      <c r="E53" s="3">
        <v>41.16</v>
      </c>
      <c r="F53" s="2" t="s">
        <v>8036</v>
      </c>
      <c r="G53" s="22" t="s">
        <v>19342</v>
      </c>
      <c r="H53" s="24" t="s">
        <v>19542</v>
      </c>
      <c r="I53" s="22" t="s">
        <v>19309</v>
      </c>
      <c r="J53" s="22" t="s">
        <v>19514</v>
      </c>
      <c r="K53" s="22" t="s">
        <v>10909</v>
      </c>
      <c r="L53" s="22"/>
      <c r="M53" s="22"/>
      <c r="N53" s="25" t="str">
        <f>HYPERLINK("http://slimages.macys.com/is/image/MCY/21192202 ")</f>
        <v xml:space="preserve">http://slimages.macys.com/is/image/MCY/21192202 </v>
      </c>
    </row>
    <row r="54" spans="1:14" ht="24.75" x14ac:dyDescent="0.25">
      <c r="A54" s="21" t="s">
        <v>5182</v>
      </c>
      <c r="B54" s="22" t="s">
        <v>5183</v>
      </c>
      <c r="C54" s="2">
        <v>5</v>
      </c>
      <c r="D54" s="23">
        <v>24.99</v>
      </c>
      <c r="E54" s="3">
        <v>124.95</v>
      </c>
      <c r="F54" s="2" t="s">
        <v>8771</v>
      </c>
      <c r="G54" s="22" t="s">
        <v>19342</v>
      </c>
      <c r="H54" s="24" t="s">
        <v>19416</v>
      </c>
      <c r="I54" s="22" t="s">
        <v>19309</v>
      </c>
      <c r="J54" s="22" t="s">
        <v>19385</v>
      </c>
      <c r="K54" s="22" t="s">
        <v>19614</v>
      </c>
      <c r="L54" s="22"/>
      <c r="M54" s="22"/>
      <c r="N54" s="25" t="str">
        <f>HYPERLINK("http://slimages.macys.com/is/image/MCY/21771116 ")</f>
        <v xml:space="preserve">http://slimages.macys.com/is/image/MCY/21771116 </v>
      </c>
    </row>
    <row r="55" spans="1:14" ht="24.75" x14ac:dyDescent="0.25">
      <c r="A55" s="21" t="s">
        <v>5184</v>
      </c>
      <c r="B55" s="22" t="s">
        <v>5185</v>
      </c>
      <c r="C55" s="2">
        <v>2</v>
      </c>
      <c r="D55" s="23">
        <v>24.99</v>
      </c>
      <c r="E55" s="3">
        <v>49.98</v>
      </c>
      <c r="F55" s="2" t="s">
        <v>15759</v>
      </c>
      <c r="G55" s="22" t="s">
        <v>19342</v>
      </c>
      <c r="H55" s="24" t="s">
        <v>19324</v>
      </c>
      <c r="I55" s="22" t="s">
        <v>19309</v>
      </c>
      <c r="J55" s="22" t="s">
        <v>19385</v>
      </c>
      <c r="K55" s="22" t="s">
        <v>19729</v>
      </c>
      <c r="L55" s="22"/>
      <c r="M55" s="22"/>
      <c r="N55" s="25" t="str">
        <f>HYPERLINK("http://slimages.macys.com/is/image/MCY/21221564 ")</f>
        <v xml:space="preserve">http://slimages.macys.com/is/image/MCY/21221564 </v>
      </c>
    </row>
    <row r="56" spans="1:14" ht="24.75" x14ac:dyDescent="0.25">
      <c r="A56" s="21" t="s">
        <v>5186</v>
      </c>
      <c r="B56" s="22" t="s">
        <v>5187</v>
      </c>
      <c r="C56" s="2">
        <v>1</v>
      </c>
      <c r="D56" s="23">
        <v>24.99</v>
      </c>
      <c r="E56" s="3">
        <v>24.99</v>
      </c>
      <c r="F56" s="2" t="s">
        <v>5188</v>
      </c>
      <c r="G56" s="22" t="s">
        <v>19342</v>
      </c>
      <c r="H56" s="24" t="s">
        <v>19416</v>
      </c>
      <c r="I56" s="22" t="s">
        <v>19309</v>
      </c>
      <c r="J56" s="22" t="s">
        <v>19385</v>
      </c>
      <c r="K56" s="22" t="s">
        <v>19729</v>
      </c>
      <c r="L56" s="22"/>
      <c r="M56" s="22"/>
      <c r="N56" s="25" t="str">
        <f>HYPERLINK("http://slimages.macys.com/is/image/MCY/21091516 ")</f>
        <v xml:space="preserve">http://slimages.macys.com/is/image/MCY/21091516 </v>
      </c>
    </row>
    <row r="57" spans="1:14" ht="24.75" x14ac:dyDescent="0.25">
      <c r="A57" s="21" t="s">
        <v>5189</v>
      </c>
      <c r="B57" s="22" t="s">
        <v>5190</v>
      </c>
      <c r="C57" s="2">
        <v>1</v>
      </c>
      <c r="D57" s="23">
        <v>24.99</v>
      </c>
      <c r="E57" s="3">
        <v>24.99</v>
      </c>
      <c r="F57" s="2" t="s">
        <v>5191</v>
      </c>
      <c r="G57" s="22" t="s">
        <v>19323</v>
      </c>
      <c r="H57" s="24" t="s">
        <v>16005</v>
      </c>
      <c r="I57" s="22" t="s">
        <v>19309</v>
      </c>
      <c r="J57" s="22" t="s">
        <v>16678</v>
      </c>
      <c r="K57" s="22" t="s">
        <v>10407</v>
      </c>
      <c r="L57" s="22"/>
      <c r="M57" s="22"/>
      <c r="N57" s="25" t="str">
        <f>HYPERLINK("http://slimages.macys.com/is/image/MCY/21770625 ")</f>
        <v xml:space="preserve">http://slimages.macys.com/is/image/MCY/21770625 </v>
      </c>
    </row>
    <row r="58" spans="1:14" x14ac:dyDescent="0.25">
      <c r="A58" s="21" t="s">
        <v>5192</v>
      </c>
      <c r="B58" s="22" t="s">
        <v>5193</v>
      </c>
      <c r="C58" s="2">
        <v>1</v>
      </c>
      <c r="D58" s="23">
        <v>26.05</v>
      </c>
      <c r="E58" s="3">
        <v>26.05</v>
      </c>
      <c r="F58" s="2" t="s">
        <v>4615</v>
      </c>
      <c r="G58" s="22"/>
      <c r="H58" s="24" t="s">
        <v>19324</v>
      </c>
      <c r="I58" s="22" t="s">
        <v>19309</v>
      </c>
      <c r="J58" s="22" t="s">
        <v>19708</v>
      </c>
      <c r="K58" s="22" t="s">
        <v>19754</v>
      </c>
      <c r="L58" s="22"/>
      <c r="M58" s="22"/>
      <c r="N58" s="25" t="str">
        <f>HYPERLINK("http://slimages.macys.com/is/image/MCY/21422917 ")</f>
        <v xml:space="preserve">http://slimages.macys.com/is/image/MCY/21422917 </v>
      </c>
    </row>
    <row r="59" spans="1:14" x14ac:dyDescent="0.25">
      <c r="A59" s="21" t="s">
        <v>5194</v>
      </c>
      <c r="B59" s="22" t="s">
        <v>5195</v>
      </c>
      <c r="C59" s="2">
        <v>1</v>
      </c>
      <c r="D59" s="23">
        <v>18.989999999999998</v>
      </c>
      <c r="E59" s="3">
        <v>18.989999999999998</v>
      </c>
      <c r="F59" s="2" t="s">
        <v>5196</v>
      </c>
      <c r="G59" s="22" t="s">
        <v>19351</v>
      </c>
      <c r="H59" s="24" t="s">
        <v>19364</v>
      </c>
      <c r="I59" s="22" t="s">
        <v>19309</v>
      </c>
      <c r="J59" s="22" t="s">
        <v>19310</v>
      </c>
      <c r="K59" s="22" t="s">
        <v>19311</v>
      </c>
      <c r="L59" s="22"/>
      <c r="M59" s="22"/>
      <c r="N59" s="25" t="str">
        <f>HYPERLINK("http://slimages.macys.com/is/image/MCY/21276396 ")</f>
        <v xml:space="preserve">http://slimages.macys.com/is/image/MCY/21276396 </v>
      </c>
    </row>
    <row r="60" spans="1:14" x14ac:dyDescent="0.25">
      <c r="A60" s="21" t="s">
        <v>5197</v>
      </c>
      <c r="B60" s="22" t="s">
        <v>5198</v>
      </c>
      <c r="C60" s="2">
        <v>15</v>
      </c>
      <c r="D60" s="23">
        <v>23.99</v>
      </c>
      <c r="E60" s="3">
        <v>359.85</v>
      </c>
      <c r="F60" s="2" t="s">
        <v>11902</v>
      </c>
      <c r="G60" s="22" t="s">
        <v>19342</v>
      </c>
      <c r="H60" s="24" t="s">
        <v>19395</v>
      </c>
      <c r="I60" s="22" t="s">
        <v>19309</v>
      </c>
      <c r="J60" s="22" t="s">
        <v>19696</v>
      </c>
      <c r="K60" s="22" t="s">
        <v>19965</v>
      </c>
      <c r="L60" s="22"/>
      <c r="M60" s="22"/>
      <c r="N60" s="25" t="str">
        <f>HYPERLINK("http://slimages.macys.com/is/image/MCY/21643410 ")</f>
        <v xml:space="preserve">http://slimages.macys.com/is/image/MCY/21643410 </v>
      </c>
    </row>
    <row r="61" spans="1:14" x14ac:dyDescent="0.25">
      <c r="A61" s="21" t="s">
        <v>10927</v>
      </c>
      <c r="B61" s="22" t="s">
        <v>10928</v>
      </c>
      <c r="C61" s="2">
        <v>4</v>
      </c>
      <c r="D61" s="23">
        <v>34</v>
      </c>
      <c r="E61" s="3">
        <v>136</v>
      </c>
      <c r="F61" s="2" t="s">
        <v>10929</v>
      </c>
      <c r="G61" s="22"/>
      <c r="H61" s="24" t="s">
        <v>19367</v>
      </c>
      <c r="I61" s="22" t="s">
        <v>19309</v>
      </c>
      <c r="J61" s="22" t="s">
        <v>19708</v>
      </c>
      <c r="K61" s="22" t="s">
        <v>19709</v>
      </c>
      <c r="L61" s="22"/>
      <c r="M61" s="22"/>
      <c r="N61" s="25" t="str">
        <f>HYPERLINK("http://slimages.macys.com/is/image/MCY/21717958 ")</f>
        <v xml:space="preserve">http://slimages.macys.com/is/image/MCY/21717958 </v>
      </c>
    </row>
    <row r="62" spans="1:14" x14ac:dyDescent="0.25">
      <c r="A62" s="21" t="s">
        <v>8045</v>
      </c>
      <c r="B62" s="22" t="s">
        <v>8046</v>
      </c>
      <c r="C62" s="2">
        <v>3</v>
      </c>
      <c r="D62" s="23">
        <v>34</v>
      </c>
      <c r="E62" s="3">
        <v>102</v>
      </c>
      <c r="F62" s="2" t="s">
        <v>10929</v>
      </c>
      <c r="G62" s="22"/>
      <c r="H62" s="24" t="s">
        <v>20159</v>
      </c>
      <c r="I62" s="22" t="s">
        <v>19309</v>
      </c>
      <c r="J62" s="22" t="s">
        <v>19708</v>
      </c>
      <c r="K62" s="22" t="s">
        <v>19709</v>
      </c>
      <c r="L62" s="22"/>
      <c r="M62" s="22"/>
      <c r="N62" s="25" t="str">
        <f>HYPERLINK("http://slimages.macys.com/is/image/MCY/21717958 ")</f>
        <v xml:space="preserve">http://slimages.macys.com/is/image/MCY/21717958 </v>
      </c>
    </row>
    <row r="63" spans="1:14" ht="24.75" x14ac:dyDescent="0.25">
      <c r="A63" s="21" t="s">
        <v>11921</v>
      </c>
      <c r="B63" s="22" t="s">
        <v>11922</v>
      </c>
      <c r="C63" s="2">
        <v>1</v>
      </c>
      <c r="D63" s="23">
        <v>21.99</v>
      </c>
      <c r="E63" s="3">
        <v>21.99</v>
      </c>
      <c r="F63" s="2" t="s">
        <v>11923</v>
      </c>
      <c r="G63" s="22"/>
      <c r="H63" s="24" t="s">
        <v>19334</v>
      </c>
      <c r="I63" s="22" t="s">
        <v>19309</v>
      </c>
      <c r="J63" s="22" t="s">
        <v>19595</v>
      </c>
      <c r="K63" s="22" t="s">
        <v>19596</v>
      </c>
      <c r="L63" s="22"/>
      <c r="M63" s="22"/>
      <c r="N63" s="25" t="str">
        <f>HYPERLINK("http://slimages.macys.com/is/image/MCY/21909788 ")</f>
        <v xml:space="preserve">http://slimages.macys.com/is/image/MCY/21909788 </v>
      </c>
    </row>
    <row r="64" spans="1:14" ht="36.75" x14ac:dyDescent="0.25">
      <c r="A64" s="21" t="s">
        <v>5199</v>
      </c>
      <c r="B64" s="22" t="s">
        <v>5200</v>
      </c>
      <c r="C64" s="2">
        <v>1</v>
      </c>
      <c r="D64" s="23">
        <v>22.99</v>
      </c>
      <c r="E64" s="3">
        <v>22.99</v>
      </c>
      <c r="F64" s="2" t="s">
        <v>5201</v>
      </c>
      <c r="G64" s="22"/>
      <c r="H64" s="24" t="s">
        <v>19501</v>
      </c>
      <c r="I64" s="22" t="s">
        <v>19309</v>
      </c>
      <c r="J64" s="22" t="s">
        <v>19519</v>
      </c>
      <c r="K64" s="22" t="s">
        <v>19834</v>
      </c>
      <c r="L64" s="22" t="s">
        <v>19319</v>
      </c>
      <c r="M64" s="22" t="s">
        <v>5202</v>
      </c>
      <c r="N64" s="25" t="str">
        <f>HYPERLINK("http://slimages.macys.com/is/image/MCY/16492257 ")</f>
        <v xml:space="preserve">http://slimages.macys.com/is/image/MCY/16492257 </v>
      </c>
    </row>
    <row r="65" spans="1:14" ht="24.75" x14ac:dyDescent="0.25">
      <c r="A65" s="21" t="s">
        <v>6634</v>
      </c>
      <c r="B65" s="22" t="s">
        <v>6635</v>
      </c>
      <c r="C65" s="2">
        <v>1</v>
      </c>
      <c r="D65" s="23">
        <v>21.99</v>
      </c>
      <c r="E65" s="3">
        <v>21.99</v>
      </c>
      <c r="F65" s="2" t="s">
        <v>11923</v>
      </c>
      <c r="G65" s="22"/>
      <c r="H65" s="24" t="s">
        <v>19377</v>
      </c>
      <c r="I65" s="22" t="s">
        <v>19309</v>
      </c>
      <c r="J65" s="22" t="s">
        <v>19595</v>
      </c>
      <c r="K65" s="22" t="s">
        <v>19596</v>
      </c>
      <c r="L65" s="22"/>
      <c r="M65" s="22"/>
      <c r="N65" s="25" t="str">
        <f>HYPERLINK("http://slimages.macys.com/is/image/MCY/21909782 ")</f>
        <v xml:space="preserve">http://slimages.macys.com/is/image/MCY/21909782 </v>
      </c>
    </row>
    <row r="66" spans="1:14" ht="24.75" x14ac:dyDescent="0.25">
      <c r="A66" s="21" t="s">
        <v>5203</v>
      </c>
      <c r="B66" s="22" t="s">
        <v>5204</v>
      </c>
      <c r="C66" s="2">
        <v>1</v>
      </c>
      <c r="D66" s="23">
        <v>23.99</v>
      </c>
      <c r="E66" s="3">
        <v>23.99</v>
      </c>
      <c r="F66" s="2" t="s">
        <v>5205</v>
      </c>
      <c r="G66" s="22" t="s">
        <v>19342</v>
      </c>
      <c r="H66" s="24" t="s">
        <v>19324</v>
      </c>
      <c r="I66" s="22" t="s">
        <v>19309</v>
      </c>
      <c r="J66" s="22" t="s">
        <v>19491</v>
      </c>
      <c r="K66" s="22" t="s">
        <v>8781</v>
      </c>
      <c r="L66" s="22"/>
      <c r="M66" s="22"/>
      <c r="N66" s="25" t="str">
        <f>HYPERLINK("http://slimages.macys.com/is/image/MCY/21655043 ")</f>
        <v xml:space="preserve">http://slimages.macys.com/is/image/MCY/21655043 </v>
      </c>
    </row>
    <row r="67" spans="1:14" ht="24.75" x14ac:dyDescent="0.25">
      <c r="A67" s="21" t="s">
        <v>9465</v>
      </c>
      <c r="B67" s="22" t="s">
        <v>9466</v>
      </c>
      <c r="C67" s="2">
        <v>2</v>
      </c>
      <c r="D67" s="23">
        <v>24</v>
      </c>
      <c r="E67" s="3">
        <v>48</v>
      </c>
      <c r="F67" s="2" t="s">
        <v>19857</v>
      </c>
      <c r="G67" s="22" t="s">
        <v>19404</v>
      </c>
      <c r="H67" s="24" t="s">
        <v>20159</v>
      </c>
      <c r="I67" s="22" t="s">
        <v>19309</v>
      </c>
      <c r="J67" s="22" t="s">
        <v>19417</v>
      </c>
      <c r="K67" s="22" t="s">
        <v>19854</v>
      </c>
      <c r="L67" s="22"/>
      <c r="M67" s="22"/>
      <c r="N67" s="25" t="str">
        <f>HYPERLINK("http://slimages.macys.com/is/image/MCY/21362679 ")</f>
        <v xml:space="preserve">http://slimages.macys.com/is/image/MCY/21362679 </v>
      </c>
    </row>
    <row r="68" spans="1:14" ht="24.75" x14ac:dyDescent="0.25">
      <c r="A68" s="21" t="s">
        <v>9462</v>
      </c>
      <c r="B68" s="22" t="s">
        <v>9463</v>
      </c>
      <c r="C68" s="2">
        <v>13</v>
      </c>
      <c r="D68" s="23">
        <v>24</v>
      </c>
      <c r="E68" s="3">
        <v>312</v>
      </c>
      <c r="F68" s="2" t="s">
        <v>9464</v>
      </c>
      <c r="G68" s="22" t="s">
        <v>19404</v>
      </c>
      <c r="H68" s="24" t="s">
        <v>20159</v>
      </c>
      <c r="I68" s="22" t="s">
        <v>19309</v>
      </c>
      <c r="J68" s="22" t="s">
        <v>19417</v>
      </c>
      <c r="K68" s="22" t="s">
        <v>19854</v>
      </c>
      <c r="L68" s="22"/>
      <c r="M68" s="22"/>
      <c r="N68" s="25" t="str">
        <f>HYPERLINK("http://slimages.macys.com/is/image/MCY/21369881 ")</f>
        <v xml:space="preserve">http://slimages.macys.com/is/image/MCY/21369881 </v>
      </c>
    </row>
    <row r="69" spans="1:14" ht="24.75" x14ac:dyDescent="0.25">
      <c r="A69" s="21" t="s">
        <v>9467</v>
      </c>
      <c r="B69" s="22" t="s">
        <v>9468</v>
      </c>
      <c r="C69" s="2">
        <v>4</v>
      </c>
      <c r="D69" s="23">
        <v>24</v>
      </c>
      <c r="E69" s="3">
        <v>96</v>
      </c>
      <c r="F69" s="2" t="s">
        <v>10937</v>
      </c>
      <c r="G69" s="22" t="s">
        <v>19404</v>
      </c>
      <c r="H69" s="24" t="s">
        <v>19324</v>
      </c>
      <c r="I69" s="22" t="s">
        <v>19309</v>
      </c>
      <c r="J69" s="22" t="s">
        <v>19417</v>
      </c>
      <c r="K69" s="22" t="s">
        <v>19854</v>
      </c>
      <c r="L69" s="22"/>
      <c r="M69" s="22"/>
      <c r="N69" s="25" t="str">
        <f>HYPERLINK("http://slimages.macys.com/is/image/MCY/21370054 ")</f>
        <v xml:space="preserve">http://slimages.macys.com/is/image/MCY/21370054 </v>
      </c>
    </row>
    <row r="70" spans="1:14" ht="24.75" x14ac:dyDescent="0.25">
      <c r="A70" s="21" t="s">
        <v>8522</v>
      </c>
      <c r="B70" s="22" t="s">
        <v>8523</v>
      </c>
      <c r="C70" s="2">
        <v>1</v>
      </c>
      <c r="D70" s="23">
        <v>24</v>
      </c>
      <c r="E70" s="3">
        <v>24</v>
      </c>
      <c r="F70" s="2" t="s">
        <v>10943</v>
      </c>
      <c r="G70" s="22"/>
      <c r="H70" s="24" t="s">
        <v>19324</v>
      </c>
      <c r="I70" s="22" t="s">
        <v>19309</v>
      </c>
      <c r="J70" s="22" t="s">
        <v>19417</v>
      </c>
      <c r="K70" s="22" t="s">
        <v>19854</v>
      </c>
      <c r="L70" s="22"/>
      <c r="M70" s="22"/>
      <c r="N70" s="25" t="str">
        <f>HYPERLINK("http://slimages.macys.com/is/image/MCY/21362959 ")</f>
        <v xml:space="preserve">http://slimages.macys.com/is/image/MCY/21362959 </v>
      </c>
    </row>
    <row r="71" spans="1:14" ht="24.75" x14ac:dyDescent="0.25">
      <c r="A71" s="21" t="s">
        <v>9460</v>
      </c>
      <c r="B71" s="22" t="s">
        <v>9461</v>
      </c>
      <c r="C71" s="2">
        <v>4</v>
      </c>
      <c r="D71" s="23">
        <v>24</v>
      </c>
      <c r="E71" s="3">
        <v>96</v>
      </c>
      <c r="F71" s="2" t="s">
        <v>10937</v>
      </c>
      <c r="G71" s="22" t="s">
        <v>19404</v>
      </c>
      <c r="H71" s="24" t="s">
        <v>19367</v>
      </c>
      <c r="I71" s="22" t="s">
        <v>19309</v>
      </c>
      <c r="J71" s="22" t="s">
        <v>19417</v>
      </c>
      <c r="K71" s="22" t="s">
        <v>19854</v>
      </c>
      <c r="L71" s="22"/>
      <c r="M71" s="22"/>
      <c r="N71" s="25" t="str">
        <f>HYPERLINK("http://slimages.macys.com/is/image/MCY/21370054 ")</f>
        <v xml:space="preserve">http://slimages.macys.com/is/image/MCY/21370054 </v>
      </c>
    </row>
    <row r="72" spans="1:14" ht="24.75" x14ac:dyDescent="0.25">
      <c r="A72" s="21" t="s">
        <v>8056</v>
      </c>
      <c r="B72" s="22" t="s">
        <v>8057</v>
      </c>
      <c r="C72" s="2">
        <v>2</v>
      </c>
      <c r="D72" s="23">
        <v>24</v>
      </c>
      <c r="E72" s="3">
        <v>48</v>
      </c>
      <c r="F72" s="2" t="s">
        <v>9464</v>
      </c>
      <c r="G72" s="22" t="s">
        <v>19404</v>
      </c>
      <c r="H72" s="24" t="s">
        <v>19324</v>
      </c>
      <c r="I72" s="22" t="s">
        <v>19309</v>
      </c>
      <c r="J72" s="22" t="s">
        <v>19417</v>
      </c>
      <c r="K72" s="22" t="s">
        <v>19854</v>
      </c>
      <c r="L72" s="22"/>
      <c r="M72" s="22"/>
      <c r="N72" s="25" t="str">
        <f>HYPERLINK("http://slimages.macys.com/is/image/MCY/21369881 ")</f>
        <v xml:space="preserve">http://slimages.macys.com/is/image/MCY/21369881 </v>
      </c>
    </row>
    <row r="73" spans="1:14" ht="24.75" x14ac:dyDescent="0.25">
      <c r="A73" s="21" t="s">
        <v>5206</v>
      </c>
      <c r="B73" s="22" t="s">
        <v>5207</v>
      </c>
      <c r="C73" s="2">
        <v>1</v>
      </c>
      <c r="D73" s="23">
        <v>22.99</v>
      </c>
      <c r="E73" s="3">
        <v>22.99</v>
      </c>
      <c r="F73" s="2" t="s">
        <v>5208</v>
      </c>
      <c r="G73" s="22"/>
      <c r="H73" s="24" t="s">
        <v>19384</v>
      </c>
      <c r="I73" s="22" t="s">
        <v>19309</v>
      </c>
      <c r="J73" s="22" t="s">
        <v>19573</v>
      </c>
      <c r="K73" s="22" t="s">
        <v>5209</v>
      </c>
      <c r="L73" s="22"/>
      <c r="M73" s="22"/>
      <c r="N73" s="25" t="str">
        <f>HYPERLINK("http://slimages.macys.com/is/image/MCY/19737778 ")</f>
        <v xml:space="preserve">http://slimages.macys.com/is/image/MCY/19737778 </v>
      </c>
    </row>
    <row r="74" spans="1:14" ht="24.75" x14ac:dyDescent="0.25">
      <c r="A74" s="21" t="s">
        <v>5210</v>
      </c>
      <c r="B74" s="22" t="s">
        <v>5211</v>
      </c>
      <c r="C74" s="2">
        <v>4</v>
      </c>
      <c r="D74" s="23">
        <v>22.99</v>
      </c>
      <c r="E74" s="3">
        <v>91.96</v>
      </c>
      <c r="F74" s="2" t="s">
        <v>5212</v>
      </c>
      <c r="G74" s="22" t="s">
        <v>19342</v>
      </c>
      <c r="H74" s="24"/>
      <c r="I74" s="22" t="s">
        <v>19309</v>
      </c>
      <c r="J74" s="22" t="s">
        <v>19385</v>
      </c>
      <c r="K74" s="22" t="s">
        <v>19729</v>
      </c>
      <c r="L74" s="22"/>
      <c r="M74" s="22"/>
      <c r="N74" s="25" t="str">
        <f>HYPERLINK("http://slimages.macys.com/is/image/MCY/21506874 ")</f>
        <v xml:space="preserve">http://slimages.macys.com/is/image/MCY/21506874 </v>
      </c>
    </row>
    <row r="75" spans="1:14" ht="24.75" x14ac:dyDescent="0.25">
      <c r="A75" s="21" t="s">
        <v>4642</v>
      </c>
      <c r="B75" s="22" t="s">
        <v>4643</v>
      </c>
      <c r="C75" s="2">
        <v>1</v>
      </c>
      <c r="D75" s="23">
        <v>21.99</v>
      </c>
      <c r="E75" s="3">
        <v>21.99</v>
      </c>
      <c r="F75" s="2" t="s">
        <v>4644</v>
      </c>
      <c r="G75" s="22" t="s">
        <v>19351</v>
      </c>
      <c r="H75" s="24" t="s">
        <v>19797</v>
      </c>
      <c r="I75" s="22" t="s">
        <v>19309</v>
      </c>
      <c r="J75" s="22" t="s">
        <v>19353</v>
      </c>
      <c r="K75" s="22" t="s">
        <v>19524</v>
      </c>
      <c r="L75" s="22"/>
      <c r="M75" s="22"/>
      <c r="N75" s="25" t="str">
        <f>HYPERLINK("http://slimages.macys.com/is/image/MCY/21233440 ")</f>
        <v xml:space="preserve">http://slimages.macys.com/is/image/MCY/21233440 </v>
      </c>
    </row>
    <row r="76" spans="1:14" ht="24.75" x14ac:dyDescent="0.25">
      <c r="A76" s="21" t="s">
        <v>5213</v>
      </c>
      <c r="B76" s="22" t="s">
        <v>5214</v>
      </c>
      <c r="C76" s="2">
        <v>1</v>
      </c>
      <c r="D76" s="23">
        <v>17.989999999999998</v>
      </c>
      <c r="E76" s="3">
        <v>17.989999999999998</v>
      </c>
      <c r="F76" s="2" t="s">
        <v>7456</v>
      </c>
      <c r="G76" s="22"/>
      <c r="H76" s="24" t="s">
        <v>19907</v>
      </c>
      <c r="I76" s="22" t="s">
        <v>19309</v>
      </c>
      <c r="J76" s="22" t="s">
        <v>19908</v>
      </c>
      <c r="K76" s="22" t="s">
        <v>19524</v>
      </c>
      <c r="L76" s="22"/>
      <c r="M76" s="22"/>
      <c r="N76" s="25" t="str">
        <f>HYPERLINK("http://slimages.macys.com/is/image/MCY/19631899 ")</f>
        <v xml:space="preserve">http://slimages.macys.com/is/image/MCY/19631899 </v>
      </c>
    </row>
    <row r="77" spans="1:14" x14ac:dyDescent="0.25">
      <c r="A77" s="21" t="s">
        <v>9486</v>
      </c>
      <c r="B77" s="22" t="s">
        <v>9487</v>
      </c>
      <c r="C77" s="2">
        <v>26</v>
      </c>
      <c r="D77" s="23">
        <v>22.99</v>
      </c>
      <c r="E77" s="3">
        <v>597.74</v>
      </c>
      <c r="F77" s="2" t="s">
        <v>9485</v>
      </c>
      <c r="G77" s="22" t="s">
        <v>19342</v>
      </c>
      <c r="H77" s="24" t="s">
        <v>19478</v>
      </c>
      <c r="I77" s="22" t="s">
        <v>19309</v>
      </c>
      <c r="J77" s="22" t="s">
        <v>19696</v>
      </c>
      <c r="K77" s="22" t="s">
        <v>19965</v>
      </c>
      <c r="L77" s="22"/>
      <c r="M77" s="22"/>
      <c r="N77" s="25" t="str">
        <f>HYPERLINK("http://slimages.macys.com/is/image/MCY/20084478 ")</f>
        <v xml:space="preserve">http://slimages.macys.com/is/image/MCY/20084478 </v>
      </c>
    </row>
    <row r="78" spans="1:14" x14ac:dyDescent="0.25">
      <c r="A78" s="21" t="s">
        <v>5215</v>
      </c>
      <c r="B78" s="22" t="s">
        <v>5216</v>
      </c>
      <c r="C78" s="2">
        <v>1</v>
      </c>
      <c r="D78" s="23">
        <v>22.99</v>
      </c>
      <c r="E78" s="3">
        <v>22.99</v>
      </c>
      <c r="F78" s="2" t="s">
        <v>5217</v>
      </c>
      <c r="G78" s="22" t="s">
        <v>19342</v>
      </c>
      <c r="H78" s="24" t="s">
        <v>19542</v>
      </c>
      <c r="I78" s="22" t="s">
        <v>19309</v>
      </c>
      <c r="J78" s="22" t="s">
        <v>19696</v>
      </c>
      <c r="K78" s="22" t="s">
        <v>19697</v>
      </c>
      <c r="L78" s="22"/>
      <c r="M78" s="22"/>
      <c r="N78" s="25" t="str">
        <f>HYPERLINK("http://slimages.macys.com/is/image/MCY/20145292 ")</f>
        <v xml:space="preserve">http://slimages.macys.com/is/image/MCY/20145292 </v>
      </c>
    </row>
    <row r="79" spans="1:14" x14ac:dyDescent="0.25">
      <c r="A79" s="21" t="s">
        <v>9488</v>
      </c>
      <c r="B79" s="22" t="s">
        <v>9489</v>
      </c>
      <c r="C79" s="2">
        <v>6</v>
      </c>
      <c r="D79" s="23">
        <v>22.99</v>
      </c>
      <c r="E79" s="3">
        <v>137.94</v>
      </c>
      <c r="F79" s="2" t="s">
        <v>9485</v>
      </c>
      <c r="G79" s="22" t="s">
        <v>19342</v>
      </c>
      <c r="H79" s="24" t="s">
        <v>19542</v>
      </c>
      <c r="I79" s="22" t="s">
        <v>19309</v>
      </c>
      <c r="J79" s="22" t="s">
        <v>19696</v>
      </c>
      <c r="K79" s="22" t="s">
        <v>19965</v>
      </c>
      <c r="L79" s="22"/>
      <c r="M79" s="22"/>
      <c r="N79" s="25" t="str">
        <f>HYPERLINK("http://slimages.macys.com/is/image/MCY/20084478 ")</f>
        <v xml:space="preserve">http://slimages.macys.com/is/image/MCY/20084478 </v>
      </c>
    </row>
    <row r="80" spans="1:14" x14ac:dyDescent="0.25">
      <c r="A80" s="21" t="s">
        <v>5218</v>
      </c>
      <c r="B80" s="22" t="s">
        <v>5219</v>
      </c>
      <c r="C80" s="2">
        <v>1</v>
      </c>
      <c r="D80" s="23">
        <v>20</v>
      </c>
      <c r="E80" s="3">
        <v>20</v>
      </c>
      <c r="F80" s="2">
        <v>1361817</v>
      </c>
      <c r="G80" s="22" t="s">
        <v>19315</v>
      </c>
      <c r="H80" s="24" t="s">
        <v>19308</v>
      </c>
      <c r="I80" s="22" t="s">
        <v>19309</v>
      </c>
      <c r="J80" s="22" t="s">
        <v>19310</v>
      </c>
      <c r="K80" s="22" t="s">
        <v>17686</v>
      </c>
      <c r="L80" s="22"/>
      <c r="M80" s="22"/>
      <c r="N80" s="25" t="str">
        <f>HYPERLINK("http://slimages.macys.com/is/image/MCY/18793076 ")</f>
        <v xml:space="preserve">http://slimages.macys.com/is/image/MCY/18793076 </v>
      </c>
    </row>
    <row r="81" spans="1:14" x14ac:dyDescent="0.25">
      <c r="A81" s="21" t="s">
        <v>5220</v>
      </c>
      <c r="B81" s="22" t="s">
        <v>5221</v>
      </c>
      <c r="C81" s="2">
        <v>1</v>
      </c>
      <c r="D81" s="23">
        <v>21.61</v>
      </c>
      <c r="E81" s="3">
        <v>21.61</v>
      </c>
      <c r="F81" s="2" t="s">
        <v>8539</v>
      </c>
      <c r="G81" s="22"/>
      <c r="H81" s="24" t="s">
        <v>19367</v>
      </c>
      <c r="I81" s="22" t="s">
        <v>19309</v>
      </c>
      <c r="J81" s="22" t="s">
        <v>19708</v>
      </c>
      <c r="K81" s="22" t="s">
        <v>19709</v>
      </c>
      <c r="L81" s="22"/>
      <c r="M81" s="22"/>
      <c r="N81" s="25" t="str">
        <f>HYPERLINK("http://slimages.macys.com/is/image/MCY/21726589 ")</f>
        <v xml:space="preserve">http://slimages.macys.com/is/image/MCY/21726589 </v>
      </c>
    </row>
    <row r="82" spans="1:14" ht="24.75" x14ac:dyDescent="0.25">
      <c r="A82" s="21" t="s">
        <v>5222</v>
      </c>
      <c r="B82" s="22" t="s">
        <v>5223</v>
      </c>
      <c r="C82" s="2">
        <v>1</v>
      </c>
      <c r="D82" s="23">
        <v>15.99</v>
      </c>
      <c r="E82" s="3">
        <v>15.99</v>
      </c>
      <c r="F82" s="2" t="s">
        <v>4669</v>
      </c>
      <c r="G82" s="22" t="s">
        <v>19351</v>
      </c>
      <c r="H82" s="24" t="s">
        <v>19392</v>
      </c>
      <c r="I82" s="22" t="s">
        <v>19309</v>
      </c>
      <c r="J82" s="22" t="s">
        <v>19447</v>
      </c>
      <c r="K82" s="22" t="s">
        <v>20146</v>
      </c>
      <c r="L82" s="22"/>
      <c r="M82" s="22"/>
      <c r="N82" s="25" t="str">
        <f>HYPERLINK("http://slimages.macys.com/is/image/MCY/21294735 ")</f>
        <v xml:space="preserve">http://slimages.macys.com/is/image/MCY/21294735 </v>
      </c>
    </row>
    <row r="83" spans="1:14" x14ac:dyDescent="0.25">
      <c r="A83" s="21" t="s">
        <v>11975</v>
      </c>
      <c r="B83" s="22" t="s">
        <v>11976</v>
      </c>
      <c r="C83" s="2">
        <v>1</v>
      </c>
      <c r="D83" s="23">
        <v>24.99</v>
      </c>
      <c r="E83" s="3">
        <v>24.99</v>
      </c>
      <c r="F83" s="2" t="s">
        <v>19958</v>
      </c>
      <c r="G83" s="22" t="s">
        <v>19315</v>
      </c>
      <c r="H83" s="24" t="s">
        <v>19352</v>
      </c>
      <c r="I83" s="22" t="s">
        <v>19309</v>
      </c>
      <c r="J83" s="22" t="s">
        <v>19849</v>
      </c>
      <c r="K83" s="22" t="s">
        <v>19850</v>
      </c>
      <c r="L83" s="22"/>
      <c r="M83" s="22"/>
      <c r="N83" s="25" t="str">
        <f>HYPERLINK("http://slimages.macys.com/is/image/MCY/1521136 ")</f>
        <v xml:space="preserve">http://slimages.macys.com/is/image/MCY/1521136 </v>
      </c>
    </row>
    <row r="84" spans="1:14" x14ac:dyDescent="0.25">
      <c r="A84" s="21" t="s">
        <v>5224</v>
      </c>
      <c r="B84" s="22" t="s">
        <v>5225</v>
      </c>
      <c r="C84" s="2">
        <v>1</v>
      </c>
      <c r="D84" s="23">
        <v>21.99</v>
      </c>
      <c r="E84" s="3">
        <v>21.99</v>
      </c>
      <c r="F84" s="2" t="s">
        <v>18018</v>
      </c>
      <c r="G84" s="22" t="s">
        <v>19342</v>
      </c>
      <c r="H84" s="24" t="s">
        <v>19542</v>
      </c>
      <c r="I84" s="22" t="s">
        <v>19309</v>
      </c>
      <c r="J84" s="22" t="s">
        <v>19696</v>
      </c>
      <c r="K84" s="22" t="s">
        <v>19965</v>
      </c>
      <c r="L84" s="22"/>
      <c r="M84" s="22"/>
      <c r="N84" s="25" t="str">
        <f>HYPERLINK("http://slimages.macys.com/is/image/MCY/21530623 ")</f>
        <v xml:space="preserve">http://slimages.macys.com/is/image/MCY/21530623 </v>
      </c>
    </row>
    <row r="85" spans="1:14" x14ac:dyDescent="0.25">
      <c r="A85" s="21" t="s">
        <v>8816</v>
      </c>
      <c r="B85" s="22" t="s">
        <v>8817</v>
      </c>
      <c r="C85" s="2">
        <v>1</v>
      </c>
      <c r="D85" s="23">
        <v>21.99</v>
      </c>
      <c r="E85" s="3">
        <v>21.99</v>
      </c>
      <c r="F85" s="2" t="s">
        <v>8067</v>
      </c>
      <c r="G85" s="22" t="s">
        <v>19342</v>
      </c>
      <c r="H85" s="24" t="s">
        <v>19478</v>
      </c>
      <c r="I85" s="22" t="s">
        <v>19309</v>
      </c>
      <c r="J85" s="22" t="s">
        <v>19696</v>
      </c>
      <c r="K85" s="22" t="s">
        <v>19965</v>
      </c>
      <c r="L85" s="22"/>
      <c r="M85" s="22"/>
      <c r="N85" s="25" t="str">
        <f>HYPERLINK("http://slimages.macys.com/is/image/MCY/21497276 ")</f>
        <v xml:space="preserve">http://slimages.macys.com/is/image/MCY/21497276 </v>
      </c>
    </row>
    <row r="86" spans="1:14" x14ac:dyDescent="0.25">
      <c r="A86" s="21" t="s">
        <v>5226</v>
      </c>
      <c r="B86" s="22" t="s">
        <v>5227</v>
      </c>
      <c r="C86" s="2">
        <v>2</v>
      </c>
      <c r="D86" s="23">
        <v>21.99</v>
      </c>
      <c r="E86" s="3">
        <v>43.98</v>
      </c>
      <c r="F86" s="2" t="s">
        <v>9504</v>
      </c>
      <c r="G86" s="22" t="s">
        <v>19342</v>
      </c>
      <c r="H86" s="24"/>
      <c r="I86" s="22" t="s">
        <v>19309</v>
      </c>
      <c r="J86" s="22" t="s">
        <v>19696</v>
      </c>
      <c r="K86" s="22" t="s">
        <v>19965</v>
      </c>
      <c r="L86" s="22"/>
      <c r="M86" s="22"/>
      <c r="N86" s="25" t="str">
        <f>HYPERLINK("http://slimages.macys.com/is/image/MCY/21643409 ")</f>
        <v xml:space="preserve">http://slimages.macys.com/is/image/MCY/21643409 </v>
      </c>
    </row>
    <row r="87" spans="1:14" x14ac:dyDescent="0.25">
      <c r="A87" s="21" t="s">
        <v>8063</v>
      </c>
      <c r="B87" s="22" t="s">
        <v>8064</v>
      </c>
      <c r="C87" s="2">
        <v>6</v>
      </c>
      <c r="D87" s="23">
        <v>21.99</v>
      </c>
      <c r="E87" s="3">
        <v>131.94</v>
      </c>
      <c r="F87" s="2" t="s">
        <v>19964</v>
      </c>
      <c r="G87" s="22" t="s">
        <v>19342</v>
      </c>
      <c r="H87" s="24" t="s">
        <v>19478</v>
      </c>
      <c r="I87" s="22" t="s">
        <v>19309</v>
      </c>
      <c r="J87" s="22" t="s">
        <v>19696</v>
      </c>
      <c r="K87" s="22" t="s">
        <v>19965</v>
      </c>
      <c r="L87" s="22"/>
      <c r="M87" s="22"/>
      <c r="N87" s="25" t="str">
        <f>HYPERLINK("http://slimages.macys.com/is/image/MCY/21355968 ")</f>
        <v xml:space="preserve">http://slimages.macys.com/is/image/MCY/21355968 </v>
      </c>
    </row>
    <row r="88" spans="1:14" x14ac:dyDescent="0.25">
      <c r="A88" s="21" t="s">
        <v>8544</v>
      </c>
      <c r="B88" s="22" t="s">
        <v>8545</v>
      </c>
      <c r="C88" s="2">
        <v>1</v>
      </c>
      <c r="D88" s="23">
        <v>21.99</v>
      </c>
      <c r="E88" s="3">
        <v>21.99</v>
      </c>
      <c r="F88" s="2" t="s">
        <v>8067</v>
      </c>
      <c r="G88" s="22" t="s">
        <v>19342</v>
      </c>
      <c r="H88" s="24"/>
      <c r="I88" s="22" t="s">
        <v>19309</v>
      </c>
      <c r="J88" s="22" t="s">
        <v>19696</v>
      </c>
      <c r="K88" s="22" t="s">
        <v>19965</v>
      </c>
      <c r="L88" s="22"/>
      <c r="M88" s="22"/>
      <c r="N88" s="25" t="str">
        <f>HYPERLINK("http://slimages.macys.com/is/image/MCY/21497276 ")</f>
        <v xml:space="preserve">http://slimages.macys.com/is/image/MCY/21497276 </v>
      </c>
    </row>
    <row r="89" spans="1:14" ht="24.75" x14ac:dyDescent="0.25">
      <c r="A89" s="21" t="s">
        <v>5228</v>
      </c>
      <c r="B89" s="22" t="s">
        <v>5229</v>
      </c>
      <c r="C89" s="2">
        <v>1</v>
      </c>
      <c r="D89" s="23">
        <v>18.23</v>
      </c>
      <c r="E89" s="3">
        <v>18.23</v>
      </c>
      <c r="F89" s="2" t="s">
        <v>5230</v>
      </c>
      <c r="G89" s="22"/>
      <c r="H89" s="24" t="s">
        <v>19542</v>
      </c>
      <c r="I89" s="22" t="s">
        <v>19309</v>
      </c>
      <c r="J89" s="22" t="s">
        <v>19602</v>
      </c>
      <c r="K89" s="22" t="s">
        <v>19603</v>
      </c>
      <c r="L89" s="22"/>
      <c r="M89" s="22"/>
      <c r="N89" s="25" t="str">
        <f>HYPERLINK("http://slimages.macys.com/is/image/MCY/21728864 ")</f>
        <v xml:space="preserve">http://slimages.macys.com/is/image/MCY/21728864 </v>
      </c>
    </row>
    <row r="90" spans="1:14" ht="24.75" x14ac:dyDescent="0.25">
      <c r="A90" s="21" t="s">
        <v>5231</v>
      </c>
      <c r="B90" s="22" t="s">
        <v>5232</v>
      </c>
      <c r="C90" s="2">
        <v>2</v>
      </c>
      <c r="D90" s="23">
        <v>20.99</v>
      </c>
      <c r="E90" s="3">
        <v>41.98</v>
      </c>
      <c r="F90" s="2" t="s">
        <v>5233</v>
      </c>
      <c r="G90" s="22" t="s">
        <v>19342</v>
      </c>
      <c r="H90" s="24" t="s">
        <v>19416</v>
      </c>
      <c r="I90" s="22" t="s">
        <v>19309</v>
      </c>
      <c r="J90" s="22" t="s">
        <v>19385</v>
      </c>
      <c r="K90" s="22" t="s">
        <v>18064</v>
      </c>
      <c r="L90" s="22"/>
      <c r="M90" s="22"/>
      <c r="N90" s="25" t="str">
        <f>HYPERLINK("http://slimages.macys.com/is/image/MCY/21775775 ")</f>
        <v xml:space="preserve">http://slimages.macys.com/is/image/MCY/21775775 </v>
      </c>
    </row>
    <row r="91" spans="1:14" ht="24.75" x14ac:dyDescent="0.25">
      <c r="A91" s="21" t="s">
        <v>8825</v>
      </c>
      <c r="B91" s="22" t="s">
        <v>8826</v>
      </c>
      <c r="C91" s="2">
        <v>1</v>
      </c>
      <c r="D91" s="23">
        <v>20.99</v>
      </c>
      <c r="E91" s="3">
        <v>20.99</v>
      </c>
      <c r="F91" s="2" t="s">
        <v>8073</v>
      </c>
      <c r="G91" s="22" t="s">
        <v>19342</v>
      </c>
      <c r="H91" s="24" t="s">
        <v>19330</v>
      </c>
      <c r="I91" s="22" t="s">
        <v>19309</v>
      </c>
      <c r="J91" s="22" t="s">
        <v>19385</v>
      </c>
      <c r="K91" s="22" t="s">
        <v>18064</v>
      </c>
      <c r="L91" s="22"/>
      <c r="M91" s="22"/>
      <c r="N91" s="25" t="str">
        <f>HYPERLINK("http://slimages.macys.com/is/image/MCY/21484170 ")</f>
        <v xml:space="preserve">http://slimages.macys.com/is/image/MCY/21484170 </v>
      </c>
    </row>
    <row r="92" spans="1:14" ht="24.75" x14ac:dyDescent="0.25">
      <c r="A92" s="21" t="s">
        <v>5234</v>
      </c>
      <c r="B92" s="22" t="s">
        <v>5235</v>
      </c>
      <c r="C92" s="2">
        <v>1</v>
      </c>
      <c r="D92" s="23">
        <v>19.989999999999998</v>
      </c>
      <c r="E92" s="3">
        <v>19.989999999999998</v>
      </c>
      <c r="F92" s="2" t="s">
        <v>8076</v>
      </c>
      <c r="G92" s="22" t="s">
        <v>19342</v>
      </c>
      <c r="H92" s="24" t="s">
        <v>19416</v>
      </c>
      <c r="I92" s="22" t="s">
        <v>19309</v>
      </c>
      <c r="J92" s="22" t="s">
        <v>19491</v>
      </c>
      <c r="K92" s="22" t="s">
        <v>18064</v>
      </c>
      <c r="L92" s="22"/>
      <c r="M92" s="22"/>
      <c r="N92" s="25" t="str">
        <f>HYPERLINK("http://slimages.macys.com/is/image/MCY/20524923 ")</f>
        <v xml:space="preserve">http://slimages.macys.com/is/image/MCY/20524923 </v>
      </c>
    </row>
    <row r="93" spans="1:14" ht="24.75" x14ac:dyDescent="0.25">
      <c r="A93" s="21" t="s">
        <v>8426</v>
      </c>
      <c r="B93" s="22" t="s">
        <v>8427</v>
      </c>
      <c r="C93" s="2">
        <v>5</v>
      </c>
      <c r="D93" s="23">
        <v>29.5</v>
      </c>
      <c r="E93" s="3">
        <v>147.5</v>
      </c>
      <c r="F93" s="2" t="s">
        <v>10986</v>
      </c>
      <c r="G93" s="22" t="s">
        <v>19594</v>
      </c>
      <c r="H93" s="24" t="s">
        <v>19432</v>
      </c>
      <c r="I93" s="22" t="s">
        <v>19309</v>
      </c>
      <c r="J93" s="22" t="s">
        <v>20104</v>
      </c>
      <c r="K93" s="22" t="s">
        <v>20105</v>
      </c>
      <c r="L93" s="22"/>
      <c r="M93" s="22"/>
      <c r="N93" s="25" t="str">
        <f>HYPERLINK("http://slimages.macys.com/is/image/MCY/21254194 ")</f>
        <v xml:space="preserve">http://slimages.macys.com/is/image/MCY/21254194 </v>
      </c>
    </row>
    <row r="94" spans="1:14" ht="24.75" x14ac:dyDescent="0.25">
      <c r="A94" s="21" t="s">
        <v>5236</v>
      </c>
      <c r="B94" s="22" t="s">
        <v>5237</v>
      </c>
      <c r="C94" s="2">
        <v>16</v>
      </c>
      <c r="D94" s="23">
        <v>29.5</v>
      </c>
      <c r="E94" s="3">
        <v>472</v>
      </c>
      <c r="F94" s="2" t="s">
        <v>4688</v>
      </c>
      <c r="G94" s="22" t="s">
        <v>19618</v>
      </c>
      <c r="H94" s="24" t="s">
        <v>11751</v>
      </c>
      <c r="I94" s="22" t="s">
        <v>19309</v>
      </c>
      <c r="J94" s="22" t="s">
        <v>20104</v>
      </c>
      <c r="K94" s="22" t="s">
        <v>20105</v>
      </c>
      <c r="L94" s="22"/>
      <c r="M94" s="22"/>
      <c r="N94" s="25" t="str">
        <f>HYPERLINK("http://slimages.macys.com/is/image/MCY/21254194 ")</f>
        <v xml:space="preserve">http://slimages.macys.com/is/image/MCY/21254194 </v>
      </c>
    </row>
    <row r="95" spans="1:14" x14ac:dyDescent="0.25">
      <c r="A95" s="21" t="s">
        <v>5238</v>
      </c>
      <c r="B95" s="22" t="s">
        <v>5239</v>
      </c>
      <c r="C95" s="2">
        <v>5</v>
      </c>
      <c r="D95" s="23">
        <v>22.99</v>
      </c>
      <c r="E95" s="3">
        <v>114.95</v>
      </c>
      <c r="F95" s="2" t="s">
        <v>8556</v>
      </c>
      <c r="G95" s="22" t="s">
        <v>19333</v>
      </c>
      <c r="H95" s="24" t="s">
        <v>19352</v>
      </c>
      <c r="I95" s="22" t="s">
        <v>19309</v>
      </c>
      <c r="J95" s="22" t="s">
        <v>19849</v>
      </c>
      <c r="K95" s="22" t="s">
        <v>20220</v>
      </c>
      <c r="L95" s="22"/>
      <c r="M95" s="22"/>
      <c r="N95" s="25" t="str">
        <f>HYPERLINK("http://slimages.macys.com/is/image/MCY/20007916 ")</f>
        <v xml:space="preserve">http://slimages.macys.com/is/image/MCY/20007916 </v>
      </c>
    </row>
    <row r="96" spans="1:14" ht="24.75" x14ac:dyDescent="0.25">
      <c r="A96" s="21" t="s">
        <v>5240</v>
      </c>
      <c r="B96" s="22" t="s">
        <v>5241</v>
      </c>
      <c r="C96" s="2">
        <v>1</v>
      </c>
      <c r="D96" s="23">
        <v>18.989999999999998</v>
      </c>
      <c r="E96" s="3">
        <v>18.989999999999998</v>
      </c>
      <c r="F96" s="2" t="s">
        <v>5242</v>
      </c>
      <c r="G96" s="22" t="s">
        <v>19467</v>
      </c>
      <c r="H96" s="24" t="s">
        <v>19770</v>
      </c>
      <c r="I96" s="22" t="s">
        <v>19309</v>
      </c>
      <c r="J96" s="22" t="s">
        <v>19573</v>
      </c>
      <c r="K96" s="22" t="s">
        <v>19574</v>
      </c>
      <c r="L96" s="22"/>
      <c r="M96" s="22"/>
      <c r="N96" s="25" t="str">
        <f>HYPERLINK("http://slimages.macys.com/is/image/MCY/20757818 ")</f>
        <v xml:space="preserve">http://slimages.macys.com/is/image/MCY/20757818 </v>
      </c>
    </row>
    <row r="97" spans="1:14" x14ac:dyDescent="0.25">
      <c r="A97" s="21" t="s">
        <v>9509</v>
      </c>
      <c r="B97" s="22" t="s">
        <v>9510</v>
      </c>
      <c r="C97" s="2">
        <v>11</v>
      </c>
      <c r="D97" s="23">
        <v>18.989999999999998</v>
      </c>
      <c r="E97" s="3">
        <v>208.89</v>
      </c>
      <c r="F97" s="2" t="s">
        <v>9511</v>
      </c>
      <c r="G97" s="22" t="s">
        <v>19333</v>
      </c>
      <c r="H97" s="24"/>
      <c r="I97" s="22" t="s">
        <v>19309</v>
      </c>
      <c r="J97" s="22" t="s">
        <v>19696</v>
      </c>
      <c r="K97" s="22" t="s">
        <v>18094</v>
      </c>
      <c r="L97" s="22"/>
      <c r="M97" s="22"/>
      <c r="N97" s="25" t="str">
        <f>HYPERLINK("http://slimages.macys.com/is/image/MCY/21408593 ")</f>
        <v xml:space="preserve">http://slimages.macys.com/is/image/MCY/21408593 </v>
      </c>
    </row>
    <row r="98" spans="1:14" x14ac:dyDescent="0.25">
      <c r="A98" s="21" t="s">
        <v>5243</v>
      </c>
      <c r="B98" s="22" t="s">
        <v>5244</v>
      </c>
      <c r="C98" s="2">
        <v>25</v>
      </c>
      <c r="D98" s="23">
        <v>18.989999999999998</v>
      </c>
      <c r="E98" s="3">
        <v>474.75</v>
      </c>
      <c r="F98" s="2" t="s">
        <v>12038</v>
      </c>
      <c r="G98" s="22" t="s">
        <v>19467</v>
      </c>
      <c r="H98" s="24"/>
      <c r="I98" s="22" t="s">
        <v>19309</v>
      </c>
      <c r="J98" s="22" t="s">
        <v>19696</v>
      </c>
      <c r="K98" s="22" t="s">
        <v>18094</v>
      </c>
      <c r="L98" s="22"/>
      <c r="M98" s="22"/>
      <c r="N98" s="25" t="str">
        <f>HYPERLINK("http://slimages.macys.com/is/image/MCY/21408518 ")</f>
        <v xml:space="preserve">http://slimages.macys.com/is/image/MCY/21408518 </v>
      </c>
    </row>
    <row r="99" spans="1:14" x14ac:dyDescent="0.25">
      <c r="A99" s="21" t="s">
        <v>5245</v>
      </c>
      <c r="B99" s="22" t="s">
        <v>5246</v>
      </c>
      <c r="C99" s="2">
        <v>1</v>
      </c>
      <c r="D99" s="23">
        <v>18.989999999999998</v>
      </c>
      <c r="E99" s="3">
        <v>18.989999999999998</v>
      </c>
      <c r="F99" s="2" t="s">
        <v>4691</v>
      </c>
      <c r="G99" s="22" t="s">
        <v>19333</v>
      </c>
      <c r="H99" s="24"/>
      <c r="I99" s="22" t="s">
        <v>19309</v>
      </c>
      <c r="J99" s="22" t="s">
        <v>19696</v>
      </c>
      <c r="K99" s="22" t="s">
        <v>18094</v>
      </c>
      <c r="L99" s="22"/>
      <c r="M99" s="22"/>
      <c r="N99" s="25" t="str">
        <f>HYPERLINK("http://slimages.macys.com/is/image/MCY/21408575 ")</f>
        <v xml:space="preserve">http://slimages.macys.com/is/image/MCY/21408575 </v>
      </c>
    </row>
    <row r="100" spans="1:14" x14ac:dyDescent="0.25">
      <c r="A100" s="21" t="s">
        <v>12036</v>
      </c>
      <c r="B100" s="22" t="s">
        <v>12037</v>
      </c>
      <c r="C100" s="2">
        <v>2</v>
      </c>
      <c r="D100" s="23">
        <v>18.989999999999998</v>
      </c>
      <c r="E100" s="3">
        <v>37.979999999999997</v>
      </c>
      <c r="F100" s="2" t="s">
        <v>12038</v>
      </c>
      <c r="G100" s="22" t="s">
        <v>19467</v>
      </c>
      <c r="H100" s="24"/>
      <c r="I100" s="22" t="s">
        <v>19309</v>
      </c>
      <c r="J100" s="22" t="s">
        <v>19696</v>
      </c>
      <c r="K100" s="22" t="s">
        <v>18094</v>
      </c>
      <c r="L100" s="22"/>
      <c r="M100" s="22"/>
      <c r="N100" s="25" t="str">
        <f>HYPERLINK("http://slimages.macys.com/is/image/MCY/21408518 ")</f>
        <v xml:space="preserve">http://slimages.macys.com/is/image/MCY/21408518 </v>
      </c>
    </row>
    <row r="101" spans="1:14" x14ac:dyDescent="0.25">
      <c r="A101" s="21" t="s">
        <v>12039</v>
      </c>
      <c r="B101" s="22" t="s">
        <v>12040</v>
      </c>
      <c r="C101" s="2">
        <v>64</v>
      </c>
      <c r="D101" s="23">
        <v>18.989999999999998</v>
      </c>
      <c r="E101" s="3">
        <v>1215.3599999999999</v>
      </c>
      <c r="F101" s="2" t="s">
        <v>12038</v>
      </c>
      <c r="G101" s="22" t="s">
        <v>19467</v>
      </c>
      <c r="H101" s="24"/>
      <c r="I101" s="22" t="s">
        <v>19309</v>
      </c>
      <c r="J101" s="22" t="s">
        <v>19696</v>
      </c>
      <c r="K101" s="22" t="s">
        <v>18094</v>
      </c>
      <c r="L101" s="22"/>
      <c r="M101" s="22"/>
      <c r="N101" s="25" t="str">
        <f>HYPERLINK("http://slimages.macys.com/is/image/MCY/21408518 ")</f>
        <v xml:space="preserve">http://slimages.macys.com/is/image/MCY/21408518 </v>
      </c>
    </row>
    <row r="102" spans="1:14" x14ac:dyDescent="0.25">
      <c r="A102" s="21" t="s">
        <v>5247</v>
      </c>
      <c r="B102" s="22" t="s">
        <v>5248</v>
      </c>
      <c r="C102" s="2">
        <v>1</v>
      </c>
      <c r="D102" s="23">
        <v>18.989999999999998</v>
      </c>
      <c r="E102" s="3">
        <v>18.989999999999998</v>
      </c>
      <c r="F102" s="2" t="s">
        <v>15977</v>
      </c>
      <c r="G102" s="22" t="s">
        <v>19594</v>
      </c>
      <c r="H102" s="24"/>
      <c r="I102" s="22" t="s">
        <v>19309</v>
      </c>
      <c r="J102" s="22" t="s">
        <v>19696</v>
      </c>
      <c r="K102" s="22" t="s">
        <v>15978</v>
      </c>
      <c r="L102" s="22"/>
      <c r="M102" s="22"/>
      <c r="N102" s="25" t="str">
        <f>HYPERLINK("http://slimages.macys.com/is/image/MCY/21408526 ")</f>
        <v xml:space="preserve">http://slimages.macys.com/is/image/MCY/21408526 </v>
      </c>
    </row>
    <row r="103" spans="1:14" ht="24.75" x14ac:dyDescent="0.25">
      <c r="A103" s="21" t="s">
        <v>5249</v>
      </c>
      <c r="B103" s="22" t="s">
        <v>5250</v>
      </c>
      <c r="C103" s="2">
        <v>1</v>
      </c>
      <c r="D103" s="23">
        <v>22.99</v>
      </c>
      <c r="E103" s="3">
        <v>22.99</v>
      </c>
      <c r="F103" s="2" t="s">
        <v>5251</v>
      </c>
      <c r="G103" s="22" t="s">
        <v>19342</v>
      </c>
      <c r="H103" s="24" t="s">
        <v>19384</v>
      </c>
      <c r="I103" s="22" t="s">
        <v>19309</v>
      </c>
      <c r="J103" s="22" t="s">
        <v>19491</v>
      </c>
      <c r="K103" s="22" t="s">
        <v>19554</v>
      </c>
      <c r="L103" s="22"/>
      <c r="M103" s="22"/>
      <c r="N103" s="25" t="str">
        <f>HYPERLINK("http://slimages.macys.com/is/image/MCY/21779042 ")</f>
        <v xml:space="preserve">http://slimages.macys.com/is/image/MCY/21779042 </v>
      </c>
    </row>
    <row r="104" spans="1:14" x14ac:dyDescent="0.25">
      <c r="A104" s="21" t="s">
        <v>12066</v>
      </c>
      <c r="B104" s="22" t="s">
        <v>12067</v>
      </c>
      <c r="C104" s="2">
        <v>1</v>
      </c>
      <c r="D104" s="23">
        <v>19.989999999999998</v>
      </c>
      <c r="E104" s="3">
        <v>19.989999999999998</v>
      </c>
      <c r="F104" s="2" t="s">
        <v>12068</v>
      </c>
      <c r="G104" s="22" t="s">
        <v>19342</v>
      </c>
      <c r="H104" s="24" t="s">
        <v>19478</v>
      </c>
      <c r="I104" s="22" t="s">
        <v>19309</v>
      </c>
      <c r="J104" s="22" t="s">
        <v>19696</v>
      </c>
      <c r="K104" s="22" t="s">
        <v>19697</v>
      </c>
      <c r="L104" s="22"/>
      <c r="M104" s="22"/>
      <c r="N104" s="25" t="str">
        <f>HYPERLINK("http://slimages.macys.com/is/image/MCY/20662556 ")</f>
        <v xml:space="preserve">http://slimages.macys.com/is/image/MCY/20662556 </v>
      </c>
    </row>
    <row r="105" spans="1:14" x14ac:dyDescent="0.25">
      <c r="A105" s="21" t="s">
        <v>9518</v>
      </c>
      <c r="B105" s="22" t="s">
        <v>9519</v>
      </c>
      <c r="C105" s="2">
        <v>11</v>
      </c>
      <c r="D105" s="23">
        <v>19.989999999999998</v>
      </c>
      <c r="E105" s="3">
        <v>219.89</v>
      </c>
      <c r="F105" s="2" t="s">
        <v>15998</v>
      </c>
      <c r="G105" s="22" t="s">
        <v>19342</v>
      </c>
      <c r="H105" s="24"/>
      <c r="I105" s="22" t="s">
        <v>19309</v>
      </c>
      <c r="J105" s="22" t="s">
        <v>19696</v>
      </c>
      <c r="K105" s="22" t="s">
        <v>19965</v>
      </c>
      <c r="L105" s="22"/>
      <c r="M105" s="22"/>
      <c r="N105" s="25" t="str">
        <f>HYPERLINK("http://slimages.macys.com/is/image/MCY/20662562 ")</f>
        <v xml:space="preserve">http://slimages.macys.com/is/image/MCY/20662562 </v>
      </c>
    </row>
    <row r="106" spans="1:14" x14ac:dyDescent="0.25">
      <c r="A106" s="21" t="s">
        <v>8080</v>
      </c>
      <c r="B106" s="22" t="s">
        <v>8081</v>
      </c>
      <c r="C106" s="2">
        <v>1</v>
      </c>
      <c r="D106" s="23">
        <v>19.989999999999998</v>
      </c>
      <c r="E106" s="3">
        <v>19.989999999999998</v>
      </c>
      <c r="F106" s="2" t="s">
        <v>8079</v>
      </c>
      <c r="G106" s="22" t="s">
        <v>19342</v>
      </c>
      <c r="H106" s="24" t="s">
        <v>19478</v>
      </c>
      <c r="I106" s="22" t="s">
        <v>19309</v>
      </c>
      <c r="J106" s="22" t="s">
        <v>19696</v>
      </c>
      <c r="K106" s="22" t="s">
        <v>19965</v>
      </c>
      <c r="L106" s="22"/>
      <c r="M106" s="22"/>
      <c r="N106" s="25" t="str">
        <f>HYPERLINK("http://slimages.macys.com/is/image/MCY/21689633 ")</f>
        <v xml:space="preserve">http://slimages.macys.com/is/image/MCY/21689633 </v>
      </c>
    </row>
    <row r="107" spans="1:14" ht="24.75" x14ac:dyDescent="0.25">
      <c r="A107" s="21" t="s">
        <v>5252</v>
      </c>
      <c r="B107" s="22" t="s">
        <v>5253</v>
      </c>
      <c r="C107" s="2">
        <v>1</v>
      </c>
      <c r="D107" s="23">
        <v>19</v>
      </c>
      <c r="E107" s="3">
        <v>19</v>
      </c>
      <c r="F107" s="2" t="s">
        <v>5254</v>
      </c>
      <c r="G107" s="22" t="s">
        <v>19315</v>
      </c>
      <c r="H107" s="24" t="s">
        <v>19352</v>
      </c>
      <c r="I107" s="22" t="s">
        <v>19309</v>
      </c>
      <c r="J107" s="22" t="s">
        <v>19565</v>
      </c>
      <c r="K107" s="22" t="s">
        <v>18548</v>
      </c>
      <c r="L107" s="22"/>
      <c r="M107" s="22"/>
      <c r="N107" s="25" t="str">
        <f>HYPERLINK("http://slimages.macys.com/is/image/MCY/18277652 ")</f>
        <v xml:space="preserve">http://slimages.macys.com/is/image/MCY/18277652 </v>
      </c>
    </row>
    <row r="108" spans="1:14" ht="24.75" x14ac:dyDescent="0.25">
      <c r="A108" s="21" t="s">
        <v>5255</v>
      </c>
      <c r="B108" s="22" t="s">
        <v>5256</v>
      </c>
      <c r="C108" s="2">
        <v>1</v>
      </c>
      <c r="D108" s="23">
        <v>15.99</v>
      </c>
      <c r="E108" s="3">
        <v>15.99</v>
      </c>
      <c r="F108" s="2">
        <v>4378</v>
      </c>
      <c r="G108" s="22" t="s">
        <v>19323</v>
      </c>
      <c r="H108" s="24" t="s">
        <v>19339</v>
      </c>
      <c r="I108" s="22" t="s">
        <v>19309</v>
      </c>
      <c r="J108" s="22" t="s">
        <v>20076</v>
      </c>
      <c r="K108" s="22" t="s">
        <v>20077</v>
      </c>
      <c r="L108" s="22"/>
      <c r="M108" s="22"/>
      <c r="N108" s="25" t="str">
        <f>HYPERLINK("http://slimages.macys.com/is/image/MCY/19348122 ")</f>
        <v xml:space="preserve">http://slimages.macys.com/is/image/MCY/19348122 </v>
      </c>
    </row>
    <row r="109" spans="1:14" ht="24.75" x14ac:dyDescent="0.25">
      <c r="A109" s="21" t="s">
        <v>5257</v>
      </c>
      <c r="B109" s="22" t="s">
        <v>5258</v>
      </c>
      <c r="C109" s="2">
        <v>1</v>
      </c>
      <c r="D109" s="23">
        <v>21.99</v>
      </c>
      <c r="E109" s="3">
        <v>21.99</v>
      </c>
      <c r="F109" s="2" t="s">
        <v>5259</v>
      </c>
      <c r="G109" s="22" t="s">
        <v>19342</v>
      </c>
      <c r="H109" s="24" t="s">
        <v>19330</v>
      </c>
      <c r="I109" s="22" t="s">
        <v>19309</v>
      </c>
      <c r="J109" s="22" t="s">
        <v>19491</v>
      </c>
      <c r="K109" s="22" t="s">
        <v>18064</v>
      </c>
      <c r="L109" s="22"/>
      <c r="M109" s="22"/>
      <c r="N109" s="25" t="str">
        <f>HYPERLINK("http://slimages.macys.com/is/image/MCY/21771104 ")</f>
        <v xml:space="preserve">http://slimages.macys.com/is/image/MCY/21771104 </v>
      </c>
    </row>
    <row r="110" spans="1:14" x14ac:dyDescent="0.25">
      <c r="A110" s="21" t="s">
        <v>5260</v>
      </c>
      <c r="B110" s="22" t="s">
        <v>5261</v>
      </c>
      <c r="C110" s="2">
        <v>1</v>
      </c>
      <c r="D110" s="23">
        <v>19.989999999999998</v>
      </c>
      <c r="E110" s="3">
        <v>19.989999999999998</v>
      </c>
      <c r="F110" s="2" t="s">
        <v>18133</v>
      </c>
      <c r="G110" s="22"/>
      <c r="H110" s="24" t="s">
        <v>19395</v>
      </c>
      <c r="I110" s="22" t="s">
        <v>19309</v>
      </c>
      <c r="J110" s="22" t="s">
        <v>19696</v>
      </c>
      <c r="K110" s="22" t="s">
        <v>18094</v>
      </c>
      <c r="L110" s="22"/>
      <c r="M110" s="22"/>
      <c r="N110" s="25" t="str">
        <f>HYPERLINK("http://slimages.macys.com/is/image/MCY/20426379 ")</f>
        <v xml:space="preserve">http://slimages.macys.com/is/image/MCY/20426379 </v>
      </c>
    </row>
    <row r="111" spans="1:14" ht="24.75" x14ac:dyDescent="0.25">
      <c r="A111" s="21" t="s">
        <v>18127</v>
      </c>
      <c r="B111" s="22" t="s">
        <v>18128</v>
      </c>
      <c r="C111" s="2">
        <v>13</v>
      </c>
      <c r="D111" s="23">
        <v>17.989999999999998</v>
      </c>
      <c r="E111" s="3">
        <v>233.87</v>
      </c>
      <c r="F111" s="2">
        <v>4350</v>
      </c>
      <c r="G111" s="22" t="s">
        <v>19315</v>
      </c>
      <c r="H111" s="24" t="s">
        <v>19339</v>
      </c>
      <c r="I111" s="22" t="s">
        <v>19309</v>
      </c>
      <c r="J111" s="22" t="s">
        <v>20076</v>
      </c>
      <c r="K111" s="22" t="s">
        <v>20077</v>
      </c>
      <c r="L111" s="22"/>
      <c r="M111" s="22"/>
      <c r="N111" s="25" t="str">
        <f>HYPERLINK("http://slimages.macys.com/is/image/MCY/18821763 ")</f>
        <v xml:space="preserve">http://slimages.macys.com/is/image/MCY/18821763 </v>
      </c>
    </row>
    <row r="112" spans="1:14" ht="24.75" x14ac:dyDescent="0.25">
      <c r="A112" s="21" t="s">
        <v>5262</v>
      </c>
      <c r="B112" s="22" t="s">
        <v>5263</v>
      </c>
      <c r="C112" s="2">
        <v>2</v>
      </c>
      <c r="D112" s="23">
        <v>14.99</v>
      </c>
      <c r="E112" s="3">
        <v>29.98</v>
      </c>
      <c r="F112" s="2" t="s">
        <v>17956</v>
      </c>
      <c r="G112" s="22" t="s">
        <v>19351</v>
      </c>
      <c r="H112" s="24" t="s">
        <v>19377</v>
      </c>
      <c r="I112" s="22" t="s">
        <v>19309</v>
      </c>
      <c r="J112" s="22" t="s">
        <v>19447</v>
      </c>
      <c r="K112" s="22" t="s">
        <v>13616</v>
      </c>
      <c r="L112" s="22"/>
      <c r="M112" s="22"/>
      <c r="N112" s="25" t="str">
        <f>HYPERLINK("http://slimages.macys.com/is/image/MCY/21256782 ")</f>
        <v xml:space="preserve">http://slimages.macys.com/is/image/MCY/21256782 </v>
      </c>
    </row>
    <row r="113" spans="1:14" x14ac:dyDescent="0.25">
      <c r="A113" s="21" t="s">
        <v>9528</v>
      </c>
      <c r="B113" s="22" t="s">
        <v>9529</v>
      </c>
      <c r="C113" s="2">
        <v>6</v>
      </c>
      <c r="D113" s="23">
        <v>20</v>
      </c>
      <c r="E113" s="3">
        <v>120</v>
      </c>
      <c r="F113" s="2" t="s">
        <v>9530</v>
      </c>
      <c r="G113" s="22" t="s">
        <v>19422</v>
      </c>
      <c r="H113" s="24" t="s">
        <v>20152</v>
      </c>
      <c r="I113" s="22" t="s">
        <v>19309</v>
      </c>
      <c r="J113" s="22" t="s">
        <v>19417</v>
      </c>
      <c r="K113" s="22" t="s">
        <v>19854</v>
      </c>
      <c r="L113" s="22"/>
      <c r="M113" s="22"/>
      <c r="N113" s="25" t="str">
        <f>HYPERLINK("http://slimages.macys.com/is/image/MCY/21370109 ")</f>
        <v xml:space="preserve">http://slimages.macys.com/is/image/MCY/21370109 </v>
      </c>
    </row>
    <row r="114" spans="1:14" x14ac:dyDescent="0.25">
      <c r="A114" s="21" t="s">
        <v>8570</v>
      </c>
      <c r="B114" s="22" t="s">
        <v>8571</v>
      </c>
      <c r="C114" s="2">
        <v>4</v>
      </c>
      <c r="D114" s="23">
        <v>24.99</v>
      </c>
      <c r="E114" s="3">
        <v>99.96</v>
      </c>
      <c r="F114" s="2" t="s">
        <v>11633</v>
      </c>
      <c r="G114" s="22" t="s">
        <v>19674</v>
      </c>
      <c r="H114" s="24" t="s">
        <v>19797</v>
      </c>
      <c r="I114" s="22" t="s">
        <v>19309</v>
      </c>
      <c r="J114" s="22" t="s">
        <v>19849</v>
      </c>
      <c r="K114" s="22" t="s">
        <v>19850</v>
      </c>
      <c r="L114" s="22"/>
      <c r="M114" s="22"/>
      <c r="N114" s="25" t="str">
        <f>HYPERLINK("http://slimages.macys.com/is/image/MCY/20549494 ")</f>
        <v xml:space="preserve">http://slimages.macys.com/is/image/MCY/20549494 </v>
      </c>
    </row>
    <row r="115" spans="1:14" x14ac:dyDescent="0.25">
      <c r="A115" s="21" t="s">
        <v>5264</v>
      </c>
      <c r="B115" s="22" t="s">
        <v>5265</v>
      </c>
      <c r="C115" s="2">
        <v>1</v>
      </c>
      <c r="D115" s="23">
        <v>30</v>
      </c>
      <c r="E115" s="3">
        <v>30</v>
      </c>
      <c r="F115" s="2" t="s">
        <v>5266</v>
      </c>
      <c r="G115" s="22" t="s">
        <v>19333</v>
      </c>
      <c r="H115" s="24" t="s">
        <v>15738</v>
      </c>
      <c r="I115" s="22" t="s">
        <v>19309</v>
      </c>
      <c r="J115" s="22" t="s">
        <v>19417</v>
      </c>
      <c r="K115" s="22" t="s">
        <v>18317</v>
      </c>
      <c r="L115" s="22"/>
      <c r="M115" s="22"/>
      <c r="N115" s="25" t="str">
        <f>HYPERLINK("http://slimages.macys.com/is/image/MCY/18889533 ")</f>
        <v xml:space="preserve">http://slimages.macys.com/is/image/MCY/18889533 </v>
      </c>
    </row>
    <row r="116" spans="1:14" x14ac:dyDescent="0.25">
      <c r="A116" s="21" t="s">
        <v>5267</v>
      </c>
      <c r="B116" s="22" t="s">
        <v>5268</v>
      </c>
      <c r="C116" s="2">
        <v>2</v>
      </c>
      <c r="D116" s="23">
        <v>30</v>
      </c>
      <c r="E116" s="3">
        <v>60</v>
      </c>
      <c r="F116" s="2" t="s">
        <v>5266</v>
      </c>
      <c r="G116" s="22" t="s">
        <v>19333</v>
      </c>
      <c r="H116" s="24" t="s">
        <v>19384</v>
      </c>
      <c r="I116" s="22" t="s">
        <v>19309</v>
      </c>
      <c r="J116" s="22" t="s">
        <v>19417</v>
      </c>
      <c r="K116" s="22" t="s">
        <v>18317</v>
      </c>
      <c r="L116" s="22"/>
      <c r="M116" s="22"/>
      <c r="N116" s="25" t="str">
        <f>HYPERLINK("http://slimages.macys.com/is/image/MCY/18889533 ")</f>
        <v xml:space="preserve">http://slimages.macys.com/is/image/MCY/18889533 </v>
      </c>
    </row>
    <row r="117" spans="1:14" x14ac:dyDescent="0.25">
      <c r="A117" s="21" t="s">
        <v>5269</v>
      </c>
      <c r="B117" s="22" t="s">
        <v>3439</v>
      </c>
      <c r="C117" s="2">
        <v>1</v>
      </c>
      <c r="D117" s="23">
        <v>18.66</v>
      </c>
      <c r="E117" s="3">
        <v>18.66</v>
      </c>
      <c r="F117" s="2" t="s">
        <v>3440</v>
      </c>
      <c r="G117" s="22" t="s">
        <v>19594</v>
      </c>
      <c r="H117" s="24" t="s">
        <v>19367</v>
      </c>
      <c r="I117" s="22" t="s">
        <v>19309</v>
      </c>
      <c r="J117" s="22" t="s">
        <v>19708</v>
      </c>
      <c r="K117" s="22" t="s">
        <v>19709</v>
      </c>
      <c r="L117" s="22"/>
      <c r="M117" s="22"/>
      <c r="N117" s="25" t="str">
        <f>HYPERLINK("http://slimages.macys.com/is/image/MCY/21414404 ")</f>
        <v xml:space="preserve">http://slimages.macys.com/is/image/MCY/21414404 </v>
      </c>
    </row>
    <row r="118" spans="1:14" x14ac:dyDescent="0.25">
      <c r="A118" s="21" t="s">
        <v>3441</v>
      </c>
      <c r="B118" s="22" t="s">
        <v>3442</v>
      </c>
      <c r="C118" s="2">
        <v>13</v>
      </c>
      <c r="D118" s="23">
        <v>30</v>
      </c>
      <c r="E118" s="3">
        <v>390</v>
      </c>
      <c r="F118" s="2" t="s">
        <v>5266</v>
      </c>
      <c r="G118" s="22" t="s">
        <v>19333</v>
      </c>
      <c r="H118" s="24" t="s">
        <v>19416</v>
      </c>
      <c r="I118" s="22" t="s">
        <v>19309</v>
      </c>
      <c r="J118" s="22" t="s">
        <v>19417</v>
      </c>
      <c r="K118" s="22" t="s">
        <v>18317</v>
      </c>
      <c r="L118" s="22"/>
      <c r="M118" s="22"/>
      <c r="N118" s="25" t="str">
        <f>HYPERLINK("http://slimages.macys.com/is/image/MCY/18889533 ")</f>
        <v xml:space="preserve">http://slimages.macys.com/is/image/MCY/18889533 </v>
      </c>
    </row>
    <row r="119" spans="1:14" x14ac:dyDescent="0.25">
      <c r="A119" s="21" t="s">
        <v>3443</v>
      </c>
      <c r="B119" s="22" t="s">
        <v>3444</v>
      </c>
      <c r="C119" s="2">
        <v>3</v>
      </c>
      <c r="D119" s="23">
        <v>30</v>
      </c>
      <c r="E119" s="3">
        <v>90</v>
      </c>
      <c r="F119" s="2" t="s">
        <v>8577</v>
      </c>
      <c r="G119" s="22" t="s">
        <v>19635</v>
      </c>
      <c r="H119" s="24" t="s">
        <v>15738</v>
      </c>
      <c r="I119" s="22" t="s">
        <v>19309</v>
      </c>
      <c r="J119" s="22" t="s">
        <v>19417</v>
      </c>
      <c r="K119" s="22" t="s">
        <v>18317</v>
      </c>
      <c r="L119" s="22"/>
      <c r="M119" s="22"/>
      <c r="N119" s="25" t="str">
        <f>HYPERLINK("http://slimages.macys.com/is/image/MCY/18883504 ")</f>
        <v xml:space="preserve">http://slimages.macys.com/is/image/MCY/18883504 </v>
      </c>
    </row>
    <row r="120" spans="1:14" ht="24.75" x14ac:dyDescent="0.25">
      <c r="A120" s="21" t="s">
        <v>9534</v>
      </c>
      <c r="B120" s="22" t="s">
        <v>9535</v>
      </c>
      <c r="C120" s="2">
        <v>2</v>
      </c>
      <c r="D120" s="23">
        <v>14.4</v>
      </c>
      <c r="E120" s="3">
        <v>28.8</v>
      </c>
      <c r="F120" s="2" t="s">
        <v>9536</v>
      </c>
      <c r="G120" s="22"/>
      <c r="H120" s="24" t="s">
        <v>19542</v>
      </c>
      <c r="I120" s="22" t="s">
        <v>19309</v>
      </c>
      <c r="J120" s="22" t="s">
        <v>19602</v>
      </c>
      <c r="K120" s="22" t="s">
        <v>19603</v>
      </c>
      <c r="L120" s="22"/>
      <c r="M120" s="22"/>
      <c r="N120" s="25" t="str">
        <f>HYPERLINK("http://slimages.macys.com/is/image/MCY/19917186 ")</f>
        <v xml:space="preserve">http://slimages.macys.com/is/image/MCY/19917186 </v>
      </c>
    </row>
    <row r="121" spans="1:14" x14ac:dyDescent="0.25">
      <c r="A121" s="21" t="s">
        <v>9531</v>
      </c>
      <c r="B121" s="22" t="s">
        <v>9532</v>
      </c>
      <c r="C121" s="2">
        <v>2</v>
      </c>
      <c r="D121" s="23">
        <v>18.2</v>
      </c>
      <c r="E121" s="3">
        <v>36.4</v>
      </c>
      <c r="F121" s="2" t="s">
        <v>9533</v>
      </c>
      <c r="G121" s="22"/>
      <c r="H121" s="24" t="s">
        <v>20159</v>
      </c>
      <c r="I121" s="22" t="s">
        <v>19309</v>
      </c>
      <c r="J121" s="22" t="s">
        <v>19708</v>
      </c>
      <c r="K121" s="22" t="s">
        <v>19709</v>
      </c>
      <c r="L121" s="22"/>
      <c r="M121" s="22"/>
      <c r="N121" s="25" t="str">
        <f>HYPERLINK("http://slimages.macys.com/is/image/MCY/21423014 ")</f>
        <v xml:space="preserve">http://slimages.macys.com/is/image/MCY/21423014 </v>
      </c>
    </row>
    <row r="122" spans="1:14" x14ac:dyDescent="0.25">
      <c r="A122" s="21" t="s">
        <v>3445</v>
      </c>
      <c r="B122" s="22" t="s">
        <v>3446</v>
      </c>
      <c r="C122" s="2">
        <v>2</v>
      </c>
      <c r="D122" s="23">
        <v>13.99</v>
      </c>
      <c r="E122" s="3">
        <v>27.98</v>
      </c>
      <c r="F122" s="2" t="s">
        <v>11662</v>
      </c>
      <c r="G122" s="22" t="s">
        <v>19801</v>
      </c>
      <c r="H122" s="24" t="s">
        <v>19542</v>
      </c>
      <c r="I122" s="22" t="s">
        <v>19309</v>
      </c>
      <c r="J122" s="22" t="s">
        <v>19310</v>
      </c>
      <c r="K122" s="22" t="s">
        <v>19468</v>
      </c>
      <c r="L122" s="22"/>
      <c r="M122" s="22"/>
      <c r="N122" s="25" t="str">
        <f>HYPERLINK("http://slimages.macys.com/is/image/MCY/19764485 ")</f>
        <v xml:space="preserve">http://slimages.macys.com/is/image/MCY/19764485 </v>
      </c>
    </row>
    <row r="123" spans="1:14" x14ac:dyDescent="0.25">
      <c r="A123" s="21" t="s">
        <v>13144</v>
      </c>
      <c r="B123" s="22" t="s">
        <v>13145</v>
      </c>
      <c r="C123" s="2">
        <v>1</v>
      </c>
      <c r="D123" s="23">
        <v>19.989999999999998</v>
      </c>
      <c r="E123" s="3">
        <v>19.989999999999998</v>
      </c>
      <c r="F123" s="2" t="s">
        <v>13693</v>
      </c>
      <c r="G123" s="22" t="s">
        <v>19342</v>
      </c>
      <c r="H123" s="24" t="s">
        <v>19542</v>
      </c>
      <c r="I123" s="22" t="s">
        <v>19309</v>
      </c>
      <c r="J123" s="22" t="s">
        <v>19696</v>
      </c>
      <c r="K123" s="22" t="s">
        <v>19697</v>
      </c>
      <c r="L123" s="22"/>
      <c r="M123" s="22"/>
      <c r="N123" s="25" t="str">
        <f>HYPERLINK("http://slimages.macys.com/is/image/MCY/20662555 ")</f>
        <v xml:space="preserve">http://slimages.macys.com/is/image/MCY/20662555 </v>
      </c>
    </row>
    <row r="124" spans="1:14" ht="24.75" x14ac:dyDescent="0.25">
      <c r="A124" s="21" t="s">
        <v>3447</v>
      </c>
      <c r="B124" s="22" t="s">
        <v>3448</v>
      </c>
      <c r="C124" s="2">
        <v>2</v>
      </c>
      <c r="D124" s="23">
        <v>16.989999999999998</v>
      </c>
      <c r="E124" s="3">
        <v>33.979999999999997</v>
      </c>
      <c r="F124" s="2" t="s">
        <v>3449</v>
      </c>
      <c r="G124" s="22" t="s">
        <v>19351</v>
      </c>
      <c r="H124" s="24" t="s">
        <v>19416</v>
      </c>
      <c r="I124" s="22" t="s">
        <v>19309</v>
      </c>
      <c r="J124" s="22" t="s">
        <v>19491</v>
      </c>
      <c r="K124" s="22" t="s">
        <v>20146</v>
      </c>
      <c r="L124" s="22"/>
      <c r="M124" s="22"/>
      <c r="N124" s="25" t="str">
        <f>HYPERLINK("http://slimages.macys.com/is/image/MCY/21260690 ")</f>
        <v xml:space="preserve">http://slimages.macys.com/is/image/MCY/21260690 </v>
      </c>
    </row>
    <row r="125" spans="1:14" ht="24.75" x14ac:dyDescent="0.25">
      <c r="A125" s="21" t="s">
        <v>3450</v>
      </c>
      <c r="B125" s="22" t="s">
        <v>3451</v>
      </c>
      <c r="C125" s="2">
        <v>1</v>
      </c>
      <c r="D125" s="23">
        <v>15.99</v>
      </c>
      <c r="E125" s="3">
        <v>15.99</v>
      </c>
      <c r="F125" s="2" t="s">
        <v>8874</v>
      </c>
      <c r="G125" s="22" t="s">
        <v>19351</v>
      </c>
      <c r="H125" s="24" t="s">
        <v>20135</v>
      </c>
      <c r="I125" s="22" t="s">
        <v>19309</v>
      </c>
      <c r="J125" s="22" t="s">
        <v>19573</v>
      </c>
      <c r="K125" s="22" t="s">
        <v>19574</v>
      </c>
      <c r="L125" s="22"/>
      <c r="M125" s="22"/>
      <c r="N125" s="25" t="str">
        <f>HYPERLINK("http://slimages.macys.com/is/image/MCY/21907847 ")</f>
        <v xml:space="preserve">http://slimages.macys.com/is/image/MCY/21907847 </v>
      </c>
    </row>
    <row r="126" spans="1:14" x14ac:dyDescent="0.25">
      <c r="A126" s="21" t="s">
        <v>18220</v>
      </c>
      <c r="B126" s="22" t="s">
        <v>18221</v>
      </c>
      <c r="C126" s="2">
        <v>1</v>
      </c>
      <c r="D126" s="23">
        <v>15.99</v>
      </c>
      <c r="E126" s="3">
        <v>15.99</v>
      </c>
      <c r="F126" s="2" t="s">
        <v>20223</v>
      </c>
      <c r="G126" s="22" t="s">
        <v>19674</v>
      </c>
      <c r="H126" s="24" t="s">
        <v>19377</v>
      </c>
      <c r="I126" s="22" t="s">
        <v>19309</v>
      </c>
      <c r="J126" s="22" t="s">
        <v>19849</v>
      </c>
      <c r="K126" s="22" t="s">
        <v>19850</v>
      </c>
      <c r="L126" s="22"/>
      <c r="M126" s="22"/>
      <c r="N126" s="25" t="str">
        <f>HYPERLINK("http://slimages.macys.com/is/image/MCY/20549380 ")</f>
        <v xml:space="preserve">http://slimages.macys.com/is/image/MCY/20549380 </v>
      </c>
    </row>
    <row r="127" spans="1:14" ht="24.75" x14ac:dyDescent="0.25">
      <c r="A127" s="21" t="s">
        <v>3452</v>
      </c>
      <c r="B127" s="22" t="s">
        <v>3453</v>
      </c>
      <c r="C127" s="2">
        <v>1</v>
      </c>
      <c r="D127" s="23">
        <v>22.5</v>
      </c>
      <c r="E127" s="3">
        <v>22.5</v>
      </c>
      <c r="F127" s="2" t="s">
        <v>3454</v>
      </c>
      <c r="G127" s="22" t="s">
        <v>19333</v>
      </c>
      <c r="H127" s="24"/>
      <c r="I127" s="22" t="s">
        <v>19309</v>
      </c>
      <c r="J127" s="22" t="s">
        <v>15149</v>
      </c>
      <c r="K127" s="22" t="s">
        <v>7355</v>
      </c>
      <c r="L127" s="22"/>
      <c r="M127" s="22"/>
      <c r="N127" s="25" t="str">
        <f>HYPERLINK("http://slimages.macys.com/is/image/MCY/20126906 ")</f>
        <v xml:space="preserve">http://slimages.macys.com/is/image/MCY/20126906 </v>
      </c>
    </row>
    <row r="128" spans="1:14" ht="24.75" x14ac:dyDescent="0.25">
      <c r="A128" s="21" t="s">
        <v>3455</v>
      </c>
      <c r="B128" s="22" t="s">
        <v>3456</v>
      </c>
      <c r="C128" s="2">
        <v>1</v>
      </c>
      <c r="D128" s="23">
        <v>22.5</v>
      </c>
      <c r="E128" s="3">
        <v>22.5</v>
      </c>
      <c r="F128" s="2" t="s">
        <v>3457</v>
      </c>
      <c r="G128" s="22" t="s">
        <v>19333</v>
      </c>
      <c r="H128" s="24" t="s">
        <v>19478</v>
      </c>
      <c r="I128" s="22" t="s">
        <v>19309</v>
      </c>
      <c r="J128" s="22" t="s">
        <v>15149</v>
      </c>
      <c r="K128" s="22" t="s">
        <v>7355</v>
      </c>
      <c r="L128" s="22"/>
      <c r="M128" s="22"/>
      <c r="N128" s="25" t="str">
        <f>HYPERLINK("http://slimages.macys.com/is/image/MCY/20126250 ")</f>
        <v xml:space="preserve">http://slimages.macys.com/is/image/MCY/20126250 </v>
      </c>
    </row>
    <row r="129" spans="1:14" x14ac:dyDescent="0.25">
      <c r="A129" s="21" t="s">
        <v>10574</v>
      </c>
      <c r="B129" s="22" t="s">
        <v>10575</v>
      </c>
      <c r="C129" s="2">
        <v>1</v>
      </c>
      <c r="D129" s="23">
        <v>17.989999999999998</v>
      </c>
      <c r="E129" s="3">
        <v>17.989999999999998</v>
      </c>
      <c r="F129" s="2" t="s">
        <v>10576</v>
      </c>
      <c r="G129" s="22" t="s">
        <v>19342</v>
      </c>
      <c r="H129" s="24" t="s">
        <v>19345</v>
      </c>
      <c r="I129" s="22" t="s">
        <v>19309</v>
      </c>
      <c r="J129" s="22" t="s">
        <v>19696</v>
      </c>
      <c r="K129" s="22" t="s">
        <v>19965</v>
      </c>
      <c r="L129" s="22"/>
      <c r="M129" s="22"/>
      <c r="N129" s="25" t="str">
        <f>HYPERLINK("http://slimages.macys.com/is/image/MCY/20583418 ")</f>
        <v xml:space="preserve">http://slimages.macys.com/is/image/MCY/20583418 </v>
      </c>
    </row>
    <row r="130" spans="1:14" x14ac:dyDescent="0.25">
      <c r="A130" s="21" t="s">
        <v>9549</v>
      </c>
      <c r="B130" s="22" t="s">
        <v>9550</v>
      </c>
      <c r="C130" s="2">
        <v>4</v>
      </c>
      <c r="D130" s="23">
        <v>32</v>
      </c>
      <c r="E130" s="3">
        <v>128</v>
      </c>
      <c r="F130" s="2" t="s">
        <v>11026</v>
      </c>
      <c r="G130" s="22" t="s">
        <v>19351</v>
      </c>
      <c r="H130" s="24" t="s">
        <v>19770</v>
      </c>
      <c r="I130" s="22" t="s">
        <v>19309</v>
      </c>
      <c r="J130" s="22" t="s">
        <v>19417</v>
      </c>
      <c r="K130" s="22" t="s">
        <v>20110</v>
      </c>
      <c r="L130" s="22"/>
      <c r="M130" s="22"/>
      <c r="N130" s="25" t="str">
        <f>HYPERLINK("http://slimages.macys.com/is/image/MCY/21551758 ")</f>
        <v xml:space="preserve">http://slimages.macys.com/is/image/MCY/21551758 </v>
      </c>
    </row>
    <row r="131" spans="1:14" x14ac:dyDescent="0.25">
      <c r="A131" s="21" t="s">
        <v>8094</v>
      </c>
      <c r="B131" s="22" t="s">
        <v>8095</v>
      </c>
      <c r="C131" s="2">
        <v>11</v>
      </c>
      <c r="D131" s="23">
        <v>17.989999999999998</v>
      </c>
      <c r="E131" s="3">
        <v>197.89</v>
      </c>
      <c r="F131" s="2" t="s">
        <v>8096</v>
      </c>
      <c r="G131" s="22" t="s">
        <v>19342</v>
      </c>
      <c r="H131" s="24" t="s">
        <v>19334</v>
      </c>
      <c r="I131" s="22" t="s">
        <v>19309</v>
      </c>
      <c r="J131" s="22" t="s">
        <v>19696</v>
      </c>
      <c r="K131" s="22" t="s">
        <v>19965</v>
      </c>
      <c r="L131" s="22"/>
      <c r="M131" s="22"/>
      <c r="N131" s="25" t="str">
        <f>HYPERLINK("http://slimages.macys.com/is/image/MCY/21820642 ")</f>
        <v xml:space="preserve">http://slimages.macys.com/is/image/MCY/21820642 </v>
      </c>
    </row>
    <row r="132" spans="1:14" x14ac:dyDescent="0.25">
      <c r="A132" s="21" t="s">
        <v>9551</v>
      </c>
      <c r="B132" s="22" t="s">
        <v>9552</v>
      </c>
      <c r="C132" s="2">
        <v>18</v>
      </c>
      <c r="D132" s="23">
        <v>22.5</v>
      </c>
      <c r="E132" s="3">
        <v>405</v>
      </c>
      <c r="F132" s="2" t="s">
        <v>9553</v>
      </c>
      <c r="G132" s="22" t="s">
        <v>19618</v>
      </c>
      <c r="H132" s="24" t="s">
        <v>19334</v>
      </c>
      <c r="I132" s="22" t="s">
        <v>19309</v>
      </c>
      <c r="J132" s="22" t="s">
        <v>19688</v>
      </c>
      <c r="K132" s="22" t="s">
        <v>19614</v>
      </c>
      <c r="L132" s="22"/>
      <c r="M132" s="22"/>
      <c r="N132" s="25" t="str">
        <f>HYPERLINK("http://slimages.macys.com/is/image/MCY/21035866 ")</f>
        <v xml:space="preserve">http://slimages.macys.com/is/image/MCY/21035866 </v>
      </c>
    </row>
    <row r="133" spans="1:14" x14ac:dyDescent="0.25">
      <c r="A133" s="21" t="s">
        <v>8100</v>
      </c>
      <c r="B133" s="22" t="s">
        <v>8101</v>
      </c>
      <c r="C133" s="2">
        <v>5</v>
      </c>
      <c r="D133" s="23">
        <v>30</v>
      </c>
      <c r="E133" s="3">
        <v>150</v>
      </c>
      <c r="F133" s="2" t="s">
        <v>8102</v>
      </c>
      <c r="G133" s="22"/>
      <c r="H133" s="24"/>
      <c r="I133" s="22" t="s">
        <v>19309</v>
      </c>
      <c r="J133" s="22" t="s">
        <v>19417</v>
      </c>
      <c r="K133" s="22" t="s">
        <v>18317</v>
      </c>
      <c r="L133" s="22"/>
      <c r="M133" s="22"/>
      <c r="N133" s="25" t="str">
        <f>HYPERLINK("http://slimages.macys.com/is/image/MCY/21615008 ")</f>
        <v xml:space="preserve">http://slimages.macys.com/is/image/MCY/21615008 </v>
      </c>
    </row>
    <row r="134" spans="1:14" x14ac:dyDescent="0.25">
      <c r="A134" s="21" t="s">
        <v>11042</v>
      </c>
      <c r="B134" s="22" t="s">
        <v>11043</v>
      </c>
      <c r="C134" s="2">
        <v>21</v>
      </c>
      <c r="D134" s="23">
        <v>30</v>
      </c>
      <c r="E134" s="3">
        <v>630</v>
      </c>
      <c r="F134" s="2" t="s">
        <v>11044</v>
      </c>
      <c r="G134" s="22" t="s">
        <v>19333</v>
      </c>
      <c r="H134" s="24"/>
      <c r="I134" s="22" t="s">
        <v>19309</v>
      </c>
      <c r="J134" s="22" t="s">
        <v>19417</v>
      </c>
      <c r="K134" s="22" t="s">
        <v>18317</v>
      </c>
      <c r="L134" s="22"/>
      <c r="M134" s="22"/>
      <c r="N134" s="25" t="str">
        <f>HYPERLINK("http://slimages.macys.com/is/image/MCY/22226519 ")</f>
        <v xml:space="preserve">http://slimages.macys.com/is/image/MCY/22226519 </v>
      </c>
    </row>
    <row r="135" spans="1:14" x14ac:dyDescent="0.25">
      <c r="A135" s="21" t="s">
        <v>9554</v>
      </c>
      <c r="B135" s="22" t="s">
        <v>11043</v>
      </c>
      <c r="C135" s="2">
        <v>1</v>
      </c>
      <c r="D135" s="23">
        <v>30</v>
      </c>
      <c r="E135" s="3">
        <v>30</v>
      </c>
      <c r="F135" s="2" t="s">
        <v>11050</v>
      </c>
      <c r="G135" s="22" t="s">
        <v>19333</v>
      </c>
      <c r="H135" s="24"/>
      <c r="I135" s="22" t="s">
        <v>19309</v>
      </c>
      <c r="J135" s="22" t="s">
        <v>19417</v>
      </c>
      <c r="K135" s="22" t="s">
        <v>18317</v>
      </c>
      <c r="L135" s="22"/>
      <c r="M135" s="22"/>
      <c r="N135" s="25" t="str">
        <f>HYPERLINK("http://slimages.macys.com/is/image/MCY/22226507 ")</f>
        <v xml:space="preserve">http://slimages.macys.com/is/image/MCY/22226507 </v>
      </c>
    </row>
    <row r="136" spans="1:14" x14ac:dyDescent="0.25">
      <c r="A136" s="21" t="s">
        <v>3458</v>
      </c>
      <c r="B136" s="22" t="s">
        <v>3459</v>
      </c>
      <c r="C136" s="2">
        <v>1</v>
      </c>
      <c r="D136" s="23">
        <v>30</v>
      </c>
      <c r="E136" s="3">
        <v>30</v>
      </c>
      <c r="F136" s="2" t="s">
        <v>8274</v>
      </c>
      <c r="G136" s="22" t="s">
        <v>19333</v>
      </c>
      <c r="H136" s="24" t="s">
        <v>15738</v>
      </c>
      <c r="I136" s="22" t="s">
        <v>19309</v>
      </c>
      <c r="J136" s="22" t="s">
        <v>19417</v>
      </c>
      <c r="K136" s="22" t="s">
        <v>18317</v>
      </c>
      <c r="L136" s="22"/>
      <c r="M136" s="22"/>
      <c r="N136" s="25" t="str">
        <f>HYPERLINK("http://slimages.macys.com/is/image/MCY/22226507 ")</f>
        <v xml:space="preserve">http://slimages.macys.com/is/image/MCY/22226507 </v>
      </c>
    </row>
    <row r="137" spans="1:14" ht="24.75" x14ac:dyDescent="0.25">
      <c r="A137" s="21" t="s">
        <v>3460</v>
      </c>
      <c r="B137" s="22" t="s">
        <v>3461</v>
      </c>
      <c r="C137" s="2">
        <v>4</v>
      </c>
      <c r="D137" s="23">
        <v>16.989999999999998</v>
      </c>
      <c r="E137" s="3">
        <v>67.959999999999994</v>
      </c>
      <c r="F137" s="2" t="s">
        <v>3462</v>
      </c>
      <c r="G137" s="22" t="s">
        <v>19342</v>
      </c>
      <c r="H137" s="24" t="s">
        <v>19330</v>
      </c>
      <c r="I137" s="22" t="s">
        <v>19309</v>
      </c>
      <c r="J137" s="22" t="s">
        <v>19491</v>
      </c>
      <c r="K137" s="22" t="s">
        <v>11214</v>
      </c>
      <c r="L137" s="22"/>
      <c r="M137" s="22"/>
      <c r="N137" s="25" t="str">
        <f>HYPERLINK("http://slimages.macys.com/is/image/MCY/21061700 ")</f>
        <v xml:space="preserve">http://slimages.macys.com/is/image/MCY/21061700 </v>
      </c>
    </row>
    <row r="138" spans="1:14" x14ac:dyDescent="0.25">
      <c r="A138" s="21" t="s">
        <v>8107</v>
      </c>
      <c r="B138" s="22" t="s">
        <v>8108</v>
      </c>
      <c r="C138" s="2">
        <v>4</v>
      </c>
      <c r="D138" s="23">
        <v>30</v>
      </c>
      <c r="E138" s="3">
        <v>120</v>
      </c>
      <c r="F138" s="2" t="s">
        <v>11047</v>
      </c>
      <c r="G138" s="22" t="s">
        <v>19594</v>
      </c>
      <c r="H138" s="24"/>
      <c r="I138" s="22" t="s">
        <v>19309</v>
      </c>
      <c r="J138" s="22" t="s">
        <v>19417</v>
      </c>
      <c r="K138" s="22" t="s">
        <v>18317</v>
      </c>
      <c r="L138" s="22"/>
      <c r="M138" s="22"/>
      <c r="N138" s="25" t="str">
        <f>HYPERLINK("http://slimages.macys.com/is/image/MCY/21615012 ")</f>
        <v xml:space="preserve">http://slimages.macys.com/is/image/MCY/21615012 </v>
      </c>
    </row>
    <row r="139" spans="1:14" x14ac:dyDescent="0.25">
      <c r="A139" s="21" t="s">
        <v>4775</v>
      </c>
      <c r="B139" s="22" t="s">
        <v>4776</v>
      </c>
      <c r="C139" s="2">
        <v>16</v>
      </c>
      <c r="D139" s="23">
        <v>16.989999999999998</v>
      </c>
      <c r="E139" s="3">
        <v>271.83999999999997</v>
      </c>
      <c r="F139" s="2" t="s">
        <v>11061</v>
      </c>
      <c r="G139" s="22" t="s">
        <v>19674</v>
      </c>
      <c r="H139" s="24" t="s">
        <v>19797</v>
      </c>
      <c r="I139" s="22" t="s">
        <v>19309</v>
      </c>
      <c r="J139" s="22" t="s">
        <v>19849</v>
      </c>
      <c r="K139" s="22" t="s">
        <v>19850</v>
      </c>
      <c r="L139" s="22"/>
      <c r="M139" s="22"/>
      <c r="N139" s="25" t="str">
        <f>HYPERLINK("http://slimages.macys.com/is/image/MCY/21250910 ")</f>
        <v xml:space="preserve">http://slimages.macys.com/is/image/MCY/21250910 </v>
      </c>
    </row>
    <row r="140" spans="1:14" x14ac:dyDescent="0.25">
      <c r="A140" s="21" t="s">
        <v>9555</v>
      </c>
      <c r="B140" s="22" t="s">
        <v>9556</v>
      </c>
      <c r="C140" s="2">
        <v>1</v>
      </c>
      <c r="D140" s="23">
        <v>16.989999999999998</v>
      </c>
      <c r="E140" s="3">
        <v>16.989999999999998</v>
      </c>
      <c r="F140" s="2" t="s">
        <v>11061</v>
      </c>
      <c r="G140" s="22" t="s">
        <v>19674</v>
      </c>
      <c r="H140" s="24" t="s">
        <v>19364</v>
      </c>
      <c r="I140" s="22" t="s">
        <v>19309</v>
      </c>
      <c r="J140" s="22" t="s">
        <v>19849</v>
      </c>
      <c r="K140" s="22" t="s">
        <v>19850</v>
      </c>
      <c r="L140" s="22"/>
      <c r="M140" s="22"/>
      <c r="N140" s="25" t="str">
        <f>HYPERLINK("http://slimages.macys.com/is/image/MCY/21250910 ")</f>
        <v xml:space="preserve">http://slimages.macys.com/is/image/MCY/21250910 </v>
      </c>
    </row>
    <row r="141" spans="1:14" x14ac:dyDescent="0.25">
      <c r="A141" s="21" t="s">
        <v>8434</v>
      </c>
      <c r="B141" s="22" t="s">
        <v>8435</v>
      </c>
      <c r="C141" s="2">
        <v>1</v>
      </c>
      <c r="D141" s="23">
        <v>16.989999999999998</v>
      </c>
      <c r="E141" s="3">
        <v>16.989999999999998</v>
      </c>
      <c r="F141" s="2" t="s">
        <v>11061</v>
      </c>
      <c r="G141" s="22" t="s">
        <v>19462</v>
      </c>
      <c r="H141" s="24" t="s">
        <v>19797</v>
      </c>
      <c r="I141" s="22" t="s">
        <v>19309</v>
      </c>
      <c r="J141" s="22" t="s">
        <v>19849</v>
      </c>
      <c r="K141" s="22" t="s">
        <v>19850</v>
      </c>
      <c r="L141" s="22"/>
      <c r="M141" s="22"/>
      <c r="N141" s="25" t="str">
        <f>HYPERLINK("http://slimages.macys.com/is/image/MCY/1553435 ")</f>
        <v xml:space="preserve">http://slimages.macys.com/is/image/MCY/1553435 </v>
      </c>
    </row>
    <row r="142" spans="1:14" ht="24.75" x14ac:dyDescent="0.25">
      <c r="A142" s="21" t="s">
        <v>3463</v>
      </c>
      <c r="B142" s="22" t="s">
        <v>3464</v>
      </c>
      <c r="C142" s="2">
        <v>1</v>
      </c>
      <c r="D142" s="23">
        <v>15.99</v>
      </c>
      <c r="E142" s="3">
        <v>15.99</v>
      </c>
      <c r="F142" s="2" t="s">
        <v>3465</v>
      </c>
      <c r="G142" s="22" t="s">
        <v>19351</v>
      </c>
      <c r="H142" s="24" t="s">
        <v>20089</v>
      </c>
      <c r="I142" s="22" t="s">
        <v>19309</v>
      </c>
      <c r="J142" s="22" t="s">
        <v>19573</v>
      </c>
      <c r="K142" s="22" t="s">
        <v>19574</v>
      </c>
      <c r="L142" s="22"/>
      <c r="M142" s="22"/>
      <c r="N142" s="25" t="str">
        <f>HYPERLINK("http://slimages.macys.com/is/image/MCY/21361190 ")</f>
        <v xml:space="preserve">http://slimages.macys.com/is/image/MCY/21361190 </v>
      </c>
    </row>
    <row r="143" spans="1:14" ht="24.75" x14ac:dyDescent="0.25">
      <c r="A143" s="21" t="s">
        <v>8115</v>
      </c>
      <c r="B143" s="22" t="s">
        <v>8116</v>
      </c>
      <c r="C143" s="2">
        <v>1</v>
      </c>
      <c r="D143" s="23">
        <v>24.5</v>
      </c>
      <c r="E143" s="3">
        <v>24.5</v>
      </c>
      <c r="F143" s="2" t="s">
        <v>8113</v>
      </c>
      <c r="G143" s="22" t="s">
        <v>19618</v>
      </c>
      <c r="H143" s="24"/>
      <c r="I143" s="22" t="s">
        <v>19309</v>
      </c>
      <c r="J143" s="22" t="s">
        <v>19613</v>
      </c>
      <c r="K143" s="22" t="s">
        <v>19614</v>
      </c>
      <c r="L143" s="22"/>
      <c r="M143" s="22"/>
      <c r="N143" s="25" t="str">
        <f>HYPERLINK("http://slimages.macys.com/is/image/MCY/21035738 ")</f>
        <v xml:space="preserve">http://slimages.macys.com/is/image/MCY/21035738 </v>
      </c>
    </row>
    <row r="144" spans="1:14" ht="24.75" x14ac:dyDescent="0.25">
      <c r="A144" s="21" t="s">
        <v>3466</v>
      </c>
      <c r="B144" s="22" t="s">
        <v>3467</v>
      </c>
      <c r="C144" s="2">
        <v>1</v>
      </c>
      <c r="D144" s="23">
        <v>24.5</v>
      </c>
      <c r="E144" s="3">
        <v>24.5</v>
      </c>
      <c r="F144" s="2" t="s">
        <v>4785</v>
      </c>
      <c r="G144" s="22" t="s">
        <v>18764</v>
      </c>
      <c r="H144" s="24" t="s">
        <v>19395</v>
      </c>
      <c r="I144" s="22" t="s">
        <v>19309</v>
      </c>
      <c r="J144" s="22" t="s">
        <v>19688</v>
      </c>
      <c r="K144" s="22" t="s">
        <v>19614</v>
      </c>
      <c r="L144" s="22"/>
      <c r="M144" s="22"/>
      <c r="N144" s="25" t="str">
        <f>HYPERLINK("http://slimages.macys.com/is/image/MCY/21965048 ")</f>
        <v xml:space="preserve">http://slimages.macys.com/is/image/MCY/21965048 </v>
      </c>
    </row>
    <row r="145" spans="1:14" x14ac:dyDescent="0.25">
      <c r="A145" s="21" t="s">
        <v>3468</v>
      </c>
      <c r="B145" s="22" t="s">
        <v>11086</v>
      </c>
      <c r="C145" s="2">
        <v>1</v>
      </c>
      <c r="D145" s="23">
        <v>24.5</v>
      </c>
      <c r="E145" s="3">
        <v>24.5</v>
      </c>
      <c r="F145" s="2" t="s">
        <v>3469</v>
      </c>
      <c r="G145" s="22" t="s">
        <v>19351</v>
      </c>
      <c r="H145" s="24" t="s">
        <v>19334</v>
      </c>
      <c r="I145" s="22" t="s">
        <v>19309</v>
      </c>
      <c r="J145" s="22" t="s">
        <v>19688</v>
      </c>
      <c r="K145" s="22" t="s">
        <v>19614</v>
      </c>
      <c r="L145" s="22"/>
      <c r="M145" s="22"/>
      <c r="N145" s="25" t="str">
        <f>HYPERLINK("http://slimages.macys.com/is/image/MCY/21589222 ")</f>
        <v xml:space="preserve">http://slimages.macys.com/is/image/MCY/21589222 </v>
      </c>
    </row>
    <row r="146" spans="1:14" ht="24.75" x14ac:dyDescent="0.25">
      <c r="A146" s="21" t="s">
        <v>3470</v>
      </c>
      <c r="B146" s="22" t="s">
        <v>3471</v>
      </c>
      <c r="C146" s="2">
        <v>2</v>
      </c>
      <c r="D146" s="23">
        <v>15.99</v>
      </c>
      <c r="E146" s="3">
        <v>31.98</v>
      </c>
      <c r="F146" s="2" t="s">
        <v>13784</v>
      </c>
      <c r="G146" s="22" t="s">
        <v>19467</v>
      </c>
      <c r="H146" s="24" t="s">
        <v>20135</v>
      </c>
      <c r="I146" s="22" t="s">
        <v>19309</v>
      </c>
      <c r="J146" s="22" t="s">
        <v>19573</v>
      </c>
      <c r="K146" s="22" t="s">
        <v>19574</v>
      </c>
      <c r="L146" s="22"/>
      <c r="M146" s="22"/>
      <c r="N146" s="25" t="str">
        <f>HYPERLINK("http://slimages.macys.com/is/image/MCY/1554883 ")</f>
        <v xml:space="preserve">http://slimages.macys.com/is/image/MCY/1554883 </v>
      </c>
    </row>
    <row r="147" spans="1:14" x14ac:dyDescent="0.25">
      <c r="A147" s="21" t="s">
        <v>13785</v>
      </c>
      <c r="B147" s="22" t="s">
        <v>13786</v>
      </c>
      <c r="C147" s="2">
        <v>24</v>
      </c>
      <c r="D147" s="23">
        <v>17.989999999999998</v>
      </c>
      <c r="E147" s="3">
        <v>431.76</v>
      </c>
      <c r="F147" s="2" t="s">
        <v>13787</v>
      </c>
      <c r="G147" s="22" t="s">
        <v>19342</v>
      </c>
      <c r="H147" s="24" t="s">
        <v>19345</v>
      </c>
      <c r="I147" s="22" t="s">
        <v>19309</v>
      </c>
      <c r="J147" s="22" t="s">
        <v>19696</v>
      </c>
      <c r="K147" s="22" t="s">
        <v>19697</v>
      </c>
      <c r="L147" s="22"/>
      <c r="M147" s="22"/>
      <c r="N147" s="25" t="str">
        <f>HYPERLINK("http://slimages.macys.com/is/image/MCY/20662574 ")</f>
        <v xml:space="preserve">http://slimages.macys.com/is/image/MCY/20662574 </v>
      </c>
    </row>
    <row r="148" spans="1:14" x14ac:dyDescent="0.25">
      <c r="A148" s="21" t="s">
        <v>3472</v>
      </c>
      <c r="B148" s="22" t="s">
        <v>3473</v>
      </c>
      <c r="C148" s="2">
        <v>1</v>
      </c>
      <c r="D148" s="23">
        <v>15.13</v>
      </c>
      <c r="E148" s="3">
        <v>15.13</v>
      </c>
      <c r="F148" s="2" t="s">
        <v>18305</v>
      </c>
      <c r="G148" s="22" t="s">
        <v>19333</v>
      </c>
      <c r="H148" s="24" t="s">
        <v>19367</v>
      </c>
      <c r="I148" s="22" t="s">
        <v>19309</v>
      </c>
      <c r="J148" s="22" t="s">
        <v>19708</v>
      </c>
      <c r="K148" s="22" t="s">
        <v>19709</v>
      </c>
      <c r="L148" s="22"/>
      <c r="M148" s="22"/>
      <c r="N148" s="25" t="str">
        <f>HYPERLINK("http://slimages.macys.com/is/image/MCY/21752166 ")</f>
        <v xml:space="preserve">http://slimages.macys.com/is/image/MCY/21752166 </v>
      </c>
    </row>
    <row r="149" spans="1:14" ht="24.75" x14ac:dyDescent="0.25">
      <c r="A149" s="21" t="s">
        <v>18362</v>
      </c>
      <c r="B149" s="22" t="s">
        <v>18363</v>
      </c>
      <c r="C149" s="2">
        <v>1</v>
      </c>
      <c r="D149" s="23">
        <v>14.99</v>
      </c>
      <c r="E149" s="3">
        <v>14.99</v>
      </c>
      <c r="F149" s="2" t="s">
        <v>18364</v>
      </c>
      <c r="G149" s="22" t="s">
        <v>19431</v>
      </c>
      <c r="H149" s="24"/>
      <c r="I149" s="22" t="s">
        <v>19309</v>
      </c>
      <c r="J149" s="22" t="s">
        <v>19573</v>
      </c>
      <c r="K149" s="22" t="s">
        <v>19574</v>
      </c>
      <c r="L149" s="22"/>
      <c r="M149" s="22"/>
      <c r="N149" s="25" t="str">
        <f>HYPERLINK("http://slimages.macys.com/is/image/MCY/1642503 ")</f>
        <v xml:space="preserve">http://slimages.macys.com/is/image/MCY/1642503 </v>
      </c>
    </row>
    <row r="150" spans="1:14" x14ac:dyDescent="0.25">
      <c r="A150" s="21" t="s">
        <v>8119</v>
      </c>
      <c r="B150" s="22" t="s">
        <v>8120</v>
      </c>
      <c r="C150" s="2">
        <v>2</v>
      </c>
      <c r="D150" s="23">
        <v>22</v>
      </c>
      <c r="E150" s="3">
        <v>44</v>
      </c>
      <c r="F150" s="2" t="s">
        <v>13796</v>
      </c>
      <c r="G150" s="22" t="s">
        <v>18439</v>
      </c>
      <c r="H150" s="24" t="s">
        <v>19538</v>
      </c>
      <c r="I150" s="22" t="s">
        <v>19309</v>
      </c>
      <c r="J150" s="22" t="s">
        <v>19417</v>
      </c>
      <c r="K150" s="22" t="s">
        <v>20110</v>
      </c>
      <c r="L150" s="22"/>
      <c r="M150" s="22"/>
      <c r="N150" s="25" t="str">
        <f>HYPERLINK("http://slimages.macys.com/is/image/MCY/21551774 ")</f>
        <v xml:space="preserve">http://slimages.macys.com/is/image/MCY/21551774 </v>
      </c>
    </row>
    <row r="151" spans="1:14" x14ac:dyDescent="0.25">
      <c r="A151" s="21" t="s">
        <v>3474</v>
      </c>
      <c r="B151" s="22" t="s">
        <v>3475</v>
      </c>
      <c r="C151" s="2">
        <v>1</v>
      </c>
      <c r="D151" s="23">
        <v>30</v>
      </c>
      <c r="E151" s="3">
        <v>30</v>
      </c>
      <c r="F151" s="2" t="s">
        <v>3476</v>
      </c>
      <c r="G151" s="22"/>
      <c r="H151" s="24"/>
      <c r="I151" s="22" t="s">
        <v>19309</v>
      </c>
      <c r="J151" s="22" t="s">
        <v>19417</v>
      </c>
      <c r="K151" s="22" t="s">
        <v>18317</v>
      </c>
      <c r="L151" s="22"/>
      <c r="M151" s="22"/>
      <c r="N151" s="25" t="str">
        <f>HYPERLINK("http://slimages.macys.com/is/image/MCY/21614904 ")</f>
        <v xml:space="preserve">http://slimages.macys.com/is/image/MCY/21614904 </v>
      </c>
    </row>
    <row r="152" spans="1:14" x14ac:dyDescent="0.25">
      <c r="A152" s="21" t="s">
        <v>3477</v>
      </c>
      <c r="B152" s="22" t="s">
        <v>3478</v>
      </c>
      <c r="C152" s="2">
        <v>9</v>
      </c>
      <c r="D152" s="23">
        <v>22</v>
      </c>
      <c r="E152" s="3">
        <v>198</v>
      </c>
      <c r="F152" s="2" t="s">
        <v>16172</v>
      </c>
      <c r="G152" s="22" t="s">
        <v>19404</v>
      </c>
      <c r="H152" s="24"/>
      <c r="I152" s="22" t="s">
        <v>19309</v>
      </c>
      <c r="J152" s="22" t="s">
        <v>19417</v>
      </c>
      <c r="K152" s="22" t="s">
        <v>20110</v>
      </c>
      <c r="L152" s="22"/>
      <c r="M152" s="22"/>
      <c r="N152" s="25" t="str">
        <f>HYPERLINK("http://slimages.macys.com/is/image/MCY/21735554 ")</f>
        <v xml:space="preserve">http://slimages.macys.com/is/image/MCY/21735554 </v>
      </c>
    </row>
    <row r="153" spans="1:14" ht="24.75" x14ac:dyDescent="0.25">
      <c r="A153" s="21" t="s">
        <v>3479</v>
      </c>
      <c r="B153" s="22" t="s">
        <v>3480</v>
      </c>
      <c r="C153" s="2">
        <v>1</v>
      </c>
      <c r="D153" s="23">
        <v>14</v>
      </c>
      <c r="E153" s="3">
        <v>14</v>
      </c>
      <c r="F153" s="2" t="s">
        <v>3481</v>
      </c>
      <c r="G153" s="22" t="s">
        <v>19431</v>
      </c>
      <c r="H153" s="24"/>
      <c r="I153" s="22" t="s">
        <v>19309</v>
      </c>
      <c r="J153" s="22" t="s">
        <v>20076</v>
      </c>
      <c r="K153" s="22" t="s">
        <v>3482</v>
      </c>
      <c r="L153" s="22" t="s">
        <v>19319</v>
      </c>
      <c r="M153" s="22" t="s">
        <v>3483</v>
      </c>
      <c r="N153" s="25" t="str">
        <f>HYPERLINK("http://slimages.macys.com/is/image/MCY/16274670 ")</f>
        <v xml:space="preserve">http://slimages.macys.com/is/image/MCY/16274670 </v>
      </c>
    </row>
    <row r="154" spans="1:14" x14ac:dyDescent="0.25">
      <c r="A154" s="21" t="s">
        <v>3484</v>
      </c>
      <c r="B154" s="22" t="s">
        <v>3485</v>
      </c>
      <c r="C154" s="2">
        <v>30</v>
      </c>
      <c r="D154" s="23">
        <v>22.5</v>
      </c>
      <c r="E154" s="3">
        <v>675</v>
      </c>
      <c r="F154" s="2" t="s">
        <v>13231</v>
      </c>
      <c r="G154" s="22" t="s">
        <v>19618</v>
      </c>
      <c r="H154" s="24" t="s">
        <v>19334</v>
      </c>
      <c r="I154" s="22" t="s">
        <v>19309</v>
      </c>
      <c r="J154" s="22" t="s">
        <v>19688</v>
      </c>
      <c r="K154" s="22" t="s">
        <v>19614</v>
      </c>
      <c r="L154" s="22"/>
      <c r="M154" s="22"/>
      <c r="N154" s="25" t="str">
        <f>HYPERLINK("http://slimages.macys.com/is/image/MCY/21494796 ")</f>
        <v xml:space="preserve">http://slimages.macys.com/is/image/MCY/21494796 </v>
      </c>
    </row>
    <row r="155" spans="1:14" x14ac:dyDescent="0.25">
      <c r="A155" s="21" t="s">
        <v>9581</v>
      </c>
      <c r="B155" s="22" t="s">
        <v>9582</v>
      </c>
      <c r="C155" s="2">
        <v>19</v>
      </c>
      <c r="D155" s="23">
        <v>22.5</v>
      </c>
      <c r="E155" s="3">
        <v>427.5</v>
      </c>
      <c r="F155" s="2" t="s">
        <v>18338</v>
      </c>
      <c r="G155" s="22" t="s">
        <v>19351</v>
      </c>
      <c r="H155" s="24" t="s">
        <v>19345</v>
      </c>
      <c r="I155" s="22" t="s">
        <v>19309</v>
      </c>
      <c r="J155" s="22" t="s">
        <v>19688</v>
      </c>
      <c r="K155" s="22" t="s">
        <v>19614</v>
      </c>
      <c r="L155" s="22"/>
      <c r="M155" s="22"/>
      <c r="N155" s="25" t="str">
        <f>HYPERLINK("http://slimages.macys.com/is/image/MCY/21035862 ")</f>
        <v xml:space="preserve">http://slimages.macys.com/is/image/MCY/21035862 </v>
      </c>
    </row>
    <row r="156" spans="1:14" x14ac:dyDescent="0.25">
      <c r="A156" s="21" t="s">
        <v>9587</v>
      </c>
      <c r="B156" s="22" t="s">
        <v>9588</v>
      </c>
      <c r="C156" s="2">
        <v>6</v>
      </c>
      <c r="D156" s="23">
        <v>22.5</v>
      </c>
      <c r="E156" s="3">
        <v>135</v>
      </c>
      <c r="F156" s="2" t="s">
        <v>13234</v>
      </c>
      <c r="G156" s="22" t="s">
        <v>19351</v>
      </c>
      <c r="H156" s="24" t="s">
        <v>19432</v>
      </c>
      <c r="I156" s="22" t="s">
        <v>19309</v>
      </c>
      <c r="J156" s="22" t="s">
        <v>19688</v>
      </c>
      <c r="K156" s="22" t="s">
        <v>19614</v>
      </c>
      <c r="L156" s="22"/>
      <c r="M156" s="22"/>
      <c r="N156" s="25" t="str">
        <f>HYPERLINK("http://slimages.macys.com/is/image/MCY/21035872 ")</f>
        <v xml:space="preserve">http://slimages.macys.com/is/image/MCY/21035872 </v>
      </c>
    </row>
    <row r="157" spans="1:14" x14ac:dyDescent="0.25">
      <c r="A157" s="21" t="s">
        <v>9579</v>
      </c>
      <c r="B157" s="22" t="s">
        <v>9580</v>
      </c>
      <c r="C157" s="2">
        <v>1</v>
      </c>
      <c r="D157" s="23">
        <v>22.5</v>
      </c>
      <c r="E157" s="3">
        <v>22.5</v>
      </c>
      <c r="F157" s="2" t="s">
        <v>11081</v>
      </c>
      <c r="G157" s="22" t="s">
        <v>19618</v>
      </c>
      <c r="H157" s="24" t="s">
        <v>19542</v>
      </c>
      <c r="I157" s="22" t="s">
        <v>19309</v>
      </c>
      <c r="J157" s="22" t="s">
        <v>19688</v>
      </c>
      <c r="K157" s="22" t="s">
        <v>19614</v>
      </c>
      <c r="L157" s="22"/>
      <c r="M157" s="22"/>
      <c r="N157" s="25" t="str">
        <f>HYPERLINK("http://slimages.macys.com/is/image/MCY/21035860 ")</f>
        <v xml:space="preserve">http://slimages.macys.com/is/image/MCY/21035860 </v>
      </c>
    </row>
    <row r="158" spans="1:14" x14ac:dyDescent="0.25">
      <c r="A158" s="21" t="s">
        <v>8129</v>
      </c>
      <c r="B158" s="22" t="s">
        <v>8130</v>
      </c>
      <c r="C158" s="2">
        <v>4</v>
      </c>
      <c r="D158" s="23">
        <v>22.5</v>
      </c>
      <c r="E158" s="3">
        <v>90</v>
      </c>
      <c r="F158" s="2" t="s">
        <v>18338</v>
      </c>
      <c r="G158" s="22" t="s">
        <v>19351</v>
      </c>
      <c r="H158" s="24" t="s">
        <v>19542</v>
      </c>
      <c r="I158" s="22" t="s">
        <v>19309</v>
      </c>
      <c r="J158" s="22" t="s">
        <v>19688</v>
      </c>
      <c r="K158" s="22" t="s">
        <v>19614</v>
      </c>
      <c r="L158" s="22"/>
      <c r="M158" s="22"/>
      <c r="N158" s="25" t="str">
        <f>HYPERLINK("http://slimages.macys.com/is/image/MCY/21035864 ")</f>
        <v xml:space="preserve">http://slimages.macys.com/is/image/MCY/21035864 </v>
      </c>
    </row>
    <row r="159" spans="1:14" x14ac:dyDescent="0.25">
      <c r="A159" s="21" t="s">
        <v>8123</v>
      </c>
      <c r="B159" s="22" t="s">
        <v>8124</v>
      </c>
      <c r="C159" s="2">
        <v>10</v>
      </c>
      <c r="D159" s="23">
        <v>22.5</v>
      </c>
      <c r="E159" s="3">
        <v>225</v>
      </c>
      <c r="F159" s="2" t="s">
        <v>13234</v>
      </c>
      <c r="G159" s="22" t="s">
        <v>19351</v>
      </c>
      <c r="H159" s="24" t="s">
        <v>19345</v>
      </c>
      <c r="I159" s="22" t="s">
        <v>19309</v>
      </c>
      <c r="J159" s="22" t="s">
        <v>19688</v>
      </c>
      <c r="K159" s="22" t="s">
        <v>19614</v>
      </c>
      <c r="L159" s="22"/>
      <c r="M159" s="22"/>
      <c r="N159" s="25" t="str">
        <f>HYPERLINK("http://slimages.macys.com/is/image/MCY/21035870 ")</f>
        <v xml:space="preserve">http://slimages.macys.com/is/image/MCY/21035870 </v>
      </c>
    </row>
    <row r="160" spans="1:14" x14ac:dyDescent="0.25">
      <c r="A160" s="21" t="s">
        <v>13232</v>
      </c>
      <c r="B160" s="22" t="s">
        <v>13233</v>
      </c>
      <c r="C160" s="2">
        <v>35</v>
      </c>
      <c r="D160" s="23">
        <v>22.5</v>
      </c>
      <c r="E160" s="3">
        <v>787.5</v>
      </c>
      <c r="F160" s="2" t="s">
        <v>13234</v>
      </c>
      <c r="G160" s="22" t="s">
        <v>19351</v>
      </c>
      <c r="H160" s="24" t="s">
        <v>19395</v>
      </c>
      <c r="I160" s="22" t="s">
        <v>19309</v>
      </c>
      <c r="J160" s="22" t="s">
        <v>19688</v>
      </c>
      <c r="K160" s="22" t="s">
        <v>19614</v>
      </c>
      <c r="L160" s="22"/>
      <c r="M160" s="22"/>
      <c r="N160" s="25" t="str">
        <f>HYPERLINK("http://slimages.macys.com/is/image/MCY/21035872 ")</f>
        <v xml:space="preserve">http://slimages.macys.com/is/image/MCY/21035872 </v>
      </c>
    </row>
    <row r="161" spans="1:14" x14ac:dyDescent="0.25">
      <c r="A161" s="21" t="s">
        <v>9583</v>
      </c>
      <c r="B161" s="22" t="s">
        <v>9584</v>
      </c>
      <c r="C161" s="2">
        <v>7</v>
      </c>
      <c r="D161" s="23">
        <v>22.5</v>
      </c>
      <c r="E161" s="3">
        <v>157.5</v>
      </c>
      <c r="F161" s="2" t="s">
        <v>18338</v>
      </c>
      <c r="G161" s="22" t="s">
        <v>19351</v>
      </c>
      <c r="H161" s="24" t="s">
        <v>19395</v>
      </c>
      <c r="I161" s="22" t="s">
        <v>19309</v>
      </c>
      <c r="J161" s="22" t="s">
        <v>19688</v>
      </c>
      <c r="K161" s="22" t="s">
        <v>19614</v>
      </c>
      <c r="L161" s="22"/>
      <c r="M161" s="22"/>
      <c r="N161" s="25" t="str">
        <f>HYPERLINK("http://slimages.macys.com/is/image/MCY/21035864 ")</f>
        <v xml:space="preserve">http://slimages.macys.com/is/image/MCY/21035864 </v>
      </c>
    </row>
    <row r="162" spans="1:14" x14ac:dyDescent="0.25">
      <c r="A162" s="21" t="s">
        <v>11085</v>
      </c>
      <c r="B162" s="22" t="s">
        <v>11086</v>
      </c>
      <c r="C162" s="2">
        <v>1</v>
      </c>
      <c r="D162" s="23">
        <v>22.5</v>
      </c>
      <c r="E162" s="3">
        <v>22.5</v>
      </c>
      <c r="F162" s="2" t="s">
        <v>13234</v>
      </c>
      <c r="G162" s="22" t="s">
        <v>19351</v>
      </c>
      <c r="H162" s="24" t="s">
        <v>19334</v>
      </c>
      <c r="I162" s="22" t="s">
        <v>19309</v>
      </c>
      <c r="J162" s="22" t="s">
        <v>19688</v>
      </c>
      <c r="K162" s="22" t="s">
        <v>19614</v>
      </c>
      <c r="L162" s="22"/>
      <c r="M162" s="22"/>
      <c r="N162" s="25" t="str">
        <f>HYPERLINK("http://slimages.macys.com/is/image/MCY/21035870 ")</f>
        <v xml:space="preserve">http://slimages.macys.com/is/image/MCY/21035870 </v>
      </c>
    </row>
    <row r="163" spans="1:14" x14ac:dyDescent="0.25">
      <c r="A163" s="21" t="s">
        <v>8127</v>
      </c>
      <c r="B163" s="22" t="s">
        <v>8128</v>
      </c>
      <c r="C163" s="2">
        <v>1</v>
      </c>
      <c r="D163" s="23">
        <v>22.5</v>
      </c>
      <c r="E163" s="3">
        <v>22.5</v>
      </c>
      <c r="F163" s="2" t="s">
        <v>18338</v>
      </c>
      <c r="G163" s="22" t="s">
        <v>19351</v>
      </c>
      <c r="H163" s="24" t="s">
        <v>19361</v>
      </c>
      <c r="I163" s="22" t="s">
        <v>19309</v>
      </c>
      <c r="J163" s="22" t="s">
        <v>19688</v>
      </c>
      <c r="K163" s="22" t="s">
        <v>19614</v>
      </c>
      <c r="L163" s="22"/>
      <c r="M163" s="22"/>
      <c r="N163" s="25" t="str">
        <f>HYPERLINK("http://slimages.macys.com/is/image/MCY/21035864 ")</f>
        <v xml:space="preserve">http://slimages.macys.com/is/image/MCY/21035864 </v>
      </c>
    </row>
    <row r="164" spans="1:14" ht="24.75" x14ac:dyDescent="0.25">
      <c r="A164" s="21" t="s">
        <v>3486</v>
      </c>
      <c r="B164" s="22" t="s">
        <v>3487</v>
      </c>
      <c r="C164" s="2">
        <v>4</v>
      </c>
      <c r="D164" s="23">
        <v>13.99</v>
      </c>
      <c r="E164" s="3">
        <v>55.96</v>
      </c>
      <c r="F164" s="2" t="s">
        <v>18729</v>
      </c>
      <c r="G164" s="22" t="s">
        <v>19906</v>
      </c>
      <c r="H164" s="24"/>
      <c r="I164" s="22" t="s">
        <v>19309</v>
      </c>
      <c r="J164" s="22" t="s">
        <v>19573</v>
      </c>
      <c r="K164" s="22" t="s">
        <v>19574</v>
      </c>
      <c r="L164" s="22"/>
      <c r="M164" s="22"/>
      <c r="N164" s="25" t="str">
        <f>HYPERLINK("http://slimages.macys.com/is/image/MCY/1520506 ")</f>
        <v xml:space="preserve">http://slimages.macys.com/is/image/MCY/1520506 </v>
      </c>
    </row>
    <row r="165" spans="1:14" x14ac:dyDescent="0.25">
      <c r="A165" s="21" t="s">
        <v>3488</v>
      </c>
      <c r="B165" s="22" t="s">
        <v>3489</v>
      </c>
      <c r="C165" s="2">
        <v>3</v>
      </c>
      <c r="D165" s="23">
        <v>19.989999999999998</v>
      </c>
      <c r="E165" s="3">
        <v>59.97</v>
      </c>
      <c r="F165" s="2" t="s">
        <v>18419</v>
      </c>
      <c r="G165" s="22" t="s">
        <v>19467</v>
      </c>
      <c r="H165" s="24" t="s">
        <v>20135</v>
      </c>
      <c r="I165" s="22" t="s">
        <v>19309</v>
      </c>
      <c r="J165" s="22" t="s">
        <v>19849</v>
      </c>
      <c r="K165" s="22" t="s">
        <v>19850</v>
      </c>
      <c r="L165" s="22"/>
      <c r="M165" s="22"/>
      <c r="N165" s="25" t="str">
        <f>HYPERLINK("http://slimages.macys.com/is/image/MCY/21270685 ")</f>
        <v xml:space="preserve">http://slimages.macys.com/is/image/MCY/21270685 </v>
      </c>
    </row>
    <row r="166" spans="1:14" ht="24.75" x14ac:dyDescent="0.25">
      <c r="A166" s="21" t="s">
        <v>3490</v>
      </c>
      <c r="B166" s="22" t="s">
        <v>3491</v>
      </c>
      <c r="C166" s="2">
        <v>2</v>
      </c>
      <c r="D166" s="23">
        <v>12.99</v>
      </c>
      <c r="E166" s="3">
        <v>25.98</v>
      </c>
      <c r="F166" s="2" t="s">
        <v>13823</v>
      </c>
      <c r="G166" s="22" t="s">
        <v>19814</v>
      </c>
      <c r="H166" s="24" t="s">
        <v>19361</v>
      </c>
      <c r="I166" s="22" t="s">
        <v>19309</v>
      </c>
      <c r="J166" s="22" t="s">
        <v>19908</v>
      </c>
      <c r="K166" s="22" t="s">
        <v>19524</v>
      </c>
      <c r="L166" s="22"/>
      <c r="M166" s="22"/>
      <c r="N166" s="25" t="str">
        <f>HYPERLINK("http://slimages.macys.com/is/image/MCY/1088560 ")</f>
        <v xml:space="preserve">http://slimages.macys.com/is/image/MCY/1088560 </v>
      </c>
    </row>
    <row r="167" spans="1:14" x14ac:dyDescent="0.25">
      <c r="A167" s="21" t="s">
        <v>3492</v>
      </c>
      <c r="B167" s="22" t="s">
        <v>3493</v>
      </c>
      <c r="C167" s="2">
        <v>8</v>
      </c>
      <c r="D167" s="23">
        <v>15.99</v>
      </c>
      <c r="E167" s="3">
        <v>127.92</v>
      </c>
      <c r="F167" s="2" t="s">
        <v>18462</v>
      </c>
      <c r="G167" s="22" t="s">
        <v>19674</v>
      </c>
      <c r="H167" s="24" t="s">
        <v>19542</v>
      </c>
      <c r="I167" s="22" t="s">
        <v>19309</v>
      </c>
      <c r="J167" s="22" t="s">
        <v>19849</v>
      </c>
      <c r="K167" s="22" t="s">
        <v>19850</v>
      </c>
      <c r="L167" s="22"/>
      <c r="M167" s="22"/>
      <c r="N167" s="25" t="str">
        <f>HYPERLINK("http://slimages.macys.com/is/image/MCY/20549437 ")</f>
        <v xml:space="preserve">http://slimages.macys.com/is/image/MCY/20549437 </v>
      </c>
    </row>
    <row r="168" spans="1:14" x14ac:dyDescent="0.25">
      <c r="A168" s="21" t="s">
        <v>3494</v>
      </c>
      <c r="B168" s="22" t="s">
        <v>3495</v>
      </c>
      <c r="C168" s="2">
        <v>28</v>
      </c>
      <c r="D168" s="23">
        <v>20</v>
      </c>
      <c r="E168" s="3">
        <v>560</v>
      </c>
      <c r="F168" s="2" t="s">
        <v>3496</v>
      </c>
      <c r="G168" s="22"/>
      <c r="H168" s="24" t="s">
        <v>19330</v>
      </c>
      <c r="I168" s="22" t="s">
        <v>19309</v>
      </c>
      <c r="J168" s="22" t="s">
        <v>19708</v>
      </c>
      <c r="K168" s="22" t="s">
        <v>19709</v>
      </c>
      <c r="L168" s="22"/>
      <c r="M168" s="22"/>
      <c r="N168" s="25" t="str">
        <f>HYPERLINK("http://slimages.macys.com/is/image/MCY/21726737 ")</f>
        <v xml:space="preserve">http://slimages.macys.com/is/image/MCY/21726737 </v>
      </c>
    </row>
    <row r="169" spans="1:14" x14ac:dyDescent="0.25">
      <c r="A169" s="21" t="s">
        <v>3497</v>
      </c>
      <c r="B169" s="22" t="s">
        <v>3498</v>
      </c>
      <c r="C169" s="2">
        <v>1</v>
      </c>
      <c r="D169" s="23">
        <v>20</v>
      </c>
      <c r="E169" s="3">
        <v>20</v>
      </c>
      <c r="F169" s="2" t="s">
        <v>3499</v>
      </c>
      <c r="G169" s="22"/>
      <c r="H169" s="24" t="s">
        <v>19416</v>
      </c>
      <c r="I169" s="22" t="s">
        <v>19309</v>
      </c>
      <c r="J169" s="22" t="s">
        <v>19708</v>
      </c>
      <c r="K169" s="22" t="s">
        <v>19709</v>
      </c>
      <c r="L169" s="22"/>
      <c r="M169" s="22"/>
      <c r="N169" s="25" t="str">
        <f>HYPERLINK("http://slimages.macys.com/is/image/MCY/21726747 ")</f>
        <v xml:space="preserve">http://slimages.macys.com/is/image/MCY/21726747 </v>
      </c>
    </row>
    <row r="170" spans="1:14" x14ac:dyDescent="0.25">
      <c r="A170" s="21" t="s">
        <v>3500</v>
      </c>
      <c r="B170" s="22" t="s">
        <v>3501</v>
      </c>
      <c r="C170" s="2">
        <v>1</v>
      </c>
      <c r="D170" s="23">
        <v>8.99</v>
      </c>
      <c r="E170" s="3">
        <v>8.99</v>
      </c>
      <c r="F170" s="2" t="s">
        <v>9597</v>
      </c>
      <c r="G170" s="22" t="s">
        <v>19618</v>
      </c>
      <c r="H170" s="24" t="s">
        <v>19308</v>
      </c>
      <c r="I170" s="22" t="s">
        <v>19309</v>
      </c>
      <c r="J170" s="22" t="s">
        <v>19310</v>
      </c>
      <c r="K170" s="22" t="s">
        <v>19873</v>
      </c>
      <c r="L170" s="22"/>
      <c r="M170" s="22"/>
      <c r="N170" s="25" t="str">
        <f>HYPERLINK("http://slimages.macys.com/is/image/MCY/19705841 ")</f>
        <v xml:space="preserve">http://slimages.macys.com/is/image/MCY/19705841 </v>
      </c>
    </row>
    <row r="171" spans="1:14" x14ac:dyDescent="0.25">
      <c r="A171" s="21" t="s">
        <v>3502</v>
      </c>
      <c r="B171" s="22" t="s">
        <v>3503</v>
      </c>
      <c r="C171" s="2">
        <v>12</v>
      </c>
      <c r="D171" s="23">
        <v>20</v>
      </c>
      <c r="E171" s="3">
        <v>240</v>
      </c>
      <c r="F171" s="2" t="s">
        <v>3496</v>
      </c>
      <c r="G171" s="22"/>
      <c r="H171" s="24" t="s">
        <v>19416</v>
      </c>
      <c r="I171" s="22" t="s">
        <v>19309</v>
      </c>
      <c r="J171" s="22" t="s">
        <v>19708</v>
      </c>
      <c r="K171" s="22" t="s">
        <v>19709</v>
      </c>
      <c r="L171" s="22"/>
      <c r="M171" s="22"/>
      <c r="N171" s="25" t="str">
        <f>HYPERLINK("http://slimages.macys.com/is/image/MCY/21726737 ")</f>
        <v xml:space="preserve">http://slimages.macys.com/is/image/MCY/21726737 </v>
      </c>
    </row>
    <row r="172" spans="1:14" ht="24.75" x14ac:dyDescent="0.25">
      <c r="A172" s="21" t="s">
        <v>3504</v>
      </c>
      <c r="B172" s="22" t="s">
        <v>3505</v>
      </c>
      <c r="C172" s="2">
        <v>3</v>
      </c>
      <c r="D172" s="23">
        <v>9.99</v>
      </c>
      <c r="E172" s="3">
        <v>29.97</v>
      </c>
      <c r="F172" s="2" t="s">
        <v>16624</v>
      </c>
      <c r="G172" s="22" t="s">
        <v>19955</v>
      </c>
      <c r="H172" s="24" t="s">
        <v>19352</v>
      </c>
      <c r="I172" s="22" t="s">
        <v>19309</v>
      </c>
      <c r="J172" s="22" t="s">
        <v>19849</v>
      </c>
      <c r="K172" s="22" t="s">
        <v>19850</v>
      </c>
      <c r="L172" s="22"/>
      <c r="M172" s="22"/>
      <c r="N172" s="25" t="str">
        <f>HYPERLINK("http://slimages.macys.com/is/image/MCY/22503415 ")</f>
        <v xml:space="preserve">http://slimages.macys.com/is/image/MCY/22503415 </v>
      </c>
    </row>
    <row r="173" spans="1:14" x14ac:dyDescent="0.25">
      <c r="A173" s="21" t="s">
        <v>3506</v>
      </c>
      <c r="B173" s="22" t="s">
        <v>3507</v>
      </c>
      <c r="C173" s="2">
        <v>5</v>
      </c>
      <c r="D173" s="23">
        <v>10.99</v>
      </c>
      <c r="E173" s="3">
        <v>54.95</v>
      </c>
      <c r="F173" s="2" t="s">
        <v>16624</v>
      </c>
      <c r="G173" s="22" t="s">
        <v>19674</v>
      </c>
      <c r="H173" s="24"/>
      <c r="I173" s="22" t="s">
        <v>19309</v>
      </c>
      <c r="J173" s="22" t="s">
        <v>19849</v>
      </c>
      <c r="K173" s="22" t="s">
        <v>19850</v>
      </c>
      <c r="L173" s="22"/>
      <c r="M173" s="22"/>
      <c r="N173" s="25" t="str">
        <f>HYPERLINK("http://slimages.macys.com/is/image/MCY/1650136 ")</f>
        <v xml:space="preserve">http://slimages.macys.com/is/image/MCY/1650136 </v>
      </c>
    </row>
    <row r="174" spans="1:14" ht="24.75" x14ac:dyDescent="0.25">
      <c r="A174" s="21" t="s">
        <v>3508</v>
      </c>
      <c r="B174" s="22" t="s">
        <v>3509</v>
      </c>
      <c r="C174" s="2">
        <v>2</v>
      </c>
      <c r="D174" s="23">
        <v>14.99</v>
      </c>
      <c r="E174" s="3">
        <v>29.98</v>
      </c>
      <c r="F174" s="2" t="s">
        <v>9891</v>
      </c>
      <c r="G174" s="22" t="s">
        <v>19333</v>
      </c>
      <c r="H174" s="24" t="s">
        <v>19797</v>
      </c>
      <c r="I174" s="22" t="s">
        <v>19309</v>
      </c>
      <c r="J174" s="22" t="s">
        <v>19353</v>
      </c>
      <c r="K174" s="22" t="s">
        <v>19524</v>
      </c>
      <c r="L174" s="22"/>
      <c r="M174" s="22"/>
      <c r="N174" s="25" t="str">
        <f>HYPERLINK("http://slimages.macys.com/is/image/MCY/19932860 ")</f>
        <v xml:space="preserve">http://slimages.macys.com/is/image/MCY/19932860 </v>
      </c>
    </row>
    <row r="175" spans="1:14" x14ac:dyDescent="0.25">
      <c r="A175" s="21" t="s">
        <v>3510</v>
      </c>
      <c r="B175" s="22" t="s">
        <v>3511</v>
      </c>
      <c r="C175" s="2">
        <v>1</v>
      </c>
      <c r="D175" s="23">
        <v>12.99</v>
      </c>
      <c r="E175" s="3">
        <v>12.99</v>
      </c>
      <c r="F175" s="2" t="s">
        <v>3512</v>
      </c>
      <c r="G175" s="22" t="s">
        <v>19477</v>
      </c>
      <c r="H175" s="24" t="s">
        <v>19907</v>
      </c>
      <c r="I175" s="22" t="s">
        <v>19309</v>
      </c>
      <c r="J175" s="22" t="s">
        <v>19849</v>
      </c>
      <c r="K175" s="22" t="s">
        <v>19850</v>
      </c>
      <c r="L175" s="22"/>
      <c r="M175" s="22"/>
      <c r="N175" s="25" t="str">
        <f>HYPERLINK("http://slimages.macys.com/is/image/MCY/18926606 ")</f>
        <v xml:space="preserve">http://slimages.macys.com/is/image/MCY/18926606 </v>
      </c>
    </row>
    <row r="176" spans="1:14" ht="24.75" x14ac:dyDescent="0.25">
      <c r="A176" s="21" t="s">
        <v>8441</v>
      </c>
      <c r="B176" s="22" t="s">
        <v>8442</v>
      </c>
      <c r="C176" s="2">
        <v>16</v>
      </c>
      <c r="D176" s="23">
        <v>13.99</v>
      </c>
      <c r="E176" s="3">
        <v>223.84</v>
      </c>
      <c r="F176" s="2" t="s">
        <v>9604</v>
      </c>
      <c r="G176" s="22" t="s">
        <v>19618</v>
      </c>
      <c r="H176" s="24" t="s">
        <v>19324</v>
      </c>
      <c r="I176" s="22" t="s">
        <v>19309</v>
      </c>
      <c r="J176" s="22" t="s">
        <v>19573</v>
      </c>
      <c r="K176" s="22" t="s">
        <v>19574</v>
      </c>
      <c r="L176" s="22"/>
      <c r="M176" s="22"/>
      <c r="N176" s="25" t="str">
        <f>HYPERLINK("http://slimages.macys.com/is/image/MCY/21970306 ")</f>
        <v xml:space="preserve">http://slimages.macys.com/is/image/MCY/21970306 </v>
      </c>
    </row>
    <row r="177" spans="1:14" ht="24.75" x14ac:dyDescent="0.25">
      <c r="A177" s="21" t="s">
        <v>9602</v>
      </c>
      <c r="B177" s="22" t="s">
        <v>9603</v>
      </c>
      <c r="C177" s="2">
        <v>7</v>
      </c>
      <c r="D177" s="23">
        <v>13.99</v>
      </c>
      <c r="E177" s="3">
        <v>97.93</v>
      </c>
      <c r="F177" s="2" t="s">
        <v>9604</v>
      </c>
      <c r="G177" s="22" t="s">
        <v>19618</v>
      </c>
      <c r="H177" s="24" t="s">
        <v>19330</v>
      </c>
      <c r="I177" s="22" t="s">
        <v>19309</v>
      </c>
      <c r="J177" s="22" t="s">
        <v>19573</v>
      </c>
      <c r="K177" s="22" t="s">
        <v>19574</v>
      </c>
      <c r="L177" s="22"/>
      <c r="M177" s="22"/>
      <c r="N177" s="25" t="str">
        <f>HYPERLINK("http://slimages.macys.com/is/image/MCY/1554881 ")</f>
        <v xml:space="preserve">http://slimages.macys.com/is/image/MCY/1554881 </v>
      </c>
    </row>
    <row r="178" spans="1:14" x14ac:dyDescent="0.25">
      <c r="A178" s="21" t="s">
        <v>3513</v>
      </c>
      <c r="B178" s="22" t="s">
        <v>3514</v>
      </c>
      <c r="C178" s="2">
        <v>5</v>
      </c>
      <c r="D178" s="23">
        <v>11.99</v>
      </c>
      <c r="E178" s="3">
        <v>59.95</v>
      </c>
      <c r="F178" s="2" t="s">
        <v>7712</v>
      </c>
      <c r="G178" s="22" t="s">
        <v>19477</v>
      </c>
      <c r="H178" s="24" t="s">
        <v>19364</v>
      </c>
      <c r="I178" s="22" t="s">
        <v>19309</v>
      </c>
      <c r="J178" s="22" t="s">
        <v>19849</v>
      </c>
      <c r="K178" s="22" t="s">
        <v>19850</v>
      </c>
      <c r="L178" s="22"/>
      <c r="M178" s="22"/>
      <c r="N178" s="25" t="str">
        <f>HYPERLINK("http://slimages.macys.com/is/image/MCY/20549602 ")</f>
        <v xml:space="preserve">http://slimages.macys.com/is/image/MCY/20549602 </v>
      </c>
    </row>
    <row r="179" spans="1:14" ht="24.75" x14ac:dyDescent="0.25">
      <c r="A179" s="21" t="s">
        <v>18554</v>
      </c>
      <c r="B179" s="22" t="s">
        <v>18555</v>
      </c>
      <c r="C179" s="2">
        <v>2</v>
      </c>
      <c r="D179" s="23">
        <v>13.99</v>
      </c>
      <c r="E179" s="3">
        <v>27.98</v>
      </c>
      <c r="F179" s="2" t="s">
        <v>18551</v>
      </c>
      <c r="G179" s="22" t="s">
        <v>19415</v>
      </c>
      <c r="H179" s="24" t="s">
        <v>19384</v>
      </c>
      <c r="I179" s="22" t="s">
        <v>19309</v>
      </c>
      <c r="J179" s="22" t="s">
        <v>19573</v>
      </c>
      <c r="K179" s="22" t="s">
        <v>19574</v>
      </c>
      <c r="L179" s="22"/>
      <c r="M179" s="22"/>
      <c r="N179" s="25" t="str">
        <f>HYPERLINK("http://slimages.macys.com/is/image/MCY/21361645 ")</f>
        <v xml:space="preserve">http://slimages.macys.com/is/image/MCY/21361645 </v>
      </c>
    </row>
    <row r="180" spans="1:14" ht="24.75" x14ac:dyDescent="0.25">
      <c r="A180" s="21" t="s">
        <v>18560</v>
      </c>
      <c r="B180" s="22" t="s">
        <v>18561</v>
      </c>
      <c r="C180" s="2">
        <v>6</v>
      </c>
      <c r="D180" s="23">
        <v>13.99</v>
      </c>
      <c r="E180" s="3">
        <v>83.94</v>
      </c>
      <c r="F180" s="2" t="s">
        <v>18551</v>
      </c>
      <c r="G180" s="22" t="s">
        <v>19467</v>
      </c>
      <c r="H180" s="24" t="s">
        <v>19538</v>
      </c>
      <c r="I180" s="22" t="s">
        <v>19309</v>
      </c>
      <c r="J180" s="22" t="s">
        <v>19573</v>
      </c>
      <c r="K180" s="22" t="s">
        <v>19574</v>
      </c>
      <c r="L180" s="22"/>
      <c r="M180" s="22"/>
      <c r="N180" s="25" t="str">
        <f>HYPERLINK("http://slimages.macys.com/is/image/MCY/21361645 ")</f>
        <v xml:space="preserve">http://slimages.macys.com/is/image/MCY/21361645 </v>
      </c>
    </row>
    <row r="181" spans="1:14" ht="24.75" x14ac:dyDescent="0.25">
      <c r="A181" s="21" t="s">
        <v>18556</v>
      </c>
      <c r="B181" s="22" t="s">
        <v>18557</v>
      </c>
      <c r="C181" s="2">
        <v>1</v>
      </c>
      <c r="D181" s="23">
        <v>13.99</v>
      </c>
      <c r="E181" s="3">
        <v>13.99</v>
      </c>
      <c r="F181" s="2" t="s">
        <v>18551</v>
      </c>
      <c r="G181" s="22" t="s">
        <v>19415</v>
      </c>
      <c r="H181" s="24" t="s">
        <v>19416</v>
      </c>
      <c r="I181" s="22" t="s">
        <v>19309</v>
      </c>
      <c r="J181" s="22" t="s">
        <v>19573</v>
      </c>
      <c r="K181" s="22" t="s">
        <v>19574</v>
      </c>
      <c r="L181" s="22"/>
      <c r="M181" s="22"/>
      <c r="N181" s="25" t="str">
        <f>HYPERLINK("http://slimages.macys.com/is/image/MCY/1554883 ")</f>
        <v xml:space="preserve">http://slimages.macys.com/is/image/MCY/1554883 </v>
      </c>
    </row>
    <row r="182" spans="1:14" ht="24.75" x14ac:dyDescent="0.25">
      <c r="A182" s="21" t="s">
        <v>18558</v>
      </c>
      <c r="B182" s="22" t="s">
        <v>18559</v>
      </c>
      <c r="C182" s="2">
        <v>25</v>
      </c>
      <c r="D182" s="23">
        <v>13.99</v>
      </c>
      <c r="E182" s="3">
        <v>349.75</v>
      </c>
      <c r="F182" s="2" t="s">
        <v>18551</v>
      </c>
      <c r="G182" s="22" t="s">
        <v>19415</v>
      </c>
      <c r="H182" s="24" t="s">
        <v>19324</v>
      </c>
      <c r="I182" s="22" t="s">
        <v>19309</v>
      </c>
      <c r="J182" s="22" t="s">
        <v>19573</v>
      </c>
      <c r="K182" s="22" t="s">
        <v>19574</v>
      </c>
      <c r="L182" s="22"/>
      <c r="M182" s="22"/>
      <c r="N182" s="25" t="str">
        <f>HYPERLINK("http://slimages.macys.com/is/image/MCY/1619637 ")</f>
        <v xml:space="preserve">http://slimages.macys.com/is/image/MCY/1619637 </v>
      </c>
    </row>
    <row r="183" spans="1:14" ht="24.75" x14ac:dyDescent="0.25">
      <c r="A183" s="21" t="s">
        <v>8308</v>
      </c>
      <c r="B183" s="22" t="s">
        <v>8309</v>
      </c>
      <c r="C183" s="2">
        <v>65</v>
      </c>
      <c r="D183" s="23">
        <v>13.99</v>
      </c>
      <c r="E183" s="3">
        <v>909.35</v>
      </c>
      <c r="F183" s="2" t="s">
        <v>18551</v>
      </c>
      <c r="G183" s="22" t="s">
        <v>19415</v>
      </c>
      <c r="H183" s="24" t="s">
        <v>19538</v>
      </c>
      <c r="I183" s="22" t="s">
        <v>19309</v>
      </c>
      <c r="J183" s="22" t="s">
        <v>19573</v>
      </c>
      <c r="K183" s="22" t="s">
        <v>19574</v>
      </c>
      <c r="L183" s="22"/>
      <c r="M183" s="22"/>
      <c r="N183" s="25" t="str">
        <f>HYPERLINK("http://slimages.macys.com/is/image/MCY/1619637 ")</f>
        <v xml:space="preserve">http://slimages.macys.com/is/image/MCY/1619637 </v>
      </c>
    </row>
    <row r="184" spans="1:14" ht="24.75" x14ac:dyDescent="0.25">
      <c r="A184" s="21" t="s">
        <v>8443</v>
      </c>
      <c r="B184" s="22" t="s">
        <v>8444</v>
      </c>
      <c r="C184" s="2">
        <v>7</v>
      </c>
      <c r="D184" s="23">
        <v>16.989999999999998</v>
      </c>
      <c r="E184" s="3">
        <v>118.93</v>
      </c>
      <c r="F184" s="2" t="s">
        <v>18581</v>
      </c>
      <c r="G184" s="22" t="s">
        <v>19333</v>
      </c>
      <c r="H184" s="24" t="s">
        <v>19432</v>
      </c>
      <c r="I184" s="22" t="s">
        <v>19309</v>
      </c>
      <c r="J184" s="22" t="s">
        <v>19454</v>
      </c>
      <c r="K184" s="22" t="s">
        <v>19524</v>
      </c>
      <c r="L184" s="22"/>
      <c r="M184" s="22"/>
      <c r="N184" s="25" t="str">
        <f>HYPERLINK("http://slimages.macys.com/is/image/MCY/21265927 ")</f>
        <v xml:space="preserve">http://slimages.macys.com/is/image/MCY/21265927 </v>
      </c>
    </row>
    <row r="185" spans="1:14" ht="24.75" x14ac:dyDescent="0.25">
      <c r="A185" s="21" t="s">
        <v>18612</v>
      </c>
      <c r="B185" s="22" t="s">
        <v>18613</v>
      </c>
      <c r="C185" s="2">
        <v>1</v>
      </c>
      <c r="D185" s="23">
        <v>11.99</v>
      </c>
      <c r="E185" s="3">
        <v>11.99</v>
      </c>
      <c r="F185" s="2" t="s">
        <v>18611</v>
      </c>
      <c r="G185" s="22" t="s">
        <v>19906</v>
      </c>
      <c r="H185" s="24"/>
      <c r="I185" s="22" t="s">
        <v>19309</v>
      </c>
      <c r="J185" s="22" t="s">
        <v>19573</v>
      </c>
      <c r="K185" s="22" t="s">
        <v>19574</v>
      </c>
      <c r="L185" s="22"/>
      <c r="M185" s="22"/>
      <c r="N185" s="25" t="str">
        <f>HYPERLINK("http://slimages.macys.com/is/image/MCY/21361512 ")</f>
        <v xml:space="preserve">http://slimages.macys.com/is/image/MCY/21361512 </v>
      </c>
    </row>
    <row r="186" spans="1:14" ht="24.75" x14ac:dyDescent="0.25">
      <c r="A186" s="21" t="s">
        <v>13908</v>
      </c>
      <c r="B186" s="22" t="s">
        <v>13909</v>
      </c>
      <c r="C186" s="2">
        <v>1</v>
      </c>
      <c r="D186" s="23">
        <v>8.99</v>
      </c>
      <c r="E186" s="3">
        <v>8.99</v>
      </c>
      <c r="F186" s="2" t="s">
        <v>16637</v>
      </c>
      <c r="G186" s="22" t="s">
        <v>19404</v>
      </c>
      <c r="H186" s="24" t="s">
        <v>19352</v>
      </c>
      <c r="I186" s="22" t="s">
        <v>19309</v>
      </c>
      <c r="J186" s="22" t="s">
        <v>19815</v>
      </c>
      <c r="K186" s="22" t="s">
        <v>19816</v>
      </c>
      <c r="L186" s="22"/>
      <c r="M186" s="22"/>
      <c r="N186" s="25" t="str">
        <f>HYPERLINK("http://slimages.macys.com/is/image/MCY/21769912 ")</f>
        <v xml:space="preserve">http://slimages.macys.com/is/image/MCY/21769912 </v>
      </c>
    </row>
    <row r="187" spans="1:14" ht="24.75" x14ac:dyDescent="0.25">
      <c r="A187" s="21" t="s">
        <v>3515</v>
      </c>
      <c r="B187" s="22" t="s">
        <v>3516</v>
      </c>
      <c r="C187" s="2">
        <v>33</v>
      </c>
      <c r="D187" s="23">
        <v>10.91</v>
      </c>
      <c r="E187" s="3">
        <v>360.03</v>
      </c>
      <c r="F187" s="2" t="s">
        <v>16276</v>
      </c>
      <c r="G187" s="22" t="s">
        <v>19357</v>
      </c>
      <c r="H187" s="24" t="s">
        <v>19334</v>
      </c>
      <c r="I187" s="22" t="s">
        <v>19309</v>
      </c>
      <c r="J187" s="22" t="s">
        <v>19602</v>
      </c>
      <c r="K187" s="22" t="s">
        <v>20041</v>
      </c>
      <c r="L187" s="22"/>
      <c r="M187" s="22"/>
      <c r="N187" s="25" t="str">
        <f>HYPERLINK("http://slimages.macys.com/is/image/MCY/21669854 ")</f>
        <v xml:space="preserve">http://slimages.macys.com/is/image/MCY/21669854 </v>
      </c>
    </row>
    <row r="188" spans="1:14" ht="24.75" x14ac:dyDescent="0.25">
      <c r="A188" s="21" t="s">
        <v>9613</v>
      </c>
      <c r="B188" s="22" t="s">
        <v>9614</v>
      </c>
      <c r="C188" s="2">
        <v>12</v>
      </c>
      <c r="D188" s="23">
        <v>10.91</v>
      </c>
      <c r="E188" s="3">
        <v>130.91999999999999</v>
      </c>
      <c r="F188" s="2" t="s">
        <v>16276</v>
      </c>
      <c r="G188" s="22" t="s">
        <v>19357</v>
      </c>
      <c r="H188" s="24" t="s">
        <v>19345</v>
      </c>
      <c r="I188" s="22" t="s">
        <v>19309</v>
      </c>
      <c r="J188" s="22" t="s">
        <v>19602</v>
      </c>
      <c r="K188" s="22" t="s">
        <v>20041</v>
      </c>
      <c r="L188" s="22"/>
      <c r="M188" s="22"/>
      <c r="N188" s="25" t="str">
        <f>HYPERLINK("http://slimages.macys.com/is/image/MCY/21669854 ")</f>
        <v xml:space="preserve">http://slimages.macys.com/is/image/MCY/21669854 </v>
      </c>
    </row>
    <row r="189" spans="1:14" ht="24.75" x14ac:dyDescent="0.25">
      <c r="A189" s="21" t="s">
        <v>16600</v>
      </c>
      <c r="B189" s="22" t="s">
        <v>16601</v>
      </c>
      <c r="C189" s="2">
        <v>1</v>
      </c>
      <c r="D189" s="23">
        <v>10.91</v>
      </c>
      <c r="E189" s="3">
        <v>10.91</v>
      </c>
      <c r="F189" s="2" t="s">
        <v>16602</v>
      </c>
      <c r="G189" s="22" t="s">
        <v>19357</v>
      </c>
      <c r="H189" s="24" t="s">
        <v>19334</v>
      </c>
      <c r="I189" s="22" t="s">
        <v>19309</v>
      </c>
      <c r="J189" s="22" t="s">
        <v>19602</v>
      </c>
      <c r="K189" s="22" t="s">
        <v>20041</v>
      </c>
      <c r="L189" s="22"/>
      <c r="M189" s="22"/>
      <c r="N189" s="25" t="str">
        <f>HYPERLINK("http://slimages.macys.com/is/image/MCY/21723141 ")</f>
        <v xml:space="preserve">http://slimages.macys.com/is/image/MCY/21723141 </v>
      </c>
    </row>
    <row r="190" spans="1:14" x14ac:dyDescent="0.25">
      <c r="A190" s="21" t="s">
        <v>9617</v>
      </c>
      <c r="B190" s="22" t="s">
        <v>9618</v>
      </c>
      <c r="C190" s="2">
        <v>8</v>
      </c>
      <c r="D190" s="23">
        <v>18</v>
      </c>
      <c r="E190" s="3">
        <v>144</v>
      </c>
      <c r="F190" s="2" t="s">
        <v>11217</v>
      </c>
      <c r="G190" s="22" t="s">
        <v>19431</v>
      </c>
      <c r="H190" s="24" t="s">
        <v>19324</v>
      </c>
      <c r="I190" s="22" t="s">
        <v>19309</v>
      </c>
      <c r="J190" s="22" t="s">
        <v>19708</v>
      </c>
      <c r="K190" s="22" t="s">
        <v>19709</v>
      </c>
      <c r="L190" s="22"/>
      <c r="M190" s="22"/>
      <c r="N190" s="25" t="str">
        <f>HYPERLINK("http://slimages.macys.com/is/image/MCY/21726788 ")</f>
        <v xml:space="preserve">http://slimages.macys.com/is/image/MCY/21726788 </v>
      </c>
    </row>
    <row r="191" spans="1:14" ht="24.75" x14ac:dyDescent="0.25">
      <c r="A191" s="21" t="s">
        <v>9615</v>
      </c>
      <c r="B191" s="22" t="s">
        <v>9616</v>
      </c>
      <c r="C191" s="2">
        <v>14</v>
      </c>
      <c r="D191" s="23">
        <v>10.91</v>
      </c>
      <c r="E191" s="3">
        <v>152.74</v>
      </c>
      <c r="F191" s="2" t="s">
        <v>16279</v>
      </c>
      <c r="G191" s="22" t="s">
        <v>19351</v>
      </c>
      <c r="H191" s="24" t="s">
        <v>19334</v>
      </c>
      <c r="I191" s="22" t="s">
        <v>19309</v>
      </c>
      <c r="J191" s="22" t="s">
        <v>19602</v>
      </c>
      <c r="K191" s="22" t="s">
        <v>20041</v>
      </c>
      <c r="L191" s="22"/>
      <c r="M191" s="22"/>
      <c r="N191" s="25" t="str">
        <f>HYPERLINK("http://slimages.macys.com/is/image/MCY/21669854 ")</f>
        <v xml:space="preserve">http://slimages.macys.com/is/image/MCY/21669854 </v>
      </c>
    </row>
    <row r="192" spans="1:14" ht="24.75" x14ac:dyDescent="0.25">
      <c r="A192" s="21" t="s">
        <v>16277</v>
      </c>
      <c r="B192" s="22" t="s">
        <v>16278</v>
      </c>
      <c r="C192" s="2">
        <v>6</v>
      </c>
      <c r="D192" s="23">
        <v>10.91</v>
      </c>
      <c r="E192" s="3">
        <v>65.459999999999994</v>
      </c>
      <c r="F192" s="2" t="s">
        <v>16279</v>
      </c>
      <c r="G192" s="22" t="s">
        <v>19351</v>
      </c>
      <c r="H192" s="24" t="s">
        <v>19345</v>
      </c>
      <c r="I192" s="22" t="s">
        <v>19309</v>
      </c>
      <c r="J192" s="22" t="s">
        <v>19602</v>
      </c>
      <c r="K192" s="22" t="s">
        <v>20041</v>
      </c>
      <c r="L192" s="22"/>
      <c r="M192" s="22"/>
      <c r="N192" s="25" t="str">
        <f>HYPERLINK("http://slimages.macys.com/is/image/MCY/21669854 ")</f>
        <v xml:space="preserve">http://slimages.macys.com/is/image/MCY/21669854 </v>
      </c>
    </row>
    <row r="193" spans="1:14" ht="24.75" x14ac:dyDescent="0.25">
      <c r="A193" s="21" t="s">
        <v>3517</v>
      </c>
      <c r="B193" s="22" t="s">
        <v>3518</v>
      </c>
      <c r="C193" s="2">
        <v>28</v>
      </c>
      <c r="D193" s="23">
        <v>10.91</v>
      </c>
      <c r="E193" s="3">
        <v>305.48</v>
      </c>
      <c r="F193" s="2" t="s">
        <v>16279</v>
      </c>
      <c r="G193" s="22" t="s">
        <v>19351</v>
      </c>
      <c r="H193" s="24"/>
      <c r="I193" s="22" t="s">
        <v>19309</v>
      </c>
      <c r="J193" s="22" t="s">
        <v>19602</v>
      </c>
      <c r="K193" s="22" t="s">
        <v>20041</v>
      </c>
      <c r="L193" s="22"/>
      <c r="M193" s="22"/>
      <c r="N193" s="25" t="str">
        <f>HYPERLINK("http://slimages.macys.com/is/image/MCY/21669854 ")</f>
        <v xml:space="preserve">http://slimages.macys.com/is/image/MCY/21669854 </v>
      </c>
    </row>
    <row r="194" spans="1:14" x14ac:dyDescent="0.25">
      <c r="A194" s="21" t="s">
        <v>3519</v>
      </c>
      <c r="B194" s="22" t="s">
        <v>3520</v>
      </c>
      <c r="C194" s="2">
        <v>1</v>
      </c>
      <c r="D194" s="23">
        <v>11.99</v>
      </c>
      <c r="E194" s="3">
        <v>11.99</v>
      </c>
      <c r="F194" s="2" t="s">
        <v>3521</v>
      </c>
      <c r="G194" s="22" t="s">
        <v>19315</v>
      </c>
      <c r="H194" s="24" t="s">
        <v>19364</v>
      </c>
      <c r="I194" s="22" t="s">
        <v>19309</v>
      </c>
      <c r="J194" s="22" t="s">
        <v>19849</v>
      </c>
      <c r="K194" s="22" t="s">
        <v>19850</v>
      </c>
      <c r="L194" s="22"/>
      <c r="M194" s="22"/>
      <c r="N194" s="25" t="str">
        <f>HYPERLINK("http://slimages.macys.com/is/image/MCY/21396617 ")</f>
        <v xml:space="preserve">http://slimages.macys.com/is/image/MCY/21396617 </v>
      </c>
    </row>
    <row r="195" spans="1:14" x14ac:dyDescent="0.25">
      <c r="A195" s="21" t="s">
        <v>8926</v>
      </c>
      <c r="B195" s="22" t="s">
        <v>8927</v>
      </c>
      <c r="C195" s="2">
        <v>7</v>
      </c>
      <c r="D195" s="23">
        <v>18</v>
      </c>
      <c r="E195" s="3">
        <v>126</v>
      </c>
      <c r="F195" s="2" t="s">
        <v>16316</v>
      </c>
      <c r="G195" s="22" t="s">
        <v>19431</v>
      </c>
      <c r="H195" s="24" t="s">
        <v>19770</v>
      </c>
      <c r="I195" s="22" t="s">
        <v>19309</v>
      </c>
      <c r="J195" s="22" t="s">
        <v>19417</v>
      </c>
      <c r="K195" s="22" t="s">
        <v>20110</v>
      </c>
      <c r="L195" s="22"/>
      <c r="M195" s="22"/>
      <c r="N195" s="25" t="str">
        <f>HYPERLINK("http://slimages.macys.com/is/image/MCY/21551781 ")</f>
        <v xml:space="preserve">http://slimages.macys.com/is/image/MCY/21551781 </v>
      </c>
    </row>
    <row r="196" spans="1:14" x14ac:dyDescent="0.25">
      <c r="A196" s="21" t="s">
        <v>8445</v>
      </c>
      <c r="B196" s="22" t="s">
        <v>8446</v>
      </c>
      <c r="C196" s="2">
        <v>18</v>
      </c>
      <c r="D196" s="23">
        <v>24</v>
      </c>
      <c r="E196" s="3">
        <v>432</v>
      </c>
      <c r="F196" s="2" t="s">
        <v>11107</v>
      </c>
      <c r="G196" s="22" t="s">
        <v>19357</v>
      </c>
      <c r="H196" s="24" t="s">
        <v>19384</v>
      </c>
      <c r="I196" s="22" t="s">
        <v>19309</v>
      </c>
      <c r="J196" s="22" t="s">
        <v>19417</v>
      </c>
      <c r="K196" s="22" t="s">
        <v>18317</v>
      </c>
      <c r="L196" s="22"/>
      <c r="M196" s="22"/>
      <c r="N196" s="25" t="str">
        <f>HYPERLINK("http://slimages.macys.com/is/image/MCY/21614962 ")</f>
        <v xml:space="preserve">http://slimages.macys.com/is/image/MCY/21614962 </v>
      </c>
    </row>
    <row r="197" spans="1:14" x14ac:dyDescent="0.25">
      <c r="A197" s="21" t="s">
        <v>16633</v>
      </c>
      <c r="B197" s="22" t="s">
        <v>16634</v>
      </c>
      <c r="C197" s="2">
        <v>4</v>
      </c>
      <c r="D197" s="23">
        <v>16.989999999999998</v>
      </c>
      <c r="E197" s="3">
        <v>67.959999999999994</v>
      </c>
      <c r="F197" s="2" t="s">
        <v>18666</v>
      </c>
      <c r="G197" s="22" t="s">
        <v>19477</v>
      </c>
      <c r="H197" s="24" t="s">
        <v>19797</v>
      </c>
      <c r="I197" s="22" t="s">
        <v>19309</v>
      </c>
      <c r="J197" s="22" t="s">
        <v>19849</v>
      </c>
      <c r="K197" s="22" t="s">
        <v>19850</v>
      </c>
      <c r="L197" s="22"/>
      <c r="M197" s="22"/>
      <c r="N197" s="25" t="str">
        <f>HYPERLINK("http://slimages.macys.com/is/image/MCY/20549559 ")</f>
        <v xml:space="preserve">http://slimages.macys.com/is/image/MCY/20549559 </v>
      </c>
    </row>
    <row r="198" spans="1:14" ht="24.75" x14ac:dyDescent="0.25">
      <c r="A198" s="21" t="s">
        <v>3522</v>
      </c>
      <c r="B198" s="22" t="s">
        <v>3523</v>
      </c>
      <c r="C198" s="2">
        <v>1</v>
      </c>
      <c r="D198" s="23">
        <v>7.99</v>
      </c>
      <c r="E198" s="3">
        <v>7.99</v>
      </c>
      <c r="F198" s="2" t="s">
        <v>3524</v>
      </c>
      <c r="G198" s="22" t="s">
        <v>19315</v>
      </c>
      <c r="H198" s="24" t="s">
        <v>19339</v>
      </c>
      <c r="I198" s="22" t="s">
        <v>19309</v>
      </c>
      <c r="J198" s="22" t="s">
        <v>19447</v>
      </c>
      <c r="K198" s="22" t="s">
        <v>19873</v>
      </c>
      <c r="L198" s="22"/>
      <c r="M198" s="22"/>
      <c r="N198" s="25" t="str">
        <f>HYPERLINK("http://slimages.macys.com/is/image/MCY/19945177 ")</f>
        <v xml:space="preserve">http://slimages.macys.com/is/image/MCY/19945177 </v>
      </c>
    </row>
    <row r="199" spans="1:14" ht="24.75" x14ac:dyDescent="0.25">
      <c r="A199" s="21" t="s">
        <v>3525</v>
      </c>
      <c r="B199" s="22" t="s">
        <v>3526</v>
      </c>
      <c r="C199" s="2">
        <v>1</v>
      </c>
      <c r="D199" s="23">
        <v>7.99</v>
      </c>
      <c r="E199" s="3">
        <v>7.99</v>
      </c>
      <c r="F199" s="2" t="s">
        <v>3524</v>
      </c>
      <c r="G199" s="22" t="s">
        <v>19467</v>
      </c>
      <c r="H199" s="24" t="s">
        <v>19352</v>
      </c>
      <c r="I199" s="22" t="s">
        <v>19309</v>
      </c>
      <c r="J199" s="22" t="s">
        <v>19447</v>
      </c>
      <c r="K199" s="22" t="s">
        <v>19873</v>
      </c>
      <c r="L199" s="22"/>
      <c r="M199" s="22"/>
      <c r="N199" s="25" t="str">
        <f>HYPERLINK("http://slimages.macys.com/is/image/MCY/19945177 ")</f>
        <v xml:space="preserve">http://slimages.macys.com/is/image/MCY/19945177 </v>
      </c>
    </row>
    <row r="200" spans="1:14" ht="24.75" x14ac:dyDescent="0.25">
      <c r="A200" s="21" t="s">
        <v>3527</v>
      </c>
      <c r="B200" s="22" t="s">
        <v>3528</v>
      </c>
      <c r="C200" s="2">
        <v>1</v>
      </c>
      <c r="D200" s="23">
        <v>7.99</v>
      </c>
      <c r="E200" s="3">
        <v>7.99</v>
      </c>
      <c r="F200" s="2" t="s">
        <v>9002</v>
      </c>
      <c r="G200" s="22" t="s">
        <v>19886</v>
      </c>
      <c r="H200" s="24" t="s">
        <v>19308</v>
      </c>
      <c r="I200" s="22" t="s">
        <v>19309</v>
      </c>
      <c r="J200" s="22" t="s">
        <v>19310</v>
      </c>
      <c r="K200" s="22" t="s">
        <v>19873</v>
      </c>
      <c r="L200" s="22"/>
      <c r="M200" s="22"/>
      <c r="N200" s="25" t="str">
        <f>HYPERLINK("http://slimages.macys.com/is/image/MCY/19705825 ")</f>
        <v xml:space="preserve">http://slimages.macys.com/is/image/MCY/19705825 </v>
      </c>
    </row>
    <row r="201" spans="1:14" ht="24.75" x14ac:dyDescent="0.25">
      <c r="A201" s="21" t="s">
        <v>16655</v>
      </c>
      <c r="B201" s="22" t="s">
        <v>16656</v>
      </c>
      <c r="C201" s="2">
        <v>1</v>
      </c>
      <c r="D201" s="23">
        <v>11.99</v>
      </c>
      <c r="E201" s="3">
        <v>11.99</v>
      </c>
      <c r="F201" s="2" t="s">
        <v>16646</v>
      </c>
      <c r="G201" s="22" t="s">
        <v>19794</v>
      </c>
      <c r="H201" s="24" t="s">
        <v>19538</v>
      </c>
      <c r="I201" s="22" t="s">
        <v>19309</v>
      </c>
      <c r="J201" s="22" t="s">
        <v>19573</v>
      </c>
      <c r="K201" s="22" t="s">
        <v>19574</v>
      </c>
      <c r="L201" s="22"/>
      <c r="M201" s="22"/>
      <c r="N201" s="25" t="str">
        <f>HYPERLINK("http://slimages.macys.com/is/image/MCY/1956290 ")</f>
        <v xml:space="preserve">http://slimages.macys.com/is/image/MCY/1956290 </v>
      </c>
    </row>
    <row r="202" spans="1:14" ht="24.75" x14ac:dyDescent="0.25">
      <c r="A202" s="21" t="s">
        <v>3529</v>
      </c>
      <c r="B202" s="22" t="s">
        <v>3530</v>
      </c>
      <c r="C202" s="2">
        <v>1</v>
      </c>
      <c r="D202" s="23">
        <v>10.99</v>
      </c>
      <c r="E202" s="3">
        <v>10.99</v>
      </c>
      <c r="F202" s="2">
        <v>10014150000</v>
      </c>
      <c r="G202" s="22" t="s">
        <v>19467</v>
      </c>
      <c r="H202" s="24" t="s">
        <v>19416</v>
      </c>
      <c r="I202" s="22" t="s">
        <v>19309</v>
      </c>
      <c r="J202" s="22" t="s">
        <v>19573</v>
      </c>
      <c r="K202" s="22" t="s">
        <v>19574</v>
      </c>
      <c r="L202" s="22"/>
      <c r="M202" s="22"/>
      <c r="N202" s="25" t="str">
        <f>HYPERLINK("http://slimages.macys.com/is/image/MCY/20757786 ")</f>
        <v xml:space="preserve">http://slimages.macys.com/is/image/MCY/20757786 </v>
      </c>
    </row>
    <row r="203" spans="1:14" x14ac:dyDescent="0.25">
      <c r="A203" s="21" t="s">
        <v>8318</v>
      </c>
      <c r="B203" s="22" t="s">
        <v>8319</v>
      </c>
      <c r="C203" s="2">
        <v>5</v>
      </c>
      <c r="D203" s="23">
        <v>22</v>
      </c>
      <c r="E203" s="3">
        <v>110</v>
      </c>
      <c r="F203" s="2" t="s">
        <v>8320</v>
      </c>
      <c r="G203" s="22" t="s">
        <v>19404</v>
      </c>
      <c r="H203" s="24" t="s">
        <v>19770</v>
      </c>
      <c r="I203" s="22" t="s">
        <v>19309</v>
      </c>
      <c r="J203" s="22" t="s">
        <v>19417</v>
      </c>
      <c r="K203" s="22" t="s">
        <v>20110</v>
      </c>
      <c r="L203" s="22"/>
      <c r="M203" s="22"/>
      <c r="N203" s="25" t="str">
        <f>HYPERLINK("http://slimages.macys.com/is/image/MCY/21400762 ")</f>
        <v xml:space="preserve">http://slimages.macys.com/is/image/MCY/21400762 </v>
      </c>
    </row>
    <row r="204" spans="1:14" ht="24.75" x14ac:dyDescent="0.25">
      <c r="A204" s="21" t="s">
        <v>11110</v>
      </c>
      <c r="B204" s="22" t="s">
        <v>11111</v>
      </c>
      <c r="C204" s="2">
        <v>1</v>
      </c>
      <c r="D204" s="23">
        <v>22</v>
      </c>
      <c r="E204" s="3">
        <v>22</v>
      </c>
      <c r="F204" s="2" t="s">
        <v>11112</v>
      </c>
      <c r="G204" s="22" t="s">
        <v>19528</v>
      </c>
      <c r="H204" s="24" t="s">
        <v>19770</v>
      </c>
      <c r="I204" s="22" t="s">
        <v>19309</v>
      </c>
      <c r="J204" s="22" t="s">
        <v>19417</v>
      </c>
      <c r="K204" s="22" t="s">
        <v>20110</v>
      </c>
      <c r="L204" s="22"/>
      <c r="M204" s="22"/>
      <c r="N204" s="25" t="str">
        <f>HYPERLINK("http://slimages.macys.com/is/image/MCY/21400762 ")</f>
        <v xml:space="preserve">http://slimages.macys.com/is/image/MCY/21400762 </v>
      </c>
    </row>
    <row r="205" spans="1:14" ht="24.75" x14ac:dyDescent="0.25">
      <c r="A205" s="21" t="s">
        <v>9627</v>
      </c>
      <c r="B205" s="22" t="s">
        <v>9628</v>
      </c>
      <c r="C205" s="2">
        <v>1</v>
      </c>
      <c r="D205" s="23">
        <v>13.99</v>
      </c>
      <c r="E205" s="3">
        <v>13.99</v>
      </c>
      <c r="F205" s="2" t="s">
        <v>16688</v>
      </c>
      <c r="G205" s="22" t="s">
        <v>19518</v>
      </c>
      <c r="H205" s="24" t="s">
        <v>19324</v>
      </c>
      <c r="I205" s="22" t="s">
        <v>19309</v>
      </c>
      <c r="J205" s="22" t="s">
        <v>19573</v>
      </c>
      <c r="K205" s="22" t="s">
        <v>19574</v>
      </c>
      <c r="L205" s="22"/>
      <c r="M205" s="22"/>
      <c r="N205" s="25" t="str">
        <f>HYPERLINK("http://slimages.macys.com/is/image/MCY/1554876 ")</f>
        <v xml:space="preserve">http://slimages.macys.com/is/image/MCY/1554876 </v>
      </c>
    </row>
    <row r="206" spans="1:14" ht="24.75" x14ac:dyDescent="0.25">
      <c r="A206" s="21" t="s">
        <v>6036</v>
      </c>
      <c r="B206" s="22" t="s">
        <v>6037</v>
      </c>
      <c r="C206" s="2">
        <v>1</v>
      </c>
      <c r="D206" s="23">
        <v>10.99</v>
      </c>
      <c r="E206" s="3">
        <v>10.99</v>
      </c>
      <c r="F206" s="2" t="s">
        <v>13319</v>
      </c>
      <c r="G206" s="22" t="s">
        <v>19333</v>
      </c>
      <c r="H206" s="24" t="s">
        <v>19797</v>
      </c>
      <c r="I206" s="22" t="s">
        <v>19309</v>
      </c>
      <c r="J206" s="22" t="s">
        <v>19353</v>
      </c>
      <c r="K206" s="22" t="s">
        <v>19524</v>
      </c>
      <c r="L206" s="22"/>
      <c r="M206" s="22"/>
      <c r="N206" s="25" t="str">
        <f>HYPERLINK("http://slimages.macys.com/is/image/MCY/21083368 ")</f>
        <v xml:space="preserve">http://slimages.macys.com/is/image/MCY/21083368 </v>
      </c>
    </row>
    <row r="207" spans="1:14" ht="24.75" x14ac:dyDescent="0.25">
      <c r="A207" s="21" t="s">
        <v>9629</v>
      </c>
      <c r="B207" s="22" t="s">
        <v>9630</v>
      </c>
      <c r="C207" s="2">
        <v>3</v>
      </c>
      <c r="D207" s="23">
        <v>10.99</v>
      </c>
      <c r="E207" s="3">
        <v>32.97</v>
      </c>
      <c r="F207" s="2" t="s">
        <v>13319</v>
      </c>
      <c r="G207" s="22" t="s">
        <v>19415</v>
      </c>
      <c r="H207" s="24" t="s">
        <v>19339</v>
      </c>
      <c r="I207" s="22" t="s">
        <v>19309</v>
      </c>
      <c r="J207" s="22" t="s">
        <v>19353</v>
      </c>
      <c r="K207" s="22" t="s">
        <v>19524</v>
      </c>
      <c r="L207" s="22"/>
      <c r="M207" s="22"/>
      <c r="N207" s="25" t="str">
        <f>HYPERLINK("http://slimages.macys.com/is/image/MCY/21083368 ")</f>
        <v xml:space="preserve">http://slimages.macys.com/is/image/MCY/21083368 </v>
      </c>
    </row>
    <row r="208" spans="1:14" ht="24.75" x14ac:dyDescent="0.25">
      <c r="A208" s="21" t="s">
        <v>4856</v>
      </c>
      <c r="B208" s="22" t="s">
        <v>4857</v>
      </c>
      <c r="C208" s="2">
        <v>5</v>
      </c>
      <c r="D208" s="23">
        <v>10.99</v>
      </c>
      <c r="E208" s="3">
        <v>54.95</v>
      </c>
      <c r="F208" s="2" t="s">
        <v>13316</v>
      </c>
      <c r="G208" s="22" t="s">
        <v>19351</v>
      </c>
      <c r="H208" s="24" t="s">
        <v>19797</v>
      </c>
      <c r="I208" s="22" t="s">
        <v>19309</v>
      </c>
      <c r="J208" s="22" t="s">
        <v>19353</v>
      </c>
      <c r="K208" s="22" t="s">
        <v>19524</v>
      </c>
      <c r="L208" s="22"/>
      <c r="M208" s="22"/>
      <c r="N208" s="25" t="str">
        <f>HYPERLINK("http://slimages.macys.com/is/image/MCY/21083383 ")</f>
        <v xml:space="preserve">http://slimages.macys.com/is/image/MCY/21083383 </v>
      </c>
    </row>
    <row r="209" spans="1:14" ht="24.75" x14ac:dyDescent="0.25">
      <c r="A209" s="21" t="s">
        <v>3531</v>
      </c>
      <c r="B209" s="22" t="s">
        <v>3532</v>
      </c>
      <c r="C209" s="2">
        <v>1</v>
      </c>
      <c r="D209" s="23">
        <v>12.99</v>
      </c>
      <c r="E209" s="3">
        <v>12.99</v>
      </c>
      <c r="F209" s="2" t="s">
        <v>3533</v>
      </c>
      <c r="G209" s="22" t="s">
        <v>19462</v>
      </c>
      <c r="H209" s="24" t="s">
        <v>19361</v>
      </c>
      <c r="I209" s="22" t="s">
        <v>19309</v>
      </c>
      <c r="J209" s="22" t="s">
        <v>19454</v>
      </c>
      <c r="K209" s="22" t="s">
        <v>19524</v>
      </c>
      <c r="L209" s="22"/>
      <c r="M209" s="22"/>
      <c r="N209" s="25" t="str">
        <f>HYPERLINK("http://slimages.macys.com/is/image/MCY/20441362 ")</f>
        <v xml:space="preserve">http://slimages.macys.com/is/image/MCY/20441362 </v>
      </c>
    </row>
    <row r="210" spans="1:14" ht="24.75" x14ac:dyDescent="0.25">
      <c r="A210" s="21" t="s">
        <v>4860</v>
      </c>
      <c r="B210" s="22" t="s">
        <v>4861</v>
      </c>
      <c r="C210" s="2">
        <v>5</v>
      </c>
      <c r="D210" s="23">
        <v>13.99</v>
      </c>
      <c r="E210" s="3">
        <v>69.95</v>
      </c>
      <c r="F210" s="2" t="s">
        <v>18729</v>
      </c>
      <c r="G210" s="22" t="s">
        <v>19670</v>
      </c>
      <c r="H210" s="24"/>
      <c r="I210" s="22" t="s">
        <v>19309</v>
      </c>
      <c r="J210" s="22" t="s">
        <v>19573</v>
      </c>
      <c r="K210" s="22" t="s">
        <v>19574</v>
      </c>
      <c r="L210" s="22"/>
      <c r="M210" s="22"/>
      <c r="N210" s="25" t="str">
        <f>HYPERLINK("http://slimages.macys.com/is/image/MCY/1520506 ")</f>
        <v xml:space="preserve">http://slimages.macys.com/is/image/MCY/1520506 </v>
      </c>
    </row>
    <row r="211" spans="1:14" ht="24.75" x14ac:dyDescent="0.25">
      <c r="A211" s="21" t="s">
        <v>3534</v>
      </c>
      <c r="B211" s="22" t="s">
        <v>3535</v>
      </c>
      <c r="C211" s="2">
        <v>16</v>
      </c>
      <c r="D211" s="23">
        <v>11.99</v>
      </c>
      <c r="E211" s="3">
        <v>191.84</v>
      </c>
      <c r="F211" s="2">
        <v>4217</v>
      </c>
      <c r="G211" s="22" t="s">
        <v>19351</v>
      </c>
      <c r="H211" s="24" t="s">
        <v>19339</v>
      </c>
      <c r="I211" s="22" t="s">
        <v>19309</v>
      </c>
      <c r="J211" s="22" t="s">
        <v>20076</v>
      </c>
      <c r="K211" s="22" t="s">
        <v>20077</v>
      </c>
      <c r="L211" s="22" t="s">
        <v>19319</v>
      </c>
      <c r="M211" s="22" t="s">
        <v>19209</v>
      </c>
      <c r="N211" s="25" t="str">
        <f>HYPERLINK("http://slimages.macys.com/is/image/MCY/13050192 ")</f>
        <v xml:space="preserve">http://slimages.macys.com/is/image/MCY/13050192 </v>
      </c>
    </row>
    <row r="212" spans="1:14" ht="24.75" x14ac:dyDescent="0.25">
      <c r="A212" s="21" t="s">
        <v>9060</v>
      </c>
      <c r="B212" s="22" t="s">
        <v>9061</v>
      </c>
      <c r="C212" s="2">
        <v>1</v>
      </c>
      <c r="D212" s="23">
        <v>10.99</v>
      </c>
      <c r="E212" s="3">
        <v>10.99</v>
      </c>
      <c r="F212" s="2" t="s">
        <v>9062</v>
      </c>
      <c r="G212" s="22" t="s">
        <v>19670</v>
      </c>
      <c r="H212" s="24" t="s">
        <v>19797</v>
      </c>
      <c r="I212" s="22" t="s">
        <v>19309</v>
      </c>
      <c r="J212" s="22" t="s">
        <v>19353</v>
      </c>
      <c r="K212" s="22" t="s">
        <v>19524</v>
      </c>
      <c r="L212" s="22"/>
      <c r="M212" s="22"/>
      <c r="N212" s="25" t="str">
        <f>HYPERLINK("http://slimages.macys.com/is/image/MCY/21083362 ")</f>
        <v xml:space="preserve">http://slimages.macys.com/is/image/MCY/21083362 </v>
      </c>
    </row>
    <row r="213" spans="1:14" ht="24.75" x14ac:dyDescent="0.25">
      <c r="A213" s="21" t="s">
        <v>3536</v>
      </c>
      <c r="B213" s="22" t="s">
        <v>3537</v>
      </c>
      <c r="C213" s="2">
        <v>1</v>
      </c>
      <c r="D213" s="23">
        <v>9.81</v>
      </c>
      <c r="E213" s="3">
        <v>9.81</v>
      </c>
      <c r="F213" s="2" t="s">
        <v>3538</v>
      </c>
      <c r="G213" s="22" t="s">
        <v>19594</v>
      </c>
      <c r="H213" s="24" t="s">
        <v>19392</v>
      </c>
      <c r="I213" s="22" t="s">
        <v>19309</v>
      </c>
      <c r="J213" s="22" t="s">
        <v>19602</v>
      </c>
      <c r="K213" s="22" t="s">
        <v>20041</v>
      </c>
      <c r="L213" s="22"/>
      <c r="M213" s="22"/>
      <c r="N213" s="25" t="str">
        <f>HYPERLINK("http://slimages.macys.com/is/image/MCY/21669748 ")</f>
        <v xml:space="preserve">http://slimages.macys.com/is/image/MCY/21669748 </v>
      </c>
    </row>
    <row r="214" spans="1:14" ht="24.75" x14ac:dyDescent="0.25">
      <c r="A214" s="21" t="s">
        <v>3539</v>
      </c>
      <c r="B214" s="22" t="s">
        <v>3540</v>
      </c>
      <c r="C214" s="2">
        <v>1</v>
      </c>
      <c r="D214" s="23">
        <v>10.99</v>
      </c>
      <c r="E214" s="3">
        <v>10.99</v>
      </c>
      <c r="F214" s="2" t="s">
        <v>3541</v>
      </c>
      <c r="G214" s="22" t="s">
        <v>19618</v>
      </c>
      <c r="H214" s="24" t="s">
        <v>19324</v>
      </c>
      <c r="I214" s="22" t="s">
        <v>19309</v>
      </c>
      <c r="J214" s="22" t="s">
        <v>19573</v>
      </c>
      <c r="K214" s="22" t="s">
        <v>19574</v>
      </c>
      <c r="L214" s="22"/>
      <c r="M214" s="22"/>
      <c r="N214" s="25" t="str">
        <f>HYPERLINK("http://slimages.macys.com/is/image/MCY/18757110 ")</f>
        <v xml:space="preserve">http://slimages.macys.com/is/image/MCY/18757110 </v>
      </c>
    </row>
    <row r="215" spans="1:14" ht="24.75" x14ac:dyDescent="0.25">
      <c r="A215" s="21" t="s">
        <v>9638</v>
      </c>
      <c r="B215" s="22" t="s">
        <v>9639</v>
      </c>
      <c r="C215" s="2">
        <v>3</v>
      </c>
      <c r="D215" s="23">
        <v>8.31</v>
      </c>
      <c r="E215" s="3">
        <v>24.93</v>
      </c>
      <c r="F215" s="2" t="s">
        <v>11115</v>
      </c>
      <c r="G215" s="22" t="s">
        <v>19431</v>
      </c>
      <c r="H215" s="24" t="s">
        <v>19339</v>
      </c>
      <c r="I215" s="22" t="s">
        <v>19309</v>
      </c>
      <c r="J215" s="22" t="s">
        <v>19565</v>
      </c>
      <c r="K215" s="22" t="s">
        <v>18514</v>
      </c>
      <c r="L215" s="22"/>
      <c r="M215" s="22"/>
      <c r="N215" s="25" t="str">
        <f>HYPERLINK("http://slimages.macys.com/is/image/MCY/21901987 ")</f>
        <v xml:space="preserve">http://slimages.macys.com/is/image/MCY/21901987 </v>
      </c>
    </row>
    <row r="216" spans="1:14" ht="24.75" x14ac:dyDescent="0.25">
      <c r="A216" s="21" t="s">
        <v>3542</v>
      </c>
      <c r="B216" s="22" t="s">
        <v>3543</v>
      </c>
      <c r="C216" s="2">
        <v>1</v>
      </c>
      <c r="D216" s="23">
        <v>20</v>
      </c>
      <c r="E216" s="3">
        <v>20</v>
      </c>
      <c r="F216" s="2" t="s">
        <v>3544</v>
      </c>
      <c r="G216" s="22" t="s">
        <v>19528</v>
      </c>
      <c r="H216" s="24" t="s">
        <v>19324</v>
      </c>
      <c r="I216" s="22" t="s">
        <v>19309</v>
      </c>
      <c r="J216" s="22" t="s">
        <v>19417</v>
      </c>
      <c r="K216" s="22" t="s">
        <v>20110</v>
      </c>
      <c r="L216" s="22"/>
      <c r="M216" s="22"/>
      <c r="N216" s="25" t="str">
        <f>HYPERLINK("http://slimages.macys.com/is/image/MCY/20312985 ")</f>
        <v xml:space="preserve">http://slimages.macys.com/is/image/MCY/20312985 </v>
      </c>
    </row>
    <row r="217" spans="1:14" ht="24.75" x14ac:dyDescent="0.25">
      <c r="A217" s="21" t="s">
        <v>3545</v>
      </c>
      <c r="B217" s="22" t="s">
        <v>3546</v>
      </c>
      <c r="C217" s="2">
        <v>2</v>
      </c>
      <c r="D217" s="23">
        <v>9.4</v>
      </c>
      <c r="E217" s="3">
        <v>18.8</v>
      </c>
      <c r="F217" s="2" t="s">
        <v>3547</v>
      </c>
      <c r="G217" s="22" t="s">
        <v>19467</v>
      </c>
      <c r="H217" s="24" t="s">
        <v>19334</v>
      </c>
      <c r="I217" s="22" t="s">
        <v>19309</v>
      </c>
      <c r="J217" s="22" t="s">
        <v>19602</v>
      </c>
      <c r="K217" s="22" t="s">
        <v>20041</v>
      </c>
      <c r="L217" s="22"/>
      <c r="M217" s="22"/>
      <c r="N217" s="25" t="str">
        <f>HYPERLINK("http://slimages.macys.com/is/image/MCY/21669754 ")</f>
        <v xml:space="preserve">http://slimages.macys.com/is/image/MCY/21669754 </v>
      </c>
    </row>
    <row r="218" spans="1:14" ht="24.75" x14ac:dyDescent="0.25">
      <c r="A218" s="21" t="s">
        <v>3548</v>
      </c>
      <c r="B218" s="22" t="s">
        <v>3549</v>
      </c>
      <c r="C218" s="2">
        <v>5</v>
      </c>
      <c r="D218" s="23">
        <v>11.99</v>
      </c>
      <c r="E218" s="3">
        <v>59.95</v>
      </c>
      <c r="F218" s="2">
        <v>4217</v>
      </c>
      <c r="G218" s="22" t="s">
        <v>19422</v>
      </c>
      <c r="H218" s="24" t="s">
        <v>19352</v>
      </c>
      <c r="I218" s="22" t="s">
        <v>19309</v>
      </c>
      <c r="J218" s="22" t="s">
        <v>20076</v>
      </c>
      <c r="K218" s="22" t="s">
        <v>20077</v>
      </c>
      <c r="L218" s="22" t="s">
        <v>19319</v>
      </c>
      <c r="M218" s="22" t="s">
        <v>19209</v>
      </c>
      <c r="N218" s="25" t="str">
        <f>HYPERLINK("http://slimages.macys.com/is/image/MCY/13050192 ")</f>
        <v xml:space="preserve">http://slimages.macys.com/is/image/MCY/13050192 </v>
      </c>
    </row>
    <row r="219" spans="1:14" x14ac:dyDescent="0.25">
      <c r="A219" s="21" t="s">
        <v>3550</v>
      </c>
      <c r="B219" s="22" t="s">
        <v>3551</v>
      </c>
      <c r="C219" s="2">
        <v>1</v>
      </c>
      <c r="D219" s="23">
        <v>6.99</v>
      </c>
      <c r="E219" s="3">
        <v>6.99</v>
      </c>
      <c r="F219" s="2" t="s">
        <v>3552</v>
      </c>
      <c r="G219" s="22" t="s">
        <v>19618</v>
      </c>
      <c r="H219" s="24" t="s">
        <v>19364</v>
      </c>
      <c r="I219" s="22" t="s">
        <v>19309</v>
      </c>
      <c r="J219" s="22" t="s">
        <v>19849</v>
      </c>
      <c r="K219" s="22" t="s">
        <v>19850</v>
      </c>
      <c r="L219" s="22"/>
      <c r="M219" s="22"/>
      <c r="N219" s="25" t="str">
        <f>HYPERLINK("http://slimages.macys.com/is/image/MCY/19965765 ")</f>
        <v xml:space="preserve">http://slimages.macys.com/is/image/MCY/19965765 </v>
      </c>
    </row>
    <row r="220" spans="1:14" ht="24.75" x14ac:dyDescent="0.25">
      <c r="A220" s="21" t="s">
        <v>18884</v>
      </c>
      <c r="B220" s="22" t="s">
        <v>18885</v>
      </c>
      <c r="C220" s="2">
        <v>19</v>
      </c>
      <c r="D220" s="23">
        <v>8.99</v>
      </c>
      <c r="E220" s="3">
        <v>170.81</v>
      </c>
      <c r="F220" s="2" t="s">
        <v>18886</v>
      </c>
      <c r="G220" s="22" t="s">
        <v>19415</v>
      </c>
      <c r="H220" s="24" t="s">
        <v>19907</v>
      </c>
      <c r="I220" s="22" t="s">
        <v>19309</v>
      </c>
      <c r="J220" s="22" t="s">
        <v>19573</v>
      </c>
      <c r="K220" s="22" t="s">
        <v>19574</v>
      </c>
      <c r="L220" s="22"/>
      <c r="M220" s="22"/>
      <c r="N220" s="25" t="str">
        <f>HYPERLINK("http://slimages.macys.com/is/image/MCY/21361541 ")</f>
        <v xml:space="preserve">http://slimages.macys.com/is/image/MCY/21361541 </v>
      </c>
    </row>
    <row r="221" spans="1:14" ht="24.75" x14ac:dyDescent="0.25">
      <c r="A221" s="21" t="s">
        <v>3553</v>
      </c>
      <c r="B221" s="22" t="s">
        <v>3554</v>
      </c>
      <c r="C221" s="2">
        <v>7</v>
      </c>
      <c r="D221" s="23">
        <v>7.99</v>
      </c>
      <c r="E221" s="3">
        <v>55.93</v>
      </c>
      <c r="F221" s="2" t="s">
        <v>8604</v>
      </c>
      <c r="G221" s="22" t="s">
        <v>19618</v>
      </c>
      <c r="H221" s="24" t="s">
        <v>19907</v>
      </c>
      <c r="I221" s="22" t="s">
        <v>19309</v>
      </c>
      <c r="J221" s="22" t="s">
        <v>19573</v>
      </c>
      <c r="K221" s="22" t="s">
        <v>19574</v>
      </c>
      <c r="L221" s="22"/>
      <c r="M221" s="22"/>
      <c r="N221" s="25" t="str">
        <f>HYPERLINK("http://slimages.macys.com/is/image/MCY/19977728 ")</f>
        <v xml:space="preserve">http://slimages.macys.com/is/image/MCY/19977728 </v>
      </c>
    </row>
    <row r="222" spans="1:14" ht="24.75" x14ac:dyDescent="0.25">
      <c r="A222" s="21" t="s">
        <v>7124</v>
      </c>
      <c r="B222" s="22" t="s">
        <v>7125</v>
      </c>
      <c r="C222" s="2">
        <v>1</v>
      </c>
      <c r="D222" s="23">
        <v>7.99</v>
      </c>
      <c r="E222" s="3">
        <v>7.99</v>
      </c>
      <c r="F222" s="2" t="s">
        <v>7126</v>
      </c>
      <c r="G222" s="22" t="s">
        <v>19351</v>
      </c>
      <c r="H222" s="24" t="s">
        <v>20089</v>
      </c>
      <c r="I222" s="22" t="s">
        <v>19309</v>
      </c>
      <c r="J222" s="22" t="s">
        <v>19573</v>
      </c>
      <c r="K222" s="22" t="s">
        <v>19574</v>
      </c>
      <c r="L222" s="22"/>
      <c r="M222" s="22"/>
      <c r="N222" s="25" t="str">
        <f>HYPERLINK("http://slimages.macys.com/is/image/MCY/21361177 ")</f>
        <v xml:space="preserve">http://slimages.macys.com/is/image/MCY/21361177 </v>
      </c>
    </row>
    <row r="223" spans="1:14" ht="24.75" x14ac:dyDescent="0.25">
      <c r="A223" s="21" t="s">
        <v>18915</v>
      </c>
      <c r="B223" s="22" t="s">
        <v>18916</v>
      </c>
      <c r="C223" s="2">
        <v>24</v>
      </c>
      <c r="D223" s="23">
        <v>7.99</v>
      </c>
      <c r="E223" s="3">
        <v>191.76</v>
      </c>
      <c r="F223" s="2" t="s">
        <v>18914</v>
      </c>
      <c r="G223" s="22" t="s">
        <v>19431</v>
      </c>
      <c r="H223" s="24" t="s">
        <v>20089</v>
      </c>
      <c r="I223" s="22" t="s">
        <v>19309</v>
      </c>
      <c r="J223" s="22" t="s">
        <v>19573</v>
      </c>
      <c r="K223" s="22" t="s">
        <v>19574</v>
      </c>
      <c r="L223" s="22"/>
      <c r="M223" s="22"/>
      <c r="N223" s="25" t="str">
        <f>HYPERLINK("http://slimages.macys.com/is/image/MCY/21209393 ")</f>
        <v xml:space="preserve">http://slimages.macys.com/is/image/MCY/21209393 </v>
      </c>
    </row>
    <row r="224" spans="1:14" x14ac:dyDescent="0.25">
      <c r="A224" s="21" t="s">
        <v>6171</v>
      </c>
      <c r="B224" s="22" t="s">
        <v>6172</v>
      </c>
      <c r="C224" s="2">
        <v>1</v>
      </c>
      <c r="D224" s="23">
        <v>7.99</v>
      </c>
      <c r="E224" s="3">
        <v>7.99</v>
      </c>
      <c r="F224" s="2" t="s">
        <v>16840</v>
      </c>
      <c r="G224" s="22" t="s">
        <v>19674</v>
      </c>
      <c r="H224" s="24" t="s">
        <v>20089</v>
      </c>
      <c r="I224" s="22" t="s">
        <v>19309</v>
      </c>
      <c r="J224" s="22" t="s">
        <v>19849</v>
      </c>
      <c r="K224" s="22" t="s">
        <v>19850</v>
      </c>
      <c r="L224" s="22"/>
      <c r="M224" s="22"/>
      <c r="N224" s="25" t="str">
        <f>HYPERLINK("http://slimages.macys.com/is/image/MCY/19068277 ")</f>
        <v xml:space="preserve">http://slimages.macys.com/is/image/MCY/19068277 </v>
      </c>
    </row>
    <row r="225" spans="1:14" ht="24.75" x14ac:dyDescent="0.25">
      <c r="A225" s="21" t="s">
        <v>6192</v>
      </c>
      <c r="B225" s="22" t="s">
        <v>6193</v>
      </c>
      <c r="C225" s="2">
        <v>1</v>
      </c>
      <c r="D225" s="23">
        <v>6.99</v>
      </c>
      <c r="E225" s="3">
        <v>6.99</v>
      </c>
      <c r="F225" s="2" t="s">
        <v>6194</v>
      </c>
      <c r="G225" s="22" t="s">
        <v>19315</v>
      </c>
      <c r="H225" s="24" t="s">
        <v>19352</v>
      </c>
      <c r="I225" s="22" t="s">
        <v>19309</v>
      </c>
      <c r="J225" s="22" t="s">
        <v>19353</v>
      </c>
      <c r="K225" s="22" t="s">
        <v>19354</v>
      </c>
      <c r="L225" s="22"/>
      <c r="M225" s="22"/>
      <c r="N225" s="25" t="str">
        <f>HYPERLINK("http://slimages.macys.com/is/image/MCY/20737579 ")</f>
        <v xml:space="preserve">http://slimages.macys.com/is/image/MCY/20737579 </v>
      </c>
    </row>
    <row r="226" spans="1:14" ht="24.75" x14ac:dyDescent="0.25">
      <c r="A226" s="21" t="s">
        <v>3555</v>
      </c>
      <c r="B226" s="22" t="s">
        <v>3556</v>
      </c>
      <c r="C226" s="2">
        <v>1</v>
      </c>
      <c r="D226" s="23">
        <v>8.99</v>
      </c>
      <c r="E226" s="3">
        <v>8.99</v>
      </c>
      <c r="F226" s="2" t="s">
        <v>4912</v>
      </c>
      <c r="G226" s="22" t="s">
        <v>19415</v>
      </c>
      <c r="H226" s="24" t="s">
        <v>20135</v>
      </c>
      <c r="I226" s="22" t="s">
        <v>19309</v>
      </c>
      <c r="J226" s="22" t="s">
        <v>19573</v>
      </c>
      <c r="K226" s="22" t="s">
        <v>19574</v>
      </c>
      <c r="L226" s="22"/>
      <c r="M226" s="22"/>
      <c r="N226" s="25" t="str">
        <f>HYPERLINK("http://slimages.macys.com/is/image/MCY/1610400 ")</f>
        <v xml:space="preserve">http://slimages.macys.com/is/image/MCY/1610400 </v>
      </c>
    </row>
    <row r="227" spans="1:14" ht="24.75" x14ac:dyDescent="0.25">
      <c r="A227" s="21" t="s">
        <v>3557</v>
      </c>
      <c r="B227" s="22" t="s">
        <v>3558</v>
      </c>
      <c r="C227" s="2">
        <v>11</v>
      </c>
      <c r="D227" s="23">
        <v>8.99</v>
      </c>
      <c r="E227" s="3">
        <v>98.89</v>
      </c>
      <c r="F227" s="2" t="s">
        <v>4912</v>
      </c>
      <c r="G227" s="22" t="s">
        <v>19415</v>
      </c>
      <c r="H227" s="24" t="s">
        <v>20089</v>
      </c>
      <c r="I227" s="22" t="s">
        <v>19309</v>
      </c>
      <c r="J227" s="22" t="s">
        <v>19573</v>
      </c>
      <c r="K227" s="22" t="s">
        <v>19574</v>
      </c>
      <c r="L227" s="22"/>
      <c r="M227" s="22"/>
      <c r="N227" s="25" t="str">
        <f>HYPERLINK("http://slimages.macys.com/is/image/MCY/1610400 ")</f>
        <v xml:space="preserve">http://slimages.macys.com/is/image/MCY/1610400 </v>
      </c>
    </row>
    <row r="228" spans="1:14" ht="24.75" x14ac:dyDescent="0.25">
      <c r="A228" s="21" t="s">
        <v>3559</v>
      </c>
      <c r="B228" s="22" t="s">
        <v>3560</v>
      </c>
      <c r="C228" s="2">
        <v>1</v>
      </c>
      <c r="D228" s="23">
        <v>8.99</v>
      </c>
      <c r="E228" s="3">
        <v>8.99</v>
      </c>
      <c r="F228" s="2" t="s">
        <v>12542</v>
      </c>
      <c r="G228" s="22" t="s">
        <v>19462</v>
      </c>
      <c r="H228" s="24"/>
      <c r="I228" s="22" t="s">
        <v>19309</v>
      </c>
      <c r="J228" s="22" t="s">
        <v>19573</v>
      </c>
      <c r="K228" s="22" t="s">
        <v>19574</v>
      </c>
      <c r="L228" s="22"/>
      <c r="M228" s="22"/>
      <c r="N228" s="25" t="str">
        <f>HYPERLINK("http://slimages.macys.com/is/image/MCY/1520532 ")</f>
        <v xml:space="preserve">http://slimages.macys.com/is/image/MCY/1520532 </v>
      </c>
    </row>
    <row r="229" spans="1:14" ht="24.75" x14ac:dyDescent="0.25">
      <c r="A229" s="21" t="s">
        <v>14131</v>
      </c>
      <c r="B229" s="22" t="s">
        <v>14132</v>
      </c>
      <c r="C229" s="2">
        <v>2</v>
      </c>
      <c r="D229" s="23">
        <v>8.99</v>
      </c>
      <c r="E229" s="3">
        <v>17.98</v>
      </c>
      <c r="F229" s="2" t="s">
        <v>18984</v>
      </c>
      <c r="G229" s="22" t="s">
        <v>18429</v>
      </c>
      <c r="H229" s="24" t="s">
        <v>19364</v>
      </c>
      <c r="I229" s="22" t="s">
        <v>19309</v>
      </c>
      <c r="J229" s="22" t="s">
        <v>19815</v>
      </c>
      <c r="K229" s="22" t="s">
        <v>19816</v>
      </c>
      <c r="L229" s="22"/>
      <c r="M229" s="22"/>
      <c r="N229" s="25" t="str">
        <f>HYPERLINK("http://slimages.macys.com/is/image/MCY/21278530 ")</f>
        <v xml:space="preserve">http://slimages.macys.com/is/image/MCY/21278530 </v>
      </c>
    </row>
    <row r="230" spans="1:14" x14ac:dyDescent="0.25">
      <c r="A230" s="21" t="s">
        <v>6198</v>
      </c>
      <c r="B230" s="22" t="s">
        <v>6199</v>
      </c>
      <c r="C230" s="2">
        <v>1</v>
      </c>
      <c r="D230" s="23">
        <v>8.3000000000000007</v>
      </c>
      <c r="E230" s="3">
        <v>8.3000000000000007</v>
      </c>
      <c r="F230" s="2" t="s">
        <v>9667</v>
      </c>
      <c r="G230" s="22" t="s">
        <v>19431</v>
      </c>
      <c r="H230" s="24" t="s">
        <v>19416</v>
      </c>
      <c r="I230" s="22" t="s">
        <v>19309</v>
      </c>
      <c r="J230" s="22" t="s">
        <v>19708</v>
      </c>
      <c r="K230" s="22" t="s">
        <v>19709</v>
      </c>
      <c r="L230" s="22"/>
      <c r="M230" s="22"/>
      <c r="N230" s="25" t="str">
        <f>HYPERLINK("http://slimages.macys.com/is/image/MCY/21726415 ")</f>
        <v xml:space="preserve">http://slimages.macys.com/is/image/MCY/21726415 </v>
      </c>
    </row>
    <row r="231" spans="1:14" x14ac:dyDescent="0.25">
      <c r="A231" s="21" t="s">
        <v>9665</v>
      </c>
      <c r="B231" s="22" t="s">
        <v>9666</v>
      </c>
      <c r="C231" s="2">
        <v>14</v>
      </c>
      <c r="D231" s="23">
        <v>8.3000000000000007</v>
      </c>
      <c r="E231" s="3">
        <v>116.2</v>
      </c>
      <c r="F231" s="2" t="s">
        <v>9667</v>
      </c>
      <c r="G231" s="22" t="s">
        <v>19431</v>
      </c>
      <c r="H231" s="24" t="s">
        <v>20152</v>
      </c>
      <c r="I231" s="22" t="s">
        <v>19309</v>
      </c>
      <c r="J231" s="22" t="s">
        <v>19708</v>
      </c>
      <c r="K231" s="22" t="s">
        <v>19709</v>
      </c>
      <c r="L231" s="22"/>
      <c r="M231" s="22"/>
      <c r="N231" s="25" t="str">
        <f>HYPERLINK("http://slimages.macys.com/is/image/MCY/21726415 ")</f>
        <v xml:space="preserve">http://slimages.macys.com/is/image/MCY/21726415 </v>
      </c>
    </row>
    <row r="232" spans="1:14" x14ac:dyDescent="0.25">
      <c r="A232" s="21" t="s">
        <v>3561</v>
      </c>
      <c r="B232" s="22" t="s">
        <v>3562</v>
      </c>
      <c r="C232" s="2">
        <v>53</v>
      </c>
      <c r="D232" s="23">
        <v>8.3000000000000007</v>
      </c>
      <c r="E232" s="3">
        <v>439.9</v>
      </c>
      <c r="F232" s="2" t="s">
        <v>9667</v>
      </c>
      <c r="G232" s="22" t="s">
        <v>19431</v>
      </c>
      <c r="H232" s="24" t="s">
        <v>19770</v>
      </c>
      <c r="I232" s="22" t="s">
        <v>19309</v>
      </c>
      <c r="J232" s="22" t="s">
        <v>19708</v>
      </c>
      <c r="K232" s="22" t="s">
        <v>19709</v>
      </c>
      <c r="L232" s="22"/>
      <c r="M232" s="22"/>
      <c r="N232" s="25" t="str">
        <f>HYPERLINK("http://slimages.macys.com/is/image/MCY/21726415 ")</f>
        <v xml:space="preserve">http://slimages.macys.com/is/image/MCY/21726415 </v>
      </c>
    </row>
    <row r="233" spans="1:14" x14ac:dyDescent="0.25">
      <c r="A233" s="21" t="s">
        <v>3563</v>
      </c>
      <c r="B233" s="22" t="s">
        <v>3564</v>
      </c>
      <c r="C233" s="2">
        <v>1</v>
      </c>
      <c r="D233" s="23">
        <v>8.3000000000000007</v>
      </c>
      <c r="E233" s="3">
        <v>8.3000000000000007</v>
      </c>
      <c r="F233" s="2" t="s">
        <v>3565</v>
      </c>
      <c r="G233" s="22" t="s">
        <v>19333</v>
      </c>
      <c r="H233" s="24" t="s">
        <v>19330</v>
      </c>
      <c r="I233" s="22" t="s">
        <v>19309</v>
      </c>
      <c r="J233" s="22" t="s">
        <v>19708</v>
      </c>
      <c r="K233" s="22" t="s">
        <v>19709</v>
      </c>
      <c r="L233" s="22"/>
      <c r="M233" s="22"/>
      <c r="N233" s="25" t="str">
        <f>HYPERLINK("http://slimages.macys.com/is/image/MCY/21726387 ")</f>
        <v xml:space="preserve">http://slimages.macys.com/is/image/MCY/21726387 </v>
      </c>
    </row>
    <row r="234" spans="1:14" ht="24.75" x14ac:dyDescent="0.25">
      <c r="A234" s="21" t="s">
        <v>9668</v>
      </c>
      <c r="B234" s="22" t="s">
        <v>9669</v>
      </c>
      <c r="C234" s="2">
        <v>3</v>
      </c>
      <c r="D234" s="23">
        <v>7.99</v>
      </c>
      <c r="E234" s="3">
        <v>23.97</v>
      </c>
      <c r="F234" s="2" t="s">
        <v>9670</v>
      </c>
      <c r="G234" s="22" t="s">
        <v>19415</v>
      </c>
      <c r="H234" s="24" t="s">
        <v>19907</v>
      </c>
      <c r="I234" s="22" t="s">
        <v>19309</v>
      </c>
      <c r="J234" s="22" t="s">
        <v>19573</v>
      </c>
      <c r="K234" s="22" t="s">
        <v>19574</v>
      </c>
      <c r="L234" s="22"/>
      <c r="M234" s="22"/>
      <c r="N234" s="25" t="str">
        <f>HYPERLINK("http://slimages.macys.com/is/image/MCY/8695857 ")</f>
        <v xml:space="preserve">http://slimages.macys.com/is/image/MCY/8695857 </v>
      </c>
    </row>
    <row r="235" spans="1:14" ht="24.75" x14ac:dyDescent="0.25">
      <c r="A235" s="21" t="s">
        <v>3566</v>
      </c>
      <c r="B235" s="22" t="s">
        <v>3567</v>
      </c>
      <c r="C235" s="2">
        <v>1</v>
      </c>
      <c r="D235" s="23">
        <v>7.99</v>
      </c>
      <c r="E235" s="3">
        <v>7.99</v>
      </c>
      <c r="F235" s="2" t="s">
        <v>10081</v>
      </c>
      <c r="G235" s="22" t="s">
        <v>19431</v>
      </c>
      <c r="H235" s="24" t="s">
        <v>20089</v>
      </c>
      <c r="I235" s="22" t="s">
        <v>19309</v>
      </c>
      <c r="J235" s="22" t="s">
        <v>19573</v>
      </c>
      <c r="K235" s="22" t="s">
        <v>19574</v>
      </c>
      <c r="L235" s="22"/>
      <c r="M235" s="22"/>
      <c r="N235" s="25" t="str">
        <f>HYPERLINK("http://slimages.macys.com/is/image/MCY/21209149 ")</f>
        <v xml:space="preserve">http://slimages.macys.com/is/image/MCY/21209149 </v>
      </c>
    </row>
    <row r="236" spans="1:14" ht="24.75" x14ac:dyDescent="0.25">
      <c r="A236" s="21" t="s">
        <v>8021</v>
      </c>
      <c r="B236" s="22" t="s">
        <v>8022</v>
      </c>
      <c r="C236" s="2">
        <v>27</v>
      </c>
      <c r="D236" s="23">
        <v>7.99</v>
      </c>
      <c r="E236" s="3">
        <v>215.73</v>
      </c>
      <c r="F236" s="2" t="s">
        <v>11129</v>
      </c>
      <c r="G236" s="22" t="s">
        <v>19351</v>
      </c>
      <c r="H236" s="24" t="s">
        <v>20089</v>
      </c>
      <c r="I236" s="22" t="s">
        <v>19309</v>
      </c>
      <c r="J236" s="22" t="s">
        <v>19573</v>
      </c>
      <c r="K236" s="22" t="s">
        <v>19574</v>
      </c>
      <c r="L236" s="22"/>
      <c r="M236" s="22"/>
      <c r="N236" s="25" t="str">
        <f>HYPERLINK("http://slimages.macys.com/is/image/MCY/1610409 ")</f>
        <v xml:space="preserve">http://slimages.macys.com/is/image/MCY/1610409 </v>
      </c>
    </row>
    <row r="237" spans="1:14" ht="24.75" x14ac:dyDescent="0.25">
      <c r="A237" s="21" t="s">
        <v>11127</v>
      </c>
      <c r="B237" s="22" t="s">
        <v>11128</v>
      </c>
      <c r="C237" s="2">
        <v>11</v>
      </c>
      <c r="D237" s="23">
        <v>7.99</v>
      </c>
      <c r="E237" s="3">
        <v>87.89</v>
      </c>
      <c r="F237" s="2" t="s">
        <v>11129</v>
      </c>
      <c r="G237" s="22" t="s">
        <v>19351</v>
      </c>
      <c r="H237" s="24" t="s">
        <v>20135</v>
      </c>
      <c r="I237" s="22" t="s">
        <v>19309</v>
      </c>
      <c r="J237" s="22" t="s">
        <v>19573</v>
      </c>
      <c r="K237" s="22" t="s">
        <v>19574</v>
      </c>
      <c r="L237" s="22"/>
      <c r="M237" s="22"/>
      <c r="N237" s="25" t="str">
        <f>HYPERLINK("http://slimages.macys.com/is/image/MCY/1610409 ")</f>
        <v xml:space="preserve">http://slimages.macys.com/is/image/MCY/1610409 </v>
      </c>
    </row>
    <row r="238" spans="1:14" ht="24.75" x14ac:dyDescent="0.25">
      <c r="A238" s="21" t="s">
        <v>3568</v>
      </c>
      <c r="B238" s="22" t="s">
        <v>3569</v>
      </c>
      <c r="C238" s="2">
        <v>1</v>
      </c>
      <c r="D238" s="23">
        <v>6.99</v>
      </c>
      <c r="E238" s="3">
        <v>6.99</v>
      </c>
      <c r="F238" s="2" t="s">
        <v>17060</v>
      </c>
      <c r="G238" s="22" t="s">
        <v>19618</v>
      </c>
      <c r="H238" s="24" t="s">
        <v>19364</v>
      </c>
      <c r="I238" s="22" t="s">
        <v>19309</v>
      </c>
      <c r="J238" s="22" t="s">
        <v>19353</v>
      </c>
      <c r="K238" s="22" t="s">
        <v>19354</v>
      </c>
      <c r="L238" s="22"/>
      <c r="M238" s="22"/>
      <c r="N238" s="25" t="str">
        <f>HYPERLINK("http://slimages.macys.com/is/image/MCY/20737537 ")</f>
        <v xml:space="preserve">http://slimages.macys.com/is/image/MCY/20737537 </v>
      </c>
    </row>
    <row r="239" spans="1:14" ht="24.75" x14ac:dyDescent="0.25">
      <c r="A239" s="21" t="s">
        <v>3570</v>
      </c>
      <c r="B239" s="22" t="s">
        <v>3571</v>
      </c>
      <c r="C239" s="2">
        <v>18</v>
      </c>
      <c r="D239" s="23">
        <v>6.99</v>
      </c>
      <c r="E239" s="3">
        <v>125.82</v>
      </c>
      <c r="F239" s="2" t="s">
        <v>17155</v>
      </c>
      <c r="G239" s="22" t="s">
        <v>19674</v>
      </c>
      <c r="H239" s="24" t="s">
        <v>19538</v>
      </c>
      <c r="I239" s="22" t="s">
        <v>19309</v>
      </c>
      <c r="J239" s="22" t="s">
        <v>19573</v>
      </c>
      <c r="K239" s="22" t="s">
        <v>19574</v>
      </c>
      <c r="L239" s="22"/>
      <c r="M239" s="22"/>
      <c r="N239" s="25" t="str">
        <f>HYPERLINK("http://slimages.macys.com/is/image/MCY/14799396 ")</f>
        <v xml:space="preserve">http://slimages.macys.com/is/image/MCY/14799396 </v>
      </c>
    </row>
    <row r="240" spans="1:14" ht="24.75" x14ac:dyDescent="0.25">
      <c r="A240" s="21" t="s">
        <v>3572</v>
      </c>
      <c r="B240" s="22" t="s">
        <v>3573</v>
      </c>
      <c r="C240" s="2">
        <v>1</v>
      </c>
      <c r="D240" s="23">
        <v>7.99</v>
      </c>
      <c r="E240" s="3">
        <v>7.99</v>
      </c>
      <c r="F240" s="2" t="s">
        <v>8612</v>
      </c>
      <c r="G240" s="22" t="s">
        <v>19415</v>
      </c>
      <c r="H240" s="24" t="s">
        <v>19907</v>
      </c>
      <c r="I240" s="22" t="s">
        <v>19309</v>
      </c>
      <c r="J240" s="22" t="s">
        <v>19573</v>
      </c>
      <c r="K240" s="22" t="s">
        <v>19574</v>
      </c>
      <c r="L240" s="22"/>
      <c r="M240" s="22"/>
      <c r="N240" s="25" t="str">
        <f>HYPERLINK("http://slimages.macys.com/is/image/MCY/19217593 ")</f>
        <v xml:space="preserve">http://slimages.macys.com/is/image/MCY/19217593 </v>
      </c>
    </row>
    <row r="241" spans="1:14" ht="24.75" x14ac:dyDescent="0.25">
      <c r="A241" s="21" t="s">
        <v>3574</v>
      </c>
      <c r="B241" s="22" t="s">
        <v>3575</v>
      </c>
      <c r="C241" s="2">
        <v>1</v>
      </c>
      <c r="D241" s="23">
        <v>7.99</v>
      </c>
      <c r="E241" s="3">
        <v>7.99</v>
      </c>
      <c r="F241" s="2" t="s">
        <v>8612</v>
      </c>
      <c r="G241" s="22" t="s">
        <v>19415</v>
      </c>
      <c r="H241" s="24" t="s">
        <v>20135</v>
      </c>
      <c r="I241" s="22" t="s">
        <v>19309</v>
      </c>
      <c r="J241" s="22" t="s">
        <v>19573</v>
      </c>
      <c r="K241" s="22" t="s">
        <v>19574</v>
      </c>
      <c r="L241" s="22"/>
      <c r="M241" s="22"/>
      <c r="N241" s="25" t="str">
        <f>HYPERLINK("http://slimages.macys.com/is/image/MCY/19217593 ")</f>
        <v xml:space="preserve">http://slimages.macys.com/is/image/MCY/19217593 </v>
      </c>
    </row>
    <row r="242" spans="1:14" ht="24.75" x14ac:dyDescent="0.25">
      <c r="A242" s="21" t="s">
        <v>3576</v>
      </c>
      <c r="B242" s="22" t="s">
        <v>3577</v>
      </c>
      <c r="C242" s="2">
        <v>2</v>
      </c>
      <c r="D242" s="23">
        <v>7.99</v>
      </c>
      <c r="E242" s="3">
        <v>15.98</v>
      </c>
      <c r="F242" s="2" t="s">
        <v>3578</v>
      </c>
      <c r="G242" s="22" t="s">
        <v>19467</v>
      </c>
      <c r="H242" s="24" t="s">
        <v>20089</v>
      </c>
      <c r="I242" s="22" t="s">
        <v>19309</v>
      </c>
      <c r="J242" s="22" t="s">
        <v>19573</v>
      </c>
      <c r="K242" s="22" t="s">
        <v>19574</v>
      </c>
      <c r="L242" s="22"/>
      <c r="M242" s="22"/>
      <c r="N242" s="25" t="str">
        <f>HYPERLINK("http://slimages.macys.com/is/image/MCY/19217927 ")</f>
        <v xml:space="preserve">http://slimages.macys.com/is/image/MCY/19217927 </v>
      </c>
    </row>
    <row r="243" spans="1:14" ht="24.75" x14ac:dyDescent="0.25">
      <c r="A243" s="21" t="s">
        <v>9671</v>
      </c>
      <c r="B243" s="22" t="s">
        <v>9672</v>
      </c>
      <c r="C243" s="2">
        <v>1</v>
      </c>
      <c r="D243" s="23">
        <v>7.99</v>
      </c>
      <c r="E243" s="3">
        <v>7.99</v>
      </c>
      <c r="F243" s="2" t="s">
        <v>9673</v>
      </c>
      <c r="G243" s="22" t="s">
        <v>19674</v>
      </c>
      <c r="H243" s="24" t="s">
        <v>19907</v>
      </c>
      <c r="I243" s="22" t="s">
        <v>19309</v>
      </c>
      <c r="J243" s="22" t="s">
        <v>19573</v>
      </c>
      <c r="K243" s="22" t="s">
        <v>19574</v>
      </c>
      <c r="L243" s="22"/>
      <c r="M243" s="22"/>
      <c r="N243" s="25" t="str">
        <f>HYPERLINK("http://slimages.macys.com/is/image/MCY/20385955 ")</f>
        <v xml:space="preserve">http://slimages.macys.com/is/image/MCY/20385955 </v>
      </c>
    </row>
    <row r="244" spans="1:14" ht="24.75" x14ac:dyDescent="0.25">
      <c r="A244" s="21" t="s">
        <v>8149</v>
      </c>
      <c r="B244" s="22" t="s">
        <v>8150</v>
      </c>
      <c r="C244" s="2">
        <v>6</v>
      </c>
      <c r="D244" s="23">
        <v>7.99</v>
      </c>
      <c r="E244" s="3">
        <v>47.94</v>
      </c>
      <c r="F244" s="2" t="s">
        <v>17068</v>
      </c>
      <c r="G244" s="22" t="s">
        <v>19674</v>
      </c>
      <c r="H244" s="24" t="s">
        <v>19907</v>
      </c>
      <c r="I244" s="22" t="s">
        <v>19309</v>
      </c>
      <c r="J244" s="22" t="s">
        <v>19573</v>
      </c>
      <c r="K244" s="22" t="s">
        <v>19574</v>
      </c>
      <c r="L244" s="22"/>
      <c r="M244" s="22"/>
      <c r="N244" s="25" t="str">
        <f>HYPERLINK("http://slimages.macys.com/is/image/MCY/1554809 ")</f>
        <v xml:space="preserve">http://slimages.macys.com/is/image/MCY/1554809 </v>
      </c>
    </row>
    <row r="245" spans="1:14" ht="24.75" x14ac:dyDescent="0.25">
      <c r="A245" s="21" t="s">
        <v>4384</v>
      </c>
      <c r="B245" s="22" t="s">
        <v>4385</v>
      </c>
      <c r="C245" s="2">
        <v>1</v>
      </c>
      <c r="D245" s="23">
        <v>7.99</v>
      </c>
      <c r="E245" s="3">
        <v>7.99</v>
      </c>
      <c r="F245" s="2" t="s">
        <v>9216</v>
      </c>
      <c r="G245" s="22" t="s">
        <v>19618</v>
      </c>
      <c r="H245" s="24" t="s">
        <v>20135</v>
      </c>
      <c r="I245" s="22" t="s">
        <v>19309</v>
      </c>
      <c r="J245" s="22" t="s">
        <v>19573</v>
      </c>
      <c r="K245" s="22" t="s">
        <v>19574</v>
      </c>
      <c r="L245" s="22"/>
      <c r="M245" s="22"/>
      <c r="N245" s="25" t="str">
        <f>HYPERLINK("http://slimages.macys.com/is/image/MCY/21088469 ")</f>
        <v xml:space="preserve">http://slimages.macys.com/is/image/MCY/21088469 </v>
      </c>
    </row>
    <row r="246" spans="1:14" ht="24.75" x14ac:dyDescent="0.25">
      <c r="A246" s="21" t="s">
        <v>3579</v>
      </c>
      <c r="B246" s="22" t="s">
        <v>3580</v>
      </c>
      <c r="C246" s="2">
        <v>17</v>
      </c>
      <c r="D246" s="23">
        <v>7.99</v>
      </c>
      <c r="E246" s="3">
        <v>135.83000000000001</v>
      </c>
      <c r="F246" s="2" t="s">
        <v>4944</v>
      </c>
      <c r="G246" s="22" t="s">
        <v>19415</v>
      </c>
      <c r="H246" s="24" t="s">
        <v>20089</v>
      </c>
      <c r="I246" s="22" t="s">
        <v>19309</v>
      </c>
      <c r="J246" s="22" t="s">
        <v>19573</v>
      </c>
      <c r="K246" s="22" t="s">
        <v>19574</v>
      </c>
      <c r="L246" s="22"/>
      <c r="M246" s="22"/>
      <c r="N246" s="25" t="str">
        <f>HYPERLINK("http://slimages.macys.com/is/image/MCY/1594361 ")</f>
        <v xml:space="preserve">http://slimages.macys.com/is/image/MCY/1594361 </v>
      </c>
    </row>
    <row r="247" spans="1:14" ht="24.75" x14ac:dyDescent="0.25">
      <c r="A247" s="21" t="s">
        <v>3581</v>
      </c>
      <c r="B247" s="22" t="s">
        <v>3582</v>
      </c>
      <c r="C247" s="2">
        <v>1</v>
      </c>
      <c r="D247" s="23">
        <v>7.99</v>
      </c>
      <c r="E247" s="3">
        <v>7.99</v>
      </c>
      <c r="F247" s="2" t="s">
        <v>6232</v>
      </c>
      <c r="G247" s="22" t="s">
        <v>19351</v>
      </c>
      <c r="H247" s="24" t="s">
        <v>19907</v>
      </c>
      <c r="I247" s="22" t="s">
        <v>19309</v>
      </c>
      <c r="J247" s="22" t="s">
        <v>19573</v>
      </c>
      <c r="K247" s="22" t="s">
        <v>19574</v>
      </c>
      <c r="L247" s="22"/>
      <c r="M247" s="22"/>
      <c r="N247" s="25" t="str">
        <f>HYPERLINK("http://slimages.macys.com/is/image/MCY/1610403 ")</f>
        <v xml:space="preserve">http://slimages.macys.com/is/image/MCY/1610403 </v>
      </c>
    </row>
    <row r="248" spans="1:14" ht="24.75" x14ac:dyDescent="0.25">
      <c r="A248" s="21" t="s">
        <v>11139</v>
      </c>
      <c r="B248" s="22" t="s">
        <v>11140</v>
      </c>
      <c r="C248" s="2">
        <v>107</v>
      </c>
      <c r="D248" s="23">
        <v>7.99</v>
      </c>
      <c r="E248" s="3">
        <v>854.93</v>
      </c>
      <c r="F248" s="2" t="s">
        <v>17068</v>
      </c>
      <c r="G248" s="22" t="s">
        <v>19674</v>
      </c>
      <c r="H248" s="24" t="s">
        <v>19907</v>
      </c>
      <c r="I248" s="22" t="s">
        <v>19309</v>
      </c>
      <c r="J248" s="22" t="s">
        <v>19573</v>
      </c>
      <c r="K248" s="22" t="s">
        <v>19574</v>
      </c>
      <c r="L248" s="22"/>
      <c r="M248" s="22"/>
      <c r="N248" s="25" t="str">
        <f>HYPERLINK("http://slimages.macys.com/is/image/MCY/20757995 ")</f>
        <v xml:space="preserve">http://slimages.macys.com/is/image/MCY/20757995 </v>
      </c>
    </row>
    <row r="249" spans="1:14" ht="24.75" x14ac:dyDescent="0.25">
      <c r="A249" s="21" t="s">
        <v>7158</v>
      </c>
      <c r="B249" s="22" t="s">
        <v>7159</v>
      </c>
      <c r="C249" s="2">
        <v>18</v>
      </c>
      <c r="D249" s="23">
        <v>6.99</v>
      </c>
      <c r="E249" s="3">
        <v>125.82</v>
      </c>
      <c r="F249" s="2" t="s">
        <v>7160</v>
      </c>
      <c r="G249" s="22" t="s">
        <v>19906</v>
      </c>
      <c r="H249" s="24" t="s">
        <v>19538</v>
      </c>
      <c r="I249" s="22" t="s">
        <v>19309</v>
      </c>
      <c r="J249" s="22" t="s">
        <v>19573</v>
      </c>
      <c r="K249" s="22" t="s">
        <v>19574</v>
      </c>
      <c r="L249" s="22"/>
      <c r="M249" s="22"/>
      <c r="N249" s="25" t="str">
        <f>HYPERLINK("http://slimages.macys.com/is/image/MCY/1554928 ")</f>
        <v xml:space="preserve">http://slimages.macys.com/is/image/MCY/1554928 </v>
      </c>
    </row>
    <row r="250" spans="1:14" ht="24.75" x14ac:dyDescent="0.25">
      <c r="A250" s="21" t="s">
        <v>3583</v>
      </c>
      <c r="B250" s="22" t="s">
        <v>3584</v>
      </c>
      <c r="C250" s="2">
        <v>1</v>
      </c>
      <c r="D250" s="23">
        <v>6.99</v>
      </c>
      <c r="E250" s="3">
        <v>6.99</v>
      </c>
      <c r="F250" s="2" t="s">
        <v>7163</v>
      </c>
      <c r="G250" s="22" t="s">
        <v>19351</v>
      </c>
      <c r="H250" s="24" t="s">
        <v>19330</v>
      </c>
      <c r="I250" s="22" t="s">
        <v>19309</v>
      </c>
      <c r="J250" s="22" t="s">
        <v>19573</v>
      </c>
      <c r="K250" s="22" t="s">
        <v>19574</v>
      </c>
      <c r="L250" s="22"/>
      <c r="M250" s="22"/>
      <c r="N250" s="25" t="str">
        <f>HYPERLINK("http://slimages.macys.com/is/image/MCY/19977838 ")</f>
        <v xml:space="preserve">http://slimages.macys.com/is/image/MCY/19977838 </v>
      </c>
    </row>
    <row r="251" spans="1:14" ht="24.75" x14ac:dyDescent="0.25">
      <c r="A251" s="21" t="s">
        <v>8460</v>
      </c>
      <c r="B251" s="22" t="s">
        <v>8461</v>
      </c>
      <c r="C251" s="2">
        <v>1</v>
      </c>
      <c r="D251" s="23">
        <v>7.99</v>
      </c>
      <c r="E251" s="3">
        <v>7.99</v>
      </c>
      <c r="F251" s="2" t="s">
        <v>8365</v>
      </c>
      <c r="G251" s="22" t="s">
        <v>19618</v>
      </c>
      <c r="H251" s="24" t="s">
        <v>20135</v>
      </c>
      <c r="I251" s="22" t="s">
        <v>19309</v>
      </c>
      <c r="J251" s="22" t="s">
        <v>19573</v>
      </c>
      <c r="K251" s="22" t="s">
        <v>19574</v>
      </c>
      <c r="L251" s="22"/>
      <c r="M251" s="22"/>
      <c r="N251" s="25" t="str">
        <f>HYPERLINK("http://slimages.macys.com/is/image/MCY/1610409 ")</f>
        <v xml:space="preserve">http://slimages.macys.com/is/image/MCY/1610409 </v>
      </c>
    </row>
    <row r="252" spans="1:14" ht="24.75" x14ac:dyDescent="0.25">
      <c r="A252" s="21" t="s">
        <v>3585</v>
      </c>
      <c r="B252" s="22" t="s">
        <v>3586</v>
      </c>
      <c r="C252" s="2">
        <v>1</v>
      </c>
      <c r="D252" s="23">
        <v>7.99</v>
      </c>
      <c r="E252" s="3">
        <v>7.99</v>
      </c>
      <c r="F252" s="2" t="s">
        <v>9686</v>
      </c>
      <c r="G252" s="22" t="s">
        <v>19351</v>
      </c>
      <c r="H252" s="24" t="s">
        <v>19907</v>
      </c>
      <c r="I252" s="22" t="s">
        <v>19309</v>
      </c>
      <c r="J252" s="22" t="s">
        <v>19573</v>
      </c>
      <c r="K252" s="22" t="s">
        <v>19574</v>
      </c>
      <c r="L252" s="22"/>
      <c r="M252" s="22"/>
      <c r="N252" s="25" t="str">
        <f>HYPERLINK("http://slimages.macys.com/is/image/MCY/21209408 ")</f>
        <v xml:space="preserve">http://slimages.macys.com/is/image/MCY/21209408 </v>
      </c>
    </row>
    <row r="253" spans="1:14" ht="24.75" x14ac:dyDescent="0.25">
      <c r="A253" s="21" t="s">
        <v>3587</v>
      </c>
      <c r="B253" s="22" t="s">
        <v>3588</v>
      </c>
      <c r="C253" s="2">
        <v>1</v>
      </c>
      <c r="D253" s="23">
        <v>6.99</v>
      </c>
      <c r="E253" s="3">
        <v>6.99</v>
      </c>
      <c r="F253" s="2" t="s">
        <v>3589</v>
      </c>
      <c r="G253" s="22" t="s">
        <v>19467</v>
      </c>
      <c r="H253" s="24" t="s">
        <v>19384</v>
      </c>
      <c r="I253" s="22" t="s">
        <v>19309</v>
      </c>
      <c r="J253" s="22" t="s">
        <v>19573</v>
      </c>
      <c r="K253" s="22" t="s">
        <v>19574</v>
      </c>
      <c r="L253" s="22"/>
      <c r="M253" s="22"/>
      <c r="N253" s="25" t="str">
        <f>HYPERLINK("http://slimages.macys.com/is/image/MCY/20466473 ")</f>
        <v xml:space="preserve">http://slimages.macys.com/is/image/MCY/20466473 </v>
      </c>
    </row>
    <row r="254" spans="1:14" ht="24.75" x14ac:dyDescent="0.25">
      <c r="A254" s="21" t="s">
        <v>11141</v>
      </c>
      <c r="B254" s="22" t="s">
        <v>11142</v>
      </c>
      <c r="C254" s="2">
        <v>4</v>
      </c>
      <c r="D254" s="23">
        <v>7.99</v>
      </c>
      <c r="E254" s="3">
        <v>31.96</v>
      </c>
      <c r="F254" s="2" t="s">
        <v>11143</v>
      </c>
      <c r="G254" s="22" t="s">
        <v>19670</v>
      </c>
      <c r="H254" s="24" t="s">
        <v>20135</v>
      </c>
      <c r="I254" s="22" t="s">
        <v>19309</v>
      </c>
      <c r="J254" s="22" t="s">
        <v>19573</v>
      </c>
      <c r="K254" s="22" t="s">
        <v>19574</v>
      </c>
      <c r="L254" s="22"/>
      <c r="M254" s="22"/>
      <c r="N254" s="25" t="str">
        <f>HYPERLINK("http://slimages.macys.com/is/image/MCY/21209533 ")</f>
        <v xml:space="preserve">http://slimages.macys.com/is/image/MCY/21209533 </v>
      </c>
    </row>
    <row r="255" spans="1:14" ht="24.75" x14ac:dyDescent="0.25">
      <c r="A255" s="21" t="s">
        <v>8366</v>
      </c>
      <c r="B255" s="22" t="s">
        <v>8367</v>
      </c>
      <c r="C255" s="2">
        <v>53</v>
      </c>
      <c r="D255" s="23">
        <v>7.99</v>
      </c>
      <c r="E255" s="3">
        <v>423.47</v>
      </c>
      <c r="F255" s="2" t="s">
        <v>9689</v>
      </c>
      <c r="G255" s="22" t="s">
        <v>19674</v>
      </c>
      <c r="H255" s="24" t="s">
        <v>19907</v>
      </c>
      <c r="I255" s="22" t="s">
        <v>19309</v>
      </c>
      <c r="J255" s="22" t="s">
        <v>19573</v>
      </c>
      <c r="K255" s="22" t="s">
        <v>19574</v>
      </c>
      <c r="L255" s="22"/>
      <c r="M255" s="22"/>
      <c r="N255" s="25" t="str">
        <f>HYPERLINK("http://slimages.macys.com/is/image/MCY/21361805 ")</f>
        <v xml:space="preserve">http://slimages.macys.com/is/image/MCY/21361805 </v>
      </c>
    </row>
    <row r="256" spans="1:14" ht="24.75" x14ac:dyDescent="0.25">
      <c r="A256" s="21" t="s">
        <v>3590</v>
      </c>
      <c r="B256" s="22" t="s">
        <v>3591</v>
      </c>
      <c r="C256" s="2">
        <v>35</v>
      </c>
      <c r="D256" s="23">
        <v>7.99</v>
      </c>
      <c r="E256" s="3">
        <v>279.64999999999998</v>
      </c>
      <c r="F256" s="2" t="s">
        <v>9689</v>
      </c>
      <c r="G256" s="22" t="s">
        <v>19674</v>
      </c>
      <c r="H256" s="24" t="s">
        <v>20135</v>
      </c>
      <c r="I256" s="22" t="s">
        <v>19309</v>
      </c>
      <c r="J256" s="22" t="s">
        <v>19573</v>
      </c>
      <c r="K256" s="22" t="s">
        <v>19574</v>
      </c>
      <c r="L256" s="22"/>
      <c r="M256" s="22"/>
      <c r="N256" s="25" t="str">
        <f>HYPERLINK("http://slimages.macys.com/is/image/MCY/21361805 ")</f>
        <v xml:space="preserve">http://slimages.macys.com/is/image/MCY/21361805 </v>
      </c>
    </row>
    <row r="257" spans="1:14" ht="24.75" x14ac:dyDescent="0.25">
      <c r="A257" s="21" t="s">
        <v>9246</v>
      </c>
      <c r="B257" s="22" t="s">
        <v>9247</v>
      </c>
      <c r="C257" s="2">
        <v>49</v>
      </c>
      <c r="D257" s="23">
        <v>7.99</v>
      </c>
      <c r="E257" s="3">
        <v>391.51</v>
      </c>
      <c r="F257" s="2" t="s">
        <v>11143</v>
      </c>
      <c r="G257" s="22" t="s">
        <v>19670</v>
      </c>
      <c r="H257" s="24" t="s">
        <v>20089</v>
      </c>
      <c r="I257" s="22" t="s">
        <v>19309</v>
      </c>
      <c r="J257" s="22" t="s">
        <v>19573</v>
      </c>
      <c r="K257" s="22" t="s">
        <v>19574</v>
      </c>
      <c r="L257" s="22"/>
      <c r="M257" s="22"/>
      <c r="N257" s="25" t="str">
        <f>HYPERLINK("http://slimages.macys.com/is/image/MCY/21209533 ")</f>
        <v xml:space="preserve">http://slimages.macys.com/is/image/MCY/21209533 </v>
      </c>
    </row>
    <row r="258" spans="1:14" ht="24.75" x14ac:dyDescent="0.25">
      <c r="A258" s="21" t="s">
        <v>19117</v>
      </c>
      <c r="B258" s="22" t="s">
        <v>19118</v>
      </c>
      <c r="C258" s="2">
        <v>14</v>
      </c>
      <c r="D258" s="23">
        <v>5.99</v>
      </c>
      <c r="E258" s="3">
        <v>83.86</v>
      </c>
      <c r="F258" s="2" t="s">
        <v>19109</v>
      </c>
      <c r="G258" s="22" t="s">
        <v>19670</v>
      </c>
      <c r="H258" s="24" t="s">
        <v>19538</v>
      </c>
      <c r="I258" s="22" t="s">
        <v>19309</v>
      </c>
      <c r="J258" s="22" t="s">
        <v>19573</v>
      </c>
      <c r="K258" s="22" t="s">
        <v>19574</v>
      </c>
      <c r="L258" s="22"/>
      <c r="M258" s="22"/>
      <c r="N258" s="25" t="str">
        <f>HYPERLINK("http://slimages.macys.com/is/image/MCY/21209381 ")</f>
        <v xml:space="preserve">http://slimages.macys.com/is/image/MCY/21209381 </v>
      </c>
    </row>
    <row r="259" spans="1:14" ht="24.75" x14ac:dyDescent="0.25">
      <c r="A259" s="21" t="s">
        <v>19107</v>
      </c>
      <c r="B259" s="22" t="s">
        <v>19108</v>
      </c>
      <c r="C259" s="2">
        <v>40</v>
      </c>
      <c r="D259" s="23">
        <v>5.99</v>
      </c>
      <c r="E259" s="3">
        <v>239.6</v>
      </c>
      <c r="F259" s="2" t="s">
        <v>19109</v>
      </c>
      <c r="G259" s="22" t="s">
        <v>19670</v>
      </c>
      <c r="H259" s="24" t="s">
        <v>19384</v>
      </c>
      <c r="I259" s="22" t="s">
        <v>19309</v>
      </c>
      <c r="J259" s="22" t="s">
        <v>19573</v>
      </c>
      <c r="K259" s="22" t="s">
        <v>19574</v>
      </c>
      <c r="L259" s="22"/>
      <c r="M259" s="22"/>
      <c r="N259" s="25" t="str">
        <f>HYPERLINK("http://slimages.macys.com/is/image/MCY/1734374 ")</f>
        <v xml:space="preserve">http://slimages.macys.com/is/image/MCY/1734374 </v>
      </c>
    </row>
    <row r="260" spans="1:14" ht="24.75" x14ac:dyDescent="0.25">
      <c r="A260" s="21" t="s">
        <v>4405</v>
      </c>
      <c r="B260" s="22" t="s">
        <v>4406</v>
      </c>
      <c r="C260" s="2">
        <v>1</v>
      </c>
      <c r="D260" s="23">
        <v>7.99</v>
      </c>
      <c r="E260" s="3">
        <v>7.99</v>
      </c>
      <c r="F260" s="2" t="s">
        <v>8370</v>
      </c>
      <c r="G260" s="22" t="s">
        <v>19415</v>
      </c>
      <c r="H260" s="24" t="s">
        <v>19907</v>
      </c>
      <c r="I260" s="22" t="s">
        <v>19309</v>
      </c>
      <c r="J260" s="22" t="s">
        <v>19573</v>
      </c>
      <c r="K260" s="22" t="s">
        <v>19574</v>
      </c>
      <c r="L260" s="22"/>
      <c r="M260" s="22"/>
      <c r="N260" s="25" t="str">
        <f>HYPERLINK("http://slimages.macys.com/is/image/MCY/1610409 ")</f>
        <v xml:space="preserve">http://slimages.macys.com/is/image/MCY/1610409 </v>
      </c>
    </row>
    <row r="261" spans="1:14" ht="24.75" x14ac:dyDescent="0.25">
      <c r="A261" s="21" t="s">
        <v>3592</v>
      </c>
      <c r="B261" s="22" t="s">
        <v>3593</v>
      </c>
      <c r="C261" s="2">
        <v>1</v>
      </c>
      <c r="D261" s="23">
        <v>7.99</v>
      </c>
      <c r="E261" s="3">
        <v>7.99</v>
      </c>
      <c r="F261" s="2" t="s">
        <v>14802</v>
      </c>
      <c r="G261" s="22" t="s">
        <v>19431</v>
      </c>
      <c r="H261" s="24" t="s">
        <v>20135</v>
      </c>
      <c r="I261" s="22" t="s">
        <v>19309</v>
      </c>
      <c r="J261" s="22" t="s">
        <v>19573</v>
      </c>
      <c r="K261" s="22" t="s">
        <v>19574</v>
      </c>
      <c r="L261" s="22"/>
      <c r="M261" s="22"/>
      <c r="N261" s="25" t="str">
        <f>HYPERLINK("http://slimages.macys.com/is/image/MCY/21209617 ")</f>
        <v xml:space="preserve">http://slimages.macys.com/is/image/MCY/21209617 </v>
      </c>
    </row>
    <row r="262" spans="1:14" ht="24.75" x14ac:dyDescent="0.25">
      <c r="A262" s="21" t="s">
        <v>11149</v>
      </c>
      <c r="B262" s="22" t="s">
        <v>11150</v>
      </c>
      <c r="C262" s="2">
        <v>3</v>
      </c>
      <c r="D262" s="23">
        <v>7.99</v>
      </c>
      <c r="E262" s="3">
        <v>23.97</v>
      </c>
      <c r="F262" s="2" t="s">
        <v>11146</v>
      </c>
      <c r="G262" s="22" t="s">
        <v>19351</v>
      </c>
      <c r="H262" s="24" t="s">
        <v>19907</v>
      </c>
      <c r="I262" s="22" t="s">
        <v>19309</v>
      </c>
      <c r="J262" s="22" t="s">
        <v>19573</v>
      </c>
      <c r="K262" s="22" t="s">
        <v>19574</v>
      </c>
      <c r="L262" s="22"/>
      <c r="M262" s="22"/>
      <c r="N262" s="25" t="str">
        <f>HYPERLINK("http://slimages.macys.com/is/image/MCY/21209295 ")</f>
        <v xml:space="preserve">http://slimages.macys.com/is/image/MCY/21209295 </v>
      </c>
    </row>
    <row r="263" spans="1:14" ht="24.75" x14ac:dyDescent="0.25">
      <c r="A263" s="21" t="s">
        <v>3594</v>
      </c>
      <c r="B263" s="22" t="s">
        <v>3595</v>
      </c>
      <c r="C263" s="2">
        <v>1</v>
      </c>
      <c r="D263" s="23">
        <v>6.99</v>
      </c>
      <c r="E263" s="3">
        <v>6.99</v>
      </c>
      <c r="F263" s="2" t="s">
        <v>3596</v>
      </c>
      <c r="G263" s="22" t="s">
        <v>19422</v>
      </c>
      <c r="H263" s="24" t="s">
        <v>19324</v>
      </c>
      <c r="I263" s="22" t="s">
        <v>19309</v>
      </c>
      <c r="J263" s="22" t="s">
        <v>19573</v>
      </c>
      <c r="K263" s="22" t="s">
        <v>19574</v>
      </c>
      <c r="L263" s="22"/>
      <c r="M263" s="22"/>
      <c r="N263" s="25" t="str">
        <f>HYPERLINK("http://slimages.macys.com/is/image/MCY/19507838 ")</f>
        <v xml:space="preserve">http://slimages.macys.com/is/image/MCY/19507838 </v>
      </c>
    </row>
    <row r="264" spans="1:14" ht="24.75" x14ac:dyDescent="0.25">
      <c r="A264" s="21" t="s">
        <v>3597</v>
      </c>
      <c r="B264" s="22" t="s">
        <v>3598</v>
      </c>
      <c r="C264" s="2">
        <v>1</v>
      </c>
      <c r="D264" s="23">
        <v>5.99</v>
      </c>
      <c r="E264" s="3">
        <v>5.99</v>
      </c>
      <c r="F264" s="2" t="s">
        <v>6280</v>
      </c>
      <c r="G264" s="22" t="s">
        <v>19618</v>
      </c>
      <c r="H264" s="24" t="s">
        <v>19384</v>
      </c>
      <c r="I264" s="22" t="s">
        <v>19309</v>
      </c>
      <c r="J264" s="22" t="s">
        <v>19573</v>
      </c>
      <c r="K264" s="22" t="s">
        <v>19574</v>
      </c>
      <c r="L264" s="22"/>
      <c r="M264" s="22"/>
      <c r="N264" s="25" t="str">
        <f>HYPERLINK("http://slimages.macys.com/is/image/MCY/21089251 ")</f>
        <v xml:space="preserve">http://slimages.macys.com/is/image/MCY/21089251 </v>
      </c>
    </row>
    <row r="265" spans="1:14" ht="24.75" x14ac:dyDescent="0.25">
      <c r="A265" s="21" t="s">
        <v>11157</v>
      </c>
      <c r="B265" s="22" t="s">
        <v>11158</v>
      </c>
      <c r="C265" s="2">
        <v>1</v>
      </c>
      <c r="D265" s="23">
        <v>5.99</v>
      </c>
      <c r="E265" s="3">
        <v>5.99</v>
      </c>
      <c r="F265" s="2" t="s">
        <v>11156</v>
      </c>
      <c r="G265" s="22" t="s">
        <v>19351</v>
      </c>
      <c r="H265" s="24" t="s">
        <v>19324</v>
      </c>
      <c r="I265" s="22" t="s">
        <v>19309</v>
      </c>
      <c r="J265" s="22" t="s">
        <v>19573</v>
      </c>
      <c r="K265" s="22" t="s">
        <v>19574</v>
      </c>
      <c r="L265" s="22"/>
      <c r="M265" s="22"/>
      <c r="N265" s="25" t="str">
        <f>HYPERLINK("http://slimages.macys.com/is/image/MCY/1586539 ")</f>
        <v xml:space="preserve">http://slimages.macys.com/is/image/MCY/1586539 </v>
      </c>
    </row>
    <row r="266" spans="1:14" ht="24.75" x14ac:dyDescent="0.25">
      <c r="A266" s="21" t="s">
        <v>9702</v>
      </c>
      <c r="B266" s="22" t="s">
        <v>9703</v>
      </c>
      <c r="C266" s="2">
        <v>2</v>
      </c>
      <c r="D266" s="23">
        <v>5.99</v>
      </c>
      <c r="E266" s="3">
        <v>11.98</v>
      </c>
      <c r="F266" s="2" t="s">
        <v>11156</v>
      </c>
      <c r="G266" s="22" t="s">
        <v>19351</v>
      </c>
      <c r="H266" s="24" t="s">
        <v>19330</v>
      </c>
      <c r="I266" s="22" t="s">
        <v>19309</v>
      </c>
      <c r="J266" s="22" t="s">
        <v>19573</v>
      </c>
      <c r="K266" s="22" t="s">
        <v>19574</v>
      </c>
      <c r="L266" s="22"/>
      <c r="M266" s="22"/>
      <c r="N266" s="25" t="str">
        <f>HYPERLINK("http://slimages.macys.com/is/image/MCY/1586539 ")</f>
        <v xml:space="preserve">http://slimages.macys.com/is/image/MCY/1586539 </v>
      </c>
    </row>
    <row r="267" spans="1:14" ht="24.75" x14ac:dyDescent="0.25">
      <c r="A267" s="21" t="s">
        <v>12633</v>
      </c>
      <c r="B267" s="22" t="s">
        <v>12634</v>
      </c>
      <c r="C267" s="2">
        <v>1</v>
      </c>
      <c r="D267" s="23">
        <v>7.99</v>
      </c>
      <c r="E267" s="3">
        <v>7.99</v>
      </c>
      <c r="F267" s="2" t="s">
        <v>13483</v>
      </c>
      <c r="G267" s="22" t="s">
        <v>19415</v>
      </c>
      <c r="H267" s="24" t="s">
        <v>19907</v>
      </c>
      <c r="I267" s="22" t="s">
        <v>19309</v>
      </c>
      <c r="J267" s="22" t="s">
        <v>19573</v>
      </c>
      <c r="K267" s="22" t="s">
        <v>19574</v>
      </c>
      <c r="L267" s="22"/>
      <c r="M267" s="22"/>
      <c r="N267" s="25" t="str">
        <f>HYPERLINK("http://slimages.macys.com/is/image/MCY/22078179 ")</f>
        <v xml:space="preserve">http://slimages.macys.com/is/image/MCY/22078179 </v>
      </c>
    </row>
    <row r="268" spans="1:14" ht="24.75" x14ac:dyDescent="0.25">
      <c r="A268" s="21" t="s">
        <v>3599</v>
      </c>
      <c r="B268" s="22" t="s">
        <v>3600</v>
      </c>
      <c r="C268" s="2">
        <v>1</v>
      </c>
      <c r="D268" s="23">
        <v>5.99</v>
      </c>
      <c r="E268" s="3">
        <v>5.99</v>
      </c>
      <c r="F268" s="2" t="s">
        <v>19173</v>
      </c>
      <c r="G268" s="22" t="s">
        <v>18439</v>
      </c>
      <c r="H268" s="24" t="s">
        <v>19330</v>
      </c>
      <c r="I268" s="22" t="s">
        <v>19309</v>
      </c>
      <c r="J268" s="22" t="s">
        <v>19573</v>
      </c>
      <c r="K268" s="22" t="s">
        <v>19574</v>
      </c>
      <c r="L268" s="22"/>
      <c r="M268" s="22"/>
      <c r="N268" s="25" t="str">
        <f>HYPERLINK("http://slimages.macys.com/is/image/MCY/20759560 ")</f>
        <v xml:space="preserve">http://slimages.macys.com/is/image/MCY/20759560 </v>
      </c>
    </row>
    <row r="269" spans="1:14" ht="24.75" x14ac:dyDescent="0.25">
      <c r="A269" s="21" t="s">
        <v>13489</v>
      </c>
      <c r="B269" s="22" t="s">
        <v>13490</v>
      </c>
      <c r="C269" s="2">
        <v>1</v>
      </c>
      <c r="D269" s="23">
        <v>5.99</v>
      </c>
      <c r="E269" s="3">
        <v>5.99</v>
      </c>
      <c r="F269" s="2" t="s">
        <v>19173</v>
      </c>
      <c r="G269" s="22" t="s">
        <v>19518</v>
      </c>
      <c r="H269" s="24" t="s">
        <v>19538</v>
      </c>
      <c r="I269" s="22" t="s">
        <v>19309</v>
      </c>
      <c r="J269" s="22" t="s">
        <v>19573</v>
      </c>
      <c r="K269" s="22" t="s">
        <v>19574</v>
      </c>
      <c r="L269" s="22"/>
      <c r="M269" s="22"/>
      <c r="N269" s="25" t="str">
        <f>HYPERLINK("http://slimages.macys.com/is/image/MCY/21110507 ")</f>
        <v xml:space="preserve">http://slimages.macys.com/is/image/MCY/21110507 </v>
      </c>
    </row>
    <row r="270" spans="1:14" ht="24.75" x14ac:dyDescent="0.25">
      <c r="A270" s="21" t="s">
        <v>3601</v>
      </c>
      <c r="B270" s="22" t="s">
        <v>3602</v>
      </c>
      <c r="C270" s="2">
        <v>1</v>
      </c>
      <c r="D270" s="23">
        <v>6.99</v>
      </c>
      <c r="E270" s="3">
        <v>6.99</v>
      </c>
      <c r="F270" s="2" t="s">
        <v>11161</v>
      </c>
      <c r="G270" s="22" t="s">
        <v>19713</v>
      </c>
      <c r="H270" s="24" t="s">
        <v>19384</v>
      </c>
      <c r="I270" s="22" t="s">
        <v>19309</v>
      </c>
      <c r="J270" s="22" t="s">
        <v>19573</v>
      </c>
      <c r="K270" s="22" t="s">
        <v>19574</v>
      </c>
      <c r="L270" s="22"/>
      <c r="M270" s="22"/>
      <c r="N270" s="25" t="str">
        <f>HYPERLINK("http://slimages.macys.com/is/image/MCY/19217593 ")</f>
        <v xml:space="preserve">http://slimages.macys.com/is/image/MCY/19217593 </v>
      </c>
    </row>
    <row r="271" spans="1:14" ht="24.75" x14ac:dyDescent="0.25">
      <c r="A271" s="21" t="s">
        <v>19178</v>
      </c>
      <c r="B271" s="22" t="s">
        <v>19179</v>
      </c>
      <c r="C271" s="2">
        <v>7</v>
      </c>
      <c r="D271" s="23">
        <v>5.99</v>
      </c>
      <c r="E271" s="3">
        <v>41.93</v>
      </c>
      <c r="F271" s="2" t="s">
        <v>19180</v>
      </c>
      <c r="G271" s="22" t="s">
        <v>19477</v>
      </c>
      <c r="H271" s="24" t="s">
        <v>19384</v>
      </c>
      <c r="I271" s="22" t="s">
        <v>19309</v>
      </c>
      <c r="J271" s="22" t="s">
        <v>19573</v>
      </c>
      <c r="K271" s="22" t="s">
        <v>19574</v>
      </c>
      <c r="L271" s="22"/>
      <c r="M271" s="22"/>
      <c r="N271" s="25" t="str">
        <f>HYPERLINK("http://slimages.macys.com/is/image/MCY/1521974 ")</f>
        <v xml:space="preserve">http://slimages.macys.com/is/image/MCY/1521974 </v>
      </c>
    </row>
    <row r="272" spans="1:14" ht="24.75" x14ac:dyDescent="0.25">
      <c r="A272" s="21" t="s">
        <v>19196</v>
      </c>
      <c r="B272" s="22" t="s">
        <v>19197</v>
      </c>
      <c r="C272" s="2">
        <v>1</v>
      </c>
      <c r="D272" s="23">
        <v>5.99</v>
      </c>
      <c r="E272" s="3">
        <v>5.99</v>
      </c>
      <c r="F272" s="2" t="s">
        <v>19198</v>
      </c>
      <c r="G272" s="22" t="s">
        <v>18821</v>
      </c>
      <c r="H272" s="24" t="s">
        <v>19538</v>
      </c>
      <c r="I272" s="22" t="s">
        <v>19309</v>
      </c>
      <c r="J272" s="22" t="s">
        <v>19573</v>
      </c>
      <c r="K272" s="22" t="s">
        <v>19574</v>
      </c>
      <c r="L272" s="22"/>
      <c r="M272" s="22"/>
      <c r="N272" s="25" t="str">
        <f>HYPERLINK("http://slimages.macys.com/is/image/MCY/1521972 ")</f>
        <v xml:space="preserve">http://slimages.macys.com/is/image/MCY/1521972 </v>
      </c>
    </row>
    <row r="273" spans="1:14" ht="24.75" x14ac:dyDescent="0.25">
      <c r="A273" s="21" t="s">
        <v>3603</v>
      </c>
      <c r="B273" s="22" t="s">
        <v>3604</v>
      </c>
      <c r="C273" s="2">
        <v>1</v>
      </c>
      <c r="D273" s="23">
        <v>7.99</v>
      </c>
      <c r="E273" s="3">
        <v>7.99</v>
      </c>
      <c r="F273" s="2" t="s">
        <v>3605</v>
      </c>
      <c r="G273" s="22" t="s">
        <v>19351</v>
      </c>
      <c r="H273" s="24" t="s">
        <v>20089</v>
      </c>
      <c r="I273" s="22" t="s">
        <v>19309</v>
      </c>
      <c r="J273" s="22" t="s">
        <v>19573</v>
      </c>
      <c r="K273" s="22" t="s">
        <v>19574</v>
      </c>
      <c r="L273" s="22"/>
      <c r="M273" s="22"/>
      <c r="N273" s="25" t="str">
        <f>HYPERLINK("http://slimages.macys.com/is/image/MCY/21361770 ")</f>
        <v xml:space="preserve">http://slimages.macys.com/is/image/MCY/21361770 </v>
      </c>
    </row>
    <row r="274" spans="1:14" ht="24.75" x14ac:dyDescent="0.25">
      <c r="A274" s="21" t="s">
        <v>5004</v>
      </c>
      <c r="B274" s="22" t="s">
        <v>5005</v>
      </c>
      <c r="C274" s="2">
        <v>14</v>
      </c>
      <c r="D274" s="23">
        <v>7.99</v>
      </c>
      <c r="E274" s="3">
        <v>111.86</v>
      </c>
      <c r="F274" s="2" t="s">
        <v>9709</v>
      </c>
      <c r="G274" s="22" t="s">
        <v>19467</v>
      </c>
      <c r="H274" s="24" t="s">
        <v>20135</v>
      </c>
      <c r="I274" s="22" t="s">
        <v>19309</v>
      </c>
      <c r="J274" s="22" t="s">
        <v>19573</v>
      </c>
      <c r="K274" s="22" t="s">
        <v>19574</v>
      </c>
      <c r="L274" s="22"/>
      <c r="M274" s="22"/>
      <c r="N274" s="25" t="str">
        <f>HYPERLINK("http://slimages.macys.com/is/image/MCY/21970216 ")</f>
        <v xml:space="preserve">http://slimages.macys.com/is/image/MCY/21970216 </v>
      </c>
    </row>
    <row r="275" spans="1:14" ht="24.75" x14ac:dyDescent="0.25">
      <c r="A275" s="21" t="s">
        <v>3606</v>
      </c>
      <c r="B275" s="22" t="s">
        <v>3607</v>
      </c>
      <c r="C275" s="2">
        <v>7</v>
      </c>
      <c r="D275" s="23">
        <v>7.99</v>
      </c>
      <c r="E275" s="3">
        <v>55.93</v>
      </c>
      <c r="F275" s="2" t="s">
        <v>3605</v>
      </c>
      <c r="G275" s="22" t="s">
        <v>19351</v>
      </c>
      <c r="H275" s="24" t="s">
        <v>20135</v>
      </c>
      <c r="I275" s="22" t="s">
        <v>19309</v>
      </c>
      <c r="J275" s="22" t="s">
        <v>19573</v>
      </c>
      <c r="K275" s="22" t="s">
        <v>19574</v>
      </c>
      <c r="L275" s="22"/>
      <c r="M275" s="22"/>
      <c r="N275" s="25" t="str">
        <f>HYPERLINK("http://slimages.macys.com/is/image/MCY/21361770 ")</f>
        <v xml:space="preserve">http://slimages.macys.com/is/image/MCY/21361770 </v>
      </c>
    </row>
    <row r="276" spans="1:14" ht="24.75" x14ac:dyDescent="0.25">
      <c r="A276" s="21" t="s">
        <v>3608</v>
      </c>
      <c r="B276" s="22" t="s">
        <v>3609</v>
      </c>
      <c r="C276" s="2">
        <v>1</v>
      </c>
      <c r="D276" s="23">
        <v>5.99</v>
      </c>
      <c r="E276" s="3">
        <v>5.99</v>
      </c>
      <c r="F276" s="2" t="s">
        <v>14295</v>
      </c>
      <c r="G276" s="22" t="s">
        <v>19315</v>
      </c>
      <c r="H276" s="24" t="s">
        <v>20135</v>
      </c>
      <c r="I276" s="22" t="s">
        <v>19309</v>
      </c>
      <c r="J276" s="22" t="s">
        <v>19908</v>
      </c>
      <c r="K276" s="22" t="s">
        <v>19524</v>
      </c>
      <c r="L276" s="22"/>
      <c r="M276" s="22"/>
      <c r="N276" s="25" t="str">
        <f>HYPERLINK("http://slimages.macys.com/is/image/MCY/17716850 ")</f>
        <v xml:space="preserve">http://slimages.macys.com/is/image/MCY/17716850 </v>
      </c>
    </row>
    <row r="277" spans="1:14" ht="24.75" x14ac:dyDescent="0.25">
      <c r="A277" s="21" t="s">
        <v>10150</v>
      </c>
      <c r="B277" s="22" t="s">
        <v>10151</v>
      </c>
      <c r="C277" s="2">
        <v>8</v>
      </c>
      <c r="D277" s="23">
        <v>5.99</v>
      </c>
      <c r="E277" s="3">
        <v>47.92</v>
      </c>
      <c r="F277" s="2" t="s">
        <v>19214</v>
      </c>
      <c r="G277" s="22" t="s">
        <v>19674</v>
      </c>
      <c r="H277" s="24" t="s">
        <v>19384</v>
      </c>
      <c r="I277" s="22" t="s">
        <v>19309</v>
      </c>
      <c r="J277" s="22" t="s">
        <v>19573</v>
      </c>
      <c r="K277" s="22" t="s">
        <v>19574</v>
      </c>
      <c r="L277" s="22"/>
      <c r="M277" s="22"/>
      <c r="N277" s="25" t="str">
        <f>HYPERLINK("http://slimages.macys.com/is/image/MCY/1570641 ")</f>
        <v xml:space="preserve">http://slimages.macys.com/is/image/MCY/1570641 </v>
      </c>
    </row>
    <row r="278" spans="1:14" ht="24.75" x14ac:dyDescent="0.25">
      <c r="A278" s="21" t="s">
        <v>8165</v>
      </c>
      <c r="B278" s="22" t="s">
        <v>8166</v>
      </c>
      <c r="C278" s="2">
        <v>51</v>
      </c>
      <c r="D278" s="23">
        <v>5.99</v>
      </c>
      <c r="E278" s="3">
        <v>305.49</v>
      </c>
      <c r="F278" s="2" t="s">
        <v>17203</v>
      </c>
      <c r="G278" s="22" t="s">
        <v>19467</v>
      </c>
      <c r="H278" s="24" t="s">
        <v>19384</v>
      </c>
      <c r="I278" s="22" t="s">
        <v>19309</v>
      </c>
      <c r="J278" s="22" t="s">
        <v>19573</v>
      </c>
      <c r="K278" s="22" t="s">
        <v>19574</v>
      </c>
      <c r="L278" s="22"/>
      <c r="M278" s="22"/>
      <c r="N278" s="25" t="str">
        <f>HYPERLINK("http://slimages.macys.com/is/image/MCY/20757989 ")</f>
        <v xml:space="preserve">http://slimages.macys.com/is/image/MCY/20757989 </v>
      </c>
    </row>
    <row r="279" spans="1:14" ht="24.75" x14ac:dyDescent="0.25">
      <c r="A279" s="21" t="s">
        <v>9710</v>
      </c>
      <c r="B279" s="22" t="s">
        <v>9711</v>
      </c>
      <c r="C279" s="2">
        <v>1</v>
      </c>
      <c r="D279" s="23">
        <v>5.99</v>
      </c>
      <c r="E279" s="3">
        <v>5.99</v>
      </c>
      <c r="F279" s="2" t="s">
        <v>9712</v>
      </c>
      <c r="G279" s="22" t="s">
        <v>19467</v>
      </c>
      <c r="H279" s="24" t="s">
        <v>19384</v>
      </c>
      <c r="I279" s="22" t="s">
        <v>19309</v>
      </c>
      <c r="J279" s="22" t="s">
        <v>19573</v>
      </c>
      <c r="K279" s="22" t="s">
        <v>19574</v>
      </c>
      <c r="L279" s="22"/>
      <c r="M279" s="22"/>
      <c r="N279" s="25" t="str">
        <f>HYPERLINK("http://slimages.macys.com/is/image/MCY/1586078 ")</f>
        <v xml:space="preserve">http://slimages.macys.com/is/image/MCY/1586078 </v>
      </c>
    </row>
    <row r="280" spans="1:14" ht="24.75" x14ac:dyDescent="0.25">
      <c r="A280" s="21" t="s">
        <v>8161</v>
      </c>
      <c r="B280" s="22" t="s">
        <v>8162</v>
      </c>
      <c r="C280" s="2">
        <v>6</v>
      </c>
      <c r="D280" s="23">
        <v>5.99</v>
      </c>
      <c r="E280" s="3">
        <v>35.94</v>
      </c>
      <c r="F280" s="2" t="s">
        <v>17203</v>
      </c>
      <c r="G280" s="22" t="s">
        <v>19467</v>
      </c>
      <c r="H280" s="24" t="s">
        <v>19330</v>
      </c>
      <c r="I280" s="22" t="s">
        <v>19309</v>
      </c>
      <c r="J280" s="22" t="s">
        <v>19573</v>
      </c>
      <c r="K280" s="22" t="s">
        <v>19574</v>
      </c>
      <c r="L280" s="22"/>
      <c r="M280" s="22"/>
      <c r="N280" s="25" t="str">
        <f>HYPERLINK("http://slimages.macys.com/is/image/MCY/20757989 ")</f>
        <v xml:space="preserve">http://slimages.macys.com/is/image/MCY/20757989 </v>
      </c>
    </row>
    <row r="281" spans="1:14" ht="24.75" x14ac:dyDescent="0.25">
      <c r="A281" s="21" t="s">
        <v>7192</v>
      </c>
      <c r="B281" s="22" t="s">
        <v>7193</v>
      </c>
      <c r="C281" s="2">
        <v>62</v>
      </c>
      <c r="D281" s="23">
        <v>5.99</v>
      </c>
      <c r="E281" s="3">
        <v>371.38</v>
      </c>
      <c r="F281" s="2" t="s">
        <v>17203</v>
      </c>
      <c r="G281" s="22" t="s">
        <v>19467</v>
      </c>
      <c r="H281" s="24" t="s">
        <v>19538</v>
      </c>
      <c r="I281" s="22" t="s">
        <v>19309</v>
      </c>
      <c r="J281" s="22" t="s">
        <v>19573</v>
      </c>
      <c r="K281" s="22" t="s">
        <v>19574</v>
      </c>
      <c r="L281" s="22"/>
      <c r="M281" s="22"/>
      <c r="N281" s="25" t="str">
        <f>HYPERLINK("http://slimages.macys.com/is/image/MCY/20757989 ")</f>
        <v xml:space="preserve">http://slimages.macys.com/is/image/MCY/20757989 </v>
      </c>
    </row>
    <row r="282" spans="1:14" ht="24.75" x14ac:dyDescent="0.25">
      <c r="A282" s="21" t="s">
        <v>8380</v>
      </c>
      <c r="B282" s="22" t="s">
        <v>8381</v>
      </c>
      <c r="C282" s="2">
        <v>57</v>
      </c>
      <c r="D282" s="23">
        <v>5.99</v>
      </c>
      <c r="E282" s="3">
        <v>341.43</v>
      </c>
      <c r="F282" s="2" t="s">
        <v>17203</v>
      </c>
      <c r="G282" s="22" t="s">
        <v>19585</v>
      </c>
      <c r="H282" s="24" t="s">
        <v>19324</v>
      </c>
      <c r="I282" s="22" t="s">
        <v>19309</v>
      </c>
      <c r="J282" s="22" t="s">
        <v>19573</v>
      </c>
      <c r="K282" s="22" t="s">
        <v>19574</v>
      </c>
      <c r="L282" s="22"/>
      <c r="M282" s="22"/>
      <c r="N282" s="25" t="str">
        <f>HYPERLINK("http://slimages.macys.com/is/image/MCY/20757989 ")</f>
        <v xml:space="preserve">http://slimages.macys.com/is/image/MCY/20757989 </v>
      </c>
    </row>
    <row r="283" spans="1:14" ht="24.75" x14ac:dyDescent="0.25">
      <c r="A283" s="21" t="s">
        <v>3610</v>
      </c>
      <c r="B283" s="22" t="s">
        <v>3611</v>
      </c>
      <c r="C283" s="2">
        <v>3</v>
      </c>
      <c r="D283" s="23">
        <v>7.99</v>
      </c>
      <c r="E283" s="3">
        <v>23.97</v>
      </c>
      <c r="F283" s="2" t="s">
        <v>3612</v>
      </c>
      <c r="G283" s="22" t="s">
        <v>19713</v>
      </c>
      <c r="H283" s="24" t="s">
        <v>20135</v>
      </c>
      <c r="I283" s="22" t="s">
        <v>19309</v>
      </c>
      <c r="J283" s="22" t="s">
        <v>19573</v>
      </c>
      <c r="K283" s="22" t="s">
        <v>19574</v>
      </c>
      <c r="L283" s="22"/>
      <c r="M283" s="22"/>
      <c r="N283" s="25" t="str">
        <f>HYPERLINK("http://slimages.macys.com/is/image/MCY/19217555 ")</f>
        <v xml:space="preserve">http://slimages.macys.com/is/image/MCY/19217555 </v>
      </c>
    </row>
    <row r="284" spans="1:14" ht="24.75" x14ac:dyDescent="0.25">
      <c r="A284" s="21" t="s">
        <v>8628</v>
      </c>
      <c r="B284" s="22" t="s">
        <v>8629</v>
      </c>
      <c r="C284" s="2">
        <v>117</v>
      </c>
      <c r="D284" s="23">
        <v>5.99</v>
      </c>
      <c r="E284" s="3">
        <v>700.83</v>
      </c>
      <c r="F284" s="2" t="s">
        <v>17203</v>
      </c>
      <c r="G284" s="22" t="s">
        <v>19467</v>
      </c>
      <c r="H284" s="24" t="s">
        <v>19416</v>
      </c>
      <c r="I284" s="22" t="s">
        <v>19309</v>
      </c>
      <c r="J284" s="22" t="s">
        <v>19573</v>
      </c>
      <c r="K284" s="22" t="s">
        <v>19574</v>
      </c>
      <c r="L284" s="22"/>
      <c r="M284" s="22"/>
      <c r="N284" s="25" t="str">
        <f>HYPERLINK("http://slimages.macys.com/is/image/MCY/20757989 ")</f>
        <v xml:space="preserve">http://slimages.macys.com/is/image/MCY/20757989 </v>
      </c>
    </row>
    <row r="285" spans="1:14" ht="24.75" x14ac:dyDescent="0.25">
      <c r="A285" s="21" t="s">
        <v>3613</v>
      </c>
      <c r="B285" s="22" t="s">
        <v>3614</v>
      </c>
      <c r="C285" s="2">
        <v>5</v>
      </c>
      <c r="D285" s="23">
        <v>5.99</v>
      </c>
      <c r="E285" s="3">
        <v>29.95</v>
      </c>
      <c r="F285" s="2" t="s">
        <v>3615</v>
      </c>
      <c r="G285" s="22" t="s">
        <v>19333</v>
      </c>
      <c r="H285" s="24" t="s">
        <v>19542</v>
      </c>
      <c r="I285" s="22" t="s">
        <v>19309</v>
      </c>
      <c r="J285" s="22" t="s">
        <v>19908</v>
      </c>
      <c r="K285" s="22" t="s">
        <v>19524</v>
      </c>
      <c r="L285" s="22"/>
      <c r="M285" s="22"/>
      <c r="N285" s="25" t="str">
        <f>HYPERLINK("http://slimages.macys.com/is/image/MCY/19263791 ")</f>
        <v xml:space="preserve">http://slimages.macys.com/is/image/MCY/19263791 </v>
      </c>
    </row>
    <row r="286" spans="1:14" ht="24.75" x14ac:dyDescent="0.25">
      <c r="A286" s="21" t="s">
        <v>11167</v>
      </c>
      <c r="B286" s="22" t="s">
        <v>11168</v>
      </c>
      <c r="C286" s="2">
        <v>2</v>
      </c>
      <c r="D286" s="23">
        <v>5.99</v>
      </c>
      <c r="E286" s="3">
        <v>11.98</v>
      </c>
      <c r="F286" s="2" t="s">
        <v>14302</v>
      </c>
      <c r="G286" s="22" t="s">
        <v>19351</v>
      </c>
      <c r="H286" s="24" t="s">
        <v>19416</v>
      </c>
      <c r="I286" s="22" t="s">
        <v>19309</v>
      </c>
      <c r="J286" s="22" t="s">
        <v>19573</v>
      </c>
      <c r="K286" s="22" t="s">
        <v>19574</v>
      </c>
      <c r="L286" s="22"/>
      <c r="M286" s="22"/>
      <c r="N286" s="25" t="str">
        <f>HYPERLINK("http://slimages.macys.com/is/image/MCY/21371433 ")</f>
        <v xml:space="preserve">http://slimages.macys.com/is/image/MCY/21371433 </v>
      </c>
    </row>
    <row r="287" spans="1:14" ht="24.75" x14ac:dyDescent="0.25">
      <c r="A287" s="21" t="s">
        <v>3616</v>
      </c>
      <c r="B287" s="22" t="s">
        <v>3617</v>
      </c>
      <c r="C287" s="2">
        <v>1</v>
      </c>
      <c r="D287" s="23">
        <v>5.99</v>
      </c>
      <c r="E287" s="3">
        <v>5.99</v>
      </c>
      <c r="F287" s="2" t="s">
        <v>3618</v>
      </c>
      <c r="G287" s="22" t="s">
        <v>19467</v>
      </c>
      <c r="H287" s="24" t="s">
        <v>19330</v>
      </c>
      <c r="I287" s="22" t="s">
        <v>19309</v>
      </c>
      <c r="J287" s="22" t="s">
        <v>19573</v>
      </c>
      <c r="K287" s="22" t="s">
        <v>19574</v>
      </c>
      <c r="L287" s="22"/>
      <c r="M287" s="22"/>
      <c r="N287" s="25" t="str">
        <f>HYPERLINK("http://slimages.macys.com/is/image/MCY/20385932 ")</f>
        <v xml:space="preserve">http://slimages.macys.com/is/image/MCY/20385932 </v>
      </c>
    </row>
    <row r="288" spans="1:14" ht="24.75" x14ac:dyDescent="0.25">
      <c r="A288" s="21" t="s">
        <v>14300</v>
      </c>
      <c r="B288" s="22" t="s">
        <v>14301</v>
      </c>
      <c r="C288" s="2">
        <v>8</v>
      </c>
      <c r="D288" s="23">
        <v>5.99</v>
      </c>
      <c r="E288" s="3">
        <v>47.92</v>
      </c>
      <c r="F288" s="2" t="s">
        <v>14302</v>
      </c>
      <c r="G288" s="22" t="s">
        <v>19351</v>
      </c>
      <c r="H288" s="24" t="s">
        <v>19538</v>
      </c>
      <c r="I288" s="22" t="s">
        <v>19309</v>
      </c>
      <c r="J288" s="22" t="s">
        <v>19573</v>
      </c>
      <c r="K288" s="22" t="s">
        <v>19574</v>
      </c>
      <c r="L288" s="22"/>
      <c r="M288" s="22"/>
      <c r="N288" s="25" t="str">
        <f>HYPERLINK("http://slimages.macys.com/is/image/MCY/21371433 ")</f>
        <v xml:space="preserve">http://slimages.macys.com/is/image/MCY/21371433 </v>
      </c>
    </row>
    <row r="289" spans="1:14" ht="24.75" x14ac:dyDescent="0.25">
      <c r="A289" s="21" t="s">
        <v>17212</v>
      </c>
      <c r="B289" s="22" t="s">
        <v>17213</v>
      </c>
      <c r="C289" s="2">
        <v>1</v>
      </c>
      <c r="D289" s="23">
        <v>5.99</v>
      </c>
      <c r="E289" s="3">
        <v>5.99</v>
      </c>
      <c r="F289" s="2" t="s">
        <v>17214</v>
      </c>
      <c r="G289" s="22" t="s">
        <v>19351</v>
      </c>
      <c r="H289" s="24" t="s">
        <v>19384</v>
      </c>
      <c r="I289" s="22" t="s">
        <v>19309</v>
      </c>
      <c r="J289" s="22" t="s">
        <v>19573</v>
      </c>
      <c r="K289" s="22" t="s">
        <v>19574</v>
      </c>
      <c r="L289" s="22"/>
      <c r="M289" s="22"/>
      <c r="N289" s="25" t="str">
        <f>HYPERLINK("http://slimages.macys.com/is/image/MCY/20753665 ")</f>
        <v xml:space="preserve">http://slimages.macys.com/is/image/MCY/20753665 </v>
      </c>
    </row>
    <row r="290" spans="1:14" ht="24.75" x14ac:dyDescent="0.25">
      <c r="A290" s="21" t="s">
        <v>14303</v>
      </c>
      <c r="B290" s="22" t="s">
        <v>14304</v>
      </c>
      <c r="C290" s="2">
        <v>23</v>
      </c>
      <c r="D290" s="23">
        <v>5.99</v>
      </c>
      <c r="E290" s="3">
        <v>137.77000000000001</v>
      </c>
      <c r="F290" s="2" t="s">
        <v>14302</v>
      </c>
      <c r="G290" s="22" t="s">
        <v>19351</v>
      </c>
      <c r="H290" s="24" t="s">
        <v>19330</v>
      </c>
      <c r="I290" s="22" t="s">
        <v>19309</v>
      </c>
      <c r="J290" s="22" t="s">
        <v>19573</v>
      </c>
      <c r="K290" s="22" t="s">
        <v>19574</v>
      </c>
      <c r="L290" s="22"/>
      <c r="M290" s="22"/>
      <c r="N290" s="25" t="str">
        <f>HYPERLINK("http://slimages.macys.com/is/image/MCY/21371433 ")</f>
        <v xml:space="preserve">http://slimages.macys.com/is/image/MCY/21371433 </v>
      </c>
    </row>
    <row r="291" spans="1:14" ht="24.75" x14ac:dyDescent="0.25">
      <c r="A291" s="21" t="s">
        <v>3619</v>
      </c>
      <c r="B291" s="22" t="s">
        <v>3620</v>
      </c>
      <c r="C291" s="2">
        <v>1</v>
      </c>
      <c r="D291" s="23">
        <v>5.99</v>
      </c>
      <c r="E291" s="3">
        <v>5.99</v>
      </c>
      <c r="F291" s="2" t="s">
        <v>17214</v>
      </c>
      <c r="G291" s="22" t="s">
        <v>19351</v>
      </c>
      <c r="H291" s="24" t="s">
        <v>19330</v>
      </c>
      <c r="I291" s="22" t="s">
        <v>19309</v>
      </c>
      <c r="J291" s="22" t="s">
        <v>19573</v>
      </c>
      <c r="K291" s="22" t="s">
        <v>19574</v>
      </c>
      <c r="L291" s="22"/>
      <c r="M291" s="22"/>
      <c r="N291" s="25" t="str">
        <f>HYPERLINK("http://slimages.macys.com/is/image/MCY/20753665 ")</f>
        <v xml:space="preserve">http://slimages.macys.com/is/image/MCY/20753665 </v>
      </c>
    </row>
    <row r="292" spans="1:14" ht="24.75" x14ac:dyDescent="0.25">
      <c r="A292" s="21" t="s">
        <v>8382</v>
      </c>
      <c r="B292" s="22" t="s">
        <v>8383</v>
      </c>
      <c r="C292" s="2">
        <v>14</v>
      </c>
      <c r="D292" s="23">
        <v>5.99</v>
      </c>
      <c r="E292" s="3">
        <v>83.86</v>
      </c>
      <c r="F292" s="2" t="s">
        <v>8384</v>
      </c>
      <c r="G292" s="22" t="s">
        <v>19618</v>
      </c>
      <c r="H292" s="24" t="s">
        <v>19330</v>
      </c>
      <c r="I292" s="22" t="s">
        <v>19309</v>
      </c>
      <c r="J292" s="22" t="s">
        <v>19573</v>
      </c>
      <c r="K292" s="22" t="s">
        <v>19574</v>
      </c>
      <c r="L292" s="22"/>
      <c r="M292" s="22"/>
      <c r="N292" s="25" t="str">
        <f>HYPERLINK("http://slimages.macys.com/is/image/MCY/21371487 ")</f>
        <v xml:space="preserve">http://slimages.macys.com/is/image/MCY/21371487 </v>
      </c>
    </row>
    <row r="293" spans="1:14" ht="24.75" x14ac:dyDescent="0.25">
      <c r="A293" s="21" t="s">
        <v>7199</v>
      </c>
      <c r="B293" s="22" t="s">
        <v>7200</v>
      </c>
      <c r="C293" s="2">
        <v>1</v>
      </c>
      <c r="D293" s="23">
        <v>5.99</v>
      </c>
      <c r="E293" s="3">
        <v>5.99</v>
      </c>
      <c r="F293" s="2" t="s">
        <v>8384</v>
      </c>
      <c r="G293" s="22" t="s">
        <v>19618</v>
      </c>
      <c r="H293" s="24" t="s">
        <v>19324</v>
      </c>
      <c r="I293" s="22" t="s">
        <v>19309</v>
      </c>
      <c r="J293" s="22" t="s">
        <v>19573</v>
      </c>
      <c r="K293" s="22" t="s">
        <v>19574</v>
      </c>
      <c r="L293" s="22"/>
      <c r="M293" s="22"/>
      <c r="N293" s="25" t="str">
        <f>HYPERLINK("http://slimages.macys.com/is/image/MCY/1587127 ")</f>
        <v xml:space="preserve">http://slimages.macys.com/is/image/MCY/1587127 </v>
      </c>
    </row>
    <row r="294" spans="1:14" ht="24.75" x14ac:dyDescent="0.25">
      <c r="A294" s="21" t="s">
        <v>3621</v>
      </c>
      <c r="B294" s="22" t="s">
        <v>3622</v>
      </c>
      <c r="C294" s="2">
        <v>53</v>
      </c>
      <c r="D294" s="23">
        <v>5.99</v>
      </c>
      <c r="E294" s="3">
        <v>317.47000000000003</v>
      </c>
      <c r="F294" s="2" t="s">
        <v>8384</v>
      </c>
      <c r="G294" s="22" t="s">
        <v>19618</v>
      </c>
      <c r="H294" s="24" t="s">
        <v>19384</v>
      </c>
      <c r="I294" s="22" t="s">
        <v>19309</v>
      </c>
      <c r="J294" s="22" t="s">
        <v>19573</v>
      </c>
      <c r="K294" s="22" t="s">
        <v>19574</v>
      </c>
      <c r="L294" s="22"/>
      <c r="M294" s="22"/>
      <c r="N294" s="25" t="str">
        <f>HYPERLINK("http://slimages.macys.com/is/image/MCY/21371487 ")</f>
        <v xml:space="preserve">http://slimages.macys.com/is/image/MCY/21371487 </v>
      </c>
    </row>
    <row r="295" spans="1:14" ht="24.75" x14ac:dyDescent="0.25">
      <c r="A295" s="21" t="s">
        <v>9732</v>
      </c>
      <c r="B295" s="22" t="s">
        <v>9733</v>
      </c>
      <c r="C295" s="2">
        <v>13</v>
      </c>
      <c r="D295" s="23">
        <v>5.99</v>
      </c>
      <c r="E295" s="3">
        <v>77.87</v>
      </c>
      <c r="F295" s="2" t="s">
        <v>9721</v>
      </c>
      <c r="G295" s="22" t="s">
        <v>19351</v>
      </c>
      <c r="H295" s="24" t="s">
        <v>19330</v>
      </c>
      <c r="I295" s="22" t="s">
        <v>19309</v>
      </c>
      <c r="J295" s="22" t="s">
        <v>19573</v>
      </c>
      <c r="K295" s="22" t="s">
        <v>19574</v>
      </c>
      <c r="L295" s="22"/>
      <c r="M295" s="22"/>
      <c r="N295" s="25" t="str">
        <f>HYPERLINK("http://slimages.macys.com/is/image/MCY/21371491 ")</f>
        <v xml:space="preserve">http://slimages.macys.com/is/image/MCY/21371491 </v>
      </c>
    </row>
    <row r="296" spans="1:14" ht="24.75" x14ac:dyDescent="0.25">
      <c r="A296" s="21" t="s">
        <v>3623</v>
      </c>
      <c r="B296" s="22" t="s">
        <v>3624</v>
      </c>
      <c r="C296" s="2">
        <v>24</v>
      </c>
      <c r="D296" s="23">
        <v>5.99</v>
      </c>
      <c r="E296" s="3">
        <v>143.76</v>
      </c>
      <c r="F296" s="2" t="s">
        <v>9721</v>
      </c>
      <c r="G296" s="22" t="s">
        <v>19351</v>
      </c>
      <c r="H296" s="24" t="s">
        <v>19538</v>
      </c>
      <c r="I296" s="22" t="s">
        <v>19309</v>
      </c>
      <c r="J296" s="22" t="s">
        <v>19573</v>
      </c>
      <c r="K296" s="22" t="s">
        <v>19574</v>
      </c>
      <c r="L296" s="22"/>
      <c r="M296" s="22"/>
      <c r="N296" s="25" t="str">
        <f>HYPERLINK("http://slimages.macys.com/is/image/MCY/21371491 ")</f>
        <v xml:space="preserve">http://slimages.macys.com/is/image/MCY/21371491 </v>
      </c>
    </row>
    <row r="297" spans="1:14" ht="24.75" x14ac:dyDescent="0.25">
      <c r="A297" s="21" t="s">
        <v>5020</v>
      </c>
      <c r="B297" s="22" t="s">
        <v>5021</v>
      </c>
      <c r="C297" s="2">
        <v>26</v>
      </c>
      <c r="D297" s="23">
        <v>5.99</v>
      </c>
      <c r="E297" s="3">
        <v>155.74</v>
      </c>
      <c r="F297" s="2" t="s">
        <v>9727</v>
      </c>
      <c r="G297" s="22" t="s">
        <v>19906</v>
      </c>
      <c r="H297" s="24" t="s">
        <v>19330</v>
      </c>
      <c r="I297" s="22" t="s">
        <v>19309</v>
      </c>
      <c r="J297" s="22" t="s">
        <v>19573</v>
      </c>
      <c r="K297" s="22" t="s">
        <v>19574</v>
      </c>
      <c r="L297" s="22"/>
      <c r="M297" s="22"/>
      <c r="N297" s="25" t="str">
        <f>HYPERLINK("http://slimages.macys.com/is/image/MCY/1658414 ")</f>
        <v xml:space="preserve">http://slimages.macys.com/is/image/MCY/1658414 </v>
      </c>
    </row>
    <row r="298" spans="1:14" ht="24.75" x14ac:dyDescent="0.25">
      <c r="A298" s="21" t="s">
        <v>3625</v>
      </c>
      <c r="B298" s="22" t="s">
        <v>3626</v>
      </c>
      <c r="C298" s="2">
        <v>26</v>
      </c>
      <c r="D298" s="23">
        <v>5.99</v>
      </c>
      <c r="E298" s="3">
        <v>155.74</v>
      </c>
      <c r="F298" s="2" t="s">
        <v>9727</v>
      </c>
      <c r="G298" s="22" t="s">
        <v>19906</v>
      </c>
      <c r="H298" s="24" t="s">
        <v>19416</v>
      </c>
      <c r="I298" s="22" t="s">
        <v>19309</v>
      </c>
      <c r="J298" s="22" t="s">
        <v>19573</v>
      </c>
      <c r="K298" s="22" t="s">
        <v>19574</v>
      </c>
      <c r="L298" s="22"/>
      <c r="M298" s="22"/>
      <c r="N298" s="25" t="str">
        <f>HYPERLINK("http://slimages.macys.com/is/image/MCY/1658414 ")</f>
        <v xml:space="preserve">http://slimages.macys.com/is/image/MCY/1658414 </v>
      </c>
    </row>
    <row r="299" spans="1:14" ht="24.75" x14ac:dyDescent="0.25">
      <c r="A299" s="21" t="s">
        <v>10742</v>
      </c>
      <c r="B299" s="22" t="s">
        <v>10743</v>
      </c>
      <c r="C299" s="2">
        <v>33</v>
      </c>
      <c r="D299" s="23">
        <v>7.99</v>
      </c>
      <c r="E299" s="3">
        <v>263.67</v>
      </c>
      <c r="F299" s="2" t="s">
        <v>10744</v>
      </c>
      <c r="G299" s="22" t="s">
        <v>19431</v>
      </c>
      <c r="H299" s="24" t="s">
        <v>20135</v>
      </c>
      <c r="I299" s="22" t="s">
        <v>19309</v>
      </c>
      <c r="J299" s="22" t="s">
        <v>19573</v>
      </c>
      <c r="K299" s="22" t="s">
        <v>19574</v>
      </c>
      <c r="L299" s="22"/>
      <c r="M299" s="22"/>
      <c r="N299" s="25" t="str">
        <f>HYPERLINK("http://slimages.macys.com/is/image/MCY/21209287 ")</f>
        <v xml:space="preserve">http://slimages.macys.com/is/image/MCY/21209287 </v>
      </c>
    </row>
    <row r="300" spans="1:14" ht="24.75" x14ac:dyDescent="0.25">
      <c r="A300" s="21" t="s">
        <v>8385</v>
      </c>
      <c r="B300" s="22" t="s">
        <v>8386</v>
      </c>
      <c r="C300" s="2">
        <v>2</v>
      </c>
      <c r="D300" s="23">
        <v>5.99</v>
      </c>
      <c r="E300" s="3">
        <v>11.98</v>
      </c>
      <c r="F300" s="2" t="s">
        <v>11171</v>
      </c>
      <c r="G300" s="22" t="s">
        <v>19351</v>
      </c>
      <c r="H300" s="24" t="s">
        <v>19538</v>
      </c>
      <c r="I300" s="22" t="s">
        <v>19309</v>
      </c>
      <c r="J300" s="22" t="s">
        <v>19573</v>
      </c>
      <c r="K300" s="22" t="s">
        <v>19574</v>
      </c>
      <c r="L300" s="22"/>
      <c r="M300" s="22"/>
      <c r="N300" s="25" t="str">
        <f>HYPERLINK("http://slimages.macys.com/is/image/MCY/21371479 ")</f>
        <v xml:space="preserve">http://slimages.macys.com/is/image/MCY/21371479 </v>
      </c>
    </row>
    <row r="301" spans="1:14" ht="24.75" x14ac:dyDescent="0.25">
      <c r="A301" s="21" t="s">
        <v>9719</v>
      </c>
      <c r="B301" s="22" t="s">
        <v>9720</v>
      </c>
      <c r="C301" s="2">
        <v>44</v>
      </c>
      <c r="D301" s="23">
        <v>5.99</v>
      </c>
      <c r="E301" s="3">
        <v>263.56</v>
      </c>
      <c r="F301" s="2" t="s">
        <v>9721</v>
      </c>
      <c r="G301" s="22" t="s">
        <v>19351</v>
      </c>
      <c r="H301" s="24" t="s">
        <v>19324</v>
      </c>
      <c r="I301" s="22" t="s">
        <v>19309</v>
      </c>
      <c r="J301" s="22" t="s">
        <v>19573</v>
      </c>
      <c r="K301" s="22" t="s">
        <v>19574</v>
      </c>
      <c r="L301" s="22"/>
      <c r="M301" s="22"/>
      <c r="N301" s="25" t="str">
        <f>HYPERLINK("http://slimages.macys.com/is/image/MCY/21371491 ")</f>
        <v xml:space="preserve">http://slimages.macys.com/is/image/MCY/21371491 </v>
      </c>
    </row>
    <row r="302" spans="1:14" ht="24.75" x14ac:dyDescent="0.25">
      <c r="A302" s="21" t="s">
        <v>6327</v>
      </c>
      <c r="B302" s="22" t="s">
        <v>6328</v>
      </c>
      <c r="C302" s="2">
        <v>10</v>
      </c>
      <c r="D302" s="23">
        <v>5.99</v>
      </c>
      <c r="E302" s="3">
        <v>59.9</v>
      </c>
      <c r="F302" s="2" t="s">
        <v>9727</v>
      </c>
      <c r="G302" s="22" t="s">
        <v>19618</v>
      </c>
      <c r="H302" s="24" t="s">
        <v>19538</v>
      </c>
      <c r="I302" s="22" t="s">
        <v>19309</v>
      </c>
      <c r="J302" s="22" t="s">
        <v>19573</v>
      </c>
      <c r="K302" s="22" t="s">
        <v>19574</v>
      </c>
      <c r="L302" s="22"/>
      <c r="M302" s="22"/>
      <c r="N302" s="25" t="str">
        <f>HYPERLINK("http://slimages.macys.com/is/image/MCY/21361762 ")</f>
        <v xml:space="preserve">http://slimages.macys.com/is/image/MCY/21361762 </v>
      </c>
    </row>
    <row r="303" spans="1:14" ht="24.75" x14ac:dyDescent="0.25">
      <c r="A303" s="21" t="s">
        <v>9722</v>
      </c>
      <c r="B303" s="22" t="s">
        <v>9723</v>
      </c>
      <c r="C303" s="2">
        <v>2</v>
      </c>
      <c r="D303" s="23">
        <v>5.99</v>
      </c>
      <c r="E303" s="3">
        <v>11.98</v>
      </c>
      <c r="F303" s="2" t="s">
        <v>9724</v>
      </c>
      <c r="G303" s="22" t="s">
        <v>19415</v>
      </c>
      <c r="H303" s="24" t="s">
        <v>19384</v>
      </c>
      <c r="I303" s="22" t="s">
        <v>19309</v>
      </c>
      <c r="J303" s="22" t="s">
        <v>19573</v>
      </c>
      <c r="K303" s="22" t="s">
        <v>19574</v>
      </c>
      <c r="L303" s="22"/>
      <c r="M303" s="22"/>
      <c r="N303" s="25" t="str">
        <f>HYPERLINK("http://slimages.macys.com/is/image/MCY/21371500 ")</f>
        <v xml:space="preserve">http://slimages.macys.com/is/image/MCY/21371500 </v>
      </c>
    </row>
    <row r="304" spans="1:14" ht="24.75" x14ac:dyDescent="0.25">
      <c r="A304" s="21" t="s">
        <v>3627</v>
      </c>
      <c r="B304" s="22" t="s">
        <v>3628</v>
      </c>
      <c r="C304" s="2">
        <v>1</v>
      </c>
      <c r="D304" s="23">
        <v>5.99</v>
      </c>
      <c r="E304" s="3">
        <v>5.99</v>
      </c>
      <c r="F304" s="2" t="s">
        <v>17240</v>
      </c>
      <c r="G304" s="22" t="s">
        <v>19315</v>
      </c>
      <c r="H304" s="24" t="s">
        <v>19538</v>
      </c>
      <c r="I304" s="22" t="s">
        <v>19309</v>
      </c>
      <c r="J304" s="22" t="s">
        <v>19573</v>
      </c>
      <c r="K304" s="22" t="s">
        <v>19574</v>
      </c>
      <c r="L304" s="22"/>
      <c r="M304" s="22"/>
      <c r="N304" s="25" t="str">
        <f>HYPERLINK("http://slimages.macys.com/is/image/MCY/1521976 ")</f>
        <v xml:space="preserve">http://slimages.macys.com/is/image/MCY/1521976 </v>
      </c>
    </row>
    <row r="305" spans="1:14" ht="24.75" x14ac:dyDescent="0.25">
      <c r="A305" s="21" t="s">
        <v>9329</v>
      </c>
      <c r="B305" s="22" t="s">
        <v>9330</v>
      </c>
      <c r="C305" s="2">
        <v>38</v>
      </c>
      <c r="D305" s="23">
        <v>5.99</v>
      </c>
      <c r="E305" s="3">
        <v>227.62</v>
      </c>
      <c r="F305" s="2" t="s">
        <v>17245</v>
      </c>
      <c r="G305" s="22" t="s">
        <v>19794</v>
      </c>
      <c r="H305" s="24" t="s">
        <v>19538</v>
      </c>
      <c r="I305" s="22" t="s">
        <v>19309</v>
      </c>
      <c r="J305" s="22" t="s">
        <v>19573</v>
      </c>
      <c r="K305" s="22" t="s">
        <v>19574</v>
      </c>
      <c r="L305" s="22"/>
      <c r="M305" s="22"/>
      <c r="N305" s="25" t="str">
        <f>HYPERLINK("http://slimages.macys.com/is/image/MCY/1520523 ")</f>
        <v xml:space="preserve">http://slimages.macys.com/is/image/MCY/1520523 </v>
      </c>
    </row>
    <row r="306" spans="1:14" ht="24.75" x14ac:dyDescent="0.25">
      <c r="A306" s="21" t="s">
        <v>3629</v>
      </c>
      <c r="B306" s="22" t="s">
        <v>3630</v>
      </c>
      <c r="C306" s="2">
        <v>29</v>
      </c>
      <c r="D306" s="23">
        <v>5.99</v>
      </c>
      <c r="E306" s="3">
        <v>173.71</v>
      </c>
      <c r="F306" s="2" t="s">
        <v>17245</v>
      </c>
      <c r="G306" s="22" t="s">
        <v>19670</v>
      </c>
      <c r="H306" s="24" t="s">
        <v>19416</v>
      </c>
      <c r="I306" s="22" t="s">
        <v>19309</v>
      </c>
      <c r="J306" s="22" t="s">
        <v>19573</v>
      </c>
      <c r="K306" s="22" t="s">
        <v>19574</v>
      </c>
      <c r="L306" s="22"/>
      <c r="M306" s="22"/>
      <c r="N306" s="25" t="str">
        <f>HYPERLINK("http://slimages.macys.com/is/image/MCY/21209342 ")</f>
        <v xml:space="preserve">http://slimages.macys.com/is/image/MCY/21209342 </v>
      </c>
    </row>
    <row r="307" spans="1:14" ht="24.75" x14ac:dyDescent="0.25">
      <c r="A307" s="21" t="s">
        <v>3631</v>
      </c>
      <c r="B307" s="22" t="s">
        <v>3632</v>
      </c>
      <c r="C307" s="2">
        <v>30</v>
      </c>
      <c r="D307" s="23">
        <v>5.99</v>
      </c>
      <c r="E307" s="3">
        <v>179.7</v>
      </c>
      <c r="F307" s="2" t="s">
        <v>17245</v>
      </c>
      <c r="G307" s="22" t="s">
        <v>19670</v>
      </c>
      <c r="H307" s="24" t="s">
        <v>19384</v>
      </c>
      <c r="I307" s="22" t="s">
        <v>19309</v>
      </c>
      <c r="J307" s="22" t="s">
        <v>19573</v>
      </c>
      <c r="K307" s="22" t="s">
        <v>19574</v>
      </c>
      <c r="L307" s="22"/>
      <c r="M307" s="22"/>
      <c r="N307" s="25" t="str">
        <f>HYPERLINK("http://slimages.macys.com/is/image/MCY/21209342 ")</f>
        <v xml:space="preserve">http://slimages.macys.com/is/image/MCY/21209342 </v>
      </c>
    </row>
    <row r="308" spans="1:14" ht="24.75" x14ac:dyDescent="0.25">
      <c r="A308" s="21" t="s">
        <v>9738</v>
      </c>
      <c r="B308" s="22" t="s">
        <v>9739</v>
      </c>
      <c r="C308" s="2">
        <v>1</v>
      </c>
      <c r="D308" s="23">
        <v>5.99</v>
      </c>
      <c r="E308" s="3">
        <v>5.99</v>
      </c>
      <c r="F308" s="2" t="s">
        <v>17245</v>
      </c>
      <c r="G308" s="22" t="s">
        <v>19670</v>
      </c>
      <c r="H308" s="24" t="s">
        <v>19538</v>
      </c>
      <c r="I308" s="22" t="s">
        <v>19309</v>
      </c>
      <c r="J308" s="22" t="s">
        <v>19573</v>
      </c>
      <c r="K308" s="22" t="s">
        <v>19574</v>
      </c>
      <c r="L308" s="22"/>
      <c r="M308" s="22"/>
      <c r="N308" s="25" t="str">
        <f>HYPERLINK("http://slimages.macys.com/is/image/MCY/21209342 ")</f>
        <v xml:space="preserve">http://slimages.macys.com/is/image/MCY/21209342 </v>
      </c>
    </row>
    <row r="309" spans="1:14" ht="24.75" x14ac:dyDescent="0.25">
      <c r="A309" s="21" t="s">
        <v>14966</v>
      </c>
      <c r="B309" s="22" t="s">
        <v>14967</v>
      </c>
      <c r="C309" s="2">
        <v>53</v>
      </c>
      <c r="D309" s="23">
        <v>5.99</v>
      </c>
      <c r="E309" s="3">
        <v>317.47000000000003</v>
      </c>
      <c r="F309" s="2" t="s">
        <v>17245</v>
      </c>
      <c r="G309" s="22" t="s">
        <v>19794</v>
      </c>
      <c r="H309" s="24" t="s">
        <v>19416</v>
      </c>
      <c r="I309" s="22" t="s">
        <v>19309</v>
      </c>
      <c r="J309" s="22" t="s">
        <v>19573</v>
      </c>
      <c r="K309" s="22" t="s">
        <v>19574</v>
      </c>
      <c r="L309" s="22"/>
      <c r="M309" s="22"/>
      <c r="N309" s="25" t="str">
        <f>HYPERLINK("http://slimages.macys.com/is/image/MCY/1520523 ")</f>
        <v xml:space="preserve">http://slimages.macys.com/is/image/MCY/1520523 </v>
      </c>
    </row>
    <row r="310" spans="1:14" ht="24.75" x14ac:dyDescent="0.25">
      <c r="A310" s="21" t="s">
        <v>3633</v>
      </c>
      <c r="B310" s="22" t="s">
        <v>3634</v>
      </c>
      <c r="C310" s="2">
        <v>1</v>
      </c>
      <c r="D310" s="23">
        <v>5.99</v>
      </c>
      <c r="E310" s="3">
        <v>5.99</v>
      </c>
      <c r="F310" s="2" t="s">
        <v>3635</v>
      </c>
      <c r="G310" s="22" t="s">
        <v>19674</v>
      </c>
      <c r="H310" s="24" t="s">
        <v>19538</v>
      </c>
      <c r="I310" s="22" t="s">
        <v>19309</v>
      </c>
      <c r="J310" s="22" t="s">
        <v>19573</v>
      </c>
      <c r="K310" s="22" t="s">
        <v>19574</v>
      </c>
      <c r="L310" s="22"/>
      <c r="M310" s="22"/>
      <c r="N310" s="25" t="str">
        <f>HYPERLINK("http://slimages.macys.com/is/image/MCY/20753453 ")</f>
        <v xml:space="preserve">http://slimages.macys.com/is/image/MCY/20753453 </v>
      </c>
    </row>
    <row r="311" spans="1:14" ht="24.75" x14ac:dyDescent="0.25">
      <c r="A311" s="21" t="s">
        <v>17238</v>
      </c>
      <c r="B311" s="22" t="s">
        <v>17239</v>
      </c>
      <c r="C311" s="2">
        <v>1</v>
      </c>
      <c r="D311" s="23">
        <v>5.99</v>
      </c>
      <c r="E311" s="3">
        <v>5.99</v>
      </c>
      <c r="F311" s="2" t="s">
        <v>17240</v>
      </c>
      <c r="G311" s="22" t="s">
        <v>19315</v>
      </c>
      <c r="H311" s="24" t="s">
        <v>19384</v>
      </c>
      <c r="I311" s="22" t="s">
        <v>19309</v>
      </c>
      <c r="J311" s="22" t="s">
        <v>19573</v>
      </c>
      <c r="K311" s="22" t="s">
        <v>19574</v>
      </c>
      <c r="L311" s="22"/>
      <c r="M311" s="22"/>
      <c r="N311" s="25" t="str">
        <f>HYPERLINK("http://slimages.macys.com/is/image/MCY/1521976 ")</f>
        <v xml:space="preserve">http://slimages.macys.com/is/image/MCY/1521976 </v>
      </c>
    </row>
    <row r="312" spans="1:14" ht="24.75" x14ac:dyDescent="0.25">
      <c r="A312" s="21" t="s">
        <v>14332</v>
      </c>
      <c r="B312" s="22" t="s">
        <v>14333</v>
      </c>
      <c r="C312" s="2">
        <v>1</v>
      </c>
      <c r="D312" s="23">
        <v>5.99</v>
      </c>
      <c r="E312" s="3">
        <v>5.99</v>
      </c>
      <c r="F312" s="2" t="s">
        <v>14334</v>
      </c>
      <c r="G312" s="22" t="s">
        <v>19422</v>
      </c>
      <c r="H312" s="24" t="s">
        <v>19324</v>
      </c>
      <c r="I312" s="22" t="s">
        <v>19309</v>
      </c>
      <c r="J312" s="22" t="s">
        <v>19573</v>
      </c>
      <c r="K312" s="22" t="s">
        <v>19574</v>
      </c>
      <c r="L312" s="22"/>
      <c r="M312" s="22"/>
      <c r="N312" s="25" t="str">
        <f>HYPERLINK("http://slimages.macys.com/is/image/MCY/1491821 ")</f>
        <v xml:space="preserve">http://slimages.macys.com/is/image/MCY/1491821 </v>
      </c>
    </row>
    <row r="313" spans="1:14" ht="24.75" x14ac:dyDescent="0.25">
      <c r="A313" s="21" t="s">
        <v>3636</v>
      </c>
      <c r="B313" s="22" t="s">
        <v>3637</v>
      </c>
      <c r="C313" s="2">
        <v>1</v>
      </c>
      <c r="D313" s="23">
        <v>5.99</v>
      </c>
      <c r="E313" s="3">
        <v>5.99</v>
      </c>
      <c r="F313" s="2" t="s">
        <v>14334</v>
      </c>
      <c r="G313" s="22" t="s">
        <v>19422</v>
      </c>
      <c r="H313" s="24" t="s">
        <v>19538</v>
      </c>
      <c r="I313" s="22" t="s">
        <v>19309</v>
      </c>
      <c r="J313" s="22" t="s">
        <v>19573</v>
      </c>
      <c r="K313" s="22" t="s">
        <v>19574</v>
      </c>
      <c r="L313" s="22"/>
      <c r="M313" s="22"/>
      <c r="N313" s="25" t="str">
        <f>HYPERLINK("http://slimages.macys.com/is/image/MCY/1491821 ")</f>
        <v xml:space="preserve">http://slimages.macys.com/is/image/MCY/1491821 </v>
      </c>
    </row>
    <row r="314" spans="1:14" ht="24.75" x14ac:dyDescent="0.25">
      <c r="A314" s="21" t="s">
        <v>3638</v>
      </c>
      <c r="B314" s="22" t="s">
        <v>3639</v>
      </c>
      <c r="C314" s="2">
        <v>14</v>
      </c>
      <c r="D314" s="23">
        <v>6.99</v>
      </c>
      <c r="E314" s="3">
        <v>97.86</v>
      </c>
      <c r="F314" s="2" t="s">
        <v>9335</v>
      </c>
      <c r="G314" s="22" t="s">
        <v>18821</v>
      </c>
      <c r="H314" s="24" t="s">
        <v>19770</v>
      </c>
      <c r="I314" s="22" t="s">
        <v>19309</v>
      </c>
      <c r="J314" s="22" t="s">
        <v>19573</v>
      </c>
      <c r="K314" s="22" t="s">
        <v>19574</v>
      </c>
      <c r="L314" s="22"/>
      <c r="M314" s="22"/>
      <c r="N314" s="25" t="str">
        <f>HYPERLINK("http://slimages.macys.com/is/image/MCY/20142540 ")</f>
        <v xml:space="preserve">http://slimages.macys.com/is/image/MCY/20142540 </v>
      </c>
    </row>
    <row r="315" spans="1:14" ht="24.75" x14ac:dyDescent="0.25">
      <c r="A315" s="21" t="s">
        <v>3640</v>
      </c>
      <c r="B315" s="22" t="s">
        <v>3641</v>
      </c>
      <c r="C315" s="2">
        <v>19</v>
      </c>
      <c r="D315" s="23">
        <v>5.99</v>
      </c>
      <c r="E315" s="3">
        <v>113.81</v>
      </c>
      <c r="F315" s="2" t="s">
        <v>17262</v>
      </c>
      <c r="G315" s="22" t="s">
        <v>19674</v>
      </c>
      <c r="H315" s="24" t="s">
        <v>19324</v>
      </c>
      <c r="I315" s="22" t="s">
        <v>19309</v>
      </c>
      <c r="J315" s="22" t="s">
        <v>19573</v>
      </c>
      <c r="K315" s="22" t="s">
        <v>19574</v>
      </c>
      <c r="L315" s="22"/>
      <c r="M315" s="22"/>
      <c r="N315" s="25" t="str">
        <f>HYPERLINK("http://slimages.macys.com/is/image/MCY/21361805 ")</f>
        <v xml:space="preserve">http://slimages.macys.com/is/image/MCY/21361805 </v>
      </c>
    </row>
    <row r="316" spans="1:14" ht="24.75" x14ac:dyDescent="0.25">
      <c r="A316" s="21" t="s">
        <v>3642</v>
      </c>
      <c r="B316" s="22" t="s">
        <v>3643</v>
      </c>
      <c r="C316" s="2">
        <v>60</v>
      </c>
      <c r="D316" s="23">
        <v>5.99</v>
      </c>
      <c r="E316" s="3">
        <v>359.4</v>
      </c>
      <c r="F316" s="2" t="s">
        <v>17262</v>
      </c>
      <c r="G316" s="22" t="s">
        <v>19674</v>
      </c>
      <c r="H316" s="24" t="s">
        <v>19538</v>
      </c>
      <c r="I316" s="22" t="s">
        <v>19309</v>
      </c>
      <c r="J316" s="22" t="s">
        <v>19573</v>
      </c>
      <c r="K316" s="22" t="s">
        <v>19574</v>
      </c>
      <c r="L316" s="22"/>
      <c r="M316" s="22"/>
      <c r="N316" s="25" t="str">
        <f>HYPERLINK("http://slimages.macys.com/is/image/MCY/21361805 ")</f>
        <v xml:space="preserve">http://slimages.macys.com/is/image/MCY/21361805 </v>
      </c>
    </row>
    <row r="317" spans="1:14" ht="24.75" x14ac:dyDescent="0.25">
      <c r="A317" s="21" t="s">
        <v>17266</v>
      </c>
      <c r="B317" s="22" t="s">
        <v>17267</v>
      </c>
      <c r="C317" s="2">
        <v>1</v>
      </c>
      <c r="D317" s="23">
        <v>5.99</v>
      </c>
      <c r="E317" s="3">
        <v>5.99</v>
      </c>
      <c r="F317" s="2" t="s">
        <v>17268</v>
      </c>
      <c r="G317" s="22" t="s">
        <v>18764</v>
      </c>
      <c r="H317" s="24" t="s">
        <v>19538</v>
      </c>
      <c r="I317" s="22" t="s">
        <v>19309</v>
      </c>
      <c r="J317" s="22" t="s">
        <v>19573</v>
      </c>
      <c r="K317" s="22" t="s">
        <v>19574</v>
      </c>
      <c r="L317" s="22"/>
      <c r="M317" s="22"/>
      <c r="N317" s="25" t="str">
        <f>HYPERLINK("http://slimages.macys.com/is/image/MCY/21088470 ")</f>
        <v xml:space="preserve">http://slimages.macys.com/is/image/MCY/21088470 </v>
      </c>
    </row>
    <row r="318" spans="1:14" ht="24.75" x14ac:dyDescent="0.25">
      <c r="A318" s="21" t="s">
        <v>17406</v>
      </c>
      <c r="B318" s="22" t="s">
        <v>17407</v>
      </c>
      <c r="C318" s="2">
        <v>6</v>
      </c>
      <c r="D318" s="23">
        <v>5.99</v>
      </c>
      <c r="E318" s="3">
        <v>35.94</v>
      </c>
      <c r="F318" s="2" t="s">
        <v>17408</v>
      </c>
      <c r="G318" s="22" t="s">
        <v>19467</v>
      </c>
      <c r="H318" s="24" t="s">
        <v>19538</v>
      </c>
      <c r="I318" s="22" t="s">
        <v>19309</v>
      </c>
      <c r="J318" s="22" t="s">
        <v>19573</v>
      </c>
      <c r="K318" s="22" t="s">
        <v>19574</v>
      </c>
      <c r="L318" s="22"/>
      <c r="M318" s="22"/>
      <c r="N318" s="25" t="str">
        <f>HYPERLINK("http://slimages.macys.com/is/image/MCY/21970244 ")</f>
        <v xml:space="preserve">http://slimages.macys.com/is/image/MCY/21970244 </v>
      </c>
    </row>
    <row r="319" spans="1:14" ht="24.75" x14ac:dyDescent="0.25">
      <c r="A319" s="21" t="s">
        <v>17409</v>
      </c>
      <c r="B319" s="22" t="s">
        <v>17410</v>
      </c>
      <c r="C319" s="2">
        <v>2</v>
      </c>
      <c r="D319" s="23">
        <v>5.99</v>
      </c>
      <c r="E319" s="3">
        <v>11.98</v>
      </c>
      <c r="F319" s="2" t="s">
        <v>17411</v>
      </c>
      <c r="G319" s="22" t="s">
        <v>19351</v>
      </c>
      <c r="H319" s="24" t="s">
        <v>19416</v>
      </c>
      <c r="I319" s="22" t="s">
        <v>19309</v>
      </c>
      <c r="J319" s="22" t="s">
        <v>19573</v>
      </c>
      <c r="K319" s="22" t="s">
        <v>19574</v>
      </c>
      <c r="L319" s="22"/>
      <c r="M319" s="22"/>
      <c r="N319" s="25" t="str">
        <f>HYPERLINK("http://slimages.macys.com/is/image/MCY/1537013 ")</f>
        <v xml:space="preserve">http://slimages.macys.com/is/image/MCY/1537013 </v>
      </c>
    </row>
    <row r="320" spans="1:14" ht="24.75" x14ac:dyDescent="0.25">
      <c r="A320" s="21" t="s">
        <v>9743</v>
      </c>
      <c r="B320" s="22" t="s">
        <v>9744</v>
      </c>
      <c r="C320" s="2">
        <v>21</v>
      </c>
      <c r="D320" s="23">
        <v>5.99</v>
      </c>
      <c r="E320" s="3">
        <v>125.79</v>
      </c>
      <c r="F320" s="2" t="s">
        <v>17411</v>
      </c>
      <c r="G320" s="22" t="s">
        <v>19351</v>
      </c>
      <c r="H320" s="24" t="s">
        <v>19330</v>
      </c>
      <c r="I320" s="22" t="s">
        <v>19309</v>
      </c>
      <c r="J320" s="22" t="s">
        <v>19573</v>
      </c>
      <c r="K320" s="22" t="s">
        <v>19574</v>
      </c>
      <c r="L320" s="22"/>
      <c r="M320" s="22"/>
      <c r="N320" s="25" t="str">
        <f>HYPERLINK("http://slimages.macys.com/is/image/MCY/1537013 ")</f>
        <v xml:space="preserve">http://slimages.macys.com/is/image/MCY/1537013 </v>
      </c>
    </row>
    <row r="321" spans="1:14" ht="24.75" x14ac:dyDescent="0.25">
      <c r="A321" s="21" t="s">
        <v>9341</v>
      </c>
      <c r="B321" s="22" t="s">
        <v>9342</v>
      </c>
      <c r="C321" s="2">
        <v>1</v>
      </c>
      <c r="D321" s="23">
        <v>5.99</v>
      </c>
      <c r="E321" s="3">
        <v>5.99</v>
      </c>
      <c r="F321" s="2" t="s">
        <v>17411</v>
      </c>
      <c r="G321" s="22" t="s">
        <v>19351</v>
      </c>
      <c r="H321" s="24" t="s">
        <v>19384</v>
      </c>
      <c r="I321" s="22" t="s">
        <v>19309</v>
      </c>
      <c r="J321" s="22" t="s">
        <v>19573</v>
      </c>
      <c r="K321" s="22" t="s">
        <v>19574</v>
      </c>
      <c r="L321" s="22"/>
      <c r="M321" s="22"/>
      <c r="N321" s="25" t="str">
        <f>HYPERLINK("http://slimages.macys.com/is/image/MCY/1537013 ")</f>
        <v xml:space="preserve">http://slimages.macys.com/is/image/MCY/1537013 </v>
      </c>
    </row>
    <row r="322" spans="1:14" ht="24.75" x14ac:dyDescent="0.25">
      <c r="A322" s="21" t="s">
        <v>3644</v>
      </c>
      <c r="B322" s="22" t="s">
        <v>3645</v>
      </c>
      <c r="C322" s="2">
        <v>7</v>
      </c>
      <c r="D322" s="23">
        <v>5.99</v>
      </c>
      <c r="E322" s="3">
        <v>41.93</v>
      </c>
      <c r="F322" s="2" t="s">
        <v>9742</v>
      </c>
      <c r="G322" s="22" t="s">
        <v>19351</v>
      </c>
      <c r="H322" s="24" t="s">
        <v>19384</v>
      </c>
      <c r="I322" s="22" t="s">
        <v>19309</v>
      </c>
      <c r="J322" s="22" t="s">
        <v>19573</v>
      </c>
      <c r="K322" s="22" t="s">
        <v>19574</v>
      </c>
      <c r="L322" s="22"/>
      <c r="M322" s="22"/>
      <c r="N322" s="25" t="str">
        <f>HYPERLINK("http://slimages.macys.com/is/image/MCY/21361774 ")</f>
        <v xml:space="preserve">http://slimages.macys.com/is/image/MCY/21361774 </v>
      </c>
    </row>
    <row r="323" spans="1:14" ht="24.75" x14ac:dyDescent="0.25">
      <c r="A323" s="21" t="s">
        <v>11180</v>
      </c>
      <c r="B323" s="22" t="s">
        <v>11181</v>
      </c>
      <c r="C323" s="2">
        <v>8</v>
      </c>
      <c r="D323" s="23">
        <v>5.99</v>
      </c>
      <c r="E323" s="3">
        <v>47.92</v>
      </c>
      <c r="F323" s="2" t="s">
        <v>17411</v>
      </c>
      <c r="G323" s="22" t="s">
        <v>19351</v>
      </c>
      <c r="H323" s="24" t="s">
        <v>19324</v>
      </c>
      <c r="I323" s="22" t="s">
        <v>19309</v>
      </c>
      <c r="J323" s="22" t="s">
        <v>19573</v>
      </c>
      <c r="K323" s="22" t="s">
        <v>19574</v>
      </c>
      <c r="L323" s="22"/>
      <c r="M323" s="22"/>
      <c r="N323" s="25" t="str">
        <f>HYPERLINK("http://slimages.macys.com/is/image/MCY/1537013 ")</f>
        <v xml:space="preserve">http://slimages.macys.com/is/image/MCY/1537013 </v>
      </c>
    </row>
    <row r="324" spans="1:14" ht="24.75" x14ac:dyDescent="0.25">
      <c r="A324" s="21" t="s">
        <v>3646</v>
      </c>
      <c r="B324" s="22" t="s">
        <v>3647</v>
      </c>
      <c r="C324" s="2">
        <v>1</v>
      </c>
      <c r="D324" s="23">
        <v>5.99</v>
      </c>
      <c r="E324" s="3">
        <v>5.99</v>
      </c>
      <c r="F324" s="2" t="s">
        <v>7217</v>
      </c>
      <c r="G324" s="22" t="s">
        <v>19467</v>
      </c>
      <c r="H324" s="24" t="s">
        <v>19538</v>
      </c>
      <c r="I324" s="22" t="s">
        <v>19309</v>
      </c>
      <c r="J324" s="22" t="s">
        <v>19573</v>
      </c>
      <c r="K324" s="22" t="s">
        <v>19574</v>
      </c>
      <c r="L324" s="22"/>
      <c r="M324" s="22"/>
      <c r="N324" s="25" t="str">
        <f>HYPERLINK("http://slimages.macys.com/is/image/MCY/21905648 ")</f>
        <v xml:space="preserve">http://slimages.macys.com/is/image/MCY/21905648 </v>
      </c>
    </row>
    <row r="325" spans="1:14" ht="24.75" x14ac:dyDescent="0.25">
      <c r="A325" s="21" t="s">
        <v>5336</v>
      </c>
      <c r="B325" s="22" t="s">
        <v>5337</v>
      </c>
      <c r="C325" s="2">
        <v>18</v>
      </c>
      <c r="D325" s="23">
        <v>5.99</v>
      </c>
      <c r="E325" s="3">
        <v>107.82</v>
      </c>
      <c r="F325" s="2" t="s">
        <v>7217</v>
      </c>
      <c r="G325" s="22" t="s">
        <v>19415</v>
      </c>
      <c r="H325" s="24" t="s">
        <v>19330</v>
      </c>
      <c r="I325" s="22" t="s">
        <v>19309</v>
      </c>
      <c r="J325" s="22" t="s">
        <v>19573</v>
      </c>
      <c r="K325" s="22" t="s">
        <v>19574</v>
      </c>
      <c r="L325" s="22"/>
      <c r="M325" s="22"/>
      <c r="N325" s="25" t="str">
        <f>HYPERLINK("http://slimages.macys.com/is/image/MCY/21905648 ")</f>
        <v xml:space="preserve">http://slimages.macys.com/is/image/MCY/21905648 </v>
      </c>
    </row>
    <row r="326" spans="1:14" ht="24.75" x14ac:dyDescent="0.25">
      <c r="A326" s="21" t="s">
        <v>3648</v>
      </c>
      <c r="B326" s="22" t="s">
        <v>3649</v>
      </c>
      <c r="C326" s="2">
        <v>1</v>
      </c>
      <c r="D326" s="23">
        <v>5.99</v>
      </c>
      <c r="E326" s="3">
        <v>5.99</v>
      </c>
      <c r="F326" s="2" t="s">
        <v>7220</v>
      </c>
      <c r="G326" s="22" t="s">
        <v>19906</v>
      </c>
      <c r="H326" s="24" t="s">
        <v>19324</v>
      </c>
      <c r="I326" s="22" t="s">
        <v>19309</v>
      </c>
      <c r="J326" s="22" t="s">
        <v>19573</v>
      </c>
      <c r="K326" s="22" t="s">
        <v>19574</v>
      </c>
      <c r="L326" s="22"/>
      <c r="M326" s="22"/>
      <c r="N326" s="25" t="str">
        <f>HYPERLINK("http://slimages.macys.com/is/image/MCY/21209295 ")</f>
        <v xml:space="preserve">http://slimages.macys.com/is/image/MCY/21209295 </v>
      </c>
    </row>
    <row r="327" spans="1:14" ht="24.75" x14ac:dyDescent="0.25">
      <c r="A327" s="21" t="s">
        <v>3650</v>
      </c>
      <c r="B327" s="22" t="s">
        <v>10760</v>
      </c>
      <c r="C327" s="2">
        <v>1</v>
      </c>
      <c r="D327" s="23">
        <v>5.99</v>
      </c>
      <c r="E327" s="3">
        <v>5.99</v>
      </c>
      <c r="F327" s="2" t="s">
        <v>17309</v>
      </c>
      <c r="G327" s="22" t="s">
        <v>19351</v>
      </c>
      <c r="H327" s="24" t="s">
        <v>19416</v>
      </c>
      <c r="I327" s="22" t="s">
        <v>19309</v>
      </c>
      <c r="J327" s="22" t="s">
        <v>19573</v>
      </c>
      <c r="K327" s="22" t="s">
        <v>19574</v>
      </c>
      <c r="L327" s="22"/>
      <c r="M327" s="22"/>
      <c r="N327" s="25" t="str">
        <f>HYPERLINK("http://slimages.macys.com/is/image/MCY/21361770 ")</f>
        <v xml:space="preserve">http://slimages.macys.com/is/image/MCY/21361770 </v>
      </c>
    </row>
    <row r="328" spans="1:14" ht="24.75" x14ac:dyDescent="0.25">
      <c r="A328" s="21" t="s">
        <v>10771</v>
      </c>
      <c r="B328" s="22" t="s">
        <v>10772</v>
      </c>
      <c r="C328" s="2">
        <v>31</v>
      </c>
      <c r="D328" s="23">
        <v>5.99</v>
      </c>
      <c r="E328" s="3">
        <v>185.69</v>
      </c>
      <c r="F328" s="2" t="s">
        <v>10773</v>
      </c>
      <c r="G328" s="22" t="s">
        <v>19467</v>
      </c>
      <c r="H328" s="24" t="s">
        <v>19538</v>
      </c>
      <c r="I328" s="22" t="s">
        <v>19309</v>
      </c>
      <c r="J328" s="22" t="s">
        <v>19573</v>
      </c>
      <c r="K328" s="22" t="s">
        <v>19574</v>
      </c>
      <c r="L328" s="22"/>
      <c r="M328" s="22"/>
      <c r="N328" s="25" t="str">
        <f>HYPERLINK("http://slimages.macys.com/is/image/MCY/21970216 ")</f>
        <v xml:space="preserve">http://slimages.macys.com/is/image/MCY/21970216 </v>
      </c>
    </row>
    <row r="329" spans="1:14" ht="24.75" x14ac:dyDescent="0.25">
      <c r="A329" s="21" t="s">
        <v>3651</v>
      </c>
      <c r="B329" s="22" t="s">
        <v>3652</v>
      </c>
      <c r="C329" s="2">
        <v>12</v>
      </c>
      <c r="D329" s="23">
        <v>5.99</v>
      </c>
      <c r="E329" s="3">
        <v>71.88</v>
      </c>
      <c r="F329" s="2" t="s">
        <v>10773</v>
      </c>
      <c r="G329" s="22" t="s">
        <v>19467</v>
      </c>
      <c r="H329" s="24" t="s">
        <v>19384</v>
      </c>
      <c r="I329" s="22" t="s">
        <v>19309</v>
      </c>
      <c r="J329" s="22" t="s">
        <v>19573</v>
      </c>
      <c r="K329" s="22" t="s">
        <v>19574</v>
      </c>
      <c r="L329" s="22"/>
      <c r="M329" s="22"/>
      <c r="N329" s="25" t="str">
        <f>HYPERLINK("http://slimages.macys.com/is/image/MCY/21970216 ")</f>
        <v xml:space="preserve">http://slimages.macys.com/is/image/MCY/21970216 </v>
      </c>
    </row>
    <row r="330" spans="1:14" ht="24.75" x14ac:dyDescent="0.25">
      <c r="A330" s="21" t="s">
        <v>3653</v>
      </c>
      <c r="B330" s="22" t="s">
        <v>3654</v>
      </c>
      <c r="C330" s="2">
        <v>31</v>
      </c>
      <c r="D330" s="23">
        <v>5.99</v>
      </c>
      <c r="E330" s="3">
        <v>185.69</v>
      </c>
      <c r="F330" s="2" t="s">
        <v>10773</v>
      </c>
      <c r="G330" s="22" t="s">
        <v>19467</v>
      </c>
      <c r="H330" s="24" t="s">
        <v>19324</v>
      </c>
      <c r="I330" s="22" t="s">
        <v>19309</v>
      </c>
      <c r="J330" s="22" t="s">
        <v>19573</v>
      </c>
      <c r="K330" s="22" t="s">
        <v>19574</v>
      </c>
      <c r="L330" s="22"/>
      <c r="M330" s="22"/>
      <c r="N330" s="25" t="str">
        <f>HYPERLINK("http://slimages.macys.com/is/image/MCY/21970216 ")</f>
        <v xml:space="preserve">http://slimages.macys.com/is/image/MCY/21970216 </v>
      </c>
    </row>
    <row r="331" spans="1:14" ht="24.75" x14ac:dyDescent="0.25">
      <c r="A331" s="21" t="s">
        <v>3655</v>
      </c>
      <c r="B331" s="22" t="s">
        <v>3656</v>
      </c>
      <c r="C331" s="2">
        <v>1</v>
      </c>
      <c r="D331" s="23">
        <v>5.99</v>
      </c>
      <c r="E331" s="3">
        <v>5.99</v>
      </c>
      <c r="F331" s="2" t="s">
        <v>15020</v>
      </c>
      <c r="G331" s="22" t="s">
        <v>19618</v>
      </c>
      <c r="H331" s="24" t="s">
        <v>19324</v>
      </c>
      <c r="I331" s="22" t="s">
        <v>19309</v>
      </c>
      <c r="J331" s="22" t="s">
        <v>19573</v>
      </c>
      <c r="K331" s="22" t="s">
        <v>19574</v>
      </c>
      <c r="L331" s="22"/>
      <c r="M331" s="22"/>
      <c r="N331" s="25" t="str">
        <f>HYPERLINK("http://slimages.macys.com/is/image/MCY/20757443 ")</f>
        <v xml:space="preserve">http://slimages.macys.com/is/image/MCY/20757443 </v>
      </c>
    </row>
    <row r="332" spans="1:14" ht="24.75" x14ac:dyDescent="0.25">
      <c r="A332" s="21" t="s">
        <v>3657</v>
      </c>
      <c r="B332" s="22" t="s">
        <v>3658</v>
      </c>
      <c r="C332" s="2">
        <v>1</v>
      </c>
      <c r="D332" s="23">
        <v>5.99</v>
      </c>
      <c r="E332" s="3">
        <v>5.99</v>
      </c>
      <c r="F332" s="2" t="s">
        <v>17314</v>
      </c>
      <c r="G332" s="22" t="s">
        <v>19415</v>
      </c>
      <c r="H332" s="24" t="s">
        <v>19384</v>
      </c>
      <c r="I332" s="22" t="s">
        <v>19309</v>
      </c>
      <c r="J332" s="22" t="s">
        <v>19573</v>
      </c>
      <c r="K332" s="22" t="s">
        <v>19574</v>
      </c>
      <c r="L332" s="22"/>
      <c r="M332" s="22"/>
      <c r="N332" s="25" t="str">
        <f>HYPERLINK("http://slimages.macys.com/is/image/MCY/1537013 ")</f>
        <v xml:space="preserve">http://slimages.macys.com/is/image/MCY/1537013 </v>
      </c>
    </row>
    <row r="333" spans="1:14" ht="24.75" x14ac:dyDescent="0.25">
      <c r="A333" s="21" t="s">
        <v>5040</v>
      </c>
      <c r="B333" s="22" t="s">
        <v>5041</v>
      </c>
      <c r="C333" s="2">
        <v>1</v>
      </c>
      <c r="D333" s="23">
        <v>5.99</v>
      </c>
      <c r="E333" s="3">
        <v>5.99</v>
      </c>
      <c r="F333" s="2" t="s">
        <v>17472</v>
      </c>
      <c r="G333" s="22" t="s">
        <v>19467</v>
      </c>
      <c r="H333" s="24" t="s">
        <v>19416</v>
      </c>
      <c r="I333" s="22" t="s">
        <v>19309</v>
      </c>
      <c r="J333" s="22" t="s">
        <v>19573</v>
      </c>
      <c r="K333" s="22" t="s">
        <v>19574</v>
      </c>
      <c r="L333" s="22"/>
      <c r="M333" s="22"/>
      <c r="N333" s="25" t="str">
        <f>HYPERLINK("http://slimages.macys.com/is/image/MCY/16605973 ")</f>
        <v xml:space="preserve">http://slimages.macys.com/is/image/MCY/16605973 </v>
      </c>
    </row>
    <row r="334" spans="1:14" x14ac:dyDescent="0.25">
      <c r="A334" s="21" t="s">
        <v>7227</v>
      </c>
      <c r="B334" s="22" t="s">
        <v>7228</v>
      </c>
      <c r="C334" s="2">
        <v>7</v>
      </c>
      <c r="D334" s="23">
        <v>36.99</v>
      </c>
      <c r="E334" s="3">
        <v>258.93</v>
      </c>
      <c r="F334" s="2" t="s">
        <v>11186</v>
      </c>
      <c r="G334" s="22" t="s">
        <v>19338</v>
      </c>
      <c r="H334" s="24"/>
      <c r="I334" s="22" t="s">
        <v>19309</v>
      </c>
      <c r="J334" s="22" t="s">
        <v>19310</v>
      </c>
      <c r="K334" s="22" t="s">
        <v>19311</v>
      </c>
      <c r="L334" s="22"/>
      <c r="M334" s="22"/>
      <c r="N334" s="25"/>
    </row>
    <row r="335" spans="1:14" ht="24.75" x14ac:dyDescent="0.25">
      <c r="A335" s="21" t="s">
        <v>9751</v>
      </c>
      <c r="B335" s="22" t="s">
        <v>9752</v>
      </c>
      <c r="C335" s="2">
        <v>3</v>
      </c>
      <c r="D335" s="23">
        <v>32.99</v>
      </c>
      <c r="E335" s="3">
        <v>98.97</v>
      </c>
      <c r="F335" s="2" t="s">
        <v>11194</v>
      </c>
      <c r="G335" s="22" t="s">
        <v>19415</v>
      </c>
      <c r="H335" s="24" t="s">
        <v>19324</v>
      </c>
      <c r="I335" s="22" t="s">
        <v>19309</v>
      </c>
      <c r="J335" s="22" t="s">
        <v>19385</v>
      </c>
      <c r="K335" s="22" t="s">
        <v>19487</v>
      </c>
      <c r="L335" s="22"/>
      <c r="M335" s="22"/>
      <c r="N335" s="25"/>
    </row>
    <row r="336" spans="1:14" ht="24.75" x14ac:dyDescent="0.25">
      <c r="A336" s="21" t="s">
        <v>17340</v>
      </c>
      <c r="B336" s="22" t="s">
        <v>17341</v>
      </c>
      <c r="C336" s="2">
        <v>1</v>
      </c>
      <c r="D336" s="23">
        <v>30.99</v>
      </c>
      <c r="E336" s="3">
        <v>30.99</v>
      </c>
      <c r="F336" s="2" t="s">
        <v>17342</v>
      </c>
      <c r="G336" s="22" t="s">
        <v>19674</v>
      </c>
      <c r="H336" s="24" t="s">
        <v>19330</v>
      </c>
      <c r="I336" s="22" t="s">
        <v>19309</v>
      </c>
      <c r="J336" s="22" t="s">
        <v>19385</v>
      </c>
      <c r="K336" s="22" t="s">
        <v>19487</v>
      </c>
      <c r="L336" s="22"/>
      <c r="M336" s="22"/>
      <c r="N336" s="25"/>
    </row>
    <row r="337" spans="1:14" ht="24.75" x14ac:dyDescent="0.25">
      <c r="A337" s="21" t="s">
        <v>3659</v>
      </c>
      <c r="B337" s="22" t="s">
        <v>3660</v>
      </c>
      <c r="C337" s="2">
        <v>1</v>
      </c>
      <c r="D337" s="23">
        <v>26.99</v>
      </c>
      <c r="E337" s="3">
        <v>26.99</v>
      </c>
      <c r="F337" s="2" t="s">
        <v>3661</v>
      </c>
      <c r="G337" s="22" t="s">
        <v>19794</v>
      </c>
      <c r="H337" s="24" t="s">
        <v>19538</v>
      </c>
      <c r="I337" s="22" t="s">
        <v>19309</v>
      </c>
      <c r="J337" s="22" t="s">
        <v>19385</v>
      </c>
      <c r="K337" s="22" t="s">
        <v>19487</v>
      </c>
      <c r="L337" s="22"/>
      <c r="M337" s="22"/>
      <c r="N337" s="25"/>
    </row>
    <row r="338" spans="1:14" ht="24.75" x14ac:dyDescent="0.25">
      <c r="A338" s="21" t="s">
        <v>3662</v>
      </c>
      <c r="B338" s="22" t="s">
        <v>3663</v>
      </c>
      <c r="C338" s="2">
        <v>2</v>
      </c>
      <c r="D338" s="23">
        <v>25</v>
      </c>
      <c r="E338" s="3">
        <v>50</v>
      </c>
      <c r="F338" s="2">
        <v>320844961002</v>
      </c>
      <c r="G338" s="22" t="s">
        <v>19351</v>
      </c>
      <c r="H338" s="24"/>
      <c r="I338" s="22" t="s">
        <v>19309</v>
      </c>
      <c r="J338" s="22" t="s">
        <v>19325</v>
      </c>
      <c r="K338" s="22" t="s">
        <v>19326</v>
      </c>
      <c r="L338" s="22"/>
      <c r="M338" s="22"/>
      <c r="N338" s="25"/>
    </row>
    <row r="339" spans="1:14" ht="24.75" x14ac:dyDescent="0.25">
      <c r="A339" s="21" t="s">
        <v>9753</v>
      </c>
      <c r="B339" s="22" t="s">
        <v>9754</v>
      </c>
      <c r="C339" s="2">
        <v>7</v>
      </c>
      <c r="D339" s="23">
        <v>26.99</v>
      </c>
      <c r="E339" s="3">
        <v>188.93</v>
      </c>
      <c r="F339" s="2" t="s">
        <v>13552</v>
      </c>
      <c r="G339" s="22" t="s">
        <v>19422</v>
      </c>
      <c r="H339" s="24" t="s">
        <v>19384</v>
      </c>
      <c r="I339" s="22" t="s">
        <v>19309</v>
      </c>
      <c r="J339" s="22" t="s">
        <v>19385</v>
      </c>
      <c r="K339" s="22" t="s">
        <v>19487</v>
      </c>
      <c r="L339" s="22"/>
      <c r="M339" s="22"/>
      <c r="N339" s="25"/>
    </row>
    <row r="340" spans="1:14" ht="24.75" x14ac:dyDescent="0.25">
      <c r="A340" s="21" t="s">
        <v>8396</v>
      </c>
      <c r="B340" s="22" t="s">
        <v>8397</v>
      </c>
      <c r="C340" s="2">
        <v>1</v>
      </c>
      <c r="D340" s="23">
        <v>26.99</v>
      </c>
      <c r="E340" s="3">
        <v>26.99</v>
      </c>
      <c r="F340" s="2" t="s">
        <v>13552</v>
      </c>
      <c r="G340" s="22" t="s">
        <v>19422</v>
      </c>
      <c r="H340" s="24" t="s">
        <v>19330</v>
      </c>
      <c r="I340" s="22" t="s">
        <v>19309</v>
      </c>
      <c r="J340" s="22" t="s">
        <v>19385</v>
      </c>
      <c r="K340" s="22" t="s">
        <v>19487</v>
      </c>
      <c r="L340" s="22"/>
      <c r="M340" s="22"/>
      <c r="N340" s="25"/>
    </row>
    <row r="341" spans="1:14" ht="24.75" x14ac:dyDescent="0.25">
      <c r="A341" s="21" t="s">
        <v>17491</v>
      </c>
      <c r="B341" s="22" t="s">
        <v>17492</v>
      </c>
      <c r="C341" s="2">
        <v>44</v>
      </c>
      <c r="D341" s="23">
        <v>26.99</v>
      </c>
      <c r="E341" s="3">
        <v>1187.56</v>
      </c>
      <c r="F341" s="2" t="s">
        <v>17488</v>
      </c>
      <c r="G341" s="22" t="s">
        <v>19357</v>
      </c>
      <c r="H341" s="24" t="s">
        <v>19384</v>
      </c>
      <c r="I341" s="22" t="s">
        <v>19309</v>
      </c>
      <c r="J341" s="22" t="s">
        <v>19385</v>
      </c>
      <c r="K341" s="22" t="s">
        <v>19487</v>
      </c>
      <c r="L341" s="22"/>
      <c r="M341" s="22"/>
      <c r="N341" s="25"/>
    </row>
    <row r="342" spans="1:14" ht="24.75" x14ac:dyDescent="0.25">
      <c r="A342" s="21" t="s">
        <v>17359</v>
      </c>
      <c r="B342" s="22" t="s">
        <v>17360</v>
      </c>
      <c r="C342" s="2">
        <v>14</v>
      </c>
      <c r="D342" s="23">
        <v>26.99</v>
      </c>
      <c r="E342" s="3">
        <v>377.86</v>
      </c>
      <c r="F342" s="2" t="s">
        <v>17488</v>
      </c>
      <c r="G342" s="22" t="s">
        <v>19357</v>
      </c>
      <c r="H342" s="24" t="s">
        <v>19330</v>
      </c>
      <c r="I342" s="22" t="s">
        <v>19309</v>
      </c>
      <c r="J342" s="22" t="s">
        <v>19385</v>
      </c>
      <c r="K342" s="22" t="s">
        <v>19487</v>
      </c>
      <c r="L342" s="22"/>
      <c r="M342" s="22"/>
      <c r="N342" s="25"/>
    </row>
    <row r="343" spans="1:14" ht="24.75" x14ac:dyDescent="0.25">
      <c r="A343" s="21" t="s">
        <v>9757</v>
      </c>
      <c r="B343" s="22" t="s">
        <v>9758</v>
      </c>
      <c r="C343" s="2">
        <v>21</v>
      </c>
      <c r="D343" s="23">
        <v>24.99</v>
      </c>
      <c r="E343" s="3">
        <v>524.79</v>
      </c>
      <c r="F343" s="2" t="s">
        <v>9432</v>
      </c>
      <c r="G343" s="22" t="s">
        <v>19333</v>
      </c>
      <c r="H343" s="24" t="s">
        <v>19324</v>
      </c>
      <c r="I343" s="22" t="s">
        <v>19309</v>
      </c>
      <c r="J343" s="22" t="s">
        <v>19385</v>
      </c>
      <c r="K343" s="22" t="s">
        <v>19386</v>
      </c>
      <c r="L343" s="22"/>
      <c r="M343" s="22"/>
      <c r="N343" s="25"/>
    </row>
    <row r="344" spans="1:14" x14ac:dyDescent="0.25">
      <c r="A344" s="21" t="s">
        <v>5061</v>
      </c>
      <c r="B344" s="22" t="s">
        <v>5062</v>
      </c>
      <c r="C344" s="2">
        <v>6</v>
      </c>
      <c r="D344" s="23">
        <v>18.989999999999998</v>
      </c>
      <c r="E344" s="3">
        <v>113.94</v>
      </c>
      <c r="F344" s="2" t="s">
        <v>7239</v>
      </c>
      <c r="G344" s="22" t="s">
        <v>19307</v>
      </c>
      <c r="H344" s="24"/>
      <c r="I344" s="22" t="s">
        <v>19309</v>
      </c>
      <c r="J344" s="22" t="s">
        <v>19310</v>
      </c>
      <c r="K344" s="22" t="s">
        <v>19311</v>
      </c>
      <c r="L344" s="22"/>
      <c r="M344" s="22"/>
      <c r="N344" s="25"/>
    </row>
    <row r="345" spans="1:14" x14ac:dyDescent="0.25">
      <c r="A345" s="21" t="s">
        <v>9764</v>
      </c>
      <c r="B345" s="22" t="s">
        <v>9765</v>
      </c>
      <c r="C345" s="2">
        <v>1</v>
      </c>
      <c r="D345" s="23">
        <v>20</v>
      </c>
      <c r="E345" s="3">
        <v>20</v>
      </c>
      <c r="F345" s="2" t="s">
        <v>9763</v>
      </c>
      <c r="G345" s="22" t="s">
        <v>19431</v>
      </c>
      <c r="H345" s="24" t="s">
        <v>19352</v>
      </c>
      <c r="I345" s="22" t="s">
        <v>19309</v>
      </c>
      <c r="J345" s="22" t="s">
        <v>19559</v>
      </c>
      <c r="K345" s="22" t="s">
        <v>12721</v>
      </c>
      <c r="L345" s="22"/>
      <c r="M345" s="22"/>
      <c r="N345" s="25"/>
    </row>
    <row r="346" spans="1:14" ht="24.75" x14ac:dyDescent="0.25">
      <c r="A346" s="21" t="s">
        <v>3664</v>
      </c>
      <c r="B346" s="22" t="s">
        <v>3665</v>
      </c>
      <c r="C346" s="2">
        <v>1</v>
      </c>
      <c r="D346" s="23">
        <v>18.23</v>
      </c>
      <c r="E346" s="3">
        <v>18.23</v>
      </c>
      <c r="F346" s="2" t="s">
        <v>3666</v>
      </c>
      <c r="G346" s="22"/>
      <c r="H346" s="24" t="s">
        <v>19478</v>
      </c>
      <c r="I346" s="22" t="s">
        <v>19309</v>
      </c>
      <c r="J346" s="22" t="s">
        <v>19602</v>
      </c>
      <c r="K346" s="22" t="s">
        <v>19603</v>
      </c>
      <c r="L346" s="22"/>
      <c r="M346" s="22"/>
      <c r="N346" s="25"/>
    </row>
    <row r="347" spans="1:14" ht="24.75" x14ac:dyDescent="0.25">
      <c r="A347" s="21" t="s">
        <v>3667</v>
      </c>
      <c r="B347" s="22" t="s">
        <v>3668</v>
      </c>
      <c r="C347" s="2">
        <v>11</v>
      </c>
      <c r="D347" s="23">
        <v>20.99</v>
      </c>
      <c r="E347" s="3">
        <v>230.89</v>
      </c>
      <c r="F347" s="2" t="s">
        <v>5233</v>
      </c>
      <c r="G347" s="22" t="s">
        <v>19342</v>
      </c>
      <c r="H347" s="24" t="s">
        <v>19330</v>
      </c>
      <c r="I347" s="22" t="s">
        <v>19309</v>
      </c>
      <c r="J347" s="22" t="s">
        <v>19385</v>
      </c>
      <c r="K347" s="22" t="s">
        <v>18064</v>
      </c>
      <c r="L347" s="22"/>
      <c r="M347" s="22"/>
      <c r="N347" s="25"/>
    </row>
    <row r="348" spans="1:14" ht="24.75" x14ac:dyDescent="0.25">
      <c r="A348" s="21" t="s">
        <v>3669</v>
      </c>
      <c r="B348" s="22" t="s">
        <v>3670</v>
      </c>
      <c r="C348" s="2">
        <v>1</v>
      </c>
      <c r="D348" s="23">
        <v>20.99</v>
      </c>
      <c r="E348" s="3">
        <v>20.99</v>
      </c>
      <c r="F348" s="2" t="s">
        <v>3671</v>
      </c>
      <c r="G348" s="22" t="s">
        <v>19342</v>
      </c>
      <c r="H348" s="24" t="s">
        <v>19330</v>
      </c>
      <c r="I348" s="22" t="s">
        <v>19309</v>
      </c>
      <c r="J348" s="22" t="s">
        <v>19385</v>
      </c>
      <c r="K348" s="22" t="s">
        <v>18064</v>
      </c>
      <c r="L348" s="22"/>
      <c r="M348" s="22"/>
      <c r="N348" s="25"/>
    </row>
    <row r="349" spans="1:14" ht="24.75" x14ac:dyDescent="0.25">
      <c r="A349" s="21" t="s">
        <v>3672</v>
      </c>
      <c r="B349" s="22" t="s">
        <v>3673</v>
      </c>
      <c r="C349" s="2">
        <v>1</v>
      </c>
      <c r="D349" s="23">
        <v>23.99</v>
      </c>
      <c r="E349" s="3">
        <v>23.99</v>
      </c>
      <c r="F349" s="2" t="s">
        <v>3674</v>
      </c>
      <c r="G349" s="22" t="s">
        <v>19342</v>
      </c>
      <c r="H349" s="24" t="s">
        <v>19324</v>
      </c>
      <c r="I349" s="22" t="s">
        <v>19309</v>
      </c>
      <c r="J349" s="22" t="s">
        <v>19491</v>
      </c>
      <c r="K349" s="22" t="s">
        <v>8781</v>
      </c>
      <c r="L349" s="22"/>
      <c r="M349" s="22"/>
      <c r="N349" s="25"/>
    </row>
    <row r="350" spans="1:14" x14ac:dyDescent="0.25">
      <c r="A350" s="21" t="s">
        <v>3675</v>
      </c>
      <c r="B350" s="22" t="s">
        <v>3676</v>
      </c>
      <c r="C350" s="2">
        <v>1</v>
      </c>
      <c r="D350" s="23">
        <v>14.67</v>
      </c>
      <c r="E350" s="3">
        <v>14.67</v>
      </c>
      <c r="F350" s="2" t="s">
        <v>3677</v>
      </c>
      <c r="G350" s="22" t="s">
        <v>19351</v>
      </c>
      <c r="H350" s="24" t="s">
        <v>3678</v>
      </c>
      <c r="I350" s="22" t="s">
        <v>19309</v>
      </c>
      <c r="J350" s="22" t="s">
        <v>19708</v>
      </c>
      <c r="K350" s="22" t="s">
        <v>19709</v>
      </c>
      <c r="L350" s="22"/>
      <c r="M350" s="22"/>
      <c r="N350" s="25"/>
    </row>
    <row r="351" spans="1:14" ht="24.75" x14ac:dyDescent="0.25">
      <c r="A351" s="21" t="s">
        <v>3679</v>
      </c>
      <c r="B351" s="22" t="s">
        <v>3680</v>
      </c>
      <c r="C351" s="2">
        <v>4</v>
      </c>
      <c r="D351" s="23">
        <v>18.989999999999998</v>
      </c>
      <c r="E351" s="3">
        <v>75.959999999999994</v>
      </c>
      <c r="F351" s="2" t="s">
        <v>11204</v>
      </c>
      <c r="G351" s="22" t="s">
        <v>19323</v>
      </c>
      <c r="H351" s="24"/>
      <c r="I351" s="22" t="s">
        <v>19309</v>
      </c>
      <c r="J351" s="22" t="s">
        <v>19519</v>
      </c>
      <c r="K351" s="22" t="s">
        <v>11201</v>
      </c>
      <c r="L351" s="22"/>
      <c r="M351" s="22"/>
      <c r="N351" s="25"/>
    </row>
    <row r="352" spans="1:14" ht="24.75" x14ac:dyDescent="0.25">
      <c r="A352" s="21" t="s">
        <v>3681</v>
      </c>
      <c r="B352" s="22" t="s">
        <v>3682</v>
      </c>
      <c r="C352" s="2">
        <v>1</v>
      </c>
      <c r="D352" s="23">
        <v>16.989999999999998</v>
      </c>
      <c r="E352" s="3">
        <v>16.989999999999998</v>
      </c>
      <c r="F352" s="2" t="s">
        <v>3683</v>
      </c>
      <c r="G352" s="22" t="s">
        <v>19315</v>
      </c>
      <c r="H352" s="24" t="s">
        <v>19330</v>
      </c>
      <c r="I352" s="22" t="s">
        <v>19309</v>
      </c>
      <c r="J352" s="22" t="s">
        <v>19491</v>
      </c>
      <c r="K352" s="22" t="s">
        <v>20146</v>
      </c>
      <c r="L352" s="22"/>
      <c r="M352" s="22"/>
      <c r="N352" s="25"/>
    </row>
    <row r="353" spans="1:14" ht="24.75" x14ac:dyDescent="0.25">
      <c r="A353" s="21" t="s">
        <v>8634</v>
      </c>
      <c r="B353" s="22" t="s">
        <v>8635</v>
      </c>
      <c r="C353" s="2">
        <v>7</v>
      </c>
      <c r="D353" s="23">
        <v>13.88</v>
      </c>
      <c r="E353" s="3">
        <v>97.16</v>
      </c>
      <c r="F353" s="2" t="s">
        <v>11210</v>
      </c>
      <c r="G353" s="22" t="s">
        <v>19415</v>
      </c>
      <c r="H353" s="24" t="s">
        <v>19339</v>
      </c>
      <c r="I353" s="22" t="s">
        <v>19309</v>
      </c>
      <c r="J353" s="22" t="s">
        <v>19565</v>
      </c>
      <c r="K353" s="22" t="s">
        <v>18548</v>
      </c>
      <c r="L353" s="22"/>
      <c r="M353" s="22"/>
      <c r="N353" s="25"/>
    </row>
    <row r="354" spans="1:14" ht="24.75" x14ac:dyDescent="0.25">
      <c r="A354" s="21" t="s">
        <v>9377</v>
      </c>
      <c r="B354" s="22" t="s">
        <v>9378</v>
      </c>
      <c r="C354" s="2">
        <v>30</v>
      </c>
      <c r="D354" s="23">
        <v>11.55</v>
      </c>
      <c r="E354" s="3">
        <v>346.5</v>
      </c>
      <c r="F354" s="2" t="s">
        <v>17372</v>
      </c>
      <c r="G354" s="22" t="s">
        <v>19618</v>
      </c>
      <c r="H354" s="24" t="s">
        <v>19364</v>
      </c>
      <c r="I354" s="22" t="s">
        <v>19309</v>
      </c>
      <c r="J354" s="22" t="s">
        <v>19565</v>
      </c>
      <c r="K354" s="22" t="s">
        <v>18548</v>
      </c>
      <c r="L354" s="22"/>
      <c r="M354" s="22"/>
      <c r="N354" s="25"/>
    </row>
    <row r="355" spans="1:14" ht="24.75" x14ac:dyDescent="0.25">
      <c r="A355" s="21" t="s">
        <v>8185</v>
      </c>
      <c r="B355" s="22" t="s">
        <v>8186</v>
      </c>
      <c r="C355" s="2">
        <v>1</v>
      </c>
      <c r="D355" s="23">
        <v>11.55</v>
      </c>
      <c r="E355" s="3">
        <v>11.55</v>
      </c>
      <c r="F355" s="2" t="s">
        <v>17372</v>
      </c>
      <c r="G355" s="22" t="s">
        <v>19618</v>
      </c>
      <c r="H355" s="24" t="s">
        <v>19339</v>
      </c>
      <c r="I355" s="22" t="s">
        <v>19309</v>
      </c>
      <c r="J355" s="22" t="s">
        <v>19565</v>
      </c>
      <c r="K355" s="22" t="s">
        <v>18548</v>
      </c>
      <c r="L355" s="22"/>
      <c r="M355" s="22"/>
      <c r="N355" s="25"/>
    </row>
    <row r="356" spans="1:14" ht="24.75" x14ac:dyDescent="0.25">
      <c r="A356" s="21" t="s">
        <v>3684</v>
      </c>
      <c r="B356" s="22" t="s">
        <v>3685</v>
      </c>
      <c r="C356" s="2">
        <v>1</v>
      </c>
      <c r="D356" s="23">
        <v>10.91</v>
      </c>
      <c r="E356" s="3">
        <v>10.91</v>
      </c>
      <c r="F356" s="2" t="s">
        <v>9781</v>
      </c>
      <c r="G356" s="22" t="s">
        <v>19467</v>
      </c>
      <c r="H356" s="24"/>
      <c r="I356" s="22" t="s">
        <v>19309</v>
      </c>
      <c r="J356" s="22" t="s">
        <v>19602</v>
      </c>
      <c r="K356" s="22" t="s">
        <v>20041</v>
      </c>
      <c r="L356" s="22"/>
      <c r="M356" s="22"/>
      <c r="N356" s="25"/>
    </row>
    <row r="357" spans="1:14" x14ac:dyDescent="0.25">
      <c r="A357" s="21" t="s">
        <v>3686</v>
      </c>
      <c r="B357" s="22" t="s">
        <v>3687</v>
      </c>
      <c r="C357" s="2">
        <v>8</v>
      </c>
      <c r="D357" s="23">
        <v>18</v>
      </c>
      <c r="E357" s="3">
        <v>144</v>
      </c>
      <c r="F357" s="2" t="s">
        <v>8407</v>
      </c>
      <c r="G357" s="22" t="s">
        <v>19635</v>
      </c>
      <c r="H357" s="24" t="s">
        <v>20159</v>
      </c>
      <c r="I357" s="22" t="s">
        <v>19309</v>
      </c>
      <c r="J357" s="22" t="s">
        <v>19708</v>
      </c>
      <c r="K357" s="22" t="s">
        <v>19709</v>
      </c>
      <c r="L357" s="22"/>
      <c r="M357" s="22"/>
      <c r="N357" s="25"/>
    </row>
    <row r="358" spans="1:14" x14ac:dyDescent="0.25">
      <c r="A358" s="21" t="s">
        <v>9785</v>
      </c>
      <c r="B358" s="22" t="s">
        <v>9786</v>
      </c>
      <c r="C358" s="2">
        <v>3</v>
      </c>
      <c r="D358" s="23">
        <v>18</v>
      </c>
      <c r="E358" s="3">
        <v>54</v>
      </c>
      <c r="F358" s="2" t="s">
        <v>11217</v>
      </c>
      <c r="G358" s="22" t="s">
        <v>19431</v>
      </c>
      <c r="H358" s="24" t="s">
        <v>19416</v>
      </c>
      <c r="I358" s="22" t="s">
        <v>19309</v>
      </c>
      <c r="J358" s="22" t="s">
        <v>19708</v>
      </c>
      <c r="K358" s="22" t="s">
        <v>19709</v>
      </c>
      <c r="L358" s="22"/>
      <c r="M358" s="22"/>
      <c r="N358" s="25"/>
    </row>
    <row r="359" spans="1:14" ht="24.75" x14ac:dyDescent="0.25">
      <c r="A359" s="21" t="s">
        <v>3688</v>
      </c>
      <c r="B359" s="22" t="s">
        <v>3689</v>
      </c>
      <c r="C359" s="2">
        <v>2</v>
      </c>
      <c r="D359" s="23">
        <v>6.69</v>
      </c>
      <c r="E359" s="3">
        <v>13.38</v>
      </c>
      <c r="F359" s="2" t="s">
        <v>3690</v>
      </c>
      <c r="G359" s="22" t="s">
        <v>19333</v>
      </c>
      <c r="H359" s="24" t="s">
        <v>19364</v>
      </c>
      <c r="I359" s="22" t="s">
        <v>19309</v>
      </c>
      <c r="J359" s="22" t="s">
        <v>19565</v>
      </c>
      <c r="K359" s="22" t="s">
        <v>18514</v>
      </c>
      <c r="L359" s="22"/>
      <c r="M359" s="22"/>
      <c r="N359" s="25"/>
    </row>
    <row r="360" spans="1:14" x14ac:dyDescent="0.25">
      <c r="A360" s="21" t="s">
        <v>3691</v>
      </c>
      <c r="B360" s="22" t="s">
        <v>3692</v>
      </c>
      <c r="C360" s="2">
        <v>1</v>
      </c>
      <c r="D360" s="23">
        <v>9.44</v>
      </c>
      <c r="E360" s="3">
        <v>9.44</v>
      </c>
      <c r="F360" s="2" t="s">
        <v>6125</v>
      </c>
      <c r="G360" s="22" t="s">
        <v>19357</v>
      </c>
      <c r="H360" s="24" t="s">
        <v>20152</v>
      </c>
      <c r="I360" s="22" t="s">
        <v>19309</v>
      </c>
      <c r="J360" s="22" t="s">
        <v>19708</v>
      </c>
      <c r="K360" s="22" t="s">
        <v>19709</v>
      </c>
      <c r="L360" s="22"/>
      <c r="M360" s="22"/>
      <c r="N360" s="25"/>
    </row>
    <row r="361" spans="1:14" x14ac:dyDescent="0.25">
      <c r="A361" s="21" t="s">
        <v>3693</v>
      </c>
      <c r="B361" s="22" t="s">
        <v>3694</v>
      </c>
      <c r="C361" s="2">
        <v>9</v>
      </c>
      <c r="D361" s="23">
        <v>8.3000000000000007</v>
      </c>
      <c r="E361" s="3">
        <v>74.7</v>
      </c>
      <c r="F361" s="2" t="s">
        <v>3695</v>
      </c>
      <c r="G361" s="22" t="s">
        <v>19431</v>
      </c>
      <c r="H361" s="24" t="s">
        <v>19770</v>
      </c>
      <c r="I361" s="22" t="s">
        <v>19309</v>
      </c>
      <c r="J361" s="22" t="s">
        <v>19708</v>
      </c>
      <c r="K361" s="22" t="s">
        <v>19709</v>
      </c>
      <c r="L361" s="22"/>
      <c r="M361" s="22"/>
      <c r="N361" s="25"/>
    </row>
    <row r="362" spans="1:14" x14ac:dyDescent="0.25">
      <c r="A362" s="21" t="s">
        <v>3696</v>
      </c>
      <c r="B362" s="22" t="s">
        <v>3697</v>
      </c>
      <c r="C362" s="2">
        <v>22</v>
      </c>
      <c r="D362" s="23">
        <v>8.3000000000000007</v>
      </c>
      <c r="E362" s="3">
        <v>182.6</v>
      </c>
      <c r="F362" s="2" t="s">
        <v>9664</v>
      </c>
      <c r="G362" s="22" t="s">
        <v>19594</v>
      </c>
      <c r="H362" s="24" t="s">
        <v>19330</v>
      </c>
      <c r="I362" s="22" t="s">
        <v>19309</v>
      </c>
      <c r="J362" s="22" t="s">
        <v>19708</v>
      </c>
      <c r="K362" s="22" t="s">
        <v>19709</v>
      </c>
      <c r="L362" s="22"/>
      <c r="M362" s="22"/>
      <c r="N362" s="25"/>
    </row>
    <row r="363" spans="1:14" x14ac:dyDescent="0.25">
      <c r="A363" s="21" t="s">
        <v>9798</v>
      </c>
      <c r="B363" s="22" t="s">
        <v>9799</v>
      </c>
      <c r="C363" s="2">
        <v>10</v>
      </c>
      <c r="D363" s="23">
        <v>8.3000000000000007</v>
      </c>
      <c r="E363" s="3">
        <v>83</v>
      </c>
      <c r="F363" s="2" t="s">
        <v>9664</v>
      </c>
      <c r="G363" s="22" t="s">
        <v>19594</v>
      </c>
      <c r="H363" s="24" t="s">
        <v>19324</v>
      </c>
      <c r="I363" s="22" t="s">
        <v>19309</v>
      </c>
      <c r="J363" s="22" t="s">
        <v>19708</v>
      </c>
      <c r="K363" s="22" t="s">
        <v>19709</v>
      </c>
      <c r="L363" s="22"/>
      <c r="M363" s="22"/>
      <c r="N363" s="25"/>
    </row>
    <row r="364" spans="1:14" x14ac:dyDescent="0.25">
      <c r="A364" s="21" t="s">
        <v>3698</v>
      </c>
      <c r="B364" s="22" t="s">
        <v>3699</v>
      </c>
      <c r="C364" s="2">
        <v>1</v>
      </c>
      <c r="D364" s="23">
        <v>8.3000000000000007</v>
      </c>
      <c r="E364" s="3">
        <v>8.3000000000000007</v>
      </c>
      <c r="F364" s="2" t="s">
        <v>14707</v>
      </c>
      <c r="G364" s="22" t="s">
        <v>19323</v>
      </c>
      <c r="H364" s="24" t="s">
        <v>19330</v>
      </c>
      <c r="I364" s="22" t="s">
        <v>19309</v>
      </c>
      <c r="J364" s="22" t="s">
        <v>19708</v>
      </c>
      <c r="K364" s="22" t="s">
        <v>19709</v>
      </c>
      <c r="L364" s="22"/>
      <c r="M364" s="22"/>
      <c r="N364" s="25"/>
    </row>
    <row r="365" spans="1:14" x14ac:dyDescent="0.25">
      <c r="A365" s="21" t="s">
        <v>9794</v>
      </c>
      <c r="B365" s="22" t="s">
        <v>9795</v>
      </c>
      <c r="C365" s="2">
        <v>3</v>
      </c>
      <c r="D365" s="23">
        <v>8.3000000000000007</v>
      </c>
      <c r="E365" s="3">
        <v>24.9</v>
      </c>
      <c r="F365" s="2" t="s">
        <v>14707</v>
      </c>
      <c r="G365" s="22" t="s">
        <v>19323</v>
      </c>
      <c r="H365" s="24" t="s">
        <v>20152</v>
      </c>
      <c r="I365" s="22" t="s">
        <v>19309</v>
      </c>
      <c r="J365" s="22" t="s">
        <v>19708</v>
      </c>
      <c r="K365" s="22" t="s">
        <v>19709</v>
      </c>
      <c r="L365" s="22"/>
      <c r="M365" s="22"/>
      <c r="N365" s="25"/>
    </row>
    <row r="366" spans="1:14" x14ac:dyDescent="0.25">
      <c r="A366" s="21" t="s">
        <v>9792</v>
      </c>
      <c r="B366" s="22" t="s">
        <v>9793</v>
      </c>
      <c r="C366" s="2">
        <v>41</v>
      </c>
      <c r="D366" s="23">
        <v>8.3000000000000007</v>
      </c>
      <c r="E366" s="3">
        <v>340.3</v>
      </c>
      <c r="F366" s="2" t="s">
        <v>14707</v>
      </c>
      <c r="G366" s="22" t="s">
        <v>19323</v>
      </c>
      <c r="H366" s="24" t="s">
        <v>20159</v>
      </c>
      <c r="I366" s="22" t="s">
        <v>19309</v>
      </c>
      <c r="J366" s="22" t="s">
        <v>19708</v>
      </c>
      <c r="K366" s="22" t="s">
        <v>19709</v>
      </c>
      <c r="L366" s="22"/>
      <c r="M366" s="22"/>
      <c r="N366" s="25"/>
    </row>
    <row r="367" spans="1:14" x14ac:dyDescent="0.25">
      <c r="A367" s="21" t="s">
        <v>9796</v>
      </c>
      <c r="B367" s="22" t="s">
        <v>9797</v>
      </c>
      <c r="C367" s="2">
        <v>5</v>
      </c>
      <c r="D367" s="23">
        <v>8.3000000000000007</v>
      </c>
      <c r="E367" s="3">
        <v>41.5</v>
      </c>
      <c r="F367" s="2" t="s">
        <v>14707</v>
      </c>
      <c r="G367" s="22" t="s">
        <v>19323</v>
      </c>
      <c r="H367" s="24" t="s">
        <v>19367</v>
      </c>
      <c r="I367" s="22" t="s">
        <v>19309</v>
      </c>
      <c r="J367" s="22" t="s">
        <v>19708</v>
      </c>
      <c r="K367" s="22" t="s">
        <v>19709</v>
      </c>
      <c r="L367" s="22"/>
      <c r="M367" s="22"/>
      <c r="N367" s="25"/>
    </row>
  </sheetData>
  <phoneticPr fontId="0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7"/>
  <sheetViews>
    <sheetView workbookViewId="0">
      <selection activeCell="F21" sqref="F21"/>
    </sheetView>
  </sheetViews>
  <sheetFormatPr defaultRowHeight="15" x14ac:dyDescent="0.25"/>
  <cols>
    <col min="1" max="1" width="14.42578125" customWidth="1"/>
    <col min="2" max="2" width="50.85546875" customWidth="1"/>
    <col min="3" max="4" width="15" customWidth="1"/>
    <col min="5" max="5" width="10.85546875" customWidth="1"/>
    <col min="6" max="6" width="14.42578125" customWidth="1"/>
    <col min="7" max="8" width="11.42578125" customWidth="1"/>
    <col min="9" max="9" width="10.85546875" customWidth="1"/>
    <col min="10" max="10" width="12.140625" customWidth="1"/>
    <col min="11" max="11" width="36.5703125" bestFit="1" customWidth="1"/>
    <col min="12" max="13" width="20.5703125" customWidth="1"/>
    <col min="14" max="14" width="64.42578125" customWidth="1"/>
  </cols>
  <sheetData>
    <row r="1" spans="1:14" ht="36" x14ac:dyDescent="0.25">
      <c r="A1" s="1" t="s">
        <v>19291</v>
      </c>
      <c r="B1" s="1" t="s">
        <v>19292</v>
      </c>
      <c r="C1" s="1" t="s">
        <v>19293</v>
      </c>
      <c r="D1" s="1" t="s">
        <v>19284</v>
      </c>
      <c r="E1" s="1" t="s">
        <v>19294</v>
      </c>
      <c r="F1" s="1" t="s">
        <v>19295</v>
      </c>
      <c r="G1" s="1" t="s">
        <v>19296</v>
      </c>
      <c r="H1" s="1" t="s">
        <v>19297</v>
      </c>
      <c r="I1" s="1" t="s">
        <v>19298</v>
      </c>
      <c r="J1" s="1" t="s">
        <v>19299</v>
      </c>
      <c r="K1" s="1" t="s">
        <v>19300</v>
      </c>
      <c r="L1" s="1" t="s">
        <v>19301</v>
      </c>
      <c r="M1" s="1" t="s">
        <v>19302</v>
      </c>
      <c r="N1" s="1" t="s">
        <v>19303</v>
      </c>
    </row>
    <row r="2" spans="1:14" ht="24.75" x14ac:dyDescent="0.25">
      <c r="A2" s="21" t="s">
        <v>3700</v>
      </c>
      <c r="B2" s="22" t="s">
        <v>3701</v>
      </c>
      <c r="C2" s="2">
        <v>5</v>
      </c>
      <c r="D2" s="23">
        <v>59.5</v>
      </c>
      <c r="E2" s="3">
        <v>297.5</v>
      </c>
      <c r="F2" s="2">
        <v>322858715001</v>
      </c>
      <c r="G2" s="22" t="s">
        <v>19333</v>
      </c>
      <c r="H2" s="24" t="s">
        <v>19432</v>
      </c>
      <c r="I2" s="22" t="s">
        <v>19309</v>
      </c>
      <c r="J2" s="22" t="s">
        <v>19335</v>
      </c>
      <c r="K2" s="22" t="s">
        <v>19326</v>
      </c>
      <c r="L2" s="22"/>
      <c r="M2" s="22"/>
      <c r="N2" s="25" t="str">
        <f>HYPERLINK("http://slimages.macys.com/is/image/MCY/20655014 ")</f>
        <v xml:space="preserve">http://slimages.macys.com/is/image/MCY/20655014 </v>
      </c>
    </row>
    <row r="3" spans="1:14" ht="24.75" x14ac:dyDescent="0.25">
      <c r="A3" s="21" t="s">
        <v>5117</v>
      </c>
      <c r="B3" s="22" t="s">
        <v>5118</v>
      </c>
      <c r="C3" s="2">
        <v>7</v>
      </c>
      <c r="D3" s="23">
        <v>45</v>
      </c>
      <c r="E3" s="3">
        <v>315</v>
      </c>
      <c r="F3" s="2">
        <v>323832971002</v>
      </c>
      <c r="G3" s="22" t="s">
        <v>19357</v>
      </c>
      <c r="H3" s="24" t="s">
        <v>19364</v>
      </c>
      <c r="I3" s="22" t="s">
        <v>19309</v>
      </c>
      <c r="J3" s="22" t="s">
        <v>19335</v>
      </c>
      <c r="K3" s="22" t="s">
        <v>19326</v>
      </c>
      <c r="L3" s="22"/>
      <c r="M3" s="22"/>
      <c r="N3" s="25" t="str">
        <f>HYPERLINK("http://slimages.macys.com/is/image/MCY/18459304 ")</f>
        <v xml:space="preserve">http://slimages.macys.com/is/image/MCY/18459304 </v>
      </c>
    </row>
    <row r="4" spans="1:14" ht="24.75" x14ac:dyDescent="0.25">
      <c r="A4" s="21" t="s">
        <v>3702</v>
      </c>
      <c r="B4" s="22" t="s">
        <v>3703</v>
      </c>
      <c r="C4" s="2">
        <v>1</v>
      </c>
      <c r="D4" s="23">
        <v>41.99</v>
      </c>
      <c r="E4" s="3">
        <v>41.99</v>
      </c>
      <c r="F4" s="2" t="s">
        <v>3704</v>
      </c>
      <c r="G4" s="22" t="s">
        <v>18073</v>
      </c>
      <c r="H4" s="24" t="s">
        <v>19364</v>
      </c>
      <c r="I4" s="22" t="s">
        <v>19309</v>
      </c>
      <c r="J4" s="22" t="s">
        <v>19447</v>
      </c>
      <c r="K4" s="22" t="s">
        <v>19533</v>
      </c>
      <c r="L4" s="22"/>
      <c r="M4" s="22"/>
      <c r="N4" s="25" t="str">
        <f>HYPERLINK("http://slimages.macys.com/is/image/MCY/20783965 ")</f>
        <v xml:space="preserve">http://slimages.macys.com/is/image/MCY/20783965 </v>
      </c>
    </row>
    <row r="5" spans="1:14" ht="24.75" x14ac:dyDescent="0.25">
      <c r="A5" s="21" t="s">
        <v>3705</v>
      </c>
      <c r="B5" s="22" t="s">
        <v>3706</v>
      </c>
      <c r="C5" s="2">
        <v>1</v>
      </c>
      <c r="D5" s="23">
        <v>50.99</v>
      </c>
      <c r="E5" s="3">
        <v>50.99</v>
      </c>
      <c r="F5" s="2" t="s">
        <v>3707</v>
      </c>
      <c r="G5" s="22" t="s">
        <v>19315</v>
      </c>
      <c r="H5" s="24" t="s">
        <v>19432</v>
      </c>
      <c r="I5" s="22" t="s">
        <v>19309</v>
      </c>
      <c r="J5" s="22" t="s">
        <v>19400</v>
      </c>
      <c r="K5" s="22" t="s">
        <v>19423</v>
      </c>
      <c r="L5" s="22"/>
      <c r="M5" s="22"/>
      <c r="N5" s="25" t="str">
        <f>HYPERLINK("http://slimages.macys.com/is/image/MCY/20138442 ")</f>
        <v xml:space="preserve">http://slimages.macys.com/is/image/MCY/20138442 </v>
      </c>
    </row>
    <row r="6" spans="1:14" ht="24.75" x14ac:dyDescent="0.25">
      <c r="A6" s="21" t="s">
        <v>3708</v>
      </c>
      <c r="B6" s="22" t="s">
        <v>3709</v>
      </c>
      <c r="C6" s="2">
        <v>3</v>
      </c>
      <c r="D6" s="23">
        <v>39.5</v>
      </c>
      <c r="E6" s="3">
        <v>118.5</v>
      </c>
      <c r="F6" s="2">
        <v>322801464001</v>
      </c>
      <c r="G6" s="22" t="s">
        <v>19333</v>
      </c>
      <c r="H6" s="24" t="s">
        <v>19361</v>
      </c>
      <c r="I6" s="22" t="s">
        <v>19309</v>
      </c>
      <c r="J6" s="22" t="s">
        <v>19335</v>
      </c>
      <c r="K6" s="22" t="s">
        <v>19326</v>
      </c>
      <c r="L6" s="22"/>
      <c r="M6" s="22"/>
      <c r="N6" s="25" t="str">
        <f>HYPERLINK("http://slimages.macys.com/is/image/MCY/19254469 ")</f>
        <v xml:space="preserve">http://slimages.macys.com/is/image/MCY/19254469 </v>
      </c>
    </row>
    <row r="7" spans="1:14" ht="24.75" x14ac:dyDescent="0.25">
      <c r="A7" s="21" t="s">
        <v>3710</v>
      </c>
      <c r="B7" s="22" t="s">
        <v>3711</v>
      </c>
      <c r="C7" s="2">
        <v>5</v>
      </c>
      <c r="D7" s="23">
        <v>35</v>
      </c>
      <c r="E7" s="3">
        <v>175</v>
      </c>
      <c r="F7" s="2">
        <v>185250</v>
      </c>
      <c r="G7" s="22"/>
      <c r="H7" s="24" t="s">
        <v>17505</v>
      </c>
      <c r="I7" s="22" t="s">
        <v>19309</v>
      </c>
      <c r="J7" s="22" t="s">
        <v>19417</v>
      </c>
      <c r="K7" s="22" t="s">
        <v>8199</v>
      </c>
      <c r="L7" s="22" t="s">
        <v>19319</v>
      </c>
      <c r="M7" s="22" t="s">
        <v>3712</v>
      </c>
      <c r="N7" s="25" t="str">
        <f>HYPERLINK("http://slimages.macys.com/is/image/MCY/15644909 ")</f>
        <v xml:space="preserve">http://slimages.macys.com/is/image/MCY/15644909 </v>
      </c>
    </row>
    <row r="8" spans="1:14" ht="24.75" x14ac:dyDescent="0.25">
      <c r="A8" s="21" t="s">
        <v>3713</v>
      </c>
      <c r="B8" s="22" t="s">
        <v>3714</v>
      </c>
      <c r="C8" s="2">
        <v>1</v>
      </c>
      <c r="D8" s="23">
        <v>39.99</v>
      </c>
      <c r="E8" s="3">
        <v>39.99</v>
      </c>
      <c r="F8" s="2" t="s">
        <v>13625</v>
      </c>
      <c r="G8" s="22" t="s">
        <v>19333</v>
      </c>
      <c r="H8" s="24" t="s">
        <v>19316</v>
      </c>
      <c r="I8" s="22" t="s">
        <v>19309</v>
      </c>
      <c r="J8" s="22" t="s">
        <v>19405</v>
      </c>
      <c r="K8" s="22" t="s">
        <v>19406</v>
      </c>
      <c r="L8" s="22" t="s">
        <v>19319</v>
      </c>
      <c r="M8" s="22" t="s">
        <v>13626</v>
      </c>
      <c r="N8" s="25" t="str">
        <f>HYPERLINK("http://slimages.macys.com/is/image/MCY/3696437 ")</f>
        <v xml:space="preserve">http://slimages.macys.com/is/image/MCY/3696437 </v>
      </c>
    </row>
    <row r="9" spans="1:14" ht="24.75" x14ac:dyDescent="0.25">
      <c r="A9" s="21" t="s">
        <v>3715</v>
      </c>
      <c r="B9" s="22" t="s">
        <v>3716</v>
      </c>
      <c r="C9" s="2">
        <v>1</v>
      </c>
      <c r="D9" s="23">
        <v>39.99</v>
      </c>
      <c r="E9" s="3">
        <v>39.99</v>
      </c>
      <c r="F9" s="2" t="s">
        <v>13625</v>
      </c>
      <c r="G9" s="22" t="s">
        <v>19333</v>
      </c>
      <c r="H9" s="24" t="s">
        <v>19997</v>
      </c>
      <c r="I9" s="22" t="s">
        <v>19309</v>
      </c>
      <c r="J9" s="22" t="s">
        <v>19405</v>
      </c>
      <c r="K9" s="22" t="s">
        <v>19406</v>
      </c>
      <c r="L9" s="22" t="s">
        <v>19319</v>
      </c>
      <c r="M9" s="22" t="s">
        <v>13626</v>
      </c>
      <c r="N9" s="25" t="str">
        <f>HYPERLINK("http://slimages.macys.com/is/image/MCY/3696437 ")</f>
        <v xml:space="preserve">http://slimages.macys.com/is/image/MCY/3696437 </v>
      </c>
    </row>
    <row r="10" spans="1:14" ht="24.75" x14ac:dyDescent="0.25">
      <c r="A10" s="21" t="s">
        <v>3717</v>
      </c>
      <c r="B10" s="22" t="s">
        <v>3718</v>
      </c>
      <c r="C10" s="2">
        <v>1</v>
      </c>
      <c r="D10" s="23">
        <v>38.99</v>
      </c>
      <c r="E10" s="3">
        <v>38.99</v>
      </c>
      <c r="F10" s="2" t="s">
        <v>3719</v>
      </c>
      <c r="G10" s="22" t="s">
        <v>19622</v>
      </c>
      <c r="H10" s="24"/>
      <c r="I10" s="22" t="s">
        <v>19309</v>
      </c>
      <c r="J10" s="22" t="s">
        <v>19417</v>
      </c>
      <c r="K10" s="22" t="s">
        <v>19969</v>
      </c>
      <c r="L10" s="22" t="s">
        <v>19319</v>
      </c>
      <c r="M10" s="22" t="s">
        <v>8671</v>
      </c>
      <c r="N10" s="25" t="str">
        <f>HYPERLINK("http://slimages.macys.com/is/image/MCY/15357856 ")</f>
        <v xml:space="preserve">http://slimages.macys.com/is/image/MCY/15357856 </v>
      </c>
    </row>
    <row r="11" spans="1:14" ht="24.75" x14ac:dyDescent="0.25">
      <c r="A11" s="21" t="s">
        <v>3720</v>
      </c>
      <c r="B11" s="22" t="s">
        <v>3721</v>
      </c>
      <c r="C11" s="2">
        <v>1</v>
      </c>
      <c r="D11" s="23">
        <v>39.99</v>
      </c>
      <c r="E11" s="3">
        <v>39.99</v>
      </c>
      <c r="F11" s="2" t="s">
        <v>3722</v>
      </c>
      <c r="G11" s="22" t="s">
        <v>19383</v>
      </c>
      <c r="H11" s="24" t="s">
        <v>19330</v>
      </c>
      <c r="I11" s="22" t="s">
        <v>19309</v>
      </c>
      <c r="J11" s="22" t="s">
        <v>19385</v>
      </c>
      <c r="K11" s="22" t="s">
        <v>19386</v>
      </c>
      <c r="L11" s="22"/>
      <c r="M11" s="22"/>
      <c r="N11" s="25" t="str">
        <f>HYPERLINK("http://slimages.macys.com/is/image/MCY/19849711 ")</f>
        <v xml:space="preserve">http://slimages.macys.com/is/image/MCY/19849711 </v>
      </c>
    </row>
    <row r="12" spans="1:14" ht="24.75" x14ac:dyDescent="0.25">
      <c r="A12" s="21" t="s">
        <v>8679</v>
      </c>
      <c r="B12" s="22" t="s">
        <v>8680</v>
      </c>
      <c r="C12" s="2">
        <v>10</v>
      </c>
      <c r="D12" s="23">
        <v>36.99</v>
      </c>
      <c r="E12" s="3">
        <v>369.9</v>
      </c>
      <c r="F12" s="2" t="s">
        <v>8677</v>
      </c>
      <c r="G12" s="22" t="s">
        <v>19439</v>
      </c>
      <c r="H12" s="24" t="s">
        <v>19542</v>
      </c>
      <c r="I12" s="22" t="s">
        <v>19309</v>
      </c>
      <c r="J12" s="22" t="s">
        <v>19310</v>
      </c>
      <c r="K12" s="22" t="s">
        <v>8678</v>
      </c>
      <c r="L12" s="22"/>
      <c r="M12" s="22"/>
      <c r="N12" s="25" t="str">
        <f>HYPERLINK("http://slimages.macys.com/is/image/MCY/21305453 ")</f>
        <v xml:space="preserve">http://slimages.macys.com/is/image/MCY/21305453 </v>
      </c>
    </row>
    <row r="13" spans="1:14" ht="24.75" x14ac:dyDescent="0.25">
      <c r="A13" s="21" t="s">
        <v>9396</v>
      </c>
      <c r="B13" s="22" t="s">
        <v>9397</v>
      </c>
      <c r="C13" s="2">
        <v>1</v>
      </c>
      <c r="D13" s="23">
        <v>30.99</v>
      </c>
      <c r="E13" s="3">
        <v>30.99</v>
      </c>
      <c r="F13" s="2" t="s">
        <v>9398</v>
      </c>
      <c r="G13" s="22" t="s">
        <v>19431</v>
      </c>
      <c r="H13" s="24" t="s">
        <v>19364</v>
      </c>
      <c r="I13" s="22" t="s">
        <v>19309</v>
      </c>
      <c r="J13" s="22" t="s">
        <v>19447</v>
      </c>
      <c r="K13" s="22" t="s">
        <v>19533</v>
      </c>
      <c r="L13" s="22"/>
      <c r="M13" s="22"/>
      <c r="N13" s="25" t="str">
        <f>HYPERLINK("http://slimages.macys.com/is/image/MCY/20783926 ")</f>
        <v xml:space="preserve">http://slimages.macys.com/is/image/MCY/20783926 </v>
      </c>
    </row>
    <row r="14" spans="1:14" ht="24.75" x14ac:dyDescent="0.25">
      <c r="A14" s="21" t="s">
        <v>3723</v>
      </c>
      <c r="B14" s="22" t="s">
        <v>3724</v>
      </c>
      <c r="C14" s="2">
        <v>1</v>
      </c>
      <c r="D14" s="23">
        <v>39.99</v>
      </c>
      <c r="E14" s="3">
        <v>39.99</v>
      </c>
      <c r="F14" s="2" t="s">
        <v>3725</v>
      </c>
      <c r="G14" s="22" t="s">
        <v>19351</v>
      </c>
      <c r="H14" s="24" t="s">
        <v>19384</v>
      </c>
      <c r="I14" s="22" t="s">
        <v>19309</v>
      </c>
      <c r="J14" s="22" t="s">
        <v>19385</v>
      </c>
      <c r="K14" s="22" t="s">
        <v>4664</v>
      </c>
      <c r="L14" s="22"/>
      <c r="M14" s="22"/>
      <c r="N14" s="25" t="str">
        <f>HYPERLINK("http://slimages.macys.com/is/image/MCY/21181884 ")</f>
        <v xml:space="preserve">http://slimages.macys.com/is/image/MCY/21181884 </v>
      </c>
    </row>
    <row r="15" spans="1:14" ht="24.75" x14ac:dyDescent="0.25">
      <c r="A15" s="21" t="s">
        <v>8699</v>
      </c>
      <c r="B15" s="22" t="s">
        <v>8700</v>
      </c>
      <c r="C15" s="2">
        <v>1</v>
      </c>
      <c r="D15" s="23">
        <v>36</v>
      </c>
      <c r="E15" s="3">
        <v>36</v>
      </c>
      <c r="F15" s="2" t="s">
        <v>9404</v>
      </c>
      <c r="G15" s="22" t="s">
        <v>19404</v>
      </c>
      <c r="H15" s="24" t="s">
        <v>20159</v>
      </c>
      <c r="I15" s="22" t="s">
        <v>19309</v>
      </c>
      <c r="J15" s="22" t="s">
        <v>19417</v>
      </c>
      <c r="K15" s="22" t="s">
        <v>19854</v>
      </c>
      <c r="L15" s="22"/>
      <c r="M15" s="22"/>
      <c r="N15" s="25" t="str">
        <f>HYPERLINK("http://slimages.macys.com/is/image/MCY/21363431 ")</f>
        <v xml:space="preserve">http://slimages.macys.com/is/image/MCY/21363431 </v>
      </c>
    </row>
    <row r="16" spans="1:14" ht="24.75" x14ac:dyDescent="0.25">
      <c r="A16" s="21" t="s">
        <v>8716</v>
      </c>
      <c r="B16" s="22" t="s">
        <v>8717</v>
      </c>
      <c r="C16" s="2">
        <v>1</v>
      </c>
      <c r="D16" s="23">
        <v>29.99</v>
      </c>
      <c r="E16" s="3">
        <v>29.99</v>
      </c>
      <c r="F16" s="2" t="s">
        <v>8718</v>
      </c>
      <c r="G16" s="22" t="s">
        <v>19338</v>
      </c>
      <c r="H16" s="24" t="s">
        <v>12224</v>
      </c>
      <c r="I16" s="22" t="s">
        <v>19309</v>
      </c>
      <c r="J16" s="22" t="s">
        <v>19417</v>
      </c>
      <c r="K16" s="22" t="s">
        <v>17976</v>
      </c>
      <c r="L16" s="22"/>
      <c r="M16" s="22"/>
      <c r="N16" s="25" t="str">
        <f>HYPERLINK("http://slimages.macys.com/is/image/MCY/18676002 ")</f>
        <v xml:space="preserve">http://slimages.macys.com/is/image/MCY/18676002 </v>
      </c>
    </row>
    <row r="17" spans="1:14" ht="24.75" x14ac:dyDescent="0.25">
      <c r="A17" s="21" t="s">
        <v>3726</v>
      </c>
      <c r="B17" s="22" t="s">
        <v>3727</v>
      </c>
      <c r="C17" s="2">
        <v>1</v>
      </c>
      <c r="D17" s="23">
        <v>26.99</v>
      </c>
      <c r="E17" s="3">
        <v>26.99</v>
      </c>
      <c r="F17" s="2" t="s">
        <v>3728</v>
      </c>
      <c r="G17" s="22" t="s">
        <v>19333</v>
      </c>
      <c r="H17" s="24" t="s">
        <v>12224</v>
      </c>
      <c r="I17" s="22" t="s">
        <v>19309</v>
      </c>
      <c r="J17" s="22" t="s">
        <v>19417</v>
      </c>
      <c r="K17" s="22" t="s">
        <v>19969</v>
      </c>
      <c r="L17" s="22" t="s">
        <v>19319</v>
      </c>
      <c r="M17" s="22" t="s">
        <v>8724</v>
      </c>
      <c r="N17" s="25" t="str">
        <f>HYPERLINK("http://slimages.macys.com/is/image/MCY/15673736 ")</f>
        <v xml:space="preserve">http://slimages.macys.com/is/image/MCY/15673736 </v>
      </c>
    </row>
    <row r="18" spans="1:14" ht="24.75" x14ac:dyDescent="0.25">
      <c r="A18" s="21" t="s">
        <v>10863</v>
      </c>
      <c r="B18" s="22" t="s">
        <v>10864</v>
      </c>
      <c r="C18" s="2">
        <v>1</v>
      </c>
      <c r="D18" s="23">
        <v>28.99</v>
      </c>
      <c r="E18" s="3">
        <v>28.99</v>
      </c>
      <c r="F18" s="2" t="s">
        <v>10865</v>
      </c>
      <c r="G18" s="22" t="s">
        <v>19342</v>
      </c>
      <c r="H18" s="24" t="s">
        <v>19345</v>
      </c>
      <c r="I18" s="22" t="s">
        <v>19309</v>
      </c>
      <c r="J18" s="22" t="s">
        <v>19550</v>
      </c>
      <c r="K18" s="22" t="s">
        <v>19554</v>
      </c>
      <c r="L18" s="22"/>
      <c r="M18" s="22"/>
      <c r="N18" s="25" t="str">
        <f>HYPERLINK("http://slimages.macys.com/is/image/MCY/20545355 ")</f>
        <v xml:space="preserve">http://slimages.macys.com/is/image/MCY/20545355 </v>
      </c>
    </row>
    <row r="19" spans="1:14" ht="24.75" x14ac:dyDescent="0.25">
      <c r="A19" s="21" t="s">
        <v>3729</v>
      </c>
      <c r="B19" s="22" t="s">
        <v>3730</v>
      </c>
      <c r="C19" s="2">
        <v>1</v>
      </c>
      <c r="D19" s="23">
        <v>26.99</v>
      </c>
      <c r="E19" s="3">
        <v>26.99</v>
      </c>
      <c r="F19" s="2" t="s">
        <v>3661</v>
      </c>
      <c r="G19" s="22" t="s">
        <v>19794</v>
      </c>
      <c r="H19" s="24" t="s">
        <v>19384</v>
      </c>
      <c r="I19" s="22" t="s">
        <v>19309</v>
      </c>
      <c r="J19" s="22" t="s">
        <v>19385</v>
      </c>
      <c r="K19" s="22" t="s">
        <v>19487</v>
      </c>
      <c r="L19" s="22"/>
      <c r="M19" s="22"/>
      <c r="N19" s="25" t="str">
        <f>HYPERLINK("http://slimages.macys.com/is/image/MCY/21856826 ")</f>
        <v xml:space="preserve">http://slimages.macys.com/is/image/MCY/21856826 </v>
      </c>
    </row>
    <row r="20" spans="1:14" ht="24.75" x14ac:dyDescent="0.25">
      <c r="A20" s="21" t="s">
        <v>3731</v>
      </c>
      <c r="B20" s="22" t="s">
        <v>3732</v>
      </c>
      <c r="C20" s="2">
        <v>1</v>
      </c>
      <c r="D20" s="23">
        <v>25</v>
      </c>
      <c r="E20" s="3">
        <v>25</v>
      </c>
      <c r="F20" s="2" t="s">
        <v>19564</v>
      </c>
      <c r="G20" s="22" t="s">
        <v>19315</v>
      </c>
      <c r="H20" s="24"/>
      <c r="I20" s="22" t="s">
        <v>19309</v>
      </c>
      <c r="J20" s="22" t="s">
        <v>19565</v>
      </c>
      <c r="K20" s="22" t="s">
        <v>19566</v>
      </c>
      <c r="L20" s="22"/>
      <c r="M20" s="22"/>
      <c r="N20" s="25" t="str">
        <f>HYPERLINK("http://slimages.macys.com/is/image/MCY/21294545 ")</f>
        <v xml:space="preserve">http://slimages.macys.com/is/image/MCY/21294545 </v>
      </c>
    </row>
    <row r="21" spans="1:14" ht="24.75" x14ac:dyDescent="0.25">
      <c r="A21" s="21" t="s">
        <v>3733</v>
      </c>
      <c r="B21" s="22" t="s">
        <v>3734</v>
      </c>
      <c r="C21" s="2">
        <v>1</v>
      </c>
      <c r="D21" s="23">
        <v>26.99</v>
      </c>
      <c r="E21" s="3">
        <v>26.99</v>
      </c>
      <c r="F21" s="2" t="s">
        <v>3661</v>
      </c>
      <c r="G21" s="22" t="s">
        <v>19794</v>
      </c>
      <c r="H21" s="24" t="s">
        <v>19324</v>
      </c>
      <c r="I21" s="22" t="s">
        <v>19309</v>
      </c>
      <c r="J21" s="22" t="s">
        <v>19385</v>
      </c>
      <c r="K21" s="22" t="s">
        <v>19487</v>
      </c>
      <c r="L21" s="22"/>
      <c r="M21" s="22"/>
      <c r="N21" s="25" t="str">
        <f>HYPERLINK("http://slimages.macys.com/is/image/MCY/21856826 ")</f>
        <v xml:space="preserve">http://slimages.macys.com/is/image/MCY/21856826 </v>
      </c>
    </row>
    <row r="22" spans="1:14" ht="24.75" x14ac:dyDescent="0.25">
      <c r="A22" s="21" t="s">
        <v>3735</v>
      </c>
      <c r="B22" s="22" t="s">
        <v>3736</v>
      </c>
      <c r="C22" s="2">
        <v>1</v>
      </c>
      <c r="D22" s="23">
        <v>29.99</v>
      </c>
      <c r="E22" s="3">
        <v>29.99</v>
      </c>
      <c r="F22" s="2" t="s">
        <v>3737</v>
      </c>
      <c r="G22" s="22" t="s">
        <v>19323</v>
      </c>
      <c r="H22" s="24" t="s">
        <v>19538</v>
      </c>
      <c r="I22" s="22" t="s">
        <v>19309</v>
      </c>
      <c r="J22" s="22" t="s">
        <v>19385</v>
      </c>
      <c r="K22" s="22" t="s">
        <v>19386</v>
      </c>
      <c r="L22" s="22"/>
      <c r="M22" s="22"/>
      <c r="N22" s="25" t="str">
        <f>HYPERLINK("http://slimages.macys.com/is/image/MCY/19655474 ")</f>
        <v xml:space="preserve">http://slimages.macys.com/is/image/MCY/19655474 </v>
      </c>
    </row>
    <row r="23" spans="1:14" ht="24.75" x14ac:dyDescent="0.25">
      <c r="A23" s="21" t="s">
        <v>3738</v>
      </c>
      <c r="B23" s="22" t="s">
        <v>3739</v>
      </c>
      <c r="C23" s="2">
        <v>1</v>
      </c>
      <c r="D23" s="23">
        <v>33</v>
      </c>
      <c r="E23" s="3">
        <v>33</v>
      </c>
      <c r="F23" s="2" t="s">
        <v>3740</v>
      </c>
      <c r="G23" s="22" t="s">
        <v>19879</v>
      </c>
      <c r="H23" s="24" t="s">
        <v>19542</v>
      </c>
      <c r="I23" s="22" t="s">
        <v>19309</v>
      </c>
      <c r="J23" s="22" t="s">
        <v>19378</v>
      </c>
      <c r="K23" s="22" t="s">
        <v>19487</v>
      </c>
      <c r="L23" s="22"/>
      <c r="M23" s="22"/>
      <c r="N23" s="25" t="str">
        <f>HYPERLINK("http://slimages.macys.com/is/image/MCY/20078323 ")</f>
        <v xml:space="preserve">http://slimages.macys.com/is/image/MCY/20078323 </v>
      </c>
    </row>
    <row r="24" spans="1:14" ht="24.75" x14ac:dyDescent="0.25">
      <c r="A24" s="21" t="s">
        <v>3741</v>
      </c>
      <c r="B24" s="22" t="s">
        <v>3742</v>
      </c>
      <c r="C24" s="2">
        <v>1</v>
      </c>
      <c r="D24" s="23">
        <v>24.99</v>
      </c>
      <c r="E24" s="3">
        <v>24.99</v>
      </c>
      <c r="F24" s="2" t="s">
        <v>11430</v>
      </c>
      <c r="G24" s="22" t="s">
        <v>19342</v>
      </c>
      <c r="H24" s="24" t="s">
        <v>19416</v>
      </c>
      <c r="I24" s="22" t="s">
        <v>19309</v>
      </c>
      <c r="J24" s="22" t="s">
        <v>19491</v>
      </c>
      <c r="K24" s="22" t="s">
        <v>19546</v>
      </c>
      <c r="L24" s="22"/>
      <c r="M24" s="22"/>
      <c r="N24" s="25" t="str">
        <f>HYPERLINK("http://slimages.macys.com/is/image/MCY/21475012 ")</f>
        <v xml:space="preserve">http://slimages.macys.com/is/image/MCY/21475012 </v>
      </c>
    </row>
    <row r="25" spans="1:14" ht="24.75" x14ac:dyDescent="0.25">
      <c r="A25" s="21" t="s">
        <v>3743</v>
      </c>
      <c r="B25" s="22" t="s">
        <v>3744</v>
      </c>
      <c r="C25" s="2">
        <v>1</v>
      </c>
      <c r="D25" s="23">
        <v>26.99</v>
      </c>
      <c r="E25" s="3">
        <v>26.99</v>
      </c>
      <c r="F25" s="2" t="s">
        <v>3745</v>
      </c>
      <c r="G25" s="22" t="s">
        <v>19351</v>
      </c>
      <c r="H25" s="24" t="s">
        <v>17870</v>
      </c>
      <c r="I25" s="22" t="s">
        <v>19309</v>
      </c>
      <c r="J25" s="22" t="s">
        <v>15506</v>
      </c>
      <c r="K25" s="22" t="s">
        <v>3746</v>
      </c>
      <c r="L25" s="22"/>
      <c r="M25" s="22"/>
      <c r="N25" s="25" t="str">
        <f>HYPERLINK("http://slimages.macys.com/is/image/MCY/20210788 ")</f>
        <v xml:space="preserve">http://slimages.macys.com/is/image/MCY/20210788 </v>
      </c>
    </row>
    <row r="26" spans="1:14" x14ac:dyDescent="0.25">
      <c r="A26" s="21" t="s">
        <v>8731</v>
      </c>
      <c r="B26" s="22" t="s">
        <v>8732</v>
      </c>
      <c r="C26" s="2">
        <v>18</v>
      </c>
      <c r="D26" s="23">
        <v>30.99</v>
      </c>
      <c r="E26" s="3">
        <v>557.82000000000005</v>
      </c>
      <c r="F26" s="2" t="s">
        <v>8211</v>
      </c>
      <c r="G26" s="22" t="s">
        <v>19431</v>
      </c>
      <c r="H26" s="24"/>
      <c r="I26" s="22" t="s">
        <v>19309</v>
      </c>
      <c r="J26" s="22" t="s">
        <v>19696</v>
      </c>
      <c r="K26" s="22" t="s">
        <v>8212</v>
      </c>
      <c r="L26" s="22"/>
      <c r="M26" s="22"/>
      <c r="N26" s="25" t="str">
        <f>HYPERLINK("http://slimages.macys.com/is/image/MCY/19292060 ")</f>
        <v xml:space="preserve">http://slimages.macys.com/is/image/MCY/19292060 </v>
      </c>
    </row>
    <row r="27" spans="1:14" x14ac:dyDescent="0.25">
      <c r="A27" s="21" t="s">
        <v>9808</v>
      </c>
      <c r="B27" s="22" t="s">
        <v>9809</v>
      </c>
      <c r="C27" s="2">
        <v>1</v>
      </c>
      <c r="D27" s="23">
        <v>29.99</v>
      </c>
      <c r="E27" s="3">
        <v>29.99</v>
      </c>
      <c r="F27" s="2" t="s">
        <v>9807</v>
      </c>
      <c r="G27" s="22" t="s">
        <v>19342</v>
      </c>
      <c r="H27" s="24" t="s">
        <v>19395</v>
      </c>
      <c r="I27" s="22" t="s">
        <v>19309</v>
      </c>
      <c r="J27" s="22" t="s">
        <v>19696</v>
      </c>
      <c r="K27" s="22" t="s">
        <v>19697</v>
      </c>
      <c r="L27" s="22"/>
      <c r="M27" s="22"/>
      <c r="N27" s="25" t="str">
        <f>HYPERLINK("http://slimages.macys.com/is/image/MCY/21355146 ")</f>
        <v xml:space="preserve">http://slimages.macys.com/is/image/MCY/21355146 </v>
      </c>
    </row>
    <row r="28" spans="1:14" x14ac:dyDescent="0.25">
      <c r="A28" s="21" t="s">
        <v>8502</v>
      </c>
      <c r="B28" s="22" t="s">
        <v>8503</v>
      </c>
      <c r="C28" s="2">
        <v>2</v>
      </c>
      <c r="D28" s="23">
        <v>29.99</v>
      </c>
      <c r="E28" s="3">
        <v>59.98</v>
      </c>
      <c r="F28" s="2" t="s">
        <v>9807</v>
      </c>
      <c r="G28" s="22" t="s">
        <v>19342</v>
      </c>
      <c r="H28" s="24" t="s">
        <v>19542</v>
      </c>
      <c r="I28" s="22" t="s">
        <v>19309</v>
      </c>
      <c r="J28" s="22" t="s">
        <v>19696</v>
      </c>
      <c r="K28" s="22" t="s">
        <v>19697</v>
      </c>
      <c r="L28" s="22"/>
      <c r="M28" s="22"/>
      <c r="N28" s="25" t="str">
        <f>HYPERLINK("http://slimages.macys.com/is/image/MCY/21355146 ")</f>
        <v xml:space="preserve">http://slimages.macys.com/is/image/MCY/21355146 </v>
      </c>
    </row>
    <row r="29" spans="1:14" x14ac:dyDescent="0.25">
      <c r="A29" s="21" t="s">
        <v>9805</v>
      </c>
      <c r="B29" s="22" t="s">
        <v>9806</v>
      </c>
      <c r="C29" s="2">
        <v>3</v>
      </c>
      <c r="D29" s="23">
        <v>29.99</v>
      </c>
      <c r="E29" s="3">
        <v>89.97</v>
      </c>
      <c r="F29" s="2" t="s">
        <v>9807</v>
      </c>
      <c r="G29" s="22" t="s">
        <v>19342</v>
      </c>
      <c r="H29" s="24" t="s">
        <v>19478</v>
      </c>
      <c r="I29" s="22" t="s">
        <v>19309</v>
      </c>
      <c r="J29" s="22" t="s">
        <v>19696</v>
      </c>
      <c r="K29" s="22" t="s">
        <v>19697</v>
      </c>
      <c r="L29" s="22"/>
      <c r="M29" s="22"/>
      <c r="N29" s="25" t="str">
        <f>HYPERLINK("http://slimages.macys.com/is/image/MCY/21355146 ")</f>
        <v xml:space="preserve">http://slimages.macys.com/is/image/MCY/21355146 </v>
      </c>
    </row>
    <row r="30" spans="1:14" ht="24.75" x14ac:dyDescent="0.25">
      <c r="A30" s="21" t="s">
        <v>8733</v>
      </c>
      <c r="B30" s="22" t="s">
        <v>8734</v>
      </c>
      <c r="C30" s="2">
        <v>1</v>
      </c>
      <c r="D30" s="23">
        <v>30.99</v>
      </c>
      <c r="E30" s="3">
        <v>30.99</v>
      </c>
      <c r="F30" s="2" t="s">
        <v>8735</v>
      </c>
      <c r="G30" s="22" t="s">
        <v>19315</v>
      </c>
      <c r="H30" s="24" t="s">
        <v>11751</v>
      </c>
      <c r="I30" s="22" t="s">
        <v>19309</v>
      </c>
      <c r="J30" s="22" t="s">
        <v>19447</v>
      </c>
      <c r="K30" s="22" t="s">
        <v>18333</v>
      </c>
      <c r="L30" s="22"/>
      <c r="M30" s="22"/>
      <c r="N30" s="25" t="str">
        <f>HYPERLINK("http://slimages.macys.com/is/image/MCY/21048338 ")</f>
        <v xml:space="preserve">http://slimages.macys.com/is/image/MCY/21048338 </v>
      </c>
    </row>
    <row r="31" spans="1:14" ht="24.75" x14ac:dyDescent="0.25">
      <c r="A31" s="21" t="s">
        <v>3747</v>
      </c>
      <c r="B31" s="22" t="s">
        <v>3748</v>
      </c>
      <c r="C31" s="2">
        <v>1</v>
      </c>
      <c r="D31" s="23">
        <v>30.99</v>
      </c>
      <c r="E31" s="3">
        <v>30.99</v>
      </c>
      <c r="F31" s="2" t="s">
        <v>3749</v>
      </c>
      <c r="G31" s="22" t="s">
        <v>19618</v>
      </c>
      <c r="H31" s="24" t="s">
        <v>19364</v>
      </c>
      <c r="I31" s="22" t="s">
        <v>19309</v>
      </c>
      <c r="J31" s="22" t="s">
        <v>19353</v>
      </c>
      <c r="K31" s="22" t="s">
        <v>19524</v>
      </c>
      <c r="L31" s="22"/>
      <c r="M31" s="22"/>
      <c r="N31" s="25" t="str">
        <f>HYPERLINK("http://slimages.macys.com/is/image/MCY/21694620 ")</f>
        <v xml:space="preserve">http://slimages.macys.com/is/image/MCY/21694620 </v>
      </c>
    </row>
    <row r="32" spans="1:14" ht="24.75" x14ac:dyDescent="0.25">
      <c r="A32" s="21" t="s">
        <v>5546</v>
      </c>
      <c r="B32" s="22" t="s">
        <v>5547</v>
      </c>
      <c r="C32" s="2">
        <v>1</v>
      </c>
      <c r="D32" s="23">
        <v>30.99</v>
      </c>
      <c r="E32" s="3">
        <v>30.99</v>
      </c>
      <c r="F32" s="2" t="s">
        <v>19651</v>
      </c>
      <c r="G32" s="22" t="s">
        <v>19351</v>
      </c>
      <c r="H32" s="24" t="s">
        <v>19797</v>
      </c>
      <c r="I32" s="22" t="s">
        <v>19309</v>
      </c>
      <c r="J32" s="22" t="s">
        <v>19353</v>
      </c>
      <c r="K32" s="22" t="s">
        <v>19524</v>
      </c>
      <c r="L32" s="22"/>
      <c r="M32" s="22"/>
      <c r="N32" s="25" t="str">
        <f>HYPERLINK("http://slimages.macys.com/is/image/MCY/1352878 ")</f>
        <v xml:space="preserve">http://slimages.macys.com/is/image/MCY/1352878 </v>
      </c>
    </row>
    <row r="33" spans="1:14" ht="24.75" x14ac:dyDescent="0.25">
      <c r="A33" s="21" t="s">
        <v>3750</v>
      </c>
      <c r="B33" s="22" t="s">
        <v>3751</v>
      </c>
      <c r="C33" s="2">
        <v>1</v>
      </c>
      <c r="D33" s="23">
        <v>42.5</v>
      </c>
      <c r="E33" s="3">
        <v>42.5</v>
      </c>
      <c r="F33" s="2" t="s">
        <v>19659</v>
      </c>
      <c r="G33" s="22" t="s">
        <v>19660</v>
      </c>
      <c r="H33" s="24"/>
      <c r="I33" s="22" t="s">
        <v>19309</v>
      </c>
      <c r="J33" s="22" t="s">
        <v>19613</v>
      </c>
      <c r="K33" s="22" t="s">
        <v>19614</v>
      </c>
      <c r="L33" s="22"/>
      <c r="M33" s="22"/>
      <c r="N33" s="25" t="str">
        <f>HYPERLINK("http://slimages.macys.com/is/image/MCY/21081666 ")</f>
        <v xml:space="preserve">http://slimages.macys.com/is/image/MCY/21081666 </v>
      </c>
    </row>
    <row r="34" spans="1:14" ht="24.75" x14ac:dyDescent="0.25">
      <c r="A34" s="21" t="s">
        <v>3752</v>
      </c>
      <c r="B34" s="22" t="s">
        <v>3753</v>
      </c>
      <c r="C34" s="2">
        <v>1</v>
      </c>
      <c r="D34" s="23">
        <v>21.99</v>
      </c>
      <c r="E34" s="3">
        <v>21.99</v>
      </c>
      <c r="F34" s="2" t="s">
        <v>3754</v>
      </c>
      <c r="G34" s="22" t="s">
        <v>19431</v>
      </c>
      <c r="H34" s="24" t="s">
        <v>19339</v>
      </c>
      <c r="I34" s="22" t="s">
        <v>19309</v>
      </c>
      <c r="J34" s="22" t="s">
        <v>19310</v>
      </c>
      <c r="K34" s="22" t="s">
        <v>19529</v>
      </c>
      <c r="L34" s="22"/>
      <c r="M34" s="22"/>
      <c r="N34" s="25" t="str">
        <f>HYPERLINK("http://slimages.macys.com/is/image/MCY/18931709 ")</f>
        <v xml:space="preserve">http://slimages.macys.com/is/image/MCY/18931709 </v>
      </c>
    </row>
    <row r="35" spans="1:14" ht="24.75" x14ac:dyDescent="0.25">
      <c r="A35" s="21" t="s">
        <v>19661</v>
      </c>
      <c r="B35" s="22" t="s">
        <v>19662</v>
      </c>
      <c r="C35" s="2">
        <v>1</v>
      </c>
      <c r="D35" s="23">
        <v>26.99</v>
      </c>
      <c r="E35" s="3">
        <v>26.99</v>
      </c>
      <c r="F35" s="2" t="s">
        <v>19663</v>
      </c>
      <c r="G35" s="22" t="s">
        <v>19333</v>
      </c>
      <c r="H35" s="24" t="s">
        <v>19416</v>
      </c>
      <c r="I35" s="22" t="s">
        <v>19309</v>
      </c>
      <c r="J35" s="22" t="s">
        <v>19385</v>
      </c>
      <c r="K35" s="22" t="s">
        <v>19487</v>
      </c>
      <c r="L35" s="22"/>
      <c r="M35" s="22"/>
      <c r="N35" s="25" t="str">
        <f>HYPERLINK("http://slimages.macys.com/is/image/MCY/21856819 ")</f>
        <v xml:space="preserve">http://slimages.macys.com/is/image/MCY/21856819 </v>
      </c>
    </row>
    <row r="36" spans="1:14" ht="24.75" x14ac:dyDescent="0.25">
      <c r="A36" s="21" t="s">
        <v>3755</v>
      </c>
      <c r="B36" s="22" t="s">
        <v>3756</v>
      </c>
      <c r="C36" s="2">
        <v>1</v>
      </c>
      <c r="D36" s="23">
        <v>29.99</v>
      </c>
      <c r="E36" s="3">
        <v>29.99</v>
      </c>
      <c r="F36" s="2" t="s">
        <v>3757</v>
      </c>
      <c r="G36" s="22" t="s">
        <v>19333</v>
      </c>
      <c r="H36" s="24" t="s">
        <v>19542</v>
      </c>
      <c r="I36" s="22" t="s">
        <v>19309</v>
      </c>
      <c r="J36" s="22" t="s">
        <v>19378</v>
      </c>
      <c r="K36" s="22" t="s">
        <v>19386</v>
      </c>
      <c r="L36" s="22"/>
      <c r="M36" s="22"/>
      <c r="N36" s="25" t="str">
        <f>HYPERLINK("http://slimages.macys.com/is/image/MCY/2520247 ")</f>
        <v xml:space="preserve">http://slimages.macys.com/is/image/MCY/2520247 </v>
      </c>
    </row>
    <row r="37" spans="1:14" ht="24.75" x14ac:dyDescent="0.25">
      <c r="A37" s="21" t="s">
        <v>10883</v>
      </c>
      <c r="B37" s="22" t="s">
        <v>10884</v>
      </c>
      <c r="C37" s="2">
        <v>1</v>
      </c>
      <c r="D37" s="23">
        <v>24.99</v>
      </c>
      <c r="E37" s="3">
        <v>24.99</v>
      </c>
      <c r="F37" s="2" t="s">
        <v>10885</v>
      </c>
      <c r="G37" s="22" t="s">
        <v>19660</v>
      </c>
      <c r="H37" s="24" t="s">
        <v>19324</v>
      </c>
      <c r="I37" s="22" t="s">
        <v>19309</v>
      </c>
      <c r="J37" s="22" t="s">
        <v>19385</v>
      </c>
      <c r="K37" s="22" t="s">
        <v>19386</v>
      </c>
      <c r="L37" s="22"/>
      <c r="M37" s="22"/>
      <c r="N37" s="25" t="str">
        <f>HYPERLINK("http://slimages.macys.com/is/image/MCY/21688904 ")</f>
        <v xml:space="preserve">http://slimages.macys.com/is/image/MCY/21688904 </v>
      </c>
    </row>
    <row r="38" spans="1:14" ht="24.75" x14ac:dyDescent="0.25">
      <c r="A38" s="21" t="s">
        <v>3758</v>
      </c>
      <c r="B38" s="22" t="s">
        <v>3759</v>
      </c>
      <c r="C38" s="2">
        <v>1</v>
      </c>
      <c r="D38" s="23">
        <v>14.99</v>
      </c>
      <c r="E38" s="3">
        <v>14.99</v>
      </c>
      <c r="F38" s="2" t="s">
        <v>3760</v>
      </c>
      <c r="G38" s="22" t="s">
        <v>19338</v>
      </c>
      <c r="H38" s="24" t="s">
        <v>19339</v>
      </c>
      <c r="I38" s="22" t="s">
        <v>19309</v>
      </c>
      <c r="J38" s="22" t="s">
        <v>19310</v>
      </c>
      <c r="K38" s="22" t="s">
        <v>19631</v>
      </c>
      <c r="L38" s="22" t="s">
        <v>19319</v>
      </c>
      <c r="M38" s="22" t="s">
        <v>20257</v>
      </c>
      <c r="N38" s="25" t="str">
        <f>HYPERLINK("http://slimages.macys.com/is/image/MCY/12336678 ")</f>
        <v xml:space="preserve">http://slimages.macys.com/is/image/MCY/12336678 </v>
      </c>
    </row>
    <row r="39" spans="1:14" ht="24.75" x14ac:dyDescent="0.25">
      <c r="A39" s="21" t="s">
        <v>3761</v>
      </c>
      <c r="B39" s="22" t="s">
        <v>3762</v>
      </c>
      <c r="C39" s="2">
        <v>1</v>
      </c>
      <c r="D39" s="23">
        <v>21.99</v>
      </c>
      <c r="E39" s="3">
        <v>21.99</v>
      </c>
      <c r="F39" s="2" t="s">
        <v>17760</v>
      </c>
      <c r="G39" s="22" t="s">
        <v>19315</v>
      </c>
      <c r="H39" s="24" t="s">
        <v>19364</v>
      </c>
      <c r="I39" s="22" t="s">
        <v>19309</v>
      </c>
      <c r="J39" s="22" t="s">
        <v>19447</v>
      </c>
      <c r="K39" s="22" t="s">
        <v>19533</v>
      </c>
      <c r="L39" s="22"/>
      <c r="M39" s="22"/>
      <c r="N39" s="25" t="str">
        <f>HYPERLINK("http://slimages.macys.com/is/image/MCY/21177240 ")</f>
        <v xml:space="preserve">http://slimages.macys.com/is/image/MCY/21177240 </v>
      </c>
    </row>
    <row r="40" spans="1:14" ht="24.75" x14ac:dyDescent="0.25">
      <c r="A40" s="21" t="s">
        <v>3763</v>
      </c>
      <c r="B40" s="22" t="s">
        <v>3764</v>
      </c>
      <c r="C40" s="2">
        <v>1</v>
      </c>
      <c r="D40" s="23">
        <v>19.8</v>
      </c>
      <c r="E40" s="3">
        <v>19.8</v>
      </c>
      <c r="F40" s="2" t="s">
        <v>3765</v>
      </c>
      <c r="G40" s="22" t="s">
        <v>19404</v>
      </c>
      <c r="H40" s="24"/>
      <c r="I40" s="22" t="s">
        <v>19309</v>
      </c>
      <c r="J40" s="22" t="s">
        <v>19317</v>
      </c>
      <c r="K40" s="22" t="s">
        <v>15106</v>
      </c>
      <c r="L40" s="22"/>
      <c r="M40" s="22"/>
      <c r="N40" s="25" t="str">
        <f>HYPERLINK("http://slimages.macys.com/is/image/MCY/19992562 ")</f>
        <v xml:space="preserve">http://slimages.macys.com/is/image/MCY/19992562 </v>
      </c>
    </row>
    <row r="41" spans="1:14" x14ac:dyDescent="0.25">
      <c r="A41" s="21" t="s">
        <v>8515</v>
      </c>
      <c r="B41" s="22" t="s">
        <v>8516</v>
      </c>
      <c r="C41" s="2">
        <v>1</v>
      </c>
      <c r="D41" s="23">
        <v>25.99</v>
      </c>
      <c r="E41" s="3">
        <v>25.99</v>
      </c>
      <c r="F41" s="2" t="s">
        <v>8517</v>
      </c>
      <c r="G41" s="22" t="s">
        <v>19342</v>
      </c>
      <c r="H41" s="24" t="s">
        <v>19542</v>
      </c>
      <c r="I41" s="22" t="s">
        <v>19309</v>
      </c>
      <c r="J41" s="22" t="s">
        <v>19696</v>
      </c>
      <c r="K41" s="22" t="s">
        <v>19965</v>
      </c>
      <c r="L41" s="22"/>
      <c r="M41" s="22"/>
      <c r="N41" s="25" t="str">
        <f>HYPERLINK("http://slimages.macys.com/is/image/MCY/20662606 ")</f>
        <v xml:space="preserve">http://slimages.macys.com/is/image/MCY/20662606 </v>
      </c>
    </row>
    <row r="42" spans="1:14" ht="24.75" x14ac:dyDescent="0.25">
      <c r="A42" s="21" t="s">
        <v>3766</v>
      </c>
      <c r="B42" s="22" t="s">
        <v>3767</v>
      </c>
      <c r="C42" s="2">
        <v>1</v>
      </c>
      <c r="D42" s="23">
        <v>20.99</v>
      </c>
      <c r="E42" s="3">
        <v>20.99</v>
      </c>
      <c r="F42" s="2" t="s">
        <v>3768</v>
      </c>
      <c r="G42" s="22" t="s">
        <v>19307</v>
      </c>
      <c r="H42" s="24" t="s">
        <v>18168</v>
      </c>
      <c r="I42" s="22" t="s">
        <v>19309</v>
      </c>
      <c r="J42" s="22" t="s">
        <v>16678</v>
      </c>
      <c r="K42" s="22" t="s">
        <v>19463</v>
      </c>
      <c r="L42" s="22"/>
      <c r="M42" s="22"/>
      <c r="N42" s="25" t="str">
        <f>HYPERLINK("http://slimages.macys.com/is/image/MCY/22169710 ")</f>
        <v xml:space="preserve">http://slimages.macys.com/is/image/MCY/22169710 </v>
      </c>
    </row>
    <row r="43" spans="1:14" ht="24.75" x14ac:dyDescent="0.25">
      <c r="A43" s="21" t="s">
        <v>15722</v>
      </c>
      <c r="B43" s="22" t="s">
        <v>15723</v>
      </c>
      <c r="C43" s="2">
        <v>1</v>
      </c>
      <c r="D43" s="23">
        <v>29.99</v>
      </c>
      <c r="E43" s="3">
        <v>29.99</v>
      </c>
      <c r="F43" s="2" t="s">
        <v>15724</v>
      </c>
      <c r="G43" s="22" t="s">
        <v>19342</v>
      </c>
      <c r="H43" s="24" t="s">
        <v>19330</v>
      </c>
      <c r="I43" s="22" t="s">
        <v>19309</v>
      </c>
      <c r="J43" s="22" t="s">
        <v>19491</v>
      </c>
      <c r="K43" s="22" t="s">
        <v>15725</v>
      </c>
      <c r="L43" s="22"/>
      <c r="M43" s="22"/>
      <c r="N43" s="25" t="str">
        <f>HYPERLINK("http://slimages.macys.com/is/image/MCY/21176916 ")</f>
        <v xml:space="preserve">http://slimages.macys.com/is/image/MCY/21176916 </v>
      </c>
    </row>
    <row r="44" spans="1:14" ht="24.75" x14ac:dyDescent="0.25">
      <c r="A44" s="21" t="s">
        <v>10894</v>
      </c>
      <c r="B44" s="22" t="s">
        <v>10895</v>
      </c>
      <c r="C44" s="2">
        <v>12</v>
      </c>
      <c r="D44" s="23">
        <v>27.99</v>
      </c>
      <c r="E44" s="3">
        <v>335.88</v>
      </c>
      <c r="F44" s="2" t="s">
        <v>10896</v>
      </c>
      <c r="G44" s="22" t="s">
        <v>19342</v>
      </c>
      <c r="H44" s="24" t="s">
        <v>19334</v>
      </c>
      <c r="I44" s="22" t="s">
        <v>19309</v>
      </c>
      <c r="J44" s="22" t="s">
        <v>19696</v>
      </c>
      <c r="K44" s="22" t="s">
        <v>19965</v>
      </c>
      <c r="L44" s="22"/>
      <c r="M44" s="22"/>
      <c r="N44" s="25" t="str">
        <f>HYPERLINK("http://slimages.macys.com/is/image/MCY/21356000 ")</f>
        <v xml:space="preserve">http://slimages.macys.com/is/image/MCY/21356000 </v>
      </c>
    </row>
    <row r="45" spans="1:14" x14ac:dyDescent="0.25">
      <c r="A45" s="21" t="s">
        <v>15714</v>
      </c>
      <c r="B45" s="22" t="s">
        <v>15715</v>
      </c>
      <c r="C45" s="2">
        <v>7</v>
      </c>
      <c r="D45" s="23">
        <v>27.99</v>
      </c>
      <c r="E45" s="3">
        <v>195.93</v>
      </c>
      <c r="F45" s="2" t="s">
        <v>17774</v>
      </c>
      <c r="G45" s="22" t="s">
        <v>19342</v>
      </c>
      <c r="H45" s="24" t="s">
        <v>19334</v>
      </c>
      <c r="I45" s="22" t="s">
        <v>19309</v>
      </c>
      <c r="J45" s="22" t="s">
        <v>19696</v>
      </c>
      <c r="K45" s="22" t="s">
        <v>19965</v>
      </c>
      <c r="L45" s="22"/>
      <c r="M45" s="22"/>
      <c r="N45" s="25" t="str">
        <f>HYPERLINK("http://slimages.macys.com/is/image/MCY/21540669 ")</f>
        <v xml:space="preserve">http://slimages.macys.com/is/image/MCY/21540669 </v>
      </c>
    </row>
    <row r="46" spans="1:14" ht="24.75" x14ac:dyDescent="0.25">
      <c r="A46" s="21" t="s">
        <v>3769</v>
      </c>
      <c r="B46" s="22" t="s">
        <v>3770</v>
      </c>
      <c r="C46" s="2">
        <v>1</v>
      </c>
      <c r="D46" s="23">
        <v>34.99</v>
      </c>
      <c r="E46" s="3">
        <v>34.99</v>
      </c>
      <c r="F46" s="2" t="s">
        <v>3771</v>
      </c>
      <c r="G46" s="22" t="s">
        <v>19422</v>
      </c>
      <c r="H46" s="24" t="s">
        <v>19384</v>
      </c>
      <c r="I46" s="22" t="s">
        <v>19309</v>
      </c>
      <c r="J46" s="22" t="s">
        <v>19573</v>
      </c>
      <c r="K46" s="22" t="s">
        <v>19574</v>
      </c>
      <c r="L46" s="22"/>
      <c r="M46" s="22"/>
      <c r="N46" s="25" t="str">
        <f>HYPERLINK("http://slimages.macys.com/is/image/MCY/19377709 ")</f>
        <v xml:space="preserve">http://slimages.macys.com/is/image/MCY/19377709 </v>
      </c>
    </row>
    <row r="47" spans="1:14" x14ac:dyDescent="0.25">
      <c r="A47" s="21" t="s">
        <v>3772</v>
      </c>
      <c r="B47" s="22" t="s">
        <v>3773</v>
      </c>
      <c r="C47" s="2">
        <v>1</v>
      </c>
      <c r="D47" s="23">
        <v>32</v>
      </c>
      <c r="E47" s="3">
        <v>32</v>
      </c>
      <c r="F47" s="2" t="s">
        <v>3774</v>
      </c>
      <c r="G47" s="22" t="s">
        <v>17567</v>
      </c>
      <c r="H47" s="24" t="s">
        <v>20159</v>
      </c>
      <c r="I47" s="22" t="s">
        <v>19309</v>
      </c>
      <c r="J47" s="22" t="s">
        <v>19417</v>
      </c>
      <c r="K47" s="22" t="s">
        <v>6448</v>
      </c>
      <c r="L47" s="22"/>
      <c r="M47" s="22"/>
      <c r="N47" s="25" t="str">
        <f>HYPERLINK("http://slimages.macys.com/is/image/MCY/21810038 ")</f>
        <v xml:space="preserve">http://slimages.macys.com/is/image/MCY/21810038 </v>
      </c>
    </row>
    <row r="48" spans="1:14" x14ac:dyDescent="0.25">
      <c r="A48" s="21" t="s">
        <v>8031</v>
      </c>
      <c r="B48" s="22" t="s">
        <v>8032</v>
      </c>
      <c r="C48" s="2">
        <v>4</v>
      </c>
      <c r="D48" s="23">
        <v>26.99</v>
      </c>
      <c r="E48" s="3">
        <v>107.96</v>
      </c>
      <c r="F48" s="2" t="s">
        <v>8033</v>
      </c>
      <c r="G48" s="22" t="s">
        <v>19342</v>
      </c>
      <c r="H48" s="24" t="s">
        <v>19997</v>
      </c>
      <c r="I48" s="22" t="s">
        <v>19309</v>
      </c>
      <c r="J48" s="22" t="s">
        <v>19696</v>
      </c>
      <c r="K48" s="22" t="s">
        <v>19697</v>
      </c>
      <c r="L48" s="22"/>
      <c r="M48" s="22"/>
      <c r="N48" s="25" t="str">
        <f>HYPERLINK("http://slimages.macys.com/is/image/MCY/21622753 ")</f>
        <v xml:space="preserve">http://slimages.macys.com/is/image/MCY/21622753 </v>
      </c>
    </row>
    <row r="49" spans="1:14" ht="24.75" x14ac:dyDescent="0.25">
      <c r="A49" s="21" t="s">
        <v>3775</v>
      </c>
      <c r="B49" s="22" t="s">
        <v>3776</v>
      </c>
      <c r="C49" s="2">
        <v>1</v>
      </c>
      <c r="D49" s="23">
        <v>27.99</v>
      </c>
      <c r="E49" s="3">
        <v>27.99</v>
      </c>
      <c r="F49" s="2" t="s">
        <v>3777</v>
      </c>
      <c r="G49" s="22" t="s">
        <v>18073</v>
      </c>
      <c r="H49" s="24" t="s">
        <v>19432</v>
      </c>
      <c r="I49" s="22" t="s">
        <v>19309</v>
      </c>
      <c r="J49" s="22" t="s">
        <v>19595</v>
      </c>
      <c r="K49" s="22" t="s">
        <v>9601</v>
      </c>
      <c r="L49" s="22"/>
      <c r="M49" s="22"/>
      <c r="N49" s="25" t="str">
        <f>HYPERLINK("http://slimages.macys.com/is/image/MCY/21174309 ")</f>
        <v xml:space="preserve">http://slimages.macys.com/is/image/MCY/21174309 </v>
      </c>
    </row>
    <row r="50" spans="1:14" x14ac:dyDescent="0.25">
      <c r="A50" s="21" t="s">
        <v>3778</v>
      </c>
      <c r="B50" s="22" t="s">
        <v>3779</v>
      </c>
      <c r="C50" s="2">
        <v>1</v>
      </c>
      <c r="D50" s="23">
        <v>20.58</v>
      </c>
      <c r="E50" s="3">
        <v>20.58</v>
      </c>
      <c r="F50" s="2" t="s">
        <v>10908</v>
      </c>
      <c r="G50" s="22" t="s">
        <v>19342</v>
      </c>
      <c r="H50" s="24" t="s">
        <v>19334</v>
      </c>
      <c r="I50" s="22" t="s">
        <v>19309</v>
      </c>
      <c r="J50" s="22" t="s">
        <v>19514</v>
      </c>
      <c r="K50" s="22" t="s">
        <v>10909</v>
      </c>
      <c r="L50" s="22"/>
      <c r="M50" s="22"/>
      <c r="N50" s="25" t="str">
        <f>HYPERLINK("http://slimages.macys.com/is/image/MCY/21192198 ")</f>
        <v xml:space="preserve">http://slimages.macys.com/is/image/MCY/21192198 </v>
      </c>
    </row>
    <row r="51" spans="1:14" ht="24.75" x14ac:dyDescent="0.25">
      <c r="A51" s="21" t="s">
        <v>3780</v>
      </c>
      <c r="B51" s="22" t="s">
        <v>3781</v>
      </c>
      <c r="C51" s="2">
        <v>1</v>
      </c>
      <c r="D51" s="23">
        <v>26</v>
      </c>
      <c r="E51" s="3">
        <v>26</v>
      </c>
      <c r="F51" s="2" t="s">
        <v>9443</v>
      </c>
      <c r="G51" s="22" t="s">
        <v>19404</v>
      </c>
      <c r="H51" s="24" t="s">
        <v>19324</v>
      </c>
      <c r="I51" s="22" t="s">
        <v>19309</v>
      </c>
      <c r="J51" s="22" t="s">
        <v>19417</v>
      </c>
      <c r="K51" s="22" t="s">
        <v>19854</v>
      </c>
      <c r="L51" s="22"/>
      <c r="M51" s="22"/>
      <c r="N51" s="25" t="str">
        <f>HYPERLINK("http://slimages.macys.com/is/image/MCY/21363391 ")</f>
        <v xml:space="preserve">http://slimages.macys.com/is/image/MCY/21363391 </v>
      </c>
    </row>
    <row r="52" spans="1:14" ht="24.75" x14ac:dyDescent="0.25">
      <c r="A52" s="21" t="s">
        <v>3782</v>
      </c>
      <c r="B52" s="22" t="s">
        <v>3783</v>
      </c>
      <c r="C52" s="2">
        <v>19</v>
      </c>
      <c r="D52" s="23">
        <v>26</v>
      </c>
      <c r="E52" s="3">
        <v>494</v>
      </c>
      <c r="F52" s="2" t="s">
        <v>9443</v>
      </c>
      <c r="G52" s="22" t="s">
        <v>19404</v>
      </c>
      <c r="H52" s="24" t="s">
        <v>19367</v>
      </c>
      <c r="I52" s="22" t="s">
        <v>19309</v>
      </c>
      <c r="J52" s="22" t="s">
        <v>19417</v>
      </c>
      <c r="K52" s="22" t="s">
        <v>19854</v>
      </c>
      <c r="L52" s="22"/>
      <c r="M52" s="22"/>
      <c r="N52" s="25" t="str">
        <f>HYPERLINK("http://slimages.macys.com/is/image/MCY/21363391 ")</f>
        <v xml:space="preserve">http://slimages.macys.com/is/image/MCY/21363391 </v>
      </c>
    </row>
    <row r="53" spans="1:14" ht="24.75" x14ac:dyDescent="0.25">
      <c r="A53" s="21" t="s">
        <v>3784</v>
      </c>
      <c r="B53" s="22" t="s">
        <v>3785</v>
      </c>
      <c r="C53" s="2">
        <v>1</v>
      </c>
      <c r="D53" s="23">
        <v>23.99</v>
      </c>
      <c r="E53" s="3">
        <v>23.99</v>
      </c>
      <c r="F53" s="2" t="s">
        <v>9449</v>
      </c>
      <c r="G53" s="22" t="s">
        <v>19342</v>
      </c>
      <c r="H53" s="24" t="s">
        <v>19324</v>
      </c>
      <c r="I53" s="22" t="s">
        <v>19309</v>
      </c>
      <c r="J53" s="22" t="s">
        <v>19491</v>
      </c>
      <c r="K53" s="22" t="s">
        <v>19554</v>
      </c>
      <c r="L53" s="22"/>
      <c r="M53" s="22"/>
      <c r="N53" s="25" t="str">
        <f>HYPERLINK("http://slimages.macys.com/is/image/MCY/20389914 ")</f>
        <v xml:space="preserve">http://slimages.macys.com/is/image/MCY/20389914 </v>
      </c>
    </row>
    <row r="54" spans="1:14" ht="24.75" x14ac:dyDescent="0.25">
      <c r="A54" s="21" t="s">
        <v>3786</v>
      </c>
      <c r="B54" s="22" t="s">
        <v>3787</v>
      </c>
      <c r="C54" s="2">
        <v>2</v>
      </c>
      <c r="D54" s="23">
        <v>25.99</v>
      </c>
      <c r="E54" s="3">
        <v>51.98</v>
      </c>
      <c r="F54" s="2" t="s">
        <v>3788</v>
      </c>
      <c r="G54" s="22" t="s">
        <v>19342</v>
      </c>
      <c r="H54" s="24" t="s">
        <v>19392</v>
      </c>
      <c r="I54" s="22" t="s">
        <v>19309</v>
      </c>
      <c r="J54" s="22" t="s">
        <v>19696</v>
      </c>
      <c r="K54" s="22" t="s">
        <v>17718</v>
      </c>
      <c r="L54" s="22"/>
      <c r="M54" s="22"/>
      <c r="N54" s="25" t="str">
        <f>HYPERLINK("http://slimages.macys.com/is/image/MCY/20750287 ")</f>
        <v xml:space="preserve">http://slimages.macys.com/is/image/MCY/20750287 </v>
      </c>
    </row>
    <row r="55" spans="1:14" ht="24.75" x14ac:dyDescent="0.25">
      <c r="A55" s="21" t="s">
        <v>8043</v>
      </c>
      <c r="B55" s="22" t="s">
        <v>8044</v>
      </c>
      <c r="C55" s="2">
        <v>1</v>
      </c>
      <c r="D55" s="23">
        <v>24.99</v>
      </c>
      <c r="E55" s="3">
        <v>24.99</v>
      </c>
      <c r="F55" s="2" t="s">
        <v>15796</v>
      </c>
      <c r="G55" s="22" t="s">
        <v>19594</v>
      </c>
      <c r="H55" s="24" t="s">
        <v>19538</v>
      </c>
      <c r="I55" s="22" t="s">
        <v>19309</v>
      </c>
      <c r="J55" s="22" t="s">
        <v>19385</v>
      </c>
      <c r="K55" s="22" t="s">
        <v>19386</v>
      </c>
      <c r="L55" s="22"/>
      <c r="M55" s="22"/>
      <c r="N55" s="25" t="str">
        <f>HYPERLINK("http://slimages.macys.com/is/image/MCY/21820646 ")</f>
        <v xml:space="preserve">http://slimages.macys.com/is/image/MCY/21820646 </v>
      </c>
    </row>
    <row r="56" spans="1:14" ht="24.75" x14ac:dyDescent="0.25">
      <c r="A56" s="21" t="s">
        <v>5189</v>
      </c>
      <c r="B56" s="22" t="s">
        <v>5190</v>
      </c>
      <c r="C56" s="2">
        <v>1</v>
      </c>
      <c r="D56" s="23">
        <v>24.99</v>
      </c>
      <c r="E56" s="3">
        <v>24.99</v>
      </c>
      <c r="F56" s="2" t="s">
        <v>5191</v>
      </c>
      <c r="G56" s="22" t="s">
        <v>19323</v>
      </c>
      <c r="H56" s="24" t="s">
        <v>16005</v>
      </c>
      <c r="I56" s="22" t="s">
        <v>19309</v>
      </c>
      <c r="J56" s="22" t="s">
        <v>16678</v>
      </c>
      <c r="K56" s="22" t="s">
        <v>10407</v>
      </c>
      <c r="L56" s="22"/>
      <c r="M56" s="22"/>
      <c r="N56" s="25" t="str">
        <f>HYPERLINK("http://slimages.macys.com/is/image/MCY/21770625 ")</f>
        <v xml:space="preserve">http://slimages.macys.com/is/image/MCY/21770625 </v>
      </c>
    </row>
    <row r="57" spans="1:14" ht="24.75" x14ac:dyDescent="0.25">
      <c r="A57" s="21" t="s">
        <v>3789</v>
      </c>
      <c r="B57" s="22" t="s">
        <v>3790</v>
      </c>
      <c r="C57" s="2">
        <v>2</v>
      </c>
      <c r="D57" s="23">
        <v>16.989999999999998</v>
      </c>
      <c r="E57" s="3">
        <v>33.979999999999997</v>
      </c>
      <c r="F57" s="2" t="s">
        <v>3791</v>
      </c>
      <c r="G57" s="22" t="s">
        <v>19801</v>
      </c>
      <c r="H57" s="24" t="s">
        <v>19352</v>
      </c>
      <c r="I57" s="22" t="s">
        <v>19309</v>
      </c>
      <c r="J57" s="22" t="s">
        <v>19310</v>
      </c>
      <c r="K57" s="22" t="s">
        <v>19873</v>
      </c>
      <c r="L57" s="22"/>
      <c r="M57" s="22"/>
      <c r="N57" s="25" t="str">
        <f>HYPERLINK("http://slimages.macys.com/is/image/MCY/20228167 ")</f>
        <v xml:space="preserve">http://slimages.macys.com/is/image/MCY/20228167 </v>
      </c>
    </row>
    <row r="58" spans="1:14" x14ac:dyDescent="0.25">
      <c r="A58" s="21" t="s">
        <v>5192</v>
      </c>
      <c r="B58" s="22" t="s">
        <v>5193</v>
      </c>
      <c r="C58" s="2">
        <v>1</v>
      </c>
      <c r="D58" s="23">
        <v>26.05</v>
      </c>
      <c r="E58" s="3">
        <v>26.05</v>
      </c>
      <c r="F58" s="2" t="s">
        <v>4615</v>
      </c>
      <c r="G58" s="22"/>
      <c r="H58" s="24" t="s">
        <v>19324</v>
      </c>
      <c r="I58" s="22" t="s">
        <v>19309</v>
      </c>
      <c r="J58" s="22" t="s">
        <v>19708</v>
      </c>
      <c r="K58" s="22" t="s">
        <v>19754</v>
      </c>
      <c r="L58" s="22"/>
      <c r="M58" s="22"/>
      <c r="N58" s="25" t="str">
        <f>HYPERLINK("http://slimages.macys.com/is/image/MCY/21422917 ")</f>
        <v xml:space="preserve">http://slimages.macys.com/is/image/MCY/21422917 </v>
      </c>
    </row>
    <row r="59" spans="1:14" ht="24.75" x14ac:dyDescent="0.25">
      <c r="A59" s="21" t="s">
        <v>10920</v>
      </c>
      <c r="B59" s="22" t="s">
        <v>10921</v>
      </c>
      <c r="C59" s="2">
        <v>1</v>
      </c>
      <c r="D59" s="23">
        <v>17.989999999999998</v>
      </c>
      <c r="E59" s="3">
        <v>17.989999999999998</v>
      </c>
      <c r="F59" s="2" t="s">
        <v>10916</v>
      </c>
      <c r="G59" s="22" t="s">
        <v>19342</v>
      </c>
      <c r="H59" s="24" t="s">
        <v>19308</v>
      </c>
      <c r="I59" s="22" t="s">
        <v>19309</v>
      </c>
      <c r="J59" s="22" t="s">
        <v>20076</v>
      </c>
      <c r="K59" s="22" t="s">
        <v>10917</v>
      </c>
      <c r="L59" s="22"/>
      <c r="M59" s="22"/>
      <c r="N59" s="25" t="str">
        <f>HYPERLINK("http://slimages.macys.com/is/image/MCY/23526466 ")</f>
        <v xml:space="preserve">http://slimages.macys.com/is/image/MCY/23526466 </v>
      </c>
    </row>
    <row r="60" spans="1:14" x14ac:dyDescent="0.25">
      <c r="A60" s="21" t="s">
        <v>5197</v>
      </c>
      <c r="B60" s="22" t="s">
        <v>5198</v>
      </c>
      <c r="C60" s="2">
        <v>2</v>
      </c>
      <c r="D60" s="23">
        <v>23.99</v>
      </c>
      <c r="E60" s="3">
        <v>47.98</v>
      </c>
      <c r="F60" s="2" t="s">
        <v>11902</v>
      </c>
      <c r="G60" s="22" t="s">
        <v>19342</v>
      </c>
      <c r="H60" s="24" t="s">
        <v>19395</v>
      </c>
      <c r="I60" s="22" t="s">
        <v>19309</v>
      </c>
      <c r="J60" s="22" t="s">
        <v>19696</v>
      </c>
      <c r="K60" s="22" t="s">
        <v>19965</v>
      </c>
      <c r="L60" s="22"/>
      <c r="M60" s="22"/>
      <c r="N60" s="25" t="str">
        <f>HYPERLINK("http://slimages.macys.com/is/image/MCY/21643410 ")</f>
        <v xml:space="preserve">http://slimages.macys.com/is/image/MCY/21643410 </v>
      </c>
    </row>
    <row r="61" spans="1:14" ht="24.75" x14ac:dyDescent="0.25">
      <c r="A61" s="21" t="s">
        <v>3792</v>
      </c>
      <c r="B61" s="22" t="s">
        <v>3793</v>
      </c>
      <c r="C61" s="2">
        <v>5</v>
      </c>
      <c r="D61" s="23">
        <v>18.989999999999998</v>
      </c>
      <c r="E61" s="3">
        <v>94.95</v>
      </c>
      <c r="F61" s="2" t="s">
        <v>3794</v>
      </c>
      <c r="G61" s="22" t="s">
        <v>18073</v>
      </c>
      <c r="H61" s="24" t="s">
        <v>19797</v>
      </c>
      <c r="I61" s="22" t="s">
        <v>19309</v>
      </c>
      <c r="J61" s="22" t="s">
        <v>19447</v>
      </c>
      <c r="K61" s="22" t="s">
        <v>19533</v>
      </c>
      <c r="L61" s="22"/>
      <c r="M61" s="22"/>
      <c r="N61" s="25" t="str">
        <f>HYPERLINK("http://slimages.macys.com/is/image/MCY/20789832 ")</f>
        <v xml:space="preserve">http://slimages.macys.com/is/image/MCY/20789832 </v>
      </c>
    </row>
    <row r="62" spans="1:14" ht="24.75" x14ac:dyDescent="0.25">
      <c r="A62" s="21" t="s">
        <v>4624</v>
      </c>
      <c r="B62" s="22" t="s">
        <v>4625</v>
      </c>
      <c r="C62" s="2">
        <v>1</v>
      </c>
      <c r="D62" s="23">
        <v>21.99</v>
      </c>
      <c r="E62" s="3">
        <v>21.99</v>
      </c>
      <c r="F62" s="2" t="s">
        <v>15851</v>
      </c>
      <c r="G62" s="22" t="s">
        <v>19357</v>
      </c>
      <c r="H62" s="24" t="s">
        <v>19395</v>
      </c>
      <c r="I62" s="22" t="s">
        <v>19309</v>
      </c>
      <c r="J62" s="22" t="s">
        <v>19595</v>
      </c>
      <c r="K62" s="22" t="s">
        <v>19596</v>
      </c>
      <c r="L62" s="22"/>
      <c r="M62" s="22"/>
      <c r="N62" s="25" t="str">
        <f>HYPERLINK("http://slimages.macys.com/is/image/MCY/21909784 ")</f>
        <v xml:space="preserve">http://slimages.macys.com/is/image/MCY/21909784 </v>
      </c>
    </row>
    <row r="63" spans="1:14" ht="24.75" x14ac:dyDescent="0.25">
      <c r="A63" s="21" t="s">
        <v>3795</v>
      </c>
      <c r="B63" s="22" t="s">
        <v>3796</v>
      </c>
      <c r="C63" s="2">
        <v>1</v>
      </c>
      <c r="D63" s="23">
        <v>24.99</v>
      </c>
      <c r="E63" s="3">
        <v>24.99</v>
      </c>
      <c r="F63" s="2" t="s">
        <v>3797</v>
      </c>
      <c r="G63" s="22" t="s">
        <v>19323</v>
      </c>
      <c r="H63" s="24" t="s">
        <v>19352</v>
      </c>
      <c r="I63" s="22" t="s">
        <v>19309</v>
      </c>
      <c r="J63" s="22" t="s">
        <v>19400</v>
      </c>
      <c r="K63" s="22" t="s">
        <v>17589</v>
      </c>
      <c r="L63" s="22" t="s">
        <v>19319</v>
      </c>
      <c r="M63" s="22" t="s">
        <v>17531</v>
      </c>
      <c r="N63" s="25" t="str">
        <f>HYPERLINK("http://slimages.macys.com/is/image/MCY/16482005 ")</f>
        <v xml:space="preserve">http://slimages.macys.com/is/image/MCY/16482005 </v>
      </c>
    </row>
    <row r="64" spans="1:14" ht="24.75" x14ac:dyDescent="0.25">
      <c r="A64" s="21" t="s">
        <v>3798</v>
      </c>
      <c r="B64" s="22" t="s">
        <v>3799</v>
      </c>
      <c r="C64" s="2">
        <v>10</v>
      </c>
      <c r="D64" s="23">
        <v>24</v>
      </c>
      <c r="E64" s="3">
        <v>240</v>
      </c>
      <c r="F64" s="2" t="s">
        <v>19853</v>
      </c>
      <c r="G64" s="22" t="s">
        <v>19404</v>
      </c>
      <c r="H64" s="24" t="s">
        <v>19324</v>
      </c>
      <c r="I64" s="22" t="s">
        <v>19309</v>
      </c>
      <c r="J64" s="22" t="s">
        <v>19417</v>
      </c>
      <c r="K64" s="22" t="s">
        <v>19854</v>
      </c>
      <c r="L64" s="22"/>
      <c r="M64" s="22"/>
      <c r="N64" s="25" t="str">
        <f>HYPERLINK("http://slimages.macys.com/is/image/MCY/21369862 ")</f>
        <v xml:space="preserve">http://slimages.macys.com/is/image/MCY/21369862 </v>
      </c>
    </row>
    <row r="65" spans="1:14" ht="24.75" x14ac:dyDescent="0.25">
      <c r="A65" s="21" t="s">
        <v>8054</v>
      </c>
      <c r="B65" s="22" t="s">
        <v>8055</v>
      </c>
      <c r="C65" s="2">
        <v>1</v>
      </c>
      <c r="D65" s="23">
        <v>24</v>
      </c>
      <c r="E65" s="3">
        <v>24</v>
      </c>
      <c r="F65" s="2" t="s">
        <v>19857</v>
      </c>
      <c r="G65" s="22" t="s">
        <v>19404</v>
      </c>
      <c r="H65" s="24" t="s">
        <v>19367</v>
      </c>
      <c r="I65" s="22" t="s">
        <v>19309</v>
      </c>
      <c r="J65" s="22" t="s">
        <v>19417</v>
      </c>
      <c r="K65" s="22" t="s">
        <v>19854</v>
      </c>
      <c r="L65" s="22"/>
      <c r="M65" s="22"/>
      <c r="N65" s="25" t="str">
        <f>HYPERLINK("http://slimages.macys.com/is/image/MCY/21362679 ")</f>
        <v xml:space="preserve">http://slimages.macys.com/is/image/MCY/21362679 </v>
      </c>
    </row>
    <row r="66" spans="1:14" ht="24.75" x14ac:dyDescent="0.25">
      <c r="A66" s="21" t="s">
        <v>8056</v>
      </c>
      <c r="B66" s="22" t="s">
        <v>8057</v>
      </c>
      <c r="C66" s="2">
        <v>6</v>
      </c>
      <c r="D66" s="23">
        <v>24</v>
      </c>
      <c r="E66" s="3">
        <v>144</v>
      </c>
      <c r="F66" s="2" t="s">
        <v>9464</v>
      </c>
      <c r="G66" s="22" t="s">
        <v>19404</v>
      </c>
      <c r="H66" s="24" t="s">
        <v>19324</v>
      </c>
      <c r="I66" s="22" t="s">
        <v>19309</v>
      </c>
      <c r="J66" s="22" t="s">
        <v>19417</v>
      </c>
      <c r="K66" s="22" t="s">
        <v>19854</v>
      </c>
      <c r="L66" s="22"/>
      <c r="M66" s="22"/>
      <c r="N66" s="25" t="str">
        <f>HYPERLINK("http://slimages.macys.com/is/image/MCY/21369881 ")</f>
        <v xml:space="preserve">http://slimages.macys.com/is/image/MCY/21369881 </v>
      </c>
    </row>
    <row r="67" spans="1:14" ht="24.75" x14ac:dyDescent="0.25">
      <c r="A67" s="21" t="s">
        <v>3800</v>
      </c>
      <c r="B67" s="22" t="s">
        <v>3801</v>
      </c>
      <c r="C67" s="2">
        <v>1</v>
      </c>
      <c r="D67" s="23">
        <v>24</v>
      </c>
      <c r="E67" s="3">
        <v>24</v>
      </c>
      <c r="F67" s="2" t="s">
        <v>9471</v>
      </c>
      <c r="G67" s="22"/>
      <c r="H67" s="24" t="s">
        <v>19416</v>
      </c>
      <c r="I67" s="22" t="s">
        <v>19309</v>
      </c>
      <c r="J67" s="22" t="s">
        <v>19417</v>
      </c>
      <c r="K67" s="22" t="s">
        <v>19854</v>
      </c>
      <c r="L67" s="22"/>
      <c r="M67" s="22"/>
      <c r="N67" s="25" t="str">
        <f>HYPERLINK("http://slimages.macys.com/is/image/MCY/21369970 ")</f>
        <v xml:space="preserve">http://slimages.macys.com/is/image/MCY/21369970 </v>
      </c>
    </row>
    <row r="68" spans="1:14" ht="24.75" x14ac:dyDescent="0.25">
      <c r="A68" s="21" t="s">
        <v>8058</v>
      </c>
      <c r="B68" s="22" t="s">
        <v>8059</v>
      </c>
      <c r="C68" s="2">
        <v>2</v>
      </c>
      <c r="D68" s="23">
        <v>24</v>
      </c>
      <c r="E68" s="3">
        <v>48</v>
      </c>
      <c r="F68" s="2" t="s">
        <v>8060</v>
      </c>
      <c r="G68" s="22" t="s">
        <v>19351</v>
      </c>
      <c r="H68" s="24" t="s">
        <v>19324</v>
      </c>
      <c r="I68" s="22" t="s">
        <v>19309</v>
      </c>
      <c r="J68" s="22" t="s">
        <v>19417</v>
      </c>
      <c r="K68" s="22" t="s">
        <v>19854</v>
      </c>
      <c r="L68" s="22"/>
      <c r="M68" s="22"/>
      <c r="N68" s="25" t="str">
        <f>HYPERLINK("http://slimages.macys.com/is/image/MCY/21358122 ")</f>
        <v xml:space="preserve">http://slimages.macys.com/is/image/MCY/21358122 </v>
      </c>
    </row>
    <row r="69" spans="1:14" ht="24.75" x14ac:dyDescent="0.25">
      <c r="A69" s="21" t="s">
        <v>8421</v>
      </c>
      <c r="B69" s="22" t="s">
        <v>8422</v>
      </c>
      <c r="C69" s="2">
        <v>1</v>
      </c>
      <c r="D69" s="23">
        <v>24</v>
      </c>
      <c r="E69" s="3">
        <v>24</v>
      </c>
      <c r="F69" s="2" t="s">
        <v>10949</v>
      </c>
      <c r="G69" s="22" t="s">
        <v>19351</v>
      </c>
      <c r="H69" s="24" t="s">
        <v>20159</v>
      </c>
      <c r="I69" s="22" t="s">
        <v>19309</v>
      </c>
      <c r="J69" s="22" t="s">
        <v>19417</v>
      </c>
      <c r="K69" s="22" t="s">
        <v>19854</v>
      </c>
      <c r="L69" s="22"/>
      <c r="M69" s="22"/>
      <c r="N69" s="25" t="str">
        <f>HYPERLINK("http://slimages.macys.com/is/image/MCY/21369853 ")</f>
        <v xml:space="preserve">http://slimages.macys.com/is/image/MCY/21369853 </v>
      </c>
    </row>
    <row r="70" spans="1:14" ht="24.75" x14ac:dyDescent="0.25">
      <c r="A70" s="21" t="s">
        <v>8240</v>
      </c>
      <c r="B70" s="22" t="s">
        <v>8241</v>
      </c>
      <c r="C70" s="2">
        <v>3</v>
      </c>
      <c r="D70" s="23">
        <v>24</v>
      </c>
      <c r="E70" s="3">
        <v>72</v>
      </c>
      <c r="F70" s="2" t="s">
        <v>8051</v>
      </c>
      <c r="G70" s="22"/>
      <c r="H70" s="24" t="s">
        <v>19367</v>
      </c>
      <c r="I70" s="22" t="s">
        <v>19309</v>
      </c>
      <c r="J70" s="22" t="s">
        <v>19417</v>
      </c>
      <c r="K70" s="22" t="s">
        <v>19854</v>
      </c>
      <c r="L70" s="22"/>
      <c r="M70" s="22"/>
      <c r="N70" s="25" t="str">
        <f>HYPERLINK("http://slimages.macys.com/is/image/MCY/21362805 ")</f>
        <v xml:space="preserve">http://slimages.macys.com/is/image/MCY/21362805 </v>
      </c>
    </row>
    <row r="71" spans="1:14" x14ac:dyDescent="0.25">
      <c r="A71" s="21" t="s">
        <v>10950</v>
      </c>
      <c r="B71" s="22" t="s">
        <v>10951</v>
      </c>
      <c r="C71" s="2">
        <v>1</v>
      </c>
      <c r="D71" s="23">
        <v>22.75</v>
      </c>
      <c r="E71" s="3">
        <v>22.75</v>
      </c>
      <c r="F71" s="2" t="s">
        <v>10952</v>
      </c>
      <c r="G71" s="22"/>
      <c r="H71" s="24" t="s">
        <v>20159</v>
      </c>
      <c r="I71" s="22" t="s">
        <v>19309</v>
      </c>
      <c r="J71" s="22" t="s">
        <v>19708</v>
      </c>
      <c r="K71" s="22" t="s">
        <v>19709</v>
      </c>
      <c r="L71" s="22"/>
      <c r="M71" s="22"/>
      <c r="N71" s="25" t="str">
        <f>HYPERLINK("http://slimages.macys.com/is/image/MCY/21414621 ")</f>
        <v xml:space="preserve">http://slimages.macys.com/is/image/MCY/21414621 </v>
      </c>
    </row>
    <row r="72" spans="1:14" ht="24.75" x14ac:dyDescent="0.25">
      <c r="A72" s="21" t="s">
        <v>5210</v>
      </c>
      <c r="B72" s="22" t="s">
        <v>5211</v>
      </c>
      <c r="C72" s="2">
        <v>13</v>
      </c>
      <c r="D72" s="23">
        <v>22.99</v>
      </c>
      <c r="E72" s="3">
        <v>298.87</v>
      </c>
      <c r="F72" s="2" t="s">
        <v>5212</v>
      </c>
      <c r="G72" s="22" t="s">
        <v>19342</v>
      </c>
      <c r="H72" s="24"/>
      <c r="I72" s="22" t="s">
        <v>19309</v>
      </c>
      <c r="J72" s="22" t="s">
        <v>19385</v>
      </c>
      <c r="K72" s="22" t="s">
        <v>19729</v>
      </c>
      <c r="L72" s="22"/>
      <c r="M72" s="22"/>
      <c r="N72" s="25" t="str">
        <f>HYPERLINK("http://slimages.macys.com/is/image/MCY/21506874 ")</f>
        <v xml:space="preserve">http://slimages.macys.com/is/image/MCY/21506874 </v>
      </c>
    </row>
    <row r="73" spans="1:14" ht="24.75" x14ac:dyDescent="0.25">
      <c r="A73" s="21" t="s">
        <v>19883</v>
      </c>
      <c r="B73" s="22" t="s">
        <v>19884</v>
      </c>
      <c r="C73" s="2">
        <v>1</v>
      </c>
      <c r="D73" s="23">
        <v>17.989999999999998</v>
      </c>
      <c r="E73" s="3">
        <v>17.989999999999998</v>
      </c>
      <c r="F73" s="2" t="s">
        <v>19885</v>
      </c>
      <c r="G73" s="22" t="s">
        <v>19886</v>
      </c>
      <c r="H73" s="24" t="s">
        <v>19797</v>
      </c>
      <c r="I73" s="22" t="s">
        <v>19309</v>
      </c>
      <c r="J73" s="22" t="s">
        <v>19447</v>
      </c>
      <c r="K73" s="22" t="s">
        <v>19533</v>
      </c>
      <c r="L73" s="22"/>
      <c r="M73" s="22"/>
      <c r="N73" s="25" t="str">
        <f>HYPERLINK("http://slimages.macys.com/is/image/MCY/21253727 ")</f>
        <v xml:space="preserve">http://slimages.macys.com/is/image/MCY/21253727 </v>
      </c>
    </row>
    <row r="74" spans="1:14" x14ac:dyDescent="0.25">
      <c r="A74" s="21" t="s">
        <v>3802</v>
      </c>
      <c r="B74" s="22" t="s">
        <v>3803</v>
      </c>
      <c r="C74" s="2">
        <v>1</v>
      </c>
      <c r="D74" s="23">
        <v>21.99</v>
      </c>
      <c r="E74" s="3">
        <v>21.99</v>
      </c>
      <c r="F74" s="2" t="s">
        <v>8813</v>
      </c>
      <c r="G74" s="22" t="s">
        <v>19342</v>
      </c>
      <c r="H74" s="24" t="s">
        <v>19997</v>
      </c>
      <c r="I74" s="22" t="s">
        <v>19309</v>
      </c>
      <c r="J74" s="22" t="s">
        <v>19696</v>
      </c>
      <c r="K74" s="22" t="s">
        <v>19697</v>
      </c>
      <c r="L74" s="22"/>
      <c r="M74" s="22"/>
      <c r="N74" s="25" t="str">
        <f>HYPERLINK("http://slimages.macys.com/is/image/MCY/20662584 ")</f>
        <v xml:space="preserve">http://slimages.macys.com/is/image/MCY/20662584 </v>
      </c>
    </row>
    <row r="75" spans="1:14" x14ac:dyDescent="0.25">
      <c r="A75" s="21" t="s">
        <v>8818</v>
      </c>
      <c r="B75" s="22" t="s">
        <v>8819</v>
      </c>
      <c r="C75" s="2">
        <v>12</v>
      </c>
      <c r="D75" s="23">
        <v>21.99</v>
      </c>
      <c r="E75" s="3">
        <v>263.88</v>
      </c>
      <c r="F75" s="2" t="s">
        <v>8067</v>
      </c>
      <c r="G75" s="22" t="s">
        <v>19342</v>
      </c>
      <c r="H75" s="24" t="s">
        <v>19395</v>
      </c>
      <c r="I75" s="22" t="s">
        <v>19309</v>
      </c>
      <c r="J75" s="22" t="s">
        <v>19696</v>
      </c>
      <c r="K75" s="22" t="s">
        <v>19965</v>
      </c>
      <c r="L75" s="22"/>
      <c r="M75" s="22"/>
      <c r="N75" s="25" t="str">
        <f>HYPERLINK("http://slimages.macys.com/is/image/MCY/21497275 ")</f>
        <v xml:space="preserve">http://slimages.macys.com/is/image/MCY/21497275 </v>
      </c>
    </row>
    <row r="76" spans="1:14" x14ac:dyDescent="0.25">
      <c r="A76" s="21" t="s">
        <v>8816</v>
      </c>
      <c r="B76" s="22" t="s">
        <v>8817</v>
      </c>
      <c r="C76" s="2">
        <v>8</v>
      </c>
      <c r="D76" s="23">
        <v>21.99</v>
      </c>
      <c r="E76" s="3">
        <v>175.92</v>
      </c>
      <c r="F76" s="2" t="s">
        <v>8067</v>
      </c>
      <c r="G76" s="22" t="s">
        <v>19342</v>
      </c>
      <c r="H76" s="24" t="s">
        <v>19478</v>
      </c>
      <c r="I76" s="22" t="s">
        <v>19309</v>
      </c>
      <c r="J76" s="22" t="s">
        <v>19696</v>
      </c>
      <c r="K76" s="22" t="s">
        <v>19965</v>
      </c>
      <c r="L76" s="22"/>
      <c r="M76" s="22"/>
      <c r="N76" s="25" t="str">
        <f>HYPERLINK("http://slimages.macys.com/is/image/MCY/21497276 ")</f>
        <v xml:space="preserve">http://slimages.macys.com/is/image/MCY/21497276 </v>
      </c>
    </row>
    <row r="77" spans="1:14" x14ac:dyDescent="0.25">
      <c r="A77" s="21" t="s">
        <v>8546</v>
      </c>
      <c r="B77" s="22" t="s">
        <v>8547</v>
      </c>
      <c r="C77" s="2">
        <v>1</v>
      </c>
      <c r="D77" s="23">
        <v>21.99</v>
      </c>
      <c r="E77" s="3">
        <v>21.99</v>
      </c>
      <c r="F77" s="2" t="s">
        <v>8070</v>
      </c>
      <c r="G77" s="22" t="s">
        <v>19342</v>
      </c>
      <c r="H77" s="24" t="s">
        <v>19478</v>
      </c>
      <c r="I77" s="22" t="s">
        <v>19309</v>
      </c>
      <c r="J77" s="22" t="s">
        <v>19696</v>
      </c>
      <c r="K77" s="22" t="s">
        <v>19965</v>
      </c>
      <c r="L77" s="22"/>
      <c r="M77" s="22"/>
      <c r="N77" s="25" t="str">
        <f>HYPERLINK("http://slimages.macys.com/is/image/MCY/21540670 ")</f>
        <v xml:space="preserve">http://slimages.macys.com/is/image/MCY/21540670 </v>
      </c>
    </row>
    <row r="78" spans="1:14" ht="24.75" x14ac:dyDescent="0.25">
      <c r="A78" s="21" t="s">
        <v>8071</v>
      </c>
      <c r="B78" s="22" t="s">
        <v>8072</v>
      </c>
      <c r="C78" s="2">
        <v>3</v>
      </c>
      <c r="D78" s="23">
        <v>20.99</v>
      </c>
      <c r="E78" s="3">
        <v>62.97</v>
      </c>
      <c r="F78" s="2" t="s">
        <v>8073</v>
      </c>
      <c r="G78" s="22" t="s">
        <v>19342</v>
      </c>
      <c r="H78" s="24" t="s">
        <v>19324</v>
      </c>
      <c r="I78" s="22" t="s">
        <v>19309</v>
      </c>
      <c r="J78" s="22" t="s">
        <v>19385</v>
      </c>
      <c r="K78" s="22" t="s">
        <v>18064</v>
      </c>
      <c r="L78" s="22"/>
      <c r="M78" s="22"/>
      <c r="N78" s="25" t="str">
        <f>HYPERLINK("http://slimages.macys.com/is/image/MCY/21484170 ")</f>
        <v xml:space="preserve">http://slimages.macys.com/is/image/MCY/21484170 </v>
      </c>
    </row>
    <row r="79" spans="1:14" x14ac:dyDescent="0.25">
      <c r="A79" s="21" t="s">
        <v>3804</v>
      </c>
      <c r="B79" s="22" t="s">
        <v>3805</v>
      </c>
      <c r="C79" s="2">
        <v>1</v>
      </c>
      <c r="D79" s="23">
        <v>20.48</v>
      </c>
      <c r="E79" s="3">
        <v>20.48</v>
      </c>
      <c r="F79" s="2" t="s">
        <v>3806</v>
      </c>
      <c r="G79" s="22"/>
      <c r="H79" s="24" t="s">
        <v>19330</v>
      </c>
      <c r="I79" s="22" t="s">
        <v>19309</v>
      </c>
      <c r="J79" s="22" t="s">
        <v>19708</v>
      </c>
      <c r="K79" s="22" t="s">
        <v>19709</v>
      </c>
      <c r="L79" s="22"/>
      <c r="M79" s="22"/>
      <c r="N79" s="25" t="str">
        <f>HYPERLINK("http://slimages.macys.com/is/image/MCY/21423024 ")</f>
        <v xml:space="preserve">http://slimages.macys.com/is/image/MCY/21423024 </v>
      </c>
    </row>
    <row r="80" spans="1:14" x14ac:dyDescent="0.25">
      <c r="A80" s="21" t="s">
        <v>3807</v>
      </c>
      <c r="B80" s="22" t="s">
        <v>3808</v>
      </c>
      <c r="C80" s="2">
        <v>1</v>
      </c>
      <c r="D80" s="23">
        <v>19.989999999999998</v>
      </c>
      <c r="E80" s="3">
        <v>19.989999999999998</v>
      </c>
      <c r="F80" s="2" t="s">
        <v>3809</v>
      </c>
      <c r="G80" s="22" t="s">
        <v>19333</v>
      </c>
      <c r="H80" s="24" t="s">
        <v>19392</v>
      </c>
      <c r="I80" s="22" t="s">
        <v>19309</v>
      </c>
      <c r="J80" s="22" t="s">
        <v>19696</v>
      </c>
      <c r="K80" s="22" t="s">
        <v>18094</v>
      </c>
      <c r="L80" s="22"/>
      <c r="M80" s="22"/>
      <c r="N80" s="25" t="str">
        <f>HYPERLINK("http://slimages.macys.com/is/image/MCY/20742554 ")</f>
        <v xml:space="preserve">http://slimages.macys.com/is/image/MCY/20742554 </v>
      </c>
    </row>
    <row r="81" spans="1:14" ht="24.75" x14ac:dyDescent="0.25">
      <c r="A81" s="21" t="s">
        <v>10982</v>
      </c>
      <c r="B81" s="22" t="s">
        <v>10983</v>
      </c>
      <c r="C81" s="2">
        <v>1</v>
      </c>
      <c r="D81" s="23">
        <v>23</v>
      </c>
      <c r="E81" s="3">
        <v>23</v>
      </c>
      <c r="F81" s="2" t="s">
        <v>20031</v>
      </c>
      <c r="G81" s="22" t="s">
        <v>19333</v>
      </c>
      <c r="H81" s="24" t="s">
        <v>19339</v>
      </c>
      <c r="I81" s="22" t="s">
        <v>19309</v>
      </c>
      <c r="J81" s="22" t="s">
        <v>19595</v>
      </c>
      <c r="K81" s="22" t="s">
        <v>19423</v>
      </c>
      <c r="L81" s="22"/>
      <c r="M81" s="22"/>
      <c r="N81" s="25" t="str">
        <f>HYPERLINK("http://slimages.macys.com/is/image/MCY/20917977 ")</f>
        <v xml:space="preserve">http://slimages.macys.com/is/image/MCY/20917977 </v>
      </c>
    </row>
    <row r="82" spans="1:14" ht="24.75" x14ac:dyDescent="0.25">
      <c r="A82" s="21" t="s">
        <v>10980</v>
      </c>
      <c r="B82" s="22" t="s">
        <v>10981</v>
      </c>
      <c r="C82" s="2">
        <v>5</v>
      </c>
      <c r="D82" s="23">
        <v>23</v>
      </c>
      <c r="E82" s="3">
        <v>115</v>
      </c>
      <c r="F82" s="2" t="s">
        <v>20031</v>
      </c>
      <c r="G82" s="22" t="s">
        <v>19333</v>
      </c>
      <c r="H82" s="24" t="s">
        <v>19364</v>
      </c>
      <c r="I82" s="22" t="s">
        <v>19309</v>
      </c>
      <c r="J82" s="22" t="s">
        <v>19595</v>
      </c>
      <c r="K82" s="22" t="s">
        <v>19423</v>
      </c>
      <c r="L82" s="22"/>
      <c r="M82" s="22"/>
      <c r="N82" s="25" t="str">
        <f>HYPERLINK("http://slimages.macys.com/is/image/MCY/20917977 ")</f>
        <v xml:space="preserve">http://slimages.macys.com/is/image/MCY/20917977 </v>
      </c>
    </row>
    <row r="83" spans="1:14" x14ac:dyDescent="0.25">
      <c r="A83" s="21" t="s">
        <v>6723</v>
      </c>
      <c r="B83" s="22" t="s">
        <v>6724</v>
      </c>
      <c r="C83" s="2">
        <v>1</v>
      </c>
      <c r="D83" s="23">
        <v>18.989999999999998</v>
      </c>
      <c r="E83" s="3">
        <v>18.989999999999998</v>
      </c>
      <c r="F83" s="2" t="s">
        <v>6725</v>
      </c>
      <c r="G83" s="22" t="s">
        <v>19814</v>
      </c>
      <c r="H83" s="24" t="s">
        <v>14479</v>
      </c>
      <c r="I83" s="22" t="s">
        <v>19309</v>
      </c>
      <c r="J83" s="22" t="s">
        <v>19696</v>
      </c>
      <c r="K83" s="22" t="s">
        <v>15978</v>
      </c>
      <c r="L83" s="22"/>
      <c r="M83" s="22"/>
      <c r="N83" s="25" t="str">
        <f>HYPERLINK("http://slimages.macys.com/is/image/MCY/21408541 ")</f>
        <v xml:space="preserve">http://slimages.macys.com/is/image/MCY/21408541 </v>
      </c>
    </row>
    <row r="84" spans="1:14" x14ac:dyDescent="0.25">
      <c r="A84" s="21" t="s">
        <v>9509</v>
      </c>
      <c r="B84" s="22" t="s">
        <v>9510</v>
      </c>
      <c r="C84" s="2">
        <v>1</v>
      </c>
      <c r="D84" s="23">
        <v>18.989999999999998</v>
      </c>
      <c r="E84" s="3">
        <v>18.989999999999998</v>
      </c>
      <c r="F84" s="2" t="s">
        <v>9511</v>
      </c>
      <c r="G84" s="22" t="s">
        <v>19333</v>
      </c>
      <c r="H84" s="24"/>
      <c r="I84" s="22" t="s">
        <v>19309</v>
      </c>
      <c r="J84" s="22" t="s">
        <v>19696</v>
      </c>
      <c r="K84" s="22" t="s">
        <v>18094</v>
      </c>
      <c r="L84" s="22"/>
      <c r="M84" s="22"/>
      <c r="N84" s="25" t="str">
        <f>HYPERLINK("http://slimages.macys.com/is/image/MCY/21408593 ")</f>
        <v xml:space="preserve">http://slimages.macys.com/is/image/MCY/21408593 </v>
      </c>
    </row>
    <row r="85" spans="1:14" x14ac:dyDescent="0.25">
      <c r="A85" s="21" t="s">
        <v>12036</v>
      </c>
      <c r="B85" s="22" t="s">
        <v>12037</v>
      </c>
      <c r="C85" s="2">
        <v>1</v>
      </c>
      <c r="D85" s="23">
        <v>18.989999999999998</v>
      </c>
      <c r="E85" s="3">
        <v>18.989999999999998</v>
      </c>
      <c r="F85" s="2" t="s">
        <v>12038</v>
      </c>
      <c r="G85" s="22" t="s">
        <v>19467</v>
      </c>
      <c r="H85" s="24"/>
      <c r="I85" s="22" t="s">
        <v>19309</v>
      </c>
      <c r="J85" s="22" t="s">
        <v>19696</v>
      </c>
      <c r="K85" s="22" t="s">
        <v>18094</v>
      </c>
      <c r="L85" s="22"/>
      <c r="M85" s="22"/>
      <c r="N85" s="25" t="str">
        <f>HYPERLINK("http://slimages.macys.com/is/image/MCY/21408518 ")</f>
        <v xml:space="preserve">http://slimages.macys.com/is/image/MCY/21408518 </v>
      </c>
    </row>
    <row r="86" spans="1:14" ht="24.75" x14ac:dyDescent="0.25">
      <c r="A86" s="21" t="s">
        <v>3810</v>
      </c>
      <c r="B86" s="22" t="s">
        <v>3811</v>
      </c>
      <c r="C86" s="2">
        <v>1</v>
      </c>
      <c r="D86" s="23">
        <v>15.56</v>
      </c>
      <c r="E86" s="3">
        <v>15.56</v>
      </c>
      <c r="F86" s="2" t="s">
        <v>3812</v>
      </c>
      <c r="G86" s="22"/>
      <c r="H86" s="24" t="s">
        <v>19392</v>
      </c>
      <c r="I86" s="22" t="s">
        <v>19309</v>
      </c>
      <c r="J86" s="22" t="s">
        <v>19602</v>
      </c>
      <c r="K86" s="22" t="s">
        <v>20041</v>
      </c>
      <c r="L86" s="22"/>
      <c r="M86" s="22"/>
      <c r="N86" s="25" t="str">
        <f>HYPERLINK("http://slimages.macys.com/is/image/MCY/19944642 ")</f>
        <v xml:space="preserve">http://slimages.macys.com/is/image/MCY/19944642 </v>
      </c>
    </row>
    <row r="87" spans="1:14" ht="24.75" x14ac:dyDescent="0.25">
      <c r="A87" s="21" t="s">
        <v>3813</v>
      </c>
      <c r="B87" s="22" t="s">
        <v>3814</v>
      </c>
      <c r="C87" s="2">
        <v>1</v>
      </c>
      <c r="D87" s="23">
        <v>19.989999999999998</v>
      </c>
      <c r="E87" s="3">
        <v>19.989999999999998</v>
      </c>
      <c r="F87" s="2" t="s">
        <v>15440</v>
      </c>
      <c r="G87" s="22" t="s">
        <v>19955</v>
      </c>
      <c r="H87" s="24" t="s">
        <v>20089</v>
      </c>
      <c r="I87" s="22" t="s">
        <v>19309</v>
      </c>
      <c r="J87" s="22" t="s">
        <v>19849</v>
      </c>
      <c r="K87" s="22" t="s">
        <v>19850</v>
      </c>
      <c r="L87" s="22"/>
      <c r="M87" s="22"/>
      <c r="N87" s="25" t="str">
        <f>HYPERLINK("http://slimages.macys.com/is/image/MCY/20530634 ")</f>
        <v xml:space="preserve">http://slimages.macys.com/is/image/MCY/20530634 </v>
      </c>
    </row>
    <row r="88" spans="1:14" ht="24.75" x14ac:dyDescent="0.25">
      <c r="A88" s="21" t="s">
        <v>3815</v>
      </c>
      <c r="B88" s="22" t="s">
        <v>3816</v>
      </c>
      <c r="C88" s="2">
        <v>1</v>
      </c>
      <c r="D88" s="23">
        <v>19.989999999999998</v>
      </c>
      <c r="E88" s="3">
        <v>19.989999999999998</v>
      </c>
      <c r="F88" s="2" t="s">
        <v>15440</v>
      </c>
      <c r="G88" s="22" t="s">
        <v>19955</v>
      </c>
      <c r="H88" s="24" t="s">
        <v>19542</v>
      </c>
      <c r="I88" s="22" t="s">
        <v>19309</v>
      </c>
      <c r="J88" s="22" t="s">
        <v>19849</v>
      </c>
      <c r="K88" s="22" t="s">
        <v>19850</v>
      </c>
      <c r="L88" s="22"/>
      <c r="M88" s="22"/>
      <c r="N88" s="25" t="str">
        <f>HYPERLINK("http://slimages.macys.com/is/image/MCY/20530634 ")</f>
        <v xml:space="preserve">http://slimages.macys.com/is/image/MCY/20530634 </v>
      </c>
    </row>
    <row r="89" spans="1:14" x14ac:dyDescent="0.25">
      <c r="A89" s="21" t="s">
        <v>8560</v>
      </c>
      <c r="B89" s="22" t="s">
        <v>8561</v>
      </c>
      <c r="C89" s="2">
        <v>1</v>
      </c>
      <c r="D89" s="23">
        <v>19.989999999999998</v>
      </c>
      <c r="E89" s="3">
        <v>19.989999999999998</v>
      </c>
      <c r="F89" s="2" t="s">
        <v>15998</v>
      </c>
      <c r="G89" s="22" t="s">
        <v>19342</v>
      </c>
      <c r="H89" s="24" t="s">
        <v>19478</v>
      </c>
      <c r="I89" s="22" t="s">
        <v>19309</v>
      </c>
      <c r="J89" s="22" t="s">
        <v>19696</v>
      </c>
      <c r="K89" s="22" t="s">
        <v>19965</v>
      </c>
      <c r="L89" s="22"/>
      <c r="M89" s="22"/>
      <c r="N89" s="25" t="str">
        <f>HYPERLINK("http://slimages.macys.com/is/image/MCY/20662562 ")</f>
        <v xml:space="preserve">http://slimages.macys.com/is/image/MCY/20662562 </v>
      </c>
    </row>
    <row r="90" spans="1:14" ht="24.75" x14ac:dyDescent="0.25">
      <c r="A90" s="21" t="s">
        <v>3817</v>
      </c>
      <c r="B90" s="22" t="s">
        <v>3818</v>
      </c>
      <c r="C90" s="2">
        <v>1</v>
      </c>
      <c r="D90" s="23">
        <v>17.989999999999998</v>
      </c>
      <c r="E90" s="3">
        <v>17.989999999999998</v>
      </c>
      <c r="F90" s="2" t="s">
        <v>3819</v>
      </c>
      <c r="G90" s="22" t="s">
        <v>19351</v>
      </c>
      <c r="H90" s="24" t="s">
        <v>19432</v>
      </c>
      <c r="I90" s="22" t="s">
        <v>19309</v>
      </c>
      <c r="J90" s="22" t="s">
        <v>19454</v>
      </c>
      <c r="K90" s="22" t="s">
        <v>19524</v>
      </c>
      <c r="L90" s="22"/>
      <c r="M90" s="22"/>
      <c r="N90" s="25" t="str">
        <f>HYPERLINK("http://slimages.macys.com/is/image/MCY/18798015 ")</f>
        <v xml:space="preserve">http://slimages.macys.com/is/image/MCY/18798015 </v>
      </c>
    </row>
    <row r="91" spans="1:14" ht="24.75" x14ac:dyDescent="0.25">
      <c r="A91" s="21" t="s">
        <v>3820</v>
      </c>
      <c r="B91" s="22" t="s">
        <v>3821</v>
      </c>
      <c r="C91" s="2">
        <v>3</v>
      </c>
      <c r="D91" s="23">
        <v>21.99</v>
      </c>
      <c r="E91" s="3">
        <v>65.97</v>
      </c>
      <c r="F91" s="2" t="s">
        <v>4711</v>
      </c>
      <c r="G91" s="22" t="s">
        <v>19342</v>
      </c>
      <c r="H91" s="24" t="s">
        <v>19324</v>
      </c>
      <c r="I91" s="22" t="s">
        <v>19309</v>
      </c>
      <c r="J91" s="22" t="s">
        <v>19491</v>
      </c>
      <c r="K91" s="22" t="s">
        <v>18064</v>
      </c>
      <c r="L91" s="22"/>
      <c r="M91" s="22"/>
      <c r="N91" s="25" t="str">
        <f>HYPERLINK("http://slimages.macys.com/is/image/MCY/21772886 ")</f>
        <v xml:space="preserve">http://slimages.macys.com/is/image/MCY/21772886 </v>
      </c>
    </row>
    <row r="92" spans="1:14" ht="24.75" x14ac:dyDescent="0.25">
      <c r="A92" s="21" t="s">
        <v>3822</v>
      </c>
      <c r="B92" s="22" t="s">
        <v>3823</v>
      </c>
      <c r="C92" s="2">
        <v>3</v>
      </c>
      <c r="D92" s="23">
        <v>14.99</v>
      </c>
      <c r="E92" s="3">
        <v>44.97</v>
      </c>
      <c r="F92" s="2" t="s">
        <v>17956</v>
      </c>
      <c r="G92" s="22" t="s">
        <v>19351</v>
      </c>
      <c r="H92" s="24" t="s">
        <v>19361</v>
      </c>
      <c r="I92" s="22" t="s">
        <v>19309</v>
      </c>
      <c r="J92" s="22" t="s">
        <v>19447</v>
      </c>
      <c r="K92" s="22" t="s">
        <v>13616</v>
      </c>
      <c r="L92" s="22"/>
      <c r="M92" s="22"/>
      <c r="N92" s="25" t="str">
        <f>HYPERLINK("http://slimages.macys.com/is/image/MCY/21256782 ")</f>
        <v xml:space="preserve">http://slimages.macys.com/is/image/MCY/21256782 </v>
      </c>
    </row>
    <row r="93" spans="1:14" ht="24.75" x14ac:dyDescent="0.25">
      <c r="A93" s="21" t="s">
        <v>4712</v>
      </c>
      <c r="B93" s="22" t="s">
        <v>4713</v>
      </c>
      <c r="C93" s="2">
        <v>1</v>
      </c>
      <c r="D93" s="23">
        <v>20</v>
      </c>
      <c r="E93" s="3">
        <v>20</v>
      </c>
      <c r="F93" s="2" t="s">
        <v>8255</v>
      </c>
      <c r="G93" s="22"/>
      <c r="H93" s="24" t="s">
        <v>19367</v>
      </c>
      <c r="I93" s="22" t="s">
        <v>19309</v>
      </c>
      <c r="J93" s="22" t="s">
        <v>19417</v>
      </c>
      <c r="K93" s="22" t="s">
        <v>19854</v>
      </c>
      <c r="L93" s="22"/>
      <c r="M93" s="22"/>
      <c r="N93" s="25" t="str">
        <f>HYPERLINK("http://slimages.macys.com/is/image/MCY/21363102 ")</f>
        <v xml:space="preserve">http://slimages.macys.com/is/image/MCY/21363102 </v>
      </c>
    </row>
    <row r="94" spans="1:14" ht="24.75" x14ac:dyDescent="0.25">
      <c r="A94" s="21" t="s">
        <v>8562</v>
      </c>
      <c r="B94" s="22" t="s">
        <v>8563</v>
      </c>
      <c r="C94" s="2">
        <v>1</v>
      </c>
      <c r="D94" s="23">
        <v>25</v>
      </c>
      <c r="E94" s="3">
        <v>25</v>
      </c>
      <c r="F94" s="2" t="s">
        <v>9527</v>
      </c>
      <c r="G94" s="22" t="s">
        <v>19333</v>
      </c>
      <c r="H94" s="24" t="s">
        <v>19352</v>
      </c>
      <c r="I94" s="22" t="s">
        <v>19309</v>
      </c>
      <c r="J94" s="22" t="s">
        <v>19559</v>
      </c>
      <c r="K94" s="22" t="s">
        <v>13057</v>
      </c>
      <c r="L94" s="22"/>
      <c r="M94" s="22"/>
      <c r="N94" s="25" t="str">
        <f>HYPERLINK("http://slimages.macys.com/is/image/MCY/21443646 ")</f>
        <v xml:space="preserve">http://slimages.macys.com/is/image/MCY/21443646 </v>
      </c>
    </row>
    <row r="95" spans="1:14" ht="24.75" x14ac:dyDescent="0.25">
      <c r="A95" s="21" t="s">
        <v>3824</v>
      </c>
      <c r="B95" s="22" t="s">
        <v>3825</v>
      </c>
      <c r="C95" s="2">
        <v>1</v>
      </c>
      <c r="D95" s="23">
        <v>14.99</v>
      </c>
      <c r="E95" s="3">
        <v>14.99</v>
      </c>
      <c r="F95" s="2">
        <v>5146</v>
      </c>
      <c r="G95" s="22" t="s">
        <v>19794</v>
      </c>
      <c r="H95" s="24"/>
      <c r="I95" s="22" t="s">
        <v>19309</v>
      </c>
      <c r="J95" s="22" t="s">
        <v>20076</v>
      </c>
      <c r="K95" s="22" t="s">
        <v>20250</v>
      </c>
      <c r="L95" s="22" t="s">
        <v>19319</v>
      </c>
      <c r="M95" s="22" t="s">
        <v>12712</v>
      </c>
      <c r="N95" s="25" t="str">
        <f>HYPERLINK("http://slimages.macys.com/is/image/MCY/17906940 ")</f>
        <v xml:space="preserve">http://slimages.macys.com/is/image/MCY/17906940 </v>
      </c>
    </row>
    <row r="96" spans="1:14" ht="24.75" x14ac:dyDescent="0.25">
      <c r="A96" s="21" t="s">
        <v>4716</v>
      </c>
      <c r="B96" s="22" t="s">
        <v>4717</v>
      </c>
      <c r="C96" s="2">
        <v>1</v>
      </c>
      <c r="D96" s="23">
        <v>20</v>
      </c>
      <c r="E96" s="3">
        <v>20</v>
      </c>
      <c r="F96" s="2" t="s">
        <v>10995</v>
      </c>
      <c r="G96" s="22" t="s">
        <v>19404</v>
      </c>
      <c r="H96" s="24" t="s">
        <v>19367</v>
      </c>
      <c r="I96" s="22" t="s">
        <v>19309</v>
      </c>
      <c r="J96" s="22" t="s">
        <v>19417</v>
      </c>
      <c r="K96" s="22" t="s">
        <v>19854</v>
      </c>
      <c r="L96" s="22"/>
      <c r="M96" s="22"/>
      <c r="N96" s="25" t="str">
        <f>HYPERLINK("http://slimages.macys.com/is/image/MCY/21370155 ")</f>
        <v xml:space="preserve">http://slimages.macys.com/is/image/MCY/21370155 </v>
      </c>
    </row>
    <row r="97" spans="1:14" ht="24.75" x14ac:dyDescent="0.25">
      <c r="A97" s="21" t="s">
        <v>8253</v>
      </c>
      <c r="B97" s="22" t="s">
        <v>8254</v>
      </c>
      <c r="C97" s="2">
        <v>2</v>
      </c>
      <c r="D97" s="23">
        <v>20</v>
      </c>
      <c r="E97" s="3">
        <v>40</v>
      </c>
      <c r="F97" s="2" t="s">
        <v>8255</v>
      </c>
      <c r="G97" s="22"/>
      <c r="H97" s="24" t="s">
        <v>20159</v>
      </c>
      <c r="I97" s="22" t="s">
        <v>19309</v>
      </c>
      <c r="J97" s="22" t="s">
        <v>19417</v>
      </c>
      <c r="K97" s="22" t="s">
        <v>19854</v>
      </c>
      <c r="L97" s="22"/>
      <c r="M97" s="22"/>
      <c r="N97" s="25" t="str">
        <f>HYPERLINK("http://slimages.macys.com/is/image/MCY/21363102 ")</f>
        <v xml:space="preserve">http://slimages.macys.com/is/image/MCY/21363102 </v>
      </c>
    </row>
    <row r="98" spans="1:14" x14ac:dyDescent="0.25">
      <c r="A98" s="21" t="s">
        <v>3826</v>
      </c>
      <c r="B98" s="22" t="s">
        <v>3827</v>
      </c>
      <c r="C98" s="2">
        <v>1</v>
      </c>
      <c r="D98" s="23">
        <v>18.66</v>
      </c>
      <c r="E98" s="3">
        <v>18.66</v>
      </c>
      <c r="F98" s="2" t="s">
        <v>3440</v>
      </c>
      <c r="G98" s="22" t="s">
        <v>19594</v>
      </c>
      <c r="H98" s="24" t="s">
        <v>20159</v>
      </c>
      <c r="I98" s="22" t="s">
        <v>19309</v>
      </c>
      <c r="J98" s="22" t="s">
        <v>19708</v>
      </c>
      <c r="K98" s="22" t="s">
        <v>19709</v>
      </c>
      <c r="L98" s="22"/>
      <c r="M98" s="22"/>
      <c r="N98" s="25" t="str">
        <f>HYPERLINK("http://slimages.macys.com/is/image/MCY/21414404 ")</f>
        <v xml:space="preserve">http://slimages.macys.com/is/image/MCY/21414404 </v>
      </c>
    </row>
    <row r="99" spans="1:14" x14ac:dyDescent="0.25">
      <c r="A99" s="21" t="s">
        <v>4723</v>
      </c>
      <c r="B99" s="22" t="s">
        <v>4724</v>
      </c>
      <c r="C99" s="2">
        <v>1</v>
      </c>
      <c r="D99" s="23">
        <v>18.2</v>
      </c>
      <c r="E99" s="3">
        <v>18.2</v>
      </c>
      <c r="F99" s="2" t="s">
        <v>4725</v>
      </c>
      <c r="G99" s="22"/>
      <c r="H99" s="24" t="s">
        <v>19367</v>
      </c>
      <c r="I99" s="22" t="s">
        <v>19309</v>
      </c>
      <c r="J99" s="22" t="s">
        <v>19708</v>
      </c>
      <c r="K99" s="22" t="s">
        <v>19709</v>
      </c>
      <c r="L99" s="22"/>
      <c r="M99" s="22"/>
      <c r="N99" s="25" t="str">
        <f>HYPERLINK("http://slimages.macys.com/is/image/MCY/21422978 ")</f>
        <v xml:space="preserve">http://slimages.macys.com/is/image/MCY/21422978 </v>
      </c>
    </row>
    <row r="100" spans="1:14" ht="24.75" x14ac:dyDescent="0.25">
      <c r="A100" s="21" t="s">
        <v>3828</v>
      </c>
      <c r="B100" s="22" t="s">
        <v>3829</v>
      </c>
      <c r="C100" s="2">
        <v>2</v>
      </c>
      <c r="D100" s="23">
        <v>15.99</v>
      </c>
      <c r="E100" s="3">
        <v>31.98</v>
      </c>
      <c r="F100" s="2" t="s">
        <v>3830</v>
      </c>
      <c r="G100" s="22" t="s">
        <v>19415</v>
      </c>
      <c r="H100" s="24" t="s">
        <v>20089</v>
      </c>
      <c r="I100" s="22" t="s">
        <v>19309</v>
      </c>
      <c r="J100" s="22" t="s">
        <v>19573</v>
      </c>
      <c r="K100" s="22" t="s">
        <v>19574</v>
      </c>
      <c r="L100" s="22"/>
      <c r="M100" s="22"/>
      <c r="N100" s="25" t="str">
        <f>HYPERLINK("http://slimages.macys.com/is/image/MCY/20757473 ")</f>
        <v xml:space="preserve">http://slimages.macys.com/is/image/MCY/20757473 </v>
      </c>
    </row>
    <row r="101" spans="1:14" ht="24.75" x14ac:dyDescent="0.25">
      <c r="A101" s="21" t="s">
        <v>3831</v>
      </c>
      <c r="B101" s="22" t="s">
        <v>3832</v>
      </c>
      <c r="C101" s="2">
        <v>7</v>
      </c>
      <c r="D101" s="23">
        <v>14.99</v>
      </c>
      <c r="E101" s="3">
        <v>104.93</v>
      </c>
      <c r="F101" s="2" t="s">
        <v>3833</v>
      </c>
      <c r="G101" s="22" t="s">
        <v>19333</v>
      </c>
      <c r="H101" s="24"/>
      <c r="I101" s="22" t="s">
        <v>19309</v>
      </c>
      <c r="J101" s="22" t="s">
        <v>19385</v>
      </c>
      <c r="K101" s="22" t="s">
        <v>3834</v>
      </c>
      <c r="L101" s="22"/>
      <c r="M101" s="22"/>
      <c r="N101" s="25" t="str">
        <f>HYPERLINK("http://slimages.macys.com/is/image/MCY/18591351 ")</f>
        <v xml:space="preserve">http://slimages.macys.com/is/image/MCY/18591351 </v>
      </c>
    </row>
    <row r="102" spans="1:14" ht="24.75" x14ac:dyDescent="0.25">
      <c r="A102" s="21" t="s">
        <v>3835</v>
      </c>
      <c r="B102" s="22" t="s">
        <v>3836</v>
      </c>
      <c r="C102" s="2">
        <v>1</v>
      </c>
      <c r="D102" s="23">
        <v>16.989999999999998</v>
      </c>
      <c r="E102" s="3">
        <v>16.989999999999998</v>
      </c>
      <c r="F102" s="2" t="s">
        <v>15490</v>
      </c>
      <c r="G102" s="22" t="s">
        <v>19814</v>
      </c>
      <c r="H102" s="24" t="s">
        <v>19432</v>
      </c>
      <c r="I102" s="22" t="s">
        <v>19309</v>
      </c>
      <c r="J102" s="22" t="s">
        <v>19815</v>
      </c>
      <c r="K102" s="22" t="s">
        <v>19816</v>
      </c>
      <c r="L102" s="22"/>
      <c r="M102" s="22"/>
      <c r="N102" s="25" t="str">
        <f>HYPERLINK("http://slimages.macys.com/is/image/MCY/20549879 ")</f>
        <v xml:space="preserve">http://slimages.macys.com/is/image/MCY/20549879 </v>
      </c>
    </row>
    <row r="103" spans="1:14" x14ac:dyDescent="0.25">
      <c r="A103" s="21" t="s">
        <v>11015</v>
      </c>
      <c r="B103" s="22" t="s">
        <v>11016</v>
      </c>
      <c r="C103" s="2">
        <v>12</v>
      </c>
      <c r="D103" s="23">
        <v>17.989999999999998</v>
      </c>
      <c r="E103" s="3">
        <v>215.88</v>
      </c>
      <c r="F103" s="2" t="s">
        <v>11012</v>
      </c>
      <c r="G103" s="22" t="s">
        <v>19342</v>
      </c>
      <c r="H103" s="24" t="s">
        <v>19392</v>
      </c>
      <c r="I103" s="22" t="s">
        <v>19309</v>
      </c>
      <c r="J103" s="22" t="s">
        <v>19696</v>
      </c>
      <c r="K103" s="22" t="s">
        <v>19697</v>
      </c>
      <c r="L103" s="22"/>
      <c r="M103" s="22"/>
      <c r="N103" s="25" t="str">
        <f>HYPERLINK("http://slimages.macys.com/is/image/MCY/21642765 ")</f>
        <v xml:space="preserve">http://slimages.macys.com/is/image/MCY/21642765 </v>
      </c>
    </row>
    <row r="104" spans="1:14" ht="24.75" x14ac:dyDescent="0.25">
      <c r="A104" s="21" t="s">
        <v>3447</v>
      </c>
      <c r="B104" s="22" t="s">
        <v>3448</v>
      </c>
      <c r="C104" s="2">
        <v>1</v>
      </c>
      <c r="D104" s="23">
        <v>16.989999999999998</v>
      </c>
      <c r="E104" s="3">
        <v>16.989999999999998</v>
      </c>
      <c r="F104" s="2" t="s">
        <v>3449</v>
      </c>
      <c r="G104" s="22" t="s">
        <v>19351</v>
      </c>
      <c r="H104" s="24" t="s">
        <v>19416</v>
      </c>
      <c r="I104" s="22" t="s">
        <v>19309</v>
      </c>
      <c r="J104" s="22" t="s">
        <v>19491</v>
      </c>
      <c r="K104" s="22" t="s">
        <v>20146</v>
      </c>
      <c r="L104" s="22"/>
      <c r="M104" s="22"/>
      <c r="N104" s="25" t="str">
        <f>HYPERLINK("http://slimages.macys.com/is/image/MCY/21260690 ")</f>
        <v xml:space="preserve">http://slimages.macys.com/is/image/MCY/21260690 </v>
      </c>
    </row>
    <row r="105" spans="1:14" ht="24.75" x14ac:dyDescent="0.25">
      <c r="A105" s="21" t="s">
        <v>8872</v>
      </c>
      <c r="B105" s="22" t="s">
        <v>8873</v>
      </c>
      <c r="C105" s="2">
        <v>28</v>
      </c>
      <c r="D105" s="23">
        <v>15.99</v>
      </c>
      <c r="E105" s="3">
        <v>447.72</v>
      </c>
      <c r="F105" s="2" t="s">
        <v>8874</v>
      </c>
      <c r="G105" s="22" t="s">
        <v>19351</v>
      </c>
      <c r="H105" s="24" t="s">
        <v>19907</v>
      </c>
      <c r="I105" s="22" t="s">
        <v>19309</v>
      </c>
      <c r="J105" s="22" t="s">
        <v>19573</v>
      </c>
      <c r="K105" s="22" t="s">
        <v>19574</v>
      </c>
      <c r="L105" s="22"/>
      <c r="M105" s="22"/>
      <c r="N105" s="25" t="str">
        <f>HYPERLINK("http://slimages.macys.com/is/image/MCY/21907847 ")</f>
        <v xml:space="preserve">http://slimages.macys.com/is/image/MCY/21907847 </v>
      </c>
    </row>
    <row r="106" spans="1:14" x14ac:dyDescent="0.25">
      <c r="A106" s="21" t="s">
        <v>18220</v>
      </c>
      <c r="B106" s="22" t="s">
        <v>18221</v>
      </c>
      <c r="C106" s="2">
        <v>8</v>
      </c>
      <c r="D106" s="23">
        <v>15.99</v>
      </c>
      <c r="E106" s="3">
        <v>127.92</v>
      </c>
      <c r="F106" s="2" t="s">
        <v>20223</v>
      </c>
      <c r="G106" s="22" t="s">
        <v>19674</v>
      </c>
      <c r="H106" s="24" t="s">
        <v>19377</v>
      </c>
      <c r="I106" s="22" t="s">
        <v>19309</v>
      </c>
      <c r="J106" s="22" t="s">
        <v>19849</v>
      </c>
      <c r="K106" s="22" t="s">
        <v>19850</v>
      </c>
      <c r="L106" s="22"/>
      <c r="M106" s="22"/>
      <c r="N106" s="25" t="str">
        <f>HYPERLINK("http://slimages.macys.com/is/image/MCY/20549380 ")</f>
        <v xml:space="preserve">http://slimages.macys.com/is/image/MCY/20549380 </v>
      </c>
    </row>
    <row r="107" spans="1:14" ht="24.75" x14ac:dyDescent="0.25">
      <c r="A107" s="21" t="s">
        <v>3452</v>
      </c>
      <c r="B107" s="22" t="s">
        <v>3453</v>
      </c>
      <c r="C107" s="2">
        <v>1</v>
      </c>
      <c r="D107" s="23">
        <v>22.5</v>
      </c>
      <c r="E107" s="3">
        <v>22.5</v>
      </c>
      <c r="F107" s="2" t="s">
        <v>3454</v>
      </c>
      <c r="G107" s="22" t="s">
        <v>19333</v>
      </c>
      <c r="H107" s="24"/>
      <c r="I107" s="22" t="s">
        <v>19309</v>
      </c>
      <c r="J107" s="22" t="s">
        <v>15149</v>
      </c>
      <c r="K107" s="22" t="s">
        <v>7355</v>
      </c>
      <c r="L107" s="22"/>
      <c r="M107" s="22"/>
      <c r="N107" s="25" t="str">
        <f>HYPERLINK("http://slimages.macys.com/is/image/MCY/20126906 ")</f>
        <v xml:space="preserve">http://slimages.macys.com/is/image/MCY/20126906 </v>
      </c>
    </row>
    <row r="108" spans="1:14" ht="24.75" x14ac:dyDescent="0.25">
      <c r="A108" s="21" t="s">
        <v>3837</v>
      </c>
      <c r="B108" s="22" t="s">
        <v>3838</v>
      </c>
      <c r="C108" s="2">
        <v>1</v>
      </c>
      <c r="D108" s="23">
        <v>15.99</v>
      </c>
      <c r="E108" s="3">
        <v>15.99</v>
      </c>
      <c r="F108" s="2" t="s">
        <v>12166</v>
      </c>
      <c r="G108" s="22" t="s">
        <v>19670</v>
      </c>
      <c r="H108" s="24" t="s">
        <v>20135</v>
      </c>
      <c r="I108" s="22" t="s">
        <v>19309</v>
      </c>
      <c r="J108" s="22" t="s">
        <v>19573</v>
      </c>
      <c r="K108" s="22" t="s">
        <v>19574</v>
      </c>
      <c r="L108" s="22"/>
      <c r="M108" s="22"/>
      <c r="N108" s="25" t="str">
        <f>HYPERLINK("http://slimages.macys.com/is/image/MCY/1520506 ")</f>
        <v xml:space="preserve">http://slimages.macys.com/is/image/MCY/1520506 </v>
      </c>
    </row>
    <row r="109" spans="1:14" x14ac:dyDescent="0.25">
      <c r="A109" s="21" t="s">
        <v>9549</v>
      </c>
      <c r="B109" s="22" t="s">
        <v>9550</v>
      </c>
      <c r="C109" s="2">
        <v>1</v>
      </c>
      <c r="D109" s="23">
        <v>32</v>
      </c>
      <c r="E109" s="3">
        <v>32</v>
      </c>
      <c r="F109" s="2" t="s">
        <v>11026</v>
      </c>
      <c r="G109" s="22" t="s">
        <v>19351</v>
      </c>
      <c r="H109" s="24" t="s">
        <v>19770</v>
      </c>
      <c r="I109" s="22" t="s">
        <v>19309</v>
      </c>
      <c r="J109" s="22" t="s">
        <v>19417</v>
      </c>
      <c r="K109" s="22" t="s">
        <v>20110</v>
      </c>
      <c r="L109" s="22"/>
      <c r="M109" s="22"/>
      <c r="N109" s="25" t="str">
        <f>HYPERLINK("http://slimages.macys.com/is/image/MCY/21551758 ")</f>
        <v xml:space="preserve">http://slimages.macys.com/is/image/MCY/21551758 </v>
      </c>
    </row>
    <row r="110" spans="1:14" x14ac:dyDescent="0.25">
      <c r="A110" s="21" t="s">
        <v>11024</v>
      </c>
      <c r="B110" s="22" t="s">
        <v>11025</v>
      </c>
      <c r="C110" s="2">
        <v>1</v>
      </c>
      <c r="D110" s="23">
        <v>32</v>
      </c>
      <c r="E110" s="3">
        <v>32</v>
      </c>
      <c r="F110" s="2" t="s">
        <v>11026</v>
      </c>
      <c r="G110" s="22" t="s">
        <v>19351</v>
      </c>
      <c r="H110" s="24" t="s">
        <v>19538</v>
      </c>
      <c r="I110" s="22" t="s">
        <v>19309</v>
      </c>
      <c r="J110" s="22" t="s">
        <v>19417</v>
      </c>
      <c r="K110" s="22" t="s">
        <v>20110</v>
      </c>
      <c r="L110" s="22"/>
      <c r="M110" s="22"/>
      <c r="N110" s="25" t="str">
        <f>HYPERLINK("http://slimages.macys.com/is/image/MCY/21400712 ")</f>
        <v xml:space="preserve">http://slimages.macys.com/is/image/MCY/21400712 </v>
      </c>
    </row>
    <row r="111" spans="1:14" x14ac:dyDescent="0.25">
      <c r="A111" s="21" t="s">
        <v>8094</v>
      </c>
      <c r="B111" s="22" t="s">
        <v>8095</v>
      </c>
      <c r="C111" s="2">
        <v>12</v>
      </c>
      <c r="D111" s="23">
        <v>17.989999999999998</v>
      </c>
      <c r="E111" s="3">
        <v>215.88</v>
      </c>
      <c r="F111" s="2" t="s">
        <v>8096</v>
      </c>
      <c r="G111" s="22" t="s">
        <v>19342</v>
      </c>
      <c r="H111" s="24" t="s">
        <v>19334</v>
      </c>
      <c r="I111" s="22" t="s">
        <v>19309</v>
      </c>
      <c r="J111" s="22" t="s">
        <v>19696</v>
      </c>
      <c r="K111" s="22" t="s">
        <v>19965</v>
      </c>
      <c r="L111" s="22"/>
      <c r="M111" s="22"/>
      <c r="N111" s="25" t="str">
        <f>HYPERLINK("http://slimages.macys.com/is/image/MCY/21820642 ")</f>
        <v xml:space="preserve">http://slimages.macys.com/is/image/MCY/21820642 </v>
      </c>
    </row>
    <row r="112" spans="1:14" x14ac:dyDescent="0.25">
      <c r="A112" s="21" t="s">
        <v>8584</v>
      </c>
      <c r="B112" s="22" t="s">
        <v>8585</v>
      </c>
      <c r="C112" s="2">
        <v>8</v>
      </c>
      <c r="D112" s="23">
        <v>22.5</v>
      </c>
      <c r="E112" s="3">
        <v>180</v>
      </c>
      <c r="F112" s="2" t="s">
        <v>9553</v>
      </c>
      <c r="G112" s="22" t="s">
        <v>19618</v>
      </c>
      <c r="H112" s="24" t="s">
        <v>19395</v>
      </c>
      <c r="I112" s="22" t="s">
        <v>19309</v>
      </c>
      <c r="J112" s="22" t="s">
        <v>19688</v>
      </c>
      <c r="K112" s="22" t="s">
        <v>19614</v>
      </c>
      <c r="L112" s="22"/>
      <c r="M112" s="22"/>
      <c r="N112" s="25" t="str">
        <f>HYPERLINK("http://slimages.macys.com/is/image/MCY/21035868 ")</f>
        <v xml:space="preserve">http://slimages.macys.com/is/image/MCY/21035868 </v>
      </c>
    </row>
    <row r="113" spans="1:14" ht="24.75" x14ac:dyDescent="0.25">
      <c r="A113" s="21" t="s">
        <v>9551</v>
      </c>
      <c r="B113" s="22" t="s">
        <v>9552</v>
      </c>
      <c r="C113" s="2">
        <v>2</v>
      </c>
      <c r="D113" s="23">
        <v>22.5</v>
      </c>
      <c r="E113" s="3">
        <v>45</v>
      </c>
      <c r="F113" s="2" t="s">
        <v>9553</v>
      </c>
      <c r="G113" s="22" t="s">
        <v>19618</v>
      </c>
      <c r="H113" s="24" t="s">
        <v>19334</v>
      </c>
      <c r="I113" s="22" t="s">
        <v>19309</v>
      </c>
      <c r="J113" s="22" t="s">
        <v>19688</v>
      </c>
      <c r="K113" s="22" t="s">
        <v>19614</v>
      </c>
      <c r="L113" s="22"/>
      <c r="M113" s="22"/>
      <c r="N113" s="25" t="str">
        <f>HYPERLINK("http://slimages.macys.com/is/image/MCY/21035866 ")</f>
        <v xml:space="preserve">http://slimages.macys.com/is/image/MCY/21035866 </v>
      </c>
    </row>
    <row r="114" spans="1:14" x14ac:dyDescent="0.25">
      <c r="A114" s="21" t="s">
        <v>8109</v>
      </c>
      <c r="B114" s="22" t="s">
        <v>8110</v>
      </c>
      <c r="C114" s="2">
        <v>13</v>
      </c>
      <c r="D114" s="23">
        <v>30</v>
      </c>
      <c r="E114" s="3">
        <v>390</v>
      </c>
      <c r="F114" s="2" t="s">
        <v>11047</v>
      </c>
      <c r="G114" s="22" t="s">
        <v>19594</v>
      </c>
      <c r="H114" s="24" t="s">
        <v>19384</v>
      </c>
      <c r="I114" s="22" t="s">
        <v>19309</v>
      </c>
      <c r="J114" s="22" t="s">
        <v>19417</v>
      </c>
      <c r="K114" s="22" t="s">
        <v>18317</v>
      </c>
      <c r="L114" s="22"/>
      <c r="M114" s="22"/>
      <c r="N114" s="25" t="str">
        <f>HYPERLINK("http://slimages.macys.com/is/image/MCY/21615012 ")</f>
        <v xml:space="preserve">http://slimages.macys.com/is/image/MCY/21615012 </v>
      </c>
    </row>
    <row r="115" spans="1:14" x14ac:dyDescent="0.25">
      <c r="A115" s="21" t="s">
        <v>12175</v>
      </c>
      <c r="B115" s="22" t="s">
        <v>12176</v>
      </c>
      <c r="C115" s="2">
        <v>15</v>
      </c>
      <c r="D115" s="23">
        <v>30</v>
      </c>
      <c r="E115" s="3">
        <v>450</v>
      </c>
      <c r="F115" s="2" t="s">
        <v>12177</v>
      </c>
      <c r="G115" s="22" t="s">
        <v>19357</v>
      </c>
      <c r="H115" s="24"/>
      <c r="I115" s="22" t="s">
        <v>19309</v>
      </c>
      <c r="J115" s="22" t="s">
        <v>19417</v>
      </c>
      <c r="K115" s="22" t="s">
        <v>18317</v>
      </c>
      <c r="L115" s="22"/>
      <c r="M115" s="22"/>
      <c r="N115" s="25" t="str">
        <f>HYPERLINK("http://slimages.macys.com/is/image/MCY/21615012 ")</f>
        <v xml:space="preserve">http://slimages.macys.com/is/image/MCY/21615012 </v>
      </c>
    </row>
    <row r="116" spans="1:14" x14ac:dyDescent="0.25">
      <c r="A116" s="21" t="s">
        <v>11048</v>
      </c>
      <c r="B116" s="22" t="s">
        <v>11049</v>
      </c>
      <c r="C116" s="2">
        <v>11</v>
      </c>
      <c r="D116" s="23">
        <v>30</v>
      </c>
      <c r="E116" s="3">
        <v>330</v>
      </c>
      <c r="F116" s="2" t="s">
        <v>11050</v>
      </c>
      <c r="G116" s="22" t="s">
        <v>19333</v>
      </c>
      <c r="H116" s="24" t="s">
        <v>19538</v>
      </c>
      <c r="I116" s="22" t="s">
        <v>19309</v>
      </c>
      <c r="J116" s="22" t="s">
        <v>19417</v>
      </c>
      <c r="K116" s="22" t="s">
        <v>18317</v>
      </c>
      <c r="L116" s="22"/>
      <c r="M116" s="22"/>
      <c r="N116" s="25" t="str">
        <f>HYPERLINK("http://slimages.macys.com/is/image/MCY/22226507 ")</f>
        <v xml:space="preserve">http://slimages.macys.com/is/image/MCY/22226507 </v>
      </c>
    </row>
    <row r="117" spans="1:14" x14ac:dyDescent="0.25">
      <c r="A117" s="21" t="s">
        <v>9554</v>
      </c>
      <c r="B117" s="22" t="s">
        <v>11043</v>
      </c>
      <c r="C117" s="2">
        <v>6</v>
      </c>
      <c r="D117" s="23">
        <v>30</v>
      </c>
      <c r="E117" s="3">
        <v>180</v>
      </c>
      <c r="F117" s="2" t="s">
        <v>11050</v>
      </c>
      <c r="G117" s="22" t="s">
        <v>19333</v>
      </c>
      <c r="H117" s="24"/>
      <c r="I117" s="22" t="s">
        <v>19309</v>
      </c>
      <c r="J117" s="22" t="s">
        <v>19417</v>
      </c>
      <c r="K117" s="22" t="s">
        <v>18317</v>
      </c>
      <c r="L117" s="22"/>
      <c r="M117" s="22"/>
      <c r="N117" s="25" t="str">
        <f>HYPERLINK("http://slimages.macys.com/is/image/MCY/22226507 ")</f>
        <v xml:space="preserve">http://slimages.macys.com/is/image/MCY/22226507 </v>
      </c>
    </row>
    <row r="118" spans="1:14" x14ac:dyDescent="0.25">
      <c r="A118" s="21" t="s">
        <v>11045</v>
      </c>
      <c r="B118" s="22" t="s">
        <v>11046</v>
      </c>
      <c r="C118" s="2">
        <v>6</v>
      </c>
      <c r="D118" s="23">
        <v>30</v>
      </c>
      <c r="E118" s="3">
        <v>180</v>
      </c>
      <c r="F118" s="2" t="s">
        <v>11047</v>
      </c>
      <c r="G118" s="22" t="s">
        <v>19594</v>
      </c>
      <c r="H118" s="24" t="s">
        <v>19538</v>
      </c>
      <c r="I118" s="22" t="s">
        <v>19309</v>
      </c>
      <c r="J118" s="22" t="s">
        <v>19417</v>
      </c>
      <c r="K118" s="22" t="s">
        <v>18317</v>
      </c>
      <c r="L118" s="22"/>
      <c r="M118" s="22"/>
      <c r="N118" s="25" t="str">
        <f>HYPERLINK("http://slimages.macys.com/is/image/MCY/21615012 ")</f>
        <v xml:space="preserve">http://slimages.macys.com/is/image/MCY/21615012 </v>
      </c>
    </row>
    <row r="119" spans="1:14" ht="24.75" x14ac:dyDescent="0.25">
      <c r="A119" s="21" t="s">
        <v>8889</v>
      </c>
      <c r="B119" s="22" t="s">
        <v>8890</v>
      </c>
      <c r="C119" s="2">
        <v>2</v>
      </c>
      <c r="D119" s="23">
        <v>24</v>
      </c>
      <c r="E119" s="3">
        <v>48</v>
      </c>
      <c r="F119" s="2" t="s">
        <v>8886</v>
      </c>
      <c r="G119" s="22" t="s">
        <v>19594</v>
      </c>
      <c r="H119" s="24" t="s">
        <v>19538</v>
      </c>
      <c r="I119" s="22" t="s">
        <v>19309</v>
      </c>
      <c r="J119" s="22" t="s">
        <v>19417</v>
      </c>
      <c r="K119" s="22" t="s">
        <v>20110</v>
      </c>
      <c r="L119" s="22"/>
      <c r="M119" s="22"/>
      <c r="N119" s="25" t="str">
        <f>HYPERLINK("http://slimages.macys.com/is/image/MCY/21551777 ")</f>
        <v xml:space="preserve">http://slimages.macys.com/is/image/MCY/21551777 </v>
      </c>
    </row>
    <row r="120" spans="1:14" x14ac:dyDescent="0.25">
      <c r="A120" s="21" t="s">
        <v>3839</v>
      </c>
      <c r="B120" s="22" t="s">
        <v>3840</v>
      </c>
      <c r="C120" s="2">
        <v>1</v>
      </c>
      <c r="D120" s="23">
        <v>30</v>
      </c>
      <c r="E120" s="3">
        <v>30</v>
      </c>
      <c r="F120" s="2" t="s">
        <v>12177</v>
      </c>
      <c r="G120" s="22" t="s">
        <v>19357</v>
      </c>
      <c r="H120" s="24" t="s">
        <v>19538</v>
      </c>
      <c r="I120" s="22" t="s">
        <v>19309</v>
      </c>
      <c r="J120" s="22" t="s">
        <v>19417</v>
      </c>
      <c r="K120" s="22" t="s">
        <v>18317</v>
      </c>
      <c r="L120" s="22"/>
      <c r="M120" s="22"/>
      <c r="N120" s="25" t="str">
        <f>HYPERLINK("http://slimages.macys.com/is/image/MCY/21615012 ")</f>
        <v xml:space="preserve">http://slimages.macys.com/is/image/MCY/21615012 </v>
      </c>
    </row>
    <row r="121" spans="1:14" ht="24.75" x14ac:dyDescent="0.25">
      <c r="A121" s="21" t="s">
        <v>3841</v>
      </c>
      <c r="B121" s="22" t="s">
        <v>3842</v>
      </c>
      <c r="C121" s="2">
        <v>1</v>
      </c>
      <c r="D121" s="23">
        <v>30</v>
      </c>
      <c r="E121" s="3">
        <v>30</v>
      </c>
      <c r="F121" s="2" t="s">
        <v>3843</v>
      </c>
      <c r="G121" s="22" t="s">
        <v>19879</v>
      </c>
      <c r="H121" s="24"/>
      <c r="I121" s="22" t="s">
        <v>19309</v>
      </c>
      <c r="J121" s="22" t="s">
        <v>19417</v>
      </c>
      <c r="K121" s="22" t="s">
        <v>18387</v>
      </c>
      <c r="L121" s="22"/>
      <c r="M121" s="22"/>
      <c r="N121" s="25" t="str">
        <f>HYPERLINK("http://slimages.macys.com/is/image/MCY/21530022 ")</f>
        <v xml:space="preserve">http://slimages.macys.com/is/image/MCY/21530022 </v>
      </c>
    </row>
    <row r="122" spans="1:14" x14ac:dyDescent="0.25">
      <c r="A122" s="21" t="s">
        <v>8887</v>
      </c>
      <c r="B122" s="22" t="s">
        <v>8888</v>
      </c>
      <c r="C122" s="2">
        <v>1</v>
      </c>
      <c r="D122" s="23">
        <v>24</v>
      </c>
      <c r="E122" s="3">
        <v>24</v>
      </c>
      <c r="F122" s="2" t="s">
        <v>8886</v>
      </c>
      <c r="G122" s="22" t="s">
        <v>19594</v>
      </c>
      <c r="H122" s="24" t="s">
        <v>19770</v>
      </c>
      <c r="I122" s="22" t="s">
        <v>19309</v>
      </c>
      <c r="J122" s="22" t="s">
        <v>19417</v>
      </c>
      <c r="K122" s="22" t="s">
        <v>20110</v>
      </c>
      <c r="L122" s="22"/>
      <c r="M122" s="22"/>
      <c r="N122" s="25" t="str">
        <f>HYPERLINK("http://slimages.macys.com/is/image/MCY/21551777 ")</f>
        <v xml:space="preserve">http://slimages.macys.com/is/image/MCY/21551777 </v>
      </c>
    </row>
    <row r="123" spans="1:14" x14ac:dyDescent="0.25">
      <c r="A123" s="21" t="s">
        <v>3844</v>
      </c>
      <c r="B123" s="22" t="s">
        <v>3845</v>
      </c>
      <c r="C123" s="2">
        <v>1</v>
      </c>
      <c r="D123" s="23">
        <v>30</v>
      </c>
      <c r="E123" s="3">
        <v>30</v>
      </c>
      <c r="F123" s="2" t="s">
        <v>3846</v>
      </c>
      <c r="G123" s="22" t="s">
        <v>19333</v>
      </c>
      <c r="H123" s="24" t="s">
        <v>19384</v>
      </c>
      <c r="I123" s="22" t="s">
        <v>19309</v>
      </c>
      <c r="J123" s="22" t="s">
        <v>19417</v>
      </c>
      <c r="K123" s="22" t="s">
        <v>18317</v>
      </c>
      <c r="L123" s="22"/>
      <c r="M123" s="22"/>
      <c r="N123" s="25" t="str">
        <f>HYPERLINK("http://slimages.macys.com/is/image/MCY/19891979 ")</f>
        <v xml:space="preserve">http://slimages.macys.com/is/image/MCY/19891979 </v>
      </c>
    </row>
    <row r="124" spans="1:14" x14ac:dyDescent="0.25">
      <c r="A124" s="21" t="s">
        <v>8107</v>
      </c>
      <c r="B124" s="22" t="s">
        <v>8108</v>
      </c>
      <c r="C124" s="2">
        <v>55</v>
      </c>
      <c r="D124" s="23">
        <v>30</v>
      </c>
      <c r="E124" s="3">
        <v>1650</v>
      </c>
      <c r="F124" s="2" t="s">
        <v>11047</v>
      </c>
      <c r="G124" s="22" t="s">
        <v>19594</v>
      </c>
      <c r="H124" s="24"/>
      <c r="I124" s="22" t="s">
        <v>19309</v>
      </c>
      <c r="J124" s="22" t="s">
        <v>19417</v>
      </c>
      <c r="K124" s="22" t="s">
        <v>18317</v>
      </c>
      <c r="L124" s="22"/>
      <c r="M124" s="22"/>
      <c r="N124" s="25" t="str">
        <f>HYPERLINK("http://slimages.macys.com/is/image/MCY/21615012 ")</f>
        <v xml:space="preserve">http://slimages.macys.com/is/image/MCY/21615012 </v>
      </c>
    </row>
    <row r="125" spans="1:14" ht="24.75" x14ac:dyDescent="0.25">
      <c r="A125" s="21" t="s">
        <v>8097</v>
      </c>
      <c r="B125" s="22" t="s">
        <v>8098</v>
      </c>
      <c r="C125" s="2">
        <v>13</v>
      </c>
      <c r="D125" s="23">
        <v>30</v>
      </c>
      <c r="E125" s="3">
        <v>390</v>
      </c>
      <c r="F125" s="2" t="s">
        <v>8099</v>
      </c>
      <c r="G125" s="22" t="s">
        <v>19333</v>
      </c>
      <c r="H125" s="24"/>
      <c r="I125" s="22" t="s">
        <v>19309</v>
      </c>
      <c r="J125" s="22" t="s">
        <v>19417</v>
      </c>
      <c r="K125" s="22" t="s">
        <v>18317</v>
      </c>
      <c r="L125" s="22"/>
      <c r="M125" s="22"/>
      <c r="N125" s="25" t="str">
        <f>HYPERLINK("http://slimages.macys.com/is/image/MCY/22226509 ")</f>
        <v xml:space="preserve">http://slimages.macys.com/is/image/MCY/22226509 </v>
      </c>
    </row>
    <row r="126" spans="1:14" x14ac:dyDescent="0.25">
      <c r="A126" s="21" t="s">
        <v>8100</v>
      </c>
      <c r="B126" s="22" t="s">
        <v>8101</v>
      </c>
      <c r="C126" s="2">
        <v>23</v>
      </c>
      <c r="D126" s="23">
        <v>30</v>
      </c>
      <c r="E126" s="3">
        <v>690</v>
      </c>
      <c r="F126" s="2" t="s">
        <v>8102</v>
      </c>
      <c r="G126" s="22"/>
      <c r="H126" s="24"/>
      <c r="I126" s="22" t="s">
        <v>19309</v>
      </c>
      <c r="J126" s="22" t="s">
        <v>19417</v>
      </c>
      <c r="K126" s="22" t="s">
        <v>18317</v>
      </c>
      <c r="L126" s="22"/>
      <c r="M126" s="22"/>
      <c r="N126" s="25" t="str">
        <f>HYPERLINK("http://slimages.macys.com/is/image/MCY/21615008 ")</f>
        <v xml:space="preserve">http://slimages.macys.com/is/image/MCY/21615008 </v>
      </c>
    </row>
    <row r="127" spans="1:14" x14ac:dyDescent="0.25">
      <c r="A127" s="21" t="s">
        <v>8272</v>
      </c>
      <c r="B127" s="22" t="s">
        <v>8273</v>
      </c>
      <c r="C127" s="2">
        <v>12</v>
      </c>
      <c r="D127" s="23">
        <v>30</v>
      </c>
      <c r="E127" s="3">
        <v>360</v>
      </c>
      <c r="F127" s="2" t="s">
        <v>8274</v>
      </c>
      <c r="G127" s="22" t="s">
        <v>19333</v>
      </c>
      <c r="H127" s="24" t="s">
        <v>19324</v>
      </c>
      <c r="I127" s="22" t="s">
        <v>19309</v>
      </c>
      <c r="J127" s="22" t="s">
        <v>19417</v>
      </c>
      <c r="K127" s="22" t="s">
        <v>18317</v>
      </c>
      <c r="L127" s="22"/>
      <c r="M127" s="22"/>
      <c r="N127" s="25" t="str">
        <f>HYPERLINK("http://slimages.macys.com/is/image/MCY/22226507 ")</f>
        <v xml:space="preserve">http://slimages.macys.com/is/image/MCY/22226507 </v>
      </c>
    </row>
    <row r="128" spans="1:14" ht="24.75" x14ac:dyDescent="0.25">
      <c r="A128" s="21" t="s">
        <v>4760</v>
      </c>
      <c r="B128" s="22" t="s">
        <v>4761</v>
      </c>
      <c r="C128" s="2">
        <v>1</v>
      </c>
      <c r="D128" s="23">
        <v>18.989999999999998</v>
      </c>
      <c r="E128" s="3">
        <v>18.989999999999998</v>
      </c>
      <c r="F128" s="2" t="s">
        <v>4762</v>
      </c>
      <c r="G128" s="22" t="s">
        <v>19670</v>
      </c>
      <c r="H128" s="24" t="s">
        <v>19377</v>
      </c>
      <c r="I128" s="22" t="s">
        <v>19309</v>
      </c>
      <c r="J128" s="22" t="s">
        <v>19595</v>
      </c>
      <c r="K128" s="22" t="s">
        <v>8263</v>
      </c>
      <c r="L128" s="22"/>
      <c r="M128" s="22"/>
      <c r="N128" s="25" t="str">
        <f>HYPERLINK("http://slimages.macys.com/is/image/MCY/20764055 ")</f>
        <v xml:space="preserve">http://slimages.macys.com/is/image/MCY/20764055 </v>
      </c>
    </row>
    <row r="129" spans="1:14" ht="24.75" x14ac:dyDescent="0.25">
      <c r="A129" s="21" t="s">
        <v>6820</v>
      </c>
      <c r="B129" s="22" t="s">
        <v>6821</v>
      </c>
      <c r="C129" s="2">
        <v>10</v>
      </c>
      <c r="D129" s="23">
        <v>16.989999999999998</v>
      </c>
      <c r="E129" s="3">
        <v>169.9</v>
      </c>
      <c r="F129" s="2" t="s">
        <v>11061</v>
      </c>
      <c r="G129" s="22" t="s">
        <v>19462</v>
      </c>
      <c r="H129" s="24" t="s">
        <v>19352</v>
      </c>
      <c r="I129" s="22" t="s">
        <v>19309</v>
      </c>
      <c r="J129" s="22" t="s">
        <v>19849</v>
      </c>
      <c r="K129" s="22" t="s">
        <v>19850</v>
      </c>
      <c r="L129" s="22"/>
      <c r="M129" s="22"/>
      <c r="N129" s="25" t="str">
        <f>HYPERLINK("http://slimages.macys.com/is/image/MCY/1553435 ")</f>
        <v xml:space="preserve">http://slimages.macys.com/is/image/MCY/1553435 </v>
      </c>
    </row>
    <row r="130" spans="1:14" x14ac:dyDescent="0.25">
      <c r="A130" s="21" t="s">
        <v>8434</v>
      </c>
      <c r="B130" s="22" t="s">
        <v>8435</v>
      </c>
      <c r="C130" s="2">
        <v>7</v>
      </c>
      <c r="D130" s="23">
        <v>16.989999999999998</v>
      </c>
      <c r="E130" s="3">
        <v>118.93</v>
      </c>
      <c r="F130" s="2" t="s">
        <v>11061</v>
      </c>
      <c r="G130" s="22" t="s">
        <v>19462</v>
      </c>
      <c r="H130" s="24" t="s">
        <v>19797</v>
      </c>
      <c r="I130" s="22" t="s">
        <v>19309</v>
      </c>
      <c r="J130" s="22" t="s">
        <v>19849</v>
      </c>
      <c r="K130" s="22" t="s">
        <v>19850</v>
      </c>
      <c r="L130" s="22"/>
      <c r="M130" s="22"/>
      <c r="N130" s="25" t="str">
        <f>HYPERLINK("http://slimages.macys.com/is/image/MCY/1553435 ")</f>
        <v xml:space="preserve">http://slimages.macys.com/is/image/MCY/1553435 </v>
      </c>
    </row>
    <row r="131" spans="1:14" x14ac:dyDescent="0.25">
      <c r="A131" s="21" t="s">
        <v>3847</v>
      </c>
      <c r="B131" s="22" t="s">
        <v>3848</v>
      </c>
      <c r="C131" s="2">
        <v>1</v>
      </c>
      <c r="D131" s="23">
        <v>12.78</v>
      </c>
      <c r="E131" s="3">
        <v>12.78</v>
      </c>
      <c r="F131" s="2" t="s">
        <v>3849</v>
      </c>
      <c r="G131" s="22" t="s">
        <v>19431</v>
      </c>
      <c r="H131" s="24" t="s">
        <v>18168</v>
      </c>
      <c r="I131" s="22" t="s">
        <v>19309</v>
      </c>
      <c r="J131" s="22" t="s">
        <v>19708</v>
      </c>
      <c r="K131" s="22" t="s">
        <v>19709</v>
      </c>
      <c r="L131" s="22"/>
      <c r="M131" s="22"/>
      <c r="N131" s="25" t="str">
        <f>HYPERLINK("http://slimages.macys.com/is/image/MCY/16974314 ")</f>
        <v xml:space="preserve">http://slimages.macys.com/is/image/MCY/16974314 </v>
      </c>
    </row>
    <row r="132" spans="1:14" ht="24.75" x14ac:dyDescent="0.25">
      <c r="A132" s="21" t="s">
        <v>8115</v>
      </c>
      <c r="B132" s="22" t="s">
        <v>8116</v>
      </c>
      <c r="C132" s="2">
        <v>22</v>
      </c>
      <c r="D132" s="23">
        <v>24.5</v>
      </c>
      <c r="E132" s="3">
        <v>539</v>
      </c>
      <c r="F132" s="2" t="s">
        <v>8113</v>
      </c>
      <c r="G132" s="22" t="s">
        <v>19618</v>
      </c>
      <c r="H132" s="24"/>
      <c r="I132" s="22" t="s">
        <v>19309</v>
      </c>
      <c r="J132" s="22" t="s">
        <v>19613</v>
      </c>
      <c r="K132" s="22" t="s">
        <v>19614</v>
      </c>
      <c r="L132" s="22"/>
      <c r="M132" s="22"/>
      <c r="N132" s="25" t="str">
        <f>HYPERLINK("http://slimages.macys.com/is/image/MCY/21035738 ")</f>
        <v xml:space="preserve">http://slimages.macys.com/is/image/MCY/21035738 </v>
      </c>
    </row>
    <row r="133" spans="1:14" ht="24.75" x14ac:dyDescent="0.25">
      <c r="A133" s="21" t="s">
        <v>8114</v>
      </c>
      <c r="B133" s="22" t="s">
        <v>19616</v>
      </c>
      <c r="C133" s="2">
        <v>4</v>
      </c>
      <c r="D133" s="23">
        <v>24.5</v>
      </c>
      <c r="E133" s="3">
        <v>98</v>
      </c>
      <c r="F133" s="2" t="s">
        <v>8113</v>
      </c>
      <c r="G133" s="22" t="s">
        <v>19618</v>
      </c>
      <c r="H133" s="24"/>
      <c r="I133" s="22" t="s">
        <v>19309</v>
      </c>
      <c r="J133" s="22" t="s">
        <v>19613</v>
      </c>
      <c r="K133" s="22" t="s">
        <v>19614</v>
      </c>
      <c r="L133" s="22"/>
      <c r="M133" s="22"/>
      <c r="N133" s="25" t="str">
        <f>HYPERLINK("http://slimages.macys.com/is/image/MCY/21035738 ")</f>
        <v xml:space="preserve">http://slimages.macys.com/is/image/MCY/21035738 </v>
      </c>
    </row>
    <row r="134" spans="1:14" ht="24.75" x14ac:dyDescent="0.25">
      <c r="A134" s="21" t="s">
        <v>8895</v>
      </c>
      <c r="B134" s="22" t="s">
        <v>8896</v>
      </c>
      <c r="C134" s="2">
        <v>7</v>
      </c>
      <c r="D134" s="23">
        <v>24.5</v>
      </c>
      <c r="E134" s="3">
        <v>171.5</v>
      </c>
      <c r="F134" s="2" t="s">
        <v>11069</v>
      </c>
      <c r="G134" s="22" t="s">
        <v>18764</v>
      </c>
      <c r="H134" s="24" t="s">
        <v>19395</v>
      </c>
      <c r="I134" s="22" t="s">
        <v>19309</v>
      </c>
      <c r="J134" s="22" t="s">
        <v>19688</v>
      </c>
      <c r="K134" s="22" t="s">
        <v>19614</v>
      </c>
      <c r="L134" s="22"/>
      <c r="M134" s="22"/>
      <c r="N134" s="25" t="str">
        <f>HYPERLINK("http://slimages.macys.com/is/image/MCY/21589145 ")</f>
        <v xml:space="preserve">http://slimages.macys.com/is/image/MCY/21589145 </v>
      </c>
    </row>
    <row r="135" spans="1:14" ht="24.75" x14ac:dyDescent="0.25">
      <c r="A135" s="21" t="s">
        <v>3466</v>
      </c>
      <c r="B135" s="22" t="s">
        <v>3467</v>
      </c>
      <c r="C135" s="2">
        <v>2</v>
      </c>
      <c r="D135" s="23">
        <v>24.5</v>
      </c>
      <c r="E135" s="3">
        <v>49</v>
      </c>
      <c r="F135" s="2" t="s">
        <v>4785</v>
      </c>
      <c r="G135" s="22" t="s">
        <v>18764</v>
      </c>
      <c r="H135" s="24" t="s">
        <v>19395</v>
      </c>
      <c r="I135" s="22" t="s">
        <v>19309</v>
      </c>
      <c r="J135" s="22" t="s">
        <v>19688</v>
      </c>
      <c r="K135" s="22" t="s">
        <v>19614</v>
      </c>
      <c r="L135" s="22"/>
      <c r="M135" s="22"/>
      <c r="N135" s="25" t="str">
        <f>HYPERLINK("http://slimages.macys.com/is/image/MCY/21965048 ")</f>
        <v xml:space="preserve">http://slimages.macys.com/is/image/MCY/21965048 </v>
      </c>
    </row>
    <row r="136" spans="1:14" ht="24.75" x14ac:dyDescent="0.25">
      <c r="A136" s="21" t="s">
        <v>3850</v>
      </c>
      <c r="B136" s="22" t="s">
        <v>3851</v>
      </c>
      <c r="C136" s="2">
        <v>1</v>
      </c>
      <c r="D136" s="23">
        <v>14.99</v>
      </c>
      <c r="E136" s="3">
        <v>14.99</v>
      </c>
      <c r="F136" s="2" t="s">
        <v>3852</v>
      </c>
      <c r="G136" s="22" t="s">
        <v>19315</v>
      </c>
      <c r="H136" s="24" t="s">
        <v>18139</v>
      </c>
      <c r="I136" s="22" t="s">
        <v>19309</v>
      </c>
      <c r="J136" s="22" t="s">
        <v>20076</v>
      </c>
      <c r="K136" s="22" t="s">
        <v>12029</v>
      </c>
      <c r="L136" s="22"/>
      <c r="M136" s="22"/>
      <c r="N136" s="25" t="str">
        <f>HYPERLINK("http://slimages.macys.com/is/image/MCY/20154536 ")</f>
        <v xml:space="preserve">http://slimages.macys.com/is/image/MCY/20154536 </v>
      </c>
    </row>
    <row r="137" spans="1:14" ht="24.75" x14ac:dyDescent="0.25">
      <c r="A137" s="21" t="s">
        <v>3853</v>
      </c>
      <c r="B137" s="22" t="s">
        <v>3854</v>
      </c>
      <c r="C137" s="2">
        <v>21</v>
      </c>
      <c r="D137" s="23">
        <v>14.99</v>
      </c>
      <c r="E137" s="3">
        <v>314.79000000000002</v>
      </c>
      <c r="F137" s="2">
        <v>4489</v>
      </c>
      <c r="G137" s="22" t="s">
        <v>19333</v>
      </c>
      <c r="H137" s="24" t="s">
        <v>19364</v>
      </c>
      <c r="I137" s="22" t="s">
        <v>19309</v>
      </c>
      <c r="J137" s="22" t="s">
        <v>20076</v>
      </c>
      <c r="K137" s="22" t="s">
        <v>20077</v>
      </c>
      <c r="L137" s="22"/>
      <c r="M137" s="22"/>
      <c r="N137" s="25" t="str">
        <f>HYPERLINK("http://slimages.macys.com/is/image/MCY/19348139 ")</f>
        <v xml:space="preserve">http://slimages.macys.com/is/image/MCY/19348139 </v>
      </c>
    </row>
    <row r="138" spans="1:14" x14ac:dyDescent="0.25">
      <c r="A138" s="21" t="s">
        <v>3855</v>
      </c>
      <c r="B138" s="22" t="s">
        <v>3856</v>
      </c>
      <c r="C138" s="2">
        <v>1</v>
      </c>
      <c r="D138" s="23">
        <v>15.99</v>
      </c>
      <c r="E138" s="3">
        <v>15.99</v>
      </c>
      <c r="F138" s="2" t="s">
        <v>3857</v>
      </c>
      <c r="G138" s="22" t="s">
        <v>19323</v>
      </c>
      <c r="H138" s="24" t="s">
        <v>19377</v>
      </c>
      <c r="I138" s="22" t="s">
        <v>19309</v>
      </c>
      <c r="J138" s="22" t="s">
        <v>19849</v>
      </c>
      <c r="K138" s="22" t="s">
        <v>12135</v>
      </c>
      <c r="L138" s="22"/>
      <c r="M138" s="22"/>
      <c r="N138" s="25" t="str">
        <f>HYPERLINK("http://slimages.macys.com/is/image/MCY/20008061 ")</f>
        <v xml:space="preserve">http://slimages.macys.com/is/image/MCY/20008061 </v>
      </c>
    </row>
    <row r="139" spans="1:14" ht="24.75" x14ac:dyDescent="0.25">
      <c r="A139" s="21" t="s">
        <v>3858</v>
      </c>
      <c r="B139" s="22" t="s">
        <v>3859</v>
      </c>
      <c r="C139" s="2">
        <v>1</v>
      </c>
      <c r="D139" s="23">
        <v>12.99</v>
      </c>
      <c r="E139" s="3">
        <v>12.99</v>
      </c>
      <c r="F139" s="2" t="s">
        <v>3860</v>
      </c>
      <c r="G139" s="22" t="s">
        <v>19342</v>
      </c>
      <c r="H139" s="24" t="s">
        <v>19339</v>
      </c>
      <c r="I139" s="22" t="s">
        <v>19309</v>
      </c>
      <c r="J139" s="22" t="s">
        <v>20076</v>
      </c>
      <c r="K139" s="22" t="s">
        <v>3861</v>
      </c>
      <c r="L139" s="22"/>
      <c r="M139" s="22"/>
      <c r="N139" s="25" t="str">
        <f>HYPERLINK("http://slimages.macys.com/is/image/MCY/16480138 ")</f>
        <v xml:space="preserve">http://slimages.macys.com/is/image/MCY/16480138 </v>
      </c>
    </row>
    <row r="140" spans="1:14" x14ac:dyDescent="0.25">
      <c r="A140" s="21" t="s">
        <v>8436</v>
      </c>
      <c r="B140" s="22" t="s">
        <v>8437</v>
      </c>
      <c r="C140" s="2">
        <v>4</v>
      </c>
      <c r="D140" s="23">
        <v>12.24</v>
      </c>
      <c r="E140" s="3">
        <v>48.96</v>
      </c>
      <c r="F140" s="2" t="s">
        <v>18287</v>
      </c>
      <c r="G140" s="22" t="s">
        <v>19323</v>
      </c>
      <c r="H140" s="24" t="s">
        <v>19770</v>
      </c>
      <c r="I140" s="22" t="s">
        <v>19309</v>
      </c>
      <c r="J140" s="22" t="s">
        <v>19708</v>
      </c>
      <c r="K140" s="22" t="s">
        <v>19709</v>
      </c>
      <c r="L140" s="22"/>
      <c r="M140" s="22"/>
      <c r="N140" s="25" t="str">
        <f>HYPERLINK("http://slimages.macys.com/is/image/MCY/21410161 ")</f>
        <v xml:space="preserve">http://slimages.macys.com/is/image/MCY/21410161 </v>
      </c>
    </row>
    <row r="141" spans="1:14" ht="24.75" x14ac:dyDescent="0.25">
      <c r="A141" s="21" t="s">
        <v>18362</v>
      </c>
      <c r="B141" s="22" t="s">
        <v>18363</v>
      </c>
      <c r="C141" s="2">
        <v>12</v>
      </c>
      <c r="D141" s="23">
        <v>14.99</v>
      </c>
      <c r="E141" s="3">
        <v>179.88</v>
      </c>
      <c r="F141" s="2" t="s">
        <v>18364</v>
      </c>
      <c r="G141" s="22" t="s">
        <v>19431</v>
      </c>
      <c r="H141" s="24"/>
      <c r="I141" s="22" t="s">
        <v>19309</v>
      </c>
      <c r="J141" s="22" t="s">
        <v>19573</v>
      </c>
      <c r="K141" s="22" t="s">
        <v>19574</v>
      </c>
      <c r="L141" s="22"/>
      <c r="M141" s="22"/>
      <c r="N141" s="25" t="str">
        <f>HYPERLINK("http://slimages.macys.com/is/image/MCY/1642503 ")</f>
        <v xml:space="preserve">http://slimages.macys.com/is/image/MCY/1642503 </v>
      </c>
    </row>
    <row r="142" spans="1:14" x14ac:dyDescent="0.25">
      <c r="A142" s="21" t="s">
        <v>3862</v>
      </c>
      <c r="B142" s="22" t="s">
        <v>3863</v>
      </c>
      <c r="C142" s="2">
        <v>1</v>
      </c>
      <c r="D142" s="23">
        <v>15.13</v>
      </c>
      <c r="E142" s="3">
        <v>15.13</v>
      </c>
      <c r="F142" s="2" t="s">
        <v>8903</v>
      </c>
      <c r="G142" s="22" t="s">
        <v>19431</v>
      </c>
      <c r="H142" s="24" t="s">
        <v>20159</v>
      </c>
      <c r="I142" s="22" t="s">
        <v>19309</v>
      </c>
      <c r="J142" s="22" t="s">
        <v>19708</v>
      </c>
      <c r="K142" s="22" t="s">
        <v>19709</v>
      </c>
      <c r="L142" s="22"/>
      <c r="M142" s="22"/>
      <c r="N142" s="25" t="str">
        <f>HYPERLINK("http://slimages.macys.com/is/image/MCY/21410411 ")</f>
        <v xml:space="preserve">http://slimages.macys.com/is/image/MCY/21410411 </v>
      </c>
    </row>
    <row r="143" spans="1:14" x14ac:dyDescent="0.25">
      <c r="A143" s="21" t="s">
        <v>4791</v>
      </c>
      <c r="B143" s="22" t="s">
        <v>4792</v>
      </c>
      <c r="C143" s="2">
        <v>1</v>
      </c>
      <c r="D143" s="23">
        <v>21.99</v>
      </c>
      <c r="E143" s="3">
        <v>21.99</v>
      </c>
      <c r="F143" s="2" t="s">
        <v>4793</v>
      </c>
      <c r="G143" s="22" t="s">
        <v>19315</v>
      </c>
      <c r="H143" s="24" t="s">
        <v>19364</v>
      </c>
      <c r="I143" s="22" t="s">
        <v>19309</v>
      </c>
      <c r="J143" s="22" t="s">
        <v>19849</v>
      </c>
      <c r="K143" s="22" t="s">
        <v>19850</v>
      </c>
      <c r="L143" s="22"/>
      <c r="M143" s="22"/>
      <c r="N143" s="25" t="str">
        <f>HYPERLINK("http://slimages.macys.com/is/image/MCY/19975551 ")</f>
        <v xml:space="preserve">http://slimages.macys.com/is/image/MCY/19975551 </v>
      </c>
    </row>
    <row r="144" spans="1:14" ht="24.75" x14ac:dyDescent="0.25">
      <c r="A144" s="21" t="s">
        <v>3864</v>
      </c>
      <c r="B144" s="22" t="s">
        <v>3865</v>
      </c>
      <c r="C144" s="2">
        <v>10</v>
      </c>
      <c r="D144" s="23">
        <v>13.22</v>
      </c>
      <c r="E144" s="3">
        <v>132.19999999999999</v>
      </c>
      <c r="F144" s="2" t="s">
        <v>10828</v>
      </c>
      <c r="G144" s="22"/>
      <c r="H144" s="24" t="s">
        <v>19345</v>
      </c>
      <c r="I144" s="22" t="s">
        <v>19309</v>
      </c>
      <c r="J144" s="22" t="s">
        <v>19602</v>
      </c>
      <c r="K144" s="22" t="s">
        <v>20041</v>
      </c>
      <c r="L144" s="22"/>
      <c r="M144" s="22"/>
      <c r="N144" s="25" t="str">
        <f>HYPERLINK("http://slimages.macys.com/is/image/MCY/21422104 ")</f>
        <v xml:space="preserve">http://slimages.macys.com/is/image/MCY/21422104 </v>
      </c>
    </row>
    <row r="145" spans="1:14" ht="24.75" x14ac:dyDescent="0.25">
      <c r="A145" s="21" t="s">
        <v>3477</v>
      </c>
      <c r="B145" s="22" t="s">
        <v>3478</v>
      </c>
      <c r="C145" s="2">
        <v>14</v>
      </c>
      <c r="D145" s="23">
        <v>22</v>
      </c>
      <c r="E145" s="3">
        <v>308</v>
      </c>
      <c r="F145" s="2" t="s">
        <v>16172</v>
      </c>
      <c r="G145" s="22" t="s">
        <v>19404</v>
      </c>
      <c r="H145" s="24"/>
      <c r="I145" s="22" t="s">
        <v>19309</v>
      </c>
      <c r="J145" s="22" t="s">
        <v>19417</v>
      </c>
      <c r="K145" s="22" t="s">
        <v>20110</v>
      </c>
      <c r="L145" s="22"/>
      <c r="M145" s="22"/>
      <c r="N145" s="25" t="str">
        <f>HYPERLINK("http://slimages.macys.com/is/image/MCY/21735554 ")</f>
        <v xml:space="preserve">http://slimages.macys.com/is/image/MCY/21735554 </v>
      </c>
    </row>
    <row r="146" spans="1:14" x14ac:dyDescent="0.25">
      <c r="A146" s="21" t="s">
        <v>3866</v>
      </c>
      <c r="B146" s="22" t="s">
        <v>3867</v>
      </c>
      <c r="C146" s="2">
        <v>27</v>
      </c>
      <c r="D146" s="23">
        <v>22</v>
      </c>
      <c r="E146" s="3">
        <v>594</v>
      </c>
      <c r="F146" s="2" t="s">
        <v>13796</v>
      </c>
      <c r="G146" s="22" t="s">
        <v>18439</v>
      </c>
      <c r="H146" s="24" t="s">
        <v>19770</v>
      </c>
      <c r="I146" s="22" t="s">
        <v>19309</v>
      </c>
      <c r="J146" s="22" t="s">
        <v>19417</v>
      </c>
      <c r="K146" s="22" t="s">
        <v>20110</v>
      </c>
      <c r="L146" s="22"/>
      <c r="M146" s="22"/>
      <c r="N146" s="25" t="str">
        <f>HYPERLINK("http://slimages.macys.com/is/image/MCY/21551774 ")</f>
        <v xml:space="preserve">http://slimages.macys.com/is/image/MCY/21551774 </v>
      </c>
    </row>
    <row r="147" spans="1:14" x14ac:dyDescent="0.25">
      <c r="A147" s="21" t="s">
        <v>11076</v>
      </c>
      <c r="B147" s="22" t="s">
        <v>11077</v>
      </c>
      <c r="C147" s="2">
        <v>12</v>
      </c>
      <c r="D147" s="23">
        <v>30</v>
      </c>
      <c r="E147" s="3">
        <v>360</v>
      </c>
      <c r="F147" s="2" t="s">
        <v>11078</v>
      </c>
      <c r="G147" s="22" t="s">
        <v>19333</v>
      </c>
      <c r="H147" s="24" t="s">
        <v>19968</v>
      </c>
      <c r="I147" s="22" t="s">
        <v>19309</v>
      </c>
      <c r="J147" s="22" t="s">
        <v>19417</v>
      </c>
      <c r="K147" s="22" t="s">
        <v>18317</v>
      </c>
      <c r="L147" s="22"/>
      <c r="M147" s="22"/>
      <c r="N147" s="25" t="str">
        <f>HYPERLINK("http://slimages.macys.com/is/image/MCY/21614931 ")</f>
        <v xml:space="preserve">http://slimages.macys.com/is/image/MCY/21614931 </v>
      </c>
    </row>
    <row r="148" spans="1:14" ht="24.75" x14ac:dyDescent="0.25">
      <c r="A148" s="21" t="s">
        <v>3479</v>
      </c>
      <c r="B148" s="22" t="s">
        <v>3480</v>
      </c>
      <c r="C148" s="2">
        <v>3</v>
      </c>
      <c r="D148" s="23">
        <v>14</v>
      </c>
      <c r="E148" s="3">
        <v>42</v>
      </c>
      <c r="F148" s="2" t="s">
        <v>3481</v>
      </c>
      <c r="G148" s="22" t="s">
        <v>19431</v>
      </c>
      <c r="H148" s="24"/>
      <c r="I148" s="22" t="s">
        <v>19309</v>
      </c>
      <c r="J148" s="22" t="s">
        <v>20076</v>
      </c>
      <c r="K148" s="22" t="s">
        <v>3482</v>
      </c>
      <c r="L148" s="22" t="s">
        <v>19319</v>
      </c>
      <c r="M148" s="22" t="s">
        <v>3483</v>
      </c>
      <c r="N148" s="25" t="str">
        <f>HYPERLINK("http://slimages.macys.com/is/image/MCY/16274670 ")</f>
        <v xml:space="preserve">http://slimages.macys.com/is/image/MCY/16274670 </v>
      </c>
    </row>
    <row r="149" spans="1:14" ht="24.75" x14ac:dyDescent="0.25">
      <c r="A149" s="21" t="s">
        <v>8121</v>
      </c>
      <c r="B149" s="22" t="s">
        <v>8122</v>
      </c>
      <c r="C149" s="2">
        <v>12</v>
      </c>
      <c r="D149" s="23">
        <v>30</v>
      </c>
      <c r="E149" s="3">
        <v>360</v>
      </c>
      <c r="F149" s="2" t="s">
        <v>18316</v>
      </c>
      <c r="G149" s="22" t="s">
        <v>19422</v>
      </c>
      <c r="H149" s="24"/>
      <c r="I149" s="22" t="s">
        <v>19309</v>
      </c>
      <c r="J149" s="22" t="s">
        <v>19417</v>
      </c>
      <c r="K149" s="22" t="s">
        <v>18317</v>
      </c>
      <c r="L149" s="22"/>
      <c r="M149" s="22"/>
      <c r="N149" s="25" t="str">
        <f>HYPERLINK("http://slimages.macys.com/is/image/MCY/21614910 ")</f>
        <v xml:space="preserve">http://slimages.macys.com/is/image/MCY/21614910 </v>
      </c>
    </row>
    <row r="150" spans="1:14" x14ac:dyDescent="0.25">
      <c r="A150" s="21" t="s">
        <v>8119</v>
      </c>
      <c r="B150" s="22" t="s">
        <v>8120</v>
      </c>
      <c r="C150" s="2">
        <v>16</v>
      </c>
      <c r="D150" s="23">
        <v>22</v>
      </c>
      <c r="E150" s="3">
        <v>352</v>
      </c>
      <c r="F150" s="2" t="s">
        <v>13796</v>
      </c>
      <c r="G150" s="22" t="s">
        <v>18439</v>
      </c>
      <c r="H150" s="24" t="s">
        <v>19538</v>
      </c>
      <c r="I150" s="22" t="s">
        <v>19309</v>
      </c>
      <c r="J150" s="22" t="s">
        <v>19417</v>
      </c>
      <c r="K150" s="22" t="s">
        <v>20110</v>
      </c>
      <c r="L150" s="22"/>
      <c r="M150" s="22"/>
      <c r="N150" s="25" t="str">
        <f>HYPERLINK("http://slimages.macys.com/is/image/MCY/21551774 ")</f>
        <v xml:space="preserve">http://slimages.macys.com/is/image/MCY/21551774 </v>
      </c>
    </row>
    <row r="151" spans="1:14" x14ac:dyDescent="0.25">
      <c r="A151" s="21" t="s">
        <v>8129</v>
      </c>
      <c r="B151" s="22" t="s">
        <v>8130</v>
      </c>
      <c r="C151" s="2">
        <v>16</v>
      </c>
      <c r="D151" s="23">
        <v>22.5</v>
      </c>
      <c r="E151" s="3">
        <v>360</v>
      </c>
      <c r="F151" s="2" t="s">
        <v>18338</v>
      </c>
      <c r="G151" s="22" t="s">
        <v>19351</v>
      </c>
      <c r="H151" s="24" t="s">
        <v>19542</v>
      </c>
      <c r="I151" s="22" t="s">
        <v>19309</v>
      </c>
      <c r="J151" s="22" t="s">
        <v>19688</v>
      </c>
      <c r="K151" s="22" t="s">
        <v>19614</v>
      </c>
      <c r="L151" s="22"/>
      <c r="M151" s="22"/>
      <c r="N151" s="25" t="str">
        <f>HYPERLINK("http://slimages.macys.com/is/image/MCY/21035864 ")</f>
        <v xml:space="preserve">http://slimages.macys.com/is/image/MCY/21035864 </v>
      </c>
    </row>
    <row r="152" spans="1:14" x14ac:dyDescent="0.25">
      <c r="A152" s="21" t="s">
        <v>8131</v>
      </c>
      <c r="B152" s="22" t="s">
        <v>8132</v>
      </c>
      <c r="C152" s="2">
        <v>1</v>
      </c>
      <c r="D152" s="23">
        <v>22.5</v>
      </c>
      <c r="E152" s="3">
        <v>22.5</v>
      </c>
      <c r="F152" s="2" t="s">
        <v>13234</v>
      </c>
      <c r="G152" s="22" t="s">
        <v>19351</v>
      </c>
      <c r="H152" s="24" t="s">
        <v>19542</v>
      </c>
      <c r="I152" s="22" t="s">
        <v>19309</v>
      </c>
      <c r="J152" s="22" t="s">
        <v>19688</v>
      </c>
      <c r="K152" s="22" t="s">
        <v>19614</v>
      </c>
      <c r="L152" s="22"/>
      <c r="M152" s="22"/>
      <c r="N152" s="25" t="str">
        <f>HYPERLINK("http://slimages.macys.com/is/image/MCY/21035872 ")</f>
        <v xml:space="preserve">http://slimages.macys.com/is/image/MCY/21035872 </v>
      </c>
    </row>
    <row r="153" spans="1:14" x14ac:dyDescent="0.25">
      <c r="A153" s="21" t="s">
        <v>13232</v>
      </c>
      <c r="B153" s="22" t="s">
        <v>13233</v>
      </c>
      <c r="C153" s="2">
        <v>10</v>
      </c>
      <c r="D153" s="23">
        <v>22.5</v>
      </c>
      <c r="E153" s="3">
        <v>225</v>
      </c>
      <c r="F153" s="2" t="s">
        <v>13234</v>
      </c>
      <c r="G153" s="22" t="s">
        <v>19351</v>
      </c>
      <c r="H153" s="24" t="s">
        <v>19395</v>
      </c>
      <c r="I153" s="22" t="s">
        <v>19309</v>
      </c>
      <c r="J153" s="22" t="s">
        <v>19688</v>
      </c>
      <c r="K153" s="22" t="s">
        <v>19614</v>
      </c>
      <c r="L153" s="22"/>
      <c r="M153" s="22"/>
      <c r="N153" s="25" t="str">
        <f>HYPERLINK("http://slimages.macys.com/is/image/MCY/21035872 ")</f>
        <v xml:space="preserve">http://slimages.macys.com/is/image/MCY/21035872 </v>
      </c>
    </row>
    <row r="154" spans="1:14" ht="24.75" x14ac:dyDescent="0.25">
      <c r="A154" s="21" t="s">
        <v>8123</v>
      </c>
      <c r="B154" s="22" t="s">
        <v>8124</v>
      </c>
      <c r="C154" s="2">
        <v>16</v>
      </c>
      <c r="D154" s="23">
        <v>22.5</v>
      </c>
      <c r="E154" s="3">
        <v>360</v>
      </c>
      <c r="F154" s="2" t="s">
        <v>13234</v>
      </c>
      <c r="G154" s="22" t="s">
        <v>19351</v>
      </c>
      <c r="H154" s="24" t="s">
        <v>19345</v>
      </c>
      <c r="I154" s="22" t="s">
        <v>19309</v>
      </c>
      <c r="J154" s="22" t="s">
        <v>19688</v>
      </c>
      <c r="K154" s="22" t="s">
        <v>19614</v>
      </c>
      <c r="L154" s="22"/>
      <c r="M154" s="22"/>
      <c r="N154" s="25" t="str">
        <f>HYPERLINK("http://slimages.macys.com/is/image/MCY/21035870 ")</f>
        <v xml:space="preserve">http://slimages.macys.com/is/image/MCY/21035870 </v>
      </c>
    </row>
    <row r="155" spans="1:14" x14ac:dyDescent="0.25">
      <c r="A155" s="21" t="s">
        <v>9587</v>
      </c>
      <c r="B155" s="22" t="s">
        <v>9588</v>
      </c>
      <c r="C155" s="2">
        <v>9</v>
      </c>
      <c r="D155" s="23">
        <v>22.5</v>
      </c>
      <c r="E155" s="3">
        <v>202.5</v>
      </c>
      <c r="F155" s="2" t="s">
        <v>13234</v>
      </c>
      <c r="G155" s="22" t="s">
        <v>19351</v>
      </c>
      <c r="H155" s="24" t="s">
        <v>19432</v>
      </c>
      <c r="I155" s="22" t="s">
        <v>19309</v>
      </c>
      <c r="J155" s="22" t="s">
        <v>19688</v>
      </c>
      <c r="K155" s="22" t="s">
        <v>19614</v>
      </c>
      <c r="L155" s="22"/>
      <c r="M155" s="22"/>
      <c r="N155" s="25" t="str">
        <f>HYPERLINK("http://slimages.macys.com/is/image/MCY/21035872 ")</f>
        <v xml:space="preserve">http://slimages.macys.com/is/image/MCY/21035872 </v>
      </c>
    </row>
    <row r="156" spans="1:14" ht="24.75" x14ac:dyDescent="0.25">
      <c r="A156" s="21" t="s">
        <v>9581</v>
      </c>
      <c r="B156" s="22" t="s">
        <v>9582</v>
      </c>
      <c r="C156" s="2">
        <v>4</v>
      </c>
      <c r="D156" s="23">
        <v>22.5</v>
      </c>
      <c r="E156" s="3">
        <v>90</v>
      </c>
      <c r="F156" s="2" t="s">
        <v>18338</v>
      </c>
      <c r="G156" s="22" t="s">
        <v>19351</v>
      </c>
      <c r="H156" s="24" t="s">
        <v>19345</v>
      </c>
      <c r="I156" s="22" t="s">
        <v>19309</v>
      </c>
      <c r="J156" s="22" t="s">
        <v>19688</v>
      </c>
      <c r="K156" s="22" t="s">
        <v>19614</v>
      </c>
      <c r="L156" s="22"/>
      <c r="M156" s="22"/>
      <c r="N156" s="25" t="str">
        <f>HYPERLINK("http://slimages.macys.com/is/image/MCY/21035862 ")</f>
        <v xml:space="preserve">http://slimages.macys.com/is/image/MCY/21035862 </v>
      </c>
    </row>
    <row r="157" spans="1:14" ht="24.75" x14ac:dyDescent="0.25">
      <c r="A157" s="21" t="s">
        <v>18336</v>
      </c>
      <c r="B157" s="22" t="s">
        <v>18337</v>
      </c>
      <c r="C157" s="2">
        <v>4</v>
      </c>
      <c r="D157" s="23">
        <v>22.5</v>
      </c>
      <c r="E157" s="3">
        <v>90</v>
      </c>
      <c r="F157" s="2" t="s">
        <v>18338</v>
      </c>
      <c r="G157" s="22" t="s">
        <v>19351</v>
      </c>
      <c r="H157" s="24" t="s">
        <v>19334</v>
      </c>
      <c r="I157" s="22" t="s">
        <v>19309</v>
      </c>
      <c r="J157" s="22" t="s">
        <v>19688</v>
      </c>
      <c r="K157" s="22" t="s">
        <v>19614</v>
      </c>
      <c r="L157" s="22"/>
      <c r="M157" s="22"/>
      <c r="N157" s="25" t="str">
        <f>HYPERLINK("http://slimages.macys.com/is/image/MCY/21035862 ")</f>
        <v xml:space="preserve">http://slimages.macys.com/is/image/MCY/21035862 </v>
      </c>
    </row>
    <row r="158" spans="1:14" x14ac:dyDescent="0.25">
      <c r="A158" s="21" t="s">
        <v>8127</v>
      </c>
      <c r="B158" s="22" t="s">
        <v>8128</v>
      </c>
      <c r="C158" s="2">
        <v>5</v>
      </c>
      <c r="D158" s="23">
        <v>22.5</v>
      </c>
      <c r="E158" s="3">
        <v>112.5</v>
      </c>
      <c r="F158" s="2" t="s">
        <v>18338</v>
      </c>
      <c r="G158" s="22" t="s">
        <v>19351</v>
      </c>
      <c r="H158" s="24" t="s">
        <v>19361</v>
      </c>
      <c r="I158" s="22" t="s">
        <v>19309</v>
      </c>
      <c r="J158" s="22" t="s">
        <v>19688</v>
      </c>
      <c r="K158" s="22" t="s">
        <v>19614</v>
      </c>
      <c r="L158" s="22"/>
      <c r="M158" s="22"/>
      <c r="N158" s="25" t="str">
        <f>HYPERLINK("http://slimages.macys.com/is/image/MCY/21035864 ")</f>
        <v xml:space="preserve">http://slimages.macys.com/is/image/MCY/21035864 </v>
      </c>
    </row>
    <row r="159" spans="1:14" ht="24.75" x14ac:dyDescent="0.25">
      <c r="A159" s="21" t="s">
        <v>8295</v>
      </c>
      <c r="B159" s="22" t="s">
        <v>8296</v>
      </c>
      <c r="C159" s="2">
        <v>10</v>
      </c>
      <c r="D159" s="23">
        <v>22.5</v>
      </c>
      <c r="E159" s="3">
        <v>225</v>
      </c>
      <c r="F159" s="2" t="s">
        <v>16184</v>
      </c>
      <c r="G159" s="22" t="s">
        <v>19528</v>
      </c>
      <c r="H159" s="24" t="s">
        <v>19395</v>
      </c>
      <c r="I159" s="22" t="s">
        <v>19309</v>
      </c>
      <c r="J159" s="22" t="s">
        <v>19688</v>
      </c>
      <c r="K159" s="22" t="s">
        <v>19614</v>
      </c>
      <c r="L159" s="22"/>
      <c r="M159" s="22"/>
      <c r="N159" s="25" t="str">
        <f>HYPERLINK("http://slimages.macys.com/is/image/MCY/21035886 ")</f>
        <v xml:space="preserve">http://slimages.macys.com/is/image/MCY/21035886 </v>
      </c>
    </row>
    <row r="160" spans="1:14" ht="24.75" x14ac:dyDescent="0.25">
      <c r="A160" s="21" t="s">
        <v>11085</v>
      </c>
      <c r="B160" s="22" t="s">
        <v>11086</v>
      </c>
      <c r="C160" s="2">
        <v>1</v>
      </c>
      <c r="D160" s="23">
        <v>22.5</v>
      </c>
      <c r="E160" s="3">
        <v>22.5</v>
      </c>
      <c r="F160" s="2" t="s">
        <v>13234</v>
      </c>
      <c r="G160" s="22" t="s">
        <v>19351</v>
      </c>
      <c r="H160" s="24" t="s">
        <v>19334</v>
      </c>
      <c r="I160" s="22" t="s">
        <v>19309</v>
      </c>
      <c r="J160" s="22" t="s">
        <v>19688</v>
      </c>
      <c r="K160" s="22" t="s">
        <v>19614</v>
      </c>
      <c r="L160" s="22"/>
      <c r="M160" s="22"/>
      <c r="N160" s="25" t="str">
        <f>HYPERLINK("http://slimages.macys.com/is/image/MCY/21035870 ")</f>
        <v xml:space="preserve">http://slimages.macys.com/is/image/MCY/21035870 </v>
      </c>
    </row>
    <row r="161" spans="1:14" x14ac:dyDescent="0.25">
      <c r="A161" s="21" t="s">
        <v>8125</v>
      </c>
      <c r="B161" s="22" t="s">
        <v>8126</v>
      </c>
      <c r="C161" s="2">
        <v>1</v>
      </c>
      <c r="D161" s="23">
        <v>22.5</v>
      </c>
      <c r="E161" s="3">
        <v>22.5</v>
      </c>
      <c r="F161" s="2" t="s">
        <v>13234</v>
      </c>
      <c r="G161" s="22" t="s">
        <v>19351</v>
      </c>
      <c r="H161" s="24" t="s">
        <v>19361</v>
      </c>
      <c r="I161" s="22" t="s">
        <v>19309</v>
      </c>
      <c r="J161" s="22" t="s">
        <v>19688</v>
      </c>
      <c r="K161" s="22" t="s">
        <v>19614</v>
      </c>
      <c r="L161" s="22"/>
      <c r="M161" s="22"/>
      <c r="N161" s="25" t="str">
        <f>HYPERLINK("http://slimages.macys.com/is/image/MCY/21035872 ")</f>
        <v xml:space="preserve">http://slimages.macys.com/is/image/MCY/21035872 </v>
      </c>
    </row>
    <row r="162" spans="1:14" x14ac:dyDescent="0.25">
      <c r="A162" s="21" t="s">
        <v>9583</v>
      </c>
      <c r="B162" s="22" t="s">
        <v>9584</v>
      </c>
      <c r="C162" s="2">
        <v>5</v>
      </c>
      <c r="D162" s="23">
        <v>22.5</v>
      </c>
      <c r="E162" s="3">
        <v>112.5</v>
      </c>
      <c r="F162" s="2" t="s">
        <v>18338</v>
      </c>
      <c r="G162" s="22" t="s">
        <v>19351</v>
      </c>
      <c r="H162" s="24" t="s">
        <v>19395</v>
      </c>
      <c r="I162" s="22" t="s">
        <v>19309</v>
      </c>
      <c r="J162" s="22" t="s">
        <v>19688</v>
      </c>
      <c r="K162" s="22" t="s">
        <v>19614</v>
      </c>
      <c r="L162" s="22"/>
      <c r="M162" s="22"/>
      <c r="N162" s="25" t="str">
        <f>HYPERLINK("http://slimages.macys.com/is/image/MCY/21035864 ")</f>
        <v xml:space="preserve">http://slimages.macys.com/is/image/MCY/21035864 </v>
      </c>
    </row>
    <row r="163" spans="1:14" x14ac:dyDescent="0.25">
      <c r="A163" s="21" t="s">
        <v>3868</v>
      </c>
      <c r="B163" s="22" t="s">
        <v>3869</v>
      </c>
      <c r="C163" s="2">
        <v>18</v>
      </c>
      <c r="D163" s="23">
        <v>22.5</v>
      </c>
      <c r="E163" s="3">
        <v>405</v>
      </c>
      <c r="F163" s="2" t="s">
        <v>9576</v>
      </c>
      <c r="G163" s="22" t="s">
        <v>19415</v>
      </c>
      <c r="H163" s="24" t="s">
        <v>19432</v>
      </c>
      <c r="I163" s="22" t="s">
        <v>19309</v>
      </c>
      <c r="J163" s="22" t="s">
        <v>19688</v>
      </c>
      <c r="K163" s="22" t="s">
        <v>19614</v>
      </c>
      <c r="L163" s="22"/>
      <c r="M163" s="22"/>
      <c r="N163" s="25" t="str">
        <f>HYPERLINK("http://slimages.macys.com/is/image/MCY/21035860 ")</f>
        <v xml:space="preserve">http://slimages.macys.com/is/image/MCY/21035860 </v>
      </c>
    </row>
    <row r="164" spans="1:14" x14ac:dyDescent="0.25">
      <c r="A164" s="21" t="s">
        <v>3488</v>
      </c>
      <c r="B164" s="22" t="s">
        <v>3489</v>
      </c>
      <c r="C164" s="2">
        <v>11</v>
      </c>
      <c r="D164" s="23">
        <v>19.989999999999998</v>
      </c>
      <c r="E164" s="3">
        <v>219.89</v>
      </c>
      <c r="F164" s="2" t="s">
        <v>18419</v>
      </c>
      <c r="G164" s="22" t="s">
        <v>19467</v>
      </c>
      <c r="H164" s="24" t="s">
        <v>20135</v>
      </c>
      <c r="I164" s="22" t="s">
        <v>19309</v>
      </c>
      <c r="J164" s="22" t="s">
        <v>19849</v>
      </c>
      <c r="K164" s="22" t="s">
        <v>19850</v>
      </c>
      <c r="L164" s="22"/>
      <c r="M164" s="22"/>
      <c r="N164" s="25" t="str">
        <f>HYPERLINK("http://slimages.macys.com/is/image/MCY/21270685 ")</f>
        <v xml:space="preserve">http://slimages.macys.com/is/image/MCY/21270685 </v>
      </c>
    </row>
    <row r="165" spans="1:14" x14ac:dyDescent="0.25">
      <c r="A165" s="21" t="s">
        <v>3870</v>
      </c>
      <c r="B165" s="22" t="s">
        <v>3871</v>
      </c>
      <c r="C165" s="2">
        <v>1</v>
      </c>
      <c r="D165" s="23">
        <v>13.99</v>
      </c>
      <c r="E165" s="3">
        <v>13.99</v>
      </c>
      <c r="F165" s="2" t="s">
        <v>9847</v>
      </c>
      <c r="G165" s="22" t="s">
        <v>19477</v>
      </c>
      <c r="H165" s="24" t="s">
        <v>19361</v>
      </c>
      <c r="I165" s="22" t="s">
        <v>19309</v>
      </c>
      <c r="J165" s="22" t="s">
        <v>19849</v>
      </c>
      <c r="K165" s="22" t="s">
        <v>19850</v>
      </c>
      <c r="L165" s="22"/>
      <c r="M165" s="22"/>
      <c r="N165" s="25" t="str">
        <f>HYPERLINK("http://slimages.macys.com/is/image/MCY/21270228 ")</f>
        <v xml:space="preserve">http://slimages.macys.com/is/image/MCY/21270228 </v>
      </c>
    </row>
    <row r="166" spans="1:14" ht="24.75" x14ac:dyDescent="0.25">
      <c r="A166" s="21" t="s">
        <v>13836</v>
      </c>
      <c r="B166" s="22" t="s">
        <v>13837</v>
      </c>
      <c r="C166" s="2">
        <v>8</v>
      </c>
      <c r="D166" s="23">
        <v>13.99</v>
      </c>
      <c r="E166" s="3">
        <v>111.92</v>
      </c>
      <c r="F166" s="2" t="s">
        <v>18470</v>
      </c>
      <c r="G166" s="22" t="s">
        <v>19351</v>
      </c>
      <c r="H166" s="24" t="s">
        <v>19538</v>
      </c>
      <c r="I166" s="22" t="s">
        <v>19309</v>
      </c>
      <c r="J166" s="22" t="s">
        <v>19573</v>
      </c>
      <c r="K166" s="22" t="s">
        <v>19574</v>
      </c>
      <c r="L166" s="22"/>
      <c r="M166" s="22"/>
      <c r="N166" s="25" t="str">
        <f>HYPERLINK("http://slimages.macys.com/is/image/MCY/21361742 ")</f>
        <v xml:space="preserve">http://slimages.macys.com/is/image/MCY/21361742 </v>
      </c>
    </row>
    <row r="167" spans="1:14" x14ac:dyDescent="0.25">
      <c r="A167" s="21" t="s">
        <v>3872</v>
      </c>
      <c r="B167" s="22" t="s">
        <v>3873</v>
      </c>
      <c r="C167" s="2">
        <v>1</v>
      </c>
      <c r="D167" s="23">
        <v>14.99</v>
      </c>
      <c r="E167" s="3">
        <v>14.99</v>
      </c>
      <c r="F167" s="2" t="s">
        <v>3874</v>
      </c>
      <c r="G167" s="22" t="s">
        <v>19422</v>
      </c>
      <c r="H167" s="24"/>
      <c r="I167" s="22" t="s">
        <v>19309</v>
      </c>
      <c r="J167" s="22" t="s">
        <v>19696</v>
      </c>
      <c r="K167" s="22" t="s">
        <v>15978</v>
      </c>
      <c r="L167" s="22"/>
      <c r="M167" s="22"/>
      <c r="N167" s="25" t="str">
        <f>HYPERLINK("http://slimages.macys.com/is/image/MCY/18705193 ")</f>
        <v xml:space="preserve">http://slimages.macys.com/is/image/MCY/18705193 </v>
      </c>
    </row>
    <row r="168" spans="1:14" x14ac:dyDescent="0.25">
      <c r="A168" s="21" t="s">
        <v>3502</v>
      </c>
      <c r="B168" s="22" t="s">
        <v>3503</v>
      </c>
      <c r="C168" s="2">
        <v>4</v>
      </c>
      <c r="D168" s="23">
        <v>20</v>
      </c>
      <c r="E168" s="3">
        <v>80</v>
      </c>
      <c r="F168" s="2" t="s">
        <v>3496</v>
      </c>
      <c r="G168" s="22"/>
      <c r="H168" s="24" t="s">
        <v>19416</v>
      </c>
      <c r="I168" s="22" t="s">
        <v>19309</v>
      </c>
      <c r="J168" s="22" t="s">
        <v>19708</v>
      </c>
      <c r="K168" s="22" t="s">
        <v>19709</v>
      </c>
      <c r="L168" s="22"/>
      <c r="M168" s="22"/>
      <c r="N168" s="25" t="str">
        <f>HYPERLINK("http://slimages.macys.com/is/image/MCY/21726737 ")</f>
        <v xml:space="preserve">http://slimages.macys.com/is/image/MCY/21726737 </v>
      </c>
    </row>
    <row r="169" spans="1:14" ht="24.75" x14ac:dyDescent="0.25">
      <c r="A169" s="21" t="s">
        <v>3875</v>
      </c>
      <c r="B169" s="22" t="s">
        <v>3876</v>
      </c>
      <c r="C169" s="2">
        <v>1</v>
      </c>
      <c r="D169" s="23">
        <v>12.11</v>
      </c>
      <c r="E169" s="3">
        <v>12.11</v>
      </c>
      <c r="F169" s="2" t="s">
        <v>3877</v>
      </c>
      <c r="G169" s="22" t="s">
        <v>19351</v>
      </c>
      <c r="H169" s="24" t="s">
        <v>19392</v>
      </c>
      <c r="I169" s="22" t="s">
        <v>19309</v>
      </c>
      <c r="J169" s="22" t="s">
        <v>19602</v>
      </c>
      <c r="K169" s="22" t="s">
        <v>20041</v>
      </c>
      <c r="L169" s="22"/>
      <c r="M169" s="22"/>
      <c r="N169" s="25" t="str">
        <f>HYPERLINK("http://slimages.macys.com/is/image/MCY/21669879 ")</f>
        <v xml:space="preserve">http://slimages.macys.com/is/image/MCY/21669879 </v>
      </c>
    </row>
    <row r="170" spans="1:14" ht="24.75" x14ac:dyDescent="0.25">
      <c r="A170" s="21" t="s">
        <v>3878</v>
      </c>
      <c r="B170" s="22" t="s">
        <v>3879</v>
      </c>
      <c r="C170" s="2">
        <v>1</v>
      </c>
      <c r="D170" s="23">
        <v>11.99</v>
      </c>
      <c r="E170" s="3">
        <v>11.99</v>
      </c>
      <c r="F170" s="2" t="s">
        <v>3880</v>
      </c>
      <c r="G170" s="22" t="s">
        <v>19351</v>
      </c>
      <c r="H170" s="24"/>
      <c r="I170" s="22" t="s">
        <v>19309</v>
      </c>
      <c r="J170" s="22" t="s">
        <v>20076</v>
      </c>
      <c r="K170" s="22" t="s">
        <v>3881</v>
      </c>
      <c r="L170" s="22"/>
      <c r="M170" s="22"/>
      <c r="N170" s="25" t="str">
        <f>HYPERLINK("http://slimages.macys.com/is/image/MCY/20332449 ")</f>
        <v xml:space="preserve">http://slimages.macys.com/is/image/MCY/20332449 </v>
      </c>
    </row>
    <row r="171" spans="1:14" ht="24.75" x14ac:dyDescent="0.25">
      <c r="A171" s="21" t="s">
        <v>3882</v>
      </c>
      <c r="B171" s="22" t="s">
        <v>3883</v>
      </c>
      <c r="C171" s="2">
        <v>1</v>
      </c>
      <c r="D171" s="23">
        <v>14.99</v>
      </c>
      <c r="E171" s="3">
        <v>14.99</v>
      </c>
      <c r="F171" s="2" t="s">
        <v>9891</v>
      </c>
      <c r="G171" s="22" t="s">
        <v>19814</v>
      </c>
      <c r="H171" s="24" t="s">
        <v>19352</v>
      </c>
      <c r="I171" s="22" t="s">
        <v>19309</v>
      </c>
      <c r="J171" s="22" t="s">
        <v>19353</v>
      </c>
      <c r="K171" s="22" t="s">
        <v>19524</v>
      </c>
      <c r="L171" s="22"/>
      <c r="M171" s="22"/>
      <c r="N171" s="25" t="str">
        <f>HYPERLINK("http://slimages.macys.com/is/image/MCY/19932860 ")</f>
        <v xml:space="preserve">http://slimages.macys.com/is/image/MCY/19932860 </v>
      </c>
    </row>
    <row r="172" spans="1:14" ht="24.75" x14ac:dyDescent="0.25">
      <c r="A172" s="21" t="s">
        <v>8135</v>
      </c>
      <c r="B172" s="22" t="s">
        <v>8136</v>
      </c>
      <c r="C172" s="2">
        <v>1</v>
      </c>
      <c r="D172" s="23">
        <v>13.99</v>
      </c>
      <c r="E172" s="3">
        <v>13.99</v>
      </c>
      <c r="F172" s="2" t="s">
        <v>9604</v>
      </c>
      <c r="G172" s="22" t="s">
        <v>19618</v>
      </c>
      <c r="H172" s="24" t="s">
        <v>19384</v>
      </c>
      <c r="I172" s="22" t="s">
        <v>19309</v>
      </c>
      <c r="J172" s="22" t="s">
        <v>19573</v>
      </c>
      <c r="K172" s="22" t="s">
        <v>19574</v>
      </c>
      <c r="L172" s="22"/>
      <c r="M172" s="22"/>
      <c r="N172" s="25" t="str">
        <f>HYPERLINK("http://slimages.macys.com/is/image/MCY/1554881 ")</f>
        <v xml:space="preserve">http://slimages.macys.com/is/image/MCY/1554881 </v>
      </c>
    </row>
    <row r="173" spans="1:14" ht="24.75" x14ac:dyDescent="0.25">
      <c r="A173" s="21" t="s">
        <v>3884</v>
      </c>
      <c r="B173" s="22" t="s">
        <v>3885</v>
      </c>
      <c r="C173" s="2">
        <v>1</v>
      </c>
      <c r="D173" s="23">
        <v>11.55</v>
      </c>
      <c r="E173" s="3">
        <v>11.55</v>
      </c>
      <c r="F173" s="2" t="s">
        <v>3886</v>
      </c>
      <c r="G173" s="22" t="s">
        <v>19415</v>
      </c>
      <c r="H173" s="24" t="s">
        <v>19352</v>
      </c>
      <c r="I173" s="22" t="s">
        <v>19309</v>
      </c>
      <c r="J173" s="22" t="s">
        <v>19565</v>
      </c>
      <c r="K173" s="22" t="s">
        <v>18548</v>
      </c>
      <c r="L173" s="22"/>
      <c r="M173" s="22"/>
      <c r="N173" s="25" t="str">
        <f>HYPERLINK("http://slimages.macys.com/is/image/MCY/21314524 ")</f>
        <v xml:space="preserve">http://slimages.macys.com/is/image/MCY/21314524 </v>
      </c>
    </row>
    <row r="174" spans="1:14" x14ac:dyDescent="0.25">
      <c r="A174" s="21" t="s">
        <v>3513</v>
      </c>
      <c r="B174" s="22" t="s">
        <v>3514</v>
      </c>
      <c r="C174" s="2">
        <v>11</v>
      </c>
      <c r="D174" s="23">
        <v>11.99</v>
      </c>
      <c r="E174" s="3">
        <v>131.88999999999999</v>
      </c>
      <c r="F174" s="2" t="s">
        <v>7712</v>
      </c>
      <c r="G174" s="22" t="s">
        <v>19477</v>
      </c>
      <c r="H174" s="24" t="s">
        <v>19364</v>
      </c>
      <c r="I174" s="22" t="s">
        <v>19309</v>
      </c>
      <c r="J174" s="22" t="s">
        <v>19849</v>
      </c>
      <c r="K174" s="22" t="s">
        <v>19850</v>
      </c>
      <c r="L174" s="22"/>
      <c r="M174" s="22"/>
      <c r="N174" s="25" t="str">
        <f>HYPERLINK("http://slimages.macys.com/is/image/MCY/20549602 ")</f>
        <v xml:space="preserve">http://slimages.macys.com/is/image/MCY/20549602 </v>
      </c>
    </row>
    <row r="175" spans="1:14" ht="24.75" x14ac:dyDescent="0.25">
      <c r="A175" s="21" t="s">
        <v>8308</v>
      </c>
      <c r="B175" s="22" t="s">
        <v>8309</v>
      </c>
      <c r="C175" s="2">
        <v>6</v>
      </c>
      <c r="D175" s="23">
        <v>13.99</v>
      </c>
      <c r="E175" s="3">
        <v>83.94</v>
      </c>
      <c r="F175" s="2" t="s">
        <v>18551</v>
      </c>
      <c r="G175" s="22" t="s">
        <v>19415</v>
      </c>
      <c r="H175" s="24" t="s">
        <v>19538</v>
      </c>
      <c r="I175" s="22" t="s">
        <v>19309</v>
      </c>
      <c r="J175" s="22" t="s">
        <v>19573</v>
      </c>
      <c r="K175" s="22" t="s">
        <v>19574</v>
      </c>
      <c r="L175" s="22"/>
      <c r="M175" s="22"/>
      <c r="N175" s="25" t="str">
        <f>HYPERLINK("http://slimages.macys.com/is/image/MCY/1619637 ")</f>
        <v xml:space="preserve">http://slimages.macys.com/is/image/MCY/1619637 </v>
      </c>
    </row>
    <row r="176" spans="1:14" ht="24.75" x14ac:dyDescent="0.25">
      <c r="A176" s="21" t="s">
        <v>16531</v>
      </c>
      <c r="B176" s="22" t="s">
        <v>16532</v>
      </c>
      <c r="C176" s="2">
        <v>1</v>
      </c>
      <c r="D176" s="23">
        <v>13.99</v>
      </c>
      <c r="E176" s="3">
        <v>13.99</v>
      </c>
      <c r="F176" s="2" t="s">
        <v>18551</v>
      </c>
      <c r="G176" s="22" t="s">
        <v>19467</v>
      </c>
      <c r="H176" s="24" t="s">
        <v>19324</v>
      </c>
      <c r="I176" s="22" t="s">
        <v>19309</v>
      </c>
      <c r="J176" s="22" t="s">
        <v>19573</v>
      </c>
      <c r="K176" s="22" t="s">
        <v>19574</v>
      </c>
      <c r="L176" s="22"/>
      <c r="M176" s="22"/>
      <c r="N176" s="25" t="str">
        <f>HYPERLINK("http://slimages.macys.com/is/image/MCY/21361645 ")</f>
        <v xml:space="preserve">http://slimages.macys.com/is/image/MCY/21361645 </v>
      </c>
    </row>
    <row r="177" spans="1:14" ht="24.75" x14ac:dyDescent="0.25">
      <c r="A177" s="21" t="s">
        <v>18554</v>
      </c>
      <c r="B177" s="22" t="s">
        <v>18555</v>
      </c>
      <c r="C177" s="2">
        <v>80</v>
      </c>
      <c r="D177" s="23">
        <v>13.99</v>
      </c>
      <c r="E177" s="3">
        <v>1119.2</v>
      </c>
      <c r="F177" s="2" t="s">
        <v>18551</v>
      </c>
      <c r="G177" s="22" t="s">
        <v>19415</v>
      </c>
      <c r="H177" s="24" t="s">
        <v>19384</v>
      </c>
      <c r="I177" s="22" t="s">
        <v>19309</v>
      </c>
      <c r="J177" s="22" t="s">
        <v>19573</v>
      </c>
      <c r="K177" s="22" t="s">
        <v>19574</v>
      </c>
      <c r="L177" s="22"/>
      <c r="M177" s="22"/>
      <c r="N177" s="25" t="str">
        <f>HYPERLINK("http://slimages.macys.com/is/image/MCY/21361645 ")</f>
        <v xml:space="preserve">http://slimages.macys.com/is/image/MCY/21361645 </v>
      </c>
    </row>
    <row r="178" spans="1:14" ht="24.75" x14ac:dyDescent="0.25">
      <c r="A178" s="21" t="s">
        <v>3887</v>
      </c>
      <c r="B178" s="22" t="s">
        <v>3888</v>
      </c>
      <c r="C178" s="2">
        <v>1</v>
      </c>
      <c r="D178" s="23">
        <v>8.99</v>
      </c>
      <c r="E178" s="3">
        <v>8.99</v>
      </c>
      <c r="F178" s="2" t="s">
        <v>4822</v>
      </c>
      <c r="G178" s="22" t="s">
        <v>20306</v>
      </c>
      <c r="H178" s="24" t="s">
        <v>19361</v>
      </c>
      <c r="I178" s="22" t="s">
        <v>19309</v>
      </c>
      <c r="J178" s="22" t="s">
        <v>19447</v>
      </c>
      <c r="K178" s="22" t="s">
        <v>20146</v>
      </c>
      <c r="L178" s="22"/>
      <c r="M178" s="22"/>
      <c r="N178" s="25" t="str">
        <f>HYPERLINK("http://slimages.macys.com/is/image/MCY/21550806 ")</f>
        <v xml:space="preserve">http://slimages.macys.com/is/image/MCY/21550806 </v>
      </c>
    </row>
    <row r="179" spans="1:14" ht="24.75" x14ac:dyDescent="0.25">
      <c r="A179" s="21" t="s">
        <v>8443</v>
      </c>
      <c r="B179" s="22" t="s">
        <v>8444</v>
      </c>
      <c r="C179" s="2">
        <v>8</v>
      </c>
      <c r="D179" s="23">
        <v>16.989999999999998</v>
      </c>
      <c r="E179" s="3">
        <v>135.91999999999999</v>
      </c>
      <c r="F179" s="2" t="s">
        <v>18581</v>
      </c>
      <c r="G179" s="22" t="s">
        <v>19333</v>
      </c>
      <c r="H179" s="24" t="s">
        <v>19432</v>
      </c>
      <c r="I179" s="22" t="s">
        <v>19309</v>
      </c>
      <c r="J179" s="22" t="s">
        <v>19454</v>
      </c>
      <c r="K179" s="22" t="s">
        <v>19524</v>
      </c>
      <c r="L179" s="22"/>
      <c r="M179" s="22"/>
      <c r="N179" s="25" t="str">
        <f>HYPERLINK("http://slimages.macys.com/is/image/MCY/21265927 ")</f>
        <v xml:space="preserve">http://slimages.macys.com/is/image/MCY/21265927 </v>
      </c>
    </row>
    <row r="180" spans="1:14" ht="24.75" x14ac:dyDescent="0.25">
      <c r="A180" s="21" t="s">
        <v>3889</v>
      </c>
      <c r="B180" s="22" t="s">
        <v>3890</v>
      </c>
      <c r="C180" s="2">
        <v>1</v>
      </c>
      <c r="D180" s="23">
        <v>10.56</v>
      </c>
      <c r="E180" s="3">
        <v>10.56</v>
      </c>
      <c r="F180" s="2" t="s">
        <v>3891</v>
      </c>
      <c r="G180" s="22" t="s">
        <v>19315</v>
      </c>
      <c r="H180" s="24" t="s">
        <v>19352</v>
      </c>
      <c r="I180" s="22" t="s">
        <v>19309</v>
      </c>
      <c r="J180" s="22" t="s">
        <v>19565</v>
      </c>
      <c r="K180" s="22" t="s">
        <v>18548</v>
      </c>
      <c r="L180" s="22"/>
      <c r="M180" s="22"/>
      <c r="N180" s="25" t="str">
        <f>HYPERLINK("http://slimages.macys.com/is/image/MCY/20866503 ")</f>
        <v xml:space="preserve">http://slimages.macys.com/is/image/MCY/20866503 </v>
      </c>
    </row>
    <row r="181" spans="1:14" ht="24.75" x14ac:dyDescent="0.25">
      <c r="A181" s="21" t="s">
        <v>3892</v>
      </c>
      <c r="B181" s="22" t="s">
        <v>3893</v>
      </c>
      <c r="C181" s="2">
        <v>1</v>
      </c>
      <c r="D181" s="23">
        <v>8.31</v>
      </c>
      <c r="E181" s="3">
        <v>8.31</v>
      </c>
      <c r="F181" s="2" t="s">
        <v>16569</v>
      </c>
      <c r="G181" s="22" t="s">
        <v>19383</v>
      </c>
      <c r="H181" s="24" t="s">
        <v>18530</v>
      </c>
      <c r="I181" s="22" t="s">
        <v>19309</v>
      </c>
      <c r="J181" s="22" t="s">
        <v>19514</v>
      </c>
      <c r="K181" s="22" t="s">
        <v>18514</v>
      </c>
      <c r="L181" s="22"/>
      <c r="M181" s="22"/>
      <c r="N181" s="25" t="str">
        <f>HYPERLINK("http://slimages.macys.com/is/image/MCY/20876630 ")</f>
        <v xml:space="preserve">http://slimages.macys.com/is/image/MCY/20876630 </v>
      </c>
    </row>
    <row r="182" spans="1:14" ht="24.75" x14ac:dyDescent="0.25">
      <c r="A182" s="21" t="s">
        <v>3894</v>
      </c>
      <c r="B182" s="22" t="s">
        <v>3895</v>
      </c>
      <c r="C182" s="2">
        <v>1</v>
      </c>
      <c r="D182" s="23">
        <v>11.1</v>
      </c>
      <c r="E182" s="3">
        <v>11.1</v>
      </c>
      <c r="F182" s="2" t="s">
        <v>3896</v>
      </c>
      <c r="G182" s="22" t="s">
        <v>19315</v>
      </c>
      <c r="H182" s="24"/>
      <c r="I182" s="22" t="s">
        <v>19309</v>
      </c>
      <c r="J182" s="22" t="s">
        <v>19602</v>
      </c>
      <c r="K182" s="22" t="s">
        <v>20041</v>
      </c>
      <c r="L182" s="22"/>
      <c r="M182" s="22"/>
      <c r="N182" s="25" t="str">
        <f>HYPERLINK("http://slimages.macys.com/is/image/MCY/19847035 ")</f>
        <v xml:space="preserve">http://slimages.macys.com/is/image/MCY/19847035 </v>
      </c>
    </row>
    <row r="183" spans="1:14" ht="24.75" x14ac:dyDescent="0.25">
      <c r="A183" s="21" t="s">
        <v>9610</v>
      </c>
      <c r="B183" s="22" t="s">
        <v>9611</v>
      </c>
      <c r="C183" s="2">
        <v>1</v>
      </c>
      <c r="D183" s="23">
        <v>10.91</v>
      </c>
      <c r="E183" s="3">
        <v>10.91</v>
      </c>
      <c r="F183" s="2" t="s">
        <v>9612</v>
      </c>
      <c r="G183" s="22" t="s">
        <v>19635</v>
      </c>
      <c r="H183" s="24" t="s">
        <v>19334</v>
      </c>
      <c r="I183" s="22" t="s">
        <v>19309</v>
      </c>
      <c r="J183" s="22" t="s">
        <v>19602</v>
      </c>
      <c r="K183" s="22" t="s">
        <v>20041</v>
      </c>
      <c r="L183" s="22"/>
      <c r="M183" s="22"/>
      <c r="N183" s="25" t="str">
        <f>HYPERLINK("http://slimages.macys.com/is/image/MCY/21669854 ")</f>
        <v xml:space="preserve">http://slimages.macys.com/is/image/MCY/21669854 </v>
      </c>
    </row>
    <row r="184" spans="1:14" ht="24.75" x14ac:dyDescent="0.25">
      <c r="A184" s="21" t="s">
        <v>16277</v>
      </c>
      <c r="B184" s="22" t="s">
        <v>16278</v>
      </c>
      <c r="C184" s="2">
        <v>10</v>
      </c>
      <c r="D184" s="23">
        <v>10.91</v>
      </c>
      <c r="E184" s="3">
        <v>109.1</v>
      </c>
      <c r="F184" s="2" t="s">
        <v>16279</v>
      </c>
      <c r="G184" s="22" t="s">
        <v>19351</v>
      </c>
      <c r="H184" s="24" t="s">
        <v>19345</v>
      </c>
      <c r="I184" s="22" t="s">
        <v>19309</v>
      </c>
      <c r="J184" s="22" t="s">
        <v>19602</v>
      </c>
      <c r="K184" s="22" t="s">
        <v>20041</v>
      </c>
      <c r="L184" s="22"/>
      <c r="M184" s="22"/>
      <c r="N184" s="25" t="str">
        <f>HYPERLINK("http://slimages.macys.com/is/image/MCY/21669854 ")</f>
        <v xml:space="preserve">http://slimages.macys.com/is/image/MCY/21669854 </v>
      </c>
    </row>
    <row r="185" spans="1:14" ht="24.75" x14ac:dyDescent="0.25">
      <c r="A185" s="21" t="s">
        <v>16600</v>
      </c>
      <c r="B185" s="22" t="s">
        <v>16601</v>
      </c>
      <c r="C185" s="2">
        <v>14</v>
      </c>
      <c r="D185" s="23">
        <v>10.91</v>
      </c>
      <c r="E185" s="3">
        <v>152.74</v>
      </c>
      <c r="F185" s="2" t="s">
        <v>16602</v>
      </c>
      <c r="G185" s="22" t="s">
        <v>19357</v>
      </c>
      <c r="H185" s="24" t="s">
        <v>19334</v>
      </c>
      <c r="I185" s="22" t="s">
        <v>19309</v>
      </c>
      <c r="J185" s="22" t="s">
        <v>19602</v>
      </c>
      <c r="K185" s="22" t="s">
        <v>20041</v>
      </c>
      <c r="L185" s="22"/>
      <c r="M185" s="22"/>
      <c r="N185" s="25" t="str">
        <f>HYPERLINK("http://slimages.macys.com/is/image/MCY/21723141 ")</f>
        <v xml:space="preserve">http://slimages.macys.com/is/image/MCY/21723141 </v>
      </c>
    </row>
    <row r="186" spans="1:14" x14ac:dyDescent="0.25">
      <c r="A186" s="21" t="s">
        <v>3897</v>
      </c>
      <c r="B186" s="22" t="s">
        <v>3898</v>
      </c>
      <c r="C186" s="2">
        <v>1</v>
      </c>
      <c r="D186" s="23">
        <v>13.27</v>
      </c>
      <c r="E186" s="3">
        <v>13.27</v>
      </c>
      <c r="F186" s="2" t="s">
        <v>3899</v>
      </c>
      <c r="G186" s="22"/>
      <c r="H186" s="24" t="s">
        <v>19330</v>
      </c>
      <c r="I186" s="22" t="s">
        <v>19309</v>
      </c>
      <c r="J186" s="22" t="s">
        <v>19708</v>
      </c>
      <c r="K186" s="22" t="s">
        <v>19754</v>
      </c>
      <c r="L186" s="22"/>
      <c r="M186" s="22"/>
      <c r="N186" s="25" t="str">
        <f>HYPERLINK("http://slimages.macys.com/is/image/MCY/21414723 ")</f>
        <v xml:space="preserve">http://slimages.macys.com/is/image/MCY/21414723 </v>
      </c>
    </row>
    <row r="187" spans="1:14" x14ac:dyDescent="0.25">
      <c r="A187" s="21" t="s">
        <v>9617</v>
      </c>
      <c r="B187" s="22" t="s">
        <v>9618</v>
      </c>
      <c r="C187" s="2">
        <v>1</v>
      </c>
      <c r="D187" s="23">
        <v>18</v>
      </c>
      <c r="E187" s="3">
        <v>18</v>
      </c>
      <c r="F187" s="2" t="s">
        <v>11217</v>
      </c>
      <c r="G187" s="22" t="s">
        <v>19431</v>
      </c>
      <c r="H187" s="24" t="s">
        <v>19324</v>
      </c>
      <c r="I187" s="22" t="s">
        <v>19309</v>
      </c>
      <c r="J187" s="22" t="s">
        <v>19708</v>
      </c>
      <c r="K187" s="22" t="s">
        <v>19709</v>
      </c>
      <c r="L187" s="22"/>
      <c r="M187" s="22"/>
      <c r="N187" s="25" t="str">
        <f>HYPERLINK("http://slimages.macys.com/is/image/MCY/21726788 ")</f>
        <v xml:space="preserve">http://slimages.macys.com/is/image/MCY/21726788 </v>
      </c>
    </row>
    <row r="188" spans="1:14" ht="24.75" x14ac:dyDescent="0.25">
      <c r="A188" s="21" t="s">
        <v>3517</v>
      </c>
      <c r="B188" s="22" t="s">
        <v>3518</v>
      </c>
      <c r="C188" s="2">
        <v>1</v>
      </c>
      <c r="D188" s="23">
        <v>10.91</v>
      </c>
      <c r="E188" s="3">
        <v>10.91</v>
      </c>
      <c r="F188" s="2" t="s">
        <v>16279</v>
      </c>
      <c r="G188" s="22" t="s">
        <v>19351</v>
      </c>
      <c r="H188" s="24"/>
      <c r="I188" s="22" t="s">
        <v>19309</v>
      </c>
      <c r="J188" s="22" t="s">
        <v>19602</v>
      </c>
      <c r="K188" s="22" t="s">
        <v>20041</v>
      </c>
      <c r="L188" s="22"/>
      <c r="M188" s="22"/>
      <c r="N188" s="25" t="str">
        <f>HYPERLINK("http://slimages.macys.com/is/image/MCY/21669854 ")</f>
        <v xml:space="preserve">http://slimages.macys.com/is/image/MCY/21669854 </v>
      </c>
    </row>
    <row r="189" spans="1:14" x14ac:dyDescent="0.25">
      <c r="A189" s="21" t="s">
        <v>3519</v>
      </c>
      <c r="B189" s="22" t="s">
        <v>3520</v>
      </c>
      <c r="C189" s="2">
        <v>5</v>
      </c>
      <c r="D189" s="23">
        <v>11.99</v>
      </c>
      <c r="E189" s="3">
        <v>59.95</v>
      </c>
      <c r="F189" s="2" t="s">
        <v>3521</v>
      </c>
      <c r="G189" s="22" t="s">
        <v>19315</v>
      </c>
      <c r="H189" s="24" t="s">
        <v>19364</v>
      </c>
      <c r="I189" s="22" t="s">
        <v>19309</v>
      </c>
      <c r="J189" s="22" t="s">
        <v>19849</v>
      </c>
      <c r="K189" s="22" t="s">
        <v>19850</v>
      </c>
      <c r="L189" s="22"/>
      <c r="M189" s="22"/>
      <c r="N189" s="25" t="str">
        <f>HYPERLINK("http://slimages.macys.com/is/image/MCY/21396617 ")</f>
        <v xml:space="preserve">http://slimages.macys.com/is/image/MCY/21396617 </v>
      </c>
    </row>
    <row r="190" spans="1:14" x14ac:dyDescent="0.25">
      <c r="A190" s="21" t="s">
        <v>16625</v>
      </c>
      <c r="B190" s="22" t="s">
        <v>16626</v>
      </c>
      <c r="C190" s="2">
        <v>8</v>
      </c>
      <c r="D190" s="23">
        <v>16.989999999999998</v>
      </c>
      <c r="E190" s="3">
        <v>135.91999999999999</v>
      </c>
      <c r="F190" s="2" t="s">
        <v>18666</v>
      </c>
      <c r="G190" s="22" t="s">
        <v>19477</v>
      </c>
      <c r="H190" s="24" t="s">
        <v>19364</v>
      </c>
      <c r="I190" s="22" t="s">
        <v>19309</v>
      </c>
      <c r="J190" s="22" t="s">
        <v>19849</v>
      </c>
      <c r="K190" s="22" t="s">
        <v>19850</v>
      </c>
      <c r="L190" s="22"/>
      <c r="M190" s="22"/>
      <c r="N190" s="25" t="str">
        <f>HYPERLINK("http://slimages.macys.com/is/image/MCY/20549559 ")</f>
        <v xml:space="preserve">http://slimages.macys.com/is/image/MCY/20549559 </v>
      </c>
    </row>
    <row r="191" spans="1:14" ht="24.75" x14ac:dyDescent="0.25">
      <c r="A191" s="21" t="s">
        <v>8926</v>
      </c>
      <c r="B191" s="22" t="s">
        <v>8927</v>
      </c>
      <c r="C191" s="2">
        <v>36</v>
      </c>
      <c r="D191" s="23">
        <v>18</v>
      </c>
      <c r="E191" s="3">
        <v>648</v>
      </c>
      <c r="F191" s="2" t="s">
        <v>16316</v>
      </c>
      <c r="G191" s="22" t="s">
        <v>19431</v>
      </c>
      <c r="H191" s="24" t="s">
        <v>19770</v>
      </c>
      <c r="I191" s="22" t="s">
        <v>19309</v>
      </c>
      <c r="J191" s="22" t="s">
        <v>19417</v>
      </c>
      <c r="K191" s="22" t="s">
        <v>20110</v>
      </c>
      <c r="L191" s="22"/>
      <c r="M191" s="22"/>
      <c r="N191" s="25" t="str">
        <f>HYPERLINK("http://slimages.macys.com/is/image/MCY/21551781 ")</f>
        <v xml:space="preserve">http://slimages.macys.com/is/image/MCY/21551781 </v>
      </c>
    </row>
    <row r="192" spans="1:14" ht="24.75" x14ac:dyDescent="0.25">
      <c r="A192" s="21" t="s">
        <v>3900</v>
      </c>
      <c r="B192" s="22" t="s">
        <v>3901</v>
      </c>
      <c r="C192" s="2">
        <v>2</v>
      </c>
      <c r="D192" s="23">
        <v>24</v>
      </c>
      <c r="E192" s="3">
        <v>48</v>
      </c>
      <c r="F192" s="2" t="s">
        <v>3902</v>
      </c>
      <c r="G192" s="22" t="s">
        <v>19338</v>
      </c>
      <c r="H192" s="24" t="s">
        <v>19384</v>
      </c>
      <c r="I192" s="22" t="s">
        <v>19309</v>
      </c>
      <c r="J192" s="22" t="s">
        <v>19417</v>
      </c>
      <c r="K192" s="22" t="s">
        <v>18387</v>
      </c>
      <c r="L192" s="22"/>
      <c r="M192" s="22"/>
      <c r="N192" s="25" t="str">
        <f>HYPERLINK("http://slimages.macys.com/is/image/MCY/21530052 ")</f>
        <v xml:space="preserve">http://slimages.macys.com/is/image/MCY/21530052 </v>
      </c>
    </row>
    <row r="193" spans="1:14" x14ac:dyDescent="0.25">
      <c r="A193" s="21" t="s">
        <v>8445</v>
      </c>
      <c r="B193" s="22" t="s">
        <v>8446</v>
      </c>
      <c r="C193" s="2">
        <v>2</v>
      </c>
      <c r="D193" s="23">
        <v>24</v>
      </c>
      <c r="E193" s="3">
        <v>48</v>
      </c>
      <c r="F193" s="2" t="s">
        <v>11107</v>
      </c>
      <c r="G193" s="22" t="s">
        <v>19357</v>
      </c>
      <c r="H193" s="24" t="s">
        <v>19384</v>
      </c>
      <c r="I193" s="22" t="s">
        <v>19309</v>
      </c>
      <c r="J193" s="22" t="s">
        <v>19417</v>
      </c>
      <c r="K193" s="22" t="s">
        <v>18317</v>
      </c>
      <c r="L193" s="22"/>
      <c r="M193" s="22"/>
      <c r="N193" s="25" t="str">
        <f>HYPERLINK("http://slimages.macys.com/is/image/MCY/21614962 ")</f>
        <v xml:space="preserve">http://slimages.macys.com/is/image/MCY/21614962 </v>
      </c>
    </row>
    <row r="194" spans="1:14" ht="24.75" x14ac:dyDescent="0.25">
      <c r="A194" s="21" t="s">
        <v>16314</v>
      </c>
      <c r="B194" s="22" t="s">
        <v>16315</v>
      </c>
      <c r="C194" s="2">
        <v>2</v>
      </c>
      <c r="D194" s="23">
        <v>18</v>
      </c>
      <c r="E194" s="3">
        <v>36</v>
      </c>
      <c r="F194" s="2" t="s">
        <v>16316</v>
      </c>
      <c r="G194" s="22" t="s">
        <v>19431</v>
      </c>
      <c r="H194" s="24"/>
      <c r="I194" s="22" t="s">
        <v>19309</v>
      </c>
      <c r="J194" s="22" t="s">
        <v>19417</v>
      </c>
      <c r="K194" s="22" t="s">
        <v>20110</v>
      </c>
      <c r="L194" s="22"/>
      <c r="M194" s="22"/>
      <c r="N194" s="25" t="str">
        <f>HYPERLINK("http://slimages.macys.com/is/image/MCY/21551781 ")</f>
        <v xml:space="preserve">http://slimages.macys.com/is/image/MCY/21551781 </v>
      </c>
    </row>
    <row r="195" spans="1:14" ht="24.75" x14ac:dyDescent="0.25">
      <c r="A195" s="21" t="s">
        <v>3903</v>
      </c>
      <c r="B195" s="22" t="s">
        <v>3904</v>
      </c>
      <c r="C195" s="2">
        <v>1</v>
      </c>
      <c r="D195" s="23">
        <v>9.99</v>
      </c>
      <c r="E195" s="3">
        <v>9.99</v>
      </c>
      <c r="F195" s="2" t="s">
        <v>3905</v>
      </c>
      <c r="G195" s="22" t="s">
        <v>13313</v>
      </c>
      <c r="H195" s="24" t="s">
        <v>19352</v>
      </c>
      <c r="I195" s="22" t="s">
        <v>19309</v>
      </c>
      <c r="J195" s="22" t="s">
        <v>19310</v>
      </c>
      <c r="K195" s="22" t="s">
        <v>19873</v>
      </c>
      <c r="L195" s="22"/>
      <c r="M195" s="22"/>
      <c r="N195" s="25" t="str">
        <f>HYPERLINK("http://slimages.macys.com/is/image/MCY/18976157 ")</f>
        <v xml:space="preserve">http://slimages.macys.com/is/image/MCY/18976157 </v>
      </c>
    </row>
    <row r="196" spans="1:14" ht="24.75" x14ac:dyDescent="0.25">
      <c r="A196" s="21" t="s">
        <v>3525</v>
      </c>
      <c r="B196" s="22" t="s">
        <v>3526</v>
      </c>
      <c r="C196" s="2">
        <v>4</v>
      </c>
      <c r="D196" s="23">
        <v>7.99</v>
      </c>
      <c r="E196" s="3">
        <v>31.96</v>
      </c>
      <c r="F196" s="2" t="s">
        <v>3524</v>
      </c>
      <c r="G196" s="22" t="s">
        <v>19467</v>
      </c>
      <c r="H196" s="24" t="s">
        <v>19352</v>
      </c>
      <c r="I196" s="22" t="s">
        <v>19309</v>
      </c>
      <c r="J196" s="22" t="s">
        <v>19447</v>
      </c>
      <c r="K196" s="22" t="s">
        <v>19873</v>
      </c>
      <c r="L196" s="22"/>
      <c r="M196" s="22"/>
      <c r="N196" s="25" t="str">
        <f>HYPERLINK("http://slimages.macys.com/is/image/MCY/19945177 ")</f>
        <v xml:space="preserve">http://slimages.macys.com/is/image/MCY/19945177 </v>
      </c>
    </row>
    <row r="197" spans="1:14" ht="24.75" x14ac:dyDescent="0.25">
      <c r="A197" s="21" t="s">
        <v>3906</v>
      </c>
      <c r="B197" s="22" t="s">
        <v>3907</v>
      </c>
      <c r="C197" s="2">
        <v>1</v>
      </c>
      <c r="D197" s="23">
        <v>11.99</v>
      </c>
      <c r="E197" s="3">
        <v>11.99</v>
      </c>
      <c r="F197" s="2" t="s">
        <v>18672</v>
      </c>
      <c r="G197" s="22" t="s">
        <v>19906</v>
      </c>
      <c r="H197" s="24" t="s">
        <v>19538</v>
      </c>
      <c r="I197" s="22" t="s">
        <v>19309</v>
      </c>
      <c r="J197" s="22" t="s">
        <v>19573</v>
      </c>
      <c r="K197" s="22" t="s">
        <v>19574</v>
      </c>
      <c r="L197" s="22"/>
      <c r="M197" s="22"/>
      <c r="N197" s="25" t="str">
        <f>HYPERLINK("http://slimages.macys.com/is/image/MCY/1520489 ")</f>
        <v xml:space="preserve">http://slimages.macys.com/is/image/MCY/1520489 </v>
      </c>
    </row>
    <row r="198" spans="1:14" ht="24.75" x14ac:dyDescent="0.25">
      <c r="A198" s="21" t="s">
        <v>3908</v>
      </c>
      <c r="B198" s="22" t="s">
        <v>3909</v>
      </c>
      <c r="C198" s="2">
        <v>1</v>
      </c>
      <c r="D198" s="23">
        <v>22</v>
      </c>
      <c r="E198" s="3">
        <v>22</v>
      </c>
      <c r="F198" s="2" t="s">
        <v>8320</v>
      </c>
      <c r="G198" s="22" t="s">
        <v>19404</v>
      </c>
      <c r="H198" s="24" t="s">
        <v>19538</v>
      </c>
      <c r="I198" s="22" t="s">
        <v>19309</v>
      </c>
      <c r="J198" s="22" t="s">
        <v>19417</v>
      </c>
      <c r="K198" s="22" t="s">
        <v>20110</v>
      </c>
      <c r="L198" s="22"/>
      <c r="M198" s="22"/>
      <c r="N198" s="25" t="str">
        <f>HYPERLINK("http://slimages.macys.com/is/image/MCY/21400762 ")</f>
        <v xml:space="preserve">http://slimages.macys.com/is/image/MCY/21400762 </v>
      </c>
    </row>
    <row r="199" spans="1:14" ht="24.75" x14ac:dyDescent="0.25">
      <c r="A199" s="21" t="s">
        <v>3910</v>
      </c>
      <c r="B199" s="22" t="s">
        <v>3911</v>
      </c>
      <c r="C199" s="2">
        <v>1</v>
      </c>
      <c r="D199" s="23">
        <v>13.99</v>
      </c>
      <c r="E199" s="3">
        <v>13.99</v>
      </c>
      <c r="F199" s="2" t="s">
        <v>16688</v>
      </c>
      <c r="G199" s="22" t="s">
        <v>19906</v>
      </c>
      <c r="H199" s="24" t="s">
        <v>19330</v>
      </c>
      <c r="I199" s="22" t="s">
        <v>19309</v>
      </c>
      <c r="J199" s="22" t="s">
        <v>19573</v>
      </c>
      <c r="K199" s="22" t="s">
        <v>19574</v>
      </c>
      <c r="L199" s="22"/>
      <c r="M199" s="22"/>
      <c r="N199" s="25" t="str">
        <f>HYPERLINK("http://slimages.macys.com/is/image/MCY/1554879 ")</f>
        <v xml:space="preserve">http://slimages.macys.com/is/image/MCY/1554879 </v>
      </c>
    </row>
    <row r="200" spans="1:14" ht="24.75" x14ac:dyDescent="0.25">
      <c r="A200" s="21" t="s">
        <v>4852</v>
      </c>
      <c r="B200" s="22" t="s">
        <v>4853</v>
      </c>
      <c r="C200" s="2">
        <v>6</v>
      </c>
      <c r="D200" s="23">
        <v>13.99</v>
      </c>
      <c r="E200" s="3">
        <v>83.94</v>
      </c>
      <c r="F200" s="2" t="s">
        <v>16688</v>
      </c>
      <c r="G200" s="22" t="s">
        <v>19906</v>
      </c>
      <c r="H200" s="24" t="s">
        <v>19538</v>
      </c>
      <c r="I200" s="22" t="s">
        <v>19309</v>
      </c>
      <c r="J200" s="22" t="s">
        <v>19573</v>
      </c>
      <c r="K200" s="22" t="s">
        <v>19574</v>
      </c>
      <c r="L200" s="22"/>
      <c r="M200" s="22"/>
      <c r="N200" s="25" t="str">
        <f>HYPERLINK("http://slimages.macys.com/is/image/MCY/21361108 ")</f>
        <v xml:space="preserve">http://slimages.macys.com/is/image/MCY/21361108 </v>
      </c>
    </row>
    <row r="201" spans="1:14" ht="24.75" x14ac:dyDescent="0.25">
      <c r="A201" s="21" t="s">
        <v>13944</v>
      </c>
      <c r="B201" s="22" t="s">
        <v>13945</v>
      </c>
      <c r="C201" s="2">
        <v>2</v>
      </c>
      <c r="D201" s="23">
        <v>10.99</v>
      </c>
      <c r="E201" s="3">
        <v>21.98</v>
      </c>
      <c r="F201" s="2" t="s">
        <v>13946</v>
      </c>
      <c r="G201" s="22" t="s">
        <v>19674</v>
      </c>
      <c r="H201" s="24" t="s">
        <v>19797</v>
      </c>
      <c r="I201" s="22" t="s">
        <v>19309</v>
      </c>
      <c r="J201" s="22" t="s">
        <v>19353</v>
      </c>
      <c r="K201" s="22" t="s">
        <v>19524</v>
      </c>
      <c r="L201" s="22"/>
      <c r="M201" s="22"/>
      <c r="N201" s="25" t="str">
        <f>HYPERLINK("http://slimages.macys.com/is/image/MCY/21083376 ")</f>
        <v xml:space="preserve">http://slimages.macys.com/is/image/MCY/21083376 </v>
      </c>
    </row>
    <row r="202" spans="1:14" ht="24.75" x14ac:dyDescent="0.25">
      <c r="A202" s="21" t="s">
        <v>4856</v>
      </c>
      <c r="B202" s="22" t="s">
        <v>4857</v>
      </c>
      <c r="C202" s="2">
        <v>1</v>
      </c>
      <c r="D202" s="23">
        <v>10.99</v>
      </c>
      <c r="E202" s="3">
        <v>10.99</v>
      </c>
      <c r="F202" s="2" t="s">
        <v>13316</v>
      </c>
      <c r="G202" s="22" t="s">
        <v>19351</v>
      </c>
      <c r="H202" s="24" t="s">
        <v>19797</v>
      </c>
      <c r="I202" s="22" t="s">
        <v>19309</v>
      </c>
      <c r="J202" s="22" t="s">
        <v>19353</v>
      </c>
      <c r="K202" s="22" t="s">
        <v>19524</v>
      </c>
      <c r="L202" s="22"/>
      <c r="M202" s="22"/>
      <c r="N202" s="25" t="str">
        <f>HYPERLINK("http://slimages.macys.com/is/image/MCY/21083383 ")</f>
        <v xml:space="preserve">http://slimages.macys.com/is/image/MCY/21083383 </v>
      </c>
    </row>
    <row r="203" spans="1:14" ht="24.75" x14ac:dyDescent="0.25">
      <c r="A203" s="21" t="s">
        <v>3912</v>
      </c>
      <c r="B203" s="22" t="s">
        <v>3913</v>
      </c>
      <c r="C203" s="2">
        <v>3</v>
      </c>
      <c r="D203" s="23">
        <v>24</v>
      </c>
      <c r="E203" s="3">
        <v>72</v>
      </c>
      <c r="F203" s="2" t="s">
        <v>3914</v>
      </c>
      <c r="G203" s="22" t="s">
        <v>19635</v>
      </c>
      <c r="H203" s="24"/>
      <c r="I203" s="22" t="s">
        <v>19309</v>
      </c>
      <c r="J203" s="22" t="s">
        <v>19417</v>
      </c>
      <c r="K203" s="22" t="s">
        <v>18317</v>
      </c>
      <c r="L203" s="22"/>
      <c r="M203" s="22"/>
      <c r="N203" s="25" t="str">
        <f>HYPERLINK("http://slimages.macys.com/is/image/MCY/21614878 ")</f>
        <v xml:space="preserve">http://slimages.macys.com/is/image/MCY/21614878 </v>
      </c>
    </row>
    <row r="204" spans="1:14" ht="24.75" x14ac:dyDescent="0.25">
      <c r="A204" s="21" t="s">
        <v>3534</v>
      </c>
      <c r="B204" s="22" t="s">
        <v>3535</v>
      </c>
      <c r="C204" s="2">
        <v>1</v>
      </c>
      <c r="D204" s="23">
        <v>11.99</v>
      </c>
      <c r="E204" s="3">
        <v>11.99</v>
      </c>
      <c r="F204" s="2">
        <v>4217</v>
      </c>
      <c r="G204" s="22" t="s">
        <v>19351</v>
      </c>
      <c r="H204" s="24" t="s">
        <v>19339</v>
      </c>
      <c r="I204" s="22" t="s">
        <v>19309</v>
      </c>
      <c r="J204" s="22" t="s">
        <v>20076</v>
      </c>
      <c r="K204" s="22" t="s">
        <v>20077</v>
      </c>
      <c r="L204" s="22" t="s">
        <v>19319</v>
      </c>
      <c r="M204" s="22" t="s">
        <v>19209</v>
      </c>
      <c r="N204" s="25" t="str">
        <f>HYPERLINK("http://slimages.macys.com/is/image/MCY/13050192 ")</f>
        <v xml:space="preserve">http://slimages.macys.com/is/image/MCY/13050192 </v>
      </c>
    </row>
    <row r="205" spans="1:14" ht="24.75" x14ac:dyDescent="0.25">
      <c r="A205" s="21" t="s">
        <v>9060</v>
      </c>
      <c r="B205" s="22" t="s">
        <v>9061</v>
      </c>
      <c r="C205" s="2">
        <v>2</v>
      </c>
      <c r="D205" s="23">
        <v>10.99</v>
      </c>
      <c r="E205" s="3">
        <v>21.98</v>
      </c>
      <c r="F205" s="2" t="s">
        <v>9062</v>
      </c>
      <c r="G205" s="22" t="s">
        <v>19670</v>
      </c>
      <c r="H205" s="24" t="s">
        <v>19797</v>
      </c>
      <c r="I205" s="22" t="s">
        <v>19309</v>
      </c>
      <c r="J205" s="22" t="s">
        <v>19353</v>
      </c>
      <c r="K205" s="22" t="s">
        <v>19524</v>
      </c>
      <c r="L205" s="22"/>
      <c r="M205" s="22"/>
      <c r="N205" s="25" t="str">
        <f>HYPERLINK("http://slimages.macys.com/is/image/MCY/21083362 ")</f>
        <v xml:space="preserve">http://slimages.macys.com/is/image/MCY/21083362 </v>
      </c>
    </row>
    <row r="206" spans="1:14" x14ac:dyDescent="0.25">
      <c r="A206" s="21" t="s">
        <v>3915</v>
      </c>
      <c r="B206" s="22" t="s">
        <v>3916</v>
      </c>
      <c r="C206" s="2">
        <v>1</v>
      </c>
      <c r="D206" s="23">
        <v>9.1</v>
      </c>
      <c r="E206" s="3">
        <v>9.1</v>
      </c>
      <c r="F206" s="2" t="s">
        <v>3917</v>
      </c>
      <c r="G206" s="22" t="s">
        <v>19404</v>
      </c>
      <c r="H206" s="24" t="s">
        <v>19330</v>
      </c>
      <c r="I206" s="22" t="s">
        <v>19309</v>
      </c>
      <c r="J206" s="22" t="s">
        <v>19708</v>
      </c>
      <c r="K206" s="22" t="s">
        <v>19709</v>
      </c>
      <c r="L206" s="22" t="s">
        <v>19319</v>
      </c>
      <c r="M206" s="22" t="s">
        <v>17531</v>
      </c>
      <c r="N206" s="25" t="str">
        <f>HYPERLINK("http://slimages.macys.com/is/image/MCY/15914696 ")</f>
        <v xml:space="preserve">http://slimages.macys.com/is/image/MCY/15914696 </v>
      </c>
    </row>
    <row r="207" spans="1:14" ht="24.75" x14ac:dyDescent="0.25">
      <c r="A207" s="21" t="s">
        <v>11113</v>
      </c>
      <c r="B207" s="22" t="s">
        <v>11114</v>
      </c>
      <c r="C207" s="2">
        <v>11</v>
      </c>
      <c r="D207" s="23">
        <v>8.31</v>
      </c>
      <c r="E207" s="3">
        <v>91.41</v>
      </c>
      <c r="F207" s="2" t="s">
        <v>11115</v>
      </c>
      <c r="G207" s="22" t="s">
        <v>19431</v>
      </c>
      <c r="H207" s="24" t="s">
        <v>19308</v>
      </c>
      <c r="I207" s="22" t="s">
        <v>19309</v>
      </c>
      <c r="J207" s="22" t="s">
        <v>19565</v>
      </c>
      <c r="K207" s="22" t="s">
        <v>18514</v>
      </c>
      <c r="L207" s="22"/>
      <c r="M207" s="22"/>
      <c r="N207" s="25" t="str">
        <f>HYPERLINK("http://slimages.macys.com/is/image/MCY/21901987 ")</f>
        <v xml:space="preserve">http://slimages.macys.com/is/image/MCY/21901987 </v>
      </c>
    </row>
    <row r="208" spans="1:14" ht="24.75" x14ac:dyDescent="0.25">
      <c r="A208" s="21" t="s">
        <v>8931</v>
      </c>
      <c r="B208" s="22" t="s">
        <v>7111</v>
      </c>
      <c r="C208" s="2">
        <v>1</v>
      </c>
      <c r="D208" s="23">
        <v>18</v>
      </c>
      <c r="E208" s="3">
        <v>18</v>
      </c>
      <c r="F208" s="2" t="s">
        <v>7112</v>
      </c>
      <c r="G208" s="22"/>
      <c r="H208" s="24"/>
      <c r="I208" s="22" t="s">
        <v>19309</v>
      </c>
      <c r="J208" s="22" t="s">
        <v>19417</v>
      </c>
      <c r="K208" s="22" t="s">
        <v>18317</v>
      </c>
      <c r="L208" s="22"/>
      <c r="M208" s="22"/>
      <c r="N208" s="25" t="str">
        <f>HYPERLINK("http://slimages.macys.com/is/image/MCY/20221308 ")</f>
        <v xml:space="preserve">http://slimages.macys.com/is/image/MCY/20221308 </v>
      </c>
    </row>
    <row r="209" spans="1:14" ht="24.75" x14ac:dyDescent="0.25">
      <c r="A209" s="21" t="s">
        <v>3918</v>
      </c>
      <c r="B209" s="22" t="s">
        <v>3919</v>
      </c>
      <c r="C209" s="2">
        <v>1</v>
      </c>
      <c r="D209" s="23">
        <v>9.99</v>
      </c>
      <c r="E209" s="3">
        <v>9.99</v>
      </c>
      <c r="F209" s="2" t="s">
        <v>3920</v>
      </c>
      <c r="G209" s="22" t="s">
        <v>19513</v>
      </c>
      <c r="H209" s="24" t="s">
        <v>19345</v>
      </c>
      <c r="I209" s="22" t="s">
        <v>19309</v>
      </c>
      <c r="J209" s="22" t="s">
        <v>19595</v>
      </c>
      <c r="K209" s="22" t="s">
        <v>19596</v>
      </c>
      <c r="L209" s="22"/>
      <c r="M209" s="22"/>
      <c r="N209" s="25" t="str">
        <f>HYPERLINK("http://slimages.macys.com/is/image/MCY/21056943 ")</f>
        <v xml:space="preserve">http://slimages.macys.com/is/image/MCY/21056943 </v>
      </c>
    </row>
    <row r="210" spans="1:14" ht="24.75" x14ac:dyDescent="0.25">
      <c r="A210" s="21" t="s">
        <v>8331</v>
      </c>
      <c r="B210" s="22" t="s">
        <v>8332</v>
      </c>
      <c r="C210" s="2">
        <v>10</v>
      </c>
      <c r="D210" s="23">
        <v>8.31</v>
      </c>
      <c r="E210" s="3">
        <v>83.1</v>
      </c>
      <c r="F210" s="2" t="s">
        <v>11115</v>
      </c>
      <c r="G210" s="22" t="s">
        <v>19431</v>
      </c>
      <c r="H210" s="24" t="s">
        <v>19352</v>
      </c>
      <c r="I210" s="22" t="s">
        <v>19309</v>
      </c>
      <c r="J210" s="22" t="s">
        <v>19565</v>
      </c>
      <c r="K210" s="22" t="s">
        <v>18514</v>
      </c>
      <c r="L210" s="22"/>
      <c r="M210" s="22"/>
      <c r="N210" s="25" t="str">
        <f>HYPERLINK("http://slimages.macys.com/is/image/MCY/21901987 ")</f>
        <v xml:space="preserve">http://slimages.macys.com/is/image/MCY/21901987 </v>
      </c>
    </row>
    <row r="211" spans="1:14" ht="24.75" x14ac:dyDescent="0.25">
      <c r="A211" s="21" t="s">
        <v>8140</v>
      </c>
      <c r="B211" s="22" t="s">
        <v>8141</v>
      </c>
      <c r="C211" s="2">
        <v>41</v>
      </c>
      <c r="D211" s="23">
        <v>8.31</v>
      </c>
      <c r="E211" s="3">
        <v>340.71</v>
      </c>
      <c r="F211" s="2" t="s">
        <v>11115</v>
      </c>
      <c r="G211" s="22" t="s">
        <v>19431</v>
      </c>
      <c r="H211" s="24" t="s">
        <v>19364</v>
      </c>
      <c r="I211" s="22" t="s">
        <v>19309</v>
      </c>
      <c r="J211" s="22" t="s">
        <v>19565</v>
      </c>
      <c r="K211" s="22" t="s">
        <v>18514</v>
      </c>
      <c r="L211" s="22"/>
      <c r="M211" s="22"/>
      <c r="N211" s="25" t="str">
        <f>HYPERLINK("http://slimages.macys.com/is/image/MCY/21901987 ")</f>
        <v xml:space="preserve">http://slimages.macys.com/is/image/MCY/21901987 </v>
      </c>
    </row>
    <row r="212" spans="1:14" ht="24.75" x14ac:dyDescent="0.25">
      <c r="A212" s="21" t="s">
        <v>3921</v>
      </c>
      <c r="B212" s="22" t="s">
        <v>3922</v>
      </c>
      <c r="C212" s="2">
        <v>1</v>
      </c>
      <c r="D212" s="23">
        <v>10.99</v>
      </c>
      <c r="E212" s="3">
        <v>10.99</v>
      </c>
      <c r="F212" s="2" t="s">
        <v>9079</v>
      </c>
      <c r="G212" s="22" t="s">
        <v>19462</v>
      </c>
      <c r="H212" s="24" t="s">
        <v>19352</v>
      </c>
      <c r="I212" s="22" t="s">
        <v>19309</v>
      </c>
      <c r="J212" s="22" t="s">
        <v>19353</v>
      </c>
      <c r="K212" s="22" t="s">
        <v>19524</v>
      </c>
      <c r="L212" s="22"/>
      <c r="M212" s="22"/>
      <c r="N212" s="25" t="str">
        <f>HYPERLINK("http://slimages.macys.com/is/image/MCY/21233421 ")</f>
        <v xml:space="preserve">http://slimages.macys.com/is/image/MCY/21233421 </v>
      </c>
    </row>
    <row r="213" spans="1:14" x14ac:dyDescent="0.25">
      <c r="A213" s="21" t="s">
        <v>8333</v>
      </c>
      <c r="B213" s="22" t="s">
        <v>8334</v>
      </c>
      <c r="C213" s="2">
        <v>6</v>
      </c>
      <c r="D213" s="23">
        <v>16</v>
      </c>
      <c r="E213" s="3">
        <v>96</v>
      </c>
      <c r="F213" s="2" t="s">
        <v>11118</v>
      </c>
      <c r="G213" s="22" t="s">
        <v>19794</v>
      </c>
      <c r="H213" s="24" t="s">
        <v>19330</v>
      </c>
      <c r="I213" s="22" t="s">
        <v>19309</v>
      </c>
      <c r="J213" s="22" t="s">
        <v>19708</v>
      </c>
      <c r="K213" s="22" t="s">
        <v>19709</v>
      </c>
      <c r="L213" s="22"/>
      <c r="M213" s="22"/>
      <c r="N213" s="25" t="str">
        <f>HYPERLINK("http://slimages.macys.com/is/image/MCY/21726750 ")</f>
        <v xml:space="preserve">http://slimages.macys.com/is/image/MCY/21726750 </v>
      </c>
    </row>
    <row r="214" spans="1:14" x14ac:dyDescent="0.25">
      <c r="A214" s="21" t="s">
        <v>8335</v>
      </c>
      <c r="B214" s="22" t="s">
        <v>8336</v>
      </c>
      <c r="C214" s="2">
        <v>2</v>
      </c>
      <c r="D214" s="23">
        <v>16</v>
      </c>
      <c r="E214" s="3">
        <v>32</v>
      </c>
      <c r="F214" s="2" t="s">
        <v>11118</v>
      </c>
      <c r="G214" s="22" t="s">
        <v>19794</v>
      </c>
      <c r="H214" s="24" t="s">
        <v>19416</v>
      </c>
      <c r="I214" s="22" t="s">
        <v>19309</v>
      </c>
      <c r="J214" s="22" t="s">
        <v>19708</v>
      </c>
      <c r="K214" s="22" t="s">
        <v>19709</v>
      </c>
      <c r="L214" s="22"/>
      <c r="M214" s="22"/>
      <c r="N214" s="25" t="str">
        <f>HYPERLINK("http://slimages.macys.com/is/image/MCY/21726750 ")</f>
        <v xml:space="preserve">http://slimages.macys.com/is/image/MCY/21726750 </v>
      </c>
    </row>
    <row r="215" spans="1:14" x14ac:dyDescent="0.25">
      <c r="A215" s="21" t="s">
        <v>3923</v>
      </c>
      <c r="B215" s="22" t="s">
        <v>3924</v>
      </c>
      <c r="C215" s="2">
        <v>1</v>
      </c>
      <c r="D215" s="23">
        <v>16</v>
      </c>
      <c r="E215" s="3">
        <v>16</v>
      </c>
      <c r="F215" s="2" t="s">
        <v>3925</v>
      </c>
      <c r="G215" s="22" t="s">
        <v>19323</v>
      </c>
      <c r="H215" s="24" t="s">
        <v>19330</v>
      </c>
      <c r="I215" s="22" t="s">
        <v>19309</v>
      </c>
      <c r="J215" s="22" t="s">
        <v>19708</v>
      </c>
      <c r="K215" s="22" t="s">
        <v>19709</v>
      </c>
      <c r="L215" s="22"/>
      <c r="M215" s="22"/>
      <c r="N215" s="25" t="str">
        <f>HYPERLINK("http://slimages.macys.com/is/image/MCY/21726750 ")</f>
        <v xml:space="preserve">http://slimages.macys.com/is/image/MCY/21726750 </v>
      </c>
    </row>
    <row r="216" spans="1:14" x14ac:dyDescent="0.25">
      <c r="A216" s="21" t="s">
        <v>9086</v>
      </c>
      <c r="B216" s="22" t="s">
        <v>9087</v>
      </c>
      <c r="C216" s="2">
        <v>1</v>
      </c>
      <c r="D216" s="23">
        <v>11.99</v>
      </c>
      <c r="E216" s="3">
        <v>11.99</v>
      </c>
      <c r="F216" s="2" t="s">
        <v>16803</v>
      </c>
      <c r="G216" s="22" t="s">
        <v>19670</v>
      </c>
      <c r="H216" s="24" t="s">
        <v>19339</v>
      </c>
      <c r="I216" s="22" t="s">
        <v>19309</v>
      </c>
      <c r="J216" s="22" t="s">
        <v>19849</v>
      </c>
      <c r="K216" s="22" t="s">
        <v>19850</v>
      </c>
      <c r="L216" s="22"/>
      <c r="M216" s="22"/>
      <c r="N216" s="25" t="str">
        <f>HYPERLINK("http://slimages.macys.com/is/image/MCY/20752030 ")</f>
        <v xml:space="preserve">http://slimages.macys.com/is/image/MCY/20752030 </v>
      </c>
    </row>
    <row r="217" spans="1:14" ht="24.75" x14ac:dyDescent="0.25">
      <c r="A217" s="21" t="s">
        <v>3926</v>
      </c>
      <c r="B217" s="22" t="s">
        <v>3927</v>
      </c>
      <c r="C217" s="2">
        <v>1</v>
      </c>
      <c r="D217" s="23">
        <v>9.4</v>
      </c>
      <c r="E217" s="3">
        <v>9.4</v>
      </c>
      <c r="F217" s="2" t="s">
        <v>3928</v>
      </c>
      <c r="G217" s="22"/>
      <c r="H217" s="24" t="s">
        <v>19334</v>
      </c>
      <c r="I217" s="22" t="s">
        <v>19309</v>
      </c>
      <c r="J217" s="22" t="s">
        <v>19602</v>
      </c>
      <c r="K217" s="22" t="s">
        <v>20041</v>
      </c>
      <c r="L217" s="22"/>
      <c r="M217" s="22"/>
      <c r="N217" s="25" t="str">
        <f>HYPERLINK("http://slimages.macys.com/is/image/MCY/21669742 ")</f>
        <v xml:space="preserve">http://slimages.macys.com/is/image/MCY/21669742 </v>
      </c>
    </row>
    <row r="218" spans="1:14" x14ac:dyDescent="0.25">
      <c r="A218" s="21" t="s">
        <v>7113</v>
      </c>
      <c r="B218" s="22" t="s">
        <v>7114</v>
      </c>
      <c r="C218" s="2">
        <v>3</v>
      </c>
      <c r="D218" s="23">
        <v>16</v>
      </c>
      <c r="E218" s="3">
        <v>48</v>
      </c>
      <c r="F218" s="2" t="s">
        <v>7115</v>
      </c>
      <c r="G218" s="22" t="s">
        <v>19467</v>
      </c>
      <c r="H218" s="24" t="s">
        <v>20159</v>
      </c>
      <c r="I218" s="22" t="s">
        <v>19309</v>
      </c>
      <c r="J218" s="22" t="s">
        <v>19708</v>
      </c>
      <c r="K218" s="22" t="s">
        <v>19709</v>
      </c>
      <c r="L218" s="22"/>
      <c r="M218" s="22"/>
      <c r="N218" s="25" t="str">
        <f>HYPERLINK("http://slimages.macys.com/is/image/MCY/21726120 ")</f>
        <v xml:space="preserve">http://slimages.macys.com/is/image/MCY/21726120 </v>
      </c>
    </row>
    <row r="219" spans="1:14" ht="24.75" x14ac:dyDescent="0.25">
      <c r="A219" s="21" t="s">
        <v>3929</v>
      </c>
      <c r="B219" s="22" t="s">
        <v>3930</v>
      </c>
      <c r="C219" s="2">
        <v>1</v>
      </c>
      <c r="D219" s="23">
        <v>8.99</v>
      </c>
      <c r="E219" s="3">
        <v>8.99</v>
      </c>
      <c r="F219" s="2" t="s">
        <v>3931</v>
      </c>
      <c r="G219" s="22" t="s">
        <v>19431</v>
      </c>
      <c r="H219" s="24" t="s">
        <v>19352</v>
      </c>
      <c r="I219" s="22" t="s">
        <v>19309</v>
      </c>
      <c r="J219" s="22" t="s">
        <v>19815</v>
      </c>
      <c r="K219" s="22" t="s">
        <v>19816</v>
      </c>
      <c r="L219" s="22"/>
      <c r="M219" s="22"/>
      <c r="N219" s="25" t="str">
        <f>HYPERLINK("http://slimages.macys.com/is/image/MCY/21360259 ")</f>
        <v xml:space="preserve">http://slimages.macys.com/is/image/MCY/21360259 </v>
      </c>
    </row>
    <row r="220" spans="1:14" x14ac:dyDescent="0.25">
      <c r="A220" s="21" t="s">
        <v>3932</v>
      </c>
      <c r="B220" s="22" t="s">
        <v>3933</v>
      </c>
      <c r="C220" s="2">
        <v>1</v>
      </c>
      <c r="D220" s="23">
        <v>16</v>
      </c>
      <c r="E220" s="3">
        <v>16</v>
      </c>
      <c r="F220" s="2" t="s">
        <v>3934</v>
      </c>
      <c r="G220" s="22" t="s">
        <v>18821</v>
      </c>
      <c r="H220" s="24" t="s">
        <v>19770</v>
      </c>
      <c r="I220" s="22" t="s">
        <v>19309</v>
      </c>
      <c r="J220" s="22" t="s">
        <v>19417</v>
      </c>
      <c r="K220" s="22" t="s">
        <v>20110</v>
      </c>
      <c r="L220" s="22"/>
      <c r="M220" s="22"/>
      <c r="N220" s="25" t="str">
        <f>HYPERLINK("http://slimages.macys.com/is/image/MCY/21551756 ")</f>
        <v xml:space="preserve">http://slimages.macys.com/is/image/MCY/21551756 </v>
      </c>
    </row>
    <row r="221" spans="1:14" ht="24.75" x14ac:dyDescent="0.25">
      <c r="A221" s="21" t="s">
        <v>4884</v>
      </c>
      <c r="B221" s="22" t="s">
        <v>4885</v>
      </c>
      <c r="C221" s="2">
        <v>2</v>
      </c>
      <c r="D221" s="23">
        <v>11.99</v>
      </c>
      <c r="E221" s="3">
        <v>23.98</v>
      </c>
      <c r="F221" s="2">
        <v>4217</v>
      </c>
      <c r="G221" s="22" t="s">
        <v>19422</v>
      </c>
      <c r="H221" s="24" t="s">
        <v>19364</v>
      </c>
      <c r="I221" s="22" t="s">
        <v>19309</v>
      </c>
      <c r="J221" s="22" t="s">
        <v>20076</v>
      </c>
      <c r="K221" s="22" t="s">
        <v>20077</v>
      </c>
      <c r="L221" s="22" t="s">
        <v>19319</v>
      </c>
      <c r="M221" s="22" t="s">
        <v>19209</v>
      </c>
      <c r="N221" s="25" t="str">
        <f>HYPERLINK("http://slimages.macys.com/is/image/MCY/13050192 ")</f>
        <v xml:space="preserve">http://slimages.macys.com/is/image/MCY/13050192 </v>
      </c>
    </row>
    <row r="222" spans="1:14" ht="24.75" x14ac:dyDescent="0.25">
      <c r="A222" s="21" t="s">
        <v>3548</v>
      </c>
      <c r="B222" s="22" t="s">
        <v>3549</v>
      </c>
      <c r="C222" s="2">
        <v>25</v>
      </c>
      <c r="D222" s="23">
        <v>11.99</v>
      </c>
      <c r="E222" s="3">
        <v>299.75</v>
      </c>
      <c r="F222" s="2">
        <v>4217</v>
      </c>
      <c r="G222" s="22" t="s">
        <v>19422</v>
      </c>
      <c r="H222" s="24" t="s">
        <v>19352</v>
      </c>
      <c r="I222" s="22" t="s">
        <v>19309</v>
      </c>
      <c r="J222" s="22" t="s">
        <v>20076</v>
      </c>
      <c r="K222" s="22" t="s">
        <v>20077</v>
      </c>
      <c r="L222" s="22" t="s">
        <v>19319</v>
      </c>
      <c r="M222" s="22" t="s">
        <v>19209</v>
      </c>
      <c r="N222" s="25" t="str">
        <f>HYPERLINK("http://slimages.macys.com/is/image/MCY/13050192 ")</f>
        <v xml:space="preserve">http://slimages.macys.com/is/image/MCY/13050192 </v>
      </c>
    </row>
    <row r="223" spans="1:14" ht="24.75" x14ac:dyDescent="0.25">
      <c r="A223" s="21" t="s">
        <v>7116</v>
      </c>
      <c r="B223" s="22" t="s">
        <v>7117</v>
      </c>
      <c r="C223" s="2">
        <v>12</v>
      </c>
      <c r="D223" s="23">
        <v>14.99</v>
      </c>
      <c r="E223" s="3">
        <v>179.88</v>
      </c>
      <c r="F223" s="2" t="s">
        <v>14059</v>
      </c>
      <c r="G223" s="22" t="s">
        <v>19333</v>
      </c>
      <c r="H223" s="24" t="s">
        <v>19907</v>
      </c>
      <c r="I223" s="22" t="s">
        <v>19309</v>
      </c>
      <c r="J223" s="22" t="s">
        <v>19454</v>
      </c>
      <c r="K223" s="22" t="s">
        <v>19524</v>
      </c>
      <c r="L223" s="22"/>
      <c r="M223" s="22"/>
      <c r="N223" s="25" t="str">
        <f>HYPERLINK("http://slimages.macys.com/is/image/MCY/18663848 ")</f>
        <v xml:space="preserve">http://slimages.macys.com/is/image/MCY/18663848 </v>
      </c>
    </row>
    <row r="224" spans="1:14" ht="24.75" x14ac:dyDescent="0.25">
      <c r="A224" s="21" t="s">
        <v>9101</v>
      </c>
      <c r="B224" s="22" t="s">
        <v>9102</v>
      </c>
      <c r="C224" s="2">
        <v>1</v>
      </c>
      <c r="D224" s="23">
        <v>6.99</v>
      </c>
      <c r="E224" s="3">
        <v>6.99</v>
      </c>
      <c r="F224" s="2" t="s">
        <v>18841</v>
      </c>
      <c r="G224" s="22" t="s">
        <v>19618</v>
      </c>
      <c r="H224" s="24" t="s">
        <v>19364</v>
      </c>
      <c r="I224" s="22" t="s">
        <v>19309</v>
      </c>
      <c r="J224" s="22" t="s">
        <v>19849</v>
      </c>
      <c r="K224" s="22" t="s">
        <v>19850</v>
      </c>
      <c r="L224" s="22"/>
      <c r="M224" s="22"/>
      <c r="N224" s="25" t="str">
        <f>HYPERLINK("http://slimages.macys.com/is/image/MCY/19068307 ")</f>
        <v xml:space="preserve">http://slimages.macys.com/is/image/MCY/19068307 </v>
      </c>
    </row>
    <row r="225" spans="1:14" ht="24.75" x14ac:dyDescent="0.25">
      <c r="A225" s="21" t="s">
        <v>3935</v>
      </c>
      <c r="B225" s="22" t="s">
        <v>3936</v>
      </c>
      <c r="C225" s="2">
        <v>1</v>
      </c>
      <c r="D225" s="23">
        <v>10.99</v>
      </c>
      <c r="E225" s="3">
        <v>10.99</v>
      </c>
      <c r="F225" s="2" t="s">
        <v>16871</v>
      </c>
      <c r="G225" s="22" t="s">
        <v>19585</v>
      </c>
      <c r="H225" s="24" t="s">
        <v>19330</v>
      </c>
      <c r="I225" s="22" t="s">
        <v>19309</v>
      </c>
      <c r="J225" s="22" t="s">
        <v>19573</v>
      </c>
      <c r="K225" s="22" t="s">
        <v>19574</v>
      </c>
      <c r="L225" s="22"/>
      <c r="M225" s="22"/>
      <c r="N225" s="25" t="str">
        <f>HYPERLINK("http://slimages.macys.com/is/image/MCY/1141502 ")</f>
        <v xml:space="preserve">http://slimages.macys.com/is/image/MCY/1141502 </v>
      </c>
    </row>
    <row r="226" spans="1:14" ht="24.75" x14ac:dyDescent="0.25">
      <c r="A226" s="21" t="s">
        <v>18884</v>
      </c>
      <c r="B226" s="22" t="s">
        <v>18885</v>
      </c>
      <c r="C226" s="2">
        <v>5</v>
      </c>
      <c r="D226" s="23">
        <v>8.99</v>
      </c>
      <c r="E226" s="3">
        <v>44.95</v>
      </c>
      <c r="F226" s="2" t="s">
        <v>18886</v>
      </c>
      <c r="G226" s="22" t="s">
        <v>19415</v>
      </c>
      <c r="H226" s="24" t="s">
        <v>19907</v>
      </c>
      <c r="I226" s="22" t="s">
        <v>19309</v>
      </c>
      <c r="J226" s="22" t="s">
        <v>19573</v>
      </c>
      <c r="K226" s="22" t="s">
        <v>19574</v>
      </c>
      <c r="L226" s="22"/>
      <c r="M226" s="22"/>
      <c r="N226" s="25" t="str">
        <f>HYPERLINK("http://slimages.macys.com/is/image/MCY/21361541 ")</f>
        <v xml:space="preserve">http://slimages.macys.com/is/image/MCY/21361541 </v>
      </c>
    </row>
    <row r="227" spans="1:14" ht="24.75" x14ac:dyDescent="0.25">
      <c r="A227" s="21" t="s">
        <v>3553</v>
      </c>
      <c r="B227" s="22" t="s">
        <v>3554</v>
      </c>
      <c r="C227" s="2">
        <v>37</v>
      </c>
      <c r="D227" s="23">
        <v>7.99</v>
      </c>
      <c r="E227" s="3">
        <v>295.63</v>
      </c>
      <c r="F227" s="2" t="s">
        <v>8604</v>
      </c>
      <c r="G227" s="22" t="s">
        <v>19618</v>
      </c>
      <c r="H227" s="24" t="s">
        <v>19907</v>
      </c>
      <c r="I227" s="22" t="s">
        <v>19309</v>
      </c>
      <c r="J227" s="22" t="s">
        <v>19573</v>
      </c>
      <c r="K227" s="22" t="s">
        <v>19574</v>
      </c>
      <c r="L227" s="22"/>
      <c r="M227" s="22"/>
      <c r="N227" s="25" t="str">
        <f>HYPERLINK("http://slimages.macys.com/is/image/MCY/19977728 ")</f>
        <v xml:space="preserve">http://slimages.macys.com/is/image/MCY/19977728 </v>
      </c>
    </row>
    <row r="228" spans="1:14" ht="24.75" x14ac:dyDescent="0.25">
      <c r="A228" s="21" t="s">
        <v>8602</v>
      </c>
      <c r="B228" s="22" t="s">
        <v>8603</v>
      </c>
      <c r="C228" s="2">
        <v>19</v>
      </c>
      <c r="D228" s="23">
        <v>7.99</v>
      </c>
      <c r="E228" s="3">
        <v>151.81</v>
      </c>
      <c r="F228" s="2" t="s">
        <v>8604</v>
      </c>
      <c r="G228" s="22" t="s">
        <v>19618</v>
      </c>
      <c r="H228" s="24" t="s">
        <v>20135</v>
      </c>
      <c r="I228" s="22" t="s">
        <v>19309</v>
      </c>
      <c r="J228" s="22" t="s">
        <v>19573</v>
      </c>
      <c r="K228" s="22" t="s">
        <v>19574</v>
      </c>
      <c r="L228" s="22"/>
      <c r="M228" s="22"/>
      <c r="N228" s="25" t="str">
        <f>HYPERLINK("http://slimages.macys.com/is/image/MCY/19977728 ")</f>
        <v xml:space="preserve">http://slimages.macys.com/is/image/MCY/19977728 </v>
      </c>
    </row>
    <row r="229" spans="1:14" ht="24.75" x14ac:dyDescent="0.25">
      <c r="A229" s="21" t="s">
        <v>3937</v>
      </c>
      <c r="B229" s="22" t="s">
        <v>3938</v>
      </c>
      <c r="C229" s="2">
        <v>1</v>
      </c>
      <c r="D229" s="23">
        <v>7.99</v>
      </c>
      <c r="E229" s="3">
        <v>7.99</v>
      </c>
      <c r="F229" s="2" t="s">
        <v>8604</v>
      </c>
      <c r="G229" s="22" t="s">
        <v>19618</v>
      </c>
      <c r="H229" s="24" t="s">
        <v>20089</v>
      </c>
      <c r="I229" s="22" t="s">
        <v>19309</v>
      </c>
      <c r="J229" s="22" t="s">
        <v>19573</v>
      </c>
      <c r="K229" s="22" t="s">
        <v>19574</v>
      </c>
      <c r="L229" s="22"/>
      <c r="M229" s="22"/>
      <c r="N229" s="25" t="str">
        <f>HYPERLINK("http://slimages.macys.com/is/image/MCY/19977728 ")</f>
        <v xml:space="preserve">http://slimages.macys.com/is/image/MCY/19977728 </v>
      </c>
    </row>
    <row r="230" spans="1:14" x14ac:dyDescent="0.25">
      <c r="A230" s="21" t="s">
        <v>14104</v>
      </c>
      <c r="B230" s="22" t="s">
        <v>14105</v>
      </c>
      <c r="C230" s="2">
        <v>1</v>
      </c>
      <c r="D230" s="23">
        <v>7.99</v>
      </c>
      <c r="E230" s="3">
        <v>7.99</v>
      </c>
      <c r="F230" s="2" t="s">
        <v>16840</v>
      </c>
      <c r="G230" s="22" t="s">
        <v>19467</v>
      </c>
      <c r="H230" s="24" t="s">
        <v>19542</v>
      </c>
      <c r="I230" s="22" t="s">
        <v>19309</v>
      </c>
      <c r="J230" s="22" t="s">
        <v>19849</v>
      </c>
      <c r="K230" s="22" t="s">
        <v>19850</v>
      </c>
      <c r="L230" s="22"/>
      <c r="M230" s="22"/>
      <c r="N230" s="25" t="str">
        <f>HYPERLINK("http://slimages.macys.com/is/image/MCY/19068277 ")</f>
        <v xml:space="preserve">http://slimages.macys.com/is/image/MCY/19068277 </v>
      </c>
    </row>
    <row r="231" spans="1:14" x14ac:dyDescent="0.25">
      <c r="A231" s="21" t="s">
        <v>16967</v>
      </c>
      <c r="B231" s="22" t="s">
        <v>16968</v>
      </c>
      <c r="C231" s="2">
        <v>1</v>
      </c>
      <c r="D231" s="23">
        <v>7.99</v>
      </c>
      <c r="E231" s="3">
        <v>7.99</v>
      </c>
      <c r="F231" s="2" t="s">
        <v>16840</v>
      </c>
      <c r="G231" s="22" t="s">
        <v>19467</v>
      </c>
      <c r="H231" s="24" t="s">
        <v>19361</v>
      </c>
      <c r="I231" s="22" t="s">
        <v>19309</v>
      </c>
      <c r="J231" s="22" t="s">
        <v>19849</v>
      </c>
      <c r="K231" s="22" t="s">
        <v>19850</v>
      </c>
      <c r="L231" s="22"/>
      <c r="M231" s="22"/>
      <c r="N231" s="25" t="str">
        <f>HYPERLINK("http://slimages.macys.com/is/image/MCY/19068277 ")</f>
        <v xml:space="preserve">http://slimages.macys.com/is/image/MCY/19068277 </v>
      </c>
    </row>
    <row r="232" spans="1:14" ht="24.75" x14ac:dyDescent="0.25">
      <c r="A232" s="21" t="s">
        <v>3939</v>
      </c>
      <c r="B232" s="22" t="s">
        <v>3940</v>
      </c>
      <c r="C232" s="2">
        <v>5</v>
      </c>
      <c r="D232" s="23">
        <v>7.99</v>
      </c>
      <c r="E232" s="3">
        <v>39.950000000000003</v>
      </c>
      <c r="F232" s="2" t="s">
        <v>3941</v>
      </c>
      <c r="G232" s="22" t="s">
        <v>19431</v>
      </c>
      <c r="H232" s="24" t="s">
        <v>20135</v>
      </c>
      <c r="I232" s="22" t="s">
        <v>19309</v>
      </c>
      <c r="J232" s="22" t="s">
        <v>19573</v>
      </c>
      <c r="K232" s="22" t="s">
        <v>19574</v>
      </c>
      <c r="L232" s="22"/>
      <c r="M232" s="22"/>
      <c r="N232" s="25" t="str">
        <f>HYPERLINK("http://slimages.macys.com/is/image/MCY/21209283 ")</f>
        <v xml:space="preserve">http://slimages.macys.com/is/image/MCY/21209283 </v>
      </c>
    </row>
    <row r="233" spans="1:14" ht="24.75" x14ac:dyDescent="0.25">
      <c r="A233" s="21" t="s">
        <v>3942</v>
      </c>
      <c r="B233" s="22" t="s">
        <v>3943</v>
      </c>
      <c r="C233" s="2">
        <v>1</v>
      </c>
      <c r="D233" s="23">
        <v>7.99</v>
      </c>
      <c r="E233" s="3">
        <v>7.99</v>
      </c>
      <c r="F233" s="2" t="s">
        <v>3944</v>
      </c>
      <c r="G233" s="22" t="s">
        <v>19422</v>
      </c>
      <c r="H233" s="24" t="s">
        <v>20089</v>
      </c>
      <c r="I233" s="22" t="s">
        <v>19309</v>
      </c>
      <c r="J233" s="22" t="s">
        <v>19573</v>
      </c>
      <c r="K233" s="22" t="s">
        <v>19574</v>
      </c>
      <c r="L233" s="22"/>
      <c r="M233" s="22"/>
      <c r="N233" s="25" t="str">
        <f>HYPERLINK("http://slimages.macys.com/is/image/MCY/19217867 ")</f>
        <v xml:space="preserve">http://slimages.macys.com/is/image/MCY/19217867 </v>
      </c>
    </row>
    <row r="234" spans="1:14" ht="24.75" x14ac:dyDescent="0.25">
      <c r="A234" s="21" t="s">
        <v>3945</v>
      </c>
      <c r="B234" s="22" t="s">
        <v>3946</v>
      </c>
      <c r="C234" s="2">
        <v>6</v>
      </c>
      <c r="D234" s="23">
        <v>7.99</v>
      </c>
      <c r="E234" s="3">
        <v>47.94</v>
      </c>
      <c r="F234" s="2" t="s">
        <v>3947</v>
      </c>
      <c r="G234" s="22" t="s">
        <v>19338</v>
      </c>
      <c r="H234" s="24" t="s">
        <v>19364</v>
      </c>
      <c r="I234" s="22" t="s">
        <v>19309</v>
      </c>
      <c r="J234" s="22" t="s">
        <v>19353</v>
      </c>
      <c r="K234" s="22" t="s">
        <v>19524</v>
      </c>
      <c r="L234" s="22"/>
      <c r="M234" s="22"/>
      <c r="N234" s="25" t="str">
        <f>HYPERLINK("http://slimages.macys.com/is/image/MCY/19252872 ")</f>
        <v xml:space="preserve">http://slimages.macys.com/is/image/MCY/19252872 </v>
      </c>
    </row>
    <row r="235" spans="1:14" x14ac:dyDescent="0.25">
      <c r="A235" s="21" t="s">
        <v>3561</v>
      </c>
      <c r="B235" s="22" t="s">
        <v>3562</v>
      </c>
      <c r="C235" s="2">
        <v>4</v>
      </c>
      <c r="D235" s="23">
        <v>8.3000000000000007</v>
      </c>
      <c r="E235" s="3">
        <v>33.200000000000003</v>
      </c>
      <c r="F235" s="2" t="s">
        <v>9667</v>
      </c>
      <c r="G235" s="22" t="s">
        <v>19431</v>
      </c>
      <c r="H235" s="24" t="s">
        <v>19770</v>
      </c>
      <c r="I235" s="22" t="s">
        <v>19309</v>
      </c>
      <c r="J235" s="22" t="s">
        <v>19708</v>
      </c>
      <c r="K235" s="22" t="s">
        <v>19709</v>
      </c>
      <c r="L235" s="22"/>
      <c r="M235" s="22"/>
      <c r="N235" s="25" t="str">
        <f>HYPERLINK("http://slimages.macys.com/is/image/MCY/21726415 ")</f>
        <v xml:space="preserve">http://slimages.macys.com/is/image/MCY/21726415 </v>
      </c>
    </row>
    <row r="236" spans="1:14" x14ac:dyDescent="0.25">
      <c r="A236" s="21" t="s">
        <v>4913</v>
      </c>
      <c r="B236" s="22" t="s">
        <v>4914</v>
      </c>
      <c r="C236" s="2">
        <v>2</v>
      </c>
      <c r="D236" s="23">
        <v>8.3000000000000007</v>
      </c>
      <c r="E236" s="3">
        <v>16.600000000000001</v>
      </c>
      <c r="F236" s="2" t="s">
        <v>9664</v>
      </c>
      <c r="G236" s="22" t="s">
        <v>19594</v>
      </c>
      <c r="H236" s="24" t="s">
        <v>20152</v>
      </c>
      <c r="I236" s="22" t="s">
        <v>19309</v>
      </c>
      <c r="J236" s="22" t="s">
        <v>19708</v>
      </c>
      <c r="K236" s="22" t="s">
        <v>19709</v>
      </c>
      <c r="L236" s="22"/>
      <c r="M236" s="22"/>
      <c r="N236" s="25" t="str">
        <f>HYPERLINK("http://slimages.macys.com/is/image/MCY/21726389 ")</f>
        <v xml:space="preserve">http://slimages.macys.com/is/image/MCY/21726389 </v>
      </c>
    </row>
    <row r="237" spans="1:14" x14ac:dyDescent="0.25">
      <c r="A237" s="21" t="s">
        <v>6198</v>
      </c>
      <c r="B237" s="22" t="s">
        <v>6199</v>
      </c>
      <c r="C237" s="2">
        <v>27</v>
      </c>
      <c r="D237" s="23">
        <v>8.3000000000000007</v>
      </c>
      <c r="E237" s="3">
        <v>224.1</v>
      </c>
      <c r="F237" s="2" t="s">
        <v>9667</v>
      </c>
      <c r="G237" s="22" t="s">
        <v>19431</v>
      </c>
      <c r="H237" s="24" t="s">
        <v>19416</v>
      </c>
      <c r="I237" s="22" t="s">
        <v>19309</v>
      </c>
      <c r="J237" s="22" t="s">
        <v>19708</v>
      </c>
      <c r="K237" s="22" t="s">
        <v>19709</v>
      </c>
      <c r="L237" s="22"/>
      <c r="M237" s="22"/>
      <c r="N237" s="25" t="str">
        <f>HYPERLINK("http://slimages.macys.com/is/image/MCY/21726415 ")</f>
        <v xml:space="preserve">http://slimages.macys.com/is/image/MCY/21726415 </v>
      </c>
    </row>
    <row r="238" spans="1:14" x14ac:dyDescent="0.25">
      <c r="A238" s="21" t="s">
        <v>3948</v>
      </c>
      <c r="B238" s="22" t="s">
        <v>3949</v>
      </c>
      <c r="C238" s="2">
        <v>18</v>
      </c>
      <c r="D238" s="23">
        <v>8.3000000000000007</v>
      </c>
      <c r="E238" s="3">
        <v>149.4</v>
      </c>
      <c r="F238" s="2" t="s">
        <v>3695</v>
      </c>
      <c r="G238" s="22" t="s">
        <v>19431</v>
      </c>
      <c r="H238" s="24" t="s">
        <v>20159</v>
      </c>
      <c r="I238" s="22" t="s">
        <v>19309</v>
      </c>
      <c r="J238" s="22" t="s">
        <v>19708</v>
      </c>
      <c r="K238" s="22" t="s">
        <v>19709</v>
      </c>
      <c r="L238" s="22"/>
      <c r="M238" s="22"/>
      <c r="N238" s="25" t="str">
        <f>HYPERLINK("http://slimages.macys.com/is/image/MCY/21726395 ")</f>
        <v xml:space="preserve">http://slimages.macys.com/is/image/MCY/21726395 </v>
      </c>
    </row>
    <row r="239" spans="1:14" ht="24.75" x14ac:dyDescent="0.25">
      <c r="A239" s="21" t="s">
        <v>7997</v>
      </c>
      <c r="B239" s="22" t="s">
        <v>7998</v>
      </c>
      <c r="C239" s="2">
        <v>1</v>
      </c>
      <c r="D239" s="23">
        <v>7.99</v>
      </c>
      <c r="E239" s="3">
        <v>7.99</v>
      </c>
      <c r="F239" s="2" t="s">
        <v>19003</v>
      </c>
      <c r="G239" s="22" t="s">
        <v>19670</v>
      </c>
      <c r="H239" s="24" t="s">
        <v>20135</v>
      </c>
      <c r="I239" s="22" t="s">
        <v>19309</v>
      </c>
      <c r="J239" s="22" t="s">
        <v>19573</v>
      </c>
      <c r="K239" s="22" t="s">
        <v>19574</v>
      </c>
      <c r="L239" s="22"/>
      <c r="M239" s="22"/>
      <c r="N239" s="25" t="str">
        <f>HYPERLINK("http://slimages.macys.com/is/image/MCY/21209382 ")</f>
        <v xml:space="preserve">http://slimages.macys.com/is/image/MCY/21209382 </v>
      </c>
    </row>
    <row r="240" spans="1:14" ht="24.75" x14ac:dyDescent="0.25">
      <c r="A240" s="21" t="s">
        <v>14135</v>
      </c>
      <c r="B240" s="22" t="s">
        <v>14136</v>
      </c>
      <c r="C240" s="2">
        <v>1</v>
      </c>
      <c r="D240" s="23">
        <v>6.99</v>
      </c>
      <c r="E240" s="3">
        <v>6.99</v>
      </c>
      <c r="F240" s="2" t="s">
        <v>14137</v>
      </c>
      <c r="G240" s="22" t="s">
        <v>19906</v>
      </c>
      <c r="H240" s="24" t="s">
        <v>19384</v>
      </c>
      <c r="I240" s="22" t="s">
        <v>19309</v>
      </c>
      <c r="J240" s="22" t="s">
        <v>19573</v>
      </c>
      <c r="K240" s="22" t="s">
        <v>19574</v>
      </c>
      <c r="L240" s="22"/>
      <c r="M240" s="22"/>
      <c r="N240" s="25" t="str">
        <f>HYPERLINK("http://slimages.macys.com/is/image/MCY/1586967 ")</f>
        <v xml:space="preserve">http://slimages.macys.com/is/image/MCY/1586967 </v>
      </c>
    </row>
    <row r="241" spans="1:14" ht="24.75" x14ac:dyDescent="0.25">
      <c r="A241" s="21" t="s">
        <v>3950</v>
      </c>
      <c r="B241" s="22" t="s">
        <v>8898</v>
      </c>
      <c r="C241" s="2">
        <v>1</v>
      </c>
      <c r="D241" s="23">
        <v>7.99</v>
      </c>
      <c r="E241" s="3">
        <v>7.99</v>
      </c>
      <c r="F241" s="2" t="s">
        <v>3951</v>
      </c>
      <c r="G241" s="22" t="s">
        <v>19674</v>
      </c>
      <c r="H241" s="24" t="s">
        <v>19907</v>
      </c>
      <c r="I241" s="22" t="s">
        <v>19309</v>
      </c>
      <c r="J241" s="22" t="s">
        <v>19573</v>
      </c>
      <c r="K241" s="22" t="s">
        <v>19574</v>
      </c>
      <c r="L241" s="22"/>
      <c r="M241" s="22"/>
      <c r="N241" s="25" t="str">
        <f>HYPERLINK("http://slimages.macys.com/is/image/MCY/21970125 ")</f>
        <v xml:space="preserve">http://slimages.macys.com/is/image/MCY/21970125 </v>
      </c>
    </row>
    <row r="242" spans="1:14" ht="24.75" x14ac:dyDescent="0.25">
      <c r="A242" s="21" t="s">
        <v>3952</v>
      </c>
      <c r="B242" s="22" t="s">
        <v>3953</v>
      </c>
      <c r="C242" s="2">
        <v>16</v>
      </c>
      <c r="D242" s="23">
        <v>7.99</v>
      </c>
      <c r="E242" s="3">
        <v>127.84</v>
      </c>
      <c r="F242" s="2" t="s">
        <v>19012</v>
      </c>
      <c r="G242" s="22" t="s">
        <v>19674</v>
      </c>
      <c r="H242" s="24" t="s">
        <v>19416</v>
      </c>
      <c r="I242" s="22" t="s">
        <v>19309</v>
      </c>
      <c r="J242" s="22" t="s">
        <v>19573</v>
      </c>
      <c r="K242" s="22" t="s">
        <v>19574</v>
      </c>
      <c r="L242" s="22"/>
      <c r="M242" s="22"/>
      <c r="N242" s="25" t="str">
        <f>HYPERLINK("http://slimages.macys.com/is/image/MCY/21361565 ")</f>
        <v xml:space="preserve">http://slimages.macys.com/is/image/MCY/21361565 </v>
      </c>
    </row>
    <row r="243" spans="1:14" ht="24.75" x14ac:dyDescent="0.25">
      <c r="A243" s="21" t="s">
        <v>4923</v>
      </c>
      <c r="B243" s="22" t="s">
        <v>4924</v>
      </c>
      <c r="C243" s="2">
        <v>18</v>
      </c>
      <c r="D243" s="23">
        <v>7.99</v>
      </c>
      <c r="E243" s="3">
        <v>143.82</v>
      </c>
      <c r="F243" s="2" t="s">
        <v>19012</v>
      </c>
      <c r="G243" s="22" t="s">
        <v>19415</v>
      </c>
      <c r="H243" s="24" t="s">
        <v>19416</v>
      </c>
      <c r="I243" s="22" t="s">
        <v>19309</v>
      </c>
      <c r="J243" s="22" t="s">
        <v>19573</v>
      </c>
      <c r="K243" s="22" t="s">
        <v>19574</v>
      </c>
      <c r="L243" s="22"/>
      <c r="M243" s="22"/>
      <c r="N243" s="25" t="str">
        <f>HYPERLINK("http://slimages.macys.com/is/image/MCY/1554879 ")</f>
        <v xml:space="preserve">http://slimages.macys.com/is/image/MCY/1554879 </v>
      </c>
    </row>
    <row r="244" spans="1:14" ht="24.75" x14ac:dyDescent="0.25">
      <c r="A244" s="21" t="s">
        <v>8021</v>
      </c>
      <c r="B244" s="22" t="s">
        <v>8022</v>
      </c>
      <c r="C244" s="2">
        <v>7</v>
      </c>
      <c r="D244" s="23">
        <v>7.99</v>
      </c>
      <c r="E244" s="3">
        <v>55.93</v>
      </c>
      <c r="F244" s="2" t="s">
        <v>11129</v>
      </c>
      <c r="G244" s="22" t="s">
        <v>19351</v>
      </c>
      <c r="H244" s="24" t="s">
        <v>20089</v>
      </c>
      <c r="I244" s="22" t="s">
        <v>19309</v>
      </c>
      <c r="J244" s="22" t="s">
        <v>19573</v>
      </c>
      <c r="K244" s="22" t="s">
        <v>19574</v>
      </c>
      <c r="L244" s="22"/>
      <c r="M244" s="22"/>
      <c r="N244" s="25" t="str">
        <f>HYPERLINK("http://slimages.macys.com/is/image/MCY/1610409 ")</f>
        <v xml:space="preserve">http://slimages.macys.com/is/image/MCY/1610409 </v>
      </c>
    </row>
    <row r="245" spans="1:14" ht="24.75" x14ac:dyDescent="0.25">
      <c r="A245" s="21" t="s">
        <v>11127</v>
      </c>
      <c r="B245" s="22" t="s">
        <v>11128</v>
      </c>
      <c r="C245" s="2">
        <v>12</v>
      </c>
      <c r="D245" s="23">
        <v>7.99</v>
      </c>
      <c r="E245" s="3">
        <v>95.88</v>
      </c>
      <c r="F245" s="2" t="s">
        <v>11129</v>
      </c>
      <c r="G245" s="22" t="s">
        <v>19351</v>
      </c>
      <c r="H245" s="24" t="s">
        <v>20135</v>
      </c>
      <c r="I245" s="22" t="s">
        <v>19309</v>
      </c>
      <c r="J245" s="22" t="s">
        <v>19573</v>
      </c>
      <c r="K245" s="22" t="s">
        <v>19574</v>
      </c>
      <c r="L245" s="22"/>
      <c r="M245" s="22"/>
      <c r="N245" s="25" t="str">
        <f>HYPERLINK("http://slimages.macys.com/is/image/MCY/1610409 ")</f>
        <v xml:space="preserve">http://slimages.macys.com/is/image/MCY/1610409 </v>
      </c>
    </row>
    <row r="246" spans="1:14" ht="24.75" x14ac:dyDescent="0.25">
      <c r="A246" s="21" t="s">
        <v>8345</v>
      </c>
      <c r="B246" s="22" t="s">
        <v>8346</v>
      </c>
      <c r="C246" s="2">
        <v>5</v>
      </c>
      <c r="D246" s="23">
        <v>6.99</v>
      </c>
      <c r="E246" s="3">
        <v>34.950000000000003</v>
      </c>
      <c r="F246" s="2" t="s">
        <v>17155</v>
      </c>
      <c r="G246" s="22" t="s">
        <v>19674</v>
      </c>
      <c r="H246" s="24" t="s">
        <v>19384</v>
      </c>
      <c r="I246" s="22" t="s">
        <v>19309</v>
      </c>
      <c r="J246" s="22" t="s">
        <v>19573</v>
      </c>
      <c r="K246" s="22" t="s">
        <v>19574</v>
      </c>
      <c r="L246" s="22"/>
      <c r="M246" s="22"/>
      <c r="N246" s="25" t="str">
        <f>HYPERLINK("http://slimages.macys.com/is/image/MCY/14799396 ")</f>
        <v xml:space="preserve">http://slimages.macys.com/is/image/MCY/14799396 </v>
      </c>
    </row>
    <row r="247" spans="1:14" ht="24.75" x14ac:dyDescent="0.25">
      <c r="A247" s="21" t="s">
        <v>3954</v>
      </c>
      <c r="B247" s="22" t="s">
        <v>3955</v>
      </c>
      <c r="C247" s="2">
        <v>1</v>
      </c>
      <c r="D247" s="23">
        <v>7.99</v>
      </c>
      <c r="E247" s="3">
        <v>7.99</v>
      </c>
      <c r="F247" s="2" t="s">
        <v>14720</v>
      </c>
      <c r="G247" s="22" t="s">
        <v>19670</v>
      </c>
      <c r="H247" s="24" t="s">
        <v>20135</v>
      </c>
      <c r="I247" s="22" t="s">
        <v>19309</v>
      </c>
      <c r="J247" s="22" t="s">
        <v>19573</v>
      </c>
      <c r="K247" s="22" t="s">
        <v>19574</v>
      </c>
      <c r="L247" s="22"/>
      <c r="M247" s="22"/>
      <c r="N247" s="25" t="str">
        <f>HYPERLINK("http://slimages.macys.com/is/image/MCY/21209245 ")</f>
        <v xml:space="preserve">http://slimages.macys.com/is/image/MCY/21209245 </v>
      </c>
    </row>
    <row r="248" spans="1:14" ht="24.75" x14ac:dyDescent="0.25">
      <c r="A248" s="21" t="s">
        <v>3576</v>
      </c>
      <c r="B248" s="22" t="s">
        <v>3577</v>
      </c>
      <c r="C248" s="2">
        <v>2</v>
      </c>
      <c r="D248" s="23">
        <v>7.99</v>
      </c>
      <c r="E248" s="3">
        <v>15.98</v>
      </c>
      <c r="F248" s="2" t="s">
        <v>3578</v>
      </c>
      <c r="G248" s="22" t="s">
        <v>19467</v>
      </c>
      <c r="H248" s="24" t="s">
        <v>20089</v>
      </c>
      <c r="I248" s="22" t="s">
        <v>19309</v>
      </c>
      <c r="J248" s="22" t="s">
        <v>19573</v>
      </c>
      <c r="K248" s="22" t="s">
        <v>19574</v>
      </c>
      <c r="L248" s="22"/>
      <c r="M248" s="22"/>
      <c r="N248" s="25" t="str">
        <f>HYPERLINK("http://slimages.macys.com/is/image/MCY/19217927 ")</f>
        <v xml:space="preserve">http://slimages.macys.com/is/image/MCY/19217927 </v>
      </c>
    </row>
    <row r="249" spans="1:14" ht="24.75" x14ac:dyDescent="0.25">
      <c r="A249" s="21" t="s">
        <v>8349</v>
      </c>
      <c r="B249" s="22" t="s">
        <v>8350</v>
      </c>
      <c r="C249" s="2">
        <v>18</v>
      </c>
      <c r="D249" s="23">
        <v>7.99</v>
      </c>
      <c r="E249" s="3">
        <v>143.82</v>
      </c>
      <c r="F249" s="2" t="s">
        <v>17068</v>
      </c>
      <c r="G249" s="22" t="s">
        <v>19906</v>
      </c>
      <c r="H249" s="24" t="s">
        <v>20135</v>
      </c>
      <c r="I249" s="22" t="s">
        <v>19309</v>
      </c>
      <c r="J249" s="22" t="s">
        <v>19573</v>
      </c>
      <c r="K249" s="22" t="s">
        <v>19574</v>
      </c>
      <c r="L249" s="22"/>
      <c r="M249" s="22"/>
      <c r="N249" s="25" t="str">
        <f>HYPERLINK("http://slimages.macys.com/is/image/MCY/1554809 ")</f>
        <v xml:space="preserve">http://slimages.macys.com/is/image/MCY/1554809 </v>
      </c>
    </row>
    <row r="250" spans="1:14" ht="24.75" x14ac:dyDescent="0.25">
      <c r="A250" s="21" t="s">
        <v>9674</v>
      </c>
      <c r="B250" s="22" t="s">
        <v>9675</v>
      </c>
      <c r="C250" s="2">
        <v>3</v>
      </c>
      <c r="D250" s="23">
        <v>7.99</v>
      </c>
      <c r="E250" s="3">
        <v>23.97</v>
      </c>
      <c r="F250" s="2" t="s">
        <v>17068</v>
      </c>
      <c r="G250" s="22" t="s">
        <v>19674</v>
      </c>
      <c r="H250" s="24" t="s">
        <v>20135</v>
      </c>
      <c r="I250" s="22" t="s">
        <v>19309</v>
      </c>
      <c r="J250" s="22" t="s">
        <v>19573</v>
      </c>
      <c r="K250" s="22" t="s">
        <v>19574</v>
      </c>
      <c r="L250" s="22"/>
      <c r="M250" s="22"/>
      <c r="N250" s="25" t="str">
        <f>HYPERLINK("http://slimages.macys.com/is/image/MCY/21371404 ")</f>
        <v xml:space="preserve">http://slimages.macys.com/is/image/MCY/21371404 </v>
      </c>
    </row>
    <row r="251" spans="1:14" ht="24.75" x14ac:dyDescent="0.25">
      <c r="A251" s="21" t="s">
        <v>8351</v>
      </c>
      <c r="B251" s="22" t="s">
        <v>8352</v>
      </c>
      <c r="C251" s="2">
        <v>1</v>
      </c>
      <c r="D251" s="23">
        <v>7.99</v>
      </c>
      <c r="E251" s="3">
        <v>7.99</v>
      </c>
      <c r="F251" s="2" t="s">
        <v>17068</v>
      </c>
      <c r="G251" s="22" t="s">
        <v>19415</v>
      </c>
      <c r="H251" s="24" t="s">
        <v>20135</v>
      </c>
      <c r="I251" s="22" t="s">
        <v>19309</v>
      </c>
      <c r="J251" s="22" t="s">
        <v>19573</v>
      </c>
      <c r="K251" s="22" t="s">
        <v>19574</v>
      </c>
      <c r="L251" s="22"/>
      <c r="M251" s="22"/>
      <c r="N251" s="25" t="str">
        <f>HYPERLINK("http://slimages.macys.com/is/image/MCY/21371404 ")</f>
        <v xml:space="preserve">http://slimages.macys.com/is/image/MCY/21371404 </v>
      </c>
    </row>
    <row r="252" spans="1:14" ht="24.75" x14ac:dyDescent="0.25">
      <c r="A252" s="21" t="s">
        <v>8147</v>
      </c>
      <c r="B252" s="22" t="s">
        <v>8148</v>
      </c>
      <c r="C252" s="2">
        <v>36</v>
      </c>
      <c r="D252" s="23">
        <v>7.99</v>
      </c>
      <c r="E252" s="3">
        <v>287.64</v>
      </c>
      <c r="F252" s="2" t="s">
        <v>17068</v>
      </c>
      <c r="G252" s="22" t="s">
        <v>19906</v>
      </c>
      <c r="H252" s="24" t="s">
        <v>20089</v>
      </c>
      <c r="I252" s="22" t="s">
        <v>19309</v>
      </c>
      <c r="J252" s="22" t="s">
        <v>19573</v>
      </c>
      <c r="K252" s="22" t="s">
        <v>19574</v>
      </c>
      <c r="L252" s="22"/>
      <c r="M252" s="22"/>
      <c r="N252" s="25" t="str">
        <f>HYPERLINK("http://slimages.macys.com/is/image/MCY/1554809 ")</f>
        <v xml:space="preserve">http://slimages.macys.com/is/image/MCY/1554809 </v>
      </c>
    </row>
    <row r="253" spans="1:14" ht="24.75" x14ac:dyDescent="0.25">
      <c r="A253" s="21" t="s">
        <v>8149</v>
      </c>
      <c r="B253" s="22" t="s">
        <v>8150</v>
      </c>
      <c r="C253" s="2">
        <v>4</v>
      </c>
      <c r="D253" s="23">
        <v>7.99</v>
      </c>
      <c r="E253" s="3">
        <v>31.96</v>
      </c>
      <c r="F253" s="2" t="s">
        <v>17068</v>
      </c>
      <c r="G253" s="22" t="s">
        <v>19674</v>
      </c>
      <c r="H253" s="24" t="s">
        <v>19907</v>
      </c>
      <c r="I253" s="22" t="s">
        <v>19309</v>
      </c>
      <c r="J253" s="22" t="s">
        <v>19573</v>
      </c>
      <c r="K253" s="22" t="s">
        <v>19574</v>
      </c>
      <c r="L253" s="22"/>
      <c r="M253" s="22"/>
      <c r="N253" s="25" t="str">
        <f>HYPERLINK("http://slimages.macys.com/is/image/MCY/1554809 ")</f>
        <v xml:space="preserve">http://slimages.macys.com/is/image/MCY/1554809 </v>
      </c>
    </row>
    <row r="254" spans="1:14" ht="24.75" x14ac:dyDescent="0.25">
      <c r="A254" s="21" t="s">
        <v>17066</v>
      </c>
      <c r="B254" s="22" t="s">
        <v>17067</v>
      </c>
      <c r="C254" s="2">
        <v>1</v>
      </c>
      <c r="D254" s="23">
        <v>7.99</v>
      </c>
      <c r="E254" s="3">
        <v>7.99</v>
      </c>
      <c r="F254" s="2" t="s">
        <v>17068</v>
      </c>
      <c r="G254" s="22" t="s">
        <v>19415</v>
      </c>
      <c r="H254" s="24" t="s">
        <v>20089</v>
      </c>
      <c r="I254" s="22" t="s">
        <v>19309</v>
      </c>
      <c r="J254" s="22" t="s">
        <v>19573</v>
      </c>
      <c r="K254" s="22" t="s">
        <v>19574</v>
      </c>
      <c r="L254" s="22"/>
      <c r="M254" s="22"/>
      <c r="N254" s="25" t="str">
        <f>HYPERLINK("http://slimages.macys.com/is/image/MCY/21371404 ")</f>
        <v xml:space="preserve">http://slimages.macys.com/is/image/MCY/21371404 </v>
      </c>
    </row>
    <row r="255" spans="1:14" ht="24.75" x14ac:dyDescent="0.25">
      <c r="A255" s="21" t="s">
        <v>9676</v>
      </c>
      <c r="B255" s="22" t="s">
        <v>9677</v>
      </c>
      <c r="C255" s="2">
        <v>18</v>
      </c>
      <c r="D255" s="23">
        <v>7.99</v>
      </c>
      <c r="E255" s="3">
        <v>143.82</v>
      </c>
      <c r="F255" s="2" t="s">
        <v>17068</v>
      </c>
      <c r="G255" s="22" t="s">
        <v>19674</v>
      </c>
      <c r="H255" s="24" t="s">
        <v>20089</v>
      </c>
      <c r="I255" s="22" t="s">
        <v>19309</v>
      </c>
      <c r="J255" s="22" t="s">
        <v>19573</v>
      </c>
      <c r="K255" s="22" t="s">
        <v>19574</v>
      </c>
      <c r="L255" s="22"/>
      <c r="M255" s="22"/>
      <c r="N255" s="25" t="str">
        <f>HYPERLINK("http://slimages.macys.com/is/image/MCY/1554809 ")</f>
        <v xml:space="preserve">http://slimages.macys.com/is/image/MCY/1554809 </v>
      </c>
    </row>
    <row r="256" spans="1:14" ht="24.75" x14ac:dyDescent="0.25">
      <c r="A256" s="21" t="s">
        <v>8353</v>
      </c>
      <c r="B256" s="22" t="s">
        <v>8354</v>
      </c>
      <c r="C256" s="2">
        <v>12</v>
      </c>
      <c r="D256" s="23">
        <v>7.99</v>
      </c>
      <c r="E256" s="3">
        <v>95.88</v>
      </c>
      <c r="F256" s="2" t="s">
        <v>17068</v>
      </c>
      <c r="G256" s="22" t="s">
        <v>19906</v>
      </c>
      <c r="H256" s="24" t="s">
        <v>19907</v>
      </c>
      <c r="I256" s="22" t="s">
        <v>19309</v>
      </c>
      <c r="J256" s="22" t="s">
        <v>19573</v>
      </c>
      <c r="K256" s="22" t="s">
        <v>19574</v>
      </c>
      <c r="L256" s="22"/>
      <c r="M256" s="22"/>
      <c r="N256" s="25" t="str">
        <f>HYPERLINK("http://slimages.macys.com/is/image/MCY/1554809 ")</f>
        <v xml:space="preserve">http://slimages.macys.com/is/image/MCY/1554809 </v>
      </c>
    </row>
    <row r="257" spans="1:14" ht="24.75" x14ac:dyDescent="0.25">
      <c r="A257" s="21" t="s">
        <v>3956</v>
      </c>
      <c r="B257" s="22" t="s">
        <v>3957</v>
      </c>
      <c r="C257" s="2">
        <v>1</v>
      </c>
      <c r="D257" s="23">
        <v>5.99</v>
      </c>
      <c r="E257" s="3">
        <v>5.99</v>
      </c>
      <c r="F257" s="2" t="s">
        <v>3958</v>
      </c>
      <c r="G257" s="22" t="s">
        <v>19351</v>
      </c>
      <c r="H257" s="24" t="s">
        <v>19361</v>
      </c>
      <c r="I257" s="22" t="s">
        <v>19309</v>
      </c>
      <c r="J257" s="22" t="s">
        <v>19454</v>
      </c>
      <c r="K257" s="22" t="s">
        <v>18654</v>
      </c>
      <c r="L257" s="22"/>
      <c r="M257" s="22"/>
      <c r="N257" s="25" t="str">
        <f>HYPERLINK("http://slimages.macys.com/is/image/MCY/19844134 ")</f>
        <v xml:space="preserve">http://slimages.macys.com/is/image/MCY/19844134 </v>
      </c>
    </row>
    <row r="258" spans="1:14" ht="24.75" x14ac:dyDescent="0.25">
      <c r="A258" s="21" t="s">
        <v>14740</v>
      </c>
      <c r="B258" s="22" t="s">
        <v>14741</v>
      </c>
      <c r="C258" s="2">
        <v>3</v>
      </c>
      <c r="D258" s="23">
        <v>7.99</v>
      </c>
      <c r="E258" s="3">
        <v>23.97</v>
      </c>
      <c r="F258" s="2" t="s">
        <v>19040</v>
      </c>
      <c r="G258" s="22" t="s">
        <v>19906</v>
      </c>
      <c r="H258" s="24" t="s">
        <v>20135</v>
      </c>
      <c r="I258" s="22" t="s">
        <v>19309</v>
      </c>
      <c r="J258" s="22" t="s">
        <v>19573</v>
      </c>
      <c r="K258" s="22" t="s">
        <v>19574</v>
      </c>
      <c r="L258" s="22"/>
      <c r="M258" s="22"/>
      <c r="N258" s="25" t="str">
        <f>HYPERLINK("http://slimages.macys.com/is/image/MCY/21209467 ")</f>
        <v xml:space="preserve">http://slimages.macys.com/is/image/MCY/21209467 </v>
      </c>
    </row>
    <row r="259" spans="1:14" ht="24.75" x14ac:dyDescent="0.25">
      <c r="A259" s="21" t="s">
        <v>3579</v>
      </c>
      <c r="B259" s="22" t="s">
        <v>3580</v>
      </c>
      <c r="C259" s="2">
        <v>1</v>
      </c>
      <c r="D259" s="23">
        <v>7.99</v>
      </c>
      <c r="E259" s="3">
        <v>7.99</v>
      </c>
      <c r="F259" s="2" t="s">
        <v>4944</v>
      </c>
      <c r="G259" s="22" t="s">
        <v>19415</v>
      </c>
      <c r="H259" s="24" t="s">
        <v>20089</v>
      </c>
      <c r="I259" s="22" t="s">
        <v>19309</v>
      </c>
      <c r="J259" s="22" t="s">
        <v>19573</v>
      </c>
      <c r="K259" s="22" t="s">
        <v>19574</v>
      </c>
      <c r="L259" s="22"/>
      <c r="M259" s="22"/>
      <c r="N259" s="25" t="str">
        <f>HYPERLINK("http://slimages.macys.com/is/image/MCY/1594361 ")</f>
        <v xml:space="preserve">http://slimages.macys.com/is/image/MCY/1594361 </v>
      </c>
    </row>
    <row r="260" spans="1:14" ht="24.75" x14ac:dyDescent="0.25">
      <c r="A260" s="21" t="s">
        <v>11137</v>
      </c>
      <c r="B260" s="22" t="s">
        <v>11138</v>
      </c>
      <c r="C260" s="2">
        <v>14</v>
      </c>
      <c r="D260" s="23">
        <v>7.99</v>
      </c>
      <c r="E260" s="3">
        <v>111.86</v>
      </c>
      <c r="F260" s="2" t="s">
        <v>17068</v>
      </c>
      <c r="G260" s="22" t="s">
        <v>19462</v>
      </c>
      <c r="H260" s="24" t="s">
        <v>19907</v>
      </c>
      <c r="I260" s="22" t="s">
        <v>19309</v>
      </c>
      <c r="J260" s="22" t="s">
        <v>19573</v>
      </c>
      <c r="K260" s="22" t="s">
        <v>19574</v>
      </c>
      <c r="L260" s="22"/>
      <c r="M260" s="22"/>
      <c r="N260" s="25" t="str">
        <f>HYPERLINK("http://slimages.macys.com/is/image/MCY/20757991 ")</f>
        <v xml:space="preserve">http://slimages.macys.com/is/image/MCY/20757991 </v>
      </c>
    </row>
    <row r="261" spans="1:14" ht="24.75" x14ac:dyDescent="0.25">
      <c r="A261" s="21" t="s">
        <v>11139</v>
      </c>
      <c r="B261" s="22" t="s">
        <v>11140</v>
      </c>
      <c r="C261" s="2">
        <v>9</v>
      </c>
      <c r="D261" s="23">
        <v>7.99</v>
      </c>
      <c r="E261" s="3">
        <v>71.91</v>
      </c>
      <c r="F261" s="2" t="s">
        <v>17068</v>
      </c>
      <c r="G261" s="22" t="s">
        <v>19674</v>
      </c>
      <c r="H261" s="24" t="s">
        <v>19907</v>
      </c>
      <c r="I261" s="22" t="s">
        <v>19309</v>
      </c>
      <c r="J261" s="22" t="s">
        <v>19573</v>
      </c>
      <c r="K261" s="22" t="s">
        <v>19574</v>
      </c>
      <c r="L261" s="22"/>
      <c r="M261" s="22"/>
      <c r="N261" s="25" t="str">
        <f>HYPERLINK("http://slimages.macys.com/is/image/MCY/20757995 ")</f>
        <v xml:space="preserve">http://slimages.macys.com/is/image/MCY/20757995 </v>
      </c>
    </row>
    <row r="262" spans="1:14" ht="24.75" x14ac:dyDescent="0.25">
      <c r="A262" s="21" t="s">
        <v>8458</v>
      </c>
      <c r="B262" s="22" t="s">
        <v>8459</v>
      </c>
      <c r="C262" s="2">
        <v>7</v>
      </c>
      <c r="D262" s="23">
        <v>7.99</v>
      </c>
      <c r="E262" s="3">
        <v>55.93</v>
      </c>
      <c r="F262" s="2" t="s">
        <v>17068</v>
      </c>
      <c r="G262" s="22" t="s">
        <v>19462</v>
      </c>
      <c r="H262" s="24" t="s">
        <v>20089</v>
      </c>
      <c r="I262" s="22" t="s">
        <v>19309</v>
      </c>
      <c r="J262" s="22" t="s">
        <v>19573</v>
      </c>
      <c r="K262" s="22" t="s">
        <v>19574</v>
      </c>
      <c r="L262" s="22"/>
      <c r="M262" s="22"/>
      <c r="N262" s="25" t="str">
        <f>HYPERLINK("http://slimages.macys.com/is/image/MCY/20757991 ")</f>
        <v xml:space="preserve">http://slimages.macys.com/is/image/MCY/20757991 </v>
      </c>
    </row>
    <row r="263" spans="1:14" ht="24.75" x14ac:dyDescent="0.25">
      <c r="A263" s="21" t="s">
        <v>4952</v>
      </c>
      <c r="B263" s="22" t="s">
        <v>4953</v>
      </c>
      <c r="C263" s="2">
        <v>11</v>
      </c>
      <c r="D263" s="23">
        <v>6.99</v>
      </c>
      <c r="E263" s="3">
        <v>76.89</v>
      </c>
      <c r="F263" s="2" t="s">
        <v>7160</v>
      </c>
      <c r="G263" s="22" t="s">
        <v>19906</v>
      </c>
      <c r="H263" s="24" t="s">
        <v>19324</v>
      </c>
      <c r="I263" s="22" t="s">
        <v>19309</v>
      </c>
      <c r="J263" s="22" t="s">
        <v>19573</v>
      </c>
      <c r="K263" s="22" t="s">
        <v>19574</v>
      </c>
      <c r="L263" s="22"/>
      <c r="M263" s="22"/>
      <c r="N263" s="25" t="str">
        <f>HYPERLINK("http://slimages.macys.com/is/image/MCY/1554928 ")</f>
        <v xml:space="preserve">http://slimages.macys.com/is/image/MCY/1554928 </v>
      </c>
    </row>
    <row r="264" spans="1:14" ht="24.75" x14ac:dyDescent="0.25">
      <c r="A264" s="21" t="s">
        <v>3959</v>
      </c>
      <c r="B264" s="22" t="s">
        <v>3960</v>
      </c>
      <c r="C264" s="2">
        <v>1</v>
      </c>
      <c r="D264" s="23">
        <v>7.99</v>
      </c>
      <c r="E264" s="3">
        <v>7.99</v>
      </c>
      <c r="F264" s="2" t="s">
        <v>4391</v>
      </c>
      <c r="G264" s="22" t="s">
        <v>19585</v>
      </c>
      <c r="H264" s="24" t="s">
        <v>20135</v>
      </c>
      <c r="I264" s="22" t="s">
        <v>19309</v>
      </c>
      <c r="J264" s="22" t="s">
        <v>19573</v>
      </c>
      <c r="K264" s="22" t="s">
        <v>19574</v>
      </c>
      <c r="L264" s="22"/>
      <c r="M264" s="22"/>
      <c r="N264" s="25" t="str">
        <f>HYPERLINK("http://slimages.macys.com/is/image/MCY/1151739 ")</f>
        <v xml:space="preserve">http://slimages.macys.com/is/image/MCY/1151739 </v>
      </c>
    </row>
    <row r="265" spans="1:14" ht="24.75" x14ac:dyDescent="0.25">
      <c r="A265" s="21" t="s">
        <v>7161</v>
      </c>
      <c r="B265" s="22" t="s">
        <v>7162</v>
      </c>
      <c r="C265" s="2">
        <v>1</v>
      </c>
      <c r="D265" s="23">
        <v>6.99</v>
      </c>
      <c r="E265" s="3">
        <v>6.99</v>
      </c>
      <c r="F265" s="2" t="s">
        <v>7163</v>
      </c>
      <c r="G265" s="22" t="s">
        <v>19351</v>
      </c>
      <c r="H265" s="24" t="s">
        <v>19324</v>
      </c>
      <c r="I265" s="22" t="s">
        <v>19309</v>
      </c>
      <c r="J265" s="22" t="s">
        <v>19573</v>
      </c>
      <c r="K265" s="22" t="s">
        <v>19574</v>
      </c>
      <c r="L265" s="22"/>
      <c r="M265" s="22"/>
      <c r="N265" s="25" t="str">
        <f>HYPERLINK("http://slimages.macys.com/is/image/MCY/19977838 ")</f>
        <v xml:space="preserve">http://slimages.macys.com/is/image/MCY/19977838 </v>
      </c>
    </row>
    <row r="266" spans="1:14" ht="24.75" x14ac:dyDescent="0.25">
      <c r="A266" s="21" t="s">
        <v>3585</v>
      </c>
      <c r="B266" s="22" t="s">
        <v>3586</v>
      </c>
      <c r="C266" s="2">
        <v>1</v>
      </c>
      <c r="D266" s="23">
        <v>7.99</v>
      </c>
      <c r="E266" s="3">
        <v>7.99</v>
      </c>
      <c r="F266" s="2" t="s">
        <v>9686</v>
      </c>
      <c r="G266" s="22" t="s">
        <v>19351</v>
      </c>
      <c r="H266" s="24" t="s">
        <v>19907</v>
      </c>
      <c r="I266" s="22" t="s">
        <v>19309</v>
      </c>
      <c r="J266" s="22" t="s">
        <v>19573</v>
      </c>
      <c r="K266" s="22" t="s">
        <v>19574</v>
      </c>
      <c r="L266" s="22"/>
      <c r="M266" s="22"/>
      <c r="N266" s="25" t="str">
        <f>HYPERLINK("http://slimages.macys.com/is/image/MCY/21209408 ")</f>
        <v xml:space="preserve">http://slimages.macys.com/is/image/MCY/21209408 </v>
      </c>
    </row>
    <row r="267" spans="1:14" ht="24.75" x14ac:dyDescent="0.25">
      <c r="A267" s="21" t="s">
        <v>8460</v>
      </c>
      <c r="B267" s="22" t="s">
        <v>8461</v>
      </c>
      <c r="C267" s="2">
        <v>36</v>
      </c>
      <c r="D267" s="23">
        <v>7.99</v>
      </c>
      <c r="E267" s="3">
        <v>287.64</v>
      </c>
      <c r="F267" s="2" t="s">
        <v>8365</v>
      </c>
      <c r="G267" s="22" t="s">
        <v>19618</v>
      </c>
      <c r="H267" s="24" t="s">
        <v>20135</v>
      </c>
      <c r="I267" s="22" t="s">
        <v>19309</v>
      </c>
      <c r="J267" s="22" t="s">
        <v>19573</v>
      </c>
      <c r="K267" s="22" t="s">
        <v>19574</v>
      </c>
      <c r="L267" s="22"/>
      <c r="M267" s="22"/>
      <c r="N267" s="25" t="str">
        <f>HYPERLINK("http://slimages.macys.com/is/image/MCY/1610409 ")</f>
        <v xml:space="preserve">http://slimages.macys.com/is/image/MCY/1610409 </v>
      </c>
    </row>
    <row r="268" spans="1:14" ht="24.75" x14ac:dyDescent="0.25">
      <c r="A268" s="21" t="s">
        <v>3587</v>
      </c>
      <c r="B268" s="22" t="s">
        <v>3588</v>
      </c>
      <c r="C268" s="2">
        <v>4</v>
      </c>
      <c r="D268" s="23">
        <v>6.99</v>
      </c>
      <c r="E268" s="3">
        <v>27.96</v>
      </c>
      <c r="F268" s="2" t="s">
        <v>3589</v>
      </c>
      <c r="G268" s="22" t="s">
        <v>19467</v>
      </c>
      <c r="H268" s="24" t="s">
        <v>19384</v>
      </c>
      <c r="I268" s="22" t="s">
        <v>19309</v>
      </c>
      <c r="J268" s="22" t="s">
        <v>19573</v>
      </c>
      <c r="K268" s="22" t="s">
        <v>19574</v>
      </c>
      <c r="L268" s="22"/>
      <c r="M268" s="22"/>
      <c r="N268" s="25" t="str">
        <f>HYPERLINK("http://slimages.macys.com/is/image/MCY/20466473 ")</f>
        <v xml:space="preserve">http://slimages.macys.com/is/image/MCY/20466473 </v>
      </c>
    </row>
    <row r="269" spans="1:14" ht="24.75" x14ac:dyDescent="0.25">
      <c r="A269" s="21" t="s">
        <v>11141</v>
      </c>
      <c r="B269" s="22" t="s">
        <v>11142</v>
      </c>
      <c r="C269" s="2">
        <v>52</v>
      </c>
      <c r="D269" s="23">
        <v>7.99</v>
      </c>
      <c r="E269" s="3">
        <v>415.48</v>
      </c>
      <c r="F269" s="2" t="s">
        <v>11143</v>
      </c>
      <c r="G269" s="22" t="s">
        <v>19670</v>
      </c>
      <c r="H269" s="24" t="s">
        <v>20135</v>
      </c>
      <c r="I269" s="22" t="s">
        <v>19309</v>
      </c>
      <c r="J269" s="22" t="s">
        <v>19573</v>
      </c>
      <c r="K269" s="22" t="s">
        <v>19574</v>
      </c>
      <c r="L269" s="22"/>
      <c r="M269" s="22"/>
      <c r="N269" s="25" t="str">
        <f>HYPERLINK("http://slimages.macys.com/is/image/MCY/21209533 ")</f>
        <v xml:space="preserve">http://slimages.macys.com/is/image/MCY/21209533 </v>
      </c>
    </row>
    <row r="270" spans="1:14" ht="24.75" x14ac:dyDescent="0.25">
      <c r="A270" s="21" t="s">
        <v>8366</v>
      </c>
      <c r="B270" s="22" t="s">
        <v>8367</v>
      </c>
      <c r="C270" s="2">
        <v>3</v>
      </c>
      <c r="D270" s="23">
        <v>7.99</v>
      </c>
      <c r="E270" s="3">
        <v>23.97</v>
      </c>
      <c r="F270" s="2" t="s">
        <v>9689</v>
      </c>
      <c r="G270" s="22" t="s">
        <v>19674</v>
      </c>
      <c r="H270" s="24" t="s">
        <v>19907</v>
      </c>
      <c r="I270" s="22" t="s">
        <v>19309</v>
      </c>
      <c r="J270" s="22" t="s">
        <v>19573</v>
      </c>
      <c r="K270" s="22" t="s">
        <v>19574</v>
      </c>
      <c r="L270" s="22"/>
      <c r="M270" s="22"/>
      <c r="N270" s="25" t="str">
        <f>HYPERLINK("http://slimages.macys.com/is/image/MCY/21361805 ")</f>
        <v xml:space="preserve">http://slimages.macys.com/is/image/MCY/21361805 </v>
      </c>
    </row>
    <row r="271" spans="1:14" ht="24.75" x14ac:dyDescent="0.25">
      <c r="A271" s="21" t="s">
        <v>9246</v>
      </c>
      <c r="B271" s="22" t="s">
        <v>9247</v>
      </c>
      <c r="C271" s="2">
        <v>48</v>
      </c>
      <c r="D271" s="23">
        <v>7.99</v>
      </c>
      <c r="E271" s="3">
        <v>383.52</v>
      </c>
      <c r="F271" s="2" t="s">
        <v>11143</v>
      </c>
      <c r="G271" s="22" t="s">
        <v>19670</v>
      </c>
      <c r="H271" s="24" t="s">
        <v>20089</v>
      </c>
      <c r="I271" s="22" t="s">
        <v>19309</v>
      </c>
      <c r="J271" s="22" t="s">
        <v>19573</v>
      </c>
      <c r="K271" s="22" t="s">
        <v>19574</v>
      </c>
      <c r="L271" s="22"/>
      <c r="M271" s="22"/>
      <c r="N271" s="25" t="str">
        <f>HYPERLINK("http://slimages.macys.com/is/image/MCY/21209533 ")</f>
        <v xml:space="preserve">http://slimages.macys.com/is/image/MCY/21209533 </v>
      </c>
    </row>
    <row r="272" spans="1:14" ht="24.75" x14ac:dyDescent="0.25">
      <c r="A272" s="21" t="s">
        <v>9690</v>
      </c>
      <c r="B272" s="22" t="s">
        <v>9691</v>
      </c>
      <c r="C272" s="2">
        <v>17</v>
      </c>
      <c r="D272" s="23">
        <v>7.99</v>
      </c>
      <c r="E272" s="3">
        <v>135.83000000000001</v>
      </c>
      <c r="F272" s="2" t="s">
        <v>11143</v>
      </c>
      <c r="G272" s="22" t="s">
        <v>19670</v>
      </c>
      <c r="H272" s="24" t="s">
        <v>19907</v>
      </c>
      <c r="I272" s="22" t="s">
        <v>19309</v>
      </c>
      <c r="J272" s="22" t="s">
        <v>19573</v>
      </c>
      <c r="K272" s="22" t="s">
        <v>19574</v>
      </c>
      <c r="L272" s="22"/>
      <c r="M272" s="22"/>
      <c r="N272" s="25" t="str">
        <f>HYPERLINK("http://slimages.macys.com/is/image/MCY/21209533 ")</f>
        <v xml:space="preserve">http://slimages.macys.com/is/image/MCY/21209533 </v>
      </c>
    </row>
    <row r="273" spans="1:14" ht="24.75" x14ac:dyDescent="0.25">
      <c r="A273" s="21" t="s">
        <v>19107</v>
      </c>
      <c r="B273" s="22" t="s">
        <v>19108</v>
      </c>
      <c r="C273" s="2">
        <v>1</v>
      </c>
      <c r="D273" s="23">
        <v>5.99</v>
      </c>
      <c r="E273" s="3">
        <v>5.99</v>
      </c>
      <c r="F273" s="2" t="s">
        <v>19109</v>
      </c>
      <c r="G273" s="22" t="s">
        <v>19670</v>
      </c>
      <c r="H273" s="24" t="s">
        <v>19384</v>
      </c>
      <c r="I273" s="22" t="s">
        <v>19309</v>
      </c>
      <c r="J273" s="22" t="s">
        <v>19573</v>
      </c>
      <c r="K273" s="22" t="s">
        <v>19574</v>
      </c>
      <c r="L273" s="22"/>
      <c r="M273" s="22"/>
      <c r="N273" s="25" t="str">
        <f>HYPERLINK("http://slimages.macys.com/is/image/MCY/1734374 ")</f>
        <v xml:space="preserve">http://slimages.macys.com/is/image/MCY/1734374 </v>
      </c>
    </row>
    <row r="274" spans="1:14" ht="24.75" x14ac:dyDescent="0.25">
      <c r="A274" s="21" t="s">
        <v>19112</v>
      </c>
      <c r="B274" s="22" t="s">
        <v>19113</v>
      </c>
      <c r="C274" s="2">
        <v>10</v>
      </c>
      <c r="D274" s="23">
        <v>5.99</v>
      </c>
      <c r="E274" s="3">
        <v>59.9</v>
      </c>
      <c r="F274" s="2" t="s">
        <v>19109</v>
      </c>
      <c r="G274" s="22" t="s">
        <v>19670</v>
      </c>
      <c r="H274" s="24" t="s">
        <v>19324</v>
      </c>
      <c r="I274" s="22" t="s">
        <v>19309</v>
      </c>
      <c r="J274" s="22" t="s">
        <v>19573</v>
      </c>
      <c r="K274" s="22" t="s">
        <v>19574</v>
      </c>
      <c r="L274" s="22"/>
      <c r="M274" s="22"/>
      <c r="N274" s="25" t="str">
        <f>HYPERLINK("http://slimages.macys.com/is/image/MCY/21209381 ")</f>
        <v xml:space="preserve">http://slimages.macys.com/is/image/MCY/21209381 </v>
      </c>
    </row>
    <row r="275" spans="1:14" ht="24.75" x14ac:dyDescent="0.25">
      <c r="A275" s="21" t="s">
        <v>19119</v>
      </c>
      <c r="B275" s="22" t="s">
        <v>19120</v>
      </c>
      <c r="C275" s="2">
        <v>16</v>
      </c>
      <c r="D275" s="23">
        <v>5.99</v>
      </c>
      <c r="E275" s="3">
        <v>95.84</v>
      </c>
      <c r="F275" s="2" t="s">
        <v>19109</v>
      </c>
      <c r="G275" s="22" t="s">
        <v>19670</v>
      </c>
      <c r="H275" s="24" t="s">
        <v>19416</v>
      </c>
      <c r="I275" s="22" t="s">
        <v>19309</v>
      </c>
      <c r="J275" s="22" t="s">
        <v>19573</v>
      </c>
      <c r="K275" s="22" t="s">
        <v>19574</v>
      </c>
      <c r="L275" s="22"/>
      <c r="M275" s="22"/>
      <c r="N275" s="25" t="str">
        <f>HYPERLINK("http://slimages.macys.com/is/image/MCY/1734374 ")</f>
        <v xml:space="preserve">http://slimages.macys.com/is/image/MCY/1734374 </v>
      </c>
    </row>
    <row r="276" spans="1:14" ht="24.75" x14ac:dyDescent="0.25">
      <c r="A276" s="21" t="s">
        <v>3961</v>
      </c>
      <c r="B276" s="22" t="s">
        <v>3962</v>
      </c>
      <c r="C276" s="2">
        <v>1</v>
      </c>
      <c r="D276" s="23">
        <v>6.99</v>
      </c>
      <c r="E276" s="3">
        <v>6.99</v>
      </c>
      <c r="F276" s="2" t="s">
        <v>14799</v>
      </c>
      <c r="G276" s="22" t="s">
        <v>19674</v>
      </c>
      <c r="H276" s="24" t="s">
        <v>19770</v>
      </c>
      <c r="I276" s="22" t="s">
        <v>19309</v>
      </c>
      <c r="J276" s="22" t="s">
        <v>19573</v>
      </c>
      <c r="K276" s="22" t="s">
        <v>19574</v>
      </c>
      <c r="L276" s="22"/>
      <c r="M276" s="22"/>
      <c r="N276" s="25" t="str">
        <f>HYPERLINK("http://slimages.macys.com/is/image/MCY/1241026 ")</f>
        <v xml:space="preserve">http://slimages.macys.com/is/image/MCY/1241026 </v>
      </c>
    </row>
    <row r="277" spans="1:14" ht="24.75" x14ac:dyDescent="0.25">
      <c r="A277" s="21" t="s">
        <v>3963</v>
      </c>
      <c r="B277" s="22" t="s">
        <v>3964</v>
      </c>
      <c r="C277" s="2">
        <v>1</v>
      </c>
      <c r="D277" s="23">
        <v>6.99</v>
      </c>
      <c r="E277" s="3">
        <v>6.99</v>
      </c>
      <c r="F277" s="2" t="s">
        <v>14799</v>
      </c>
      <c r="G277" s="22" t="s">
        <v>19674</v>
      </c>
      <c r="H277" s="24" t="s">
        <v>19324</v>
      </c>
      <c r="I277" s="22" t="s">
        <v>19309</v>
      </c>
      <c r="J277" s="22" t="s">
        <v>19573</v>
      </c>
      <c r="K277" s="22" t="s">
        <v>19574</v>
      </c>
      <c r="L277" s="22"/>
      <c r="M277" s="22"/>
      <c r="N277" s="25" t="str">
        <f>HYPERLINK("http://slimages.macys.com/is/image/MCY/20757803 ")</f>
        <v xml:space="preserve">http://slimages.macys.com/is/image/MCY/20757803 </v>
      </c>
    </row>
    <row r="278" spans="1:14" ht="24.75" x14ac:dyDescent="0.25">
      <c r="A278" s="21" t="s">
        <v>8618</v>
      </c>
      <c r="B278" s="22" t="s">
        <v>8619</v>
      </c>
      <c r="C278" s="2">
        <v>56</v>
      </c>
      <c r="D278" s="23">
        <v>7.99</v>
      </c>
      <c r="E278" s="3">
        <v>447.44</v>
      </c>
      <c r="F278" s="2" t="s">
        <v>9696</v>
      </c>
      <c r="G278" s="22" t="s">
        <v>19351</v>
      </c>
      <c r="H278" s="24" t="s">
        <v>19907</v>
      </c>
      <c r="I278" s="22" t="s">
        <v>19309</v>
      </c>
      <c r="J278" s="22" t="s">
        <v>19573</v>
      </c>
      <c r="K278" s="22" t="s">
        <v>19574</v>
      </c>
      <c r="L278" s="22"/>
      <c r="M278" s="22"/>
      <c r="N278" s="25" t="str">
        <f>HYPERLINK("http://slimages.macys.com/is/image/MCY/1610409 ")</f>
        <v xml:space="preserve">http://slimages.macys.com/is/image/MCY/1610409 </v>
      </c>
    </row>
    <row r="279" spans="1:14" ht="24.75" x14ac:dyDescent="0.25">
      <c r="A279" s="21" t="s">
        <v>3965</v>
      </c>
      <c r="B279" s="22" t="s">
        <v>3966</v>
      </c>
      <c r="C279" s="2">
        <v>7</v>
      </c>
      <c r="D279" s="23">
        <v>5.99</v>
      </c>
      <c r="E279" s="3">
        <v>41.93</v>
      </c>
      <c r="F279" s="2" t="s">
        <v>8156</v>
      </c>
      <c r="G279" s="22" t="s">
        <v>19618</v>
      </c>
      <c r="H279" s="24" t="s">
        <v>19324</v>
      </c>
      <c r="I279" s="22" t="s">
        <v>19309</v>
      </c>
      <c r="J279" s="22" t="s">
        <v>19573</v>
      </c>
      <c r="K279" s="22" t="s">
        <v>19574</v>
      </c>
      <c r="L279" s="22"/>
      <c r="M279" s="22"/>
      <c r="N279" s="25" t="str">
        <f>HYPERLINK("http://slimages.macys.com/is/image/MCY/21361700 ")</f>
        <v xml:space="preserve">http://slimages.macys.com/is/image/MCY/21361700 </v>
      </c>
    </row>
    <row r="280" spans="1:14" ht="24.75" x14ac:dyDescent="0.25">
      <c r="A280" s="21" t="s">
        <v>11147</v>
      </c>
      <c r="B280" s="22" t="s">
        <v>11148</v>
      </c>
      <c r="C280" s="2">
        <v>22</v>
      </c>
      <c r="D280" s="23">
        <v>7.99</v>
      </c>
      <c r="E280" s="3">
        <v>175.78</v>
      </c>
      <c r="F280" s="2" t="s">
        <v>11146</v>
      </c>
      <c r="G280" s="22" t="s">
        <v>19351</v>
      </c>
      <c r="H280" s="24" t="s">
        <v>20089</v>
      </c>
      <c r="I280" s="22" t="s">
        <v>19309</v>
      </c>
      <c r="J280" s="22" t="s">
        <v>19573</v>
      </c>
      <c r="K280" s="22" t="s">
        <v>19574</v>
      </c>
      <c r="L280" s="22"/>
      <c r="M280" s="22"/>
      <c r="N280" s="25" t="str">
        <f>HYPERLINK("http://slimages.macys.com/is/image/MCY/21209453 ")</f>
        <v xml:space="preserve">http://slimages.macys.com/is/image/MCY/21209453 </v>
      </c>
    </row>
    <row r="281" spans="1:14" ht="24.75" x14ac:dyDescent="0.25">
      <c r="A281" s="21" t="s">
        <v>11144</v>
      </c>
      <c r="B281" s="22" t="s">
        <v>11145</v>
      </c>
      <c r="C281" s="2">
        <v>24</v>
      </c>
      <c r="D281" s="23">
        <v>7.99</v>
      </c>
      <c r="E281" s="3">
        <v>191.76</v>
      </c>
      <c r="F281" s="2" t="s">
        <v>11146</v>
      </c>
      <c r="G281" s="22" t="s">
        <v>19351</v>
      </c>
      <c r="H281" s="24" t="s">
        <v>20135</v>
      </c>
      <c r="I281" s="22" t="s">
        <v>19309</v>
      </c>
      <c r="J281" s="22" t="s">
        <v>19573</v>
      </c>
      <c r="K281" s="22" t="s">
        <v>19574</v>
      </c>
      <c r="L281" s="22"/>
      <c r="M281" s="22"/>
      <c r="N281" s="25" t="str">
        <f>HYPERLINK("http://slimages.macys.com/is/image/MCY/21209453 ")</f>
        <v xml:space="preserve">http://slimages.macys.com/is/image/MCY/21209453 </v>
      </c>
    </row>
    <row r="282" spans="1:14" ht="24.75" x14ac:dyDescent="0.25">
      <c r="A282" s="21" t="s">
        <v>11149</v>
      </c>
      <c r="B282" s="22" t="s">
        <v>11150</v>
      </c>
      <c r="C282" s="2">
        <v>29</v>
      </c>
      <c r="D282" s="23">
        <v>7.99</v>
      </c>
      <c r="E282" s="3">
        <v>231.71</v>
      </c>
      <c r="F282" s="2" t="s">
        <v>11146</v>
      </c>
      <c r="G282" s="22" t="s">
        <v>19351</v>
      </c>
      <c r="H282" s="24" t="s">
        <v>19907</v>
      </c>
      <c r="I282" s="22" t="s">
        <v>19309</v>
      </c>
      <c r="J282" s="22" t="s">
        <v>19573</v>
      </c>
      <c r="K282" s="22" t="s">
        <v>19574</v>
      </c>
      <c r="L282" s="22"/>
      <c r="M282" s="22"/>
      <c r="N282" s="25" t="str">
        <f>HYPERLINK("http://slimages.macys.com/is/image/MCY/21209295 ")</f>
        <v xml:space="preserve">http://slimages.macys.com/is/image/MCY/21209295 </v>
      </c>
    </row>
    <row r="283" spans="1:14" ht="24.75" x14ac:dyDescent="0.25">
      <c r="A283" s="21" t="s">
        <v>3967</v>
      </c>
      <c r="B283" s="22" t="s">
        <v>3968</v>
      </c>
      <c r="C283" s="2">
        <v>14</v>
      </c>
      <c r="D283" s="23">
        <v>5.99</v>
      </c>
      <c r="E283" s="3">
        <v>83.86</v>
      </c>
      <c r="F283" s="2" t="s">
        <v>8156</v>
      </c>
      <c r="G283" s="22" t="s">
        <v>19618</v>
      </c>
      <c r="H283" s="24" t="s">
        <v>19384</v>
      </c>
      <c r="I283" s="22" t="s">
        <v>19309</v>
      </c>
      <c r="J283" s="22" t="s">
        <v>19573</v>
      </c>
      <c r="K283" s="22" t="s">
        <v>19574</v>
      </c>
      <c r="L283" s="22"/>
      <c r="M283" s="22"/>
      <c r="N283" s="25" t="str">
        <f>HYPERLINK("http://slimages.macys.com/is/image/MCY/21361700 ")</f>
        <v xml:space="preserve">http://slimages.macys.com/is/image/MCY/21361700 </v>
      </c>
    </row>
    <row r="284" spans="1:14" ht="24.75" x14ac:dyDescent="0.25">
      <c r="A284" s="21" t="s">
        <v>8154</v>
      </c>
      <c r="B284" s="22" t="s">
        <v>8155</v>
      </c>
      <c r="C284" s="2">
        <v>19</v>
      </c>
      <c r="D284" s="23">
        <v>5.99</v>
      </c>
      <c r="E284" s="3">
        <v>113.81</v>
      </c>
      <c r="F284" s="2" t="s">
        <v>8156</v>
      </c>
      <c r="G284" s="22" t="s">
        <v>19618</v>
      </c>
      <c r="H284" s="24" t="s">
        <v>19538</v>
      </c>
      <c r="I284" s="22" t="s">
        <v>19309</v>
      </c>
      <c r="J284" s="22" t="s">
        <v>19573</v>
      </c>
      <c r="K284" s="22" t="s">
        <v>19574</v>
      </c>
      <c r="L284" s="22"/>
      <c r="M284" s="22"/>
      <c r="N284" s="25" t="str">
        <f>HYPERLINK("http://slimages.macys.com/is/image/MCY/21361700 ")</f>
        <v xml:space="preserve">http://slimages.macys.com/is/image/MCY/21361700 </v>
      </c>
    </row>
    <row r="285" spans="1:14" ht="24.75" x14ac:dyDescent="0.25">
      <c r="A285" s="21" t="s">
        <v>9697</v>
      </c>
      <c r="B285" s="22" t="s">
        <v>9698</v>
      </c>
      <c r="C285" s="2">
        <v>1</v>
      </c>
      <c r="D285" s="23">
        <v>5.99</v>
      </c>
      <c r="E285" s="3">
        <v>5.99</v>
      </c>
      <c r="F285" s="2" t="s">
        <v>9699</v>
      </c>
      <c r="G285" s="22" t="s">
        <v>19618</v>
      </c>
      <c r="H285" s="24" t="s">
        <v>19538</v>
      </c>
      <c r="I285" s="22" t="s">
        <v>19309</v>
      </c>
      <c r="J285" s="22" t="s">
        <v>19573</v>
      </c>
      <c r="K285" s="22" t="s">
        <v>19574</v>
      </c>
      <c r="L285" s="22"/>
      <c r="M285" s="22"/>
      <c r="N285" s="25" t="str">
        <f>HYPERLINK("http://slimages.macys.com/is/image/MCY/21970142 ")</f>
        <v xml:space="preserve">http://slimages.macys.com/is/image/MCY/21970142 </v>
      </c>
    </row>
    <row r="286" spans="1:14" ht="24.75" x14ac:dyDescent="0.25">
      <c r="A286" s="21" t="s">
        <v>9268</v>
      </c>
      <c r="B286" s="22" t="s">
        <v>9269</v>
      </c>
      <c r="C286" s="2">
        <v>1</v>
      </c>
      <c r="D286" s="23">
        <v>7.99</v>
      </c>
      <c r="E286" s="3">
        <v>7.99</v>
      </c>
      <c r="F286" s="2" t="s">
        <v>9270</v>
      </c>
      <c r="G286" s="22" t="s">
        <v>19618</v>
      </c>
      <c r="H286" s="24" t="s">
        <v>19907</v>
      </c>
      <c r="I286" s="22" t="s">
        <v>19309</v>
      </c>
      <c r="J286" s="22" t="s">
        <v>19573</v>
      </c>
      <c r="K286" s="22" t="s">
        <v>19574</v>
      </c>
      <c r="L286" s="22"/>
      <c r="M286" s="22"/>
      <c r="N286" s="25" t="str">
        <f>HYPERLINK("http://slimages.macys.com/is/image/MCY/21089253 ")</f>
        <v xml:space="preserve">http://slimages.macys.com/is/image/MCY/21089253 </v>
      </c>
    </row>
    <row r="287" spans="1:14" ht="24.75" x14ac:dyDescent="0.25">
      <c r="A287" s="21" t="s">
        <v>11151</v>
      </c>
      <c r="B287" s="22" t="s">
        <v>11152</v>
      </c>
      <c r="C287" s="2">
        <v>1</v>
      </c>
      <c r="D287" s="23">
        <v>7.99</v>
      </c>
      <c r="E287" s="3">
        <v>7.99</v>
      </c>
      <c r="F287" s="2" t="s">
        <v>11153</v>
      </c>
      <c r="G287" s="22" t="s">
        <v>19467</v>
      </c>
      <c r="H287" s="24" t="s">
        <v>20089</v>
      </c>
      <c r="I287" s="22" t="s">
        <v>19309</v>
      </c>
      <c r="J287" s="22" t="s">
        <v>19573</v>
      </c>
      <c r="K287" s="22" t="s">
        <v>19574</v>
      </c>
      <c r="L287" s="22"/>
      <c r="M287" s="22"/>
      <c r="N287" s="25" t="str">
        <f>HYPERLINK("http://slimages.macys.com/is/image/MCY/20757453 ")</f>
        <v xml:space="preserve">http://slimages.macys.com/is/image/MCY/20757453 </v>
      </c>
    </row>
    <row r="288" spans="1:14" ht="24.75" x14ac:dyDescent="0.25">
      <c r="A288" s="21" t="s">
        <v>8159</v>
      </c>
      <c r="B288" s="22" t="s">
        <v>8160</v>
      </c>
      <c r="C288" s="2">
        <v>1</v>
      </c>
      <c r="D288" s="23">
        <v>5.99</v>
      </c>
      <c r="E288" s="3">
        <v>5.99</v>
      </c>
      <c r="F288" s="2" t="s">
        <v>11156</v>
      </c>
      <c r="G288" s="22" t="s">
        <v>19351</v>
      </c>
      <c r="H288" s="24" t="s">
        <v>19416</v>
      </c>
      <c r="I288" s="22" t="s">
        <v>19309</v>
      </c>
      <c r="J288" s="22" t="s">
        <v>19573</v>
      </c>
      <c r="K288" s="22" t="s">
        <v>19574</v>
      </c>
      <c r="L288" s="22"/>
      <c r="M288" s="22"/>
      <c r="N288" s="25" t="str">
        <f>HYPERLINK("http://slimages.macys.com/is/image/MCY/21361186 ")</f>
        <v xml:space="preserve">http://slimages.macys.com/is/image/MCY/21361186 </v>
      </c>
    </row>
    <row r="289" spans="1:14" ht="24.75" x14ac:dyDescent="0.25">
      <c r="A289" s="21" t="s">
        <v>11157</v>
      </c>
      <c r="B289" s="22" t="s">
        <v>11158</v>
      </c>
      <c r="C289" s="2">
        <v>17</v>
      </c>
      <c r="D289" s="23">
        <v>5.99</v>
      </c>
      <c r="E289" s="3">
        <v>101.83</v>
      </c>
      <c r="F289" s="2" t="s">
        <v>11156</v>
      </c>
      <c r="G289" s="22" t="s">
        <v>19351</v>
      </c>
      <c r="H289" s="24" t="s">
        <v>19324</v>
      </c>
      <c r="I289" s="22" t="s">
        <v>19309</v>
      </c>
      <c r="J289" s="22" t="s">
        <v>19573</v>
      </c>
      <c r="K289" s="22" t="s">
        <v>19574</v>
      </c>
      <c r="L289" s="22"/>
      <c r="M289" s="22"/>
      <c r="N289" s="25" t="str">
        <f>HYPERLINK("http://slimages.macys.com/is/image/MCY/1586539 ")</f>
        <v xml:space="preserve">http://slimages.macys.com/is/image/MCY/1586539 </v>
      </c>
    </row>
    <row r="290" spans="1:14" ht="24.75" x14ac:dyDescent="0.25">
      <c r="A290" s="21" t="s">
        <v>3969</v>
      </c>
      <c r="B290" s="22" t="s">
        <v>3970</v>
      </c>
      <c r="C290" s="2">
        <v>1</v>
      </c>
      <c r="D290" s="23">
        <v>6.99</v>
      </c>
      <c r="E290" s="3">
        <v>6.99</v>
      </c>
      <c r="F290" s="2" t="s">
        <v>3971</v>
      </c>
      <c r="G290" s="22" t="s">
        <v>19618</v>
      </c>
      <c r="H290" s="24" t="s">
        <v>19538</v>
      </c>
      <c r="I290" s="22" t="s">
        <v>19309</v>
      </c>
      <c r="J290" s="22" t="s">
        <v>19573</v>
      </c>
      <c r="K290" s="22" t="s">
        <v>19574</v>
      </c>
      <c r="L290" s="22"/>
      <c r="M290" s="22"/>
      <c r="N290" s="25" t="str">
        <f>HYPERLINK("http://slimages.macys.com/is/image/MCY/19977345 ")</f>
        <v xml:space="preserve">http://slimages.macys.com/is/image/MCY/19977345 </v>
      </c>
    </row>
    <row r="291" spans="1:14" ht="24.75" x14ac:dyDescent="0.25">
      <c r="A291" s="21" t="s">
        <v>3972</v>
      </c>
      <c r="B291" s="22" t="s">
        <v>3973</v>
      </c>
      <c r="C291" s="2">
        <v>1</v>
      </c>
      <c r="D291" s="23">
        <v>5.99</v>
      </c>
      <c r="E291" s="3">
        <v>5.99</v>
      </c>
      <c r="F291" s="2" t="s">
        <v>19167</v>
      </c>
      <c r="G291" s="22" t="s">
        <v>19618</v>
      </c>
      <c r="H291" s="24" t="s">
        <v>19324</v>
      </c>
      <c r="I291" s="22" t="s">
        <v>19309</v>
      </c>
      <c r="J291" s="22" t="s">
        <v>19573</v>
      </c>
      <c r="K291" s="22" t="s">
        <v>19574</v>
      </c>
      <c r="L291" s="22"/>
      <c r="M291" s="22"/>
      <c r="N291" s="25" t="str">
        <f>HYPERLINK("http://slimages.macys.com/is/image/MCY/20736377 ")</f>
        <v xml:space="preserve">http://slimages.macys.com/is/image/MCY/20736377 </v>
      </c>
    </row>
    <row r="292" spans="1:14" ht="24.75" x14ac:dyDescent="0.25">
      <c r="A292" s="21" t="s">
        <v>3974</v>
      </c>
      <c r="B292" s="22" t="s">
        <v>3975</v>
      </c>
      <c r="C292" s="2">
        <v>1</v>
      </c>
      <c r="D292" s="23">
        <v>5.99</v>
      </c>
      <c r="E292" s="3">
        <v>5.99</v>
      </c>
      <c r="F292" s="2" t="s">
        <v>19173</v>
      </c>
      <c r="G292" s="22" t="s">
        <v>19618</v>
      </c>
      <c r="H292" s="24" t="s">
        <v>19384</v>
      </c>
      <c r="I292" s="22" t="s">
        <v>19309</v>
      </c>
      <c r="J292" s="22" t="s">
        <v>19573</v>
      </c>
      <c r="K292" s="22" t="s">
        <v>19574</v>
      </c>
      <c r="L292" s="22"/>
      <c r="M292" s="22"/>
      <c r="N292" s="25" t="str">
        <f>HYPERLINK("http://slimages.macys.com/is/image/MCY/20759956 ")</f>
        <v xml:space="preserve">http://slimages.macys.com/is/image/MCY/20759956 </v>
      </c>
    </row>
    <row r="293" spans="1:14" ht="24.75" x14ac:dyDescent="0.25">
      <c r="A293" s="21" t="s">
        <v>3976</v>
      </c>
      <c r="B293" s="22" t="s">
        <v>3977</v>
      </c>
      <c r="C293" s="2">
        <v>1</v>
      </c>
      <c r="D293" s="23">
        <v>5.99</v>
      </c>
      <c r="E293" s="3">
        <v>5.99</v>
      </c>
      <c r="F293" s="2" t="s">
        <v>3978</v>
      </c>
      <c r="G293" s="22" t="s">
        <v>19351</v>
      </c>
      <c r="H293" s="24" t="s">
        <v>19416</v>
      </c>
      <c r="I293" s="22" t="s">
        <v>19309</v>
      </c>
      <c r="J293" s="22" t="s">
        <v>19573</v>
      </c>
      <c r="K293" s="22" t="s">
        <v>19574</v>
      </c>
      <c r="L293" s="22"/>
      <c r="M293" s="22"/>
      <c r="N293" s="25" t="str">
        <f>HYPERLINK("http://slimages.macys.com/is/image/MCY/1133231 ")</f>
        <v xml:space="preserve">http://slimages.macys.com/is/image/MCY/1133231 </v>
      </c>
    </row>
    <row r="294" spans="1:14" ht="24.75" x14ac:dyDescent="0.25">
      <c r="A294" s="21" t="s">
        <v>19183</v>
      </c>
      <c r="B294" s="22" t="s">
        <v>19184</v>
      </c>
      <c r="C294" s="2">
        <v>9</v>
      </c>
      <c r="D294" s="23">
        <v>5.99</v>
      </c>
      <c r="E294" s="3">
        <v>53.91</v>
      </c>
      <c r="F294" s="2" t="s">
        <v>19180</v>
      </c>
      <c r="G294" s="22" t="s">
        <v>19477</v>
      </c>
      <c r="H294" s="24" t="s">
        <v>19324</v>
      </c>
      <c r="I294" s="22" t="s">
        <v>19309</v>
      </c>
      <c r="J294" s="22" t="s">
        <v>19573</v>
      </c>
      <c r="K294" s="22" t="s">
        <v>19574</v>
      </c>
      <c r="L294" s="22"/>
      <c r="M294" s="22"/>
      <c r="N294" s="25" t="str">
        <f>HYPERLINK("http://slimages.macys.com/is/image/MCY/1521974 ")</f>
        <v xml:space="preserve">http://slimages.macys.com/is/image/MCY/1521974 </v>
      </c>
    </row>
    <row r="295" spans="1:14" ht="24.75" x14ac:dyDescent="0.25">
      <c r="A295" s="21" t="s">
        <v>19178</v>
      </c>
      <c r="B295" s="22" t="s">
        <v>19179</v>
      </c>
      <c r="C295" s="2">
        <v>11</v>
      </c>
      <c r="D295" s="23">
        <v>5.99</v>
      </c>
      <c r="E295" s="3">
        <v>65.89</v>
      </c>
      <c r="F295" s="2" t="s">
        <v>19180</v>
      </c>
      <c r="G295" s="22" t="s">
        <v>19477</v>
      </c>
      <c r="H295" s="24" t="s">
        <v>19384</v>
      </c>
      <c r="I295" s="22" t="s">
        <v>19309</v>
      </c>
      <c r="J295" s="22" t="s">
        <v>19573</v>
      </c>
      <c r="K295" s="22" t="s">
        <v>19574</v>
      </c>
      <c r="L295" s="22"/>
      <c r="M295" s="22"/>
      <c r="N295" s="25" t="str">
        <f>HYPERLINK("http://slimages.macys.com/is/image/MCY/1521974 ")</f>
        <v xml:space="preserve">http://slimages.macys.com/is/image/MCY/1521974 </v>
      </c>
    </row>
    <row r="296" spans="1:14" ht="24.75" x14ac:dyDescent="0.25">
      <c r="A296" s="21" t="s">
        <v>6299</v>
      </c>
      <c r="B296" s="22" t="s">
        <v>6300</v>
      </c>
      <c r="C296" s="2">
        <v>1</v>
      </c>
      <c r="D296" s="23">
        <v>5.99</v>
      </c>
      <c r="E296" s="3">
        <v>5.99</v>
      </c>
      <c r="F296" s="2" t="s">
        <v>6301</v>
      </c>
      <c r="G296" s="22" t="s">
        <v>19431</v>
      </c>
      <c r="H296" s="24" t="s">
        <v>19538</v>
      </c>
      <c r="I296" s="22" t="s">
        <v>19309</v>
      </c>
      <c r="J296" s="22" t="s">
        <v>19573</v>
      </c>
      <c r="K296" s="22" t="s">
        <v>19574</v>
      </c>
      <c r="L296" s="22"/>
      <c r="M296" s="22"/>
      <c r="N296" s="25" t="str">
        <f>HYPERLINK("http://slimages.macys.com/is/image/MCY/18421939 ")</f>
        <v xml:space="preserve">http://slimages.macys.com/is/image/MCY/18421939 </v>
      </c>
    </row>
    <row r="297" spans="1:14" ht="24.75" x14ac:dyDescent="0.25">
      <c r="A297" s="21" t="s">
        <v>7183</v>
      </c>
      <c r="B297" s="22" t="s">
        <v>7184</v>
      </c>
      <c r="C297" s="2">
        <v>14</v>
      </c>
      <c r="D297" s="23">
        <v>5.99</v>
      </c>
      <c r="E297" s="3">
        <v>83.86</v>
      </c>
      <c r="F297" s="2" t="s">
        <v>17203</v>
      </c>
      <c r="G297" s="22" t="s">
        <v>19415</v>
      </c>
      <c r="H297" s="24" t="s">
        <v>19324</v>
      </c>
      <c r="I297" s="22" t="s">
        <v>19309</v>
      </c>
      <c r="J297" s="22" t="s">
        <v>19573</v>
      </c>
      <c r="K297" s="22" t="s">
        <v>19574</v>
      </c>
      <c r="L297" s="22"/>
      <c r="M297" s="22"/>
      <c r="N297" s="25" t="str">
        <f>HYPERLINK("http://slimages.macys.com/is/image/MCY/20757989 ")</f>
        <v xml:space="preserve">http://slimages.macys.com/is/image/MCY/20757989 </v>
      </c>
    </row>
    <row r="298" spans="1:14" ht="24.75" x14ac:dyDescent="0.25">
      <c r="A298" s="21" t="s">
        <v>3979</v>
      </c>
      <c r="B298" s="22" t="s">
        <v>3980</v>
      </c>
      <c r="C298" s="2">
        <v>1</v>
      </c>
      <c r="D298" s="23">
        <v>6.99</v>
      </c>
      <c r="E298" s="3">
        <v>6.99</v>
      </c>
      <c r="F298" s="2" t="s">
        <v>19201</v>
      </c>
      <c r="G298" s="22" t="s">
        <v>19618</v>
      </c>
      <c r="H298" s="24" t="s">
        <v>19324</v>
      </c>
      <c r="I298" s="22" t="s">
        <v>19309</v>
      </c>
      <c r="J298" s="22" t="s">
        <v>19573</v>
      </c>
      <c r="K298" s="22" t="s">
        <v>19574</v>
      </c>
      <c r="L298" s="22"/>
      <c r="M298" s="22"/>
      <c r="N298" s="25" t="str">
        <f>HYPERLINK("http://slimages.macys.com/is/image/MCY/19977732 ")</f>
        <v xml:space="preserve">http://slimages.macys.com/is/image/MCY/19977732 </v>
      </c>
    </row>
    <row r="299" spans="1:14" ht="24.75" x14ac:dyDescent="0.25">
      <c r="A299" s="21" t="s">
        <v>3981</v>
      </c>
      <c r="B299" s="22" t="s">
        <v>3982</v>
      </c>
      <c r="C299" s="2">
        <v>1</v>
      </c>
      <c r="D299" s="23">
        <v>7.99</v>
      </c>
      <c r="E299" s="3">
        <v>7.99</v>
      </c>
      <c r="F299" s="2" t="s">
        <v>9709</v>
      </c>
      <c r="G299" s="22" t="s">
        <v>19467</v>
      </c>
      <c r="H299" s="24" t="s">
        <v>20089</v>
      </c>
      <c r="I299" s="22" t="s">
        <v>19309</v>
      </c>
      <c r="J299" s="22" t="s">
        <v>19573</v>
      </c>
      <c r="K299" s="22" t="s">
        <v>19574</v>
      </c>
      <c r="L299" s="22"/>
      <c r="M299" s="22"/>
      <c r="N299" s="25" t="str">
        <f>HYPERLINK("http://slimages.macys.com/is/image/MCY/21970216 ")</f>
        <v xml:space="preserve">http://slimages.macys.com/is/image/MCY/21970216 </v>
      </c>
    </row>
    <row r="300" spans="1:14" ht="24.75" x14ac:dyDescent="0.25">
      <c r="A300" s="21" t="s">
        <v>3983</v>
      </c>
      <c r="B300" s="22" t="s">
        <v>3984</v>
      </c>
      <c r="C300" s="2">
        <v>7</v>
      </c>
      <c r="D300" s="23">
        <v>7.99</v>
      </c>
      <c r="E300" s="3">
        <v>55.93</v>
      </c>
      <c r="F300" s="2" t="s">
        <v>11164</v>
      </c>
      <c r="G300" s="22" t="s">
        <v>19467</v>
      </c>
      <c r="H300" s="24" t="s">
        <v>20089</v>
      </c>
      <c r="I300" s="22" t="s">
        <v>19309</v>
      </c>
      <c r="J300" s="22" t="s">
        <v>19573</v>
      </c>
      <c r="K300" s="22" t="s">
        <v>19574</v>
      </c>
      <c r="L300" s="22"/>
      <c r="M300" s="22"/>
      <c r="N300" s="25" t="str">
        <f>HYPERLINK("http://slimages.macys.com/is/image/MCY/21905243 ")</f>
        <v xml:space="preserve">http://slimages.macys.com/is/image/MCY/21905243 </v>
      </c>
    </row>
    <row r="301" spans="1:14" ht="24.75" x14ac:dyDescent="0.25">
      <c r="A301" s="21" t="s">
        <v>5004</v>
      </c>
      <c r="B301" s="22" t="s">
        <v>5005</v>
      </c>
      <c r="C301" s="2">
        <v>3</v>
      </c>
      <c r="D301" s="23">
        <v>7.99</v>
      </c>
      <c r="E301" s="3">
        <v>23.97</v>
      </c>
      <c r="F301" s="2" t="s">
        <v>9709</v>
      </c>
      <c r="G301" s="22" t="s">
        <v>19467</v>
      </c>
      <c r="H301" s="24" t="s">
        <v>20135</v>
      </c>
      <c r="I301" s="22" t="s">
        <v>19309</v>
      </c>
      <c r="J301" s="22" t="s">
        <v>19573</v>
      </c>
      <c r="K301" s="22" t="s">
        <v>19574</v>
      </c>
      <c r="L301" s="22"/>
      <c r="M301" s="22"/>
      <c r="N301" s="25" t="str">
        <f>HYPERLINK("http://slimages.macys.com/is/image/MCY/21970216 ")</f>
        <v xml:space="preserve">http://slimages.macys.com/is/image/MCY/21970216 </v>
      </c>
    </row>
    <row r="302" spans="1:14" ht="24.75" x14ac:dyDescent="0.25">
      <c r="A302" s="21" t="s">
        <v>10150</v>
      </c>
      <c r="B302" s="22" t="s">
        <v>10151</v>
      </c>
      <c r="C302" s="2">
        <v>1</v>
      </c>
      <c r="D302" s="23">
        <v>5.99</v>
      </c>
      <c r="E302" s="3">
        <v>5.99</v>
      </c>
      <c r="F302" s="2" t="s">
        <v>19214</v>
      </c>
      <c r="G302" s="22" t="s">
        <v>19674</v>
      </c>
      <c r="H302" s="24" t="s">
        <v>19384</v>
      </c>
      <c r="I302" s="22" t="s">
        <v>19309</v>
      </c>
      <c r="J302" s="22" t="s">
        <v>19573</v>
      </c>
      <c r="K302" s="22" t="s">
        <v>19574</v>
      </c>
      <c r="L302" s="22"/>
      <c r="M302" s="22"/>
      <c r="N302" s="25" t="str">
        <f>HYPERLINK("http://slimages.macys.com/is/image/MCY/1570641 ")</f>
        <v xml:space="preserve">http://slimages.macys.com/is/image/MCY/1570641 </v>
      </c>
    </row>
    <row r="303" spans="1:14" ht="24.75" x14ac:dyDescent="0.25">
      <c r="A303" s="21" t="s">
        <v>9713</v>
      </c>
      <c r="B303" s="22" t="s">
        <v>9714</v>
      </c>
      <c r="C303" s="2">
        <v>1</v>
      </c>
      <c r="D303" s="23">
        <v>5.99</v>
      </c>
      <c r="E303" s="3">
        <v>5.99</v>
      </c>
      <c r="F303" s="2" t="s">
        <v>17203</v>
      </c>
      <c r="G303" s="22" t="s">
        <v>19585</v>
      </c>
      <c r="H303" s="24" t="s">
        <v>19416</v>
      </c>
      <c r="I303" s="22" t="s">
        <v>19309</v>
      </c>
      <c r="J303" s="22" t="s">
        <v>19573</v>
      </c>
      <c r="K303" s="22" t="s">
        <v>19574</v>
      </c>
      <c r="L303" s="22"/>
      <c r="M303" s="22"/>
      <c r="N303" s="25" t="str">
        <f>HYPERLINK("http://slimages.macys.com/is/image/MCY/20757989 ")</f>
        <v xml:space="preserve">http://slimages.macys.com/is/image/MCY/20757989 </v>
      </c>
    </row>
    <row r="304" spans="1:14" ht="24.75" x14ac:dyDescent="0.25">
      <c r="A304" s="21" t="s">
        <v>8163</v>
      </c>
      <c r="B304" s="22" t="s">
        <v>8164</v>
      </c>
      <c r="C304" s="2">
        <v>1</v>
      </c>
      <c r="D304" s="23">
        <v>5.99</v>
      </c>
      <c r="E304" s="3">
        <v>5.99</v>
      </c>
      <c r="F304" s="2" t="s">
        <v>17203</v>
      </c>
      <c r="G304" s="22" t="s">
        <v>19585</v>
      </c>
      <c r="H304" s="24" t="s">
        <v>19330</v>
      </c>
      <c r="I304" s="22" t="s">
        <v>19309</v>
      </c>
      <c r="J304" s="22" t="s">
        <v>19573</v>
      </c>
      <c r="K304" s="22" t="s">
        <v>19574</v>
      </c>
      <c r="L304" s="22"/>
      <c r="M304" s="22"/>
      <c r="N304" s="25" t="str">
        <f>HYPERLINK("http://slimages.macys.com/is/image/MCY/20757989 ")</f>
        <v xml:space="preserve">http://slimages.macys.com/is/image/MCY/20757989 </v>
      </c>
    </row>
    <row r="305" spans="1:14" ht="24.75" x14ac:dyDescent="0.25">
      <c r="A305" s="21" t="s">
        <v>7192</v>
      </c>
      <c r="B305" s="22" t="s">
        <v>7193</v>
      </c>
      <c r="C305" s="2">
        <v>27</v>
      </c>
      <c r="D305" s="23">
        <v>5.99</v>
      </c>
      <c r="E305" s="3">
        <v>161.72999999999999</v>
      </c>
      <c r="F305" s="2" t="s">
        <v>17203</v>
      </c>
      <c r="G305" s="22" t="s">
        <v>19467</v>
      </c>
      <c r="H305" s="24" t="s">
        <v>19538</v>
      </c>
      <c r="I305" s="22" t="s">
        <v>19309</v>
      </c>
      <c r="J305" s="22" t="s">
        <v>19573</v>
      </c>
      <c r="K305" s="22" t="s">
        <v>19574</v>
      </c>
      <c r="L305" s="22"/>
      <c r="M305" s="22"/>
      <c r="N305" s="25" t="str">
        <f>HYPERLINK("http://slimages.macys.com/is/image/MCY/20757989 ")</f>
        <v xml:space="preserve">http://slimages.macys.com/is/image/MCY/20757989 </v>
      </c>
    </row>
    <row r="306" spans="1:14" ht="24.75" x14ac:dyDescent="0.25">
      <c r="A306" s="21" t="s">
        <v>8161</v>
      </c>
      <c r="B306" s="22" t="s">
        <v>8162</v>
      </c>
      <c r="C306" s="2">
        <v>134</v>
      </c>
      <c r="D306" s="23">
        <v>5.99</v>
      </c>
      <c r="E306" s="3">
        <v>802.66</v>
      </c>
      <c r="F306" s="2" t="s">
        <v>17203</v>
      </c>
      <c r="G306" s="22" t="s">
        <v>19467</v>
      </c>
      <c r="H306" s="24" t="s">
        <v>19330</v>
      </c>
      <c r="I306" s="22" t="s">
        <v>19309</v>
      </c>
      <c r="J306" s="22" t="s">
        <v>19573</v>
      </c>
      <c r="K306" s="22" t="s">
        <v>19574</v>
      </c>
      <c r="L306" s="22"/>
      <c r="M306" s="22"/>
      <c r="N306" s="25" t="str">
        <f>HYPERLINK("http://slimages.macys.com/is/image/MCY/20757989 ")</f>
        <v xml:space="preserve">http://slimages.macys.com/is/image/MCY/20757989 </v>
      </c>
    </row>
    <row r="307" spans="1:14" ht="24.75" x14ac:dyDescent="0.25">
      <c r="A307" s="21" t="s">
        <v>10723</v>
      </c>
      <c r="B307" s="22" t="s">
        <v>10724</v>
      </c>
      <c r="C307" s="2">
        <v>1</v>
      </c>
      <c r="D307" s="23">
        <v>5.99</v>
      </c>
      <c r="E307" s="3">
        <v>5.99</v>
      </c>
      <c r="F307" s="2" t="s">
        <v>17203</v>
      </c>
      <c r="G307" s="22" t="s">
        <v>19585</v>
      </c>
      <c r="H307" s="24" t="s">
        <v>19538</v>
      </c>
      <c r="I307" s="22" t="s">
        <v>19309</v>
      </c>
      <c r="J307" s="22" t="s">
        <v>19573</v>
      </c>
      <c r="K307" s="22" t="s">
        <v>19574</v>
      </c>
      <c r="L307" s="22"/>
      <c r="M307" s="22"/>
      <c r="N307" s="25" t="str">
        <f>HYPERLINK("http://slimages.macys.com/is/image/MCY/20757989 ")</f>
        <v xml:space="preserve">http://slimages.macys.com/is/image/MCY/20757989 </v>
      </c>
    </row>
    <row r="308" spans="1:14" ht="24.75" x14ac:dyDescent="0.25">
      <c r="A308" s="21" t="s">
        <v>14905</v>
      </c>
      <c r="B308" s="22" t="s">
        <v>14906</v>
      </c>
      <c r="C308" s="2">
        <v>1</v>
      </c>
      <c r="D308" s="23">
        <v>5.99</v>
      </c>
      <c r="E308" s="3">
        <v>5.99</v>
      </c>
      <c r="F308" s="2" t="s">
        <v>19224</v>
      </c>
      <c r="G308" s="22" t="s">
        <v>18821</v>
      </c>
      <c r="H308" s="24" t="s">
        <v>19324</v>
      </c>
      <c r="I308" s="22" t="s">
        <v>19309</v>
      </c>
      <c r="J308" s="22" t="s">
        <v>19573</v>
      </c>
      <c r="K308" s="22" t="s">
        <v>19574</v>
      </c>
      <c r="L308" s="22"/>
      <c r="M308" s="22"/>
      <c r="N308" s="25" t="str">
        <f>HYPERLINK("http://slimages.macys.com/is/image/MCY/21905230 ")</f>
        <v xml:space="preserve">http://slimages.macys.com/is/image/MCY/21905230 </v>
      </c>
    </row>
    <row r="309" spans="1:14" ht="24.75" x14ac:dyDescent="0.25">
      <c r="A309" s="21" t="s">
        <v>8380</v>
      </c>
      <c r="B309" s="22" t="s">
        <v>8381</v>
      </c>
      <c r="C309" s="2">
        <v>1</v>
      </c>
      <c r="D309" s="23">
        <v>5.99</v>
      </c>
      <c r="E309" s="3">
        <v>5.99</v>
      </c>
      <c r="F309" s="2" t="s">
        <v>17203</v>
      </c>
      <c r="G309" s="22" t="s">
        <v>19585</v>
      </c>
      <c r="H309" s="24" t="s">
        <v>19324</v>
      </c>
      <c r="I309" s="22" t="s">
        <v>19309</v>
      </c>
      <c r="J309" s="22" t="s">
        <v>19573</v>
      </c>
      <c r="K309" s="22" t="s">
        <v>19574</v>
      </c>
      <c r="L309" s="22"/>
      <c r="M309" s="22"/>
      <c r="N309" s="25" t="str">
        <f>HYPERLINK("http://slimages.macys.com/is/image/MCY/20757989 ")</f>
        <v xml:space="preserve">http://slimages.macys.com/is/image/MCY/20757989 </v>
      </c>
    </row>
    <row r="310" spans="1:14" ht="24.75" x14ac:dyDescent="0.25">
      <c r="A310" s="21" t="s">
        <v>17212</v>
      </c>
      <c r="B310" s="22" t="s">
        <v>17213</v>
      </c>
      <c r="C310" s="2">
        <v>1</v>
      </c>
      <c r="D310" s="23">
        <v>5.99</v>
      </c>
      <c r="E310" s="3">
        <v>5.99</v>
      </c>
      <c r="F310" s="2" t="s">
        <v>17214</v>
      </c>
      <c r="G310" s="22" t="s">
        <v>19351</v>
      </c>
      <c r="H310" s="24" t="s">
        <v>19384</v>
      </c>
      <c r="I310" s="22" t="s">
        <v>19309</v>
      </c>
      <c r="J310" s="22" t="s">
        <v>19573</v>
      </c>
      <c r="K310" s="22" t="s">
        <v>19574</v>
      </c>
      <c r="L310" s="22"/>
      <c r="M310" s="22"/>
      <c r="N310" s="25" t="str">
        <f>HYPERLINK("http://slimages.macys.com/is/image/MCY/20753665 ")</f>
        <v xml:space="preserve">http://slimages.macys.com/is/image/MCY/20753665 </v>
      </c>
    </row>
    <row r="311" spans="1:14" ht="24.75" x14ac:dyDescent="0.25">
      <c r="A311" s="21" t="s">
        <v>3619</v>
      </c>
      <c r="B311" s="22" t="s">
        <v>3620</v>
      </c>
      <c r="C311" s="2">
        <v>1</v>
      </c>
      <c r="D311" s="23">
        <v>5.99</v>
      </c>
      <c r="E311" s="3">
        <v>5.99</v>
      </c>
      <c r="F311" s="2" t="s">
        <v>17214</v>
      </c>
      <c r="G311" s="22" t="s">
        <v>19351</v>
      </c>
      <c r="H311" s="24" t="s">
        <v>19330</v>
      </c>
      <c r="I311" s="22" t="s">
        <v>19309</v>
      </c>
      <c r="J311" s="22" t="s">
        <v>19573</v>
      </c>
      <c r="K311" s="22" t="s">
        <v>19574</v>
      </c>
      <c r="L311" s="22"/>
      <c r="M311" s="22"/>
      <c r="N311" s="25" t="str">
        <f>HYPERLINK("http://slimages.macys.com/is/image/MCY/20753665 ")</f>
        <v xml:space="preserve">http://slimages.macys.com/is/image/MCY/20753665 </v>
      </c>
    </row>
    <row r="312" spans="1:14" ht="24.75" x14ac:dyDescent="0.25">
      <c r="A312" s="21" t="s">
        <v>11167</v>
      </c>
      <c r="B312" s="22" t="s">
        <v>11168</v>
      </c>
      <c r="C312" s="2">
        <v>4</v>
      </c>
      <c r="D312" s="23">
        <v>5.99</v>
      </c>
      <c r="E312" s="3">
        <v>23.96</v>
      </c>
      <c r="F312" s="2" t="s">
        <v>14302</v>
      </c>
      <c r="G312" s="22" t="s">
        <v>19351</v>
      </c>
      <c r="H312" s="24" t="s">
        <v>19416</v>
      </c>
      <c r="I312" s="22" t="s">
        <v>19309</v>
      </c>
      <c r="J312" s="22" t="s">
        <v>19573</v>
      </c>
      <c r="K312" s="22" t="s">
        <v>19574</v>
      </c>
      <c r="L312" s="22"/>
      <c r="M312" s="22"/>
      <c r="N312" s="25" t="str">
        <f>HYPERLINK("http://slimages.macys.com/is/image/MCY/21371433 ")</f>
        <v xml:space="preserve">http://slimages.macys.com/is/image/MCY/21371433 </v>
      </c>
    </row>
    <row r="313" spans="1:14" ht="24.75" x14ac:dyDescent="0.25">
      <c r="A313" s="21" t="s">
        <v>14303</v>
      </c>
      <c r="B313" s="22" t="s">
        <v>14304</v>
      </c>
      <c r="C313" s="2">
        <v>20</v>
      </c>
      <c r="D313" s="23">
        <v>5.99</v>
      </c>
      <c r="E313" s="3">
        <v>119.8</v>
      </c>
      <c r="F313" s="2" t="s">
        <v>14302</v>
      </c>
      <c r="G313" s="22" t="s">
        <v>19351</v>
      </c>
      <c r="H313" s="24" t="s">
        <v>19330</v>
      </c>
      <c r="I313" s="22" t="s">
        <v>19309</v>
      </c>
      <c r="J313" s="22" t="s">
        <v>19573</v>
      </c>
      <c r="K313" s="22" t="s">
        <v>19574</v>
      </c>
      <c r="L313" s="22"/>
      <c r="M313" s="22"/>
      <c r="N313" s="25" t="str">
        <f>HYPERLINK("http://slimages.macys.com/is/image/MCY/21371433 ")</f>
        <v xml:space="preserve">http://slimages.macys.com/is/image/MCY/21371433 </v>
      </c>
    </row>
    <row r="314" spans="1:14" ht="24.75" x14ac:dyDescent="0.25">
      <c r="A314" s="21" t="s">
        <v>3985</v>
      </c>
      <c r="B314" s="22" t="s">
        <v>3986</v>
      </c>
      <c r="C314" s="2">
        <v>1</v>
      </c>
      <c r="D314" s="23">
        <v>5.99</v>
      </c>
      <c r="E314" s="3">
        <v>5.99</v>
      </c>
      <c r="F314" s="2" t="s">
        <v>8384</v>
      </c>
      <c r="G314" s="22" t="s">
        <v>19618</v>
      </c>
      <c r="H314" s="24" t="s">
        <v>19416</v>
      </c>
      <c r="I314" s="22" t="s">
        <v>19309</v>
      </c>
      <c r="J314" s="22" t="s">
        <v>19573</v>
      </c>
      <c r="K314" s="22" t="s">
        <v>19574</v>
      </c>
      <c r="L314" s="22"/>
      <c r="M314" s="22"/>
      <c r="N314" s="25" t="str">
        <f>HYPERLINK("http://slimages.macys.com/is/image/MCY/21371487 ")</f>
        <v xml:space="preserve">http://slimages.macys.com/is/image/MCY/21371487 </v>
      </c>
    </row>
    <row r="315" spans="1:14" ht="24.75" x14ac:dyDescent="0.25">
      <c r="A315" s="21" t="s">
        <v>7199</v>
      </c>
      <c r="B315" s="22" t="s">
        <v>7200</v>
      </c>
      <c r="C315" s="2">
        <v>41</v>
      </c>
      <c r="D315" s="23">
        <v>5.99</v>
      </c>
      <c r="E315" s="3">
        <v>245.59</v>
      </c>
      <c r="F315" s="2" t="s">
        <v>8384</v>
      </c>
      <c r="G315" s="22" t="s">
        <v>19618</v>
      </c>
      <c r="H315" s="24" t="s">
        <v>19324</v>
      </c>
      <c r="I315" s="22" t="s">
        <v>19309</v>
      </c>
      <c r="J315" s="22" t="s">
        <v>19573</v>
      </c>
      <c r="K315" s="22" t="s">
        <v>19574</v>
      </c>
      <c r="L315" s="22"/>
      <c r="M315" s="22"/>
      <c r="N315" s="25" t="str">
        <f>HYPERLINK("http://slimages.macys.com/is/image/MCY/1587127 ")</f>
        <v xml:space="preserve">http://slimages.macys.com/is/image/MCY/1587127 </v>
      </c>
    </row>
    <row r="316" spans="1:14" ht="24.75" x14ac:dyDescent="0.25">
      <c r="A316" s="21" t="s">
        <v>19249</v>
      </c>
      <c r="B316" s="22" t="s">
        <v>19250</v>
      </c>
      <c r="C316" s="2">
        <v>18</v>
      </c>
      <c r="D316" s="23">
        <v>5.99</v>
      </c>
      <c r="E316" s="3">
        <v>107.82</v>
      </c>
      <c r="F316" s="2" t="s">
        <v>19251</v>
      </c>
      <c r="G316" s="22" t="s">
        <v>19351</v>
      </c>
      <c r="H316" s="24" t="s">
        <v>19384</v>
      </c>
      <c r="I316" s="22" t="s">
        <v>19309</v>
      </c>
      <c r="J316" s="22" t="s">
        <v>19573</v>
      </c>
      <c r="K316" s="22" t="s">
        <v>19574</v>
      </c>
      <c r="L316" s="22"/>
      <c r="M316" s="22"/>
      <c r="N316" s="25" t="str">
        <f>HYPERLINK("http://slimages.macys.com/is/image/MCY/21088503 ")</f>
        <v xml:space="preserve">http://slimages.macys.com/is/image/MCY/21088503 </v>
      </c>
    </row>
    <row r="317" spans="1:14" ht="24.75" x14ac:dyDescent="0.25">
      <c r="A317" s="21" t="s">
        <v>14925</v>
      </c>
      <c r="B317" s="22" t="s">
        <v>14926</v>
      </c>
      <c r="C317" s="2">
        <v>1</v>
      </c>
      <c r="D317" s="23">
        <v>5.99</v>
      </c>
      <c r="E317" s="3">
        <v>5.99</v>
      </c>
      <c r="F317" s="2" t="s">
        <v>14927</v>
      </c>
      <c r="G317" s="22" t="s">
        <v>19618</v>
      </c>
      <c r="H317" s="24" t="s">
        <v>19538</v>
      </c>
      <c r="I317" s="22" t="s">
        <v>19309</v>
      </c>
      <c r="J317" s="22" t="s">
        <v>19573</v>
      </c>
      <c r="K317" s="22" t="s">
        <v>19574</v>
      </c>
      <c r="L317" s="22"/>
      <c r="M317" s="22"/>
      <c r="N317" s="25" t="str">
        <f>HYPERLINK("http://slimages.macys.com/is/image/MCY/21088408 ")</f>
        <v xml:space="preserve">http://slimages.macys.com/is/image/MCY/21088408 </v>
      </c>
    </row>
    <row r="318" spans="1:14" ht="24.75" x14ac:dyDescent="0.25">
      <c r="A318" s="21" t="s">
        <v>5014</v>
      </c>
      <c r="B318" s="22" t="s">
        <v>5015</v>
      </c>
      <c r="C318" s="2">
        <v>1</v>
      </c>
      <c r="D318" s="23">
        <v>5.99</v>
      </c>
      <c r="E318" s="3">
        <v>5.99</v>
      </c>
      <c r="F318" s="2" t="s">
        <v>19251</v>
      </c>
      <c r="G318" s="22" t="s">
        <v>19351</v>
      </c>
      <c r="H318" s="24" t="s">
        <v>19330</v>
      </c>
      <c r="I318" s="22" t="s">
        <v>19309</v>
      </c>
      <c r="J318" s="22" t="s">
        <v>19573</v>
      </c>
      <c r="K318" s="22" t="s">
        <v>19574</v>
      </c>
      <c r="L318" s="22"/>
      <c r="M318" s="22"/>
      <c r="N318" s="25" t="str">
        <f>HYPERLINK("http://slimages.macys.com/is/image/MCY/21088503 ")</f>
        <v xml:space="preserve">http://slimages.macys.com/is/image/MCY/21088503 </v>
      </c>
    </row>
    <row r="319" spans="1:14" ht="24.75" x14ac:dyDescent="0.25">
      <c r="A319" s="21" t="s">
        <v>8385</v>
      </c>
      <c r="B319" s="22" t="s">
        <v>8386</v>
      </c>
      <c r="C319" s="2">
        <v>32</v>
      </c>
      <c r="D319" s="23">
        <v>5.99</v>
      </c>
      <c r="E319" s="3">
        <v>191.68</v>
      </c>
      <c r="F319" s="2" t="s">
        <v>11171</v>
      </c>
      <c r="G319" s="22" t="s">
        <v>19351</v>
      </c>
      <c r="H319" s="24" t="s">
        <v>19538</v>
      </c>
      <c r="I319" s="22" t="s">
        <v>19309</v>
      </c>
      <c r="J319" s="22" t="s">
        <v>19573</v>
      </c>
      <c r="K319" s="22" t="s">
        <v>19574</v>
      </c>
      <c r="L319" s="22"/>
      <c r="M319" s="22"/>
      <c r="N319" s="25" t="str">
        <f>HYPERLINK("http://slimages.macys.com/is/image/MCY/21371479 ")</f>
        <v xml:space="preserve">http://slimages.macys.com/is/image/MCY/21371479 </v>
      </c>
    </row>
    <row r="320" spans="1:14" ht="24.75" x14ac:dyDescent="0.25">
      <c r="A320" s="21" t="s">
        <v>3623</v>
      </c>
      <c r="B320" s="22" t="s">
        <v>3624</v>
      </c>
      <c r="C320" s="2">
        <v>54</v>
      </c>
      <c r="D320" s="23">
        <v>5.99</v>
      </c>
      <c r="E320" s="3">
        <v>323.45999999999998</v>
      </c>
      <c r="F320" s="2" t="s">
        <v>9721</v>
      </c>
      <c r="G320" s="22" t="s">
        <v>19351</v>
      </c>
      <c r="H320" s="24" t="s">
        <v>19538</v>
      </c>
      <c r="I320" s="22" t="s">
        <v>19309</v>
      </c>
      <c r="J320" s="22" t="s">
        <v>19573</v>
      </c>
      <c r="K320" s="22" t="s">
        <v>19574</v>
      </c>
      <c r="L320" s="22"/>
      <c r="M320" s="22"/>
      <c r="N320" s="25" t="str">
        <f>HYPERLINK("http://slimages.macys.com/is/image/MCY/21371491 ")</f>
        <v xml:space="preserve">http://slimages.macys.com/is/image/MCY/21371491 </v>
      </c>
    </row>
    <row r="321" spans="1:14" ht="24.75" x14ac:dyDescent="0.25">
      <c r="A321" s="21" t="s">
        <v>8630</v>
      </c>
      <c r="B321" s="22" t="s">
        <v>8631</v>
      </c>
      <c r="C321" s="2">
        <v>18</v>
      </c>
      <c r="D321" s="23">
        <v>5.99</v>
      </c>
      <c r="E321" s="3">
        <v>107.82</v>
      </c>
      <c r="F321" s="2" t="s">
        <v>11171</v>
      </c>
      <c r="G321" s="22" t="s">
        <v>19351</v>
      </c>
      <c r="H321" s="24" t="s">
        <v>19330</v>
      </c>
      <c r="I321" s="22" t="s">
        <v>19309</v>
      </c>
      <c r="J321" s="22" t="s">
        <v>19573</v>
      </c>
      <c r="K321" s="22" t="s">
        <v>19574</v>
      </c>
      <c r="L321" s="22"/>
      <c r="M321" s="22"/>
      <c r="N321" s="25" t="str">
        <f>HYPERLINK("http://slimages.macys.com/is/image/MCY/21371479 ")</f>
        <v xml:space="preserve">http://slimages.macys.com/is/image/MCY/21371479 </v>
      </c>
    </row>
    <row r="322" spans="1:14" ht="24.75" x14ac:dyDescent="0.25">
      <c r="A322" s="21" t="s">
        <v>9730</v>
      </c>
      <c r="B322" s="22" t="s">
        <v>9731</v>
      </c>
      <c r="C322" s="2">
        <v>1</v>
      </c>
      <c r="D322" s="23">
        <v>7.99</v>
      </c>
      <c r="E322" s="3">
        <v>7.99</v>
      </c>
      <c r="F322" s="2" t="s">
        <v>10744</v>
      </c>
      <c r="G322" s="22" t="s">
        <v>19431</v>
      </c>
      <c r="H322" s="24" t="s">
        <v>20089</v>
      </c>
      <c r="I322" s="22" t="s">
        <v>19309</v>
      </c>
      <c r="J322" s="22" t="s">
        <v>19573</v>
      </c>
      <c r="K322" s="22" t="s">
        <v>19574</v>
      </c>
      <c r="L322" s="22"/>
      <c r="M322" s="22"/>
      <c r="N322" s="25" t="str">
        <f>HYPERLINK("http://slimages.macys.com/is/image/MCY/21209287 ")</f>
        <v xml:space="preserve">http://slimages.macys.com/is/image/MCY/21209287 </v>
      </c>
    </row>
    <row r="323" spans="1:14" ht="24.75" x14ac:dyDescent="0.25">
      <c r="A323" s="21" t="s">
        <v>11169</v>
      </c>
      <c r="B323" s="22" t="s">
        <v>11170</v>
      </c>
      <c r="C323" s="2">
        <v>24</v>
      </c>
      <c r="D323" s="23">
        <v>5.99</v>
      </c>
      <c r="E323" s="3">
        <v>143.76</v>
      </c>
      <c r="F323" s="2" t="s">
        <v>11171</v>
      </c>
      <c r="G323" s="22" t="s">
        <v>19351</v>
      </c>
      <c r="H323" s="24" t="s">
        <v>19324</v>
      </c>
      <c r="I323" s="22" t="s">
        <v>19309</v>
      </c>
      <c r="J323" s="22" t="s">
        <v>19573</v>
      </c>
      <c r="K323" s="22" t="s">
        <v>19574</v>
      </c>
      <c r="L323" s="22"/>
      <c r="M323" s="22"/>
      <c r="N323" s="25" t="str">
        <f>HYPERLINK("http://slimages.macys.com/is/image/MCY/21371479 ")</f>
        <v xml:space="preserve">http://slimages.macys.com/is/image/MCY/21371479 </v>
      </c>
    </row>
    <row r="324" spans="1:14" ht="24.75" x14ac:dyDescent="0.25">
      <c r="A324" s="21" t="s">
        <v>8172</v>
      </c>
      <c r="B324" s="22" t="s">
        <v>8173</v>
      </c>
      <c r="C324" s="2">
        <v>11</v>
      </c>
      <c r="D324" s="23">
        <v>5.99</v>
      </c>
      <c r="E324" s="3">
        <v>65.89</v>
      </c>
      <c r="F324" s="2" t="s">
        <v>9721</v>
      </c>
      <c r="G324" s="22" t="s">
        <v>19351</v>
      </c>
      <c r="H324" s="24" t="s">
        <v>19384</v>
      </c>
      <c r="I324" s="22" t="s">
        <v>19309</v>
      </c>
      <c r="J324" s="22" t="s">
        <v>19573</v>
      </c>
      <c r="K324" s="22" t="s">
        <v>19574</v>
      </c>
      <c r="L324" s="22"/>
      <c r="M324" s="22"/>
      <c r="N324" s="25" t="str">
        <f>HYPERLINK("http://slimages.macys.com/is/image/MCY/21371491 ")</f>
        <v xml:space="preserve">http://slimages.macys.com/is/image/MCY/21371491 </v>
      </c>
    </row>
    <row r="325" spans="1:14" ht="24.75" x14ac:dyDescent="0.25">
      <c r="A325" s="21" t="s">
        <v>8473</v>
      </c>
      <c r="B325" s="22" t="s">
        <v>8474</v>
      </c>
      <c r="C325" s="2">
        <v>12</v>
      </c>
      <c r="D325" s="23">
        <v>5.99</v>
      </c>
      <c r="E325" s="3">
        <v>71.88</v>
      </c>
      <c r="F325" s="2" t="s">
        <v>11171</v>
      </c>
      <c r="G325" s="22" t="s">
        <v>19351</v>
      </c>
      <c r="H325" s="24" t="s">
        <v>19384</v>
      </c>
      <c r="I325" s="22" t="s">
        <v>19309</v>
      </c>
      <c r="J325" s="22" t="s">
        <v>19573</v>
      </c>
      <c r="K325" s="22" t="s">
        <v>19574</v>
      </c>
      <c r="L325" s="22"/>
      <c r="M325" s="22"/>
      <c r="N325" s="25" t="str">
        <f>HYPERLINK("http://slimages.macys.com/is/image/MCY/21371479 ")</f>
        <v xml:space="preserve">http://slimages.macys.com/is/image/MCY/21371479 </v>
      </c>
    </row>
    <row r="326" spans="1:14" ht="24.75" x14ac:dyDescent="0.25">
      <c r="A326" s="21" t="s">
        <v>17238</v>
      </c>
      <c r="B326" s="22" t="s">
        <v>17239</v>
      </c>
      <c r="C326" s="2">
        <v>1</v>
      </c>
      <c r="D326" s="23">
        <v>5.99</v>
      </c>
      <c r="E326" s="3">
        <v>5.99</v>
      </c>
      <c r="F326" s="2" t="s">
        <v>17240</v>
      </c>
      <c r="G326" s="22" t="s">
        <v>19315</v>
      </c>
      <c r="H326" s="24" t="s">
        <v>19384</v>
      </c>
      <c r="I326" s="22" t="s">
        <v>19309</v>
      </c>
      <c r="J326" s="22" t="s">
        <v>19573</v>
      </c>
      <c r="K326" s="22" t="s">
        <v>19574</v>
      </c>
      <c r="L326" s="22"/>
      <c r="M326" s="22"/>
      <c r="N326" s="25" t="str">
        <f>HYPERLINK("http://slimages.macys.com/is/image/MCY/1521976 ")</f>
        <v xml:space="preserve">http://slimages.macys.com/is/image/MCY/1521976 </v>
      </c>
    </row>
    <row r="327" spans="1:14" ht="24.75" x14ac:dyDescent="0.25">
      <c r="A327" s="21" t="s">
        <v>9329</v>
      </c>
      <c r="B327" s="22" t="s">
        <v>9330</v>
      </c>
      <c r="C327" s="2">
        <v>13</v>
      </c>
      <c r="D327" s="23">
        <v>5.99</v>
      </c>
      <c r="E327" s="3">
        <v>77.87</v>
      </c>
      <c r="F327" s="2" t="s">
        <v>17245</v>
      </c>
      <c r="G327" s="22" t="s">
        <v>19794</v>
      </c>
      <c r="H327" s="24" t="s">
        <v>19538</v>
      </c>
      <c r="I327" s="22" t="s">
        <v>19309</v>
      </c>
      <c r="J327" s="22" t="s">
        <v>19573</v>
      </c>
      <c r="K327" s="22" t="s">
        <v>19574</v>
      </c>
      <c r="L327" s="22"/>
      <c r="M327" s="22"/>
      <c r="N327" s="25" t="str">
        <f>HYPERLINK("http://slimages.macys.com/is/image/MCY/1520523 ")</f>
        <v xml:space="preserve">http://slimages.macys.com/is/image/MCY/1520523 </v>
      </c>
    </row>
    <row r="328" spans="1:14" ht="24.75" x14ac:dyDescent="0.25">
      <c r="A328" s="21" t="s">
        <v>3987</v>
      </c>
      <c r="B328" s="22" t="s">
        <v>3988</v>
      </c>
      <c r="C328" s="2">
        <v>1</v>
      </c>
      <c r="D328" s="23">
        <v>5.99</v>
      </c>
      <c r="E328" s="3">
        <v>5.99</v>
      </c>
      <c r="F328" s="2" t="s">
        <v>17245</v>
      </c>
      <c r="G328" s="22" t="s">
        <v>19906</v>
      </c>
      <c r="H328" s="24" t="s">
        <v>19330</v>
      </c>
      <c r="I328" s="22" t="s">
        <v>19309</v>
      </c>
      <c r="J328" s="22" t="s">
        <v>19573</v>
      </c>
      <c r="K328" s="22" t="s">
        <v>19574</v>
      </c>
      <c r="L328" s="22"/>
      <c r="M328" s="22"/>
      <c r="N328" s="25" t="str">
        <f>HYPERLINK("http://slimages.macys.com/is/image/MCY/1520523 ")</f>
        <v xml:space="preserve">http://slimages.macys.com/is/image/MCY/1520523 </v>
      </c>
    </row>
    <row r="329" spans="1:14" ht="24.75" x14ac:dyDescent="0.25">
      <c r="A329" s="21" t="s">
        <v>3629</v>
      </c>
      <c r="B329" s="22" t="s">
        <v>3630</v>
      </c>
      <c r="C329" s="2">
        <v>33</v>
      </c>
      <c r="D329" s="23">
        <v>5.99</v>
      </c>
      <c r="E329" s="3">
        <v>197.67</v>
      </c>
      <c r="F329" s="2" t="s">
        <v>17245</v>
      </c>
      <c r="G329" s="22" t="s">
        <v>19670</v>
      </c>
      <c r="H329" s="24" t="s">
        <v>19416</v>
      </c>
      <c r="I329" s="22" t="s">
        <v>19309</v>
      </c>
      <c r="J329" s="22" t="s">
        <v>19573</v>
      </c>
      <c r="K329" s="22" t="s">
        <v>19574</v>
      </c>
      <c r="L329" s="22"/>
      <c r="M329" s="22"/>
      <c r="N329" s="25" t="str">
        <f>HYPERLINK("http://slimages.macys.com/is/image/MCY/21209342 ")</f>
        <v xml:space="preserve">http://slimages.macys.com/is/image/MCY/21209342 </v>
      </c>
    </row>
    <row r="330" spans="1:14" ht="24.75" x14ac:dyDescent="0.25">
      <c r="A330" s="21" t="s">
        <v>14328</v>
      </c>
      <c r="B330" s="22" t="s">
        <v>14329</v>
      </c>
      <c r="C330" s="2">
        <v>1</v>
      </c>
      <c r="D330" s="23">
        <v>5.99</v>
      </c>
      <c r="E330" s="3">
        <v>5.99</v>
      </c>
      <c r="F330" s="2" t="s">
        <v>17245</v>
      </c>
      <c r="G330" s="22" t="s">
        <v>19431</v>
      </c>
      <c r="H330" s="24" t="s">
        <v>19538</v>
      </c>
      <c r="I330" s="22" t="s">
        <v>19309</v>
      </c>
      <c r="J330" s="22" t="s">
        <v>19573</v>
      </c>
      <c r="K330" s="22" t="s">
        <v>19574</v>
      </c>
      <c r="L330" s="22"/>
      <c r="M330" s="22"/>
      <c r="N330" s="25" t="str">
        <f>HYPERLINK("http://slimages.macys.com/is/image/MCY/1523158 ")</f>
        <v xml:space="preserve">http://slimages.macys.com/is/image/MCY/1523158 </v>
      </c>
    </row>
    <row r="331" spans="1:14" ht="24.75" x14ac:dyDescent="0.25">
      <c r="A331" s="21" t="s">
        <v>11174</v>
      </c>
      <c r="B331" s="22" t="s">
        <v>11175</v>
      </c>
      <c r="C331" s="2">
        <v>1</v>
      </c>
      <c r="D331" s="23">
        <v>5.99</v>
      </c>
      <c r="E331" s="3">
        <v>5.99</v>
      </c>
      <c r="F331" s="2" t="s">
        <v>17245</v>
      </c>
      <c r="G331" s="22" t="s">
        <v>19906</v>
      </c>
      <c r="H331" s="24" t="s">
        <v>19538</v>
      </c>
      <c r="I331" s="22" t="s">
        <v>19309</v>
      </c>
      <c r="J331" s="22" t="s">
        <v>19573</v>
      </c>
      <c r="K331" s="22" t="s">
        <v>19574</v>
      </c>
      <c r="L331" s="22"/>
      <c r="M331" s="22"/>
      <c r="N331" s="25" t="str">
        <f>HYPERLINK("http://slimages.macys.com/is/image/MCY/1520523 ")</f>
        <v xml:space="preserve">http://slimages.macys.com/is/image/MCY/1520523 </v>
      </c>
    </row>
    <row r="332" spans="1:14" ht="24.75" x14ac:dyDescent="0.25">
      <c r="A332" s="21" t="s">
        <v>9333</v>
      </c>
      <c r="B332" s="22" t="s">
        <v>9334</v>
      </c>
      <c r="C332" s="2">
        <v>1</v>
      </c>
      <c r="D332" s="23">
        <v>6.99</v>
      </c>
      <c r="E332" s="3">
        <v>6.99</v>
      </c>
      <c r="F332" s="2" t="s">
        <v>9335</v>
      </c>
      <c r="G332" s="22" t="s">
        <v>18821</v>
      </c>
      <c r="H332" s="24" t="s">
        <v>19538</v>
      </c>
      <c r="I332" s="22" t="s">
        <v>19309</v>
      </c>
      <c r="J332" s="22" t="s">
        <v>19573</v>
      </c>
      <c r="K332" s="22" t="s">
        <v>19574</v>
      </c>
      <c r="L332" s="22"/>
      <c r="M332" s="22"/>
      <c r="N332" s="25" t="str">
        <f>HYPERLINK("http://slimages.macys.com/is/image/MCY/1041675 ")</f>
        <v xml:space="preserve">http://slimages.macys.com/is/image/MCY/1041675 </v>
      </c>
    </row>
    <row r="333" spans="1:14" ht="24.75" x14ac:dyDescent="0.25">
      <c r="A333" s="21" t="s">
        <v>3638</v>
      </c>
      <c r="B333" s="22" t="s">
        <v>3639</v>
      </c>
      <c r="C333" s="2">
        <v>4</v>
      </c>
      <c r="D333" s="23">
        <v>6.99</v>
      </c>
      <c r="E333" s="3">
        <v>27.96</v>
      </c>
      <c r="F333" s="2" t="s">
        <v>9335</v>
      </c>
      <c r="G333" s="22" t="s">
        <v>18821</v>
      </c>
      <c r="H333" s="24" t="s">
        <v>19770</v>
      </c>
      <c r="I333" s="22" t="s">
        <v>19309</v>
      </c>
      <c r="J333" s="22" t="s">
        <v>19573</v>
      </c>
      <c r="K333" s="22" t="s">
        <v>19574</v>
      </c>
      <c r="L333" s="22"/>
      <c r="M333" s="22"/>
      <c r="N333" s="25" t="str">
        <f>HYPERLINK("http://slimages.macys.com/is/image/MCY/20142540 ")</f>
        <v xml:space="preserve">http://slimages.macys.com/is/image/MCY/20142540 </v>
      </c>
    </row>
    <row r="334" spans="1:14" ht="24.75" x14ac:dyDescent="0.25">
      <c r="A334" s="21" t="s">
        <v>8389</v>
      </c>
      <c r="B334" s="22" t="s">
        <v>8390</v>
      </c>
      <c r="C334" s="2">
        <v>27</v>
      </c>
      <c r="D334" s="23">
        <v>6.99</v>
      </c>
      <c r="E334" s="3">
        <v>188.73</v>
      </c>
      <c r="F334" s="2" t="s">
        <v>9335</v>
      </c>
      <c r="G334" s="22" t="s">
        <v>18821</v>
      </c>
      <c r="H334" s="24"/>
      <c r="I334" s="22" t="s">
        <v>19309</v>
      </c>
      <c r="J334" s="22" t="s">
        <v>19573</v>
      </c>
      <c r="K334" s="22" t="s">
        <v>19574</v>
      </c>
      <c r="L334" s="22"/>
      <c r="M334" s="22"/>
      <c r="N334" s="25" t="str">
        <f>HYPERLINK("http://slimages.macys.com/is/image/MCY/1041675 ")</f>
        <v xml:space="preserve">http://slimages.macys.com/is/image/MCY/1041675 </v>
      </c>
    </row>
    <row r="335" spans="1:14" ht="24.75" x14ac:dyDescent="0.25">
      <c r="A335" s="21" t="s">
        <v>3642</v>
      </c>
      <c r="B335" s="22" t="s">
        <v>3643</v>
      </c>
      <c r="C335" s="2">
        <v>10</v>
      </c>
      <c r="D335" s="23">
        <v>5.99</v>
      </c>
      <c r="E335" s="3">
        <v>59.9</v>
      </c>
      <c r="F335" s="2" t="s">
        <v>17262</v>
      </c>
      <c r="G335" s="22" t="s">
        <v>19674</v>
      </c>
      <c r="H335" s="24" t="s">
        <v>19538</v>
      </c>
      <c r="I335" s="22" t="s">
        <v>19309</v>
      </c>
      <c r="J335" s="22" t="s">
        <v>19573</v>
      </c>
      <c r="K335" s="22" t="s">
        <v>19574</v>
      </c>
      <c r="L335" s="22"/>
      <c r="M335" s="22"/>
      <c r="N335" s="25" t="str">
        <f>HYPERLINK("http://slimages.macys.com/is/image/MCY/21361805 ")</f>
        <v xml:space="preserve">http://slimages.macys.com/is/image/MCY/21361805 </v>
      </c>
    </row>
    <row r="336" spans="1:14" ht="24.75" x14ac:dyDescent="0.25">
      <c r="A336" s="21" t="s">
        <v>11178</v>
      </c>
      <c r="B336" s="22" t="s">
        <v>11179</v>
      </c>
      <c r="C336" s="2">
        <v>1</v>
      </c>
      <c r="D336" s="23">
        <v>5.99</v>
      </c>
      <c r="E336" s="3">
        <v>5.99</v>
      </c>
      <c r="F336" s="2" t="s">
        <v>17262</v>
      </c>
      <c r="G336" s="22" t="s">
        <v>19674</v>
      </c>
      <c r="H336" s="24" t="s">
        <v>19384</v>
      </c>
      <c r="I336" s="22" t="s">
        <v>19309</v>
      </c>
      <c r="J336" s="22" t="s">
        <v>19573</v>
      </c>
      <c r="K336" s="22" t="s">
        <v>19574</v>
      </c>
      <c r="L336" s="22"/>
      <c r="M336" s="22"/>
      <c r="N336" s="25" t="str">
        <f>HYPERLINK("http://slimages.macys.com/is/image/MCY/21361805 ")</f>
        <v xml:space="preserve">http://slimages.macys.com/is/image/MCY/21361805 </v>
      </c>
    </row>
    <row r="337" spans="1:14" ht="24.75" x14ac:dyDescent="0.25">
      <c r="A337" s="21" t="s">
        <v>3640</v>
      </c>
      <c r="B337" s="22" t="s">
        <v>3641</v>
      </c>
      <c r="C337" s="2">
        <v>7</v>
      </c>
      <c r="D337" s="23">
        <v>5.99</v>
      </c>
      <c r="E337" s="3">
        <v>41.93</v>
      </c>
      <c r="F337" s="2" t="s">
        <v>17262</v>
      </c>
      <c r="G337" s="22" t="s">
        <v>19674</v>
      </c>
      <c r="H337" s="24" t="s">
        <v>19324</v>
      </c>
      <c r="I337" s="22" t="s">
        <v>19309</v>
      </c>
      <c r="J337" s="22" t="s">
        <v>19573</v>
      </c>
      <c r="K337" s="22" t="s">
        <v>19574</v>
      </c>
      <c r="L337" s="22"/>
      <c r="M337" s="22"/>
      <c r="N337" s="25" t="str">
        <f>HYPERLINK("http://slimages.macys.com/is/image/MCY/21361805 ")</f>
        <v xml:space="preserve">http://slimages.macys.com/is/image/MCY/21361805 </v>
      </c>
    </row>
    <row r="338" spans="1:14" ht="24.75" x14ac:dyDescent="0.25">
      <c r="A338" s="21" t="s">
        <v>8176</v>
      </c>
      <c r="B338" s="22" t="s">
        <v>8177</v>
      </c>
      <c r="C338" s="2">
        <v>1</v>
      </c>
      <c r="D338" s="23">
        <v>5.99</v>
      </c>
      <c r="E338" s="3">
        <v>5.99</v>
      </c>
      <c r="F338" s="2" t="s">
        <v>17262</v>
      </c>
      <c r="G338" s="22" t="s">
        <v>19674</v>
      </c>
      <c r="H338" s="24" t="s">
        <v>19416</v>
      </c>
      <c r="I338" s="22" t="s">
        <v>19309</v>
      </c>
      <c r="J338" s="22" t="s">
        <v>19573</v>
      </c>
      <c r="K338" s="22" t="s">
        <v>19574</v>
      </c>
      <c r="L338" s="22"/>
      <c r="M338" s="22"/>
      <c r="N338" s="25" t="str">
        <f>HYPERLINK("http://slimages.macys.com/is/image/MCY/21361805 ")</f>
        <v xml:space="preserve">http://slimages.macys.com/is/image/MCY/21361805 </v>
      </c>
    </row>
    <row r="339" spans="1:14" ht="24.75" x14ac:dyDescent="0.25">
      <c r="A339" s="21" t="s">
        <v>3989</v>
      </c>
      <c r="B339" s="22" t="s">
        <v>3990</v>
      </c>
      <c r="C339" s="2">
        <v>1</v>
      </c>
      <c r="D339" s="23">
        <v>6.99</v>
      </c>
      <c r="E339" s="3">
        <v>6.99</v>
      </c>
      <c r="F339" s="2" t="s">
        <v>14339</v>
      </c>
      <c r="G339" s="22" t="s">
        <v>18439</v>
      </c>
      <c r="H339" s="24" t="s">
        <v>19330</v>
      </c>
      <c r="I339" s="22" t="s">
        <v>19309</v>
      </c>
      <c r="J339" s="22" t="s">
        <v>19573</v>
      </c>
      <c r="K339" s="22" t="s">
        <v>19574</v>
      </c>
      <c r="L339" s="22"/>
      <c r="M339" s="22"/>
      <c r="N339" s="25" t="str">
        <f>HYPERLINK("http://slimages.macys.com/is/image/MCY/19977418 ")</f>
        <v xml:space="preserve">http://slimages.macys.com/is/image/MCY/19977418 </v>
      </c>
    </row>
    <row r="340" spans="1:14" ht="24.75" x14ac:dyDescent="0.25">
      <c r="A340" s="21" t="s">
        <v>17406</v>
      </c>
      <c r="B340" s="22" t="s">
        <v>17407</v>
      </c>
      <c r="C340" s="2">
        <v>13</v>
      </c>
      <c r="D340" s="23">
        <v>5.99</v>
      </c>
      <c r="E340" s="3">
        <v>77.87</v>
      </c>
      <c r="F340" s="2" t="s">
        <v>17408</v>
      </c>
      <c r="G340" s="22" t="s">
        <v>19467</v>
      </c>
      <c r="H340" s="24" t="s">
        <v>19538</v>
      </c>
      <c r="I340" s="22" t="s">
        <v>19309</v>
      </c>
      <c r="J340" s="22" t="s">
        <v>19573</v>
      </c>
      <c r="K340" s="22" t="s">
        <v>19574</v>
      </c>
      <c r="L340" s="22"/>
      <c r="M340" s="22"/>
      <c r="N340" s="25" t="str">
        <f>HYPERLINK("http://slimages.macys.com/is/image/MCY/21970244 ")</f>
        <v xml:space="preserve">http://slimages.macys.com/is/image/MCY/21970244 </v>
      </c>
    </row>
    <row r="341" spans="1:14" ht="24.75" x14ac:dyDescent="0.25">
      <c r="A341" s="21" t="s">
        <v>9740</v>
      </c>
      <c r="B341" s="22" t="s">
        <v>9741</v>
      </c>
      <c r="C341" s="2">
        <v>3</v>
      </c>
      <c r="D341" s="23">
        <v>5.99</v>
      </c>
      <c r="E341" s="3">
        <v>17.97</v>
      </c>
      <c r="F341" s="2" t="s">
        <v>9742</v>
      </c>
      <c r="G341" s="22" t="s">
        <v>19351</v>
      </c>
      <c r="H341" s="24" t="s">
        <v>19324</v>
      </c>
      <c r="I341" s="22" t="s">
        <v>19309</v>
      </c>
      <c r="J341" s="22" t="s">
        <v>19573</v>
      </c>
      <c r="K341" s="22" t="s">
        <v>19574</v>
      </c>
      <c r="L341" s="22"/>
      <c r="M341" s="22"/>
      <c r="N341" s="25" t="str">
        <f>HYPERLINK("http://slimages.macys.com/is/image/MCY/21361774 ")</f>
        <v xml:space="preserve">http://slimages.macys.com/is/image/MCY/21361774 </v>
      </c>
    </row>
    <row r="342" spans="1:14" ht="24.75" x14ac:dyDescent="0.25">
      <c r="A342" s="21" t="s">
        <v>9341</v>
      </c>
      <c r="B342" s="22" t="s">
        <v>9342</v>
      </c>
      <c r="C342" s="2">
        <v>40</v>
      </c>
      <c r="D342" s="23">
        <v>5.99</v>
      </c>
      <c r="E342" s="3">
        <v>239.6</v>
      </c>
      <c r="F342" s="2" t="s">
        <v>17411</v>
      </c>
      <c r="G342" s="22" t="s">
        <v>19351</v>
      </c>
      <c r="H342" s="24" t="s">
        <v>19384</v>
      </c>
      <c r="I342" s="22" t="s">
        <v>19309</v>
      </c>
      <c r="J342" s="22" t="s">
        <v>19573</v>
      </c>
      <c r="K342" s="22" t="s">
        <v>19574</v>
      </c>
      <c r="L342" s="22"/>
      <c r="M342" s="22"/>
      <c r="N342" s="25" t="str">
        <f>HYPERLINK("http://slimages.macys.com/is/image/MCY/1537013 ")</f>
        <v xml:space="preserve">http://slimages.macys.com/is/image/MCY/1537013 </v>
      </c>
    </row>
    <row r="343" spans="1:14" ht="24.75" x14ac:dyDescent="0.25">
      <c r="A343" s="21" t="s">
        <v>10189</v>
      </c>
      <c r="B343" s="22" t="s">
        <v>10190</v>
      </c>
      <c r="C343" s="2">
        <v>22</v>
      </c>
      <c r="D343" s="23">
        <v>5.99</v>
      </c>
      <c r="E343" s="3">
        <v>131.78</v>
      </c>
      <c r="F343" s="2" t="s">
        <v>17411</v>
      </c>
      <c r="G343" s="22" t="s">
        <v>19351</v>
      </c>
      <c r="H343" s="24" t="s">
        <v>19538</v>
      </c>
      <c r="I343" s="22" t="s">
        <v>19309</v>
      </c>
      <c r="J343" s="22" t="s">
        <v>19573</v>
      </c>
      <c r="K343" s="22" t="s">
        <v>19574</v>
      </c>
      <c r="L343" s="22"/>
      <c r="M343" s="22"/>
      <c r="N343" s="25" t="str">
        <f>HYPERLINK("http://slimages.macys.com/is/image/MCY/1537013 ")</f>
        <v xml:space="preserve">http://slimages.macys.com/is/image/MCY/1537013 </v>
      </c>
    </row>
    <row r="344" spans="1:14" ht="24.75" x14ac:dyDescent="0.25">
      <c r="A344" s="21" t="s">
        <v>17409</v>
      </c>
      <c r="B344" s="22" t="s">
        <v>17410</v>
      </c>
      <c r="C344" s="2">
        <v>19</v>
      </c>
      <c r="D344" s="23">
        <v>5.99</v>
      </c>
      <c r="E344" s="3">
        <v>113.81</v>
      </c>
      <c r="F344" s="2" t="s">
        <v>17411</v>
      </c>
      <c r="G344" s="22" t="s">
        <v>19351</v>
      </c>
      <c r="H344" s="24" t="s">
        <v>19416</v>
      </c>
      <c r="I344" s="22" t="s">
        <v>19309</v>
      </c>
      <c r="J344" s="22" t="s">
        <v>19573</v>
      </c>
      <c r="K344" s="22" t="s">
        <v>19574</v>
      </c>
      <c r="L344" s="22"/>
      <c r="M344" s="22"/>
      <c r="N344" s="25" t="str">
        <f>HYPERLINK("http://slimages.macys.com/is/image/MCY/1537013 ")</f>
        <v xml:space="preserve">http://slimages.macys.com/is/image/MCY/1537013 </v>
      </c>
    </row>
    <row r="345" spans="1:14" ht="24.75" x14ac:dyDescent="0.25">
      <c r="A345" s="21" t="s">
        <v>3991</v>
      </c>
      <c r="B345" s="22" t="s">
        <v>3992</v>
      </c>
      <c r="C345" s="2">
        <v>1</v>
      </c>
      <c r="D345" s="23">
        <v>5.99</v>
      </c>
      <c r="E345" s="3">
        <v>5.99</v>
      </c>
      <c r="F345" s="2" t="s">
        <v>14988</v>
      </c>
      <c r="G345" s="22" t="s">
        <v>19467</v>
      </c>
      <c r="H345" s="24" t="s">
        <v>19330</v>
      </c>
      <c r="I345" s="22" t="s">
        <v>19309</v>
      </c>
      <c r="J345" s="22" t="s">
        <v>19573</v>
      </c>
      <c r="K345" s="22" t="s">
        <v>19574</v>
      </c>
      <c r="L345" s="22"/>
      <c r="M345" s="22"/>
      <c r="N345" s="25" t="str">
        <f>HYPERLINK("http://slimages.macys.com/is/image/MCY/20757609 ")</f>
        <v xml:space="preserve">http://slimages.macys.com/is/image/MCY/20757609 </v>
      </c>
    </row>
    <row r="346" spans="1:14" ht="24.75" x14ac:dyDescent="0.25">
      <c r="A346" s="21" t="s">
        <v>3993</v>
      </c>
      <c r="B346" s="22" t="s">
        <v>3994</v>
      </c>
      <c r="C346" s="2">
        <v>1</v>
      </c>
      <c r="D346" s="23">
        <v>6.99</v>
      </c>
      <c r="E346" s="3">
        <v>6.99</v>
      </c>
      <c r="F346" s="2" t="s">
        <v>3995</v>
      </c>
      <c r="G346" s="22" t="s">
        <v>19351</v>
      </c>
      <c r="H346" s="24" t="s">
        <v>19330</v>
      </c>
      <c r="I346" s="22" t="s">
        <v>19309</v>
      </c>
      <c r="J346" s="22" t="s">
        <v>19573</v>
      </c>
      <c r="K346" s="22" t="s">
        <v>19574</v>
      </c>
      <c r="L346" s="22"/>
      <c r="M346" s="22"/>
      <c r="N346" s="25" t="str">
        <f>HYPERLINK("http://slimages.macys.com/is/image/MCY/17661733 ")</f>
        <v xml:space="preserve">http://slimages.macys.com/is/image/MCY/17661733 </v>
      </c>
    </row>
    <row r="347" spans="1:14" ht="24.75" x14ac:dyDescent="0.25">
      <c r="A347" s="21" t="s">
        <v>3996</v>
      </c>
      <c r="B347" s="22" t="s">
        <v>3997</v>
      </c>
      <c r="C347" s="2">
        <v>1</v>
      </c>
      <c r="D347" s="23">
        <v>5.99</v>
      </c>
      <c r="E347" s="3">
        <v>5.99</v>
      </c>
      <c r="F347" s="2" t="s">
        <v>3998</v>
      </c>
      <c r="G347" s="22" t="s">
        <v>19518</v>
      </c>
      <c r="H347" s="24" t="s">
        <v>19538</v>
      </c>
      <c r="I347" s="22" t="s">
        <v>19309</v>
      </c>
      <c r="J347" s="22" t="s">
        <v>19573</v>
      </c>
      <c r="K347" s="22" t="s">
        <v>19574</v>
      </c>
      <c r="L347" s="22"/>
      <c r="M347" s="22"/>
      <c r="N347" s="25" t="str">
        <f>HYPERLINK("http://slimages.macys.com/is/image/MCY/17663508 ")</f>
        <v xml:space="preserve">http://slimages.macys.com/is/image/MCY/17663508 </v>
      </c>
    </row>
    <row r="348" spans="1:14" ht="24.75" x14ac:dyDescent="0.25">
      <c r="A348" s="21" t="s">
        <v>3999</v>
      </c>
      <c r="B348" s="22" t="s">
        <v>4000</v>
      </c>
      <c r="C348" s="2">
        <v>1</v>
      </c>
      <c r="D348" s="23">
        <v>5.99</v>
      </c>
      <c r="E348" s="3">
        <v>5.99</v>
      </c>
      <c r="F348" s="2" t="s">
        <v>4001</v>
      </c>
      <c r="G348" s="22" t="s">
        <v>19585</v>
      </c>
      <c r="H348" s="24" t="s">
        <v>19538</v>
      </c>
      <c r="I348" s="22" t="s">
        <v>19309</v>
      </c>
      <c r="J348" s="22" t="s">
        <v>19573</v>
      </c>
      <c r="K348" s="22" t="s">
        <v>19574</v>
      </c>
      <c r="L348" s="22"/>
      <c r="M348" s="22"/>
      <c r="N348" s="25" t="str">
        <f>HYPERLINK("http://slimages.macys.com/is/image/MCY/19588802 ")</f>
        <v xml:space="preserve">http://slimages.macys.com/is/image/MCY/19588802 </v>
      </c>
    </row>
    <row r="349" spans="1:14" ht="24.75" x14ac:dyDescent="0.25">
      <c r="A349" s="21" t="s">
        <v>3651</v>
      </c>
      <c r="B349" s="22" t="s">
        <v>3652</v>
      </c>
      <c r="C349" s="2">
        <v>5</v>
      </c>
      <c r="D349" s="23">
        <v>5.99</v>
      </c>
      <c r="E349" s="3">
        <v>29.95</v>
      </c>
      <c r="F349" s="2" t="s">
        <v>10773</v>
      </c>
      <c r="G349" s="22" t="s">
        <v>19467</v>
      </c>
      <c r="H349" s="24" t="s">
        <v>19384</v>
      </c>
      <c r="I349" s="22" t="s">
        <v>19309</v>
      </c>
      <c r="J349" s="22" t="s">
        <v>19573</v>
      </c>
      <c r="K349" s="22" t="s">
        <v>19574</v>
      </c>
      <c r="L349" s="22"/>
      <c r="M349" s="22"/>
      <c r="N349" s="25" t="str">
        <f>HYPERLINK("http://slimages.macys.com/is/image/MCY/21970216 ")</f>
        <v xml:space="preserve">http://slimages.macys.com/is/image/MCY/21970216 </v>
      </c>
    </row>
    <row r="350" spans="1:14" ht="24.75" x14ac:dyDescent="0.25">
      <c r="A350" s="21" t="s">
        <v>3653</v>
      </c>
      <c r="B350" s="22" t="s">
        <v>3654</v>
      </c>
      <c r="C350" s="2">
        <v>3</v>
      </c>
      <c r="D350" s="23">
        <v>5.99</v>
      </c>
      <c r="E350" s="3">
        <v>17.97</v>
      </c>
      <c r="F350" s="2" t="s">
        <v>10773</v>
      </c>
      <c r="G350" s="22" t="s">
        <v>19467</v>
      </c>
      <c r="H350" s="24" t="s">
        <v>19324</v>
      </c>
      <c r="I350" s="22" t="s">
        <v>19309</v>
      </c>
      <c r="J350" s="22" t="s">
        <v>19573</v>
      </c>
      <c r="K350" s="22" t="s">
        <v>19574</v>
      </c>
      <c r="L350" s="22"/>
      <c r="M350" s="22"/>
      <c r="N350" s="25" t="str">
        <f>HYPERLINK("http://slimages.macys.com/is/image/MCY/21970216 ")</f>
        <v xml:space="preserve">http://slimages.macys.com/is/image/MCY/21970216 </v>
      </c>
    </row>
    <row r="351" spans="1:14" ht="24.75" x14ac:dyDescent="0.25">
      <c r="A351" s="21" t="s">
        <v>10771</v>
      </c>
      <c r="B351" s="22" t="s">
        <v>10772</v>
      </c>
      <c r="C351" s="2">
        <v>5</v>
      </c>
      <c r="D351" s="23">
        <v>5.99</v>
      </c>
      <c r="E351" s="3">
        <v>29.95</v>
      </c>
      <c r="F351" s="2" t="s">
        <v>10773</v>
      </c>
      <c r="G351" s="22" t="s">
        <v>19467</v>
      </c>
      <c r="H351" s="24" t="s">
        <v>19538</v>
      </c>
      <c r="I351" s="22" t="s">
        <v>19309</v>
      </c>
      <c r="J351" s="22" t="s">
        <v>19573</v>
      </c>
      <c r="K351" s="22" t="s">
        <v>19574</v>
      </c>
      <c r="L351" s="22"/>
      <c r="M351" s="22"/>
      <c r="N351" s="25" t="str">
        <f>HYPERLINK("http://slimages.macys.com/is/image/MCY/21970216 ")</f>
        <v xml:space="preserve">http://slimages.macys.com/is/image/MCY/21970216 </v>
      </c>
    </row>
    <row r="352" spans="1:14" ht="24.75" x14ac:dyDescent="0.25">
      <c r="A352" s="21" t="s">
        <v>15021</v>
      </c>
      <c r="B352" s="22" t="s">
        <v>15022</v>
      </c>
      <c r="C352" s="2">
        <v>1</v>
      </c>
      <c r="D352" s="23">
        <v>5.99</v>
      </c>
      <c r="E352" s="3">
        <v>5.99</v>
      </c>
      <c r="F352" s="2" t="s">
        <v>17472</v>
      </c>
      <c r="G352" s="22" t="s">
        <v>19467</v>
      </c>
      <c r="H352" s="24" t="s">
        <v>19538</v>
      </c>
      <c r="I352" s="22" t="s">
        <v>19309</v>
      </c>
      <c r="J352" s="22" t="s">
        <v>19573</v>
      </c>
      <c r="K352" s="22" t="s">
        <v>19574</v>
      </c>
      <c r="L352" s="22"/>
      <c r="M352" s="22"/>
      <c r="N352" s="25" t="str">
        <f>HYPERLINK("http://slimages.macys.com/is/image/MCY/16605973 ")</f>
        <v xml:space="preserve">http://slimages.macys.com/is/image/MCY/16605973 </v>
      </c>
    </row>
    <row r="353" spans="1:14" ht="24.75" x14ac:dyDescent="0.25">
      <c r="A353" s="21" t="s">
        <v>17470</v>
      </c>
      <c r="B353" s="22" t="s">
        <v>17471</v>
      </c>
      <c r="C353" s="2">
        <v>18</v>
      </c>
      <c r="D353" s="23">
        <v>5.99</v>
      </c>
      <c r="E353" s="3">
        <v>107.82</v>
      </c>
      <c r="F353" s="2" t="s">
        <v>17472</v>
      </c>
      <c r="G353" s="22" t="s">
        <v>19467</v>
      </c>
      <c r="H353" s="24" t="s">
        <v>19330</v>
      </c>
      <c r="I353" s="22" t="s">
        <v>19309</v>
      </c>
      <c r="J353" s="22" t="s">
        <v>19573</v>
      </c>
      <c r="K353" s="22" t="s">
        <v>19574</v>
      </c>
      <c r="L353" s="22"/>
      <c r="M353" s="22"/>
      <c r="N353" s="25" t="str">
        <f>HYPERLINK("http://slimages.macys.com/is/image/MCY/16605973 ")</f>
        <v xml:space="preserve">http://slimages.macys.com/is/image/MCY/16605973 </v>
      </c>
    </row>
    <row r="354" spans="1:14" ht="24.75" x14ac:dyDescent="0.25">
      <c r="A354" s="21" t="s">
        <v>11184</v>
      </c>
      <c r="B354" s="22" t="s">
        <v>11185</v>
      </c>
      <c r="C354" s="2">
        <v>1</v>
      </c>
      <c r="D354" s="23">
        <v>36.99</v>
      </c>
      <c r="E354" s="3">
        <v>36.99</v>
      </c>
      <c r="F354" s="2" t="s">
        <v>11186</v>
      </c>
      <c r="G354" s="22" t="s">
        <v>19338</v>
      </c>
      <c r="H354" s="24"/>
      <c r="I354" s="22" t="s">
        <v>19309</v>
      </c>
      <c r="J354" s="22" t="s">
        <v>19310</v>
      </c>
      <c r="K354" s="22" t="s">
        <v>19311</v>
      </c>
      <c r="L354" s="22"/>
      <c r="M354" s="22"/>
      <c r="N354" s="25"/>
    </row>
    <row r="355" spans="1:14" x14ac:dyDescent="0.25">
      <c r="A355" s="21" t="s">
        <v>7227</v>
      </c>
      <c r="B355" s="22" t="s">
        <v>7228</v>
      </c>
      <c r="C355" s="2">
        <v>5</v>
      </c>
      <c r="D355" s="23">
        <v>36.99</v>
      </c>
      <c r="E355" s="3">
        <v>184.95</v>
      </c>
      <c r="F355" s="2" t="s">
        <v>11186</v>
      </c>
      <c r="G355" s="22" t="s">
        <v>19338</v>
      </c>
      <c r="H355" s="24"/>
      <c r="I355" s="22" t="s">
        <v>19309</v>
      </c>
      <c r="J355" s="22" t="s">
        <v>19310</v>
      </c>
      <c r="K355" s="22" t="s">
        <v>19311</v>
      </c>
      <c r="L355" s="22"/>
      <c r="M355" s="22"/>
      <c r="N355" s="25"/>
    </row>
    <row r="356" spans="1:14" ht="24.75" x14ac:dyDescent="0.25">
      <c r="A356" s="21" t="s">
        <v>17482</v>
      </c>
      <c r="B356" s="22" t="s">
        <v>17483</v>
      </c>
      <c r="C356" s="2">
        <v>1</v>
      </c>
      <c r="D356" s="23">
        <v>32.99</v>
      </c>
      <c r="E356" s="3">
        <v>32.99</v>
      </c>
      <c r="F356" s="2" t="s">
        <v>17481</v>
      </c>
      <c r="G356" s="22" t="s">
        <v>19415</v>
      </c>
      <c r="H356" s="24" t="s">
        <v>19384</v>
      </c>
      <c r="I356" s="22" t="s">
        <v>19309</v>
      </c>
      <c r="J356" s="22" t="s">
        <v>19385</v>
      </c>
      <c r="K356" s="22" t="s">
        <v>19487</v>
      </c>
      <c r="L356" s="22"/>
      <c r="M356" s="22"/>
      <c r="N356" s="25"/>
    </row>
    <row r="357" spans="1:14" ht="24.75" x14ac:dyDescent="0.25">
      <c r="A357" s="21" t="s">
        <v>17340</v>
      </c>
      <c r="B357" s="22" t="s">
        <v>17341</v>
      </c>
      <c r="C357" s="2">
        <v>2</v>
      </c>
      <c r="D357" s="23">
        <v>30.99</v>
      </c>
      <c r="E357" s="3">
        <v>61.98</v>
      </c>
      <c r="F357" s="2" t="s">
        <v>17342</v>
      </c>
      <c r="G357" s="22" t="s">
        <v>19674</v>
      </c>
      <c r="H357" s="24" t="s">
        <v>19330</v>
      </c>
      <c r="I357" s="22" t="s">
        <v>19309</v>
      </c>
      <c r="J357" s="22" t="s">
        <v>19385</v>
      </c>
      <c r="K357" s="22" t="s">
        <v>19487</v>
      </c>
      <c r="L357" s="22"/>
      <c r="M357" s="22"/>
      <c r="N357" s="25"/>
    </row>
    <row r="358" spans="1:14" ht="24.75" x14ac:dyDescent="0.25">
      <c r="A358" s="21" t="s">
        <v>5053</v>
      </c>
      <c r="B358" s="22" t="s">
        <v>5054</v>
      </c>
      <c r="C358" s="2">
        <v>1</v>
      </c>
      <c r="D358" s="23">
        <v>30.99</v>
      </c>
      <c r="E358" s="3">
        <v>30.99</v>
      </c>
      <c r="F358" s="2" t="s">
        <v>17342</v>
      </c>
      <c r="G358" s="22" t="s">
        <v>19674</v>
      </c>
      <c r="H358" s="24" t="s">
        <v>19324</v>
      </c>
      <c r="I358" s="22" t="s">
        <v>19309</v>
      </c>
      <c r="J358" s="22" t="s">
        <v>19385</v>
      </c>
      <c r="K358" s="22" t="s">
        <v>19487</v>
      </c>
      <c r="L358" s="22"/>
      <c r="M358" s="22"/>
      <c r="N358" s="25"/>
    </row>
    <row r="359" spans="1:14" ht="24.75" x14ac:dyDescent="0.25">
      <c r="A359" s="21" t="s">
        <v>3659</v>
      </c>
      <c r="B359" s="22" t="s">
        <v>3660</v>
      </c>
      <c r="C359" s="2">
        <v>2</v>
      </c>
      <c r="D359" s="23">
        <v>26.99</v>
      </c>
      <c r="E359" s="3">
        <v>53.98</v>
      </c>
      <c r="F359" s="2" t="s">
        <v>3661</v>
      </c>
      <c r="G359" s="22" t="s">
        <v>19794</v>
      </c>
      <c r="H359" s="24" t="s">
        <v>19538</v>
      </c>
      <c r="I359" s="22" t="s">
        <v>19309</v>
      </c>
      <c r="J359" s="22" t="s">
        <v>19385</v>
      </c>
      <c r="K359" s="22" t="s">
        <v>19487</v>
      </c>
      <c r="L359" s="22"/>
      <c r="M359" s="22"/>
      <c r="N359" s="25"/>
    </row>
    <row r="360" spans="1:14" ht="24.75" x14ac:dyDescent="0.25">
      <c r="A360" s="21" t="s">
        <v>8178</v>
      </c>
      <c r="B360" s="22" t="s">
        <v>8179</v>
      </c>
      <c r="C360" s="2">
        <v>11</v>
      </c>
      <c r="D360" s="23">
        <v>26.99</v>
      </c>
      <c r="E360" s="3">
        <v>296.89</v>
      </c>
      <c r="F360" s="2" t="s">
        <v>13552</v>
      </c>
      <c r="G360" s="22" t="s">
        <v>19422</v>
      </c>
      <c r="H360" s="24" t="s">
        <v>19538</v>
      </c>
      <c r="I360" s="22" t="s">
        <v>19309</v>
      </c>
      <c r="J360" s="22" t="s">
        <v>19385</v>
      </c>
      <c r="K360" s="22" t="s">
        <v>19487</v>
      </c>
      <c r="L360" s="22"/>
      <c r="M360" s="22"/>
      <c r="N360" s="25"/>
    </row>
    <row r="361" spans="1:14" ht="24.75" x14ac:dyDescent="0.25">
      <c r="A361" s="21" t="s">
        <v>7235</v>
      </c>
      <c r="B361" s="22" t="s">
        <v>7236</v>
      </c>
      <c r="C361" s="2">
        <v>29</v>
      </c>
      <c r="D361" s="23">
        <v>26.99</v>
      </c>
      <c r="E361" s="3">
        <v>782.71</v>
      </c>
      <c r="F361" s="2" t="s">
        <v>13552</v>
      </c>
      <c r="G361" s="22" t="s">
        <v>19422</v>
      </c>
      <c r="H361" s="24" t="s">
        <v>19324</v>
      </c>
      <c r="I361" s="22" t="s">
        <v>19309</v>
      </c>
      <c r="J361" s="22" t="s">
        <v>19385</v>
      </c>
      <c r="K361" s="22" t="s">
        <v>19487</v>
      </c>
      <c r="L361" s="22"/>
      <c r="M361" s="22"/>
      <c r="N361" s="25"/>
    </row>
    <row r="362" spans="1:14" ht="24.75" x14ac:dyDescent="0.25">
      <c r="A362" s="21" t="s">
        <v>4002</v>
      </c>
      <c r="B362" s="22" t="s">
        <v>4003</v>
      </c>
      <c r="C362" s="2">
        <v>1</v>
      </c>
      <c r="D362" s="23">
        <v>23.99</v>
      </c>
      <c r="E362" s="3">
        <v>23.99</v>
      </c>
      <c r="F362" s="2" t="s">
        <v>5169</v>
      </c>
      <c r="G362" s="22" t="s">
        <v>19307</v>
      </c>
      <c r="H362" s="24" t="s">
        <v>15935</v>
      </c>
      <c r="I362" s="22" t="s">
        <v>19309</v>
      </c>
      <c r="J362" s="22" t="s">
        <v>19491</v>
      </c>
      <c r="K362" s="22" t="s">
        <v>19463</v>
      </c>
      <c r="L362" s="22"/>
      <c r="M362" s="22"/>
      <c r="N362" s="25"/>
    </row>
    <row r="363" spans="1:14" ht="24.75" x14ac:dyDescent="0.25">
      <c r="A363" s="21" t="s">
        <v>17486</v>
      </c>
      <c r="B363" s="22" t="s">
        <v>17487</v>
      </c>
      <c r="C363" s="2">
        <v>1</v>
      </c>
      <c r="D363" s="23">
        <v>26.99</v>
      </c>
      <c r="E363" s="3">
        <v>26.99</v>
      </c>
      <c r="F363" s="2" t="s">
        <v>17488</v>
      </c>
      <c r="G363" s="22" t="s">
        <v>19357</v>
      </c>
      <c r="H363" s="24" t="s">
        <v>19416</v>
      </c>
      <c r="I363" s="22" t="s">
        <v>19309</v>
      </c>
      <c r="J363" s="22" t="s">
        <v>19385</v>
      </c>
      <c r="K363" s="22" t="s">
        <v>19487</v>
      </c>
      <c r="L363" s="22"/>
      <c r="M363" s="22"/>
      <c r="N363" s="25"/>
    </row>
    <row r="364" spans="1:14" ht="24.75" x14ac:dyDescent="0.25">
      <c r="A364" s="21" t="s">
        <v>17489</v>
      </c>
      <c r="B364" s="22" t="s">
        <v>17490</v>
      </c>
      <c r="C364" s="2">
        <v>12</v>
      </c>
      <c r="D364" s="23">
        <v>26.99</v>
      </c>
      <c r="E364" s="3">
        <v>323.88</v>
      </c>
      <c r="F364" s="2" t="s">
        <v>17488</v>
      </c>
      <c r="G364" s="22" t="s">
        <v>19357</v>
      </c>
      <c r="H364" s="24" t="s">
        <v>19324</v>
      </c>
      <c r="I364" s="22" t="s">
        <v>19309</v>
      </c>
      <c r="J364" s="22" t="s">
        <v>19385</v>
      </c>
      <c r="K364" s="22" t="s">
        <v>19487</v>
      </c>
      <c r="L364" s="22"/>
      <c r="M364" s="22"/>
      <c r="N364" s="25"/>
    </row>
    <row r="365" spans="1:14" ht="24.75" x14ac:dyDescent="0.25">
      <c r="A365" s="21" t="s">
        <v>17493</v>
      </c>
      <c r="B365" s="22" t="s">
        <v>17494</v>
      </c>
      <c r="C365" s="2">
        <v>14</v>
      </c>
      <c r="D365" s="23">
        <v>26.99</v>
      </c>
      <c r="E365" s="3">
        <v>377.86</v>
      </c>
      <c r="F365" s="2" t="s">
        <v>17488</v>
      </c>
      <c r="G365" s="22" t="s">
        <v>19357</v>
      </c>
      <c r="H365" s="24" t="s">
        <v>19538</v>
      </c>
      <c r="I365" s="22" t="s">
        <v>19309</v>
      </c>
      <c r="J365" s="22" t="s">
        <v>19385</v>
      </c>
      <c r="K365" s="22" t="s">
        <v>19487</v>
      </c>
      <c r="L365" s="22"/>
      <c r="M365" s="22"/>
      <c r="N365" s="25"/>
    </row>
    <row r="366" spans="1:14" ht="24.75" x14ac:dyDescent="0.25">
      <c r="A366" s="21" t="s">
        <v>17491</v>
      </c>
      <c r="B366" s="22" t="s">
        <v>17492</v>
      </c>
      <c r="C366" s="2">
        <v>2</v>
      </c>
      <c r="D366" s="23">
        <v>26.99</v>
      </c>
      <c r="E366" s="3">
        <v>53.98</v>
      </c>
      <c r="F366" s="2" t="s">
        <v>17488</v>
      </c>
      <c r="G366" s="22" t="s">
        <v>19357</v>
      </c>
      <c r="H366" s="24" t="s">
        <v>19384</v>
      </c>
      <c r="I366" s="22" t="s">
        <v>19309</v>
      </c>
      <c r="J366" s="22" t="s">
        <v>19385</v>
      </c>
      <c r="K366" s="22" t="s">
        <v>19487</v>
      </c>
      <c r="L366" s="22"/>
      <c r="M366" s="22"/>
      <c r="N366" s="25"/>
    </row>
    <row r="367" spans="1:14" ht="24.75" x14ac:dyDescent="0.25">
      <c r="A367" s="21" t="s">
        <v>4004</v>
      </c>
      <c r="B367" s="22" t="s">
        <v>4005</v>
      </c>
      <c r="C367" s="2">
        <v>1</v>
      </c>
      <c r="D367" s="23">
        <v>24.99</v>
      </c>
      <c r="E367" s="3">
        <v>24.99</v>
      </c>
      <c r="F367" s="2" t="s">
        <v>4006</v>
      </c>
      <c r="G367" s="22" t="s">
        <v>19342</v>
      </c>
      <c r="H367" s="24" t="s">
        <v>19330</v>
      </c>
      <c r="I367" s="22" t="s">
        <v>19309</v>
      </c>
      <c r="J367" s="22" t="s">
        <v>19491</v>
      </c>
      <c r="K367" s="22" t="s">
        <v>19639</v>
      </c>
      <c r="L367" s="22"/>
      <c r="M367" s="22"/>
      <c r="N367" s="25"/>
    </row>
    <row r="368" spans="1:14" x14ac:dyDescent="0.25">
      <c r="A368" s="21" t="s">
        <v>5061</v>
      </c>
      <c r="B368" s="22" t="s">
        <v>5062</v>
      </c>
      <c r="C368" s="2">
        <v>1</v>
      </c>
      <c r="D368" s="23">
        <v>18.989999999999998</v>
      </c>
      <c r="E368" s="3">
        <v>18.989999999999998</v>
      </c>
      <c r="F368" s="2" t="s">
        <v>7239</v>
      </c>
      <c r="G368" s="22" t="s">
        <v>19307</v>
      </c>
      <c r="H368" s="24"/>
      <c r="I368" s="22" t="s">
        <v>19309</v>
      </c>
      <c r="J368" s="22" t="s">
        <v>19310</v>
      </c>
      <c r="K368" s="22" t="s">
        <v>19311</v>
      </c>
      <c r="L368" s="22"/>
      <c r="M368" s="22"/>
      <c r="N368" s="25"/>
    </row>
    <row r="369" spans="1:14" ht="24.75" x14ac:dyDescent="0.25">
      <c r="A369" s="21" t="s">
        <v>4007</v>
      </c>
      <c r="B369" s="22" t="s">
        <v>4008</v>
      </c>
      <c r="C369" s="2">
        <v>3</v>
      </c>
      <c r="D369" s="23">
        <v>20</v>
      </c>
      <c r="E369" s="3">
        <v>60</v>
      </c>
      <c r="F369" s="2">
        <v>1363381</v>
      </c>
      <c r="G369" s="22" t="s">
        <v>19404</v>
      </c>
      <c r="H369" s="24" t="s">
        <v>19364</v>
      </c>
      <c r="I369" s="22" t="s">
        <v>19309</v>
      </c>
      <c r="J369" s="22" t="s">
        <v>19447</v>
      </c>
      <c r="K369" s="22" t="s">
        <v>17686</v>
      </c>
      <c r="L369" s="22"/>
      <c r="M369" s="22"/>
      <c r="N369" s="25"/>
    </row>
    <row r="370" spans="1:14" x14ac:dyDescent="0.25">
      <c r="A370" s="21" t="s">
        <v>9761</v>
      </c>
      <c r="B370" s="22" t="s">
        <v>9762</v>
      </c>
      <c r="C370" s="2">
        <v>1</v>
      </c>
      <c r="D370" s="23">
        <v>20</v>
      </c>
      <c r="E370" s="3">
        <v>20</v>
      </c>
      <c r="F370" s="2" t="s">
        <v>9763</v>
      </c>
      <c r="G370" s="22" t="s">
        <v>19431</v>
      </c>
      <c r="H370" s="24" t="s">
        <v>19364</v>
      </c>
      <c r="I370" s="22" t="s">
        <v>19309</v>
      </c>
      <c r="J370" s="22" t="s">
        <v>19559</v>
      </c>
      <c r="K370" s="22" t="s">
        <v>12721</v>
      </c>
      <c r="L370" s="22"/>
      <c r="M370" s="22"/>
      <c r="N370" s="25"/>
    </row>
    <row r="371" spans="1:14" ht="24.75" x14ac:dyDescent="0.25">
      <c r="A371" s="21" t="s">
        <v>3667</v>
      </c>
      <c r="B371" s="22" t="s">
        <v>3668</v>
      </c>
      <c r="C371" s="2">
        <v>1</v>
      </c>
      <c r="D371" s="23">
        <v>20.99</v>
      </c>
      <c r="E371" s="3">
        <v>20.99</v>
      </c>
      <c r="F371" s="2" t="s">
        <v>5233</v>
      </c>
      <c r="G371" s="22" t="s">
        <v>19342</v>
      </c>
      <c r="H371" s="24" t="s">
        <v>19330</v>
      </c>
      <c r="I371" s="22" t="s">
        <v>19309</v>
      </c>
      <c r="J371" s="22" t="s">
        <v>19385</v>
      </c>
      <c r="K371" s="22" t="s">
        <v>18064</v>
      </c>
      <c r="L371" s="22"/>
      <c r="M371" s="22"/>
      <c r="N371" s="25"/>
    </row>
    <row r="372" spans="1:14" ht="24.75" x14ac:dyDescent="0.25">
      <c r="A372" s="21" t="s">
        <v>3679</v>
      </c>
      <c r="B372" s="22" t="s">
        <v>3680</v>
      </c>
      <c r="C372" s="2">
        <v>2</v>
      </c>
      <c r="D372" s="23">
        <v>18.989999999999998</v>
      </c>
      <c r="E372" s="3">
        <v>37.979999999999997</v>
      </c>
      <c r="F372" s="2" t="s">
        <v>11204</v>
      </c>
      <c r="G372" s="22" t="s">
        <v>19323</v>
      </c>
      <c r="H372" s="24"/>
      <c r="I372" s="22" t="s">
        <v>19309</v>
      </c>
      <c r="J372" s="22" t="s">
        <v>19519</v>
      </c>
      <c r="K372" s="22" t="s">
        <v>11201</v>
      </c>
      <c r="L372" s="22"/>
      <c r="M372" s="22"/>
      <c r="N372" s="25"/>
    </row>
    <row r="373" spans="1:14" ht="24.75" x14ac:dyDescent="0.25">
      <c r="A373" s="21" t="s">
        <v>8183</v>
      </c>
      <c r="B373" s="22" t="s">
        <v>8184</v>
      </c>
      <c r="C373" s="2">
        <v>24</v>
      </c>
      <c r="D373" s="23">
        <v>13.88</v>
      </c>
      <c r="E373" s="3">
        <v>333.12</v>
      </c>
      <c r="F373" s="2" t="s">
        <v>11210</v>
      </c>
      <c r="G373" s="22" t="s">
        <v>19415</v>
      </c>
      <c r="H373" s="24" t="s">
        <v>19364</v>
      </c>
      <c r="I373" s="22" t="s">
        <v>19309</v>
      </c>
      <c r="J373" s="22" t="s">
        <v>19565</v>
      </c>
      <c r="K373" s="22" t="s">
        <v>18548</v>
      </c>
      <c r="L373" s="22"/>
      <c r="M373" s="22"/>
      <c r="N373" s="25"/>
    </row>
    <row r="374" spans="1:14" ht="24.75" x14ac:dyDescent="0.25">
      <c r="A374" s="21" t="s">
        <v>8398</v>
      </c>
      <c r="B374" s="22" t="s">
        <v>8399</v>
      </c>
      <c r="C374" s="2">
        <v>72</v>
      </c>
      <c r="D374" s="23">
        <v>13.88</v>
      </c>
      <c r="E374" s="3">
        <v>999.36</v>
      </c>
      <c r="F374" s="2" t="s">
        <v>11210</v>
      </c>
      <c r="G374" s="22" t="s">
        <v>19415</v>
      </c>
      <c r="H374" s="24" t="s">
        <v>19352</v>
      </c>
      <c r="I374" s="22" t="s">
        <v>19309</v>
      </c>
      <c r="J374" s="22" t="s">
        <v>19565</v>
      </c>
      <c r="K374" s="22" t="s">
        <v>18548</v>
      </c>
      <c r="L374" s="22"/>
      <c r="M374" s="22"/>
      <c r="N374" s="25"/>
    </row>
    <row r="375" spans="1:14" ht="24.75" x14ac:dyDescent="0.25">
      <c r="A375" s="21" t="s">
        <v>8634</v>
      </c>
      <c r="B375" s="22" t="s">
        <v>8635</v>
      </c>
      <c r="C375" s="2">
        <v>40</v>
      </c>
      <c r="D375" s="23">
        <v>13.88</v>
      </c>
      <c r="E375" s="3">
        <v>555.20000000000005</v>
      </c>
      <c r="F375" s="2" t="s">
        <v>11210</v>
      </c>
      <c r="G375" s="22" t="s">
        <v>19415</v>
      </c>
      <c r="H375" s="24" t="s">
        <v>19339</v>
      </c>
      <c r="I375" s="22" t="s">
        <v>19309</v>
      </c>
      <c r="J375" s="22" t="s">
        <v>19565</v>
      </c>
      <c r="K375" s="22" t="s">
        <v>18548</v>
      </c>
      <c r="L375" s="22"/>
      <c r="M375" s="22"/>
      <c r="N375" s="25"/>
    </row>
    <row r="376" spans="1:14" ht="24.75" x14ac:dyDescent="0.25">
      <c r="A376" s="21" t="s">
        <v>4009</v>
      </c>
      <c r="B376" s="22" t="s">
        <v>4010</v>
      </c>
      <c r="C376" s="2">
        <v>1</v>
      </c>
      <c r="D376" s="23">
        <v>30</v>
      </c>
      <c r="E376" s="3">
        <v>30</v>
      </c>
      <c r="F376" s="2" t="s">
        <v>4011</v>
      </c>
      <c r="G376" s="22"/>
      <c r="H376" s="24" t="s">
        <v>15738</v>
      </c>
      <c r="I376" s="22" t="s">
        <v>19309</v>
      </c>
      <c r="J376" s="22" t="s">
        <v>19417</v>
      </c>
      <c r="K376" s="22" t="s">
        <v>18317</v>
      </c>
      <c r="L376" s="22"/>
      <c r="M376" s="22"/>
      <c r="N376" s="25"/>
    </row>
    <row r="377" spans="1:14" ht="24.75" x14ac:dyDescent="0.25">
      <c r="A377" s="21" t="s">
        <v>4012</v>
      </c>
      <c r="B377" s="22" t="s">
        <v>4013</v>
      </c>
      <c r="C377" s="2">
        <v>1</v>
      </c>
      <c r="D377" s="23">
        <v>13.91</v>
      </c>
      <c r="E377" s="3">
        <v>13.91</v>
      </c>
      <c r="F377" s="2" t="s">
        <v>4014</v>
      </c>
      <c r="G377" s="22"/>
      <c r="H377" s="24" t="s">
        <v>19542</v>
      </c>
      <c r="I377" s="22" t="s">
        <v>19309</v>
      </c>
      <c r="J377" s="22" t="s">
        <v>19602</v>
      </c>
      <c r="K377" s="22" t="s">
        <v>20041</v>
      </c>
      <c r="L377" s="22"/>
      <c r="M377" s="22"/>
      <c r="N377" s="25"/>
    </row>
    <row r="378" spans="1:14" ht="24.75" x14ac:dyDescent="0.25">
      <c r="A378" s="21" t="s">
        <v>17370</v>
      </c>
      <c r="B378" s="22" t="s">
        <v>17371</v>
      </c>
      <c r="C378" s="2">
        <v>18</v>
      </c>
      <c r="D378" s="23">
        <v>11.55</v>
      </c>
      <c r="E378" s="3">
        <v>207.9</v>
      </c>
      <c r="F378" s="2" t="s">
        <v>17372</v>
      </c>
      <c r="G378" s="22" t="s">
        <v>19618</v>
      </c>
      <c r="H378" s="24" t="s">
        <v>19308</v>
      </c>
      <c r="I378" s="22" t="s">
        <v>19309</v>
      </c>
      <c r="J378" s="22" t="s">
        <v>19565</v>
      </c>
      <c r="K378" s="22" t="s">
        <v>18548</v>
      </c>
      <c r="L378" s="22"/>
      <c r="M378" s="22"/>
      <c r="N378" s="25"/>
    </row>
    <row r="379" spans="1:14" ht="24.75" x14ac:dyDescent="0.25">
      <c r="A379" s="21" t="s">
        <v>9377</v>
      </c>
      <c r="B379" s="22" t="s">
        <v>9378</v>
      </c>
      <c r="C379" s="2">
        <v>24</v>
      </c>
      <c r="D379" s="23">
        <v>11.55</v>
      </c>
      <c r="E379" s="3">
        <v>277.2</v>
      </c>
      <c r="F379" s="2" t="s">
        <v>17372</v>
      </c>
      <c r="G379" s="22" t="s">
        <v>19618</v>
      </c>
      <c r="H379" s="24" t="s">
        <v>19364</v>
      </c>
      <c r="I379" s="22" t="s">
        <v>19309</v>
      </c>
      <c r="J379" s="22" t="s">
        <v>19565</v>
      </c>
      <c r="K379" s="22" t="s">
        <v>18548</v>
      </c>
      <c r="L379" s="22"/>
      <c r="M379" s="22"/>
      <c r="N379" s="25"/>
    </row>
    <row r="380" spans="1:14" x14ac:dyDescent="0.25">
      <c r="A380" s="21" t="s">
        <v>4015</v>
      </c>
      <c r="B380" s="22" t="s">
        <v>4016</v>
      </c>
      <c r="C380" s="2">
        <v>11</v>
      </c>
      <c r="D380" s="23">
        <v>20</v>
      </c>
      <c r="E380" s="3">
        <v>220</v>
      </c>
      <c r="F380" s="2" t="s">
        <v>3496</v>
      </c>
      <c r="G380" s="22"/>
      <c r="H380" s="24" t="s">
        <v>19324</v>
      </c>
      <c r="I380" s="22" t="s">
        <v>19309</v>
      </c>
      <c r="J380" s="22" t="s">
        <v>19708</v>
      </c>
      <c r="K380" s="22" t="s">
        <v>19709</v>
      </c>
      <c r="L380" s="22"/>
      <c r="M380" s="22"/>
      <c r="N380" s="25"/>
    </row>
    <row r="381" spans="1:14" x14ac:dyDescent="0.25">
      <c r="A381" s="21" t="s">
        <v>4017</v>
      </c>
      <c r="B381" s="22" t="s">
        <v>4018</v>
      </c>
      <c r="C381" s="2">
        <v>1</v>
      </c>
      <c r="D381" s="23">
        <v>18</v>
      </c>
      <c r="E381" s="3">
        <v>18</v>
      </c>
      <c r="F381" s="2" t="s">
        <v>9778</v>
      </c>
      <c r="G381" s="22" t="s">
        <v>19357</v>
      </c>
      <c r="H381" s="24" t="s">
        <v>19324</v>
      </c>
      <c r="I381" s="22" t="s">
        <v>19309</v>
      </c>
      <c r="J381" s="22" t="s">
        <v>19708</v>
      </c>
      <c r="K381" s="22" t="s">
        <v>19709</v>
      </c>
      <c r="L381" s="22"/>
      <c r="M381" s="22"/>
      <c r="N381" s="25"/>
    </row>
    <row r="382" spans="1:14" x14ac:dyDescent="0.25">
      <c r="A382" s="21" t="s">
        <v>5088</v>
      </c>
      <c r="B382" s="22" t="s">
        <v>5089</v>
      </c>
      <c r="C382" s="2">
        <v>2</v>
      </c>
      <c r="D382" s="23">
        <v>18</v>
      </c>
      <c r="E382" s="3">
        <v>36</v>
      </c>
      <c r="F382" s="2" t="s">
        <v>8407</v>
      </c>
      <c r="G382" s="22" t="s">
        <v>19635</v>
      </c>
      <c r="H382" s="24" t="s">
        <v>19367</v>
      </c>
      <c r="I382" s="22" t="s">
        <v>19309</v>
      </c>
      <c r="J382" s="22" t="s">
        <v>19708</v>
      </c>
      <c r="K382" s="22" t="s">
        <v>19709</v>
      </c>
      <c r="L382" s="22"/>
      <c r="M382" s="22"/>
      <c r="N382" s="25"/>
    </row>
    <row r="383" spans="1:14" x14ac:dyDescent="0.25">
      <c r="A383" s="21" t="s">
        <v>9782</v>
      </c>
      <c r="B383" s="22" t="s">
        <v>9783</v>
      </c>
      <c r="C383" s="2">
        <v>1</v>
      </c>
      <c r="D383" s="23">
        <v>18</v>
      </c>
      <c r="E383" s="3">
        <v>18</v>
      </c>
      <c r="F383" s="2" t="s">
        <v>9784</v>
      </c>
      <c r="G383" s="22" t="s">
        <v>19467</v>
      </c>
      <c r="H383" s="24" t="s">
        <v>20159</v>
      </c>
      <c r="I383" s="22" t="s">
        <v>19309</v>
      </c>
      <c r="J383" s="22" t="s">
        <v>19708</v>
      </c>
      <c r="K383" s="22" t="s">
        <v>19709</v>
      </c>
      <c r="L383" s="22"/>
      <c r="M383" s="22"/>
      <c r="N383" s="25"/>
    </row>
    <row r="384" spans="1:14" x14ac:dyDescent="0.25">
      <c r="A384" s="21" t="s">
        <v>3686</v>
      </c>
      <c r="B384" s="22" t="s">
        <v>3687</v>
      </c>
      <c r="C384" s="2">
        <v>13</v>
      </c>
      <c r="D384" s="23">
        <v>18</v>
      </c>
      <c r="E384" s="3">
        <v>234</v>
      </c>
      <c r="F384" s="2" t="s">
        <v>8407</v>
      </c>
      <c r="G384" s="22" t="s">
        <v>19635</v>
      </c>
      <c r="H384" s="24" t="s">
        <v>20159</v>
      </c>
      <c r="I384" s="22" t="s">
        <v>19309</v>
      </c>
      <c r="J384" s="22" t="s">
        <v>19708</v>
      </c>
      <c r="K384" s="22" t="s">
        <v>19709</v>
      </c>
      <c r="L384" s="22"/>
      <c r="M384" s="22"/>
      <c r="N384" s="25"/>
    </row>
    <row r="385" spans="1:14" ht="24.75" x14ac:dyDescent="0.25">
      <c r="A385" s="21" t="s">
        <v>4019</v>
      </c>
      <c r="B385" s="22" t="s">
        <v>4020</v>
      </c>
      <c r="C385" s="2">
        <v>1</v>
      </c>
      <c r="D385" s="23">
        <v>6.69</v>
      </c>
      <c r="E385" s="3">
        <v>6.69</v>
      </c>
      <c r="F385" s="2" t="s">
        <v>4021</v>
      </c>
      <c r="G385" s="22" t="s">
        <v>19886</v>
      </c>
      <c r="H385" s="24" t="s">
        <v>19308</v>
      </c>
      <c r="I385" s="22" t="s">
        <v>19309</v>
      </c>
      <c r="J385" s="22" t="s">
        <v>19565</v>
      </c>
      <c r="K385" s="22" t="s">
        <v>18514</v>
      </c>
      <c r="L385" s="22"/>
      <c r="M385" s="22"/>
      <c r="N385" s="25"/>
    </row>
    <row r="386" spans="1:14" x14ac:dyDescent="0.25">
      <c r="A386" s="21" t="s">
        <v>7261</v>
      </c>
      <c r="B386" s="22" t="s">
        <v>7262</v>
      </c>
      <c r="C386" s="2">
        <v>24</v>
      </c>
      <c r="D386" s="23">
        <v>8.3000000000000007</v>
      </c>
      <c r="E386" s="3">
        <v>199.2</v>
      </c>
      <c r="F386" s="2" t="s">
        <v>9664</v>
      </c>
      <c r="G386" s="22" t="s">
        <v>19594</v>
      </c>
      <c r="H386" s="24" t="s">
        <v>20159</v>
      </c>
      <c r="I386" s="22" t="s">
        <v>19309</v>
      </c>
      <c r="J386" s="22" t="s">
        <v>19708</v>
      </c>
      <c r="K386" s="22" t="s">
        <v>19709</v>
      </c>
      <c r="L386" s="22"/>
      <c r="M386" s="22"/>
      <c r="N386" s="25"/>
    </row>
    <row r="387" spans="1:14" x14ac:dyDescent="0.25">
      <c r="A387" s="21" t="s">
        <v>3693</v>
      </c>
      <c r="B387" s="22" t="s">
        <v>3694</v>
      </c>
      <c r="C387" s="2">
        <v>18</v>
      </c>
      <c r="D387" s="23">
        <v>8.3000000000000007</v>
      </c>
      <c r="E387" s="3">
        <v>149.4</v>
      </c>
      <c r="F387" s="2" t="s">
        <v>3695</v>
      </c>
      <c r="G387" s="22" t="s">
        <v>19431</v>
      </c>
      <c r="H387" s="24" t="s">
        <v>19770</v>
      </c>
      <c r="I387" s="22" t="s">
        <v>19309</v>
      </c>
      <c r="J387" s="22" t="s">
        <v>19708</v>
      </c>
      <c r="K387" s="22" t="s">
        <v>19709</v>
      </c>
      <c r="L387" s="22"/>
      <c r="M387" s="22"/>
      <c r="N387" s="25"/>
    </row>
  </sheetData>
  <phoneticPr fontId="0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55"/>
  <sheetViews>
    <sheetView workbookViewId="0">
      <selection activeCell="E17" sqref="E17"/>
    </sheetView>
  </sheetViews>
  <sheetFormatPr defaultRowHeight="15" x14ac:dyDescent="0.25"/>
  <cols>
    <col min="1" max="1" width="14.42578125" customWidth="1"/>
    <col min="2" max="2" width="52.5703125" customWidth="1"/>
    <col min="3" max="4" width="15" customWidth="1"/>
    <col min="5" max="5" width="9.5703125" customWidth="1"/>
    <col min="6" max="6" width="17.140625" customWidth="1"/>
    <col min="7" max="8" width="11.42578125" customWidth="1"/>
    <col min="9" max="9" width="10.85546875" customWidth="1"/>
    <col min="10" max="10" width="12.140625" customWidth="1"/>
    <col min="11" max="11" width="36.5703125" bestFit="1" customWidth="1"/>
    <col min="12" max="13" width="20.5703125" customWidth="1"/>
    <col min="14" max="14" width="64.42578125" customWidth="1"/>
  </cols>
  <sheetData>
    <row r="1" spans="1:14" ht="36" x14ac:dyDescent="0.25">
      <c r="A1" s="1" t="s">
        <v>19291</v>
      </c>
      <c r="B1" s="1" t="s">
        <v>19292</v>
      </c>
      <c r="C1" s="1" t="s">
        <v>19293</v>
      </c>
      <c r="D1" s="1" t="s">
        <v>19284</v>
      </c>
      <c r="E1" s="1" t="s">
        <v>19294</v>
      </c>
      <c r="F1" s="1" t="s">
        <v>19295</v>
      </c>
      <c r="G1" s="1" t="s">
        <v>19296</v>
      </c>
      <c r="H1" s="1" t="s">
        <v>19297</v>
      </c>
      <c r="I1" s="1" t="s">
        <v>19298</v>
      </c>
      <c r="J1" s="1" t="s">
        <v>19299</v>
      </c>
      <c r="K1" s="1" t="s">
        <v>19300</v>
      </c>
      <c r="L1" s="1" t="s">
        <v>19301</v>
      </c>
      <c r="M1" s="1" t="s">
        <v>19302</v>
      </c>
      <c r="N1" s="1" t="s">
        <v>19303</v>
      </c>
    </row>
    <row r="2" spans="1:14" ht="24.75" x14ac:dyDescent="0.25">
      <c r="A2" s="21" t="s">
        <v>4022</v>
      </c>
      <c r="B2" s="22" t="s">
        <v>4023</v>
      </c>
      <c r="C2" s="2">
        <v>3</v>
      </c>
      <c r="D2" s="23">
        <v>90</v>
      </c>
      <c r="E2" s="3">
        <v>270</v>
      </c>
      <c r="F2" s="2" t="s">
        <v>4024</v>
      </c>
      <c r="G2" s="22" t="s">
        <v>19431</v>
      </c>
      <c r="H2" s="24" t="s">
        <v>9388</v>
      </c>
      <c r="I2" s="22" t="s">
        <v>19309</v>
      </c>
      <c r="J2" s="22" t="s">
        <v>19317</v>
      </c>
      <c r="K2" s="22" t="s">
        <v>9389</v>
      </c>
      <c r="L2" s="22"/>
      <c r="M2" s="22"/>
      <c r="N2" s="25" t="str">
        <f>HYPERLINK("http://slimages.macys.com/is/image/MCY/21333024 ")</f>
        <v xml:space="preserve">http://slimages.macys.com/is/image/MCY/21333024 </v>
      </c>
    </row>
    <row r="3" spans="1:14" ht="24.75" x14ac:dyDescent="0.25">
      <c r="A3" s="21" t="s">
        <v>4025</v>
      </c>
      <c r="B3" s="22" t="s">
        <v>4026</v>
      </c>
      <c r="C3" s="2">
        <v>1</v>
      </c>
      <c r="D3" s="23">
        <v>69.989999999999995</v>
      </c>
      <c r="E3" s="3">
        <v>69.989999999999995</v>
      </c>
      <c r="F3" s="2">
        <v>1863741</v>
      </c>
      <c r="G3" s="22" t="s">
        <v>19307</v>
      </c>
      <c r="H3" s="24" t="s">
        <v>19352</v>
      </c>
      <c r="I3" s="22" t="s">
        <v>19309</v>
      </c>
      <c r="J3" s="22" t="s">
        <v>15506</v>
      </c>
      <c r="K3" s="22" t="s">
        <v>13612</v>
      </c>
      <c r="L3" s="22" t="s">
        <v>19319</v>
      </c>
      <c r="M3" s="22" t="s">
        <v>4027</v>
      </c>
      <c r="N3" s="25" t="str">
        <f>HYPERLINK("http://slimages.macys.com/is/image/MCY/17882873 ")</f>
        <v xml:space="preserve">http://slimages.macys.com/is/image/MCY/17882873 </v>
      </c>
    </row>
    <row r="4" spans="1:14" ht="24.75" x14ac:dyDescent="0.25">
      <c r="A4" s="21" t="s">
        <v>4028</v>
      </c>
      <c r="B4" s="22" t="s">
        <v>4029</v>
      </c>
      <c r="C4" s="2">
        <v>1</v>
      </c>
      <c r="D4" s="23">
        <v>59.5</v>
      </c>
      <c r="E4" s="3">
        <v>59.5</v>
      </c>
      <c r="F4" s="2">
        <v>310860104001</v>
      </c>
      <c r="G4" s="22" t="s">
        <v>19333</v>
      </c>
      <c r="H4" s="24" t="s">
        <v>19367</v>
      </c>
      <c r="I4" s="22" t="s">
        <v>19309</v>
      </c>
      <c r="J4" s="22" t="s">
        <v>19325</v>
      </c>
      <c r="K4" s="22" t="s">
        <v>19326</v>
      </c>
      <c r="L4" s="22"/>
      <c r="M4" s="22"/>
      <c r="N4" s="25" t="str">
        <f>HYPERLINK("http://slimages.macys.com/is/image/MCY/21300638 ")</f>
        <v xml:space="preserve">http://slimages.macys.com/is/image/MCY/21300638 </v>
      </c>
    </row>
    <row r="5" spans="1:14" ht="24.75" x14ac:dyDescent="0.25">
      <c r="A5" s="21" t="s">
        <v>4030</v>
      </c>
      <c r="B5" s="22" t="s">
        <v>4031</v>
      </c>
      <c r="C5" s="2">
        <v>1</v>
      </c>
      <c r="D5" s="23">
        <v>65.95</v>
      </c>
      <c r="E5" s="3">
        <v>65.95</v>
      </c>
      <c r="F5" s="2" t="s">
        <v>4032</v>
      </c>
      <c r="G5" s="22" t="s">
        <v>19338</v>
      </c>
      <c r="H5" s="24" t="s">
        <v>19432</v>
      </c>
      <c r="I5" s="22" t="s">
        <v>19309</v>
      </c>
      <c r="J5" s="22" t="s">
        <v>19559</v>
      </c>
      <c r="K5" s="22" t="s">
        <v>4033</v>
      </c>
      <c r="L5" s="22"/>
      <c r="M5" s="22"/>
      <c r="N5" s="25" t="str">
        <f>HYPERLINK("http://slimages.macys.com/is/image/MCY/20844130 ")</f>
        <v xml:space="preserve">http://slimages.macys.com/is/image/MCY/20844130 </v>
      </c>
    </row>
    <row r="6" spans="1:14" ht="24.75" x14ac:dyDescent="0.25">
      <c r="A6" s="21" t="s">
        <v>4034</v>
      </c>
      <c r="B6" s="22" t="s">
        <v>4035</v>
      </c>
      <c r="C6" s="2">
        <v>1</v>
      </c>
      <c r="D6" s="23">
        <v>55</v>
      </c>
      <c r="E6" s="3">
        <v>55</v>
      </c>
      <c r="F6" s="2">
        <v>310874234001</v>
      </c>
      <c r="G6" s="22" t="s">
        <v>19342</v>
      </c>
      <c r="H6" s="24" t="s">
        <v>19324</v>
      </c>
      <c r="I6" s="22" t="s">
        <v>19309</v>
      </c>
      <c r="J6" s="22" t="s">
        <v>19325</v>
      </c>
      <c r="K6" s="22" t="s">
        <v>19326</v>
      </c>
      <c r="L6" s="22"/>
      <c r="M6" s="22"/>
      <c r="N6" s="25" t="str">
        <f>HYPERLINK("http://slimages.macys.com/is/image/MCY/21965470 ")</f>
        <v xml:space="preserve">http://slimages.macys.com/is/image/MCY/21965470 </v>
      </c>
    </row>
    <row r="7" spans="1:14" ht="24.75" x14ac:dyDescent="0.25">
      <c r="A7" s="21" t="s">
        <v>4036</v>
      </c>
      <c r="B7" s="22" t="s">
        <v>4037</v>
      </c>
      <c r="C7" s="2">
        <v>1</v>
      </c>
      <c r="D7" s="23">
        <v>49.5</v>
      </c>
      <c r="E7" s="3">
        <v>49.5</v>
      </c>
      <c r="F7" s="2">
        <v>323861036001</v>
      </c>
      <c r="G7" s="22" t="s">
        <v>19333</v>
      </c>
      <c r="H7" s="24" t="s">
        <v>19308</v>
      </c>
      <c r="I7" s="22" t="s">
        <v>19309</v>
      </c>
      <c r="J7" s="22" t="s">
        <v>19335</v>
      </c>
      <c r="K7" s="22" t="s">
        <v>19326</v>
      </c>
      <c r="L7" s="22"/>
      <c r="M7" s="22"/>
      <c r="N7" s="25" t="str">
        <f>HYPERLINK("http://slimages.macys.com/is/image/MCY/21293436 ")</f>
        <v xml:space="preserve">http://slimages.macys.com/is/image/MCY/21293436 </v>
      </c>
    </row>
    <row r="8" spans="1:14" ht="24.75" x14ac:dyDescent="0.25">
      <c r="A8" s="21" t="s">
        <v>4038</v>
      </c>
      <c r="B8" s="22" t="s">
        <v>4039</v>
      </c>
      <c r="C8" s="2">
        <v>1</v>
      </c>
      <c r="D8" s="23">
        <v>45</v>
      </c>
      <c r="E8" s="3">
        <v>45</v>
      </c>
      <c r="F8" s="2">
        <v>320876669002</v>
      </c>
      <c r="G8" s="22" t="s">
        <v>19333</v>
      </c>
      <c r="H8" s="24" t="s">
        <v>20152</v>
      </c>
      <c r="I8" s="22" t="s">
        <v>19309</v>
      </c>
      <c r="J8" s="22" t="s">
        <v>19325</v>
      </c>
      <c r="K8" s="22" t="s">
        <v>19326</v>
      </c>
      <c r="L8" s="22"/>
      <c r="M8" s="22"/>
      <c r="N8" s="25" t="str">
        <f>HYPERLINK("http://slimages.macys.com/is/image/MCY/22675352 ")</f>
        <v xml:space="preserve">http://slimages.macys.com/is/image/MCY/22675352 </v>
      </c>
    </row>
    <row r="9" spans="1:14" ht="24.75" x14ac:dyDescent="0.25">
      <c r="A9" s="21" t="s">
        <v>4040</v>
      </c>
      <c r="B9" s="22" t="s">
        <v>4041</v>
      </c>
      <c r="C9" s="2">
        <v>2</v>
      </c>
      <c r="D9" s="23">
        <v>54.99</v>
      </c>
      <c r="E9" s="3">
        <v>109.98</v>
      </c>
      <c r="F9" s="2" t="s">
        <v>4042</v>
      </c>
      <c r="G9" s="22" t="s">
        <v>19333</v>
      </c>
      <c r="H9" s="24" t="s">
        <v>19501</v>
      </c>
      <c r="I9" s="22" t="s">
        <v>19309</v>
      </c>
      <c r="J9" s="22" t="s">
        <v>19400</v>
      </c>
      <c r="K9" s="22" t="s">
        <v>19386</v>
      </c>
      <c r="L9" s="22"/>
      <c r="M9" s="22"/>
      <c r="N9" s="25" t="str">
        <f>HYPERLINK("http://slimages.macys.com/is/image/MCY/21192577 ")</f>
        <v xml:space="preserve">http://slimages.macys.com/is/image/MCY/21192577 </v>
      </c>
    </row>
    <row r="10" spans="1:14" ht="24.75" x14ac:dyDescent="0.25">
      <c r="A10" s="21" t="s">
        <v>4043</v>
      </c>
      <c r="B10" s="22" t="s">
        <v>4044</v>
      </c>
      <c r="C10" s="2">
        <v>1</v>
      </c>
      <c r="D10" s="23">
        <v>54.99</v>
      </c>
      <c r="E10" s="3">
        <v>54.99</v>
      </c>
      <c r="F10" s="2" t="s">
        <v>4045</v>
      </c>
      <c r="G10" s="22" t="s">
        <v>19383</v>
      </c>
      <c r="H10" s="24" t="s">
        <v>19501</v>
      </c>
      <c r="I10" s="22" t="s">
        <v>19309</v>
      </c>
      <c r="J10" s="22" t="s">
        <v>19400</v>
      </c>
      <c r="K10" s="22" t="s">
        <v>19386</v>
      </c>
      <c r="L10" s="22"/>
      <c r="M10" s="22"/>
      <c r="N10" s="25" t="str">
        <f>HYPERLINK("http://slimages.macys.com/is/image/MCY/20140193 ")</f>
        <v xml:space="preserve">http://slimages.macys.com/is/image/MCY/20140193 </v>
      </c>
    </row>
    <row r="11" spans="1:14" ht="24.75" x14ac:dyDescent="0.25">
      <c r="A11" s="21" t="s">
        <v>4046</v>
      </c>
      <c r="B11" s="22" t="s">
        <v>4047</v>
      </c>
      <c r="C11" s="2">
        <v>1</v>
      </c>
      <c r="D11" s="23">
        <v>40</v>
      </c>
      <c r="E11" s="3">
        <v>40</v>
      </c>
      <c r="F11" s="2" t="s">
        <v>4048</v>
      </c>
      <c r="G11" s="22" t="s">
        <v>19333</v>
      </c>
      <c r="H11" s="24"/>
      <c r="I11" s="22" t="s">
        <v>19309</v>
      </c>
      <c r="J11" s="22" t="s">
        <v>15506</v>
      </c>
      <c r="K11" s="22" t="s">
        <v>4049</v>
      </c>
      <c r="L11" s="22"/>
      <c r="M11" s="22"/>
      <c r="N11" s="25" t="str">
        <f>HYPERLINK("http://slimages.macys.com/is/image/MCY/20092605 ")</f>
        <v xml:space="preserve">http://slimages.macys.com/is/image/MCY/20092605 </v>
      </c>
    </row>
    <row r="12" spans="1:14" ht="24.75" x14ac:dyDescent="0.25">
      <c r="A12" s="21" t="s">
        <v>4050</v>
      </c>
      <c r="B12" s="22" t="s">
        <v>4051</v>
      </c>
      <c r="C12" s="2">
        <v>1</v>
      </c>
      <c r="D12" s="23">
        <v>39.5</v>
      </c>
      <c r="E12" s="3">
        <v>39.5</v>
      </c>
      <c r="F12" s="2">
        <v>320865001002</v>
      </c>
      <c r="G12" s="22" t="s">
        <v>19333</v>
      </c>
      <c r="H12" s="24" t="s">
        <v>19330</v>
      </c>
      <c r="I12" s="22" t="s">
        <v>19309</v>
      </c>
      <c r="J12" s="22" t="s">
        <v>19325</v>
      </c>
      <c r="K12" s="22" t="s">
        <v>19326</v>
      </c>
      <c r="L12" s="22"/>
      <c r="M12" s="22"/>
      <c r="N12" s="25" t="str">
        <f>HYPERLINK("http://slimages.macys.com/is/image/MCY/21305690 ")</f>
        <v xml:space="preserve">http://slimages.macys.com/is/image/MCY/21305690 </v>
      </c>
    </row>
    <row r="13" spans="1:14" ht="24.75" x14ac:dyDescent="0.25">
      <c r="A13" s="21" t="s">
        <v>4052</v>
      </c>
      <c r="B13" s="22" t="s">
        <v>4053</v>
      </c>
      <c r="C13" s="2">
        <v>1</v>
      </c>
      <c r="D13" s="23">
        <v>39.5</v>
      </c>
      <c r="E13" s="3">
        <v>39.5</v>
      </c>
      <c r="F13" s="2">
        <v>321866776015</v>
      </c>
      <c r="G13" s="22" t="s">
        <v>19351</v>
      </c>
      <c r="H13" s="24" t="s">
        <v>19392</v>
      </c>
      <c r="I13" s="22" t="s">
        <v>19309</v>
      </c>
      <c r="J13" s="22" t="s">
        <v>19335</v>
      </c>
      <c r="K13" s="22" t="s">
        <v>19326</v>
      </c>
      <c r="L13" s="22"/>
      <c r="M13" s="22"/>
      <c r="N13" s="25" t="str">
        <f>HYPERLINK("http://slimages.macys.com/is/image/MCY/22269125 ")</f>
        <v xml:space="preserve">http://slimages.macys.com/is/image/MCY/22269125 </v>
      </c>
    </row>
    <row r="14" spans="1:14" ht="24.75" x14ac:dyDescent="0.25">
      <c r="A14" s="21" t="s">
        <v>4054</v>
      </c>
      <c r="B14" s="22" t="s">
        <v>4055</v>
      </c>
      <c r="C14" s="2">
        <v>1</v>
      </c>
      <c r="D14" s="23">
        <v>39.5</v>
      </c>
      <c r="E14" s="3">
        <v>39.5</v>
      </c>
      <c r="F14" s="2">
        <v>320869350001</v>
      </c>
      <c r="G14" s="22" t="s">
        <v>19333</v>
      </c>
      <c r="H14" s="24" t="s">
        <v>19367</v>
      </c>
      <c r="I14" s="22" t="s">
        <v>19309</v>
      </c>
      <c r="J14" s="22" t="s">
        <v>19325</v>
      </c>
      <c r="K14" s="22" t="s">
        <v>19326</v>
      </c>
      <c r="L14" s="22"/>
      <c r="M14" s="22"/>
      <c r="N14" s="25" t="str">
        <f>HYPERLINK("http://slimages.macys.com/is/image/MCY/21717473 ")</f>
        <v xml:space="preserve">http://slimages.macys.com/is/image/MCY/21717473 </v>
      </c>
    </row>
    <row r="15" spans="1:14" ht="24.75" x14ac:dyDescent="0.25">
      <c r="A15" s="21" t="s">
        <v>4056</v>
      </c>
      <c r="B15" s="22" t="s">
        <v>4057</v>
      </c>
      <c r="C15" s="2">
        <v>1</v>
      </c>
      <c r="D15" s="23">
        <v>39.5</v>
      </c>
      <c r="E15" s="3">
        <v>39.5</v>
      </c>
      <c r="F15" s="2">
        <v>322858780001</v>
      </c>
      <c r="G15" s="22" t="s">
        <v>19879</v>
      </c>
      <c r="H15" s="24" t="s">
        <v>19361</v>
      </c>
      <c r="I15" s="22" t="s">
        <v>19309</v>
      </c>
      <c r="J15" s="22" t="s">
        <v>19335</v>
      </c>
      <c r="K15" s="22" t="s">
        <v>19326</v>
      </c>
      <c r="L15" s="22"/>
      <c r="M15" s="22"/>
      <c r="N15" s="25" t="str">
        <f>HYPERLINK("http://slimages.macys.com/is/image/MCY/20655333 ")</f>
        <v xml:space="preserve">http://slimages.macys.com/is/image/MCY/20655333 </v>
      </c>
    </row>
    <row r="16" spans="1:14" ht="24.75" x14ac:dyDescent="0.25">
      <c r="A16" s="21" t="s">
        <v>4058</v>
      </c>
      <c r="B16" s="22" t="s">
        <v>4059</v>
      </c>
      <c r="C16" s="2">
        <v>1</v>
      </c>
      <c r="D16" s="23">
        <v>40</v>
      </c>
      <c r="E16" s="3">
        <v>40</v>
      </c>
      <c r="F16" s="2" t="s">
        <v>4060</v>
      </c>
      <c r="G16" s="22" t="s">
        <v>19528</v>
      </c>
      <c r="H16" s="24" t="s">
        <v>19364</v>
      </c>
      <c r="I16" s="22" t="s">
        <v>19309</v>
      </c>
      <c r="J16" s="22" t="s">
        <v>19310</v>
      </c>
      <c r="K16" s="22" t="s">
        <v>17538</v>
      </c>
      <c r="L16" s="22"/>
      <c r="M16" s="22"/>
      <c r="N16" s="25" t="str">
        <f>HYPERLINK("http://slimages.macys.com/is/image/MCY/19440242 ")</f>
        <v xml:space="preserve">http://slimages.macys.com/is/image/MCY/19440242 </v>
      </c>
    </row>
    <row r="17" spans="1:14" ht="24.75" x14ac:dyDescent="0.25">
      <c r="A17" s="21" t="s">
        <v>4061</v>
      </c>
      <c r="B17" s="22" t="s">
        <v>4062</v>
      </c>
      <c r="C17" s="2">
        <v>1</v>
      </c>
      <c r="D17" s="23">
        <v>42.99</v>
      </c>
      <c r="E17" s="3">
        <v>42.99</v>
      </c>
      <c r="F17" s="2" t="s">
        <v>4063</v>
      </c>
      <c r="G17" s="22" t="s">
        <v>19342</v>
      </c>
      <c r="H17" s="24" t="s">
        <v>19361</v>
      </c>
      <c r="I17" s="22" t="s">
        <v>19309</v>
      </c>
      <c r="J17" s="22" t="s">
        <v>19550</v>
      </c>
      <c r="K17" s="22" t="s">
        <v>19546</v>
      </c>
      <c r="L17" s="22"/>
      <c r="M17" s="22"/>
      <c r="N17" s="25" t="str">
        <f>HYPERLINK("http://slimages.macys.com/is/image/MCY/20553372 ")</f>
        <v xml:space="preserve">http://slimages.macys.com/is/image/MCY/20553372 </v>
      </c>
    </row>
    <row r="18" spans="1:14" ht="24.75" x14ac:dyDescent="0.25">
      <c r="A18" s="21" t="s">
        <v>4064</v>
      </c>
      <c r="B18" s="22" t="s">
        <v>4065</v>
      </c>
      <c r="C18" s="2">
        <v>1</v>
      </c>
      <c r="D18" s="23">
        <v>39.99</v>
      </c>
      <c r="E18" s="3">
        <v>39.99</v>
      </c>
      <c r="F18" s="2" t="s">
        <v>13622</v>
      </c>
      <c r="G18" s="22" t="s">
        <v>19618</v>
      </c>
      <c r="H18" s="24" t="s">
        <v>19316</v>
      </c>
      <c r="I18" s="22" t="s">
        <v>19309</v>
      </c>
      <c r="J18" s="22" t="s">
        <v>19405</v>
      </c>
      <c r="K18" s="22" t="s">
        <v>19406</v>
      </c>
      <c r="L18" s="22" t="s">
        <v>19319</v>
      </c>
      <c r="M18" s="22" t="s">
        <v>19435</v>
      </c>
      <c r="N18" s="25" t="str">
        <f>HYPERLINK("http://slimages.macys.com/is/image/MCY/13941716 ")</f>
        <v xml:space="preserve">http://slimages.macys.com/is/image/MCY/13941716 </v>
      </c>
    </row>
    <row r="19" spans="1:14" x14ac:dyDescent="0.25">
      <c r="A19" s="21" t="s">
        <v>4066</v>
      </c>
      <c r="B19" s="22" t="s">
        <v>4067</v>
      </c>
      <c r="C19" s="2">
        <v>1</v>
      </c>
      <c r="D19" s="23">
        <v>34.99</v>
      </c>
      <c r="E19" s="3">
        <v>34.99</v>
      </c>
      <c r="F19" s="2" t="s">
        <v>15536</v>
      </c>
      <c r="G19" s="22" t="s">
        <v>19630</v>
      </c>
      <c r="H19" s="24" t="s">
        <v>19339</v>
      </c>
      <c r="I19" s="22" t="s">
        <v>19309</v>
      </c>
      <c r="J19" s="22" t="s">
        <v>19310</v>
      </c>
      <c r="K19" s="22" t="s">
        <v>19631</v>
      </c>
      <c r="L19" s="22"/>
      <c r="M19" s="22"/>
      <c r="N19" s="25" t="str">
        <f>HYPERLINK("http://slimages.macys.com/is/image/MCY/21878262 ")</f>
        <v xml:space="preserve">http://slimages.macys.com/is/image/MCY/21878262 </v>
      </c>
    </row>
    <row r="20" spans="1:14" x14ac:dyDescent="0.25">
      <c r="A20" s="21" t="s">
        <v>4068</v>
      </c>
      <c r="B20" s="22" t="s">
        <v>4069</v>
      </c>
      <c r="C20" s="2">
        <v>1</v>
      </c>
      <c r="D20" s="23">
        <v>35.99</v>
      </c>
      <c r="E20" s="3">
        <v>35.99</v>
      </c>
      <c r="F20" s="2" t="s">
        <v>15533</v>
      </c>
      <c r="G20" s="22" t="s">
        <v>19630</v>
      </c>
      <c r="H20" s="24" t="s">
        <v>19352</v>
      </c>
      <c r="I20" s="22" t="s">
        <v>19309</v>
      </c>
      <c r="J20" s="22" t="s">
        <v>19310</v>
      </c>
      <c r="K20" s="22" t="s">
        <v>19631</v>
      </c>
      <c r="L20" s="22"/>
      <c r="M20" s="22"/>
      <c r="N20" s="25" t="str">
        <f>HYPERLINK("http://slimages.macys.com/is/image/MCY/21927836 ")</f>
        <v xml:space="preserve">http://slimages.macys.com/is/image/MCY/21927836 </v>
      </c>
    </row>
    <row r="21" spans="1:14" ht="24.75" x14ac:dyDescent="0.25">
      <c r="A21" s="21" t="s">
        <v>4070</v>
      </c>
      <c r="B21" s="22" t="s">
        <v>4071</v>
      </c>
      <c r="C21" s="2">
        <v>1</v>
      </c>
      <c r="D21" s="23">
        <v>34.99</v>
      </c>
      <c r="E21" s="3">
        <v>34.99</v>
      </c>
      <c r="F21" s="2" t="s">
        <v>4072</v>
      </c>
      <c r="G21" s="22" t="s">
        <v>19660</v>
      </c>
      <c r="H21" s="24" t="s">
        <v>19395</v>
      </c>
      <c r="I21" s="22" t="s">
        <v>19309</v>
      </c>
      <c r="J21" s="22" t="s">
        <v>19317</v>
      </c>
      <c r="K21" s="22" t="s">
        <v>15499</v>
      </c>
      <c r="L21" s="22"/>
      <c r="M21" s="22"/>
      <c r="N21" s="25" t="str">
        <f>HYPERLINK("http://slimages.macys.com/is/image/MCY/21616399 ")</f>
        <v xml:space="preserve">http://slimages.macys.com/is/image/MCY/21616399 </v>
      </c>
    </row>
    <row r="22" spans="1:14" ht="24.75" x14ac:dyDescent="0.25">
      <c r="A22" s="21" t="s">
        <v>4073</v>
      </c>
      <c r="B22" s="22" t="s">
        <v>4074</v>
      </c>
      <c r="C22" s="2">
        <v>1</v>
      </c>
      <c r="D22" s="23">
        <v>48.99</v>
      </c>
      <c r="E22" s="3">
        <v>48.99</v>
      </c>
      <c r="F22" s="2" t="s">
        <v>4075</v>
      </c>
      <c r="G22" s="22" t="s">
        <v>19674</v>
      </c>
      <c r="H22" s="24" t="s">
        <v>19501</v>
      </c>
      <c r="I22" s="22" t="s">
        <v>19309</v>
      </c>
      <c r="J22" s="22" t="s">
        <v>19400</v>
      </c>
      <c r="K22" s="22" t="s">
        <v>19423</v>
      </c>
      <c r="L22" s="22"/>
      <c r="M22" s="22"/>
      <c r="N22" s="25" t="str">
        <f>HYPERLINK("http://slimages.macys.com/is/image/MCY/20547568 ")</f>
        <v xml:space="preserve">http://slimages.macys.com/is/image/MCY/20547568 </v>
      </c>
    </row>
    <row r="23" spans="1:14" ht="24.75" x14ac:dyDescent="0.25">
      <c r="A23" s="21" t="s">
        <v>4076</v>
      </c>
      <c r="B23" s="22" t="s">
        <v>4077</v>
      </c>
      <c r="C23" s="2">
        <v>1</v>
      </c>
      <c r="D23" s="23">
        <v>35</v>
      </c>
      <c r="E23" s="3">
        <v>35</v>
      </c>
      <c r="F23" s="2">
        <v>322867158067</v>
      </c>
      <c r="G23" s="22" t="s">
        <v>19351</v>
      </c>
      <c r="H23" s="24" t="s">
        <v>19542</v>
      </c>
      <c r="I23" s="22" t="s">
        <v>19309</v>
      </c>
      <c r="J23" s="22" t="s">
        <v>19335</v>
      </c>
      <c r="K23" s="22" t="s">
        <v>19326</v>
      </c>
      <c r="L23" s="22"/>
      <c r="M23" s="22"/>
      <c r="N23" s="25" t="str">
        <f>HYPERLINK("http://slimages.macys.com/is/image/MCY/22268725 ")</f>
        <v xml:space="preserve">http://slimages.macys.com/is/image/MCY/22268725 </v>
      </c>
    </row>
    <row r="24" spans="1:14" ht="24.75" x14ac:dyDescent="0.25">
      <c r="A24" s="21" t="s">
        <v>4078</v>
      </c>
      <c r="B24" s="22" t="s">
        <v>4079</v>
      </c>
      <c r="C24" s="2">
        <v>1</v>
      </c>
      <c r="D24" s="23">
        <v>29.99</v>
      </c>
      <c r="E24" s="3">
        <v>29.99</v>
      </c>
      <c r="F24" s="2" t="s">
        <v>4080</v>
      </c>
      <c r="G24" s="22" t="s">
        <v>19618</v>
      </c>
      <c r="H24" s="24" t="s">
        <v>19364</v>
      </c>
      <c r="I24" s="22" t="s">
        <v>19309</v>
      </c>
      <c r="J24" s="22" t="s">
        <v>19405</v>
      </c>
      <c r="K24" s="22" t="s">
        <v>19406</v>
      </c>
      <c r="L24" s="22" t="s">
        <v>19319</v>
      </c>
      <c r="M24" s="22" t="s">
        <v>11337</v>
      </c>
      <c r="N24" s="25" t="str">
        <f>HYPERLINK("http://slimages.macys.com/is/image/MCY/13941900 ")</f>
        <v xml:space="preserve">http://slimages.macys.com/is/image/MCY/13941900 </v>
      </c>
    </row>
    <row r="25" spans="1:14" ht="24.75" x14ac:dyDescent="0.25">
      <c r="A25" s="21" t="s">
        <v>4081</v>
      </c>
      <c r="B25" s="22" t="s">
        <v>4082</v>
      </c>
      <c r="C25" s="2">
        <v>1</v>
      </c>
      <c r="D25" s="23">
        <v>29.99</v>
      </c>
      <c r="E25" s="3">
        <v>29.99</v>
      </c>
      <c r="F25" s="2" t="s">
        <v>4083</v>
      </c>
      <c r="G25" s="22" t="s">
        <v>19618</v>
      </c>
      <c r="H25" s="24" t="s">
        <v>19316</v>
      </c>
      <c r="I25" s="22" t="s">
        <v>19309</v>
      </c>
      <c r="J25" s="22" t="s">
        <v>19405</v>
      </c>
      <c r="K25" s="22" t="s">
        <v>19406</v>
      </c>
      <c r="L25" s="22" t="s">
        <v>19319</v>
      </c>
      <c r="M25" s="22" t="s">
        <v>20251</v>
      </c>
      <c r="N25" s="25" t="str">
        <f>HYPERLINK("http://slimages.macys.com/is/image/MCY/15968135 ")</f>
        <v xml:space="preserve">http://slimages.macys.com/is/image/MCY/15968135 </v>
      </c>
    </row>
    <row r="26" spans="1:14" ht="36.75" x14ac:dyDescent="0.25">
      <c r="A26" s="21" t="s">
        <v>5435</v>
      </c>
      <c r="B26" s="22" t="s">
        <v>5436</v>
      </c>
      <c r="C26" s="2">
        <v>1</v>
      </c>
      <c r="D26" s="23">
        <v>32.950000000000003</v>
      </c>
      <c r="E26" s="3">
        <v>32.950000000000003</v>
      </c>
      <c r="F26" s="2" t="s">
        <v>19403</v>
      </c>
      <c r="G26" s="22" t="s">
        <v>19404</v>
      </c>
      <c r="H26" s="24" t="s">
        <v>15803</v>
      </c>
      <c r="I26" s="22" t="s">
        <v>19309</v>
      </c>
      <c r="J26" s="22" t="s">
        <v>19405</v>
      </c>
      <c r="K26" s="22" t="s">
        <v>19406</v>
      </c>
      <c r="L26" s="22" t="s">
        <v>19319</v>
      </c>
      <c r="M26" s="22" t="s">
        <v>19407</v>
      </c>
      <c r="N26" s="25" t="str">
        <f>HYPERLINK("http://slimages.macys.com/is/image/MCY/10180512 ")</f>
        <v xml:space="preserve">http://slimages.macys.com/is/image/MCY/10180512 </v>
      </c>
    </row>
    <row r="27" spans="1:14" ht="24.75" x14ac:dyDescent="0.25">
      <c r="A27" s="21" t="s">
        <v>4084</v>
      </c>
      <c r="B27" s="22" t="s">
        <v>4085</v>
      </c>
      <c r="C27" s="2">
        <v>1</v>
      </c>
      <c r="D27" s="23">
        <v>32.950000000000003</v>
      </c>
      <c r="E27" s="3">
        <v>32.950000000000003</v>
      </c>
      <c r="F27" s="2" t="s">
        <v>4086</v>
      </c>
      <c r="G27" s="22" t="s">
        <v>19618</v>
      </c>
      <c r="H27" s="24" t="s">
        <v>19316</v>
      </c>
      <c r="I27" s="22" t="s">
        <v>19309</v>
      </c>
      <c r="J27" s="22" t="s">
        <v>19405</v>
      </c>
      <c r="K27" s="22" t="s">
        <v>19406</v>
      </c>
      <c r="L27" s="22"/>
      <c r="M27" s="22"/>
      <c r="N27" s="25" t="str">
        <f>HYPERLINK("http://slimages.macys.com/is/image/MCY/21168660 ")</f>
        <v xml:space="preserve">http://slimages.macys.com/is/image/MCY/21168660 </v>
      </c>
    </row>
    <row r="28" spans="1:14" x14ac:dyDescent="0.25">
      <c r="A28" s="21" t="s">
        <v>4087</v>
      </c>
      <c r="B28" s="22" t="s">
        <v>4088</v>
      </c>
      <c r="C28" s="2">
        <v>1</v>
      </c>
      <c r="D28" s="23">
        <v>32</v>
      </c>
      <c r="E28" s="3">
        <v>32</v>
      </c>
      <c r="F28" s="2" t="s">
        <v>4089</v>
      </c>
      <c r="G28" s="22" t="s">
        <v>19467</v>
      </c>
      <c r="H28" s="24" t="s">
        <v>19395</v>
      </c>
      <c r="I28" s="22" t="s">
        <v>19309</v>
      </c>
      <c r="J28" s="22" t="s">
        <v>17328</v>
      </c>
      <c r="K28" s="22" t="s">
        <v>4090</v>
      </c>
      <c r="L28" s="22"/>
      <c r="M28" s="22"/>
      <c r="N28" s="25" t="str">
        <f>HYPERLINK("http://slimages.macys.com/is/image/MCY/19080554 ")</f>
        <v xml:space="preserve">http://slimages.macys.com/is/image/MCY/19080554 </v>
      </c>
    </row>
    <row r="29" spans="1:14" x14ac:dyDescent="0.25">
      <c r="A29" s="21" t="s">
        <v>4091</v>
      </c>
      <c r="B29" s="22" t="s">
        <v>4092</v>
      </c>
      <c r="C29" s="2">
        <v>1</v>
      </c>
      <c r="D29" s="23">
        <v>30.99</v>
      </c>
      <c r="E29" s="3">
        <v>30.99</v>
      </c>
      <c r="F29" s="2" t="s">
        <v>4093</v>
      </c>
      <c r="G29" s="22" t="s">
        <v>19315</v>
      </c>
      <c r="H29" s="24" t="s">
        <v>19339</v>
      </c>
      <c r="I29" s="22" t="s">
        <v>19309</v>
      </c>
      <c r="J29" s="22" t="s">
        <v>19310</v>
      </c>
      <c r="K29" s="22" t="s">
        <v>19631</v>
      </c>
      <c r="L29" s="22"/>
      <c r="M29" s="22"/>
      <c r="N29" s="25" t="str">
        <f>HYPERLINK("http://slimages.macys.com/is/image/MCY/21878289 ")</f>
        <v xml:space="preserve">http://slimages.macys.com/is/image/MCY/21878289 </v>
      </c>
    </row>
    <row r="30" spans="1:14" ht="24.75" x14ac:dyDescent="0.25">
      <c r="A30" s="21" t="s">
        <v>4094</v>
      </c>
      <c r="B30" s="22" t="s">
        <v>4095</v>
      </c>
      <c r="C30" s="2">
        <v>1</v>
      </c>
      <c r="D30" s="23">
        <v>30.99</v>
      </c>
      <c r="E30" s="3">
        <v>30.99</v>
      </c>
      <c r="F30" s="2" t="s">
        <v>4096</v>
      </c>
      <c r="G30" s="22" t="s">
        <v>19670</v>
      </c>
      <c r="H30" s="24" t="s">
        <v>19364</v>
      </c>
      <c r="I30" s="22" t="s">
        <v>19309</v>
      </c>
      <c r="J30" s="22" t="s">
        <v>19447</v>
      </c>
      <c r="K30" s="22" t="s">
        <v>19533</v>
      </c>
      <c r="L30" s="22"/>
      <c r="M30" s="22"/>
      <c r="N30" s="25" t="str">
        <f>HYPERLINK("http://slimages.macys.com/is/image/MCY/19730426 ")</f>
        <v xml:space="preserve">http://slimages.macys.com/is/image/MCY/19730426 </v>
      </c>
    </row>
    <row r="31" spans="1:14" ht="24.75" x14ac:dyDescent="0.25">
      <c r="A31" s="21" t="s">
        <v>4097</v>
      </c>
      <c r="B31" s="22" t="s">
        <v>4098</v>
      </c>
      <c r="C31" s="2">
        <v>1</v>
      </c>
      <c r="D31" s="23">
        <v>30.99</v>
      </c>
      <c r="E31" s="3">
        <v>30.99</v>
      </c>
      <c r="F31" s="2" t="s">
        <v>4099</v>
      </c>
      <c r="G31" s="22" t="s">
        <v>19477</v>
      </c>
      <c r="H31" s="24" t="s">
        <v>19395</v>
      </c>
      <c r="I31" s="22" t="s">
        <v>19309</v>
      </c>
      <c r="J31" s="22" t="s">
        <v>19447</v>
      </c>
      <c r="K31" s="22" t="s">
        <v>19463</v>
      </c>
      <c r="L31" s="22"/>
      <c r="M31" s="22"/>
      <c r="N31" s="25" t="str">
        <f>HYPERLINK("http://slimages.macys.com/is/image/MCY/19474234 ")</f>
        <v xml:space="preserve">http://slimages.macys.com/is/image/MCY/19474234 </v>
      </c>
    </row>
    <row r="32" spans="1:14" ht="24.75" x14ac:dyDescent="0.25">
      <c r="A32" s="21" t="s">
        <v>4100</v>
      </c>
      <c r="B32" s="22" t="s">
        <v>4101</v>
      </c>
      <c r="C32" s="2">
        <v>1</v>
      </c>
      <c r="D32" s="23">
        <v>43.75</v>
      </c>
      <c r="E32" s="3">
        <v>43.75</v>
      </c>
      <c r="F32" s="2" t="s">
        <v>15111</v>
      </c>
      <c r="G32" s="22" t="s">
        <v>19333</v>
      </c>
      <c r="H32" s="24" t="s">
        <v>19377</v>
      </c>
      <c r="I32" s="22" t="s">
        <v>19309</v>
      </c>
      <c r="J32" s="22" t="s">
        <v>19378</v>
      </c>
      <c r="K32" s="22" t="s">
        <v>19423</v>
      </c>
      <c r="L32" s="22"/>
      <c r="M32" s="22"/>
      <c r="N32" s="25" t="str">
        <f>HYPERLINK("http://slimages.macys.com/is/image/MCY/20546929 ")</f>
        <v xml:space="preserve">http://slimages.macys.com/is/image/MCY/20546929 </v>
      </c>
    </row>
    <row r="33" spans="1:14" x14ac:dyDescent="0.25">
      <c r="A33" s="21" t="s">
        <v>10288</v>
      </c>
      <c r="B33" s="22" t="s">
        <v>10289</v>
      </c>
      <c r="C33" s="2">
        <v>1</v>
      </c>
      <c r="D33" s="23">
        <v>31.99</v>
      </c>
      <c r="E33" s="3">
        <v>31.99</v>
      </c>
      <c r="F33" s="2" t="s">
        <v>19430</v>
      </c>
      <c r="G33" s="22" t="s">
        <v>19622</v>
      </c>
      <c r="H33" s="24" t="s">
        <v>19432</v>
      </c>
      <c r="I33" s="22" t="s">
        <v>19309</v>
      </c>
      <c r="J33" s="22" t="s">
        <v>19310</v>
      </c>
      <c r="K33" s="22" t="s">
        <v>19433</v>
      </c>
      <c r="L33" s="22"/>
      <c r="M33" s="22"/>
      <c r="N33" s="25" t="str">
        <f>HYPERLINK("http://slimages.macys.com/is/image/MCY/20988726 ")</f>
        <v xml:space="preserve">http://slimages.macys.com/is/image/MCY/20988726 </v>
      </c>
    </row>
    <row r="34" spans="1:14" x14ac:dyDescent="0.25">
      <c r="A34" s="21" t="s">
        <v>4102</v>
      </c>
      <c r="B34" s="22" t="s">
        <v>4103</v>
      </c>
      <c r="C34" s="2">
        <v>1</v>
      </c>
      <c r="D34" s="23">
        <v>29.99</v>
      </c>
      <c r="E34" s="3">
        <v>29.99</v>
      </c>
      <c r="F34" s="2" t="s">
        <v>6668</v>
      </c>
      <c r="G34" s="22" t="s">
        <v>19618</v>
      </c>
      <c r="H34" s="24" t="s">
        <v>19361</v>
      </c>
      <c r="I34" s="22" t="s">
        <v>19309</v>
      </c>
      <c r="J34" s="22" t="s">
        <v>19310</v>
      </c>
      <c r="K34" s="22" t="s">
        <v>19440</v>
      </c>
      <c r="L34" s="22"/>
      <c r="M34" s="22"/>
      <c r="N34" s="25" t="str">
        <f>HYPERLINK("http://slimages.macys.com/is/image/MCY/21149131 ")</f>
        <v xml:space="preserve">http://slimages.macys.com/is/image/MCY/21149131 </v>
      </c>
    </row>
    <row r="35" spans="1:14" x14ac:dyDescent="0.25">
      <c r="A35" s="21" t="s">
        <v>4104</v>
      </c>
      <c r="B35" s="22" t="s">
        <v>4105</v>
      </c>
      <c r="C35" s="2">
        <v>1</v>
      </c>
      <c r="D35" s="23">
        <v>30.55</v>
      </c>
      <c r="E35" s="3">
        <v>30.55</v>
      </c>
      <c r="F35" s="2" t="s">
        <v>4106</v>
      </c>
      <c r="G35" s="22" t="s">
        <v>19307</v>
      </c>
      <c r="H35" s="24" t="s">
        <v>19345</v>
      </c>
      <c r="I35" s="22" t="s">
        <v>19309</v>
      </c>
      <c r="J35" s="22" t="s">
        <v>19514</v>
      </c>
      <c r="K35" s="22" t="s">
        <v>4107</v>
      </c>
      <c r="L35" s="22"/>
      <c r="M35" s="22"/>
      <c r="N35" s="25" t="str">
        <f>HYPERLINK("http://slimages.macys.com/is/image/MCY/19635815 ")</f>
        <v xml:space="preserve">http://slimages.macys.com/is/image/MCY/19635815 </v>
      </c>
    </row>
    <row r="36" spans="1:14" ht="24.75" x14ac:dyDescent="0.25">
      <c r="A36" s="21" t="s">
        <v>4108</v>
      </c>
      <c r="B36" s="22" t="s">
        <v>4109</v>
      </c>
      <c r="C36" s="2">
        <v>1</v>
      </c>
      <c r="D36" s="23">
        <v>29.5</v>
      </c>
      <c r="E36" s="3">
        <v>29.5</v>
      </c>
      <c r="F36" s="2">
        <v>321858710001</v>
      </c>
      <c r="G36" s="22" t="s">
        <v>19333</v>
      </c>
      <c r="H36" s="24" t="s">
        <v>19334</v>
      </c>
      <c r="I36" s="22" t="s">
        <v>19309</v>
      </c>
      <c r="J36" s="22" t="s">
        <v>19335</v>
      </c>
      <c r="K36" s="22" t="s">
        <v>19326</v>
      </c>
      <c r="L36" s="22"/>
      <c r="M36" s="22"/>
      <c r="N36" s="25" t="str">
        <f>HYPERLINK("http://slimages.macys.com/is/image/MCY/20654846 ")</f>
        <v xml:space="preserve">http://slimages.macys.com/is/image/MCY/20654846 </v>
      </c>
    </row>
    <row r="37" spans="1:14" ht="24.75" x14ac:dyDescent="0.25">
      <c r="A37" s="21" t="s">
        <v>4110</v>
      </c>
      <c r="B37" s="22" t="s">
        <v>4111</v>
      </c>
      <c r="C37" s="2">
        <v>1</v>
      </c>
      <c r="D37" s="23">
        <v>29.99</v>
      </c>
      <c r="E37" s="3">
        <v>29.99</v>
      </c>
      <c r="F37" s="2" t="s">
        <v>15588</v>
      </c>
      <c r="G37" s="22" t="s">
        <v>20306</v>
      </c>
      <c r="H37" s="24" t="s">
        <v>19334</v>
      </c>
      <c r="I37" s="22" t="s">
        <v>19309</v>
      </c>
      <c r="J37" s="22" t="s">
        <v>19447</v>
      </c>
      <c r="K37" s="22" t="s">
        <v>19463</v>
      </c>
      <c r="L37" s="22"/>
      <c r="M37" s="22"/>
      <c r="N37" s="25" t="str">
        <f>HYPERLINK("http://slimages.macys.com/is/image/MCY/21682218 ")</f>
        <v xml:space="preserve">http://slimages.macys.com/is/image/MCY/21682218 </v>
      </c>
    </row>
    <row r="38" spans="1:14" x14ac:dyDescent="0.25">
      <c r="A38" s="21" t="s">
        <v>4112</v>
      </c>
      <c r="B38" s="22" t="s">
        <v>4113</v>
      </c>
      <c r="C38" s="2">
        <v>1</v>
      </c>
      <c r="D38" s="23">
        <v>40</v>
      </c>
      <c r="E38" s="3">
        <v>40</v>
      </c>
      <c r="F38" s="2" t="s">
        <v>4114</v>
      </c>
      <c r="G38" s="22" t="s">
        <v>19814</v>
      </c>
      <c r="H38" s="24" t="s">
        <v>19432</v>
      </c>
      <c r="I38" s="22" t="s">
        <v>19309</v>
      </c>
      <c r="J38" s="22" t="s">
        <v>17328</v>
      </c>
      <c r="K38" s="22" t="s">
        <v>17329</v>
      </c>
      <c r="L38" s="22"/>
      <c r="M38" s="22"/>
      <c r="N38" s="25" t="str">
        <f>HYPERLINK("http://slimages.macys.com/is/image/MCY/20018451 ")</f>
        <v xml:space="preserve">http://slimages.macys.com/is/image/MCY/20018451 </v>
      </c>
    </row>
    <row r="39" spans="1:14" ht="24.75" x14ac:dyDescent="0.25">
      <c r="A39" s="21" t="s">
        <v>4115</v>
      </c>
      <c r="B39" s="22" t="s">
        <v>4116</v>
      </c>
      <c r="C39" s="2">
        <v>1</v>
      </c>
      <c r="D39" s="23">
        <v>27.99</v>
      </c>
      <c r="E39" s="3">
        <v>27.99</v>
      </c>
      <c r="F39" s="2" t="s">
        <v>4117</v>
      </c>
      <c r="G39" s="22" t="s">
        <v>19307</v>
      </c>
      <c r="H39" s="24" t="s">
        <v>19330</v>
      </c>
      <c r="I39" s="22" t="s">
        <v>19309</v>
      </c>
      <c r="J39" s="22" t="s">
        <v>19491</v>
      </c>
      <c r="K39" s="22" t="s">
        <v>19463</v>
      </c>
      <c r="L39" s="22"/>
      <c r="M39" s="22"/>
      <c r="N39" s="25" t="str">
        <f>HYPERLINK("http://slimages.macys.com/is/image/MCY/20505881 ")</f>
        <v xml:space="preserve">http://slimages.macys.com/is/image/MCY/20505881 </v>
      </c>
    </row>
    <row r="40" spans="1:14" ht="24.75" x14ac:dyDescent="0.25">
      <c r="A40" s="21" t="s">
        <v>4118</v>
      </c>
      <c r="B40" s="22" t="s">
        <v>4119</v>
      </c>
      <c r="C40" s="2">
        <v>1</v>
      </c>
      <c r="D40" s="23">
        <v>24.99</v>
      </c>
      <c r="E40" s="3">
        <v>24.99</v>
      </c>
      <c r="F40" s="2" t="s">
        <v>19466</v>
      </c>
      <c r="G40" s="22" t="s">
        <v>19618</v>
      </c>
      <c r="H40" s="24" t="s">
        <v>19334</v>
      </c>
      <c r="I40" s="22" t="s">
        <v>19309</v>
      </c>
      <c r="J40" s="22" t="s">
        <v>19310</v>
      </c>
      <c r="K40" s="22" t="s">
        <v>19468</v>
      </c>
      <c r="L40" s="22"/>
      <c r="M40" s="22"/>
      <c r="N40" s="25" t="str">
        <f>HYPERLINK("http://slimages.macys.com/is/image/MCY/20189642 ")</f>
        <v xml:space="preserve">http://slimages.macys.com/is/image/MCY/20189642 </v>
      </c>
    </row>
    <row r="41" spans="1:14" ht="24.75" x14ac:dyDescent="0.25">
      <c r="A41" s="21" t="s">
        <v>4120</v>
      </c>
      <c r="B41" s="22" t="s">
        <v>4121</v>
      </c>
      <c r="C41" s="2">
        <v>1</v>
      </c>
      <c r="D41" s="23">
        <v>28.99</v>
      </c>
      <c r="E41" s="3">
        <v>28.99</v>
      </c>
      <c r="F41" s="2" t="s">
        <v>5497</v>
      </c>
      <c r="G41" s="22" t="s">
        <v>19674</v>
      </c>
      <c r="H41" s="24" t="s">
        <v>19345</v>
      </c>
      <c r="I41" s="22" t="s">
        <v>19309</v>
      </c>
      <c r="J41" s="22" t="s">
        <v>19447</v>
      </c>
      <c r="K41" s="22" t="s">
        <v>19463</v>
      </c>
      <c r="L41" s="22"/>
      <c r="M41" s="22"/>
      <c r="N41" s="25" t="str">
        <f>HYPERLINK("http://slimages.macys.com/is/image/MCY/21682304 ")</f>
        <v xml:space="preserve">http://slimages.macys.com/is/image/MCY/21682304 </v>
      </c>
    </row>
    <row r="42" spans="1:14" ht="24.75" x14ac:dyDescent="0.25">
      <c r="A42" s="21" t="s">
        <v>4122</v>
      </c>
      <c r="B42" s="22" t="s">
        <v>4123</v>
      </c>
      <c r="C42" s="2">
        <v>1</v>
      </c>
      <c r="D42" s="23">
        <v>26.99</v>
      </c>
      <c r="E42" s="3">
        <v>26.99</v>
      </c>
      <c r="F42" s="2" t="s">
        <v>15145</v>
      </c>
      <c r="G42" s="22" t="s">
        <v>19333</v>
      </c>
      <c r="H42" s="24" t="s">
        <v>19352</v>
      </c>
      <c r="I42" s="22" t="s">
        <v>19309</v>
      </c>
      <c r="J42" s="22" t="s">
        <v>19447</v>
      </c>
      <c r="K42" s="22" t="s">
        <v>19533</v>
      </c>
      <c r="L42" s="22"/>
      <c r="M42" s="22"/>
      <c r="N42" s="25" t="str">
        <f>HYPERLINK("http://slimages.macys.com/is/image/MCY/20783915 ")</f>
        <v xml:space="preserve">http://slimages.macys.com/is/image/MCY/20783915 </v>
      </c>
    </row>
    <row r="43" spans="1:14" x14ac:dyDescent="0.25">
      <c r="A43" s="21" t="s">
        <v>10311</v>
      </c>
      <c r="B43" s="22" t="s">
        <v>10312</v>
      </c>
      <c r="C43" s="2">
        <v>1</v>
      </c>
      <c r="D43" s="23">
        <v>27.99</v>
      </c>
      <c r="E43" s="3">
        <v>27.99</v>
      </c>
      <c r="F43" s="2" t="s">
        <v>10310</v>
      </c>
      <c r="G43" s="22" t="s">
        <v>19307</v>
      </c>
      <c r="H43" s="24" t="s">
        <v>19395</v>
      </c>
      <c r="I43" s="22" t="s">
        <v>19309</v>
      </c>
      <c r="J43" s="22" t="s">
        <v>19310</v>
      </c>
      <c r="K43" s="22" t="s">
        <v>19433</v>
      </c>
      <c r="L43" s="22" t="s">
        <v>14481</v>
      </c>
      <c r="M43" s="22" t="s">
        <v>19320</v>
      </c>
      <c r="N43" s="25" t="str">
        <f>HYPERLINK("http://images.bloomingdales.com/is/image/BLM/12076229 ")</f>
        <v xml:space="preserve">http://images.bloomingdales.com/is/image/BLM/12076229 </v>
      </c>
    </row>
    <row r="44" spans="1:14" ht="24.75" x14ac:dyDescent="0.25">
      <c r="A44" s="21" t="s">
        <v>4124</v>
      </c>
      <c r="B44" s="22" t="s">
        <v>4125</v>
      </c>
      <c r="C44" s="2">
        <v>1</v>
      </c>
      <c r="D44" s="23">
        <v>27.99</v>
      </c>
      <c r="E44" s="3">
        <v>27.99</v>
      </c>
      <c r="F44" s="2" t="s">
        <v>4126</v>
      </c>
      <c r="G44" s="22" t="s">
        <v>19415</v>
      </c>
      <c r="H44" s="24" t="s">
        <v>19352</v>
      </c>
      <c r="I44" s="22" t="s">
        <v>19309</v>
      </c>
      <c r="J44" s="22" t="s">
        <v>19310</v>
      </c>
      <c r="K44" s="22" t="s">
        <v>19932</v>
      </c>
      <c r="L44" s="22"/>
      <c r="M44" s="22"/>
      <c r="N44" s="25" t="str">
        <f>HYPERLINK("http://slimages.macys.com/is/image/MCY/21605135 ")</f>
        <v xml:space="preserve">http://slimages.macys.com/is/image/MCY/21605135 </v>
      </c>
    </row>
    <row r="45" spans="1:14" x14ac:dyDescent="0.25">
      <c r="A45" s="21" t="s">
        <v>4127</v>
      </c>
      <c r="B45" s="22" t="s">
        <v>4128</v>
      </c>
      <c r="C45" s="2">
        <v>1</v>
      </c>
      <c r="D45" s="23">
        <v>26.67</v>
      </c>
      <c r="E45" s="3">
        <v>26.67</v>
      </c>
      <c r="F45" s="2" t="s">
        <v>4129</v>
      </c>
      <c r="G45" s="22" t="s">
        <v>19342</v>
      </c>
      <c r="H45" s="24" t="s">
        <v>19345</v>
      </c>
      <c r="I45" s="22" t="s">
        <v>19309</v>
      </c>
      <c r="J45" s="22" t="s">
        <v>19514</v>
      </c>
      <c r="K45" s="22" t="s">
        <v>19546</v>
      </c>
      <c r="L45" s="22"/>
      <c r="M45" s="22"/>
      <c r="N45" s="25" t="str">
        <f>HYPERLINK("http://slimages.macys.com/is/image/MCY/19896273 ")</f>
        <v xml:space="preserve">http://slimages.macys.com/is/image/MCY/19896273 </v>
      </c>
    </row>
    <row r="46" spans="1:14" ht="24.75" x14ac:dyDescent="0.25">
      <c r="A46" s="21" t="s">
        <v>4130</v>
      </c>
      <c r="B46" s="22" t="s">
        <v>4131</v>
      </c>
      <c r="C46" s="2">
        <v>1</v>
      </c>
      <c r="D46" s="23">
        <v>34.99</v>
      </c>
      <c r="E46" s="3">
        <v>34.99</v>
      </c>
      <c r="F46" s="2" t="s">
        <v>4132</v>
      </c>
      <c r="G46" s="22" t="s">
        <v>19879</v>
      </c>
      <c r="H46" s="24" t="s">
        <v>19392</v>
      </c>
      <c r="I46" s="22" t="s">
        <v>19309</v>
      </c>
      <c r="J46" s="22" t="s">
        <v>19378</v>
      </c>
      <c r="K46" s="22" t="s">
        <v>19386</v>
      </c>
      <c r="L46" s="22"/>
      <c r="M46" s="22"/>
      <c r="N46" s="25" t="str">
        <f>HYPERLINK("http://slimages.macys.com/is/image/MCY/20108389 ")</f>
        <v xml:space="preserve">http://slimages.macys.com/is/image/MCY/20108389 </v>
      </c>
    </row>
    <row r="47" spans="1:14" ht="24.75" x14ac:dyDescent="0.25">
      <c r="A47" s="21" t="s">
        <v>4133</v>
      </c>
      <c r="B47" s="22" t="s">
        <v>4134</v>
      </c>
      <c r="C47" s="2">
        <v>1</v>
      </c>
      <c r="D47" s="23">
        <v>32.99</v>
      </c>
      <c r="E47" s="3">
        <v>32.99</v>
      </c>
      <c r="F47" s="2" t="s">
        <v>4135</v>
      </c>
      <c r="G47" s="22" t="s">
        <v>19955</v>
      </c>
      <c r="H47" s="24" t="s">
        <v>19364</v>
      </c>
      <c r="I47" s="22" t="s">
        <v>19309</v>
      </c>
      <c r="J47" s="22" t="s">
        <v>19519</v>
      </c>
      <c r="K47" s="22" t="s">
        <v>4136</v>
      </c>
      <c r="L47" s="22"/>
      <c r="M47" s="22"/>
      <c r="N47" s="25" t="str">
        <f>HYPERLINK("http://slimages.macys.com/is/image/MCY/18470785 ")</f>
        <v xml:space="preserve">http://slimages.macys.com/is/image/MCY/18470785 </v>
      </c>
    </row>
    <row r="48" spans="1:14" ht="24.75" x14ac:dyDescent="0.25">
      <c r="A48" s="21" t="s">
        <v>4137</v>
      </c>
      <c r="B48" s="22" t="s">
        <v>4138</v>
      </c>
      <c r="C48" s="2">
        <v>1</v>
      </c>
      <c r="D48" s="23">
        <v>22.99</v>
      </c>
      <c r="E48" s="3">
        <v>22.99</v>
      </c>
      <c r="F48" s="2" t="s">
        <v>4139</v>
      </c>
      <c r="G48" s="22" t="s">
        <v>19351</v>
      </c>
      <c r="H48" s="24" t="s">
        <v>19797</v>
      </c>
      <c r="I48" s="22" t="s">
        <v>19309</v>
      </c>
      <c r="J48" s="22" t="s">
        <v>19353</v>
      </c>
      <c r="K48" s="22" t="s">
        <v>19524</v>
      </c>
      <c r="L48" s="22"/>
      <c r="M48" s="22"/>
      <c r="N48" s="25" t="str">
        <f>HYPERLINK("http://slimages.macys.com/is/image/MCY/21085098 ")</f>
        <v xml:space="preserve">http://slimages.macys.com/is/image/MCY/21085098 </v>
      </c>
    </row>
    <row r="49" spans="1:14" ht="24.75" x14ac:dyDescent="0.25">
      <c r="A49" s="21" t="s">
        <v>4140</v>
      </c>
      <c r="B49" s="22" t="s">
        <v>4141</v>
      </c>
      <c r="C49" s="2">
        <v>1</v>
      </c>
      <c r="D49" s="23">
        <v>28.99</v>
      </c>
      <c r="E49" s="3">
        <v>28.99</v>
      </c>
      <c r="F49" s="2" t="s">
        <v>19523</v>
      </c>
      <c r="G49" s="22" t="s">
        <v>19333</v>
      </c>
      <c r="H49" s="24" t="s">
        <v>19432</v>
      </c>
      <c r="I49" s="22" t="s">
        <v>19309</v>
      </c>
      <c r="J49" s="22" t="s">
        <v>19353</v>
      </c>
      <c r="K49" s="22" t="s">
        <v>19524</v>
      </c>
      <c r="L49" s="22"/>
      <c r="M49" s="22"/>
      <c r="N49" s="25" t="str">
        <f>HYPERLINK("http://slimages.macys.com/is/image/MCY/21275466 ")</f>
        <v xml:space="preserve">http://slimages.macys.com/is/image/MCY/21275466 </v>
      </c>
    </row>
    <row r="50" spans="1:14" ht="24.75" x14ac:dyDescent="0.25">
      <c r="A50" s="21" t="s">
        <v>15610</v>
      </c>
      <c r="B50" s="22" t="s">
        <v>15611</v>
      </c>
      <c r="C50" s="2">
        <v>1</v>
      </c>
      <c r="D50" s="23">
        <v>26.99</v>
      </c>
      <c r="E50" s="3">
        <v>26.99</v>
      </c>
      <c r="F50" s="2" t="s">
        <v>15612</v>
      </c>
      <c r="G50" s="22" t="s">
        <v>19670</v>
      </c>
      <c r="H50" s="24" t="s">
        <v>19330</v>
      </c>
      <c r="I50" s="22" t="s">
        <v>19309</v>
      </c>
      <c r="J50" s="22" t="s">
        <v>19385</v>
      </c>
      <c r="K50" s="22" t="s">
        <v>19463</v>
      </c>
      <c r="L50" s="22"/>
      <c r="M50" s="22"/>
      <c r="N50" s="25" t="str">
        <f>HYPERLINK("http://slimages.macys.com/is/image/MCY/21423696 ")</f>
        <v xml:space="preserve">http://slimages.macys.com/is/image/MCY/21423696 </v>
      </c>
    </row>
    <row r="51" spans="1:14" ht="24.75" x14ac:dyDescent="0.25">
      <c r="A51" s="21" t="s">
        <v>4142</v>
      </c>
      <c r="B51" s="22" t="s">
        <v>4143</v>
      </c>
      <c r="C51" s="2">
        <v>1</v>
      </c>
      <c r="D51" s="23">
        <v>35.94</v>
      </c>
      <c r="E51" s="3">
        <v>35.94</v>
      </c>
      <c r="F51" s="2" t="s">
        <v>4144</v>
      </c>
      <c r="G51" s="22" t="s">
        <v>19635</v>
      </c>
      <c r="H51" s="24" t="s">
        <v>19432</v>
      </c>
      <c r="I51" s="22" t="s">
        <v>19309</v>
      </c>
      <c r="J51" s="22" t="s">
        <v>19400</v>
      </c>
      <c r="K51" s="22" t="s">
        <v>19423</v>
      </c>
      <c r="L51" s="22"/>
      <c r="M51" s="22"/>
      <c r="N51" s="25" t="str">
        <f>HYPERLINK("http://slimages.macys.com/is/image/MCY/21090537 ")</f>
        <v xml:space="preserve">http://slimages.macys.com/is/image/MCY/21090537 </v>
      </c>
    </row>
    <row r="52" spans="1:14" ht="24.75" x14ac:dyDescent="0.25">
      <c r="A52" s="21" t="s">
        <v>15619</v>
      </c>
      <c r="B52" s="22" t="s">
        <v>15620</v>
      </c>
      <c r="C52" s="2">
        <v>1</v>
      </c>
      <c r="D52" s="23">
        <v>21.99</v>
      </c>
      <c r="E52" s="3">
        <v>21.99</v>
      </c>
      <c r="F52" s="2" t="s">
        <v>15621</v>
      </c>
      <c r="G52" s="22" t="s">
        <v>19307</v>
      </c>
      <c r="H52" s="24" t="s">
        <v>19364</v>
      </c>
      <c r="I52" s="22" t="s">
        <v>19309</v>
      </c>
      <c r="J52" s="22" t="s">
        <v>19447</v>
      </c>
      <c r="K52" s="22" t="s">
        <v>19533</v>
      </c>
      <c r="L52" s="22"/>
      <c r="M52" s="22"/>
      <c r="N52" s="25" t="str">
        <f>HYPERLINK("http://slimages.macys.com/is/image/MCY/20219973 ")</f>
        <v xml:space="preserve">http://slimages.macys.com/is/image/MCY/20219973 </v>
      </c>
    </row>
    <row r="53" spans="1:14" ht="24.75" x14ac:dyDescent="0.25">
      <c r="A53" s="21" t="s">
        <v>4145</v>
      </c>
      <c r="B53" s="22" t="s">
        <v>4146</v>
      </c>
      <c r="C53" s="2">
        <v>1</v>
      </c>
      <c r="D53" s="23">
        <v>29.99</v>
      </c>
      <c r="E53" s="3">
        <v>29.99</v>
      </c>
      <c r="F53" s="2" t="s">
        <v>4147</v>
      </c>
      <c r="G53" s="22" t="s">
        <v>19323</v>
      </c>
      <c r="H53" s="24" t="s">
        <v>19797</v>
      </c>
      <c r="I53" s="22" t="s">
        <v>19309</v>
      </c>
      <c r="J53" s="22" t="s">
        <v>19508</v>
      </c>
      <c r="K53" s="22" t="s">
        <v>20024</v>
      </c>
      <c r="L53" s="22"/>
      <c r="M53" s="22"/>
      <c r="N53" s="25" t="str">
        <f>HYPERLINK("http://slimages.macys.com/is/image/MCY/19747695 ")</f>
        <v xml:space="preserve">http://slimages.macys.com/is/image/MCY/19747695 </v>
      </c>
    </row>
    <row r="54" spans="1:14" ht="24.75" x14ac:dyDescent="0.25">
      <c r="A54" s="21" t="s">
        <v>4148</v>
      </c>
      <c r="B54" s="22" t="s">
        <v>4149</v>
      </c>
      <c r="C54" s="2">
        <v>1</v>
      </c>
      <c r="D54" s="23">
        <v>32.5</v>
      </c>
      <c r="E54" s="3">
        <v>32.5</v>
      </c>
      <c r="F54" s="2" t="s">
        <v>19557</v>
      </c>
      <c r="G54" s="22" t="s">
        <v>19307</v>
      </c>
      <c r="H54" s="24" t="s">
        <v>12720</v>
      </c>
      <c r="I54" s="22" t="s">
        <v>19309</v>
      </c>
      <c r="J54" s="22" t="s">
        <v>19559</v>
      </c>
      <c r="K54" s="22" t="s">
        <v>19560</v>
      </c>
      <c r="L54" s="22" t="s">
        <v>19319</v>
      </c>
      <c r="M54" s="22" t="s">
        <v>19561</v>
      </c>
      <c r="N54" s="25" t="str">
        <f>HYPERLINK("http://slimages.macys.com/is/image/MCY/9524844 ")</f>
        <v xml:space="preserve">http://slimages.macys.com/is/image/MCY/9524844 </v>
      </c>
    </row>
    <row r="55" spans="1:14" ht="24.75" x14ac:dyDescent="0.25">
      <c r="A55" s="21" t="s">
        <v>6514</v>
      </c>
      <c r="B55" s="22" t="s">
        <v>6515</v>
      </c>
      <c r="C55" s="2">
        <v>1</v>
      </c>
      <c r="D55" s="23">
        <v>25</v>
      </c>
      <c r="E55" s="3">
        <v>25</v>
      </c>
      <c r="F55" s="2" t="s">
        <v>19564</v>
      </c>
      <c r="G55" s="22" t="s">
        <v>19315</v>
      </c>
      <c r="H55" s="24" t="s">
        <v>19478</v>
      </c>
      <c r="I55" s="22" t="s">
        <v>19309</v>
      </c>
      <c r="J55" s="22" t="s">
        <v>19565</v>
      </c>
      <c r="K55" s="22" t="s">
        <v>19566</v>
      </c>
      <c r="L55" s="22"/>
      <c r="M55" s="22"/>
      <c r="N55" s="25" t="str">
        <f>HYPERLINK("http://slimages.macys.com/is/image/MCY/21294545 ")</f>
        <v xml:space="preserve">http://slimages.macys.com/is/image/MCY/21294545 </v>
      </c>
    </row>
    <row r="56" spans="1:14" ht="24.75" x14ac:dyDescent="0.25">
      <c r="A56" s="21" t="s">
        <v>4150</v>
      </c>
      <c r="B56" s="22" t="s">
        <v>4151</v>
      </c>
      <c r="C56" s="2">
        <v>1</v>
      </c>
      <c r="D56" s="23">
        <v>25</v>
      </c>
      <c r="E56" s="3">
        <v>25</v>
      </c>
      <c r="F56" s="2" t="s">
        <v>4152</v>
      </c>
      <c r="G56" s="22" t="s">
        <v>19513</v>
      </c>
      <c r="H56" s="24" t="s">
        <v>19478</v>
      </c>
      <c r="I56" s="22" t="s">
        <v>19309</v>
      </c>
      <c r="J56" s="22" t="s">
        <v>19565</v>
      </c>
      <c r="K56" s="22" t="s">
        <v>19566</v>
      </c>
      <c r="L56" s="22"/>
      <c r="M56" s="22"/>
      <c r="N56" s="25" t="str">
        <f>HYPERLINK("http://slimages.macys.com/is/image/MCY/21294546 ")</f>
        <v xml:space="preserve">http://slimages.macys.com/is/image/MCY/21294546 </v>
      </c>
    </row>
    <row r="57" spans="1:14" ht="24.75" x14ac:dyDescent="0.25">
      <c r="A57" s="21" t="s">
        <v>4153</v>
      </c>
      <c r="B57" s="22" t="s">
        <v>4154</v>
      </c>
      <c r="C57" s="2">
        <v>1</v>
      </c>
      <c r="D57" s="23">
        <v>29.99</v>
      </c>
      <c r="E57" s="3">
        <v>29.99</v>
      </c>
      <c r="F57" s="2" t="s">
        <v>4155</v>
      </c>
      <c r="G57" s="22" t="s">
        <v>19886</v>
      </c>
      <c r="H57" s="24" t="s">
        <v>19416</v>
      </c>
      <c r="I57" s="22" t="s">
        <v>19309</v>
      </c>
      <c r="J57" s="22" t="s">
        <v>19385</v>
      </c>
      <c r="K57" s="22" t="s">
        <v>19386</v>
      </c>
      <c r="L57" s="22"/>
      <c r="M57" s="22"/>
      <c r="N57" s="25" t="str">
        <f>HYPERLINK("http://slimages.macys.com/is/image/MCY/20480837 ")</f>
        <v xml:space="preserve">http://slimages.macys.com/is/image/MCY/20480837 </v>
      </c>
    </row>
    <row r="58" spans="1:14" ht="24.75" x14ac:dyDescent="0.25">
      <c r="A58" s="21" t="s">
        <v>7339</v>
      </c>
      <c r="B58" s="22" t="s">
        <v>7340</v>
      </c>
      <c r="C58" s="2">
        <v>1</v>
      </c>
      <c r="D58" s="23">
        <v>26.99</v>
      </c>
      <c r="E58" s="3">
        <v>26.99</v>
      </c>
      <c r="F58" s="2" t="s">
        <v>11424</v>
      </c>
      <c r="G58" s="22" t="s">
        <v>19906</v>
      </c>
      <c r="H58" s="24" t="s">
        <v>19395</v>
      </c>
      <c r="I58" s="22" t="s">
        <v>19309</v>
      </c>
      <c r="J58" s="22" t="s">
        <v>19595</v>
      </c>
      <c r="K58" s="22" t="s">
        <v>19596</v>
      </c>
      <c r="L58" s="22"/>
      <c r="M58" s="22"/>
      <c r="N58" s="25" t="str">
        <f>HYPERLINK("http://slimages.macys.com/is/image/MCY/21623092 ")</f>
        <v xml:space="preserve">http://slimages.macys.com/is/image/MCY/21623092 </v>
      </c>
    </row>
    <row r="59" spans="1:14" ht="24.75" x14ac:dyDescent="0.25">
      <c r="A59" s="21" t="s">
        <v>4156</v>
      </c>
      <c r="B59" s="22" t="s">
        <v>4157</v>
      </c>
      <c r="C59" s="2">
        <v>3</v>
      </c>
      <c r="D59" s="23">
        <v>35</v>
      </c>
      <c r="E59" s="3">
        <v>105</v>
      </c>
      <c r="F59" s="2" t="s">
        <v>4158</v>
      </c>
      <c r="G59" s="22"/>
      <c r="H59" s="24"/>
      <c r="I59" s="22" t="s">
        <v>19309</v>
      </c>
      <c r="J59" s="22" t="s">
        <v>19400</v>
      </c>
      <c r="K59" s="22" t="s">
        <v>19423</v>
      </c>
      <c r="L59" s="22"/>
      <c r="M59" s="22"/>
      <c r="N59" s="25" t="str">
        <f>HYPERLINK("http://slimages.macys.com/is/image/MCY/21502289 ")</f>
        <v xml:space="preserve">http://slimages.macys.com/is/image/MCY/21502289 </v>
      </c>
    </row>
    <row r="60" spans="1:14" ht="24.75" x14ac:dyDescent="0.25">
      <c r="A60" s="21" t="s">
        <v>4159</v>
      </c>
      <c r="B60" s="22" t="s">
        <v>4160</v>
      </c>
      <c r="C60" s="2">
        <v>1</v>
      </c>
      <c r="D60" s="23">
        <v>32.99</v>
      </c>
      <c r="E60" s="3">
        <v>32.99</v>
      </c>
      <c r="F60" s="2" t="s">
        <v>4161</v>
      </c>
      <c r="G60" s="22" t="s">
        <v>19518</v>
      </c>
      <c r="H60" s="24" t="s">
        <v>19364</v>
      </c>
      <c r="I60" s="22" t="s">
        <v>19309</v>
      </c>
      <c r="J60" s="22" t="s">
        <v>19595</v>
      </c>
      <c r="K60" s="22" t="s">
        <v>19423</v>
      </c>
      <c r="L60" s="22"/>
      <c r="M60" s="22"/>
      <c r="N60" s="25" t="str">
        <f>HYPERLINK("http://slimages.macys.com/is/image/MCY/20389498 ")</f>
        <v xml:space="preserve">http://slimages.macys.com/is/image/MCY/20389498 </v>
      </c>
    </row>
    <row r="61" spans="1:14" ht="24.75" x14ac:dyDescent="0.25">
      <c r="A61" s="21" t="s">
        <v>4162</v>
      </c>
      <c r="B61" s="22" t="s">
        <v>4163</v>
      </c>
      <c r="C61" s="2">
        <v>1</v>
      </c>
      <c r="D61" s="23">
        <v>34.99</v>
      </c>
      <c r="E61" s="3">
        <v>34.99</v>
      </c>
      <c r="F61" s="2" t="s">
        <v>4164</v>
      </c>
      <c r="G61" s="22" t="s">
        <v>19323</v>
      </c>
      <c r="H61" s="24"/>
      <c r="I61" s="22" t="s">
        <v>19309</v>
      </c>
      <c r="J61" s="22" t="s">
        <v>19400</v>
      </c>
      <c r="K61" s="22" t="s">
        <v>19479</v>
      </c>
      <c r="L61" s="22"/>
      <c r="M61" s="22"/>
      <c r="N61" s="25" t="str">
        <f>HYPERLINK("http://slimages.macys.com/is/image/MCY/21068983 ")</f>
        <v xml:space="preserve">http://slimages.macys.com/is/image/MCY/21068983 </v>
      </c>
    </row>
    <row r="62" spans="1:14" x14ac:dyDescent="0.25">
      <c r="A62" s="21" t="s">
        <v>4165</v>
      </c>
      <c r="B62" s="22" t="s">
        <v>4166</v>
      </c>
      <c r="C62" s="2">
        <v>1</v>
      </c>
      <c r="D62" s="23">
        <v>29.99</v>
      </c>
      <c r="E62" s="3">
        <v>29.99</v>
      </c>
      <c r="F62" s="2" t="s">
        <v>4167</v>
      </c>
      <c r="G62" s="22" t="s">
        <v>19342</v>
      </c>
      <c r="H62" s="24" t="s">
        <v>19478</v>
      </c>
      <c r="I62" s="22" t="s">
        <v>19309</v>
      </c>
      <c r="J62" s="22" t="s">
        <v>19696</v>
      </c>
      <c r="K62" s="22" t="s">
        <v>19697</v>
      </c>
      <c r="L62" s="22"/>
      <c r="M62" s="22"/>
      <c r="N62" s="25" t="str">
        <f>HYPERLINK("http://slimages.macys.com/is/image/MCY/21696378 ")</f>
        <v xml:space="preserve">http://slimages.macys.com/is/image/MCY/21696378 </v>
      </c>
    </row>
    <row r="63" spans="1:14" ht="24.75" x14ac:dyDescent="0.25">
      <c r="A63" s="21" t="s">
        <v>4168</v>
      </c>
      <c r="B63" s="22" t="s">
        <v>4169</v>
      </c>
      <c r="C63" s="2">
        <v>1</v>
      </c>
      <c r="D63" s="23">
        <v>19.22</v>
      </c>
      <c r="E63" s="3">
        <v>19.22</v>
      </c>
      <c r="F63" s="2" t="s">
        <v>10342</v>
      </c>
      <c r="G63" s="22" t="s">
        <v>19357</v>
      </c>
      <c r="H63" s="24" t="s">
        <v>20232</v>
      </c>
      <c r="I63" s="22" t="s">
        <v>19309</v>
      </c>
      <c r="J63" s="22" t="s">
        <v>19514</v>
      </c>
      <c r="K63" s="22" t="s">
        <v>18514</v>
      </c>
      <c r="L63" s="22"/>
      <c r="M63" s="22"/>
      <c r="N63" s="25" t="str">
        <f>HYPERLINK("http://slimages.macys.com/is/image/MCY/21374452 ")</f>
        <v xml:space="preserve">http://slimages.macys.com/is/image/MCY/21374452 </v>
      </c>
    </row>
    <row r="64" spans="1:14" x14ac:dyDescent="0.25">
      <c r="A64" s="21" t="s">
        <v>4170</v>
      </c>
      <c r="B64" s="22" t="s">
        <v>4171</v>
      </c>
      <c r="C64" s="2">
        <v>1</v>
      </c>
      <c r="D64" s="23">
        <v>27.99</v>
      </c>
      <c r="E64" s="3">
        <v>27.99</v>
      </c>
      <c r="F64" s="2">
        <v>1134</v>
      </c>
      <c r="G64" s="22" t="s">
        <v>19404</v>
      </c>
      <c r="H64" s="24"/>
      <c r="I64" s="22" t="s">
        <v>19309</v>
      </c>
      <c r="J64" s="22" t="s">
        <v>19696</v>
      </c>
      <c r="K64" s="22" t="s">
        <v>8212</v>
      </c>
      <c r="L64" s="22"/>
      <c r="M64" s="22"/>
      <c r="N64" s="25" t="str">
        <f>HYPERLINK("http://slimages.macys.com/is/image/MCY/20586557 ")</f>
        <v xml:space="preserve">http://slimages.macys.com/is/image/MCY/20586557 </v>
      </c>
    </row>
    <row r="65" spans="1:14" x14ac:dyDescent="0.25">
      <c r="A65" s="21" t="s">
        <v>5540</v>
      </c>
      <c r="B65" s="22" t="s">
        <v>5541</v>
      </c>
      <c r="C65" s="2">
        <v>1</v>
      </c>
      <c r="D65" s="23">
        <v>22.99</v>
      </c>
      <c r="E65" s="3">
        <v>22.99</v>
      </c>
      <c r="F65" s="2" t="s">
        <v>19626</v>
      </c>
      <c r="G65" s="22" t="s">
        <v>19315</v>
      </c>
      <c r="H65" s="24" t="s">
        <v>19352</v>
      </c>
      <c r="I65" s="22" t="s">
        <v>19309</v>
      </c>
      <c r="J65" s="22" t="s">
        <v>19310</v>
      </c>
      <c r="K65" s="22" t="s">
        <v>19529</v>
      </c>
      <c r="L65" s="22"/>
      <c r="M65" s="22"/>
      <c r="N65" s="25" t="str">
        <f>HYPERLINK("http://slimages.macys.com/is/image/MCY/21646843 ")</f>
        <v xml:space="preserve">http://slimages.macys.com/is/image/MCY/21646843 </v>
      </c>
    </row>
    <row r="66" spans="1:14" x14ac:dyDescent="0.25">
      <c r="A66" s="21" t="s">
        <v>4172</v>
      </c>
      <c r="B66" s="22" t="s">
        <v>4173</v>
      </c>
      <c r="C66" s="2">
        <v>1</v>
      </c>
      <c r="D66" s="23">
        <v>22.99</v>
      </c>
      <c r="E66" s="3">
        <v>22.99</v>
      </c>
      <c r="F66" s="2" t="s">
        <v>4174</v>
      </c>
      <c r="G66" s="22" t="s">
        <v>19630</v>
      </c>
      <c r="H66" s="24" t="s">
        <v>19364</v>
      </c>
      <c r="I66" s="22" t="s">
        <v>19309</v>
      </c>
      <c r="J66" s="22" t="s">
        <v>19310</v>
      </c>
      <c r="K66" s="22" t="s">
        <v>19631</v>
      </c>
      <c r="L66" s="22"/>
      <c r="M66" s="22"/>
      <c r="N66" s="25" t="str">
        <f>HYPERLINK("http://slimages.macys.com/is/image/MCY/21118515 ")</f>
        <v xml:space="preserve">http://slimages.macys.com/is/image/MCY/21118515 </v>
      </c>
    </row>
    <row r="67" spans="1:14" x14ac:dyDescent="0.25">
      <c r="A67" s="21" t="s">
        <v>4175</v>
      </c>
      <c r="B67" s="22" t="s">
        <v>4176</v>
      </c>
      <c r="C67" s="2">
        <v>1</v>
      </c>
      <c r="D67" s="23">
        <v>22.99</v>
      </c>
      <c r="E67" s="3">
        <v>22.99</v>
      </c>
      <c r="F67" s="2" t="s">
        <v>4174</v>
      </c>
      <c r="G67" s="22" t="s">
        <v>19630</v>
      </c>
      <c r="H67" s="24" t="s">
        <v>19352</v>
      </c>
      <c r="I67" s="22" t="s">
        <v>19309</v>
      </c>
      <c r="J67" s="22" t="s">
        <v>19310</v>
      </c>
      <c r="K67" s="22" t="s">
        <v>19631</v>
      </c>
      <c r="L67" s="22"/>
      <c r="M67" s="22"/>
      <c r="N67" s="25" t="str">
        <f>HYPERLINK("http://slimages.macys.com/is/image/MCY/21118515 ")</f>
        <v xml:space="preserve">http://slimages.macys.com/is/image/MCY/21118515 </v>
      </c>
    </row>
    <row r="68" spans="1:14" x14ac:dyDescent="0.25">
      <c r="A68" s="21" t="s">
        <v>10343</v>
      </c>
      <c r="B68" s="22" t="s">
        <v>10344</v>
      </c>
      <c r="C68" s="2">
        <v>1</v>
      </c>
      <c r="D68" s="23">
        <v>19.22</v>
      </c>
      <c r="E68" s="3">
        <v>19.22</v>
      </c>
      <c r="F68" s="2" t="s">
        <v>15665</v>
      </c>
      <c r="G68" s="22" t="s">
        <v>19467</v>
      </c>
      <c r="H68" s="24" t="s">
        <v>20232</v>
      </c>
      <c r="I68" s="22" t="s">
        <v>19309</v>
      </c>
      <c r="J68" s="22" t="s">
        <v>19514</v>
      </c>
      <c r="K68" s="22" t="s">
        <v>18514</v>
      </c>
      <c r="L68" s="22"/>
      <c r="M68" s="22"/>
      <c r="N68" s="25" t="str">
        <f>HYPERLINK("http://slimages.macys.com/is/image/MCY/21374448 ")</f>
        <v xml:space="preserve">http://slimages.macys.com/is/image/MCY/21374448 </v>
      </c>
    </row>
    <row r="69" spans="1:14" x14ac:dyDescent="0.25">
      <c r="A69" s="21" t="s">
        <v>4177</v>
      </c>
      <c r="B69" s="22" t="s">
        <v>4178</v>
      </c>
      <c r="C69" s="2">
        <v>1</v>
      </c>
      <c r="D69" s="23">
        <v>19.22</v>
      </c>
      <c r="E69" s="3">
        <v>19.22</v>
      </c>
      <c r="F69" s="2" t="s">
        <v>4179</v>
      </c>
      <c r="G69" s="22" t="s">
        <v>19763</v>
      </c>
      <c r="H69" s="24" t="s">
        <v>19361</v>
      </c>
      <c r="I69" s="22" t="s">
        <v>19309</v>
      </c>
      <c r="J69" s="22" t="s">
        <v>19514</v>
      </c>
      <c r="K69" s="22" t="s">
        <v>18514</v>
      </c>
      <c r="L69" s="22"/>
      <c r="M69" s="22"/>
      <c r="N69" s="25" t="str">
        <f>HYPERLINK("http://slimages.macys.com/is/image/MCY/21374450 ")</f>
        <v xml:space="preserve">http://slimages.macys.com/is/image/MCY/21374450 </v>
      </c>
    </row>
    <row r="70" spans="1:14" ht="24.75" x14ac:dyDescent="0.25">
      <c r="A70" s="21" t="s">
        <v>4180</v>
      </c>
      <c r="B70" s="22" t="s">
        <v>4181</v>
      </c>
      <c r="C70" s="2">
        <v>1</v>
      </c>
      <c r="D70" s="23">
        <v>23.99</v>
      </c>
      <c r="E70" s="3">
        <v>23.99</v>
      </c>
      <c r="F70" s="2" t="s">
        <v>5539</v>
      </c>
      <c r="G70" s="22" t="s">
        <v>19674</v>
      </c>
      <c r="H70" s="24" t="s">
        <v>19377</v>
      </c>
      <c r="I70" s="22" t="s">
        <v>19309</v>
      </c>
      <c r="J70" s="22" t="s">
        <v>19447</v>
      </c>
      <c r="K70" s="22" t="s">
        <v>19463</v>
      </c>
      <c r="L70" s="22"/>
      <c r="M70" s="22"/>
      <c r="N70" s="25" t="str">
        <f>HYPERLINK("http://slimages.macys.com/is/image/MCY/21681606 ")</f>
        <v xml:space="preserve">http://slimages.macys.com/is/image/MCY/21681606 </v>
      </c>
    </row>
    <row r="71" spans="1:14" x14ac:dyDescent="0.25">
      <c r="A71" s="21" t="s">
        <v>4182</v>
      </c>
      <c r="B71" s="22" t="s">
        <v>4183</v>
      </c>
      <c r="C71" s="2">
        <v>1</v>
      </c>
      <c r="D71" s="23">
        <v>19.22</v>
      </c>
      <c r="E71" s="3">
        <v>19.22</v>
      </c>
      <c r="F71" s="2" t="s">
        <v>4184</v>
      </c>
      <c r="G71" s="22" t="s">
        <v>19467</v>
      </c>
      <c r="H71" s="24" t="s">
        <v>20232</v>
      </c>
      <c r="I71" s="22" t="s">
        <v>19309</v>
      </c>
      <c r="J71" s="22" t="s">
        <v>19514</v>
      </c>
      <c r="K71" s="22" t="s">
        <v>18514</v>
      </c>
      <c r="L71" s="22"/>
      <c r="M71" s="22"/>
      <c r="N71" s="25" t="str">
        <f>HYPERLINK("http://slimages.macys.com/is/image/MCY/21374439 ")</f>
        <v xml:space="preserve">http://slimages.macys.com/is/image/MCY/21374439 </v>
      </c>
    </row>
    <row r="72" spans="1:14" ht="24.75" x14ac:dyDescent="0.25">
      <c r="A72" s="21" t="s">
        <v>7356</v>
      </c>
      <c r="B72" s="22" t="s">
        <v>7357</v>
      </c>
      <c r="C72" s="2">
        <v>2</v>
      </c>
      <c r="D72" s="23">
        <v>32.99</v>
      </c>
      <c r="E72" s="3">
        <v>65.98</v>
      </c>
      <c r="F72" s="2" t="s">
        <v>12922</v>
      </c>
      <c r="G72" s="22" t="s">
        <v>19404</v>
      </c>
      <c r="H72" s="24" t="s">
        <v>19352</v>
      </c>
      <c r="I72" s="22" t="s">
        <v>19309</v>
      </c>
      <c r="J72" s="22" t="s">
        <v>19595</v>
      </c>
      <c r="K72" s="22" t="s">
        <v>19423</v>
      </c>
      <c r="L72" s="22"/>
      <c r="M72" s="22"/>
      <c r="N72" s="25" t="str">
        <f>HYPERLINK("http://slimages.macys.com/is/image/MCY/21398445 ")</f>
        <v xml:space="preserve">http://slimages.macys.com/is/image/MCY/21398445 </v>
      </c>
    </row>
    <row r="73" spans="1:14" x14ac:dyDescent="0.25">
      <c r="A73" s="21" t="s">
        <v>4185</v>
      </c>
      <c r="B73" s="22" t="s">
        <v>4186</v>
      </c>
      <c r="C73" s="2">
        <v>1</v>
      </c>
      <c r="D73" s="23">
        <v>19.22</v>
      </c>
      <c r="E73" s="3">
        <v>19.22</v>
      </c>
      <c r="F73" s="2" t="s">
        <v>15668</v>
      </c>
      <c r="G73" s="22" t="s">
        <v>19618</v>
      </c>
      <c r="H73" s="24" t="s">
        <v>20232</v>
      </c>
      <c r="I73" s="22" t="s">
        <v>19309</v>
      </c>
      <c r="J73" s="22" t="s">
        <v>19514</v>
      </c>
      <c r="K73" s="22" t="s">
        <v>18514</v>
      </c>
      <c r="L73" s="22"/>
      <c r="M73" s="22"/>
      <c r="N73" s="25" t="str">
        <f>HYPERLINK("http://slimages.macys.com/is/image/MCY/21374454 ")</f>
        <v xml:space="preserve">http://slimages.macys.com/is/image/MCY/21374454 </v>
      </c>
    </row>
    <row r="74" spans="1:14" ht="24.75" x14ac:dyDescent="0.25">
      <c r="A74" s="21" t="s">
        <v>4187</v>
      </c>
      <c r="B74" s="22" t="s">
        <v>4188</v>
      </c>
      <c r="C74" s="2">
        <v>1</v>
      </c>
      <c r="D74" s="23">
        <v>25.99</v>
      </c>
      <c r="E74" s="3">
        <v>25.99</v>
      </c>
      <c r="F74" s="2" t="s">
        <v>11806</v>
      </c>
      <c r="G74" s="22" t="s">
        <v>19431</v>
      </c>
      <c r="H74" s="24" t="s">
        <v>19330</v>
      </c>
      <c r="I74" s="22" t="s">
        <v>19309</v>
      </c>
      <c r="J74" s="22" t="s">
        <v>19573</v>
      </c>
      <c r="K74" s="22" t="s">
        <v>19574</v>
      </c>
      <c r="L74" s="22"/>
      <c r="M74" s="22"/>
      <c r="N74" s="25" t="str">
        <f>HYPERLINK("http://slimages.macys.com/is/image/MCY/1041651 ")</f>
        <v xml:space="preserve">http://slimages.macys.com/is/image/MCY/1041651 </v>
      </c>
    </row>
    <row r="75" spans="1:14" ht="24.75" x14ac:dyDescent="0.25">
      <c r="A75" s="21" t="s">
        <v>4189</v>
      </c>
      <c r="B75" s="22" t="s">
        <v>4190</v>
      </c>
      <c r="C75" s="2">
        <v>1</v>
      </c>
      <c r="D75" s="23">
        <v>42.5</v>
      </c>
      <c r="E75" s="3">
        <v>42.5</v>
      </c>
      <c r="F75" s="2" t="s">
        <v>4191</v>
      </c>
      <c r="G75" s="22" t="s">
        <v>19383</v>
      </c>
      <c r="H75" s="24" t="s">
        <v>11751</v>
      </c>
      <c r="I75" s="22" t="s">
        <v>19309</v>
      </c>
      <c r="J75" s="22" t="s">
        <v>12174</v>
      </c>
      <c r="K75" s="22" t="s">
        <v>19546</v>
      </c>
      <c r="L75" s="22"/>
      <c r="M75" s="22"/>
      <c r="N75" s="25" t="str">
        <f>HYPERLINK("http://slimages.macys.com/is/image/MCY/21262506 ")</f>
        <v xml:space="preserve">http://slimages.macys.com/is/image/MCY/21262506 </v>
      </c>
    </row>
    <row r="76" spans="1:14" x14ac:dyDescent="0.25">
      <c r="A76" s="21" t="s">
        <v>19640</v>
      </c>
      <c r="B76" s="22" t="s">
        <v>19641</v>
      </c>
      <c r="C76" s="2">
        <v>2</v>
      </c>
      <c r="D76" s="23">
        <v>23.22</v>
      </c>
      <c r="E76" s="3">
        <v>46.44</v>
      </c>
      <c r="F76" s="2" t="s">
        <v>19642</v>
      </c>
      <c r="G76" s="22" t="s">
        <v>19342</v>
      </c>
      <c r="H76" s="24" t="s">
        <v>19345</v>
      </c>
      <c r="I76" s="22" t="s">
        <v>19309</v>
      </c>
      <c r="J76" s="22" t="s">
        <v>19514</v>
      </c>
      <c r="K76" s="22" t="s">
        <v>19639</v>
      </c>
      <c r="L76" s="22"/>
      <c r="M76" s="22"/>
      <c r="N76" s="25" t="str">
        <f>HYPERLINK("http://slimages.macys.com/is/image/MCY/21700827 ")</f>
        <v xml:space="preserve">http://slimages.macys.com/is/image/MCY/21700827 </v>
      </c>
    </row>
    <row r="77" spans="1:14" ht="24.75" x14ac:dyDescent="0.25">
      <c r="A77" s="21" t="s">
        <v>4192</v>
      </c>
      <c r="B77" s="22" t="s">
        <v>4193</v>
      </c>
      <c r="C77" s="2">
        <v>1</v>
      </c>
      <c r="D77" s="23">
        <v>34</v>
      </c>
      <c r="E77" s="3">
        <v>34</v>
      </c>
      <c r="F77" s="2" t="s">
        <v>4194</v>
      </c>
      <c r="G77" s="22" t="s">
        <v>19518</v>
      </c>
      <c r="H77" s="24" t="s">
        <v>19542</v>
      </c>
      <c r="I77" s="22" t="s">
        <v>19309</v>
      </c>
      <c r="J77" s="22" t="s">
        <v>19519</v>
      </c>
      <c r="K77" s="22" t="s">
        <v>19520</v>
      </c>
      <c r="L77" s="22"/>
      <c r="M77" s="22"/>
      <c r="N77" s="25" t="str">
        <f>HYPERLINK("http://slimages.macys.com/is/image/MCY/21190782 ")</f>
        <v xml:space="preserve">http://slimages.macys.com/is/image/MCY/21190782 </v>
      </c>
    </row>
    <row r="78" spans="1:14" ht="24.75" x14ac:dyDescent="0.25">
      <c r="A78" s="21" t="s">
        <v>10886</v>
      </c>
      <c r="B78" s="22" t="s">
        <v>10887</v>
      </c>
      <c r="C78" s="2">
        <v>1</v>
      </c>
      <c r="D78" s="23">
        <v>24.99</v>
      </c>
      <c r="E78" s="3">
        <v>24.99</v>
      </c>
      <c r="F78" s="2" t="s">
        <v>10888</v>
      </c>
      <c r="G78" s="22" t="s">
        <v>19333</v>
      </c>
      <c r="H78" s="24" t="s">
        <v>19538</v>
      </c>
      <c r="I78" s="22" t="s">
        <v>19309</v>
      </c>
      <c r="J78" s="22" t="s">
        <v>19385</v>
      </c>
      <c r="K78" s="22" t="s">
        <v>19386</v>
      </c>
      <c r="L78" s="22"/>
      <c r="M78" s="22"/>
      <c r="N78" s="25" t="str">
        <f>HYPERLINK("http://slimages.macys.com/is/image/MCY/21313489 ")</f>
        <v xml:space="preserve">http://slimages.macys.com/is/image/MCY/21313489 </v>
      </c>
    </row>
    <row r="79" spans="1:14" ht="24.75" x14ac:dyDescent="0.25">
      <c r="A79" s="21" t="s">
        <v>4195</v>
      </c>
      <c r="B79" s="22" t="s">
        <v>4196</v>
      </c>
      <c r="C79" s="2">
        <v>1</v>
      </c>
      <c r="D79" s="23">
        <v>27.99</v>
      </c>
      <c r="E79" s="3">
        <v>27.99</v>
      </c>
      <c r="F79" s="2" t="s">
        <v>4197</v>
      </c>
      <c r="G79" s="22" t="s">
        <v>19342</v>
      </c>
      <c r="H79" s="24" t="s">
        <v>19399</v>
      </c>
      <c r="I79" s="22" t="s">
        <v>19309</v>
      </c>
      <c r="J79" s="22" t="s">
        <v>19595</v>
      </c>
      <c r="K79" s="22" t="s">
        <v>18033</v>
      </c>
      <c r="L79" s="22"/>
      <c r="M79" s="22"/>
      <c r="N79" s="25" t="str">
        <f>HYPERLINK("http://slimages.macys.com/is/image/MCY/19448031 ")</f>
        <v xml:space="preserve">http://slimages.macys.com/is/image/MCY/19448031 </v>
      </c>
    </row>
    <row r="80" spans="1:14" ht="24.75" x14ac:dyDescent="0.25">
      <c r="A80" s="21" t="s">
        <v>4198</v>
      </c>
      <c r="B80" s="22" t="s">
        <v>4199</v>
      </c>
      <c r="C80" s="2">
        <v>1</v>
      </c>
      <c r="D80" s="23">
        <v>24.99</v>
      </c>
      <c r="E80" s="3">
        <v>24.99</v>
      </c>
      <c r="F80" s="2" t="s">
        <v>4200</v>
      </c>
      <c r="G80" s="22" t="s">
        <v>19342</v>
      </c>
      <c r="H80" s="24" t="s">
        <v>19324</v>
      </c>
      <c r="I80" s="22" t="s">
        <v>19309</v>
      </c>
      <c r="J80" s="22" t="s">
        <v>19491</v>
      </c>
      <c r="K80" s="22" t="s">
        <v>19554</v>
      </c>
      <c r="L80" s="22"/>
      <c r="M80" s="22"/>
      <c r="N80" s="25" t="str">
        <f>HYPERLINK("http://slimages.macys.com/is/image/MCY/20123026 ")</f>
        <v xml:space="preserve">http://slimages.macys.com/is/image/MCY/20123026 </v>
      </c>
    </row>
    <row r="81" spans="1:14" x14ac:dyDescent="0.25">
      <c r="A81" s="21" t="s">
        <v>11462</v>
      </c>
      <c r="B81" s="22" t="s">
        <v>11463</v>
      </c>
      <c r="C81" s="2">
        <v>1</v>
      </c>
      <c r="D81" s="23">
        <v>16.989999999999998</v>
      </c>
      <c r="E81" s="3">
        <v>16.989999999999998</v>
      </c>
      <c r="F81" s="2" t="s">
        <v>17768</v>
      </c>
      <c r="G81" s="22" t="s">
        <v>19467</v>
      </c>
      <c r="H81" s="24" t="s">
        <v>19334</v>
      </c>
      <c r="I81" s="22" t="s">
        <v>19309</v>
      </c>
      <c r="J81" s="22" t="s">
        <v>19310</v>
      </c>
      <c r="K81" s="22" t="s">
        <v>19468</v>
      </c>
      <c r="L81" s="22"/>
      <c r="M81" s="22"/>
      <c r="N81" s="25" t="str">
        <f>HYPERLINK("http://slimages.macys.com/is/image/MCY/20663245 ")</f>
        <v xml:space="preserve">http://slimages.macys.com/is/image/MCY/20663245 </v>
      </c>
    </row>
    <row r="82" spans="1:14" ht="24.75" x14ac:dyDescent="0.25">
      <c r="A82" s="21" t="s">
        <v>4201</v>
      </c>
      <c r="B82" s="22" t="s">
        <v>4202</v>
      </c>
      <c r="C82" s="2">
        <v>1</v>
      </c>
      <c r="D82" s="23">
        <v>34.99</v>
      </c>
      <c r="E82" s="3">
        <v>34.99</v>
      </c>
      <c r="F82" s="2" t="s">
        <v>10373</v>
      </c>
      <c r="G82" s="22" t="s">
        <v>19906</v>
      </c>
      <c r="H82" s="24" t="s">
        <v>19542</v>
      </c>
      <c r="I82" s="22" t="s">
        <v>19309</v>
      </c>
      <c r="J82" s="22" t="s">
        <v>19454</v>
      </c>
      <c r="K82" s="22" t="s">
        <v>19524</v>
      </c>
      <c r="L82" s="22"/>
      <c r="M82" s="22"/>
      <c r="N82" s="25" t="str">
        <f>HYPERLINK("http://slimages.macys.com/is/image/MCY/1473054 ")</f>
        <v xml:space="preserve">http://slimages.macys.com/is/image/MCY/1473054 </v>
      </c>
    </row>
    <row r="83" spans="1:14" ht="24.75" x14ac:dyDescent="0.25">
      <c r="A83" s="21" t="s">
        <v>8219</v>
      </c>
      <c r="B83" s="22" t="s">
        <v>8220</v>
      </c>
      <c r="C83" s="2">
        <v>1</v>
      </c>
      <c r="D83" s="23">
        <v>34.99</v>
      </c>
      <c r="E83" s="3">
        <v>34.99</v>
      </c>
      <c r="F83" s="2" t="s">
        <v>8221</v>
      </c>
      <c r="G83" s="22" t="s">
        <v>19670</v>
      </c>
      <c r="H83" s="24" t="s">
        <v>19542</v>
      </c>
      <c r="I83" s="22" t="s">
        <v>19309</v>
      </c>
      <c r="J83" s="22" t="s">
        <v>19454</v>
      </c>
      <c r="K83" s="22" t="s">
        <v>19524</v>
      </c>
      <c r="L83" s="22"/>
      <c r="M83" s="22"/>
      <c r="N83" s="25" t="str">
        <f>HYPERLINK("http://slimages.macys.com/is/image/MCY/1473054 ")</f>
        <v xml:space="preserve">http://slimages.macys.com/is/image/MCY/1473054 </v>
      </c>
    </row>
    <row r="84" spans="1:14" x14ac:dyDescent="0.25">
      <c r="A84" s="21" t="s">
        <v>4203</v>
      </c>
      <c r="B84" s="22" t="s">
        <v>4204</v>
      </c>
      <c r="C84" s="2">
        <v>1</v>
      </c>
      <c r="D84" s="23">
        <v>20.99</v>
      </c>
      <c r="E84" s="3">
        <v>20.99</v>
      </c>
      <c r="F84" s="2" t="s">
        <v>4205</v>
      </c>
      <c r="G84" s="22" t="s">
        <v>19404</v>
      </c>
      <c r="H84" s="24" t="s">
        <v>19334</v>
      </c>
      <c r="I84" s="22" t="s">
        <v>19309</v>
      </c>
      <c r="J84" s="22" t="s">
        <v>19310</v>
      </c>
      <c r="K84" s="22" t="s">
        <v>19433</v>
      </c>
      <c r="L84" s="22"/>
      <c r="M84" s="22"/>
      <c r="N84" s="25" t="str">
        <f>HYPERLINK("http://slimages.macys.com/is/image/MCY/19688232 ")</f>
        <v xml:space="preserve">http://slimages.macys.com/is/image/MCY/19688232 </v>
      </c>
    </row>
    <row r="85" spans="1:14" x14ac:dyDescent="0.25">
      <c r="A85" s="21" t="s">
        <v>4206</v>
      </c>
      <c r="B85" s="22" t="s">
        <v>4207</v>
      </c>
      <c r="C85" s="2">
        <v>1</v>
      </c>
      <c r="D85" s="23">
        <v>34.5</v>
      </c>
      <c r="E85" s="3">
        <v>34.5</v>
      </c>
      <c r="F85" s="2" t="s">
        <v>4208</v>
      </c>
      <c r="G85" s="22" t="s">
        <v>19315</v>
      </c>
      <c r="H85" s="24" t="s">
        <v>19395</v>
      </c>
      <c r="I85" s="22" t="s">
        <v>19309</v>
      </c>
      <c r="J85" s="22" t="s">
        <v>19688</v>
      </c>
      <c r="K85" s="22" t="s">
        <v>19614</v>
      </c>
      <c r="L85" s="22"/>
      <c r="M85" s="22"/>
      <c r="N85" s="25" t="str">
        <f>HYPERLINK("http://slimages.macys.com/is/image/MCY/19902796 ")</f>
        <v xml:space="preserve">http://slimages.macys.com/is/image/MCY/19902796 </v>
      </c>
    </row>
    <row r="86" spans="1:14" ht="24.75" x14ac:dyDescent="0.25">
      <c r="A86" s="21" t="s">
        <v>4209</v>
      </c>
      <c r="B86" s="22" t="s">
        <v>4210</v>
      </c>
      <c r="C86" s="2">
        <v>1</v>
      </c>
      <c r="D86" s="23">
        <v>26.99</v>
      </c>
      <c r="E86" s="3">
        <v>26.99</v>
      </c>
      <c r="F86" s="2" t="s">
        <v>4211</v>
      </c>
      <c r="G86" s="22" t="s">
        <v>19315</v>
      </c>
      <c r="H86" s="24" t="s">
        <v>18139</v>
      </c>
      <c r="I86" s="22" t="s">
        <v>19309</v>
      </c>
      <c r="J86" s="22" t="s">
        <v>19519</v>
      </c>
      <c r="K86" s="22" t="s">
        <v>4212</v>
      </c>
      <c r="L86" s="22"/>
      <c r="M86" s="22"/>
      <c r="N86" s="25" t="str">
        <f>HYPERLINK("http://slimages.macys.com/is/image/MCY/21034820 ")</f>
        <v xml:space="preserve">http://slimages.macys.com/is/image/MCY/21034820 </v>
      </c>
    </row>
    <row r="87" spans="1:14" ht="24.75" x14ac:dyDescent="0.25">
      <c r="A87" s="21" t="s">
        <v>15708</v>
      </c>
      <c r="B87" s="22" t="s">
        <v>15709</v>
      </c>
      <c r="C87" s="2">
        <v>1</v>
      </c>
      <c r="D87" s="23">
        <v>23.99</v>
      </c>
      <c r="E87" s="3">
        <v>23.99</v>
      </c>
      <c r="F87" s="2" t="s">
        <v>15710</v>
      </c>
      <c r="G87" s="22" t="s">
        <v>19351</v>
      </c>
      <c r="H87" s="24" t="s">
        <v>19324</v>
      </c>
      <c r="I87" s="22" t="s">
        <v>19309</v>
      </c>
      <c r="J87" s="22" t="s">
        <v>19573</v>
      </c>
      <c r="K87" s="22" t="s">
        <v>19574</v>
      </c>
      <c r="L87" s="22"/>
      <c r="M87" s="22"/>
      <c r="N87" s="25" t="str">
        <f>HYPERLINK("http://slimages.macys.com/is/image/MCY/20753432 ")</f>
        <v xml:space="preserve">http://slimages.macys.com/is/image/MCY/20753432 </v>
      </c>
    </row>
    <row r="88" spans="1:14" x14ac:dyDescent="0.25">
      <c r="A88" s="21" t="s">
        <v>10374</v>
      </c>
      <c r="B88" s="22" t="s">
        <v>10375</v>
      </c>
      <c r="C88" s="2">
        <v>1</v>
      </c>
      <c r="D88" s="23">
        <v>27.99</v>
      </c>
      <c r="E88" s="3">
        <v>27.99</v>
      </c>
      <c r="F88" s="2" t="s">
        <v>17777</v>
      </c>
      <c r="G88" s="22" t="s">
        <v>19342</v>
      </c>
      <c r="H88" s="24" t="s">
        <v>19334</v>
      </c>
      <c r="I88" s="22" t="s">
        <v>19309</v>
      </c>
      <c r="J88" s="22" t="s">
        <v>19696</v>
      </c>
      <c r="K88" s="22" t="s">
        <v>19697</v>
      </c>
      <c r="L88" s="22"/>
      <c r="M88" s="22"/>
      <c r="N88" s="25" t="str">
        <f>HYPERLINK("http://slimages.macys.com/is/image/MCY/21364964 ")</f>
        <v xml:space="preserve">http://slimages.macys.com/is/image/MCY/21364964 </v>
      </c>
    </row>
    <row r="89" spans="1:14" ht="24.75" x14ac:dyDescent="0.25">
      <c r="A89" s="21" t="s">
        <v>19690</v>
      </c>
      <c r="B89" s="22" t="s">
        <v>19691</v>
      </c>
      <c r="C89" s="2">
        <v>1</v>
      </c>
      <c r="D89" s="23">
        <v>19.989999999999998</v>
      </c>
      <c r="E89" s="3">
        <v>19.989999999999998</v>
      </c>
      <c r="F89" s="2" t="s">
        <v>19692</v>
      </c>
      <c r="G89" s="22" t="s">
        <v>19315</v>
      </c>
      <c r="H89" s="24"/>
      <c r="I89" s="22" t="s">
        <v>19309</v>
      </c>
      <c r="J89" s="22" t="s">
        <v>19573</v>
      </c>
      <c r="K89" s="22" t="s">
        <v>19574</v>
      </c>
      <c r="L89" s="22"/>
      <c r="M89" s="22"/>
      <c r="N89" s="25" t="str">
        <f>HYPERLINK("http://slimages.macys.com/is/image/MCY/21731432 ")</f>
        <v xml:space="preserve">http://slimages.macys.com/is/image/MCY/21731432 </v>
      </c>
    </row>
    <row r="90" spans="1:14" x14ac:dyDescent="0.25">
      <c r="A90" s="21" t="s">
        <v>19693</v>
      </c>
      <c r="B90" s="22" t="s">
        <v>19694</v>
      </c>
      <c r="C90" s="2">
        <v>1</v>
      </c>
      <c r="D90" s="23">
        <v>27.99</v>
      </c>
      <c r="E90" s="3">
        <v>27.99</v>
      </c>
      <c r="F90" s="2" t="s">
        <v>19695</v>
      </c>
      <c r="G90" s="22" t="s">
        <v>19342</v>
      </c>
      <c r="H90" s="24" t="s">
        <v>19392</v>
      </c>
      <c r="I90" s="22" t="s">
        <v>19309</v>
      </c>
      <c r="J90" s="22" t="s">
        <v>19696</v>
      </c>
      <c r="K90" s="22" t="s">
        <v>19697</v>
      </c>
      <c r="L90" s="22"/>
      <c r="M90" s="22"/>
      <c r="N90" s="25" t="str">
        <f>HYPERLINK("http://slimages.macys.com/is/image/MCY/21622676 ")</f>
        <v xml:space="preserve">http://slimages.macys.com/is/image/MCY/21622676 </v>
      </c>
    </row>
    <row r="91" spans="1:14" x14ac:dyDescent="0.25">
      <c r="A91" s="21" t="s">
        <v>12941</v>
      </c>
      <c r="B91" s="22" t="s">
        <v>12942</v>
      </c>
      <c r="C91" s="2">
        <v>2</v>
      </c>
      <c r="D91" s="23">
        <v>27.99</v>
      </c>
      <c r="E91" s="3">
        <v>55.98</v>
      </c>
      <c r="F91" s="2" t="s">
        <v>19695</v>
      </c>
      <c r="G91" s="22" t="s">
        <v>19342</v>
      </c>
      <c r="H91" s="24" t="s">
        <v>19345</v>
      </c>
      <c r="I91" s="22" t="s">
        <v>19309</v>
      </c>
      <c r="J91" s="22" t="s">
        <v>19696</v>
      </c>
      <c r="K91" s="22" t="s">
        <v>19697</v>
      </c>
      <c r="L91" s="22"/>
      <c r="M91" s="22"/>
      <c r="N91" s="25" t="str">
        <f>HYPERLINK("http://slimages.macys.com/is/image/MCY/21622676 ")</f>
        <v xml:space="preserve">http://slimages.macys.com/is/image/MCY/21622676 </v>
      </c>
    </row>
    <row r="92" spans="1:14" x14ac:dyDescent="0.25">
      <c r="A92" s="21" t="s">
        <v>17775</v>
      </c>
      <c r="B92" s="22" t="s">
        <v>17776</v>
      </c>
      <c r="C92" s="2">
        <v>1</v>
      </c>
      <c r="D92" s="23">
        <v>27.99</v>
      </c>
      <c r="E92" s="3">
        <v>27.99</v>
      </c>
      <c r="F92" s="2" t="s">
        <v>17777</v>
      </c>
      <c r="G92" s="22" t="s">
        <v>19342</v>
      </c>
      <c r="H92" s="24" t="s">
        <v>19345</v>
      </c>
      <c r="I92" s="22" t="s">
        <v>19309</v>
      </c>
      <c r="J92" s="22" t="s">
        <v>19696</v>
      </c>
      <c r="K92" s="22" t="s">
        <v>19697</v>
      </c>
      <c r="L92" s="22"/>
      <c r="M92" s="22"/>
      <c r="N92" s="25" t="str">
        <f>HYPERLINK("http://slimages.macys.com/is/image/MCY/21364964 ")</f>
        <v xml:space="preserve">http://slimages.macys.com/is/image/MCY/21364964 </v>
      </c>
    </row>
    <row r="93" spans="1:14" ht="24.75" x14ac:dyDescent="0.25">
      <c r="A93" s="21" t="s">
        <v>4213</v>
      </c>
      <c r="B93" s="22" t="s">
        <v>4214</v>
      </c>
      <c r="C93" s="2">
        <v>1</v>
      </c>
      <c r="D93" s="23">
        <v>34</v>
      </c>
      <c r="E93" s="3">
        <v>34</v>
      </c>
      <c r="F93" s="2" t="s">
        <v>4215</v>
      </c>
      <c r="G93" s="22" t="s">
        <v>19518</v>
      </c>
      <c r="H93" s="24" t="s">
        <v>17327</v>
      </c>
      <c r="I93" s="22" t="s">
        <v>19309</v>
      </c>
      <c r="J93" s="22" t="s">
        <v>17328</v>
      </c>
      <c r="K93" s="22" t="s">
        <v>17329</v>
      </c>
      <c r="L93" s="22" t="s">
        <v>19319</v>
      </c>
      <c r="M93" s="22" t="s">
        <v>4216</v>
      </c>
      <c r="N93" s="25" t="str">
        <f>HYPERLINK("http://slimages.macys.com/is/image/MCY/9254809 ")</f>
        <v xml:space="preserve">http://slimages.macys.com/is/image/MCY/9254809 </v>
      </c>
    </row>
    <row r="94" spans="1:14" ht="24.75" x14ac:dyDescent="0.25">
      <c r="A94" s="21" t="s">
        <v>4217</v>
      </c>
      <c r="B94" s="22" t="s">
        <v>4218</v>
      </c>
      <c r="C94" s="2">
        <v>1</v>
      </c>
      <c r="D94" s="23">
        <v>26.99</v>
      </c>
      <c r="E94" s="3">
        <v>26.99</v>
      </c>
      <c r="F94" s="2" t="s">
        <v>4219</v>
      </c>
      <c r="G94" s="22" t="s">
        <v>19618</v>
      </c>
      <c r="H94" s="24"/>
      <c r="I94" s="22" t="s">
        <v>19309</v>
      </c>
      <c r="J94" s="22" t="s">
        <v>19519</v>
      </c>
      <c r="K94" s="22" t="s">
        <v>4220</v>
      </c>
      <c r="L94" s="22"/>
      <c r="M94" s="22"/>
      <c r="N94" s="25" t="str">
        <f>HYPERLINK("http://slimages.macys.com/is/image/MCY/21008019 ")</f>
        <v xml:space="preserve">http://slimages.macys.com/is/image/MCY/21008019 </v>
      </c>
    </row>
    <row r="95" spans="1:14" ht="24.75" x14ac:dyDescent="0.25">
      <c r="A95" s="21" t="s">
        <v>4221</v>
      </c>
      <c r="B95" s="22" t="s">
        <v>4222</v>
      </c>
      <c r="C95" s="2">
        <v>1</v>
      </c>
      <c r="D95" s="23">
        <v>34</v>
      </c>
      <c r="E95" s="3">
        <v>34</v>
      </c>
      <c r="F95" s="2" t="s">
        <v>4215</v>
      </c>
      <c r="G95" s="22" t="s">
        <v>19518</v>
      </c>
      <c r="H95" s="24" t="s">
        <v>19542</v>
      </c>
      <c r="I95" s="22" t="s">
        <v>19309</v>
      </c>
      <c r="J95" s="22" t="s">
        <v>17328</v>
      </c>
      <c r="K95" s="22" t="s">
        <v>17329</v>
      </c>
      <c r="L95" s="22" t="s">
        <v>19319</v>
      </c>
      <c r="M95" s="22" t="s">
        <v>4216</v>
      </c>
      <c r="N95" s="25" t="str">
        <f>HYPERLINK("http://slimages.macys.com/is/image/MCY/9254809 ")</f>
        <v xml:space="preserve">http://slimages.macys.com/is/image/MCY/9254809 </v>
      </c>
    </row>
    <row r="96" spans="1:14" ht="24.75" x14ac:dyDescent="0.25">
      <c r="A96" s="21" t="s">
        <v>4223</v>
      </c>
      <c r="B96" s="22" t="s">
        <v>4224</v>
      </c>
      <c r="C96" s="2">
        <v>1</v>
      </c>
      <c r="D96" s="23">
        <v>16.989999999999998</v>
      </c>
      <c r="E96" s="3">
        <v>16.989999999999998</v>
      </c>
      <c r="F96" s="2" t="s">
        <v>4225</v>
      </c>
      <c r="G96" s="22" t="s">
        <v>19467</v>
      </c>
      <c r="H96" s="24" t="s">
        <v>19395</v>
      </c>
      <c r="I96" s="22" t="s">
        <v>19309</v>
      </c>
      <c r="J96" s="22" t="s">
        <v>19447</v>
      </c>
      <c r="K96" s="22" t="s">
        <v>20146</v>
      </c>
      <c r="L96" s="22"/>
      <c r="M96" s="22"/>
      <c r="N96" s="25" t="str">
        <f>HYPERLINK("http://slimages.macys.com/is/image/MCY/20016808 ")</f>
        <v xml:space="preserve">http://slimages.macys.com/is/image/MCY/20016808 </v>
      </c>
    </row>
    <row r="97" spans="1:14" ht="24.75" x14ac:dyDescent="0.25">
      <c r="A97" s="21" t="s">
        <v>15733</v>
      </c>
      <c r="B97" s="22" t="s">
        <v>15734</v>
      </c>
      <c r="C97" s="2">
        <v>1</v>
      </c>
      <c r="D97" s="23">
        <v>18.989999999999998</v>
      </c>
      <c r="E97" s="3">
        <v>18.989999999999998</v>
      </c>
      <c r="F97" s="2" t="s">
        <v>17797</v>
      </c>
      <c r="G97" s="22" t="s">
        <v>19315</v>
      </c>
      <c r="H97" s="24" t="s">
        <v>19395</v>
      </c>
      <c r="I97" s="22" t="s">
        <v>19309</v>
      </c>
      <c r="J97" s="22" t="s">
        <v>19447</v>
      </c>
      <c r="K97" s="22" t="s">
        <v>20146</v>
      </c>
      <c r="L97" s="22"/>
      <c r="M97" s="22"/>
      <c r="N97" s="25" t="str">
        <f>HYPERLINK("http://slimages.macys.com/is/image/MCY/20016812 ")</f>
        <v xml:space="preserve">http://slimages.macys.com/is/image/MCY/20016812 </v>
      </c>
    </row>
    <row r="98" spans="1:14" ht="24.75" x14ac:dyDescent="0.25">
      <c r="A98" s="21" t="s">
        <v>4226</v>
      </c>
      <c r="B98" s="22" t="s">
        <v>4227</v>
      </c>
      <c r="C98" s="2">
        <v>1</v>
      </c>
      <c r="D98" s="23">
        <v>39.5</v>
      </c>
      <c r="E98" s="3">
        <v>39.5</v>
      </c>
      <c r="F98" s="2">
        <v>100121432</v>
      </c>
      <c r="G98" s="22" t="s">
        <v>19338</v>
      </c>
      <c r="H98" s="24" t="s">
        <v>15565</v>
      </c>
      <c r="I98" s="22" t="s">
        <v>19309</v>
      </c>
      <c r="J98" s="22" t="s">
        <v>17328</v>
      </c>
      <c r="K98" s="22" t="s">
        <v>11851</v>
      </c>
      <c r="L98" s="22"/>
      <c r="M98" s="22"/>
      <c r="N98" s="25" t="str">
        <f>HYPERLINK("http://slimages.macys.com/is/image/MCY/18852373 ")</f>
        <v xml:space="preserve">http://slimages.macys.com/is/image/MCY/18852373 </v>
      </c>
    </row>
    <row r="99" spans="1:14" ht="24.75" x14ac:dyDescent="0.25">
      <c r="A99" s="21" t="s">
        <v>4228</v>
      </c>
      <c r="B99" s="22" t="s">
        <v>4229</v>
      </c>
      <c r="C99" s="2">
        <v>1</v>
      </c>
      <c r="D99" s="23">
        <v>22.99</v>
      </c>
      <c r="E99" s="3">
        <v>22.99</v>
      </c>
      <c r="F99" s="2" t="s">
        <v>4230</v>
      </c>
      <c r="G99" s="22" t="s">
        <v>19674</v>
      </c>
      <c r="H99" s="24"/>
      <c r="I99" s="22" t="s">
        <v>19309</v>
      </c>
      <c r="J99" s="22" t="s">
        <v>19447</v>
      </c>
      <c r="K99" s="22" t="s">
        <v>5557</v>
      </c>
      <c r="L99" s="22"/>
      <c r="M99" s="22"/>
      <c r="N99" s="25" t="str">
        <f>HYPERLINK("http://slimages.macys.com/is/image/MCY/21313936 ")</f>
        <v xml:space="preserve">http://slimages.macys.com/is/image/MCY/21313936 </v>
      </c>
    </row>
    <row r="100" spans="1:14" ht="24.75" x14ac:dyDescent="0.25">
      <c r="A100" s="21" t="s">
        <v>4231</v>
      </c>
      <c r="B100" s="22" t="s">
        <v>4232</v>
      </c>
      <c r="C100" s="2">
        <v>1</v>
      </c>
      <c r="D100" s="23">
        <v>22.99</v>
      </c>
      <c r="E100" s="3">
        <v>22.99</v>
      </c>
      <c r="F100" s="2" t="s">
        <v>4230</v>
      </c>
      <c r="G100" s="22" t="s">
        <v>19674</v>
      </c>
      <c r="H100" s="24"/>
      <c r="I100" s="22" t="s">
        <v>19309</v>
      </c>
      <c r="J100" s="22" t="s">
        <v>19447</v>
      </c>
      <c r="K100" s="22" t="s">
        <v>5557</v>
      </c>
      <c r="L100" s="22"/>
      <c r="M100" s="22"/>
      <c r="N100" s="25" t="str">
        <f>HYPERLINK("http://slimages.macys.com/is/image/MCY/21313936 ")</f>
        <v xml:space="preserve">http://slimages.macys.com/is/image/MCY/21313936 </v>
      </c>
    </row>
    <row r="101" spans="1:14" ht="24.75" x14ac:dyDescent="0.25">
      <c r="A101" s="21" t="s">
        <v>4233</v>
      </c>
      <c r="B101" s="22" t="s">
        <v>8734</v>
      </c>
      <c r="C101" s="2">
        <v>1</v>
      </c>
      <c r="D101" s="23">
        <v>26.99</v>
      </c>
      <c r="E101" s="3">
        <v>26.99</v>
      </c>
      <c r="F101" s="2" t="s">
        <v>4234</v>
      </c>
      <c r="G101" s="22" t="s">
        <v>19315</v>
      </c>
      <c r="H101" s="24" t="s">
        <v>11751</v>
      </c>
      <c r="I101" s="22" t="s">
        <v>19309</v>
      </c>
      <c r="J101" s="22" t="s">
        <v>19447</v>
      </c>
      <c r="K101" s="22" t="s">
        <v>18333</v>
      </c>
      <c r="L101" s="22"/>
      <c r="M101" s="22"/>
      <c r="N101" s="25" t="str">
        <f>HYPERLINK("http://slimages.macys.com/is/image/MCY/20254151 ")</f>
        <v xml:space="preserve">http://slimages.macys.com/is/image/MCY/20254151 </v>
      </c>
    </row>
    <row r="102" spans="1:14" ht="24.75" x14ac:dyDescent="0.25">
      <c r="A102" s="21" t="s">
        <v>4235</v>
      </c>
      <c r="B102" s="22" t="s">
        <v>4236</v>
      </c>
      <c r="C102" s="2">
        <v>1</v>
      </c>
      <c r="D102" s="23">
        <v>20.99</v>
      </c>
      <c r="E102" s="3">
        <v>20.99</v>
      </c>
      <c r="F102" s="2" t="s">
        <v>4237</v>
      </c>
      <c r="G102" s="22" t="s">
        <v>19315</v>
      </c>
      <c r="H102" s="24" t="s">
        <v>19501</v>
      </c>
      <c r="I102" s="22" t="s">
        <v>19309</v>
      </c>
      <c r="J102" s="22" t="s">
        <v>19508</v>
      </c>
      <c r="K102" s="22" t="s">
        <v>19509</v>
      </c>
      <c r="L102" s="22"/>
      <c r="M102" s="22"/>
      <c r="N102" s="25" t="str">
        <f>HYPERLINK("http://slimages.macys.com/is/image/MCY/19694115 ")</f>
        <v xml:space="preserve">http://slimages.macys.com/is/image/MCY/19694115 </v>
      </c>
    </row>
    <row r="103" spans="1:14" x14ac:dyDescent="0.25">
      <c r="A103" s="21" t="s">
        <v>4238</v>
      </c>
      <c r="B103" s="22" t="s">
        <v>4239</v>
      </c>
      <c r="C103" s="2">
        <v>1</v>
      </c>
      <c r="D103" s="23">
        <v>20.58</v>
      </c>
      <c r="E103" s="3">
        <v>20.58</v>
      </c>
      <c r="F103" s="2" t="s">
        <v>4240</v>
      </c>
      <c r="G103" s="22" t="s">
        <v>19342</v>
      </c>
      <c r="H103" s="24" t="s">
        <v>19395</v>
      </c>
      <c r="I103" s="22" t="s">
        <v>19309</v>
      </c>
      <c r="J103" s="22" t="s">
        <v>19514</v>
      </c>
      <c r="K103" s="22" t="s">
        <v>10909</v>
      </c>
      <c r="L103" s="22"/>
      <c r="M103" s="22"/>
      <c r="N103" s="25" t="str">
        <f>HYPERLINK("http://slimages.macys.com/is/image/MCY/21192200 ")</f>
        <v xml:space="preserve">http://slimages.macys.com/is/image/MCY/21192200 </v>
      </c>
    </row>
    <row r="104" spans="1:14" x14ac:dyDescent="0.25">
      <c r="A104" s="21" t="s">
        <v>4241</v>
      </c>
      <c r="B104" s="22" t="s">
        <v>4242</v>
      </c>
      <c r="C104" s="2">
        <v>1</v>
      </c>
      <c r="D104" s="23">
        <v>27.99</v>
      </c>
      <c r="E104" s="3">
        <v>27.99</v>
      </c>
      <c r="F104" s="2" t="s">
        <v>4243</v>
      </c>
      <c r="G104" s="22" t="s">
        <v>19351</v>
      </c>
      <c r="H104" s="24" t="s">
        <v>19352</v>
      </c>
      <c r="I104" s="22" t="s">
        <v>19309</v>
      </c>
      <c r="J104" s="22" t="s">
        <v>19849</v>
      </c>
      <c r="K104" s="22" t="s">
        <v>19850</v>
      </c>
      <c r="L104" s="22"/>
      <c r="M104" s="22"/>
      <c r="N104" s="25" t="str">
        <f>HYPERLINK("http://slimages.macys.com/is/image/MCY/20143279 ")</f>
        <v xml:space="preserve">http://slimages.macys.com/is/image/MCY/20143279 </v>
      </c>
    </row>
    <row r="105" spans="1:14" ht="24.75" x14ac:dyDescent="0.25">
      <c r="A105" s="21" t="s">
        <v>10402</v>
      </c>
      <c r="B105" s="22" t="s">
        <v>10403</v>
      </c>
      <c r="C105" s="2">
        <v>2</v>
      </c>
      <c r="D105" s="23">
        <v>24.99</v>
      </c>
      <c r="E105" s="3">
        <v>49.98</v>
      </c>
      <c r="F105" s="2" t="s">
        <v>19732</v>
      </c>
      <c r="G105" s="22" t="s">
        <v>19342</v>
      </c>
      <c r="H105" s="24" t="s">
        <v>19324</v>
      </c>
      <c r="I105" s="22" t="s">
        <v>19309</v>
      </c>
      <c r="J105" s="22" t="s">
        <v>19385</v>
      </c>
      <c r="K105" s="22" t="s">
        <v>19729</v>
      </c>
      <c r="L105" s="22"/>
      <c r="M105" s="22"/>
      <c r="N105" s="25" t="str">
        <f>HYPERLINK("http://slimages.macys.com/is/image/MCY/21529290 ")</f>
        <v xml:space="preserve">http://slimages.macys.com/is/image/MCY/21529290 </v>
      </c>
    </row>
    <row r="106" spans="1:14" ht="24.75" x14ac:dyDescent="0.25">
      <c r="A106" s="21" t="s">
        <v>19730</v>
      </c>
      <c r="B106" s="22" t="s">
        <v>19731</v>
      </c>
      <c r="C106" s="2">
        <v>2</v>
      </c>
      <c r="D106" s="23">
        <v>24.99</v>
      </c>
      <c r="E106" s="3">
        <v>49.98</v>
      </c>
      <c r="F106" s="2" t="s">
        <v>19732</v>
      </c>
      <c r="G106" s="22" t="s">
        <v>19342</v>
      </c>
      <c r="H106" s="24" t="s">
        <v>19416</v>
      </c>
      <c r="I106" s="22" t="s">
        <v>19309</v>
      </c>
      <c r="J106" s="22" t="s">
        <v>19385</v>
      </c>
      <c r="K106" s="22" t="s">
        <v>19729</v>
      </c>
      <c r="L106" s="22"/>
      <c r="M106" s="22"/>
      <c r="N106" s="25" t="str">
        <f>HYPERLINK("http://slimages.macys.com/is/image/MCY/21529290 ")</f>
        <v xml:space="preserve">http://slimages.macys.com/is/image/MCY/21529290 </v>
      </c>
    </row>
    <row r="107" spans="1:14" ht="24.75" x14ac:dyDescent="0.25">
      <c r="A107" s="21" t="s">
        <v>10398</v>
      </c>
      <c r="B107" s="22" t="s">
        <v>10399</v>
      </c>
      <c r="C107" s="2">
        <v>4</v>
      </c>
      <c r="D107" s="23">
        <v>24.99</v>
      </c>
      <c r="E107" s="3">
        <v>99.96</v>
      </c>
      <c r="F107" s="2" t="s">
        <v>10395</v>
      </c>
      <c r="G107" s="22" t="s">
        <v>19342</v>
      </c>
      <c r="H107" s="24" t="s">
        <v>19416</v>
      </c>
      <c r="I107" s="22" t="s">
        <v>19309</v>
      </c>
      <c r="J107" s="22" t="s">
        <v>19385</v>
      </c>
      <c r="K107" s="22" t="s">
        <v>19729</v>
      </c>
      <c r="L107" s="22"/>
      <c r="M107" s="22"/>
      <c r="N107" s="25" t="str">
        <f>HYPERLINK("http://slimages.macys.com/is/image/MCY/21506850 ")</f>
        <v xml:space="preserve">http://slimages.macys.com/is/image/MCY/21506850 </v>
      </c>
    </row>
    <row r="108" spans="1:14" ht="24.75" x14ac:dyDescent="0.25">
      <c r="A108" s="21" t="s">
        <v>10393</v>
      </c>
      <c r="B108" s="22" t="s">
        <v>10394</v>
      </c>
      <c r="C108" s="2">
        <v>3</v>
      </c>
      <c r="D108" s="23">
        <v>24.99</v>
      </c>
      <c r="E108" s="3">
        <v>74.97</v>
      </c>
      <c r="F108" s="2" t="s">
        <v>10395</v>
      </c>
      <c r="G108" s="22" t="s">
        <v>19342</v>
      </c>
      <c r="H108" s="24" t="s">
        <v>19330</v>
      </c>
      <c r="I108" s="22" t="s">
        <v>19309</v>
      </c>
      <c r="J108" s="22" t="s">
        <v>19385</v>
      </c>
      <c r="K108" s="22" t="s">
        <v>19729</v>
      </c>
      <c r="L108" s="22"/>
      <c r="M108" s="22"/>
      <c r="N108" s="25" t="str">
        <f>HYPERLINK("http://slimages.macys.com/is/image/MCY/21506850 ")</f>
        <v xml:space="preserve">http://slimages.macys.com/is/image/MCY/21506850 </v>
      </c>
    </row>
    <row r="109" spans="1:14" ht="24.75" x14ac:dyDescent="0.25">
      <c r="A109" s="21" t="s">
        <v>4244</v>
      </c>
      <c r="B109" s="22" t="s">
        <v>4245</v>
      </c>
      <c r="C109" s="2">
        <v>1</v>
      </c>
      <c r="D109" s="23">
        <v>24.99</v>
      </c>
      <c r="E109" s="3">
        <v>24.99</v>
      </c>
      <c r="F109" s="2" t="s">
        <v>19732</v>
      </c>
      <c r="G109" s="22" t="s">
        <v>19342</v>
      </c>
      <c r="H109" s="24" t="s">
        <v>19330</v>
      </c>
      <c r="I109" s="22" t="s">
        <v>19309</v>
      </c>
      <c r="J109" s="22" t="s">
        <v>19385</v>
      </c>
      <c r="K109" s="22" t="s">
        <v>19729</v>
      </c>
      <c r="L109" s="22"/>
      <c r="M109" s="22"/>
      <c r="N109" s="25" t="str">
        <f>HYPERLINK("http://slimages.macys.com/is/image/MCY/21529290 ")</f>
        <v xml:space="preserve">http://slimages.macys.com/is/image/MCY/21529290 </v>
      </c>
    </row>
    <row r="110" spans="1:14" ht="24.75" x14ac:dyDescent="0.25">
      <c r="A110" s="21" t="s">
        <v>10396</v>
      </c>
      <c r="B110" s="22" t="s">
        <v>10397</v>
      </c>
      <c r="C110" s="2">
        <v>2</v>
      </c>
      <c r="D110" s="23">
        <v>24.99</v>
      </c>
      <c r="E110" s="3">
        <v>49.98</v>
      </c>
      <c r="F110" s="2" t="s">
        <v>10395</v>
      </c>
      <c r="G110" s="22" t="s">
        <v>19342</v>
      </c>
      <c r="H110" s="24" t="s">
        <v>19324</v>
      </c>
      <c r="I110" s="22" t="s">
        <v>19309</v>
      </c>
      <c r="J110" s="22" t="s">
        <v>19385</v>
      </c>
      <c r="K110" s="22" t="s">
        <v>19729</v>
      </c>
      <c r="L110" s="22"/>
      <c r="M110" s="22"/>
      <c r="N110" s="25" t="str">
        <f>HYPERLINK("http://slimages.macys.com/is/image/MCY/21506850 ")</f>
        <v xml:space="preserve">http://slimages.macys.com/is/image/MCY/21506850 </v>
      </c>
    </row>
    <row r="111" spans="1:14" ht="24.75" x14ac:dyDescent="0.25">
      <c r="A111" s="21" t="s">
        <v>4604</v>
      </c>
      <c r="B111" s="22" t="s">
        <v>4605</v>
      </c>
      <c r="C111" s="2">
        <v>1</v>
      </c>
      <c r="D111" s="23">
        <v>24.99</v>
      </c>
      <c r="E111" s="3">
        <v>24.99</v>
      </c>
      <c r="F111" s="2" t="s">
        <v>15780</v>
      </c>
      <c r="G111" s="22" t="s">
        <v>19342</v>
      </c>
      <c r="H111" s="24" t="s">
        <v>19416</v>
      </c>
      <c r="I111" s="22" t="s">
        <v>19309</v>
      </c>
      <c r="J111" s="22" t="s">
        <v>19385</v>
      </c>
      <c r="K111" s="22" t="s">
        <v>19729</v>
      </c>
      <c r="L111" s="22"/>
      <c r="M111" s="22"/>
      <c r="N111" s="25" t="str">
        <f>HYPERLINK("http://slimages.macys.com/is/image/MCY/21506851 ")</f>
        <v xml:space="preserve">http://slimages.macys.com/is/image/MCY/21506851 </v>
      </c>
    </row>
    <row r="112" spans="1:14" ht="24.75" x14ac:dyDescent="0.25">
      <c r="A112" s="21" t="s">
        <v>15778</v>
      </c>
      <c r="B112" s="22" t="s">
        <v>15779</v>
      </c>
      <c r="C112" s="2">
        <v>1</v>
      </c>
      <c r="D112" s="23">
        <v>24.99</v>
      </c>
      <c r="E112" s="3">
        <v>24.99</v>
      </c>
      <c r="F112" s="2" t="s">
        <v>15780</v>
      </c>
      <c r="G112" s="22" t="s">
        <v>19342</v>
      </c>
      <c r="H112" s="24" t="s">
        <v>19324</v>
      </c>
      <c r="I112" s="22" t="s">
        <v>19309</v>
      </c>
      <c r="J112" s="22" t="s">
        <v>19385</v>
      </c>
      <c r="K112" s="22" t="s">
        <v>19729</v>
      </c>
      <c r="L112" s="22"/>
      <c r="M112" s="22"/>
      <c r="N112" s="25" t="str">
        <f>HYPERLINK("http://slimages.macys.com/is/image/MCY/21506851 ")</f>
        <v xml:space="preserve">http://slimages.macys.com/is/image/MCY/21506851 </v>
      </c>
    </row>
    <row r="113" spans="1:14" x14ac:dyDescent="0.25">
      <c r="A113" s="21" t="s">
        <v>4246</v>
      </c>
      <c r="B113" s="22" t="s">
        <v>4247</v>
      </c>
      <c r="C113" s="2">
        <v>1</v>
      </c>
      <c r="D113" s="23">
        <v>19.989999999999998</v>
      </c>
      <c r="E113" s="3">
        <v>19.989999999999998</v>
      </c>
      <c r="F113" s="2" t="s">
        <v>4248</v>
      </c>
      <c r="G113" s="22" t="s">
        <v>19315</v>
      </c>
      <c r="H113" s="24" t="s">
        <v>19364</v>
      </c>
      <c r="I113" s="22" t="s">
        <v>19309</v>
      </c>
      <c r="J113" s="22" t="s">
        <v>19310</v>
      </c>
      <c r="K113" s="22" t="s">
        <v>19529</v>
      </c>
      <c r="L113" s="22"/>
      <c r="M113" s="22"/>
      <c r="N113" s="25" t="str">
        <f>HYPERLINK("http://slimages.macys.com/is/image/MCY/20918873 ")</f>
        <v xml:space="preserve">http://slimages.macys.com/is/image/MCY/20918873 </v>
      </c>
    </row>
    <row r="114" spans="1:14" x14ac:dyDescent="0.25">
      <c r="A114" s="21" t="s">
        <v>4249</v>
      </c>
      <c r="B114" s="22" t="s">
        <v>4250</v>
      </c>
      <c r="C114" s="2">
        <v>1</v>
      </c>
      <c r="D114" s="23">
        <v>19.989999999999998</v>
      </c>
      <c r="E114" s="3">
        <v>19.989999999999998</v>
      </c>
      <c r="F114" s="2" t="s">
        <v>18123</v>
      </c>
      <c r="G114" s="22" t="s">
        <v>19351</v>
      </c>
      <c r="H114" s="24" t="s">
        <v>19339</v>
      </c>
      <c r="I114" s="22" t="s">
        <v>19309</v>
      </c>
      <c r="J114" s="22" t="s">
        <v>19310</v>
      </c>
      <c r="K114" s="22" t="s">
        <v>19529</v>
      </c>
      <c r="L114" s="22"/>
      <c r="M114" s="22"/>
      <c r="N114" s="25" t="str">
        <f>HYPERLINK("http://slimages.macys.com/is/image/MCY/20918996 ")</f>
        <v xml:space="preserve">http://slimages.macys.com/is/image/MCY/20918996 </v>
      </c>
    </row>
    <row r="115" spans="1:14" ht="24.75" x14ac:dyDescent="0.25">
      <c r="A115" s="21" t="s">
        <v>4251</v>
      </c>
      <c r="B115" s="22" t="s">
        <v>4252</v>
      </c>
      <c r="C115" s="2">
        <v>1</v>
      </c>
      <c r="D115" s="23">
        <v>13.99</v>
      </c>
      <c r="E115" s="3">
        <v>13.99</v>
      </c>
      <c r="F115" s="2">
        <v>71600</v>
      </c>
      <c r="G115" s="22" t="s">
        <v>19879</v>
      </c>
      <c r="H115" s="24" t="s">
        <v>19538</v>
      </c>
      <c r="I115" s="22" t="s">
        <v>19309</v>
      </c>
      <c r="J115" s="22" t="s">
        <v>19417</v>
      </c>
      <c r="K115" s="22" t="s">
        <v>19969</v>
      </c>
      <c r="L115" s="22" t="s">
        <v>19319</v>
      </c>
      <c r="M115" s="22" t="s">
        <v>17531</v>
      </c>
      <c r="N115" s="25" t="str">
        <f>HYPERLINK("http://slimages.macys.com/is/image/MCY/11880341 ")</f>
        <v xml:space="preserve">http://slimages.macys.com/is/image/MCY/11880341 </v>
      </c>
    </row>
    <row r="116" spans="1:14" ht="24.75" x14ac:dyDescent="0.25">
      <c r="A116" s="21" t="s">
        <v>4253</v>
      </c>
      <c r="B116" s="22" t="s">
        <v>4254</v>
      </c>
      <c r="C116" s="2">
        <v>1</v>
      </c>
      <c r="D116" s="23">
        <v>16.25</v>
      </c>
      <c r="E116" s="3">
        <v>16.25</v>
      </c>
      <c r="F116" s="2" t="s">
        <v>4255</v>
      </c>
      <c r="G116" s="22" t="s">
        <v>19801</v>
      </c>
      <c r="H116" s="24" t="s">
        <v>19352</v>
      </c>
      <c r="I116" s="22" t="s">
        <v>19309</v>
      </c>
      <c r="J116" s="22" t="s">
        <v>19447</v>
      </c>
      <c r="K116" s="22" t="s">
        <v>19873</v>
      </c>
      <c r="L116" s="22"/>
      <c r="M116" s="22"/>
      <c r="N116" s="25" t="str">
        <f>HYPERLINK("http://slimages.macys.com/is/image/MCY/17602101 ")</f>
        <v xml:space="preserve">http://slimages.macys.com/is/image/MCY/17602101 </v>
      </c>
    </row>
    <row r="117" spans="1:14" ht="24.75" x14ac:dyDescent="0.25">
      <c r="A117" s="21" t="s">
        <v>19745</v>
      </c>
      <c r="B117" s="22" t="s">
        <v>19746</v>
      </c>
      <c r="C117" s="2">
        <v>1</v>
      </c>
      <c r="D117" s="23">
        <v>21.43</v>
      </c>
      <c r="E117" s="3">
        <v>21.43</v>
      </c>
      <c r="F117" s="2" t="s">
        <v>19747</v>
      </c>
      <c r="G117" s="22"/>
      <c r="H117" s="24" t="s">
        <v>19345</v>
      </c>
      <c r="I117" s="22" t="s">
        <v>19309</v>
      </c>
      <c r="J117" s="22" t="s">
        <v>19602</v>
      </c>
      <c r="K117" s="22" t="s">
        <v>19603</v>
      </c>
      <c r="L117" s="22"/>
      <c r="M117" s="22"/>
      <c r="N117" s="25" t="str">
        <f>HYPERLINK("http://slimages.macys.com/is/image/MCY/21421380 ")</f>
        <v xml:space="preserve">http://slimages.macys.com/is/image/MCY/21421380 </v>
      </c>
    </row>
    <row r="118" spans="1:14" ht="24.75" x14ac:dyDescent="0.25">
      <c r="A118" s="21" t="s">
        <v>4256</v>
      </c>
      <c r="B118" s="22" t="s">
        <v>4257</v>
      </c>
      <c r="C118" s="2">
        <v>1</v>
      </c>
      <c r="D118" s="23">
        <v>21.41</v>
      </c>
      <c r="E118" s="3">
        <v>21.41</v>
      </c>
      <c r="F118" s="2" t="s">
        <v>4258</v>
      </c>
      <c r="G118" s="22"/>
      <c r="H118" s="24" t="s">
        <v>19345</v>
      </c>
      <c r="I118" s="22" t="s">
        <v>19309</v>
      </c>
      <c r="J118" s="22" t="s">
        <v>19602</v>
      </c>
      <c r="K118" s="22" t="s">
        <v>20041</v>
      </c>
      <c r="L118" s="22"/>
      <c r="M118" s="22"/>
      <c r="N118" s="25" t="str">
        <f>HYPERLINK("http://slimages.macys.com/is/image/MCY/21669863 ")</f>
        <v xml:space="preserve">http://slimages.macys.com/is/image/MCY/21669863 </v>
      </c>
    </row>
    <row r="119" spans="1:14" ht="24.75" x14ac:dyDescent="0.25">
      <c r="A119" s="21" t="s">
        <v>4259</v>
      </c>
      <c r="B119" s="22" t="s">
        <v>4260</v>
      </c>
      <c r="C119" s="2">
        <v>1</v>
      </c>
      <c r="D119" s="23">
        <v>18.989999999999998</v>
      </c>
      <c r="E119" s="3">
        <v>18.989999999999998</v>
      </c>
      <c r="F119" s="2" t="s">
        <v>4261</v>
      </c>
      <c r="G119" s="22" t="s">
        <v>19477</v>
      </c>
      <c r="H119" s="24" t="s">
        <v>19352</v>
      </c>
      <c r="I119" s="22" t="s">
        <v>19309</v>
      </c>
      <c r="J119" s="22" t="s">
        <v>19447</v>
      </c>
      <c r="K119" s="22" t="s">
        <v>19311</v>
      </c>
      <c r="L119" s="22"/>
      <c r="M119" s="22"/>
      <c r="N119" s="25" t="str">
        <f>HYPERLINK("http://slimages.macys.com/is/image/MCY/18228034 ")</f>
        <v xml:space="preserve">http://slimages.macys.com/is/image/MCY/18228034 </v>
      </c>
    </row>
    <row r="120" spans="1:14" ht="24.75" x14ac:dyDescent="0.25">
      <c r="A120" s="21" t="s">
        <v>4262</v>
      </c>
      <c r="B120" s="22" t="s">
        <v>4263</v>
      </c>
      <c r="C120" s="2">
        <v>4</v>
      </c>
      <c r="D120" s="23">
        <v>21.99</v>
      </c>
      <c r="E120" s="3">
        <v>87.96</v>
      </c>
      <c r="F120" s="2" t="s">
        <v>4264</v>
      </c>
      <c r="G120" s="22" t="s">
        <v>19886</v>
      </c>
      <c r="H120" s="24" t="s">
        <v>19432</v>
      </c>
      <c r="I120" s="22" t="s">
        <v>19309</v>
      </c>
      <c r="J120" s="22" t="s">
        <v>19317</v>
      </c>
      <c r="K120" s="22" t="s">
        <v>11349</v>
      </c>
      <c r="L120" s="22" t="s">
        <v>19319</v>
      </c>
      <c r="M120" s="22" t="s">
        <v>19435</v>
      </c>
      <c r="N120" s="25" t="str">
        <f>HYPERLINK("http://slimages.macys.com/is/image/MCY/3619117 ")</f>
        <v xml:space="preserve">http://slimages.macys.com/is/image/MCY/3619117 </v>
      </c>
    </row>
    <row r="121" spans="1:14" ht="24.75" x14ac:dyDescent="0.25">
      <c r="A121" s="21" t="s">
        <v>10423</v>
      </c>
      <c r="B121" s="22" t="s">
        <v>10424</v>
      </c>
      <c r="C121" s="2">
        <v>1</v>
      </c>
      <c r="D121" s="23">
        <v>24.99</v>
      </c>
      <c r="E121" s="3">
        <v>24.99</v>
      </c>
      <c r="F121" s="2" t="s">
        <v>10425</v>
      </c>
      <c r="G121" s="22" t="s">
        <v>19333</v>
      </c>
      <c r="H121" s="24" t="s">
        <v>16005</v>
      </c>
      <c r="I121" s="22" t="s">
        <v>19309</v>
      </c>
      <c r="J121" s="22" t="s">
        <v>16678</v>
      </c>
      <c r="K121" s="22" t="s">
        <v>10407</v>
      </c>
      <c r="L121" s="22"/>
      <c r="M121" s="22"/>
      <c r="N121" s="25" t="str">
        <f>HYPERLINK("http://slimages.macys.com/is/image/MCY/19407107 ")</f>
        <v xml:space="preserve">http://slimages.macys.com/is/image/MCY/19407107 </v>
      </c>
    </row>
    <row r="122" spans="1:14" ht="24.75" x14ac:dyDescent="0.25">
      <c r="A122" s="21" t="s">
        <v>17875</v>
      </c>
      <c r="B122" s="22" t="s">
        <v>4265</v>
      </c>
      <c r="C122" s="2">
        <v>1</v>
      </c>
      <c r="D122" s="23">
        <v>25.99</v>
      </c>
      <c r="E122" s="3">
        <v>25.99</v>
      </c>
      <c r="F122" s="2" t="s">
        <v>17869</v>
      </c>
      <c r="G122" s="22" t="s">
        <v>19431</v>
      </c>
      <c r="H122" s="24" t="s">
        <v>17874</v>
      </c>
      <c r="I122" s="22" t="s">
        <v>19309</v>
      </c>
      <c r="J122" s="22" t="s">
        <v>19595</v>
      </c>
      <c r="K122" s="22" t="s">
        <v>18498</v>
      </c>
      <c r="L122" s="22"/>
      <c r="M122" s="22"/>
      <c r="N122" s="25" t="str">
        <f>HYPERLINK("http://slimages.macys.com/is/image/MCY/21365850 ")</f>
        <v xml:space="preserve">http://slimages.macys.com/is/image/MCY/21365850 </v>
      </c>
    </row>
    <row r="123" spans="1:14" ht="24.75" x14ac:dyDescent="0.25">
      <c r="A123" s="21" t="s">
        <v>4266</v>
      </c>
      <c r="B123" s="22" t="s">
        <v>4267</v>
      </c>
      <c r="C123" s="2">
        <v>1</v>
      </c>
      <c r="D123" s="23">
        <v>24.99</v>
      </c>
      <c r="E123" s="3">
        <v>24.99</v>
      </c>
      <c r="F123" s="2" t="s">
        <v>4268</v>
      </c>
      <c r="G123" s="22" t="s">
        <v>19886</v>
      </c>
      <c r="H123" s="24" t="s">
        <v>19334</v>
      </c>
      <c r="I123" s="22" t="s">
        <v>19309</v>
      </c>
      <c r="J123" s="22" t="s">
        <v>19595</v>
      </c>
      <c r="K123" s="22" t="s">
        <v>19596</v>
      </c>
      <c r="L123" s="22"/>
      <c r="M123" s="22"/>
      <c r="N123" s="25" t="str">
        <f>HYPERLINK("http://slimages.macys.com/is/image/MCY/18847578 ")</f>
        <v xml:space="preserve">http://slimages.macys.com/is/image/MCY/18847578 </v>
      </c>
    </row>
    <row r="124" spans="1:14" ht="24.75" x14ac:dyDescent="0.25">
      <c r="A124" s="21" t="s">
        <v>4269</v>
      </c>
      <c r="B124" s="22" t="s">
        <v>4270</v>
      </c>
      <c r="C124" s="2">
        <v>1</v>
      </c>
      <c r="D124" s="23">
        <v>18.989999999999998</v>
      </c>
      <c r="E124" s="3">
        <v>18.989999999999998</v>
      </c>
      <c r="F124" s="2" t="s">
        <v>19813</v>
      </c>
      <c r="G124" s="22" t="s">
        <v>19315</v>
      </c>
      <c r="H124" s="24" t="s">
        <v>19339</v>
      </c>
      <c r="I124" s="22" t="s">
        <v>19309</v>
      </c>
      <c r="J124" s="22" t="s">
        <v>19815</v>
      </c>
      <c r="K124" s="22" t="s">
        <v>19816</v>
      </c>
      <c r="L124" s="22"/>
      <c r="M124" s="22"/>
      <c r="N124" s="25" t="str">
        <f>HYPERLINK("http://slimages.macys.com/is/image/MCY/20549863 ")</f>
        <v xml:space="preserve">http://slimages.macys.com/is/image/MCY/20549863 </v>
      </c>
    </row>
    <row r="125" spans="1:14" ht="24.75" x14ac:dyDescent="0.25">
      <c r="A125" s="21" t="s">
        <v>4271</v>
      </c>
      <c r="B125" s="22" t="s">
        <v>4272</v>
      </c>
      <c r="C125" s="2">
        <v>1</v>
      </c>
      <c r="D125" s="23">
        <v>20.62</v>
      </c>
      <c r="E125" s="3">
        <v>20.62</v>
      </c>
      <c r="F125" s="2" t="s">
        <v>4273</v>
      </c>
      <c r="G125" s="22"/>
      <c r="H125" s="24" t="s">
        <v>19345</v>
      </c>
      <c r="I125" s="22" t="s">
        <v>19309</v>
      </c>
      <c r="J125" s="22" t="s">
        <v>19602</v>
      </c>
      <c r="K125" s="22" t="s">
        <v>19603</v>
      </c>
      <c r="L125" s="22"/>
      <c r="M125" s="22"/>
      <c r="N125" s="25" t="str">
        <f>HYPERLINK("http://slimages.macys.com/is/image/MCY/19974178 ")</f>
        <v xml:space="preserve">http://slimages.macys.com/is/image/MCY/19974178 </v>
      </c>
    </row>
    <row r="126" spans="1:14" x14ac:dyDescent="0.25">
      <c r="A126" s="21" t="s">
        <v>4274</v>
      </c>
      <c r="B126" s="22" t="s">
        <v>4275</v>
      </c>
      <c r="C126" s="2">
        <v>1</v>
      </c>
      <c r="D126" s="23">
        <v>25.07</v>
      </c>
      <c r="E126" s="3">
        <v>25.07</v>
      </c>
      <c r="F126" s="2" t="s">
        <v>4276</v>
      </c>
      <c r="G126" s="22"/>
      <c r="H126" s="24" t="s">
        <v>19324</v>
      </c>
      <c r="I126" s="22" t="s">
        <v>19309</v>
      </c>
      <c r="J126" s="22" t="s">
        <v>19708</v>
      </c>
      <c r="K126" s="22" t="s">
        <v>19754</v>
      </c>
      <c r="L126" s="22"/>
      <c r="M126" s="22"/>
      <c r="N126" s="25" t="str">
        <f>HYPERLINK("http://slimages.macys.com/is/image/MCY/21422861 ")</f>
        <v xml:space="preserve">http://slimages.macys.com/is/image/MCY/21422861 </v>
      </c>
    </row>
    <row r="127" spans="1:14" x14ac:dyDescent="0.25">
      <c r="A127" s="21" t="s">
        <v>4277</v>
      </c>
      <c r="B127" s="22" t="s">
        <v>4278</v>
      </c>
      <c r="C127" s="2">
        <v>1</v>
      </c>
      <c r="D127" s="23">
        <v>23.29</v>
      </c>
      <c r="E127" s="3">
        <v>23.29</v>
      </c>
      <c r="F127" s="2" t="s">
        <v>19819</v>
      </c>
      <c r="G127" s="22"/>
      <c r="H127" s="24" t="s">
        <v>20152</v>
      </c>
      <c r="I127" s="22" t="s">
        <v>19309</v>
      </c>
      <c r="J127" s="22" t="s">
        <v>19708</v>
      </c>
      <c r="K127" s="22" t="s">
        <v>19709</v>
      </c>
      <c r="L127" s="22"/>
      <c r="M127" s="22"/>
      <c r="N127" s="25" t="str">
        <f>HYPERLINK("http://slimages.macys.com/is/image/MCY/22405494 ")</f>
        <v xml:space="preserve">http://slimages.macys.com/is/image/MCY/22405494 </v>
      </c>
    </row>
    <row r="128" spans="1:14" x14ac:dyDescent="0.25">
      <c r="A128" s="21" t="s">
        <v>4279</v>
      </c>
      <c r="B128" s="22" t="s">
        <v>4280</v>
      </c>
      <c r="C128" s="2">
        <v>1</v>
      </c>
      <c r="D128" s="23">
        <v>25.07</v>
      </c>
      <c r="E128" s="3">
        <v>25.07</v>
      </c>
      <c r="F128" s="2" t="s">
        <v>11905</v>
      </c>
      <c r="G128" s="22"/>
      <c r="H128" s="24" t="s">
        <v>19324</v>
      </c>
      <c r="I128" s="22" t="s">
        <v>19309</v>
      </c>
      <c r="J128" s="22" t="s">
        <v>19708</v>
      </c>
      <c r="K128" s="22" t="s">
        <v>19754</v>
      </c>
      <c r="L128" s="22"/>
      <c r="M128" s="22"/>
      <c r="N128" s="25" t="str">
        <f>HYPERLINK("http://slimages.macys.com/is/image/MCY/19859763 ")</f>
        <v xml:space="preserve">http://slimages.macys.com/is/image/MCY/19859763 </v>
      </c>
    </row>
    <row r="129" spans="1:14" x14ac:dyDescent="0.25">
      <c r="A129" s="21" t="s">
        <v>4281</v>
      </c>
      <c r="B129" s="22" t="s">
        <v>4282</v>
      </c>
      <c r="C129" s="2">
        <v>1</v>
      </c>
      <c r="D129" s="23">
        <v>25.07</v>
      </c>
      <c r="E129" s="3">
        <v>25.07</v>
      </c>
      <c r="F129" s="2" t="s">
        <v>4283</v>
      </c>
      <c r="G129" s="22"/>
      <c r="H129" s="24" t="s">
        <v>19330</v>
      </c>
      <c r="I129" s="22" t="s">
        <v>19309</v>
      </c>
      <c r="J129" s="22" t="s">
        <v>19708</v>
      </c>
      <c r="K129" s="22" t="s">
        <v>19754</v>
      </c>
      <c r="L129" s="22"/>
      <c r="M129" s="22"/>
      <c r="N129" s="25" t="str">
        <f>HYPERLINK("http://slimages.macys.com/is/image/MCY/19146460 ")</f>
        <v xml:space="preserve">http://slimages.macys.com/is/image/MCY/19146460 </v>
      </c>
    </row>
    <row r="130" spans="1:14" x14ac:dyDescent="0.25">
      <c r="A130" s="21" t="s">
        <v>4284</v>
      </c>
      <c r="B130" s="22" t="s">
        <v>4285</v>
      </c>
      <c r="C130" s="2">
        <v>1</v>
      </c>
      <c r="D130" s="23">
        <v>23.32</v>
      </c>
      <c r="E130" s="3">
        <v>23.32</v>
      </c>
      <c r="F130" s="2" t="s">
        <v>4286</v>
      </c>
      <c r="G130" s="22" t="s">
        <v>19323</v>
      </c>
      <c r="H130" s="24" t="s">
        <v>20152</v>
      </c>
      <c r="I130" s="22" t="s">
        <v>19309</v>
      </c>
      <c r="J130" s="22" t="s">
        <v>19708</v>
      </c>
      <c r="K130" s="22" t="s">
        <v>19709</v>
      </c>
      <c r="L130" s="22"/>
      <c r="M130" s="22"/>
      <c r="N130" s="25" t="str">
        <f>HYPERLINK("http://slimages.macys.com/is/image/MCY/19836614 ")</f>
        <v xml:space="preserve">http://slimages.macys.com/is/image/MCY/19836614 </v>
      </c>
    </row>
    <row r="131" spans="1:14" x14ac:dyDescent="0.25">
      <c r="A131" s="21" t="s">
        <v>4287</v>
      </c>
      <c r="B131" s="22" t="s">
        <v>4288</v>
      </c>
      <c r="C131" s="2">
        <v>1</v>
      </c>
      <c r="D131" s="23">
        <v>34</v>
      </c>
      <c r="E131" s="3">
        <v>34</v>
      </c>
      <c r="F131" s="2" t="s">
        <v>10929</v>
      </c>
      <c r="G131" s="22"/>
      <c r="H131" s="24" t="s">
        <v>19330</v>
      </c>
      <c r="I131" s="22" t="s">
        <v>19309</v>
      </c>
      <c r="J131" s="22" t="s">
        <v>19708</v>
      </c>
      <c r="K131" s="22" t="s">
        <v>19709</v>
      </c>
      <c r="L131" s="22"/>
      <c r="M131" s="22"/>
      <c r="N131" s="25" t="str">
        <f>HYPERLINK("http://slimages.macys.com/is/image/MCY/21717958 ")</f>
        <v xml:space="preserve">http://slimages.macys.com/is/image/MCY/21717958 </v>
      </c>
    </row>
    <row r="132" spans="1:14" ht="24.75" x14ac:dyDescent="0.25">
      <c r="A132" s="21" t="s">
        <v>4289</v>
      </c>
      <c r="B132" s="22" t="s">
        <v>4290</v>
      </c>
      <c r="C132" s="2">
        <v>1</v>
      </c>
      <c r="D132" s="23">
        <v>24.99</v>
      </c>
      <c r="E132" s="3">
        <v>24.99</v>
      </c>
      <c r="F132" s="2" t="s">
        <v>17899</v>
      </c>
      <c r="G132" s="22"/>
      <c r="H132" s="24" t="s">
        <v>19432</v>
      </c>
      <c r="I132" s="22" t="s">
        <v>19309</v>
      </c>
      <c r="J132" s="22" t="s">
        <v>19519</v>
      </c>
      <c r="K132" s="22" t="s">
        <v>19834</v>
      </c>
      <c r="L132" s="22"/>
      <c r="M132" s="22"/>
      <c r="N132" s="25" t="str">
        <f>HYPERLINK("http://slimages.macys.com/is/image/MCY/21352783 ")</f>
        <v xml:space="preserve">http://slimages.macys.com/is/image/MCY/21352783 </v>
      </c>
    </row>
    <row r="133" spans="1:14" ht="24.75" x14ac:dyDescent="0.25">
      <c r="A133" s="21" t="s">
        <v>4291</v>
      </c>
      <c r="B133" s="22" t="s">
        <v>4292</v>
      </c>
      <c r="C133" s="2">
        <v>1</v>
      </c>
      <c r="D133" s="23">
        <v>24.99</v>
      </c>
      <c r="E133" s="3">
        <v>24.99</v>
      </c>
      <c r="F133" s="2" t="s">
        <v>4293</v>
      </c>
      <c r="G133" s="22"/>
      <c r="H133" s="24" t="s">
        <v>19316</v>
      </c>
      <c r="I133" s="22" t="s">
        <v>19309</v>
      </c>
      <c r="J133" s="22" t="s">
        <v>19519</v>
      </c>
      <c r="K133" s="22" t="s">
        <v>19834</v>
      </c>
      <c r="L133" s="22"/>
      <c r="M133" s="22"/>
      <c r="N133" s="25" t="str">
        <f>HYPERLINK("http://slimages.macys.com/is/image/MCY/21341114 ")</f>
        <v xml:space="preserve">http://slimages.macys.com/is/image/MCY/21341114 </v>
      </c>
    </row>
    <row r="134" spans="1:14" ht="24.75" x14ac:dyDescent="0.25">
      <c r="A134" s="21" t="s">
        <v>19843</v>
      </c>
      <c r="B134" s="22" t="s">
        <v>19844</v>
      </c>
      <c r="C134" s="2">
        <v>1</v>
      </c>
      <c r="D134" s="23">
        <v>24.99</v>
      </c>
      <c r="E134" s="3">
        <v>24.99</v>
      </c>
      <c r="F134" s="2" t="s">
        <v>19845</v>
      </c>
      <c r="G134" s="22"/>
      <c r="H134" s="24" t="s">
        <v>19316</v>
      </c>
      <c r="I134" s="22" t="s">
        <v>19309</v>
      </c>
      <c r="J134" s="22" t="s">
        <v>19519</v>
      </c>
      <c r="K134" s="22" t="s">
        <v>19834</v>
      </c>
      <c r="L134" s="22"/>
      <c r="M134" s="22"/>
      <c r="N134" s="25" t="str">
        <f>HYPERLINK("http://slimages.macys.com/is/image/MCY/21352777 ")</f>
        <v xml:space="preserve">http://slimages.macys.com/is/image/MCY/21352777 </v>
      </c>
    </row>
    <row r="135" spans="1:14" ht="36.75" x14ac:dyDescent="0.25">
      <c r="A135" s="21" t="s">
        <v>4294</v>
      </c>
      <c r="B135" s="22" t="s">
        <v>4295</v>
      </c>
      <c r="C135" s="2">
        <v>1</v>
      </c>
      <c r="D135" s="23">
        <v>22.99</v>
      </c>
      <c r="E135" s="3">
        <v>22.99</v>
      </c>
      <c r="F135" s="2" t="s">
        <v>4296</v>
      </c>
      <c r="G135" s="22"/>
      <c r="H135" s="24" t="s">
        <v>19501</v>
      </c>
      <c r="I135" s="22" t="s">
        <v>19309</v>
      </c>
      <c r="J135" s="22" t="s">
        <v>19519</v>
      </c>
      <c r="K135" s="22" t="s">
        <v>19834</v>
      </c>
      <c r="L135" s="22" t="s">
        <v>19319</v>
      </c>
      <c r="M135" s="22" t="s">
        <v>5202</v>
      </c>
      <c r="N135" s="25" t="str">
        <f>HYPERLINK("http://slimages.macys.com/is/image/MCY/16492292 ")</f>
        <v xml:space="preserve">http://slimages.macys.com/is/image/MCY/16492292 </v>
      </c>
    </row>
    <row r="136" spans="1:14" ht="24.75" x14ac:dyDescent="0.25">
      <c r="A136" s="21" t="s">
        <v>17910</v>
      </c>
      <c r="B136" s="22" t="s">
        <v>17911</v>
      </c>
      <c r="C136" s="2">
        <v>2</v>
      </c>
      <c r="D136" s="23">
        <v>24.99</v>
      </c>
      <c r="E136" s="3">
        <v>49.98</v>
      </c>
      <c r="F136" s="2" t="s">
        <v>19833</v>
      </c>
      <c r="G136" s="22"/>
      <c r="H136" s="24"/>
      <c r="I136" s="22" t="s">
        <v>19309</v>
      </c>
      <c r="J136" s="22" t="s">
        <v>19519</v>
      </c>
      <c r="K136" s="22" t="s">
        <v>19834</v>
      </c>
      <c r="L136" s="22"/>
      <c r="M136" s="22"/>
      <c r="N136" s="25" t="str">
        <f>HYPERLINK("http://slimages.macys.com/is/image/MCY/20950688 ")</f>
        <v xml:space="preserve">http://slimages.macys.com/is/image/MCY/20950688 </v>
      </c>
    </row>
    <row r="137" spans="1:14" x14ac:dyDescent="0.25">
      <c r="A137" s="21" t="s">
        <v>4297</v>
      </c>
      <c r="B137" s="22" t="s">
        <v>4298</v>
      </c>
      <c r="C137" s="2">
        <v>1</v>
      </c>
      <c r="D137" s="23">
        <v>16.989999999999998</v>
      </c>
      <c r="E137" s="3">
        <v>16.989999999999998</v>
      </c>
      <c r="F137" s="2" t="s">
        <v>6649</v>
      </c>
      <c r="G137" s="22" t="s">
        <v>19315</v>
      </c>
      <c r="H137" s="24" t="s">
        <v>19345</v>
      </c>
      <c r="I137" s="22" t="s">
        <v>19309</v>
      </c>
      <c r="J137" s="22" t="s">
        <v>19310</v>
      </c>
      <c r="K137" s="22" t="s">
        <v>19468</v>
      </c>
      <c r="L137" s="22"/>
      <c r="M137" s="22"/>
      <c r="N137" s="25" t="str">
        <f>HYPERLINK("http://slimages.macys.com/is/image/MCY/19065667 ")</f>
        <v xml:space="preserve">http://slimages.macys.com/is/image/MCY/19065667 </v>
      </c>
    </row>
    <row r="138" spans="1:14" ht="24.75" x14ac:dyDescent="0.25">
      <c r="A138" s="21" t="s">
        <v>4299</v>
      </c>
      <c r="B138" s="22" t="s">
        <v>4300</v>
      </c>
      <c r="C138" s="2">
        <v>2</v>
      </c>
      <c r="D138" s="23">
        <v>20.12</v>
      </c>
      <c r="E138" s="3">
        <v>40.24</v>
      </c>
      <c r="F138" s="2" t="s">
        <v>4301</v>
      </c>
      <c r="G138" s="22"/>
      <c r="H138" s="24" t="s">
        <v>19399</v>
      </c>
      <c r="I138" s="22" t="s">
        <v>19309</v>
      </c>
      <c r="J138" s="22" t="s">
        <v>19602</v>
      </c>
      <c r="K138" s="22" t="s">
        <v>20041</v>
      </c>
      <c r="L138" s="22"/>
      <c r="M138" s="22"/>
      <c r="N138" s="25" t="str">
        <f>HYPERLINK("http://slimages.macys.com/is/image/MCY/21420328 ")</f>
        <v xml:space="preserve">http://slimages.macys.com/is/image/MCY/21420328 </v>
      </c>
    </row>
    <row r="139" spans="1:14" x14ac:dyDescent="0.25">
      <c r="A139" s="21" t="s">
        <v>4302</v>
      </c>
      <c r="B139" s="22" t="s">
        <v>4303</v>
      </c>
      <c r="C139" s="2">
        <v>1</v>
      </c>
      <c r="D139" s="23">
        <v>18.329999999999998</v>
      </c>
      <c r="E139" s="3">
        <v>18.329999999999998</v>
      </c>
      <c r="F139" s="2" t="s">
        <v>4304</v>
      </c>
      <c r="G139" s="22" t="s">
        <v>19342</v>
      </c>
      <c r="H139" s="24" t="s">
        <v>19395</v>
      </c>
      <c r="I139" s="22" t="s">
        <v>19309</v>
      </c>
      <c r="J139" s="22" t="s">
        <v>19514</v>
      </c>
      <c r="K139" s="22" t="s">
        <v>17948</v>
      </c>
      <c r="L139" s="22"/>
      <c r="M139" s="22"/>
      <c r="N139" s="25" t="str">
        <f>HYPERLINK("http://slimages.macys.com/is/image/MCY/21701104 ")</f>
        <v xml:space="preserve">http://slimages.macys.com/is/image/MCY/21701104 </v>
      </c>
    </row>
    <row r="140" spans="1:14" ht="24.75" x14ac:dyDescent="0.25">
      <c r="A140" s="21" t="s">
        <v>4305</v>
      </c>
      <c r="B140" s="22" t="s">
        <v>4306</v>
      </c>
      <c r="C140" s="2">
        <v>2</v>
      </c>
      <c r="D140" s="23">
        <v>21.99</v>
      </c>
      <c r="E140" s="3">
        <v>43.98</v>
      </c>
      <c r="F140" s="2" t="s">
        <v>4307</v>
      </c>
      <c r="G140" s="22"/>
      <c r="H140" s="24" t="s">
        <v>19352</v>
      </c>
      <c r="I140" s="22" t="s">
        <v>19309</v>
      </c>
      <c r="J140" s="22" t="s">
        <v>19353</v>
      </c>
      <c r="K140" s="22" t="s">
        <v>19524</v>
      </c>
      <c r="L140" s="22"/>
      <c r="M140" s="22"/>
      <c r="N140" s="25" t="str">
        <f>HYPERLINK("http://slimages.macys.com/is/image/MCY/19988445 ")</f>
        <v xml:space="preserve">http://slimages.macys.com/is/image/MCY/19988445 </v>
      </c>
    </row>
    <row r="141" spans="1:14" ht="24.75" x14ac:dyDescent="0.25">
      <c r="A141" s="21" t="s">
        <v>4308</v>
      </c>
      <c r="B141" s="22" t="s">
        <v>4309</v>
      </c>
      <c r="C141" s="2">
        <v>1</v>
      </c>
      <c r="D141" s="23">
        <v>21.99</v>
      </c>
      <c r="E141" s="3">
        <v>21.99</v>
      </c>
      <c r="F141" s="2" t="s">
        <v>4310</v>
      </c>
      <c r="G141" s="22" t="s">
        <v>19338</v>
      </c>
      <c r="H141" s="24" t="s">
        <v>19352</v>
      </c>
      <c r="I141" s="22" t="s">
        <v>19309</v>
      </c>
      <c r="J141" s="22" t="s">
        <v>19353</v>
      </c>
      <c r="K141" s="22" t="s">
        <v>19524</v>
      </c>
      <c r="L141" s="22"/>
      <c r="M141" s="22"/>
      <c r="N141" s="25" t="str">
        <f>HYPERLINK("http://slimages.macys.com/is/image/MCY/19965740 ")</f>
        <v xml:space="preserve">http://slimages.macys.com/is/image/MCY/19965740 </v>
      </c>
    </row>
    <row r="142" spans="1:14" ht="24.75" x14ac:dyDescent="0.25">
      <c r="A142" s="21" t="s">
        <v>4311</v>
      </c>
      <c r="B142" s="22" t="s">
        <v>4312</v>
      </c>
      <c r="C142" s="2">
        <v>1</v>
      </c>
      <c r="D142" s="23">
        <v>14.99</v>
      </c>
      <c r="E142" s="3">
        <v>14.99</v>
      </c>
      <c r="F142" s="2" t="s">
        <v>4313</v>
      </c>
      <c r="G142" s="22" t="s">
        <v>19467</v>
      </c>
      <c r="H142" s="24" t="s">
        <v>19308</v>
      </c>
      <c r="I142" s="22" t="s">
        <v>19309</v>
      </c>
      <c r="J142" s="22" t="s">
        <v>19310</v>
      </c>
      <c r="K142" s="22" t="s">
        <v>19873</v>
      </c>
      <c r="L142" s="22"/>
      <c r="M142" s="22"/>
      <c r="N142" s="25" t="str">
        <f>HYPERLINK("http://slimages.macys.com/is/image/MCY/19950638 ")</f>
        <v xml:space="preserve">http://slimages.macys.com/is/image/MCY/19950638 </v>
      </c>
    </row>
    <row r="143" spans="1:14" ht="24.75" x14ac:dyDescent="0.25">
      <c r="A143" s="21" t="s">
        <v>4314</v>
      </c>
      <c r="B143" s="22" t="s">
        <v>4315</v>
      </c>
      <c r="C143" s="2">
        <v>1</v>
      </c>
      <c r="D143" s="23">
        <v>19.989999999999998</v>
      </c>
      <c r="E143" s="3">
        <v>19.989999999999998</v>
      </c>
      <c r="F143" s="2" t="s">
        <v>10462</v>
      </c>
      <c r="G143" s="22" t="s">
        <v>19477</v>
      </c>
      <c r="H143" s="24"/>
      <c r="I143" s="22" t="s">
        <v>19309</v>
      </c>
      <c r="J143" s="22" t="s">
        <v>19573</v>
      </c>
      <c r="K143" s="22" t="s">
        <v>19574</v>
      </c>
      <c r="L143" s="22"/>
      <c r="M143" s="22"/>
      <c r="N143" s="25" t="str">
        <f>HYPERLINK("http://slimages.macys.com/is/image/MCY/20736427 ")</f>
        <v xml:space="preserve">http://slimages.macys.com/is/image/MCY/20736427 </v>
      </c>
    </row>
    <row r="144" spans="1:14" ht="24.75" x14ac:dyDescent="0.25">
      <c r="A144" s="21" t="s">
        <v>4316</v>
      </c>
      <c r="B144" s="22" t="s">
        <v>4317</v>
      </c>
      <c r="C144" s="2">
        <v>1</v>
      </c>
      <c r="D144" s="23">
        <v>19.989999999999998</v>
      </c>
      <c r="E144" s="3">
        <v>19.989999999999998</v>
      </c>
      <c r="F144" s="2" t="s">
        <v>6665</v>
      </c>
      <c r="G144" s="22" t="s">
        <v>19467</v>
      </c>
      <c r="H144" s="24"/>
      <c r="I144" s="22" t="s">
        <v>19309</v>
      </c>
      <c r="J144" s="22" t="s">
        <v>19573</v>
      </c>
      <c r="K144" s="22" t="s">
        <v>19574</v>
      </c>
      <c r="L144" s="22"/>
      <c r="M144" s="22"/>
      <c r="N144" s="25" t="str">
        <f>HYPERLINK("http://slimages.macys.com/is/image/MCY/20757706 ")</f>
        <v xml:space="preserve">http://slimages.macys.com/is/image/MCY/20757706 </v>
      </c>
    </row>
    <row r="145" spans="1:14" ht="24.75" x14ac:dyDescent="0.25">
      <c r="A145" s="21" t="s">
        <v>4318</v>
      </c>
      <c r="B145" s="22" t="s">
        <v>4319</v>
      </c>
      <c r="C145" s="2">
        <v>1</v>
      </c>
      <c r="D145" s="23">
        <v>19.989999999999998</v>
      </c>
      <c r="E145" s="3">
        <v>19.989999999999998</v>
      </c>
      <c r="F145" s="2">
        <v>10014158200</v>
      </c>
      <c r="G145" s="22" t="s">
        <v>19351</v>
      </c>
      <c r="H145" s="24"/>
      <c r="I145" s="22" t="s">
        <v>19309</v>
      </c>
      <c r="J145" s="22" t="s">
        <v>19573</v>
      </c>
      <c r="K145" s="22" t="s">
        <v>19574</v>
      </c>
      <c r="L145" s="22"/>
      <c r="M145" s="22"/>
      <c r="N145" s="25" t="str">
        <f>HYPERLINK("http://slimages.macys.com/is/image/MCY/20757719 ")</f>
        <v xml:space="preserve">http://slimages.macys.com/is/image/MCY/20757719 </v>
      </c>
    </row>
    <row r="146" spans="1:14" ht="24.75" x14ac:dyDescent="0.25">
      <c r="A146" s="21" t="s">
        <v>4320</v>
      </c>
      <c r="B146" s="22" t="s">
        <v>4321</v>
      </c>
      <c r="C146" s="2">
        <v>1</v>
      </c>
      <c r="D146" s="23">
        <v>14.98</v>
      </c>
      <c r="E146" s="3">
        <v>14.98</v>
      </c>
      <c r="F146" s="2" t="s">
        <v>4322</v>
      </c>
      <c r="G146" s="22" t="s">
        <v>19594</v>
      </c>
      <c r="H146" s="24"/>
      <c r="I146" s="22" t="s">
        <v>19309</v>
      </c>
      <c r="J146" s="22" t="s">
        <v>19317</v>
      </c>
      <c r="K146" s="22" t="s">
        <v>9389</v>
      </c>
      <c r="L146" s="22" t="s">
        <v>19319</v>
      </c>
      <c r="M146" s="22" t="s">
        <v>4323</v>
      </c>
      <c r="N146" s="25" t="str">
        <f>HYPERLINK("http://slimages.macys.com/is/image/MCY/16518600 ")</f>
        <v xml:space="preserve">http://slimages.macys.com/is/image/MCY/16518600 </v>
      </c>
    </row>
    <row r="147" spans="1:14" ht="24.75" x14ac:dyDescent="0.25">
      <c r="A147" s="21" t="s">
        <v>4324</v>
      </c>
      <c r="B147" s="22" t="s">
        <v>4325</v>
      </c>
      <c r="C147" s="2">
        <v>1</v>
      </c>
      <c r="D147" s="23">
        <v>19</v>
      </c>
      <c r="E147" s="3">
        <v>19</v>
      </c>
      <c r="F147" s="2" t="s">
        <v>7459</v>
      </c>
      <c r="G147" s="22" t="s">
        <v>19357</v>
      </c>
      <c r="H147" s="24" t="s">
        <v>19364</v>
      </c>
      <c r="I147" s="22" t="s">
        <v>19309</v>
      </c>
      <c r="J147" s="22" t="s">
        <v>19565</v>
      </c>
      <c r="K147" s="22" t="s">
        <v>18548</v>
      </c>
      <c r="L147" s="22"/>
      <c r="M147" s="22"/>
      <c r="N147" s="25" t="str">
        <f>HYPERLINK("http://slimages.macys.com/is/image/MCY/20456846 ")</f>
        <v xml:space="preserve">http://slimages.macys.com/is/image/MCY/20456846 </v>
      </c>
    </row>
    <row r="148" spans="1:14" ht="24.75" x14ac:dyDescent="0.25">
      <c r="A148" s="21" t="s">
        <v>17969</v>
      </c>
      <c r="B148" s="22" t="s">
        <v>17970</v>
      </c>
      <c r="C148" s="2">
        <v>1</v>
      </c>
      <c r="D148" s="23">
        <v>18.989999999999998</v>
      </c>
      <c r="E148" s="3">
        <v>18.989999999999998</v>
      </c>
      <c r="F148" s="2">
        <v>10015242200</v>
      </c>
      <c r="G148" s="22" t="s">
        <v>19315</v>
      </c>
      <c r="H148" s="24" t="s">
        <v>19538</v>
      </c>
      <c r="I148" s="22" t="s">
        <v>19309</v>
      </c>
      <c r="J148" s="22" t="s">
        <v>19573</v>
      </c>
      <c r="K148" s="22" t="s">
        <v>19574</v>
      </c>
      <c r="L148" s="22"/>
      <c r="M148" s="22"/>
      <c r="N148" s="25" t="str">
        <f>HYPERLINK("http://slimages.macys.com/is/image/MCY/1322715 ")</f>
        <v xml:space="preserve">http://slimages.macys.com/is/image/MCY/1322715 </v>
      </c>
    </row>
    <row r="149" spans="1:14" ht="24.75" x14ac:dyDescent="0.25">
      <c r="A149" s="21" t="s">
        <v>4326</v>
      </c>
      <c r="B149" s="22" t="s">
        <v>4327</v>
      </c>
      <c r="C149" s="2">
        <v>2</v>
      </c>
      <c r="D149" s="23">
        <v>20</v>
      </c>
      <c r="E149" s="3">
        <v>40</v>
      </c>
      <c r="F149" s="2">
        <v>1361818</v>
      </c>
      <c r="G149" s="22" t="s">
        <v>19886</v>
      </c>
      <c r="H149" s="24" t="s">
        <v>19339</v>
      </c>
      <c r="I149" s="22" t="s">
        <v>19309</v>
      </c>
      <c r="J149" s="22" t="s">
        <v>19310</v>
      </c>
      <c r="K149" s="22" t="s">
        <v>17686</v>
      </c>
      <c r="L149" s="22"/>
      <c r="M149" s="22"/>
      <c r="N149" s="25" t="str">
        <f>HYPERLINK("http://slimages.macys.com/is/image/MCY/18796418 ")</f>
        <v xml:space="preserve">http://slimages.macys.com/is/image/MCY/18796418 </v>
      </c>
    </row>
    <row r="150" spans="1:14" ht="24.75" x14ac:dyDescent="0.25">
      <c r="A150" s="21" t="s">
        <v>4328</v>
      </c>
      <c r="B150" s="22" t="s">
        <v>4329</v>
      </c>
      <c r="C150" s="2">
        <v>3</v>
      </c>
      <c r="D150" s="23">
        <v>22</v>
      </c>
      <c r="E150" s="3">
        <v>66</v>
      </c>
      <c r="F150" s="2" t="s">
        <v>4330</v>
      </c>
      <c r="G150" s="22" t="s">
        <v>18821</v>
      </c>
      <c r="H150" s="24" t="s">
        <v>19797</v>
      </c>
      <c r="I150" s="22" t="s">
        <v>19309</v>
      </c>
      <c r="J150" s="22" t="s">
        <v>19595</v>
      </c>
      <c r="K150" s="22" t="s">
        <v>19423</v>
      </c>
      <c r="L150" s="22"/>
      <c r="M150" s="22"/>
      <c r="N150" s="25" t="str">
        <f>HYPERLINK("http://slimages.macys.com/is/image/MCY/20918012 ")</f>
        <v xml:space="preserve">http://slimages.macys.com/is/image/MCY/20918012 </v>
      </c>
    </row>
    <row r="151" spans="1:14" ht="24.75" x14ac:dyDescent="0.25">
      <c r="A151" s="21" t="s">
        <v>10474</v>
      </c>
      <c r="B151" s="22" t="s">
        <v>10475</v>
      </c>
      <c r="C151" s="2">
        <v>1</v>
      </c>
      <c r="D151" s="23">
        <v>24.99</v>
      </c>
      <c r="E151" s="3">
        <v>24.99</v>
      </c>
      <c r="F151" s="2" t="s">
        <v>15332</v>
      </c>
      <c r="G151" s="22" t="s">
        <v>19338</v>
      </c>
      <c r="H151" s="24" t="s">
        <v>19361</v>
      </c>
      <c r="I151" s="22" t="s">
        <v>19309</v>
      </c>
      <c r="J151" s="22" t="s">
        <v>19454</v>
      </c>
      <c r="K151" s="22" t="s">
        <v>19524</v>
      </c>
      <c r="L151" s="22"/>
      <c r="M151" s="22"/>
      <c r="N151" s="25" t="str">
        <f>HYPERLINK("http://slimages.macys.com/is/image/MCY/21569832 ")</f>
        <v xml:space="preserve">http://slimages.macys.com/is/image/MCY/21569832 </v>
      </c>
    </row>
    <row r="152" spans="1:14" ht="24.75" x14ac:dyDescent="0.25">
      <c r="A152" s="21" t="s">
        <v>4331</v>
      </c>
      <c r="B152" s="22" t="s">
        <v>4332</v>
      </c>
      <c r="C152" s="2">
        <v>1</v>
      </c>
      <c r="D152" s="23">
        <v>24.99</v>
      </c>
      <c r="E152" s="3">
        <v>24.99</v>
      </c>
      <c r="F152" s="2" t="s">
        <v>15332</v>
      </c>
      <c r="G152" s="22" t="s">
        <v>19338</v>
      </c>
      <c r="H152" s="24" t="s">
        <v>19907</v>
      </c>
      <c r="I152" s="22" t="s">
        <v>19309</v>
      </c>
      <c r="J152" s="22" t="s">
        <v>19454</v>
      </c>
      <c r="K152" s="22" t="s">
        <v>19524</v>
      </c>
      <c r="L152" s="22"/>
      <c r="M152" s="22"/>
      <c r="N152" s="25" t="str">
        <f>HYPERLINK("http://slimages.macys.com/is/image/MCY/21569835 ")</f>
        <v xml:space="preserve">http://slimages.macys.com/is/image/MCY/21569835 </v>
      </c>
    </row>
    <row r="153" spans="1:14" ht="24.75" x14ac:dyDescent="0.25">
      <c r="A153" s="21" t="s">
        <v>4333</v>
      </c>
      <c r="B153" s="22" t="s">
        <v>4334</v>
      </c>
      <c r="C153" s="2">
        <v>1</v>
      </c>
      <c r="D153" s="23">
        <v>24.99</v>
      </c>
      <c r="E153" s="3">
        <v>24.99</v>
      </c>
      <c r="F153" s="2" t="s">
        <v>15332</v>
      </c>
      <c r="G153" s="22" t="s">
        <v>19338</v>
      </c>
      <c r="H153" s="24" t="s">
        <v>19542</v>
      </c>
      <c r="I153" s="22" t="s">
        <v>19309</v>
      </c>
      <c r="J153" s="22" t="s">
        <v>19454</v>
      </c>
      <c r="K153" s="22" t="s">
        <v>19524</v>
      </c>
      <c r="L153" s="22"/>
      <c r="M153" s="22"/>
      <c r="N153" s="25" t="str">
        <f>HYPERLINK("http://slimages.macys.com/is/image/MCY/21569832 ")</f>
        <v xml:space="preserve">http://slimages.macys.com/is/image/MCY/21569832 </v>
      </c>
    </row>
    <row r="154" spans="1:14" x14ac:dyDescent="0.25">
      <c r="A154" s="21" t="s">
        <v>4335</v>
      </c>
      <c r="B154" s="22" t="s">
        <v>4336</v>
      </c>
      <c r="C154" s="2">
        <v>1</v>
      </c>
      <c r="D154" s="23">
        <v>17.100000000000001</v>
      </c>
      <c r="E154" s="3">
        <v>17.100000000000001</v>
      </c>
      <c r="F154" s="2" t="s">
        <v>4337</v>
      </c>
      <c r="G154" s="22"/>
      <c r="H154" s="24" t="s">
        <v>19367</v>
      </c>
      <c r="I154" s="22" t="s">
        <v>19309</v>
      </c>
      <c r="J154" s="22" t="s">
        <v>19708</v>
      </c>
      <c r="K154" s="22" t="s">
        <v>19709</v>
      </c>
      <c r="L154" s="22"/>
      <c r="M154" s="22"/>
      <c r="N154" s="25" t="str">
        <f>HYPERLINK("http://slimages.macys.com/is/image/MCY/19060422 ")</f>
        <v xml:space="preserve">http://slimages.macys.com/is/image/MCY/19060422 </v>
      </c>
    </row>
    <row r="155" spans="1:14" x14ac:dyDescent="0.25">
      <c r="A155" s="21" t="s">
        <v>4338</v>
      </c>
      <c r="B155" s="22" t="s">
        <v>4339</v>
      </c>
      <c r="C155" s="2">
        <v>1</v>
      </c>
      <c r="D155" s="23">
        <v>17.100000000000001</v>
      </c>
      <c r="E155" s="3">
        <v>17.100000000000001</v>
      </c>
      <c r="F155" s="2" t="s">
        <v>4340</v>
      </c>
      <c r="G155" s="22"/>
      <c r="H155" s="24" t="s">
        <v>19367</v>
      </c>
      <c r="I155" s="22" t="s">
        <v>19309</v>
      </c>
      <c r="J155" s="22" t="s">
        <v>19708</v>
      </c>
      <c r="K155" s="22" t="s">
        <v>19709</v>
      </c>
      <c r="L155" s="22"/>
      <c r="M155" s="22"/>
      <c r="N155" s="25" t="str">
        <f>HYPERLINK("http://slimages.macys.com/is/image/MCY/19063522 ")</f>
        <v xml:space="preserve">http://slimages.macys.com/is/image/MCY/19063522 </v>
      </c>
    </row>
    <row r="156" spans="1:14" x14ac:dyDescent="0.25">
      <c r="A156" s="21" t="s">
        <v>4341</v>
      </c>
      <c r="B156" s="22" t="s">
        <v>4342</v>
      </c>
      <c r="C156" s="2">
        <v>1</v>
      </c>
      <c r="D156" s="23">
        <v>17.100000000000001</v>
      </c>
      <c r="E156" s="3">
        <v>17.100000000000001</v>
      </c>
      <c r="F156" s="2" t="s">
        <v>13047</v>
      </c>
      <c r="G156" s="22"/>
      <c r="H156" s="24" t="s">
        <v>19367</v>
      </c>
      <c r="I156" s="22" t="s">
        <v>19309</v>
      </c>
      <c r="J156" s="22" t="s">
        <v>19708</v>
      </c>
      <c r="K156" s="22" t="s">
        <v>19709</v>
      </c>
      <c r="L156" s="22"/>
      <c r="M156" s="22"/>
      <c r="N156" s="25" t="str">
        <f>HYPERLINK("http://slimages.macys.com/is/image/MCY/21408963 ")</f>
        <v xml:space="preserve">http://slimages.macys.com/is/image/MCY/21408963 </v>
      </c>
    </row>
    <row r="157" spans="1:14" x14ac:dyDescent="0.25">
      <c r="A157" s="21" t="s">
        <v>13040</v>
      </c>
      <c r="B157" s="22" t="s">
        <v>13041</v>
      </c>
      <c r="C157" s="2">
        <v>1</v>
      </c>
      <c r="D157" s="23">
        <v>17.100000000000001</v>
      </c>
      <c r="E157" s="3">
        <v>17.100000000000001</v>
      </c>
      <c r="F157" s="2" t="s">
        <v>13042</v>
      </c>
      <c r="G157" s="22"/>
      <c r="H157" s="24" t="s">
        <v>20159</v>
      </c>
      <c r="I157" s="22" t="s">
        <v>19309</v>
      </c>
      <c r="J157" s="22" t="s">
        <v>19708</v>
      </c>
      <c r="K157" s="22" t="s">
        <v>19709</v>
      </c>
      <c r="L157" s="22"/>
      <c r="M157" s="22"/>
      <c r="N157" s="25" t="str">
        <f>HYPERLINK("http://slimages.macys.com/is/image/MCY/19063374 ")</f>
        <v xml:space="preserve">http://slimages.macys.com/is/image/MCY/19063374 </v>
      </c>
    </row>
    <row r="158" spans="1:14" x14ac:dyDescent="0.25">
      <c r="A158" s="21" t="s">
        <v>4343</v>
      </c>
      <c r="B158" s="22" t="s">
        <v>4344</v>
      </c>
      <c r="C158" s="2">
        <v>1</v>
      </c>
      <c r="D158" s="23">
        <v>17.100000000000001</v>
      </c>
      <c r="E158" s="3">
        <v>17.100000000000001</v>
      </c>
      <c r="F158" s="2" t="s">
        <v>11539</v>
      </c>
      <c r="G158" s="22"/>
      <c r="H158" s="24" t="s">
        <v>19324</v>
      </c>
      <c r="I158" s="22" t="s">
        <v>19309</v>
      </c>
      <c r="J158" s="22" t="s">
        <v>19708</v>
      </c>
      <c r="K158" s="22" t="s">
        <v>19709</v>
      </c>
      <c r="L158" s="22"/>
      <c r="M158" s="22"/>
      <c r="N158" s="25" t="str">
        <f>HYPERLINK("http://slimages.macys.com/is/image/MCY/19487598 ")</f>
        <v xml:space="preserve">http://slimages.macys.com/is/image/MCY/19487598 </v>
      </c>
    </row>
    <row r="159" spans="1:14" x14ac:dyDescent="0.25">
      <c r="A159" s="21" t="s">
        <v>4345</v>
      </c>
      <c r="B159" s="22" t="s">
        <v>4346</v>
      </c>
      <c r="C159" s="2">
        <v>1</v>
      </c>
      <c r="D159" s="23">
        <v>17.100000000000001</v>
      </c>
      <c r="E159" s="3">
        <v>17.100000000000001</v>
      </c>
      <c r="F159" s="2" t="s">
        <v>7470</v>
      </c>
      <c r="G159" s="22"/>
      <c r="H159" s="24" t="s">
        <v>20159</v>
      </c>
      <c r="I159" s="22" t="s">
        <v>19309</v>
      </c>
      <c r="J159" s="22" t="s">
        <v>19708</v>
      </c>
      <c r="K159" s="22" t="s">
        <v>19709</v>
      </c>
      <c r="L159" s="22"/>
      <c r="M159" s="22"/>
      <c r="N159" s="25" t="str">
        <f>HYPERLINK("http://slimages.macys.com/is/image/MCY/19060422 ")</f>
        <v xml:space="preserve">http://slimages.macys.com/is/image/MCY/19060422 </v>
      </c>
    </row>
    <row r="160" spans="1:14" x14ac:dyDescent="0.25">
      <c r="A160" s="21" t="s">
        <v>4347</v>
      </c>
      <c r="B160" s="22" t="s">
        <v>4348</v>
      </c>
      <c r="C160" s="2">
        <v>1</v>
      </c>
      <c r="D160" s="23">
        <v>17.100000000000001</v>
      </c>
      <c r="E160" s="3">
        <v>17.100000000000001</v>
      </c>
      <c r="F160" s="2" t="s">
        <v>4349</v>
      </c>
      <c r="G160" s="22"/>
      <c r="H160" s="24" t="s">
        <v>19367</v>
      </c>
      <c r="I160" s="22" t="s">
        <v>19309</v>
      </c>
      <c r="J160" s="22" t="s">
        <v>19708</v>
      </c>
      <c r="K160" s="22" t="s">
        <v>19709</v>
      </c>
      <c r="L160" s="22"/>
      <c r="M160" s="22"/>
      <c r="N160" s="25" t="str">
        <f>HYPERLINK("http://slimages.macys.com/is/image/MCY/19060048 ")</f>
        <v xml:space="preserve">http://slimages.macys.com/is/image/MCY/19060048 </v>
      </c>
    </row>
    <row r="161" spans="1:14" x14ac:dyDescent="0.25">
      <c r="A161" s="21" t="s">
        <v>4350</v>
      </c>
      <c r="B161" s="22" t="s">
        <v>4351</v>
      </c>
      <c r="C161" s="2">
        <v>1</v>
      </c>
      <c r="D161" s="23">
        <v>17.100000000000001</v>
      </c>
      <c r="E161" s="3">
        <v>17.100000000000001</v>
      </c>
      <c r="F161" s="2" t="s">
        <v>7488</v>
      </c>
      <c r="G161" s="22" t="s">
        <v>19342</v>
      </c>
      <c r="H161" s="24" t="s">
        <v>19770</v>
      </c>
      <c r="I161" s="22" t="s">
        <v>19309</v>
      </c>
      <c r="J161" s="22" t="s">
        <v>19708</v>
      </c>
      <c r="K161" s="22" t="s">
        <v>19709</v>
      </c>
      <c r="L161" s="22"/>
      <c r="M161" s="22"/>
      <c r="N161" s="25" t="str">
        <f>HYPERLINK("http://slimages.macys.com/is/image/MCY/19847554 ")</f>
        <v xml:space="preserve">http://slimages.macys.com/is/image/MCY/19847554 </v>
      </c>
    </row>
    <row r="162" spans="1:14" x14ac:dyDescent="0.25">
      <c r="A162" s="21" t="s">
        <v>17994</v>
      </c>
      <c r="B162" s="22" t="s">
        <v>17995</v>
      </c>
      <c r="C162" s="2">
        <v>2</v>
      </c>
      <c r="D162" s="23">
        <v>13.99</v>
      </c>
      <c r="E162" s="3">
        <v>27.98</v>
      </c>
      <c r="F162" s="2" t="s">
        <v>17996</v>
      </c>
      <c r="G162" s="22" t="s">
        <v>19801</v>
      </c>
      <c r="H162" s="24" t="s">
        <v>19432</v>
      </c>
      <c r="I162" s="22" t="s">
        <v>19309</v>
      </c>
      <c r="J162" s="22" t="s">
        <v>19310</v>
      </c>
      <c r="K162" s="22" t="s">
        <v>19468</v>
      </c>
      <c r="L162" s="22"/>
      <c r="M162" s="22"/>
      <c r="N162" s="25" t="str">
        <f>HYPERLINK("http://slimages.macys.com/is/image/MCY/21018757 ")</f>
        <v xml:space="preserve">http://slimages.macys.com/is/image/MCY/21018757 </v>
      </c>
    </row>
    <row r="163" spans="1:14" x14ac:dyDescent="0.25">
      <c r="A163" s="21" t="s">
        <v>4352</v>
      </c>
      <c r="B163" s="22" t="s">
        <v>4353</v>
      </c>
      <c r="C163" s="2">
        <v>1</v>
      </c>
      <c r="D163" s="23">
        <v>14.99</v>
      </c>
      <c r="E163" s="3">
        <v>14.99</v>
      </c>
      <c r="F163" s="2" t="s">
        <v>4354</v>
      </c>
      <c r="G163" s="22" t="s">
        <v>19351</v>
      </c>
      <c r="H163" s="24" t="s">
        <v>19542</v>
      </c>
      <c r="I163" s="22" t="s">
        <v>19309</v>
      </c>
      <c r="J163" s="22" t="s">
        <v>19310</v>
      </c>
      <c r="K163" s="22" t="s">
        <v>19468</v>
      </c>
      <c r="L163" s="22"/>
      <c r="M163" s="22"/>
      <c r="N163" s="25" t="str">
        <f>HYPERLINK("http://slimages.macys.com/is/image/MCY/21266208 ")</f>
        <v xml:space="preserve">http://slimages.macys.com/is/image/MCY/21266208 </v>
      </c>
    </row>
    <row r="164" spans="1:14" x14ac:dyDescent="0.25">
      <c r="A164" s="21" t="s">
        <v>19956</v>
      </c>
      <c r="B164" s="22" t="s">
        <v>19957</v>
      </c>
      <c r="C164" s="2">
        <v>1</v>
      </c>
      <c r="D164" s="23">
        <v>24.99</v>
      </c>
      <c r="E164" s="3">
        <v>24.99</v>
      </c>
      <c r="F164" s="2" t="s">
        <v>19958</v>
      </c>
      <c r="G164" s="22" t="s">
        <v>19315</v>
      </c>
      <c r="H164" s="24" t="s">
        <v>19339</v>
      </c>
      <c r="I164" s="22" t="s">
        <v>19309</v>
      </c>
      <c r="J164" s="22" t="s">
        <v>19849</v>
      </c>
      <c r="K164" s="22" t="s">
        <v>19850</v>
      </c>
      <c r="L164" s="22"/>
      <c r="M164" s="22"/>
      <c r="N164" s="25" t="str">
        <f>HYPERLINK("http://slimages.macys.com/is/image/MCY/1521136 ")</f>
        <v xml:space="preserve">http://slimages.macys.com/is/image/MCY/1521136 </v>
      </c>
    </row>
    <row r="165" spans="1:14" ht="24.75" x14ac:dyDescent="0.25">
      <c r="A165" s="21" t="s">
        <v>4355</v>
      </c>
      <c r="B165" s="22" t="s">
        <v>4356</v>
      </c>
      <c r="C165" s="2">
        <v>1</v>
      </c>
      <c r="D165" s="23">
        <v>15.99</v>
      </c>
      <c r="E165" s="3">
        <v>15.99</v>
      </c>
      <c r="F165" s="2">
        <v>10014149900</v>
      </c>
      <c r="G165" s="22" t="s">
        <v>19467</v>
      </c>
      <c r="H165" s="24" t="s">
        <v>19384</v>
      </c>
      <c r="I165" s="22" t="s">
        <v>19309</v>
      </c>
      <c r="J165" s="22" t="s">
        <v>19573</v>
      </c>
      <c r="K165" s="22" t="s">
        <v>19574</v>
      </c>
      <c r="L165" s="22"/>
      <c r="M165" s="22"/>
      <c r="N165" s="25" t="str">
        <f>HYPERLINK("http://slimages.macys.com/is/image/MCY/20757797 ")</f>
        <v xml:space="preserve">http://slimages.macys.com/is/image/MCY/20757797 </v>
      </c>
    </row>
    <row r="166" spans="1:14" ht="24.75" x14ac:dyDescent="0.25">
      <c r="A166" s="21" t="s">
        <v>4357</v>
      </c>
      <c r="B166" s="22" t="s">
        <v>4358</v>
      </c>
      <c r="C166" s="2">
        <v>1</v>
      </c>
      <c r="D166" s="23">
        <v>21.99</v>
      </c>
      <c r="E166" s="3">
        <v>21.99</v>
      </c>
      <c r="F166" s="2" t="s">
        <v>18015</v>
      </c>
      <c r="G166" s="22"/>
      <c r="H166" s="24" t="s">
        <v>19364</v>
      </c>
      <c r="I166" s="22" t="s">
        <v>19309</v>
      </c>
      <c r="J166" s="22" t="s">
        <v>19353</v>
      </c>
      <c r="K166" s="22" t="s">
        <v>19524</v>
      </c>
      <c r="L166" s="22"/>
      <c r="M166" s="22"/>
      <c r="N166" s="25" t="str">
        <f>HYPERLINK("http://slimages.macys.com/is/image/MCY/18721914 ")</f>
        <v xml:space="preserve">http://slimages.macys.com/is/image/MCY/18721914 </v>
      </c>
    </row>
    <row r="167" spans="1:14" ht="24.75" x14ac:dyDescent="0.25">
      <c r="A167" s="21" t="s">
        <v>2558</v>
      </c>
      <c r="B167" s="22" t="s">
        <v>2559</v>
      </c>
      <c r="C167" s="2">
        <v>2</v>
      </c>
      <c r="D167" s="23">
        <v>21.99</v>
      </c>
      <c r="E167" s="3">
        <v>43.98</v>
      </c>
      <c r="F167" s="2" t="s">
        <v>2560</v>
      </c>
      <c r="G167" s="22" t="s">
        <v>19351</v>
      </c>
      <c r="H167" s="24" t="s">
        <v>19364</v>
      </c>
      <c r="I167" s="22" t="s">
        <v>19309</v>
      </c>
      <c r="J167" s="22" t="s">
        <v>19353</v>
      </c>
      <c r="K167" s="22" t="s">
        <v>19524</v>
      </c>
      <c r="L167" s="22"/>
      <c r="M167" s="22"/>
      <c r="N167" s="25" t="str">
        <f>HYPERLINK("http://slimages.macys.com/is/image/MCY/18721916 ")</f>
        <v xml:space="preserve">http://slimages.macys.com/is/image/MCY/18721916 </v>
      </c>
    </row>
    <row r="168" spans="1:14" x14ac:dyDescent="0.25">
      <c r="A168" s="21" t="s">
        <v>2561</v>
      </c>
      <c r="B168" s="22" t="s">
        <v>2562</v>
      </c>
      <c r="C168" s="2">
        <v>1</v>
      </c>
      <c r="D168" s="23">
        <v>12.99</v>
      </c>
      <c r="E168" s="3">
        <v>12.99</v>
      </c>
      <c r="F168" s="2">
        <v>72748</v>
      </c>
      <c r="G168" s="22" t="s">
        <v>19333</v>
      </c>
      <c r="H168" s="24" t="s">
        <v>19538</v>
      </c>
      <c r="I168" s="22" t="s">
        <v>19309</v>
      </c>
      <c r="J168" s="22" t="s">
        <v>19417</v>
      </c>
      <c r="K168" s="22" t="s">
        <v>19969</v>
      </c>
      <c r="L168" s="22"/>
      <c r="M168" s="22"/>
      <c r="N168" s="25" t="str">
        <f>HYPERLINK("http://slimages.macys.com/is/image/MCY/16790705 ")</f>
        <v xml:space="preserve">http://slimages.macys.com/is/image/MCY/16790705 </v>
      </c>
    </row>
    <row r="169" spans="1:14" x14ac:dyDescent="0.25">
      <c r="A169" s="21" t="s">
        <v>19970</v>
      </c>
      <c r="B169" s="22" t="s">
        <v>19971</v>
      </c>
      <c r="C169" s="2">
        <v>2</v>
      </c>
      <c r="D169" s="23">
        <v>24.5</v>
      </c>
      <c r="E169" s="3">
        <v>49</v>
      </c>
      <c r="F169" s="2" t="s">
        <v>19972</v>
      </c>
      <c r="G169" s="22" t="s">
        <v>19477</v>
      </c>
      <c r="H169" s="24" t="s">
        <v>19352</v>
      </c>
      <c r="I169" s="22" t="s">
        <v>19309</v>
      </c>
      <c r="J169" s="22" t="s">
        <v>19849</v>
      </c>
      <c r="K169" s="22" t="s">
        <v>19850</v>
      </c>
      <c r="L169" s="22"/>
      <c r="M169" s="22"/>
      <c r="N169" s="25" t="str">
        <f>HYPERLINK("http://slimages.macys.com/is/image/MCY/20549465 ")</f>
        <v xml:space="preserve">http://slimages.macys.com/is/image/MCY/20549465 </v>
      </c>
    </row>
    <row r="170" spans="1:14" x14ac:dyDescent="0.25">
      <c r="A170" s="21" t="s">
        <v>18025</v>
      </c>
      <c r="B170" s="22" t="s">
        <v>18026</v>
      </c>
      <c r="C170" s="2">
        <v>2</v>
      </c>
      <c r="D170" s="23">
        <v>24.5</v>
      </c>
      <c r="E170" s="3">
        <v>49</v>
      </c>
      <c r="F170" s="2" t="s">
        <v>19972</v>
      </c>
      <c r="G170" s="22" t="s">
        <v>19477</v>
      </c>
      <c r="H170" s="24" t="s">
        <v>19797</v>
      </c>
      <c r="I170" s="22" t="s">
        <v>19309</v>
      </c>
      <c r="J170" s="22" t="s">
        <v>19849</v>
      </c>
      <c r="K170" s="22" t="s">
        <v>19850</v>
      </c>
      <c r="L170" s="22"/>
      <c r="M170" s="22"/>
      <c r="N170" s="25" t="str">
        <f>HYPERLINK("http://slimages.macys.com/is/image/MCY/20549465 ")</f>
        <v xml:space="preserve">http://slimages.macys.com/is/image/MCY/20549465 </v>
      </c>
    </row>
    <row r="171" spans="1:14" x14ac:dyDescent="0.25">
      <c r="A171" s="21" t="s">
        <v>15355</v>
      </c>
      <c r="B171" s="22" t="s">
        <v>15356</v>
      </c>
      <c r="C171" s="2">
        <v>1</v>
      </c>
      <c r="D171" s="23">
        <v>24.5</v>
      </c>
      <c r="E171" s="3">
        <v>24.5</v>
      </c>
      <c r="F171" s="2" t="s">
        <v>19972</v>
      </c>
      <c r="G171" s="22" t="s">
        <v>19477</v>
      </c>
      <c r="H171" s="24" t="s">
        <v>19364</v>
      </c>
      <c r="I171" s="22" t="s">
        <v>19309</v>
      </c>
      <c r="J171" s="22" t="s">
        <v>19849</v>
      </c>
      <c r="K171" s="22" t="s">
        <v>19850</v>
      </c>
      <c r="L171" s="22"/>
      <c r="M171" s="22"/>
      <c r="N171" s="25" t="str">
        <f>HYPERLINK("http://slimages.macys.com/is/image/MCY/20549465 ")</f>
        <v xml:space="preserve">http://slimages.macys.com/is/image/MCY/20549465 </v>
      </c>
    </row>
    <row r="172" spans="1:14" x14ac:dyDescent="0.25">
      <c r="A172" s="21" t="s">
        <v>15924</v>
      </c>
      <c r="B172" s="22" t="s">
        <v>15925</v>
      </c>
      <c r="C172" s="2">
        <v>1</v>
      </c>
      <c r="D172" s="23">
        <v>16.989999999999998</v>
      </c>
      <c r="E172" s="3">
        <v>16.989999999999998</v>
      </c>
      <c r="F172" s="2" t="s">
        <v>19975</v>
      </c>
      <c r="G172" s="22" t="s">
        <v>19333</v>
      </c>
      <c r="H172" s="24" t="s">
        <v>19542</v>
      </c>
      <c r="I172" s="22" t="s">
        <v>19309</v>
      </c>
      <c r="J172" s="22" t="s">
        <v>19310</v>
      </c>
      <c r="K172" s="22" t="s">
        <v>19440</v>
      </c>
      <c r="L172" s="22"/>
      <c r="M172" s="22"/>
      <c r="N172" s="25" t="str">
        <f>HYPERLINK("http://slimages.macys.com/is/image/MCY/21149135 ")</f>
        <v xml:space="preserve">http://slimages.macys.com/is/image/MCY/21149135 </v>
      </c>
    </row>
    <row r="173" spans="1:14" x14ac:dyDescent="0.25">
      <c r="A173" s="21" t="s">
        <v>19973</v>
      </c>
      <c r="B173" s="22" t="s">
        <v>19974</v>
      </c>
      <c r="C173" s="2">
        <v>1</v>
      </c>
      <c r="D173" s="23">
        <v>16.989999999999998</v>
      </c>
      <c r="E173" s="3">
        <v>16.989999999999998</v>
      </c>
      <c r="F173" s="2" t="s">
        <v>19975</v>
      </c>
      <c r="G173" s="22" t="s">
        <v>19333</v>
      </c>
      <c r="H173" s="24" t="s">
        <v>19395</v>
      </c>
      <c r="I173" s="22" t="s">
        <v>19309</v>
      </c>
      <c r="J173" s="22" t="s">
        <v>19310</v>
      </c>
      <c r="K173" s="22" t="s">
        <v>19440</v>
      </c>
      <c r="L173" s="22"/>
      <c r="M173" s="22"/>
      <c r="N173" s="25" t="str">
        <f>HYPERLINK("http://slimages.macys.com/is/image/MCY/21149135 ")</f>
        <v xml:space="preserve">http://slimages.macys.com/is/image/MCY/21149135 </v>
      </c>
    </row>
    <row r="174" spans="1:14" ht="24.75" x14ac:dyDescent="0.25">
      <c r="A174" s="21" t="s">
        <v>2563</v>
      </c>
      <c r="B174" s="22" t="s">
        <v>2564</v>
      </c>
      <c r="C174" s="2">
        <v>2</v>
      </c>
      <c r="D174" s="23">
        <v>17</v>
      </c>
      <c r="E174" s="3">
        <v>34</v>
      </c>
      <c r="F174" s="2" t="s">
        <v>2565</v>
      </c>
      <c r="G174" s="22"/>
      <c r="H174" s="24" t="s">
        <v>19364</v>
      </c>
      <c r="I174" s="22" t="s">
        <v>19309</v>
      </c>
      <c r="J174" s="22" t="s">
        <v>19565</v>
      </c>
      <c r="K174" s="22" t="s">
        <v>6679</v>
      </c>
      <c r="L174" s="22"/>
      <c r="M174" s="22"/>
      <c r="N174" s="25" t="str">
        <f>HYPERLINK("http://slimages.macys.com/is/image/MCY/20346636 ")</f>
        <v xml:space="preserve">http://slimages.macys.com/is/image/MCY/20346636 </v>
      </c>
    </row>
    <row r="175" spans="1:14" x14ac:dyDescent="0.25">
      <c r="A175" s="21" t="s">
        <v>2566</v>
      </c>
      <c r="B175" s="22" t="s">
        <v>2567</v>
      </c>
      <c r="C175" s="2">
        <v>1</v>
      </c>
      <c r="D175" s="23">
        <v>19.989999999999998</v>
      </c>
      <c r="E175" s="3">
        <v>19.989999999999998</v>
      </c>
      <c r="F175" s="2" t="s">
        <v>4679</v>
      </c>
      <c r="G175" s="22" t="s">
        <v>19333</v>
      </c>
      <c r="H175" s="24"/>
      <c r="I175" s="22" t="s">
        <v>19309</v>
      </c>
      <c r="J175" s="22" t="s">
        <v>19696</v>
      </c>
      <c r="K175" s="22" t="s">
        <v>18094</v>
      </c>
      <c r="L175" s="22"/>
      <c r="M175" s="22"/>
      <c r="N175" s="25" t="str">
        <f>HYPERLINK("http://slimages.macys.com/is/image/MCY/20426342 ")</f>
        <v xml:space="preserve">http://slimages.macys.com/is/image/MCY/20426342 </v>
      </c>
    </row>
    <row r="176" spans="1:14" ht="24.75" x14ac:dyDescent="0.25">
      <c r="A176" s="21" t="s">
        <v>2568</v>
      </c>
      <c r="B176" s="22" t="s">
        <v>2569</v>
      </c>
      <c r="C176" s="2">
        <v>1</v>
      </c>
      <c r="D176" s="23">
        <v>21.99</v>
      </c>
      <c r="E176" s="3">
        <v>21.99</v>
      </c>
      <c r="F176" s="2" t="s">
        <v>15367</v>
      </c>
      <c r="G176" s="22" t="s">
        <v>19518</v>
      </c>
      <c r="H176" s="24" t="s">
        <v>19377</v>
      </c>
      <c r="I176" s="22" t="s">
        <v>19309</v>
      </c>
      <c r="J176" s="22" t="s">
        <v>19849</v>
      </c>
      <c r="K176" s="22" t="s">
        <v>19850</v>
      </c>
      <c r="L176" s="22"/>
      <c r="M176" s="22"/>
      <c r="N176" s="25" t="str">
        <f>HYPERLINK("http://slimages.macys.com/is/image/MCY/20143304 ")</f>
        <v xml:space="preserve">http://slimages.macys.com/is/image/MCY/20143304 </v>
      </c>
    </row>
    <row r="177" spans="1:14" x14ac:dyDescent="0.25">
      <c r="A177" s="21" t="s">
        <v>15372</v>
      </c>
      <c r="B177" s="22" t="s">
        <v>15373</v>
      </c>
      <c r="C177" s="2">
        <v>11</v>
      </c>
      <c r="D177" s="23">
        <v>16.989999999999998</v>
      </c>
      <c r="E177" s="3">
        <v>186.89</v>
      </c>
      <c r="F177" s="2" t="s">
        <v>20002</v>
      </c>
      <c r="G177" s="22" t="s">
        <v>19477</v>
      </c>
      <c r="H177" s="24" t="s">
        <v>19352</v>
      </c>
      <c r="I177" s="22" t="s">
        <v>19309</v>
      </c>
      <c r="J177" s="22" t="s">
        <v>19849</v>
      </c>
      <c r="K177" s="22" t="s">
        <v>19850</v>
      </c>
      <c r="L177" s="22"/>
      <c r="M177" s="22"/>
      <c r="N177" s="25" t="str">
        <f>HYPERLINK("http://slimages.macys.com/is/image/MCY/20549392 ")</f>
        <v xml:space="preserve">http://slimages.macys.com/is/image/MCY/20549392 </v>
      </c>
    </row>
    <row r="178" spans="1:14" x14ac:dyDescent="0.25">
      <c r="A178" s="21" t="s">
        <v>20011</v>
      </c>
      <c r="B178" s="22" t="s">
        <v>20012</v>
      </c>
      <c r="C178" s="2">
        <v>7</v>
      </c>
      <c r="D178" s="23">
        <v>16.989999999999998</v>
      </c>
      <c r="E178" s="3">
        <v>118.93</v>
      </c>
      <c r="F178" s="2" t="s">
        <v>20002</v>
      </c>
      <c r="G178" s="22" t="s">
        <v>19477</v>
      </c>
      <c r="H178" s="24" t="s">
        <v>19364</v>
      </c>
      <c r="I178" s="22" t="s">
        <v>19309</v>
      </c>
      <c r="J178" s="22" t="s">
        <v>19849</v>
      </c>
      <c r="K178" s="22" t="s">
        <v>19850</v>
      </c>
      <c r="L178" s="22"/>
      <c r="M178" s="22"/>
      <c r="N178" s="25" t="str">
        <f>HYPERLINK("http://slimages.macys.com/is/image/MCY/20549392 ")</f>
        <v xml:space="preserve">http://slimages.macys.com/is/image/MCY/20549392 </v>
      </c>
    </row>
    <row r="179" spans="1:14" x14ac:dyDescent="0.25">
      <c r="A179" s="21" t="s">
        <v>20007</v>
      </c>
      <c r="B179" s="22" t="s">
        <v>20008</v>
      </c>
      <c r="C179" s="2">
        <v>4</v>
      </c>
      <c r="D179" s="23">
        <v>16.989999999999998</v>
      </c>
      <c r="E179" s="3">
        <v>67.959999999999994</v>
      </c>
      <c r="F179" s="2" t="s">
        <v>20002</v>
      </c>
      <c r="G179" s="22" t="s">
        <v>19477</v>
      </c>
      <c r="H179" s="24" t="s">
        <v>19797</v>
      </c>
      <c r="I179" s="22" t="s">
        <v>19309</v>
      </c>
      <c r="J179" s="22" t="s">
        <v>19849</v>
      </c>
      <c r="K179" s="22" t="s">
        <v>19850</v>
      </c>
      <c r="L179" s="22"/>
      <c r="M179" s="22"/>
      <c r="N179" s="25" t="str">
        <f>HYPERLINK("http://slimages.macys.com/is/image/MCY/20549392 ")</f>
        <v xml:space="preserve">http://slimages.macys.com/is/image/MCY/20549392 </v>
      </c>
    </row>
    <row r="180" spans="1:14" x14ac:dyDescent="0.25">
      <c r="A180" s="21" t="s">
        <v>15376</v>
      </c>
      <c r="B180" s="22" t="s">
        <v>15377</v>
      </c>
      <c r="C180" s="2">
        <v>1</v>
      </c>
      <c r="D180" s="23">
        <v>16.989999999999998</v>
      </c>
      <c r="E180" s="3">
        <v>16.989999999999998</v>
      </c>
      <c r="F180" s="2" t="s">
        <v>20002</v>
      </c>
      <c r="G180" s="22" t="s">
        <v>19477</v>
      </c>
      <c r="H180" s="24"/>
      <c r="I180" s="22" t="s">
        <v>19309</v>
      </c>
      <c r="J180" s="22" t="s">
        <v>19849</v>
      </c>
      <c r="K180" s="22" t="s">
        <v>19850</v>
      </c>
      <c r="L180" s="22"/>
      <c r="M180" s="22"/>
      <c r="N180" s="25" t="str">
        <f>HYPERLINK("http://slimages.macys.com/is/image/MCY/20549392 ")</f>
        <v xml:space="preserve">http://slimages.macys.com/is/image/MCY/20549392 </v>
      </c>
    </row>
    <row r="181" spans="1:14" x14ac:dyDescent="0.25">
      <c r="A181" s="21" t="s">
        <v>20003</v>
      </c>
      <c r="B181" s="22" t="s">
        <v>20004</v>
      </c>
      <c r="C181" s="2">
        <v>1</v>
      </c>
      <c r="D181" s="23">
        <v>16.989999999999998</v>
      </c>
      <c r="E181" s="3">
        <v>16.989999999999998</v>
      </c>
      <c r="F181" s="2" t="s">
        <v>20002</v>
      </c>
      <c r="G181" s="22" t="s">
        <v>19674</v>
      </c>
      <c r="H181" s="24" t="s">
        <v>19364</v>
      </c>
      <c r="I181" s="22" t="s">
        <v>19309</v>
      </c>
      <c r="J181" s="22" t="s">
        <v>19849</v>
      </c>
      <c r="K181" s="22" t="s">
        <v>19850</v>
      </c>
      <c r="L181" s="22"/>
      <c r="M181" s="22"/>
      <c r="N181" s="25" t="str">
        <f>HYPERLINK("http://slimages.macys.com/is/image/MCY/20549392 ")</f>
        <v xml:space="preserve">http://slimages.macys.com/is/image/MCY/20549392 </v>
      </c>
    </row>
    <row r="182" spans="1:14" x14ac:dyDescent="0.25">
      <c r="A182" s="21" t="s">
        <v>2570</v>
      </c>
      <c r="B182" s="22" t="s">
        <v>2571</v>
      </c>
      <c r="C182" s="2">
        <v>1</v>
      </c>
      <c r="D182" s="23">
        <v>20.48</v>
      </c>
      <c r="E182" s="3">
        <v>20.48</v>
      </c>
      <c r="F182" s="2" t="s">
        <v>2572</v>
      </c>
      <c r="G182" s="22"/>
      <c r="H182" s="24" t="s">
        <v>20159</v>
      </c>
      <c r="I182" s="22" t="s">
        <v>19309</v>
      </c>
      <c r="J182" s="22" t="s">
        <v>19708</v>
      </c>
      <c r="K182" s="22" t="s">
        <v>19709</v>
      </c>
      <c r="L182" s="22"/>
      <c r="M182" s="22"/>
      <c r="N182" s="25" t="str">
        <f>HYPERLINK("http://slimages.macys.com/is/image/MCY/21423037 ")</f>
        <v xml:space="preserve">http://slimages.macys.com/is/image/MCY/21423037 </v>
      </c>
    </row>
    <row r="183" spans="1:14" ht="24.75" x14ac:dyDescent="0.25">
      <c r="A183" s="21" t="s">
        <v>2573</v>
      </c>
      <c r="B183" s="22" t="s">
        <v>2574</v>
      </c>
      <c r="C183" s="2">
        <v>1</v>
      </c>
      <c r="D183" s="23">
        <v>15.99</v>
      </c>
      <c r="E183" s="3">
        <v>15.99</v>
      </c>
      <c r="F183" s="2" t="s">
        <v>2575</v>
      </c>
      <c r="G183" s="22" t="s">
        <v>19315</v>
      </c>
      <c r="H183" s="24" t="s">
        <v>19308</v>
      </c>
      <c r="I183" s="22" t="s">
        <v>19309</v>
      </c>
      <c r="J183" s="22" t="s">
        <v>19310</v>
      </c>
      <c r="K183" s="22" t="s">
        <v>19529</v>
      </c>
      <c r="L183" s="22"/>
      <c r="M183" s="22"/>
      <c r="N183" s="25" t="str">
        <f>HYPERLINK("http://slimages.macys.com/is/image/MCY/21333577 ")</f>
        <v xml:space="preserve">http://slimages.macys.com/is/image/MCY/21333577 </v>
      </c>
    </row>
    <row r="184" spans="1:14" ht="24.75" x14ac:dyDescent="0.25">
      <c r="A184" s="21" t="s">
        <v>2576</v>
      </c>
      <c r="B184" s="22" t="s">
        <v>2577</v>
      </c>
      <c r="C184" s="2">
        <v>1</v>
      </c>
      <c r="D184" s="23">
        <v>19.989999999999998</v>
      </c>
      <c r="E184" s="3">
        <v>19.989999999999998</v>
      </c>
      <c r="F184" s="2" t="s">
        <v>10487</v>
      </c>
      <c r="G184" s="22" t="s">
        <v>19342</v>
      </c>
      <c r="H184" s="24" t="s">
        <v>19330</v>
      </c>
      <c r="I184" s="22" t="s">
        <v>19309</v>
      </c>
      <c r="J184" s="22" t="s">
        <v>19385</v>
      </c>
      <c r="K184" s="22" t="s">
        <v>18064</v>
      </c>
      <c r="L184" s="22"/>
      <c r="M184" s="22"/>
      <c r="N184" s="25" t="str">
        <f>HYPERLINK("http://slimages.macys.com/is/image/MCY/20876791 ")</f>
        <v xml:space="preserve">http://slimages.macys.com/is/image/MCY/20876791 </v>
      </c>
    </row>
    <row r="185" spans="1:14" x14ac:dyDescent="0.25">
      <c r="A185" s="21" t="s">
        <v>2578</v>
      </c>
      <c r="B185" s="22" t="s">
        <v>2579</v>
      </c>
      <c r="C185" s="2">
        <v>1</v>
      </c>
      <c r="D185" s="23">
        <v>15.99</v>
      </c>
      <c r="E185" s="3">
        <v>15.99</v>
      </c>
      <c r="F185" s="2" t="s">
        <v>2580</v>
      </c>
      <c r="G185" s="22" t="s">
        <v>19351</v>
      </c>
      <c r="H185" s="24" t="s">
        <v>19339</v>
      </c>
      <c r="I185" s="22" t="s">
        <v>19309</v>
      </c>
      <c r="J185" s="22" t="s">
        <v>19310</v>
      </c>
      <c r="K185" s="22" t="s">
        <v>19529</v>
      </c>
      <c r="L185" s="22"/>
      <c r="M185" s="22"/>
      <c r="N185" s="25" t="str">
        <f>HYPERLINK("http://slimages.macys.com/is/image/MCY/21165638 ")</f>
        <v xml:space="preserve">http://slimages.macys.com/is/image/MCY/21165638 </v>
      </c>
    </row>
    <row r="186" spans="1:14" x14ac:dyDescent="0.25">
      <c r="A186" s="21" t="s">
        <v>2581</v>
      </c>
      <c r="B186" s="22" t="s">
        <v>2582</v>
      </c>
      <c r="C186" s="2">
        <v>1</v>
      </c>
      <c r="D186" s="23">
        <v>16.02</v>
      </c>
      <c r="E186" s="3">
        <v>16.02</v>
      </c>
      <c r="F186" s="2" t="s">
        <v>2583</v>
      </c>
      <c r="G186" s="22" t="s">
        <v>19814</v>
      </c>
      <c r="H186" s="24" t="s">
        <v>20152</v>
      </c>
      <c r="I186" s="22" t="s">
        <v>19309</v>
      </c>
      <c r="J186" s="22" t="s">
        <v>19708</v>
      </c>
      <c r="K186" s="22" t="s">
        <v>19709</v>
      </c>
      <c r="L186" s="22"/>
      <c r="M186" s="22"/>
      <c r="N186" s="25" t="str">
        <f>HYPERLINK("http://slimages.macys.com/is/image/MCY/21409029 ")</f>
        <v xml:space="preserve">http://slimages.macys.com/is/image/MCY/21409029 </v>
      </c>
    </row>
    <row r="187" spans="1:14" ht="24.75" x14ac:dyDescent="0.25">
      <c r="A187" s="21" t="s">
        <v>2584</v>
      </c>
      <c r="B187" s="22" t="s">
        <v>2585</v>
      </c>
      <c r="C187" s="2">
        <v>1</v>
      </c>
      <c r="D187" s="23">
        <v>22.99</v>
      </c>
      <c r="E187" s="3">
        <v>22.99</v>
      </c>
      <c r="F187" s="2" t="s">
        <v>5251</v>
      </c>
      <c r="G187" s="22" t="s">
        <v>19342</v>
      </c>
      <c r="H187" s="24"/>
      <c r="I187" s="22" t="s">
        <v>19309</v>
      </c>
      <c r="J187" s="22" t="s">
        <v>19491</v>
      </c>
      <c r="K187" s="22" t="s">
        <v>19554</v>
      </c>
      <c r="L187" s="22"/>
      <c r="M187" s="22"/>
      <c r="N187" s="25" t="str">
        <f>HYPERLINK("http://slimages.macys.com/is/image/MCY/21779042 ")</f>
        <v xml:space="preserve">http://slimages.macys.com/is/image/MCY/21779042 </v>
      </c>
    </row>
    <row r="188" spans="1:14" ht="24.75" x14ac:dyDescent="0.25">
      <c r="A188" s="21" t="s">
        <v>2586</v>
      </c>
      <c r="B188" s="22" t="s">
        <v>2587</v>
      </c>
      <c r="C188" s="2">
        <v>1</v>
      </c>
      <c r="D188" s="23">
        <v>13.99</v>
      </c>
      <c r="E188" s="3">
        <v>13.99</v>
      </c>
      <c r="F188" s="2" t="s">
        <v>20050</v>
      </c>
      <c r="G188" s="22" t="s">
        <v>19467</v>
      </c>
      <c r="H188" s="24" t="s">
        <v>19797</v>
      </c>
      <c r="I188" s="22" t="s">
        <v>19309</v>
      </c>
      <c r="J188" s="22" t="s">
        <v>19447</v>
      </c>
      <c r="K188" s="22" t="s">
        <v>19873</v>
      </c>
      <c r="L188" s="22"/>
      <c r="M188" s="22"/>
      <c r="N188" s="25" t="str">
        <f>HYPERLINK("http://slimages.macys.com/is/image/MCY/20670016 ")</f>
        <v xml:space="preserve">http://slimages.macys.com/is/image/MCY/20670016 </v>
      </c>
    </row>
    <row r="189" spans="1:14" x14ac:dyDescent="0.25">
      <c r="A189" s="21" t="s">
        <v>2588</v>
      </c>
      <c r="B189" s="22" t="s">
        <v>2589</v>
      </c>
      <c r="C189" s="2">
        <v>1</v>
      </c>
      <c r="D189" s="23">
        <v>16.22</v>
      </c>
      <c r="E189" s="3">
        <v>16.22</v>
      </c>
      <c r="F189" s="2" t="s">
        <v>6736</v>
      </c>
      <c r="G189" s="22" t="s">
        <v>19342</v>
      </c>
      <c r="H189" s="24" t="s">
        <v>19334</v>
      </c>
      <c r="I189" s="22" t="s">
        <v>19309</v>
      </c>
      <c r="J189" s="22" t="s">
        <v>19514</v>
      </c>
      <c r="K189" s="22" t="s">
        <v>17948</v>
      </c>
      <c r="L189" s="22"/>
      <c r="M189" s="22"/>
      <c r="N189" s="25" t="str">
        <f>HYPERLINK("http://slimages.macys.com/is/image/MCY/21701110 ")</f>
        <v xml:space="preserve">http://slimages.macys.com/is/image/MCY/21701110 </v>
      </c>
    </row>
    <row r="190" spans="1:14" x14ac:dyDescent="0.25">
      <c r="A190" s="21" t="s">
        <v>6734</v>
      </c>
      <c r="B190" s="22" t="s">
        <v>6735</v>
      </c>
      <c r="C190" s="2">
        <v>2</v>
      </c>
      <c r="D190" s="23">
        <v>16.22</v>
      </c>
      <c r="E190" s="3">
        <v>32.44</v>
      </c>
      <c r="F190" s="2" t="s">
        <v>6736</v>
      </c>
      <c r="G190" s="22" t="s">
        <v>19342</v>
      </c>
      <c r="H190" s="24" t="s">
        <v>19392</v>
      </c>
      <c r="I190" s="22" t="s">
        <v>19309</v>
      </c>
      <c r="J190" s="22" t="s">
        <v>19514</v>
      </c>
      <c r="K190" s="22" t="s">
        <v>17948</v>
      </c>
      <c r="L190" s="22"/>
      <c r="M190" s="22"/>
      <c r="N190" s="25" t="str">
        <f>HYPERLINK("http://slimages.macys.com/is/image/MCY/21701110 ")</f>
        <v xml:space="preserve">http://slimages.macys.com/is/image/MCY/21701110 </v>
      </c>
    </row>
    <row r="191" spans="1:14" x14ac:dyDescent="0.25">
      <c r="A191" s="21" t="s">
        <v>18113</v>
      </c>
      <c r="B191" s="22" t="s">
        <v>18114</v>
      </c>
      <c r="C191" s="2">
        <v>1</v>
      </c>
      <c r="D191" s="23">
        <v>16.22</v>
      </c>
      <c r="E191" s="3">
        <v>16.22</v>
      </c>
      <c r="F191" s="2" t="s">
        <v>18115</v>
      </c>
      <c r="G191" s="22" t="s">
        <v>19342</v>
      </c>
      <c r="H191" s="24" t="s">
        <v>19334</v>
      </c>
      <c r="I191" s="22" t="s">
        <v>19309</v>
      </c>
      <c r="J191" s="22" t="s">
        <v>19514</v>
      </c>
      <c r="K191" s="22" t="s">
        <v>17948</v>
      </c>
      <c r="L191" s="22"/>
      <c r="M191" s="22"/>
      <c r="N191" s="25" t="str">
        <f>HYPERLINK("http://slimages.macys.com/is/image/MCY/21701108 ")</f>
        <v xml:space="preserve">http://slimages.macys.com/is/image/MCY/21701108 </v>
      </c>
    </row>
    <row r="192" spans="1:14" x14ac:dyDescent="0.25">
      <c r="A192" s="21" t="s">
        <v>6737</v>
      </c>
      <c r="B192" s="22" t="s">
        <v>6738</v>
      </c>
      <c r="C192" s="2">
        <v>2</v>
      </c>
      <c r="D192" s="23">
        <v>16.22</v>
      </c>
      <c r="E192" s="3">
        <v>32.44</v>
      </c>
      <c r="F192" s="2" t="s">
        <v>6736</v>
      </c>
      <c r="G192" s="22" t="s">
        <v>19342</v>
      </c>
      <c r="H192" s="24" t="s">
        <v>19345</v>
      </c>
      <c r="I192" s="22" t="s">
        <v>19309</v>
      </c>
      <c r="J192" s="22" t="s">
        <v>19514</v>
      </c>
      <c r="K192" s="22" t="s">
        <v>17948</v>
      </c>
      <c r="L192" s="22"/>
      <c r="M192" s="22"/>
      <c r="N192" s="25" t="str">
        <f>HYPERLINK("http://slimages.macys.com/is/image/MCY/21701110 ")</f>
        <v xml:space="preserve">http://slimages.macys.com/is/image/MCY/21701110 </v>
      </c>
    </row>
    <row r="193" spans="1:14" ht="24.75" x14ac:dyDescent="0.25">
      <c r="A193" s="21" t="s">
        <v>2590</v>
      </c>
      <c r="B193" s="22" t="s">
        <v>2591</v>
      </c>
      <c r="C193" s="2">
        <v>2</v>
      </c>
      <c r="D193" s="23">
        <v>20.99</v>
      </c>
      <c r="E193" s="3">
        <v>41.98</v>
      </c>
      <c r="F193" s="2" t="s">
        <v>6749</v>
      </c>
      <c r="G193" s="22" t="s">
        <v>19351</v>
      </c>
      <c r="H193" s="24" t="s">
        <v>19316</v>
      </c>
      <c r="I193" s="22" t="s">
        <v>19309</v>
      </c>
      <c r="J193" s="22" t="s">
        <v>19447</v>
      </c>
      <c r="K193" s="22" t="s">
        <v>18333</v>
      </c>
      <c r="L193" s="22"/>
      <c r="M193" s="22"/>
      <c r="N193" s="25" t="str">
        <f>HYPERLINK("http://slimages.macys.com/is/image/MCY/21193700 ")</f>
        <v xml:space="preserve">http://slimages.macys.com/is/image/MCY/21193700 </v>
      </c>
    </row>
    <row r="194" spans="1:14" ht="24.75" x14ac:dyDescent="0.25">
      <c r="A194" s="21" t="s">
        <v>6746</v>
      </c>
      <c r="B194" s="22" t="s">
        <v>8734</v>
      </c>
      <c r="C194" s="2">
        <v>1</v>
      </c>
      <c r="D194" s="23">
        <v>20.99</v>
      </c>
      <c r="E194" s="3">
        <v>20.99</v>
      </c>
      <c r="F194" s="2" t="s">
        <v>10989</v>
      </c>
      <c r="G194" s="22" t="s">
        <v>19315</v>
      </c>
      <c r="H194" s="24" t="s">
        <v>11751</v>
      </c>
      <c r="I194" s="22" t="s">
        <v>19309</v>
      </c>
      <c r="J194" s="22" t="s">
        <v>19447</v>
      </c>
      <c r="K194" s="22" t="s">
        <v>18333</v>
      </c>
      <c r="L194" s="22"/>
      <c r="M194" s="22"/>
      <c r="N194" s="25" t="str">
        <f>HYPERLINK("http://slimages.macys.com/is/image/MCY/21048332 ")</f>
        <v xml:space="preserve">http://slimages.macys.com/is/image/MCY/21048332 </v>
      </c>
    </row>
    <row r="195" spans="1:14" ht="24.75" x14ac:dyDescent="0.25">
      <c r="A195" s="21" t="s">
        <v>18116</v>
      </c>
      <c r="B195" s="22" t="s">
        <v>18117</v>
      </c>
      <c r="C195" s="2">
        <v>1</v>
      </c>
      <c r="D195" s="23">
        <v>19.989999999999998</v>
      </c>
      <c r="E195" s="3">
        <v>19.989999999999998</v>
      </c>
      <c r="F195" s="2" t="s">
        <v>20060</v>
      </c>
      <c r="G195" s="22" t="s">
        <v>19618</v>
      </c>
      <c r="H195" s="24" t="s">
        <v>19538</v>
      </c>
      <c r="I195" s="22" t="s">
        <v>19309</v>
      </c>
      <c r="J195" s="22" t="s">
        <v>19573</v>
      </c>
      <c r="K195" s="22" t="s">
        <v>19574</v>
      </c>
      <c r="L195" s="22"/>
      <c r="M195" s="22"/>
      <c r="N195" s="25" t="str">
        <f>HYPERLINK("http://slimages.macys.com/is/image/MCY/21088467 ")</f>
        <v xml:space="preserve">http://slimages.macys.com/is/image/MCY/21088467 </v>
      </c>
    </row>
    <row r="196" spans="1:14" ht="24.75" x14ac:dyDescent="0.25">
      <c r="A196" s="21" t="s">
        <v>2592</v>
      </c>
      <c r="B196" s="22" t="s">
        <v>2593</v>
      </c>
      <c r="C196" s="2">
        <v>1</v>
      </c>
      <c r="D196" s="23">
        <v>20.99</v>
      </c>
      <c r="E196" s="3">
        <v>20.99</v>
      </c>
      <c r="F196" s="2" t="s">
        <v>2594</v>
      </c>
      <c r="G196" s="22" t="s">
        <v>19333</v>
      </c>
      <c r="H196" s="24" t="s">
        <v>19538</v>
      </c>
      <c r="I196" s="22" t="s">
        <v>19309</v>
      </c>
      <c r="J196" s="22" t="s">
        <v>19385</v>
      </c>
      <c r="K196" s="22" t="s">
        <v>19386</v>
      </c>
      <c r="L196" s="22"/>
      <c r="M196" s="22"/>
      <c r="N196" s="25" t="str">
        <f>HYPERLINK("http://slimages.macys.com/is/image/MCY/21313481 ")</f>
        <v xml:space="preserve">http://slimages.macys.com/is/image/MCY/21313481 </v>
      </c>
    </row>
    <row r="197" spans="1:14" x14ac:dyDescent="0.25">
      <c r="A197" s="21" t="s">
        <v>2595</v>
      </c>
      <c r="B197" s="22" t="s">
        <v>2596</v>
      </c>
      <c r="C197" s="2">
        <v>2</v>
      </c>
      <c r="D197" s="23">
        <v>15.99</v>
      </c>
      <c r="E197" s="3">
        <v>31.98</v>
      </c>
      <c r="F197" s="2" t="s">
        <v>20063</v>
      </c>
      <c r="G197" s="22" t="s">
        <v>19333</v>
      </c>
      <c r="H197" s="24" t="s">
        <v>19334</v>
      </c>
      <c r="I197" s="22" t="s">
        <v>19309</v>
      </c>
      <c r="J197" s="22" t="s">
        <v>19310</v>
      </c>
      <c r="K197" s="22" t="s">
        <v>19440</v>
      </c>
      <c r="L197" s="22"/>
      <c r="M197" s="22"/>
      <c r="N197" s="25" t="str">
        <f>HYPERLINK("http://slimages.macys.com/is/image/MCY/21149116 ")</f>
        <v xml:space="preserve">http://slimages.macys.com/is/image/MCY/21149116 </v>
      </c>
    </row>
    <row r="198" spans="1:14" x14ac:dyDescent="0.25">
      <c r="A198" s="21" t="s">
        <v>2597</v>
      </c>
      <c r="B198" s="22" t="s">
        <v>2598</v>
      </c>
      <c r="C198" s="2">
        <v>1</v>
      </c>
      <c r="D198" s="23">
        <v>15.99</v>
      </c>
      <c r="E198" s="3">
        <v>15.99</v>
      </c>
      <c r="F198" s="2" t="s">
        <v>18123</v>
      </c>
      <c r="G198" s="22" t="s">
        <v>19351</v>
      </c>
      <c r="H198" s="24" t="s">
        <v>19334</v>
      </c>
      <c r="I198" s="22" t="s">
        <v>19309</v>
      </c>
      <c r="J198" s="22" t="s">
        <v>19310</v>
      </c>
      <c r="K198" s="22" t="s">
        <v>19440</v>
      </c>
      <c r="L198" s="22"/>
      <c r="M198" s="22"/>
      <c r="N198" s="25" t="str">
        <f>HYPERLINK("http://slimages.macys.com/is/image/MCY/20782661 ")</f>
        <v xml:space="preserve">http://slimages.macys.com/is/image/MCY/20782661 </v>
      </c>
    </row>
    <row r="199" spans="1:14" x14ac:dyDescent="0.25">
      <c r="A199" s="21" t="s">
        <v>2599</v>
      </c>
      <c r="B199" s="22" t="s">
        <v>2600</v>
      </c>
      <c r="C199" s="2">
        <v>1</v>
      </c>
      <c r="D199" s="23">
        <v>15.99</v>
      </c>
      <c r="E199" s="3">
        <v>15.99</v>
      </c>
      <c r="F199" s="2" t="s">
        <v>20063</v>
      </c>
      <c r="G199" s="22" t="s">
        <v>19333</v>
      </c>
      <c r="H199" s="24" t="s">
        <v>19432</v>
      </c>
      <c r="I199" s="22" t="s">
        <v>19309</v>
      </c>
      <c r="J199" s="22" t="s">
        <v>19310</v>
      </c>
      <c r="K199" s="22" t="s">
        <v>19440</v>
      </c>
      <c r="L199" s="22"/>
      <c r="M199" s="22"/>
      <c r="N199" s="25" t="str">
        <f>HYPERLINK("http://slimages.macys.com/is/image/MCY/21149116 ")</f>
        <v xml:space="preserve">http://slimages.macys.com/is/image/MCY/21149116 </v>
      </c>
    </row>
    <row r="200" spans="1:14" x14ac:dyDescent="0.25">
      <c r="A200" s="21" t="s">
        <v>10495</v>
      </c>
      <c r="B200" s="22" t="s">
        <v>10496</v>
      </c>
      <c r="C200" s="2">
        <v>1</v>
      </c>
      <c r="D200" s="23">
        <v>15.99</v>
      </c>
      <c r="E200" s="3">
        <v>15.99</v>
      </c>
      <c r="F200" s="2" t="s">
        <v>20063</v>
      </c>
      <c r="G200" s="22" t="s">
        <v>19333</v>
      </c>
      <c r="H200" s="24" t="s">
        <v>19395</v>
      </c>
      <c r="I200" s="22" t="s">
        <v>19309</v>
      </c>
      <c r="J200" s="22" t="s">
        <v>19310</v>
      </c>
      <c r="K200" s="22" t="s">
        <v>19440</v>
      </c>
      <c r="L200" s="22"/>
      <c r="M200" s="22"/>
      <c r="N200" s="25" t="str">
        <f>HYPERLINK("http://slimages.macys.com/is/image/MCY/21149116 ")</f>
        <v xml:space="preserve">http://slimages.macys.com/is/image/MCY/21149116 </v>
      </c>
    </row>
    <row r="201" spans="1:14" x14ac:dyDescent="0.25">
      <c r="A201" s="21" t="s">
        <v>20067</v>
      </c>
      <c r="B201" s="22" t="s">
        <v>20068</v>
      </c>
      <c r="C201" s="2">
        <v>1</v>
      </c>
      <c r="D201" s="23">
        <v>15.99</v>
      </c>
      <c r="E201" s="3">
        <v>15.99</v>
      </c>
      <c r="F201" s="2" t="s">
        <v>20063</v>
      </c>
      <c r="G201" s="22" t="s">
        <v>19333</v>
      </c>
      <c r="H201" s="24" t="s">
        <v>19345</v>
      </c>
      <c r="I201" s="22" t="s">
        <v>19309</v>
      </c>
      <c r="J201" s="22" t="s">
        <v>19310</v>
      </c>
      <c r="K201" s="22" t="s">
        <v>19440</v>
      </c>
      <c r="L201" s="22"/>
      <c r="M201" s="22"/>
      <c r="N201" s="25" t="str">
        <f>HYPERLINK("http://slimages.macys.com/is/image/MCY/21149116 ")</f>
        <v xml:space="preserve">http://slimages.macys.com/is/image/MCY/21149116 </v>
      </c>
    </row>
    <row r="202" spans="1:14" x14ac:dyDescent="0.25">
      <c r="A202" s="21" t="s">
        <v>20061</v>
      </c>
      <c r="B202" s="22" t="s">
        <v>20062</v>
      </c>
      <c r="C202" s="2">
        <v>1</v>
      </c>
      <c r="D202" s="23">
        <v>15.99</v>
      </c>
      <c r="E202" s="3">
        <v>15.99</v>
      </c>
      <c r="F202" s="2" t="s">
        <v>20063</v>
      </c>
      <c r="G202" s="22" t="s">
        <v>19333</v>
      </c>
      <c r="H202" s="24" t="s">
        <v>19542</v>
      </c>
      <c r="I202" s="22" t="s">
        <v>19309</v>
      </c>
      <c r="J202" s="22" t="s">
        <v>19310</v>
      </c>
      <c r="K202" s="22" t="s">
        <v>19440</v>
      </c>
      <c r="L202" s="22"/>
      <c r="M202" s="22"/>
      <c r="N202" s="25" t="str">
        <f>HYPERLINK("http://slimages.macys.com/is/image/MCY/21149116 ")</f>
        <v xml:space="preserve">http://slimages.macys.com/is/image/MCY/21149116 </v>
      </c>
    </row>
    <row r="203" spans="1:14" ht="24.75" x14ac:dyDescent="0.25">
      <c r="A203" s="21" t="s">
        <v>2601</v>
      </c>
      <c r="B203" s="22" t="s">
        <v>2602</v>
      </c>
      <c r="C203" s="2">
        <v>1</v>
      </c>
      <c r="D203" s="23">
        <v>14.99</v>
      </c>
      <c r="E203" s="3">
        <v>14.99</v>
      </c>
      <c r="F203" s="2" t="s">
        <v>6757</v>
      </c>
      <c r="G203" s="22" t="s">
        <v>19814</v>
      </c>
      <c r="H203" s="24" t="s">
        <v>19352</v>
      </c>
      <c r="I203" s="22" t="s">
        <v>19309</v>
      </c>
      <c r="J203" s="22" t="s">
        <v>20076</v>
      </c>
      <c r="K203" s="22" t="s">
        <v>12019</v>
      </c>
      <c r="L203" s="22"/>
      <c r="M203" s="22"/>
      <c r="N203" s="25" t="str">
        <f>HYPERLINK("http://slimages.macys.com/is/image/MCY/18619090 ")</f>
        <v xml:space="preserve">http://slimages.macys.com/is/image/MCY/18619090 </v>
      </c>
    </row>
    <row r="204" spans="1:14" ht="24.75" x14ac:dyDescent="0.25">
      <c r="A204" s="21" t="s">
        <v>2603</v>
      </c>
      <c r="B204" s="22" t="s">
        <v>2604</v>
      </c>
      <c r="C204" s="2">
        <v>1</v>
      </c>
      <c r="D204" s="23">
        <v>14.99</v>
      </c>
      <c r="E204" s="3">
        <v>14.99</v>
      </c>
      <c r="F204" s="2" t="s">
        <v>12077</v>
      </c>
      <c r="G204" s="22" t="s">
        <v>19814</v>
      </c>
      <c r="H204" s="24" t="s">
        <v>19352</v>
      </c>
      <c r="I204" s="22" t="s">
        <v>19309</v>
      </c>
      <c r="J204" s="22" t="s">
        <v>20076</v>
      </c>
      <c r="K204" s="22" t="s">
        <v>12019</v>
      </c>
      <c r="L204" s="22"/>
      <c r="M204" s="22"/>
      <c r="N204" s="25" t="str">
        <f>HYPERLINK("http://slimages.macys.com/is/image/MCY/18619089 ")</f>
        <v xml:space="preserve">http://slimages.macys.com/is/image/MCY/18619089 </v>
      </c>
    </row>
    <row r="205" spans="1:14" ht="24.75" x14ac:dyDescent="0.25">
      <c r="A205" s="21" t="s">
        <v>2605</v>
      </c>
      <c r="B205" s="22" t="s">
        <v>2606</v>
      </c>
      <c r="C205" s="2">
        <v>1</v>
      </c>
      <c r="D205" s="23">
        <v>14.99</v>
      </c>
      <c r="E205" s="3">
        <v>14.99</v>
      </c>
      <c r="F205" s="2" t="s">
        <v>12077</v>
      </c>
      <c r="G205" s="22" t="s">
        <v>19351</v>
      </c>
      <c r="H205" s="24" t="s">
        <v>19339</v>
      </c>
      <c r="I205" s="22" t="s">
        <v>19309</v>
      </c>
      <c r="J205" s="22" t="s">
        <v>20076</v>
      </c>
      <c r="K205" s="22" t="s">
        <v>12019</v>
      </c>
      <c r="L205" s="22"/>
      <c r="M205" s="22"/>
      <c r="N205" s="25" t="str">
        <f>HYPERLINK("http://slimages.macys.com/is/image/MCY/18619089 ")</f>
        <v xml:space="preserve">http://slimages.macys.com/is/image/MCY/18619089 </v>
      </c>
    </row>
    <row r="206" spans="1:14" x14ac:dyDescent="0.25">
      <c r="A206" s="21" t="s">
        <v>2607</v>
      </c>
      <c r="B206" s="22" t="s">
        <v>2608</v>
      </c>
      <c r="C206" s="2">
        <v>2</v>
      </c>
      <c r="D206" s="23">
        <v>15.3</v>
      </c>
      <c r="E206" s="3">
        <v>30.6</v>
      </c>
      <c r="F206" s="2" t="s">
        <v>16001</v>
      </c>
      <c r="G206" s="22"/>
      <c r="H206" s="24" t="s">
        <v>20159</v>
      </c>
      <c r="I206" s="22" t="s">
        <v>19309</v>
      </c>
      <c r="J206" s="22" t="s">
        <v>19708</v>
      </c>
      <c r="K206" s="22" t="s">
        <v>19709</v>
      </c>
      <c r="L206" s="22"/>
      <c r="M206" s="22"/>
      <c r="N206" s="25" t="str">
        <f>HYPERLINK("http://slimages.macys.com/is/image/MCY/21409108 ")</f>
        <v xml:space="preserve">http://slimages.macys.com/is/image/MCY/21409108 </v>
      </c>
    </row>
    <row r="207" spans="1:14" ht="24.75" x14ac:dyDescent="0.25">
      <c r="A207" s="21" t="s">
        <v>20078</v>
      </c>
      <c r="B207" s="22" t="s">
        <v>20079</v>
      </c>
      <c r="C207" s="2">
        <v>1</v>
      </c>
      <c r="D207" s="23">
        <v>15.99</v>
      </c>
      <c r="E207" s="3">
        <v>15.99</v>
      </c>
      <c r="F207" s="2">
        <v>4378</v>
      </c>
      <c r="G207" s="22" t="s">
        <v>19323</v>
      </c>
      <c r="H207" s="24" t="s">
        <v>19797</v>
      </c>
      <c r="I207" s="22" t="s">
        <v>19309</v>
      </c>
      <c r="J207" s="22" t="s">
        <v>20076</v>
      </c>
      <c r="K207" s="22" t="s">
        <v>20077</v>
      </c>
      <c r="L207" s="22"/>
      <c r="M207" s="22"/>
      <c r="N207" s="25" t="str">
        <f>HYPERLINK("http://slimages.macys.com/is/image/MCY/19348122 ")</f>
        <v xml:space="preserve">http://slimages.macys.com/is/image/MCY/19348122 </v>
      </c>
    </row>
    <row r="208" spans="1:14" ht="24.75" x14ac:dyDescent="0.25">
      <c r="A208" s="21" t="s">
        <v>2609</v>
      </c>
      <c r="B208" s="22" t="s">
        <v>2610</v>
      </c>
      <c r="C208" s="2">
        <v>1</v>
      </c>
      <c r="D208" s="23">
        <v>15.99</v>
      </c>
      <c r="E208" s="3">
        <v>15.99</v>
      </c>
      <c r="F208" s="2">
        <v>4378</v>
      </c>
      <c r="G208" s="22" t="s">
        <v>19404</v>
      </c>
      <c r="H208" s="24" t="s">
        <v>19797</v>
      </c>
      <c r="I208" s="22" t="s">
        <v>19309</v>
      </c>
      <c r="J208" s="22" t="s">
        <v>20076</v>
      </c>
      <c r="K208" s="22" t="s">
        <v>20077</v>
      </c>
      <c r="L208" s="22"/>
      <c r="M208" s="22"/>
      <c r="N208" s="25" t="str">
        <f>HYPERLINK("http://slimages.macys.com/is/image/MCY/19348122 ")</f>
        <v xml:space="preserve">http://slimages.macys.com/is/image/MCY/19348122 </v>
      </c>
    </row>
    <row r="209" spans="1:14" ht="24.75" x14ac:dyDescent="0.25">
      <c r="A209" s="21" t="s">
        <v>6762</v>
      </c>
      <c r="B209" s="22" t="s">
        <v>6763</v>
      </c>
      <c r="C209" s="2">
        <v>1</v>
      </c>
      <c r="D209" s="23">
        <v>15.99</v>
      </c>
      <c r="E209" s="3">
        <v>15.99</v>
      </c>
      <c r="F209" s="2">
        <v>4378</v>
      </c>
      <c r="G209" s="22" t="s">
        <v>19404</v>
      </c>
      <c r="H209" s="24" t="s">
        <v>19339</v>
      </c>
      <c r="I209" s="22" t="s">
        <v>19309</v>
      </c>
      <c r="J209" s="22" t="s">
        <v>20076</v>
      </c>
      <c r="K209" s="22" t="s">
        <v>20077</v>
      </c>
      <c r="L209" s="22"/>
      <c r="M209" s="22"/>
      <c r="N209" s="25" t="str">
        <f>HYPERLINK("http://slimages.macys.com/is/image/MCY/19348122 ")</f>
        <v xml:space="preserve">http://slimages.macys.com/is/image/MCY/19348122 </v>
      </c>
    </row>
    <row r="210" spans="1:14" ht="24.75" x14ac:dyDescent="0.25">
      <c r="A210" s="21" t="s">
        <v>7526</v>
      </c>
      <c r="B210" s="22" t="s">
        <v>7527</v>
      </c>
      <c r="C210" s="2">
        <v>1</v>
      </c>
      <c r="D210" s="23">
        <v>14.99</v>
      </c>
      <c r="E210" s="3">
        <v>14.99</v>
      </c>
      <c r="F210" s="2">
        <v>4378</v>
      </c>
      <c r="G210" s="22" t="s">
        <v>19404</v>
      </c>
      <c r="H210" s="24" t="s">
        <v>19339</v>
      </c>
      <c r="I210" s="22" t="s">
        <v>19309</v>
      </c>
      <c r="J210" s="22" t="s">
        <v>20076</v>
      </c>
      <c r="K210" s="22" t="s">
        <v>20077</v>
      </c>
      <c r="L210" s="22"/>
      <c r="M210" s="22"/>
      <c r="N210" s="25" t="str">
        <f>HYPERLINK("http://slimages.macys.com/is/image/MCY/19348122 ")</f>
        <v xml:space="preserve">http://slimages.macys.com/is/image/MCY/19348122 </v>
      </c>
    </row>
    <row r="211" spans="1:14" ht="24.75" x14ac:dyDescent="0.25">
      <c r="A211" s="21" t="s">
        <v>18129</v>
      </c>
      <c r="B211" s="22" t="s">
        <v>18130</v>
      </c>
      <c r="C211" s="2">
        <v>1</v>
      </c>
      <c r="D211" s="23">
        <v>17.989999999999998</v>
      </c>
      <c r="E211" s="3">
        <v>17.989999999999998</v>
      </c>
      <c r="F211" s="2">
        <v>4350</v>
      </c>
      <c r="G211" s="22" t="s">
        <v>19315</v>
      </c>
      <c r="H211" s="24" t="s">
        <v>19352</v>
      </c>
      <c r="I211" s="22" t="s">
        <v>19309</v>
      </c>
      <c r="J211" s="22" t="s">
        <v>20076</v>
      </c>
      <c r="K211" s="22" t="s">
        <v>20077</v>
      </c>
      <c r="L211" s="22"/>
      <c r="M211" s="22"/>
      <c r="N211" s="25" t="str">
        <f>HYPERLINK("http://slimages.macys.com/is/image/MCY/18821763 ")</f>
        <v xml:space="preserve">http://slimages.macys.com/is/image/MCY/18821763 </v>
      </c>
    </row>
    <row r="212" spans="1:14" ht="24.75" x14ac:dyDescent="0.25">
      <c r="A212" s="21" t="s">
        <v>18127</v>
      </c>
      <c r="B212" s="22" t="s">
        <v>18128</v>
      </c>
      <c r="C212" s="2">
        <v>5</v>
      </c>
      <c r="D212" s="23">
        <v>17.989999999999998</v>
      </c>
      <c r="E212" s="3">
        <v>89.95</v>
      </c>
      <c r="F212" s="2">
        <v>4350</v>
      </c>
      <c r="G212" s="22" t="s">
        <v>19315</v>
      </c>
      <c r="H212" s="24" t="s">
        <v>19339</v>
      </c>
      <c r="I212" s="22" t="s">
        <v>19309</v>
      </c>
      <c r="J212" s="22" t="s">
        <v>20076</v>
      </c>
      <c r="K212" s="22" t="s">
        <v>20077</v>
      </c>
      <c r="L212" s="22"/>
      <c r="M212" s="22"/>
      <c r="N212" s="25" t="str">
        <f>HYPERLINK("http://slimages.macys.com/is/image/MCY/18821763 ")</f>
        <v xml:space="preserve">http://slimages.macys.com/is/image/MCY/18821763 </v>
      </c>
    </row>
    <row r="213" spans="1:14" ht="24.75" x14ac:dyDescent="0.25">
      <c r="A213" s="21" t="s">
        <v>2611</v>
      </c>
      <c r="B213" s="22" t="s">
        <v>2612</v>
      </c>
      <c r="C213" s="2">
        <v>1</v>
      </c>
      <c r="D213" s="23">
        <v>12.99</v>
      </c>
      <c r="E213" s="3">
        <v>12.99</v>
      </c>
      <c r="F213" s="2" t="s">
        <v>2613</v>
      </c>
      <c r="G213" s="22" t="s">
        <v>19323</v>
      </c>
      <c r="H213" s="24" t="s">
        <v>19352</v>
      </c>
      <c r="I213" s="22" t="s">
        <v>19309</v>
      </c>
      <c r="J213" s="22" t="s">
        <v>19447</v>
      </c>
      <c r="K213" s="22" t="s">
        <v>19873</v>
      </c>
      <c r="L213" s="22"/>
      <c r="M213" s="22"/>
      <c r="N213" s="25" t="str">
        <f>HYPERLINK("http://slimages.macys.com/is/image/MCY/19575710 ")</f>
        <v xml:space="preserve">http://slimages.macys.com/is/image/MCY/19575710 </v>
      </c>
    </row>
    <row r="214" spans="1:14" ht="24.75" x14ac:dyDescent="0.25">
      <c r="A214" s="21" t="s">
        <v>2614</v>
      </c>
      <c r="B214" s="22" t="s">
        <v>2615</v>
      </c>
      <c r="C214" s="2">
        <v>1</v>
      </c>
      <c r="D214" s="23">
        <v>14.99</v>
      </c>
      <c r="E214" s="3">
        <v>14.99</v>
      </c>
      <c r="F214" s="2" t="s">
        <v>12077</v>
      </c>
      <c r="G214" s="22" t="s">
        <v>19674</v>
      </c>
      <c r="H214" s="24" t="s">
        <v>19797</v>
      </c>
      <c r="I214" s="22" t="s">
        <v>19309</v>
      </c>
      <c r="J214" s="22" t="s">
        <v>20076</v>
      </c>
      <c r="K214" s="22" t="s">
        <v>12019</v>
      </c>
      <c r="L214" s="22"/>
      <c r="M214" s="22"/>
      <c r="N214" s="25" t="str">
        <f>HYPERLINK("http://slimages.macys.com/is/image/MCY/21485286 ")</f>
        <v xml:space="preserve">http://slimages.macys.com/is/image/MCY/21485286 </v>
      </c>
    </row>
    <row r="215" spans="1:14" x14ac:dyDescent="0.25">
      <c r="A215" s="21" t="s">
        <v>2616</v>
      </c>
      <c r="B215" s="22" t="s">
        <v>2617</v>
      </c>
      <c r="C215" s="2">
        <v>1</v>
      </c>
      <c r="D215" s="23">
        <v>24</v>
      </c>
      <c r="E215" s="3">
        <v>24</v>
      </c>
      <c r="F215" s="2" t="s">
        <v>11608</v>
      </c>
      <c r="G215" s="22" t="s">
        <v>19674</v>
      </c>
      <c r="H215" s="24"/>
      <c r="I215" s="22" t="s">
        <v>19309</v>
      </c>
      <c r="J215" s="22" t="s">
        <v>19417</v>
      </c>
      <c r="K215" s="22" t="s">
        <v>20110</v>
      </c>
      <c r="L215" s="22"/>
      <c r="M215" s="22"/>
      <c r="N215" s="25" t="str">
        <f>HYPERLINK("http://slimages.macys.com/is/image/MCY/22527606 ")</f>
        <v xml:space="preserve">http://slimages.macys.com/is/image/MCY/22527606 </v>
      </c>
    </row>
    <row r="216" spans="1:14" ht="24.75" x14ac:dyDescent="0.25">
      <c r="A216" s="21" t="s">
        <v>2618</v>
      </c>
      <c r="B216" s="22" t="s">
        <v>2619</v>
      </c>
      <c r="C216" s="2">
        <v>1</v>
      </c>
      <c r="D216" s="23">
        <v>24</v>
      </c>
      <c r="E216" s="3">
        <v>24</v>
      </c>
      <c r="F216" s="2" t="s">
        <v>11611</v>
      </c>
      <c r="G216" s="22" t="s">
        <v>19351</v>
      </c>
      <c r="H216" s="24" t="s">
        <v>19538</v>
      </c>
      <c r="I216" s="22" t="s">
        <v>19309</v>
      </c>
      <c r="J216" s="22" t="s">
        <v>19417</v>
      </c>
      <c r="K216" s="22" t="s">
        <v>20110</v>
      </c>
      <c r="L216" s="22"/>
      <c r="M216" s="22"/>
      <c r="N216" s="25" t="str">
        <f>HYPERLINK("http://slimages.macys.com/is/image/MCY/22527679 ")</f>
        <v xml:space="preserve">http://slimages.macys.com/is/image/MCY/22527679 </v>
      </c>
    </row>
    <row r="217" spans="1:14" ht="24.75" x14ac:dyDescent="0.25">
      <c r="A217" s="21" t="s">
        <v>2620</v>
      </c>
      <c r="B217" s="22" t="s">
        <v>2621</v>
      </c>
      <c r="C217" s="2">
        <v>1</v>
      </c>
      <c r="D217" s="23">
        <v>14.99</v>
      </c>
      <c r="E217" s="3">
        <v>14.99</v>
      </c>
      <c r="F217" s="2" t="s">
        <v>2622</v>
      </c>
      <c r="G217" s="22" t="s">
        <v>19351</v>
      </c>
      <c r="H217" s="24"/>
      <c r="I217" s="22" t="s">
        <v>19309</v>
      </c>
      <c r="J217" s="22" t="s">
        <v>20076</v>
      </c>
      <c r="K217" s="22" t="s">
        <v>12199</v>
      </c>
      <c r="L217" s="22" t="s">
        <v>19319</v>
      </c>
      <c r="M217" s="22" t="s">
        <v>17531</v>
      </c>
      <c r="N217" s="25" t="str">
        <f>HYPERLINK("http://slimages.macys.com/is/image/MCY/14890517 ")</f>
        <v xml:space="preserve">http://slimages.macys.com/is/image/MCY/14890517 </v>
      </c>
    </row>
    <row r="218" spans="1:14" x14ac:dyDescent="0.25">
      <c r="A218" s="21" t="s">
        <v>11625</v>
      </c>
      <c r="B218" s="22" t="s">
        <v>11626</v>
      </c>
      <c r="C218" s="2">
        <v>1</v>
      </c>
      <c r="D218" s="23">
        <v>18.77</v>
      </c>
      <c r="E218" s="3">
        <v>18.77</v>
      </c>
      <c r="F218" s="2" t="s">
        <v>20119</v>
      </c>
      <c r="G218" s="22"/>
      <c r="H218" s="24" t="s">
        <v>20152</v>
      </c>
      <c r="I218" s="22" t="s">
        <v>19309</v>
      </c>
      <c r="J218" s="22" t="s">
        <v>19708</v>
      </c>
      <c r="K218" s="22" t="s">
        <v>19709</v>
      </c>
      <c r="L218" s="22"/>
      <c r="M218" s="22"/>
      <c r="N218" s="25" t="str">
        <f>HYPERLINK("http://slimages.macys.com/is/image/MCY/22405750 ")</f>
        <v xml:space="preserve">http://slimages.macys.com/is/image/MCY/22405750 </v>
      </c>
    </row>
    <row r="219" spans="1:14" x14ac:dyDescent="0.25">
      <c r="A219" s="21" t="s">
        <v>20128</v>
      </c>
      <c r="B219" s="22" t="s">
        <v>20129</v>
      </c>
      <c r="C219" s="2">
        <v>1</v>
      </c>
      <c r="D219" s="23">
        <v>24.99</v>
      </c>
      <c r="E219" s="3">
        <v>24.99</v>
      </c>
      <c r="F219" s="2" t="s">
        <v>20127</v>
      </c>
      <c r="G219" s="22" t="s">
        <v>19477</v>
      </c>
      <c r="H219" s="24" t="s">
        <v>19797</v>
      </c>
      <c r="I219" s="22" t="s">
        <v>19309</v>
      </c>
      <c r="J219" s="22" t="s">
        <v>19849</v>
      </c>
      <c r="K219" s="22" t="s">
        <v>19850</v>
      </c>
      <c r="L219" s="22"/>
      <c r="M219" s="22"/>
      <c r="N219" s="25" t="str">
        <f>HYPERLINK("http://slimages.macys.com/is/image/MCY/20549485 ")</f>
        <v xml:space="preserve">http://slimages.macys.com/is/image/MCY/20549485 </v>
      </c>
    </row>
    <row r="220" spans="1:14" x14ac:dyDescent="0.25">
      <c r="A220" s="21" t="s">
        <v>2623</v>
      </c>
      <c r="B220" s="22" t="s">
        <v>18066</v>
      </c>
      <c r="C220" s="2">
        <v>1</v>
      </c>
      <c r="D220" s="23">
        <v>24.99</v>
      </c>
      <c r="E220" s="3">
        <v>24.99</v>
      </c>
      <c r="F220" s="2" t="s">
        <v>20127</v>
      </c>
      <c r="G220" s="22" t="s">
        <v>19477</v>
      </c>
      <c r="H220" s="24" t="s">
        <v>19352</v>
      </c>
      <c r="I220" s="22" t="s">
        <v>19309</v>
      </c>
      <c r="J220" s="22" t="s">
        <v>19849</v>
      </c>
      <c r="K220" s="22" t="s">
        <v>19850</v>
      </c>
      <c r="L220" s="22"/>
      <c r="M220" s="22"/>
      <c r="N220" s="25" t="str">
        <f>HYPERLINK("http://slimages.macys.com/is/image/MCY/20549485 ")</f>
        <v xml:space="preserve">http://slimages.macys.com/is/image/MCY/20549485 </v>
      </c>
    </row>
    <row r="221" spans="1:14" x14ac:dyDescent="0.25">
      <c r="A221" s="21" t="s">
        <v>2624</v>
      </c>
      <c r="B221" s="22" t="s">
        <v>2625</v>
      </c>
      <c r="C221" s="2">
        <v>1</v>
      </c>
      <c r="D221" s="23">
        <v>24.99</v>
      </c>
      <c r="E221" s="3">
        <v>24.99</v>
      </c>
      <c r="F221" s="2" t="s">
        <v>11633</v>
      </c>
      <c r="G221" s="22" t="s">
        <v>19674</v>
      </c>
      <c r="H221" s="24" t="s">
        <v>19352</v>
      </c>
      <c r="I221" s="22" t="s">
        <v>19309</v>
      </c>
      <c r="J221" s="22" t="s">
        <v>19849</v>
      </c>
      <c r="K221" s="22" t="s">
        <v>19850</v>
      </c>
      <c r="L221" s="22"/>
      <c r="M221" s="22"/>
      <c r="N221" s="25" t="str">
        <f>HYPERLINK("http://slimages.macys.com/is/image/MCY/20549494 ")</f>
        <v xml:space="preserve">http://slimages.macys.com/is/image/MCY/20549494 </v>
      </c>
    </row>
    <row r="222" spans="1:14" x14ac:dyDescent="0.25">
      <c r="A222" s="21" t="s">
        <v>2626</v>
      </c>
      <c r="B222" s="22" t="s">
        <v>2627</v>
      </c>
      <c r="C222" s="2">
        <v>1</v>
      </c>
      <c r="D222" s="23">
        <v>24.99</v>
      </c>
      <c r="E222" s="3">
        <v>24.99</v>
      </c>
      <c r="F222" s="2" t="s">
        <v>11633</v>
      </c>
      <c r="G222" s="22" t="s">
        <v>19674</v>
      </c>
      <c r="H222" s="24"/>
      <c r="I222" s="22" t="s">
        <v>19309</v>
      </c>
      <c r="J222" s="22" t="s">
        <v>19849</v>
      </c>
      <c r="K222" s="22" t="s">
        <v>19850</v>
      </c>
      <c r="L222" s="22"/>
      <c r="M222" s="22"/>
      <c r="N222" s="25" t="str">
        <f>HYPERLINK("http://slimages.macys.com/is/image/MCY/20549494 ")</f>
        <v xml:space="preserve">http://slimages.macys.com/is/image/MCY/20549494 </v>
      </c>
    </row>
    <row r="223" spans="1:14" x14ac:dyDescent="0.25">
      <c r="A223" s="21" t="s">
        <v>11631</v>
      </c>
      <c r="B223" s="22" t="s">
        <v>11632</v>
      </c>
      <c r="C223" s="2">
        <v>1</v>
      </c>
      <c r="D223" s="23">
        <v>24.99</v>
      </c>
      <c r="E223" s="3">
        <v>24.99</v>
      </c>
      <c r="F223" s="2" t="s">
        <v>11633</v>
      </c>
      <c r="G223" s="22" t="s">
        <v>19674</v>
      </c>
      <c r="H223" s="24" t="s">
        <v>19364</v>
      </c>
      <c r="I223" s="22" t="s">
        <v>19309</v>
      </c>
      <c r="J223" s="22" t="s">
        <v>19849</v>
      </c>
      <c r="K223" s="22" t="s">
        <v>19850</v>
      </c>
      <c r="L223" s="22"/>
      <c r="M223" s="22"/>
      <c r="N223" s="25" t="str">
        <f>HYPERLINK("http://slimages.macys.com/is/image/MCY/20549494 ")</f>
        <v xml:space="preserve">http://slimages.macys.com/is/image/MCY/20549494 </v>
      </c>
    </row>
    <row r="224" spans="1:14" ht="24.75" x14ac:dyDescent="0.25">
      <c r="A224" s="21" t="s">
        <v>2628</v>
      </c>
      <c r="B224" s="22" t="s">
        <v>2629</v>
      </c>
      <c r="C224" s="2">
        <v>1</v>
      </c>
      <c r="D224" s="23">
        <v>16.989999999999998</v>
      </c>
      <c r="E224" s="3">
        <v>16.989999999999998</v>
      </c>
      <c r="F224" s="2" t="s">
        <v>20138</v>
      </c>
      <c r="G224" s="22" t="s">
        <v>19323</v>
      </c>
      <c r="H224" s="24" t="s">
        <v>19377</v>
      </c>
      <c r="I224" s="22" t="s">
        <v>19309</v>
      </c>
      <c r="J224" s="22" t="s">
        <v>19908</v>
      </c>
      <c r="K224" s="22" t="s">
        <v>19524</v>
      </c>
      <c r="L224" s="22"/>
      <c r="M224" s="22"/>
      <c r="N224" s="25" t="str">
        <f>HYPERLINK("http://slimages.macys.com/is/image/MCY/21070306 ")</f>
        <v xml:space="preserve">http://slimages.macys.com/is/image/MCY/21070306 </v>
      </c>
    </row>
    <row r="225" spans="1:14" ht="24.75" x14ac:dyDescent="0.25">
      <c r="A225" s="21" t="s">
        <v>2630</v>
      </c>
      <c r="B225" s="22" t="s">
        <v>2631</v>
      </c>
      <c r="C225" s="2">
        <v>1</v>
      </c>
      <c r="D225" s="23">
        <v>19.989999999999998</v>
      </c>
      <c r="E225" s="3">
        <v>19.989999999999998</v>
      </c>
      <c r="F225" s="2" t="s">
        <v>2632</v>
      </c>
      <c r="G225" s="22" t="s">
        <v>19415</v>
      </c>
      <c r="H225" s="24"/>
      <c r="I225" s="22" t="s">
        <v>19309</v>
      </c>
      <c r="J225" s="22" t="s">
        <v>19573</v>
      </c>
      <c r="K225" s="22" t="s">
        <v>19574</v>
      </c>
      <c r="L225" s="22"/>
      <c r="M225" s="22"/>
      <c r="N225" s="25" t="str">
        <f>HYPERLINK("http://slimages.macys.com/is/image/MCY/20551177 ")</f>
        <v xml:space="preserve">http://slimages.macys.com/is/image/MCY/20551177 </v>
      </c>
    </row>
    <row r="226" spans="1:14" x14ac:dyDescent="0.25">
      <c r="A226" s="21" t="s">
        <v>8572</v>
      </c>
      <c r="B226" s="22" t="s">
        <v>8573</v>
      </c>
      <c r="C226" s="2">
        <v>1</v>
      </c>
      <c r="D226" s="23">
        <v>21.99</v>
      </c>
      <c r="E226" s="3">
        <v>21.99</v>
      </c>
      <c r="F226" s="2" t="s">
        <v>8574</v>
      </c>
      <c r="G226" s="22" t="s">
        <v>19315</v>
      </c>
      <c r="H226" s="24" t="s">
        <v>19352</v>
      </c>
      <c r="I226" s="22" t="s">
        <v>19309</v>
      </c>
      <c r="J226" s="22" t="s">
        <v>19849</v>
      </c>
      <c r="K226" s="22" t="s">
        <v>19850</v>
      </c>
      <c r="L226" s="22"/>
      <c r="M226" s="22"/>
      <c r="N226" s="25" t="str">
        <f>HYPERLINK("http://slimages.macys.com/is/image/MCY/19975559 ")</f>
        <v xml:space="preserve">http://slimages.macys.com/is/image/MCY/19975559 </v>
      </c>
    </row>
    <row r="227" spans="1:14" x14ac:dyDescent="0.25">
      <c r="A227" s="21" t="s">
        <v>2633</v>
      </c>
      <c r="B227" s="22" t="s">
        <v>2634</v>
      </c>
      <c r="C227" s="2">
        <v>1</v>
      </c>
      <c r="D227" s="23">
        <v>18.11</v>
      </c>
      <c r="E227" s="3">
        <v>18.11</v>
      </c>
      <c r="F227" s="2" t="s">
        <v>16048</v>
      </c>
      <c r="G227" s="22"/>
      <c r="H227" s="24" t="s">
        <v>19330</v>
      </c>
      <c r="I227" s="22" t="s">
        <v>19309</v>
      </c>
      <c r="J227" s="22" t="s">
        <v>19708</v>
      </c>
      <c r="K227" s="22" t="s">
        <v>19709</v>
      </c>
      <c r="L227" s="22"/>
      <c r="M227" s="22"/>
      <c r="N227" s="25" t="str">
        <f>HYPERLINK("http://slimages.macys.com/is/image/MCY/21414591 ")</f>
        <v xml:space="preserve">http://slimages.macys.com/is/image/MCY/21414591 </v>
      </c>
    </row>
    <row r="228" spans="1:14" x14ac:dyDescent="0.25">
      <c r="A228" s="21" t="s">
        <v>2635</v>
      </c>
      <c r="B228" s="22" t="s">
        <v>2636</v>
      </c>
      <c r="C228" s="2">
        <v>1</v>
      </c>
      <c r="D228" s="23">
        <v>18.66</v>
      </c>
      <c r="E228" s="3">
        <v>18.66</v>
      </c>
      <c r="F228" s="2" t="s">
        <v>2637</v>
      </c>
      <c r="G228" s="22"/>
      <c r="H228" s="24" t="s">
        <v>20152</v>
      </c>
      <c r="I228" s="22" t="s">
        <v>19309</v>
      </c>
      <c r="J228" s="22" t="s">
        <v>19708</v>
      </c>
      <c r="K228" s="22" t="s">
        <v>19709</v>
      </c>
      <c r="L228" s="22"/>
      <c r="M228" s="22"/>
      <c r="N228" s="25" t="str">
        <f>HYPERLINK("http://slimages.macys.com/is/image/MCY/21414404 ")</f>
        <v xml:space="preserve">http://slimages.macys.com/is/image/MCY/21414404 </v>
      </c>
    </row>
    <row r="229" spans="1:14" x14ac:dyDescent="0.25">
      <c r="A229" s="21" t="s">
        <v>2638</v>
      </c>
      <c r="B229" s="22" t="s">
        <v>2639</v>
      </c>
      <c r="C229" s="2">
        <v>1</v>
      </c>
      <c r="D229" s="23">
        <v>30</v>
      </c>
      <c r="E229" s="3">
        <v>30</v>
      </c>
      <c r="F229" s="2" t="s">
        <v>2640</v>
      </c>
      <c r="G229" s="22" t="s">
        <v>19635</v>
      </c>
      <c r="H229" s="24" t="s">
        <v>19538</v>
      </c>
      <c r="I229" s="22" t="s">
        <v>19309</v>
      </c>
      <c r="J229" s="22" t="s">
        <v>19417</v>
      </c>
      <c r="K229" s="22" t="s">
        <v>18317</v>
      </c>
      <c r="L229" s="22"/>
      <c r="M229" s="22"/>
      <c r="N229" s="25" t="str">
        <f>HYPERLINK("http://slimages.macys.com/is/image/MCY/18855577 ")</f>
        <v xml:space="preserve">http://slimages.macys.com/is/image/MCY/18855577 </v>
      </c>
    </row>
    <row r="230" spans="1:14" x14ac:dyDescent="0.25">
      <c r="A230" s="21" t="s">
        <v>2641</v>
      </c>
      <c r="B230" s="22" t="s">
        <v>2642</v>
      </c>
      <c r="C230" s="2">
        <v>1</v>
      </c>
      <c r="D230" s="23">
        <v>30</v>
      </c>
      <c r="E230" s="3">
        <v>30</v>
      </c>
      <c r="F230" s="2" t="s">
        <v>2640</v>
      </c>
      <c r="G230" s="22" t="s">
        <v>19635</v>
      </c>
      <c r="H230" s="24" t="s">
        <v>19384</v>
      </c>
      <c r="I230" s="22" t="s">
        <v>19309</v>
      </c>
      <c r="J230" s="22" t="s">
        <v>19417</v>
      </c>
      <c r="K230" s="22" t="s">
        <v>18317</v>
      </c>
      <c r="L230" s="22"/>
      <c r="M230" s="22"/>
      <c r="N230" s="25" t="str">
        <f>HYPERLINK("http://slimages.macys.com/is/image/MCY/18855577 ")</f>
        <v xml:space="preserve">http://slimages.macys.com/is/image/MCY/18855577 </v>
      </c>
    </row>
    <row r="231" spans="1:14" ht="24.75" x14ac:dyDescent="0.25">
      <c r="A231" s="21" t="s">
        <v>2643</v>
      </c>
      <c r="B231" s="22" t="s">
        <v>2644</v>
      </c>
      <c r="C231" s="2">
        <v>1</v>
      </c>
      <c r="D231" s="23">
        <v>42.5</v>
      </c>
      <c r="E231" s="3">
        <v>42.5</v>
      </c>
      <c r="F231" s="2" t="s">
        <v>2645</v>
      </c>
      <c r="G231" s="22" t="s">
        <v>19315</v>
      </c>
      <c r="H231" s="24" t="s">
        <v>11751</v>
      </c>
      <c r="I231" s="22" t="s">
        <v>19309</v>
      </c>
      <c r="J231" s="22" t="s">
        <v>12174</v>
      </c>
      <c r="K231" s="22" t="s">
        <v>19546</v>
      </c>
      <c r="L231" s="22"/>
      <c r="M231" s="22"/>
      <c r="N231" s="25" t="str">
        <f>HYPERLINK("http://slimages.macys.com/is/image/MCY/21551045 ")</f>
        <v xml:space="preserve">http://slimages.macys.com/is/image/MCY/21551045 </v>
      </c>
    </row>
    <row r="232" spans="1:14" x14ac:dyDescent="0.25">
      <c r="A232" s="21" t="s">
        <v>2646</v>
      </c>
      <c r="B232" s="22" t="s">
        <v>2647</v>
      </c>
      <c r="C232" s="2">
        <v>1</v>
      </c>
      <c r="D232" s="23">
        <v>14.67</v>
      </c>
      <c r="E232" s="3">
        <v>14.67</v>
      </c>
      <c r="F232" s="2" t="s">
        <v>7568</v>
      </c>
      <c r="G232" s="22"/>
      <c r="H232" s="24" t="s">
        <v>19770</v>
      </c>
      <c r="I232" s="22" t="s">
        <v>19309</v>
      </c>
      <c r="J232" s="22" t="s">
        <v>19708</v>
      </c>
      <c r="K232" s="22" t="s">
        <v>19709</v>
      </c>
      <c r="L232" s="22"/>
      <c r="M232" s="22"/>
      <c r="N232" s="25" t="str">
        <f>HYPERLINK("http://slimages.macys.com/is/image/MCY/19060606 ")</f>
        <v xml:space="preserve">http://slimages.macys.com/is/image/MCY/19060606 </v>
      </c>
    </row>
    <row r="233" spans="1:14" x14ac:dyDescent="0.25">
      <c r="A233" s="21" t="s">
        <v>2648</v>
      </c>
      <c r="B233" s="22" t="s">
        <v>2649</v>
      </c>
      <c r="C233" s="2">
        <v>1</v>
      </c>
      <c r="D233" s="23">
        <v>14.67</v>
      </c>
      <c r="E233" s="3">
        <v>14.67</v>
      </c>
      <c r="F233" s="2" t="s">
        <v>2650</v>
      </c>
      <c r="G233" s="22"/>
      <c r="H233" s="24" t="s">
        <v>20159</v>
      </c>
      <c r="I233" s="22" t="s">
        <v>19309</v>
      </c>
      <c r="J233" s="22" t="s">
        <v>19708</v>
      </c>
      <c r="K233" s="22" t="s">
        <v>19709</v>
      </c>
      <c r="L233" s="22"/>
      <c r="M233" s="22"/>
      <c r="N233" s="25" t="str">
        <f>HYPERLINK("http://slimages.macys.com/is/image/MCY/19062948 ")</f>
        <v xml:space="preserve">http://slimages.macys.com/is/image/MCY/19062948 </v>
      </c>
    </row>
    <row r="234" spans="1:14" ht="24.75" x14ac:dyDescent="0.25">
      <c r="A234" s="21" t="s">
        <v>2651</v>
      </c>
      <c r="B234" s="22" t="s">
        <v>2652</v>
      </c>
      <c r="C234" s="2">
        <v>1</v>
      </c>
      <c r="D234" s="23">
        <v>14.99</v>
      </c>
      <c r="E234" s="3">
        <v>14.99</v>
      </c>
      <c r="F234" s="2" t="s">
        <v>2653</v>
      </c>
      <c r="G234" s="22" t="s">
        <v>19383</v>
      </c>
      <c r="H234" s="24" t="s">
        <v>18139</v>
      </c>
      <c r="I234" s="22" t="s">
        <v>19309</v>
      </c>
      <c r="J234" s="22" t="s">
        <v>20076</v>
      </c>
      <c r="K234" s="22" t="s">
        <v>12029</v>
      </c>
      <c r="L234" s="22"/>
      <c r="M234" s="22"/>
      <c r="N234" s="25" t="str">
        <f>HYPERLINK("http://slimages.macys.com/is/image/MCY/21408301 ")</f>
        <v xml:space="preserve">http://slimages.macys.com/is/image/MCY/21408301 </v>
      </c>
    </row>
    <row r="235" spans="1:14" ht="24.75" x14ac:dyDescent="0.25">
      <c r="A235" s="21" t="s">
        <v>2654</v>
      </c>
      <c r="B235" s="22" t="s">
        <v>2655</v>
      </c>
      <c r="C235" s="2">
        <v>1</v>
      </c>
      <c r="D235" s="23">
        <v>14.99</v>
      </c>
      <c r="E235" s="3">
        <v>14.99</v>
      </c>
      <c r="F235" s="2" t="s">
        <v>2653</v>
      </c>
      <c r="G235" s="22" t="s">
        <v>19383</v>
      </c>
      <c r="H235" s="24" t="s">
        <v>19316</v>
      </c>
      <c r="I235" s="22" t="s">
        <v>19309</v>
      </c>
      <c r="J235" s="22" t="s">
        <v>20076</v>
      </c>
      <c r="K235" s="22" t="s">
        <v>12029</v>
      </c>
      <c r="L235" s="22"/>
      <c r="M235" s="22"/>
      <c r="N235" s="25" t="str">
        <f>HYPERLINK("http://slimages.macys.com/is/image/MCY/21408301 ")</f>
        <v xml:space="preserve">http://slimages.macys.com/is/image/MCY/21408301 </v>
      </c>
    </row>
    <row r="236" spans="1:14" ht="24.75" x14ac:dyDescent="0.25">
      <c r="A236" s="21" t="s">
        <v>2656</v>
      </c>
      <c r="B236" s="22" t="s">
        <v>2657</v>
      </c>
      <c r="C236" s="2">
        <v>1</v>
      </c>
      <c r="D236" s="23">
        <v>14.99</v>
      </c>
      <c r="E236" s="3">
        <v>14.99</v>
      </c>
      <c r="F236" s="2" t="s">
        <v>2653</v>
      </c>
      <c r="G236" s="22" t="s">
        <v>19383</v>
      </c>
      <c r="H236" s="24" t="s">
        <v>12028</v>
      </c>
      <c r="I236" s="22" t="s">
        <v>19309</v>
      </c>
      <c r="J236" s="22" t="s">
        <v>20076</v>
      </c>
      <c r="K236" s="22" t="s">
        <v>12029</v>
      </c>
      <c r="L236" s="22"/>
      <c r="M236" s="22"/>
      <c r="N236" s="25" t="str">
        <f>HYPERLINK("http://slimages.macys.com/is/image/MCY/21408301 ")</f>
        <v xml:space="preserve">http://slimages.macys.com/is/image/MCY/21408301 </v>
      </c>
    </row>
    <row r="237" spans="1:14" ht="24.75" x14ac:dyDescent="0.25">
      <c r="A237" s="21" t="s">
        <v>2658</v>
      </c>
      <c r="B237" s="22" t="s">
        <v>2659</v>
      </c>
      <c r="C237" s="2">
        <v>1</v>
      </c>
      <c r="D237" s="23">
        <v>14.99</v>
      </c>
      <c r="E237" s="3">
        <v>14.99</v>
      </c>
      <c r="F237" s="2" t="s">
        <v>2653</v>
      </c>
      <c r="G237" s="22" t="s">
        <v>19383</v>
      </c>
      <c r="H237" s="24" t="s">
        <v>11751</v>
      </c>
      <c r="I237" s="22" t="s">
        <v>19309</v>
      </c>
      <c r="J237" s="22" t="s">
        <v>20076</v>
      </c>
      <c r="K237" s="22" t="s">
        <v>12029</v>
      </c>
      <c r="L237" s="22"/>
      <c r="M237" s="22"/>
      <c r="N237" s="25" t="str">
        <f>HYPERLINK("http://slimages.macys.com/is/image/MCY/21408301 ")</f>
        <v xml:space="preserve">http://slimages.macys.com/is/image/MCY/21408301 </v>
      </c>
    </row>
    <row r="238" spans="1:14" ht="24.75" x14ac:dyDescent="0.25">
      <c r="A238" s="21" t="s">
        <v>2660</v>
      </c>
      <c r="B238" s="22" t="s">
        <v>5173</v>
      </c>
      <c r="C238" s="2">
        <v>1</v>
      </c>
      <c r="D238" s="23">
        <v>20.99</v>
      </c>
      <c r="E238" s="3">
        <v>20.99</v>
      </c>
      <c r="F238" s="2" t="s">
        <v>2661</v>
      </c>
      <c r="G238" s="22" t="s">
        <v>19315</v>
      </c>
      <c r="H238" s="24" t="s">
        <v>18139</v>
      </c>
      <c r="I238" s="22" t="s">
        <v>19309</v>
      </c>
      <c r="J238" s="22" t="s">
        <v>19447</v>
      </c>
      <c r="K238" s="22" t="s">
        <v>18333</v>
      </c>
      <c r="L238" s="22"/>
      <c r="M238" s="22"/>
      <c r="N238" s="25" t="str">
        <f>HYPERLINK("http://slimages.macys.com/is/image/MCY/19933655 ")</f>
        <v xml:space="preserve">http://slimages.macys.com/is/image/MCY/19933655 </v>
      </c>
    </row>
    <row r="239" spans="1:14" ht="24.75" x14ac:dyDescent="0.25">
      <c r="A239" s="21" t="s">
        <v>2662</v>
      </c>
      <c r="B239" s="22" t="s">
        <v>2663</v>
      </c>
      <c r="C239" s="2">
        <v>1</v>
      </c>
      <c r="D239" s="23">
        <v>20.99</v>
      </c>
      <c r="E239" s="3">
        <v>20.99</v>
      </c>
      <c r="F239" s="2" t="s">
        <v>2664</v>
      </c>
      <c r="G239" s="22" t="s">
        <v>19351</v>
      </c>
      <c r="H239" s="24" t="s">
        <v>19316</v>
      </c>
      <c r="I239" s="22" t="s">
        <v>19309</v>
      </c>
      <c r="J239" s="22" t="s">
        <v>19447</v>
      </c>
      <c r="K239" s="22" t="s">
        <v>18333</v>
      </c>
      <c r="L239" s="22"/>
      <c r="M239" s="22"/>
      <c r="N239" s="25" t="str">
        <f>HYPERLINK("http://slimages.macys.com/is/image/MCY/19404742 ")</f>
        <v xml:space="preserve">http://slimages.macys.com/is/image/MCY/19404742 </v>
      </c>
    </row>
    <row r="240" spans="1:14" ht="24.75" x14ac:dyDescent="0.25">
      <c r="A240" s="21" t="s">
        <v>2665</v>
      </c>
      <c r="B240" s="22" t="s">
        <v>2666</v>
      </c>
      <c r="C240" s="2">
        <v>1</v>
      </c>
      <c r="D240" s="23">
        <v>22.99</v>
      </c>
      <c r="E240" s="3">
        <v>22.99</v>
      </c>
      <c r="F240" s="2" t="s">
        <v>2667</v>
      </c>
      <c r="G240" s="22" t="s">
        <v>19338</v>
      </c>
      <c r="H240" s="24" t="s">
        <v>19352</v>
      </c>
      <c r="I240" s="22" t="s">
        <v>19309</v>
      </c>
      <c r="J240" s="22" t="s">
        <v>19353</v>
      </c>
      <c r="K240" s="22" t="s">
        <v>19524</v>
      </c>
      <c r="L240" s="22"/>
      <c r="M240" s="22"/>
      <c r="N240" s="25" t="str">
        <f>HYPERLINK("http://slimages.macys.com/is/image/MCY/19965622 ")</f>
        <v xml:space="preserve">http://slimages.macys.com/is/image/MCY/19965622 </v>
      </c>
    </row>
    <row r="241" spans="1:14" ht="24.75" x14ac:dyDescent="0.25">
      <c r="A241" s="21" t="s">
        <v>2668</v>
      </c>
      <c r="B241" s="22" t="s">
        <v>2669</v>
      </c>
      <c r="C241" s="2">
        <v>1</v>
      </c>
      <c r="D241" s="23">
        <v>22.99</v>
      </c>
      <c r="E241" s="3">
        <v>22.99</v>
      </c>
      <c r="F241" s="2" t="s">
        <v>2670</v>
      </c>
      <c r="G241" s="22"/>
      <c r="H241" s="24" t="s">
        <v>19364</v>
      </c>
      <c r="I241" s="22" t="s">
        <v>19309</v>
      </c>
      <c r="J241" s="22" t="s">
        <v>19353</v>
      </c>
      <c r="K241" s="22" t="s">
        <v>19524</v>
      </c>
      <c r="L241" s="22"/>
      <c r="M241" s="22"/>
      <c r="N241" s="25" t="str">
        <f>HYPERLINK("http://slimages.macys.com/is/image/MCY/19988425 ")</f>
        <v xml:space="preserve">http://slimages.macys.com/is/image/MCY/19988425 </v>
      </c>
    </row>
    <row r="242" spans="1:14" ht="24.75" x14ac:dyDescent="0.25">
      <c r="A242" s="21" t="s">
        <v>2671</v>
      </c>
      <c r="B242" s="22" t="s">
        <v>2672</v>
      </c>
      <c r="C242" s="2">
        <v>1</v>
      </c>
      <c r="D242" s="23">
        <v>17.989999999999998</v>
      </c>
      <c r="E242" s="3">
        <v>17.989999999999998</v>
      </c>
      <c r="F242" s="2">
        <v>10013097300</v>
      </c>
      <c r="G242" s="22" t="s">
        <v>19618</v>
      </c>
      <c r="H242" s="24" t="s">
        <v>18168</v>
      </c>
      <c r="I242" s="22" t="s">
        <v>19309</v>
      </c>
      <c r="J242" s="22" t="s">
        <v>19573</v>
      </c>
      <c r="K242" s="22" t="s">
        <v>19574</v>
      </c>
      <c r="L242" s="22"/>
      <c r="M242" s="22"/>
      <c r="N242" s="25" t="str">
        <f>HYPERLINK("http://slimages.macys.com/is/image/MCY/19755903 ")</f>
        <v xml:space="preserve">http://slimages.macys.com/is/image/MCY/19755903 </v>
      </c>
    </row>
    <row r="243" spans="1:14" x14ac:dyDescent="0.25">
      <c r="A243" s="21" t="s">
        <v>15471</v>
      </c>
      <c r="B243" s="22" t="s">
        <v>15472</v>
      </c>
      <c r="C243" s="2">
        <v>1</v>
      </c>
      <c r="D243" s="23">
        <v>17.87</v>
      </c>
      <c r="E243" s="3">
        <v>17.87</v>
      </c>
      <c r="F243" s="2" t="s">
        <v>20173</v>
      </c>
      <c r="G243" s="22"/>
      <c r="H243" s="24" t="s">
        <v>20152</v>
      </c>
      <c r="I243" s="22" t="s">
        <v>19309</v>
      </c>
      <c r="J243" s="22" t="s">
        <v>19708</v>
      </c>
      <c r="K243" s="22" t="s">
        <v>19709</v>
      </c>
      <c r="L243" s="22"/>
      <c r="M243" s="22"/>
      <c r="N243" s="25" t="str">
        <f>HYPERLINK("http://slimages.macys.com/is/image/MCY/22405672 ")</f>
        <v xml:space="preserve">http://slimages.macys.com/is/image/MCY/22405672 </v>
      </c>
    </row>
    <row r="244" spans="1:14" x14ac:dyDescent="0.25">
      <c r="A244" s="21" t="s">
        <v>12112</v>
      </c>
      <c r="B244" s="22" t="s">
        <v>12113</v>
      </c>
      <c r="C244" s="2">
        <v>1</v>
      </c>
      <c r="D244" s="23">
        <v>17.87</v>
      </c>
      <c r="E244" s="3">
        <v>17.87</v>
      </c>
      <c r="F244" s="2" t="s">
        <v>20173</v>
      </c>
      <c r="G244" s="22"/>
      <c r="H244" s="24" t="s">
        <v>19416</v>
      </c>
      <c r="I244" s="22" t="s">
        <v>19309</v>
      </c>
      <c r="J244" s="22" t="s">
        <v>19708</v>
      </c>
      <c r="K244" s="22" t="s">
        <v>19709</v>
      </c>
      <c r="L244" s="22"/>
      <c r="M244" s="22"/>
      <c r="N244" s="25" t="str">
        <f>HYPERLINK("http://slimages.macys.com/is/image/MCY/22405672 ")</f>
        <v xml:space="preserve">http://slimages.macys.com/is/image/MCY/22405672 </v>
      </c>
    </row>
    <row r="245" spans="1:14" x14ac:dyDescent="0.25">
      <c r="A245" s="21" t="s">
        <v>15473</v>
      </c>
      <c r="B245" s="22" t="s">
        <v>15474</v>
      </c>
      <c r="C245" s="2">
        <v>1</v>
      </c>
      <c r="D245" s="23">
        <v>17.87</v>
      </c>
      <c r="E245" s="3">
        <v>17.87</v>
      </c>
      <c r="F245" s="2" t="s">
        <v>20173</v>
      </c>
      <c r="G245" s="22"/>
      <c r="H245" s="24" t="s">
        <v>20159</v>
      </c>
      <c r="I245" s="22" t="s">
        <v>19309</v>
      </c>
      <c r="J245" s="22" t="s">
        <v>19708</v>
      </c>
      <c r="K245" s="22" t="s">
        <v>19709</v>
      </c>
      <c r="L245" s="22"/>
      <c r="M245" s="22"/>
      <c r="N245" s="25" t="str">
        <f>HYPERLINK("http://slimages.macys.com/is/image/MCY/22405672 ")</f>
        <v xml:space="preserve">http://slimages.macys.com/is/image/MCY/22405672 </v>
      </c>
    </row>
    <row r="246" spans="1:14" x14ac:dyDescent="0.25">
      <c r="A246" s="21" t="s">
        <v>20187</v>
      </c>
      <c r="B246" s="22" t="s">
        <v>20188</v>
      </c>
      <c r="C246" s="2">
        <v>2</v>
      </c>
      <c r="D246" s="23">
        <v>17.87</v>
      </c>
      <c r="E246" s="3">
        <v>35.74</v>
      </c>
      <c r="F246" s="2" t="s">
        <v>20176</v>
      </c>
      <c r="G246" s="22"/>
      <c r="H246" s="24" t="s">
        <v>19770</v>
      </c>
      <c r="I246" s="22" t="s">
        <v>19309</v>
      </c>
      <c r="J246" s="22" t="s">
        <v>19708</v>
      </c>
      <c r="K246" s="22" t="s">
        <v>19709</v>
      </c>
      <c r="L246" s="22"/>
      <c r="M246" s="22"/>
      <c r="N246" s="25" t="str">
        <f>HYPERLINK("http://slimages.macys.com/is/image/MCY/22405968 ")</f>
        <v xml:space="preserve">http://slimages.macys.com/is/image/MCY/22405968 </v>
      </c>
    </row>
    <row r="247" spans="1:14" x14ac:dyDescent="0.25">
      <c r="A247" s="21" t="s">
        <v>13129</v>
      </c>
      <c r="B247" s="22" t="s">
        <v>13130</v>
      </c>
      <c r="C247" s="2">
        <v>1</v>
      </c>
      <c r="D247" s="23">
        <v>17.87</v>
      </c>
      <c r="E247" s="3">
        <v>17.87</v>
      </c>
      <c r="F247" s="2" t="s">
        <v>20182</v>
      </c>
      <c r="G247" s="22"/>
      <c r="H247" s="24" t="s">
        <v>20152</v>
      </c>
      <c r="I247" s="22" t="s">
        <v>19309</v>
      </c>
      <c r="J247" s="22" t="s">
        <v>19708</v>
      </c>
      <c r="K247" s="22" t="s">
        <v>19709</v>
      </c>
      <c r="L247" s="22"/>
      <c r="M247" s="22"/>
      <c r="N247" s="25" t="str">
        <f>HYPERLINK("http://slimages.macys.com/is/image/MCY/22405971 ")</f>
        <v xml:space="preserve">http://slimages.macys.com/is/image/MCY/22405971 </v>
      </c>
    </row>
    <row r="248" spans="1:14" ht="24.75" x14ac:dyDescent="0.25">
      <c r="A248" s="21" t="s">
        <v>18188</v>
      </c>
      <c r="B248" s="22" t="s">
        <v>18189</v>
      </c>
      <c r="C248" s="2">
        <v>2</v>
      </c>
      <c r="D248" s="23">
        <v>15.72</v>
      </c>
      <c r="E248" s="3">
        <v>31.44</v>
      </c>
      <c r="F248" s="2" t="s">
        <v>18190</v>
      </c>
      <c r="G248" s="22" t="s">
        <v>19333</v>
      </c>
      <c r="H248" s="24" t="s">
        <v>19334</v>
      </c>
      <c r="I248" s="22" t="s">
        <v>19309</v>
      </c>
      <c r="J248" s="22" t="s">
        <v>19602</v>
      </c>
      <c r="K248" s="22" t="s">
        <v>20041</v>
      </c>
      <c r="L248" s="22"/>
      <c r="M248" s="22"/>
      <c r="N248" s="25" t="str">
        <f>HYPERLINK("http://slimages.macys.com/is/image/MCY/20529115 ")</f>
        <v xml:space="preserve">http://slimages.macys.com/is/image/MCY/20529115 </v>
      </c>
    </row>
    <row r="249" spans="1:14" x14ac:dyDescent="0.25">
      <c r="A249" s="21" t="s">
        <v>2673</v>
      </c>
      <c r="B249" s="22" t="s">
        <v>2674</v>
      </c>
      <c r="C249" s="2">
        <v>1</v>
      </c>
      <c r="D249" s="23">
        <v>17.86</v>
      </c>
      <c r="E249" s="3">
        <v>17.86</v>
      </c>
      <c r="F249" s="2" t="s">
        <v>2675</v>
      </c>
      <c r="G249" s="22"/>
      <c r="H249" s="24" t="s">
        <v>20152</v>
      </c>
      <c r="I249" s="22" t="s">
        <v>19309</v>
      </c>
      <c r="J249" s="22" t="s">
        <v>19708</v>
      </c>
      <c r="K249" s="22" t="s">
        <v>19709</v>
      </c>
      <c r="L249" s="22"/>
      <c r="M249" s="22"/>
      <c r="N249" s="25" t="str">
        <f>HYPERLINK("http://slimages.macys.com/is/image/MCY/21422946 ")</f>
        <v xml:space="preserve">http://slimages.macys.com/is/image/MCY/21422946 </v>
      </c>
    </row>
    <row r="250" spans="1:14" ht="24.75" x14ac:dyDescent="0.25">
      <c r="A250" s="21" t="s">
        <v>2676</v>
      </c>
      <c r="B250" s="22" t="s">
        <v>2677</v>
      </c>
      <c r="C250" s="2">
        <v>1</v>
      </c>
      <c r="D250" s="23">
        <v>15.99</v>
      </c>
      <c r="E250" s="3">
        <v>15.99</v>
      </c>
      <c r="F250" s="2" t="s">
        <v>2678</v>
      </c>
      <c r="G250" s="22" t="s">
        <v>19315</v>
      </c>
      <c r="H250" s="24"/>
      <c r="I250" s="22" t="s">
        <v>19309</v>
      </c>
      <c r="J250" s="22" t="s">
        <v>19310</v>
      </c>
      <c r="K250" s="22" t="s">
        <v>2679</v>
      </c>
      <c r="L250" s="22"/>
      <c r="M250" s="22"/>
      <c r="N250" s="25" t="str">
        <f>HYPERLINK("http://slimages.macys.com/is/image/MCY/21678938 ")</f>
        <v xml:space="preserve">http://slimages.macys.com/is/image/MCY/21678938 </v>
      </c>
    </row>
    <row r="251" spans="1:14" ht="24.75" x14ac:dyDescent="0.25">
      <c r="A251" s="21" t="s">
        <v>2680</v>
      </c>
      <c r="B251" s="22" t="s">
        <v>2681</v>
      </c>
      <c r="C251" s="2">
        <v>1</v>
      </c>
      <c r="D251" s="23">
        <v>15.99</v>
      </c>
      <c r="E251" s="3">
        <v>15.99</v>
      </c>
      <c r="F251" s="2" t="s">
        <v>2678</v>
      </c>
      <c r="G251" s="22" t="s">
        <v>19315</v>
      </c>
      <c r="H251" s="24"/>
      <c r="I251" s="22" t="s">
        <v>19309</v>
      </c>
      <c r="J251" s="22" t="s">
        <v>19310</v>
      </c>
      <c r="K251" s="22" t="s">
        <v>2679</v>
      </c>
      <c r="L251" s="22"/>
      <c r="M251" s="22"/>
      <c r="N251" s="25" t="str">
        <f>HYPERLINK("http://slimages.macys.com/is/image/MCY/21678938 ")</f>
        <v xml:space="preserve">http://slimages.macys.com/is/image/MCY/21678938 </v>
      </c>
    </row>
    <row r="252" spans="1:14" ht="24.75" x14ac:dyDescent="0.25">
      <c r="A252" s="21" t="s">
        <v>2682</v>
      </c>
      <c r="B252" s="22" t="s">
        <v>2683</v>
      </c>
      <c r="C252" s="2">
        <v>1</v>
      </c>
      <c r="D252" s="23">
        <v>15.99</v>
      </c>
      <c r="E252" s="3">
        <v>15.99</v>
      </c>
      <c r="F252" s="2" t="s">
        <v>2684</v>
      </c>
      <c r="G252" s="22" t="s">
        <v>19794</v>
      </c>
      <c r="H252" s="24" t="s">
        <v>19330</v>
      </c>
      <c r="I252" s="22" t="s">
        <v>19309</v>
      </c>
      <c r="J252" s="22" t="s">
        <v>19385</v>
      </c>
      <c r="K252" s="22" t="s">
        <v>18197</v>
      </c>
      <c r="L252" s="22"/>
      <c r="M252" s="22"/>
      <c r="N252" s="25" t="str">
        <f>HYPERLINK("http://slimages.macys.com/is/image/MCY/21541850 ")</f>
        <v xml:space="preserve">http://slimages.macys.com/is/image/MCY/21541850 </v>
      </c>
    </row>
    <row r="253" spans="1:14" ht="24.75" x14ac:dyDescent="0.25">
      <c r="A253" s="21" t="s">
        <v>2685</v>
      </c>
      <c r="B253" s="22" t="s">
        <v>2686</v>
      </c>
      <c r="C253" s="2">
        <v>1</v>
      </c>
      <c r="D253" s="23">
        <v>15.99</v>
      </c>
      <c r="E253" s="3">
        <v>15.99</v>
      </c>
      <c r="F253" s="2" t="s">
        <v>16082</v>
      </c>
      <c r="G253" s="22" t="s">
        <v>19333</v>
      </c>
      <c r="H253" s="24" t="s">
        <v>19330</v>
      </c>
      <c r="I253" s="22" t="s">
        <v>19309</v>
      </c>
      <c r="J253" s="22" t="s">
        <v>19491</v>
      </c>
      <c r="K253" s="22" t="s">
        <v>18197</v>
      </c>
      <c r="L253" s="22"/>
      <c r="M253" s="22"/>
      <c r="N253" s="25" t="str">
        <f>HYPERLINK("http://slimages.macys.com/is/image/MCY/21541845 ")</f>
        <v xml:space="preserve">http://slimages.macys.com/is/image/MCY/21541845 </v>
      </c>
    </row>
    <row r="254" spans="1:14" x14ac:dyDescent="0.25">
      <c r="A254" s="21" t="s">
        <v>2687</v>
      </c>
      <c r="B254" s="22" t="s">
        <v>2688</v>
      </c>
      <c r="C254" s="2">
        <v>1</v>
      </c>
      <c r="D254" s="23">
        <v>14.99</v>
      </c>
      <c r="E254" s="3">
        <v>14.99</v>
      </c>
      <c r="F254" s="2" t="s">
        <v>13685</v>
      </c>
      <c r="G254" s="22" t="s">
        <v>19713</v>
      </c>
      <c r="H254" s="24" t="s">
        <v>19352</v>
      </c>
      <c r="I254" s="22" t="s">
        <v>19309</v>
      </c>
      <c r="J254" s="22" t="s">
        <v>19849</v>
      </c>
      <c r="K254" s="22" t="s">
        <v>19850</v>
      </c>
      <c r="L254" s="22"/>
      <c r="M254" s="22"/>
      <c r="N254" s="25" t="str">
        <f>HYPERLINK("http://slimages.macys.com/is/image/MCY/21178894 ")</f>
        <v xml:space="preserve">http://slimages.macys.com/is/image/MCY/21178894 </v>
      </c>
    </row>
    <row r="255" spans="1:14" ht="24.75" x14ac:dyDescent="0.25">
      <c r="A255" s="21" t="s">
        <v>2689</v>
      </c>
      <c r="B255" s="22" t="s">
        <v>2690</v>
      </c>
      <c r="C255" s="2">
        <v>1</v>
      </c>
      <c r="D255" s="23">
        <v>15.99</v>
      </c>
      <c r="E255" s="3">
        <v>15.99</v>
      </c>
      <c r="F255" s="2" t="s">
        <v>13690</v>
      </c>
      <c r="G255" s="22" t="s">
        <v>19415</v>
      </c>
      <c r="H255" s="24" t="s">
        <v>19324</v>
      </c>
      <c r="I255" s="22" t="s">
        <v>19309</v>
      </c>
      <c r="J255" s="22" t="s">
        <v>19573</v>
      </c>
      <c r="K255" s="22" t="s">
        <v>19574</v>
      </c>
      <c r="L255" s="22"/>
      <c r="M255" s="22"/>
      <c r="N255" s="25" t="str">
        <f>HYPERLINK("http://slimages.macys.com/is/image/MCY/20757458 ")</f>
        <v xml:space="preserve">http://slimages.macys.com/is/image/MCY/20757458 </v>
      </c>
    </row>
    <row r="256" spans="1:14" x14ac:dyDescent="0.25">
      <c r="A256" s="21" t="s">
        <v>2691</v>
      </c>
      <c r="B256" s="22" t="s">
        <v>2692</v>
      </c>
      <c r="C256" s="2">
        <v>1</v>
      </c>
      <c r="D256" s="23">
        <v>13.77</v>
      </c>
      <c r="E256" s="3">
        <v>13.77</v>
      </c>
      <c r="F256" s="2" t="s">
        <v>2693</v>
      </c>
      <c r="G256" s="22"/>
      <c r="H256" s="24" t="s">
        <v>19416</v>
      </c>
      <c r="I256" s="22" t="s">
        <v>19309</v>
      </c>
      <c r="J256" s="22" t="s">
        <v>19708</v>
      </c>
      <c r="K256" s="22" t="s">
        <v>19709</v>
      </c>
      <c r="L256" s="22"/>
      <c r="M256" s="22"/>
      <c r="N256" s="25" t="str">
        <f>HYPERLINK("http://slimages.macys.com/is/image/MCY/19069114 ")</f>
        <v xml:space="preserve">http://slimages.macys.com/is/image/MCY/19069114 </v>
      </c>
    </row>
    <row r="257" spans="1:14" x14ac:dyDescent="0.25">
      <c r="A257" s="21" t="s">
        <v>13153</v>
      </c>
      <c r="B257" s="22" t="s">
        <v>13154</v>
      </c>
      <c r="C257" s="2">
        <v>1</v>
      </c>
      <c r="D257" s="23">
        <v>13.77</v>
      </c>
      <c r="E257" s="3">
        <v>13.77</v>
      </c>
      <c r="F257" s="2" t="s">
        <v>13150</v>
      </c>
      <c r="G257" s="22"/>
      <c r="H257" s="24" t="s">
        <v>19770</v>
      </c>
      <c r="I257" s="22" t="s">
        <v>19309</v>
      </c>
      <c r="J257" s="22" t="s">
        <v>19708</v>
      </c>
      <c r="K257" s="22" t="s">
        <v>19709</v>
      </c>
      <c r="L257" s="22"/>
      <c r="M257" s="22"/>
      <c r="N257" s="25" t="str">
        <f>HYPERLINK("http://slimages.macys.com/is/image/MCY/19067056 ")</f>
        <v xml:space="preserve">http://slimages.macys.com/is/image/MCY/19067056 </v>
      </c>
    </row>
    <row r="258" spans="1:14" x14ac:dyDescent="0.25">
      <c r="A258" s="21" t="s">
        <v>2694</v>
      </c>
      <c r="B258" s="22" t="s">
        <v>2695</v>
      </c>
      <c r="C258" s="2">
        <v>1</v>
      </c>
      <c r="D258" s="23">
        <v>18.989999999999998</v>
      </c>
      <c r="E258" s="3">
        <v>18.989999999999998</v>
      </c>
      <c r="F258" s="2" t="s">
        <v>12134</v>
      </c>
      <c r="G258" s="22" t="s">
        <v>19674</v>
      </c>
      <c r="H258" s="24" t="s">
        <v>19542</v>
      </c>
      <c r="I258" s="22" t="s">
        <v>19309</v>
      </c>
      <c r="J258" s="22" t="s">
        <v>19849</v>
      </c>
      <c r="K258" s="22" t="s">
        <v>12135</v>
      </c>
      <c r="L258" s="22"/>
      <c r="M258" s="22"/>
      <c r="N258" s="25" t="str">
        <f>HYPERLINK("http://slimages.macys.com/is/image/MCY/20008204 ")</f>
        <v xml:space="preserve">http://slimages.macys.com/is/image/MCY/20008204 </v>
      </c>
    </row>
    <row r="259" spans="1:14" ht="24.75" x14ac:dyDescent="0.25">
      <c r="A259" s="21" t="s">
        <v>2696</v>
      </c>
      <c r="B259" s="22" t="s">
        <v>2697</v>
      </c>
      <c r="C259" s="2">
        <v>1</v>
      </c>
      <c r="D259" s="23">
        <v>26.99</v>
      </c>
      <c r="E259" s="3">
        <v>26.99</v>
      </c>
      <c r="F259" s="2" t="s">
        <v>2698</v>
      </c>
      <c r="G259" s="22" t="s">
        <v>19357</v>
      </c>
      <c r="H259" s="24" t="s">
        <v>19364</v>
      </c>
      <c r="I259" s="22" t="s">
        <v>19309</v>
      </c>
      <c r="J259" s="22" t="s">
        <v>19353</v>
      </c>
      <c r="K259" s="22" t="s">
        <v>19524</v>
      </c>
      <c r="L259" s="22"/>
      <c r="M259" s="22"/>
      <c r="N259" s="25" t="str">
        <f>HYPERLINK("http://slimages.macys.com/is/image/MCY/19988423 ")</f>
        <v xml:space="preserve">http://slimages.macys.com/is/image/MCY/19988423 </v>
      </c>
    </row>
    <row r="260" spans="1:14" ht="24.75" x14ac:dyDescent="0.25">
      <c r="A260" s="21" t="s">
        <v>2699</v>
      </c>
      <c r="B260" s="22" t="s">
        <v>2700</v>
      </c>
      <c r="C260" s="2">
        <v>1</v>
      </c>
      <c r="D260" s="23">
        <v>26.99</v>
      </c>
      <c r="E260" s="3">
        <v>26.99</v>
      </c>
      <c r="F260" s="2" t="s">
        <v>2701</v>
      </c>
      <c r="G260" s="22" t="s">
        <v>19315</v>
      </c>
      <c r="H260" s="24" t="s">
        <v>19339</v>
      </c>
      <c r="I260" s="22" t="s">
        <v>19309</v>
      </c>
      <c r="J260" s="22" t="s">
        <v>19353</v>
      </c>
      <c r="K260" s="22" t="s">
        <v>19524</v>
      </c>
      <c r="L260" s="22"/>
      <c r="M260" s="22"/>
      <c r="N260" s="25" t="str">
        <f>HYPERLINK("http://slimages.macys.com/is/image/MCY/18665980 ")</f>
        <v xml:space="preserve">http://slimages.macys.com/is/image/MCY/18665980 </v>
      </c>
    </row>
    <row r="261" spans="1:14" x14ac:dyDescent="0.25">
      <c r="A261" s="21" t="s">
        <v>2702</v>
      </c>
      <c r="B261" s="22" t="s">
        <v>2703</v>
      </c>
      <c r="C261" s="2">
        <v>1</v>
      </c>
      <c r="D261" s="23">
        <v>17.29</v>
      </c>
      <c r="E261" s="3">
        <v>17.29</v>
      </c>
      <c r="F261" s="2" t="s">
        <v>2704</v>
      </c>
      <c r="G261" s="22"/>
      <c r="H261" s="24" t="s">
        <v>19416</v>
      </c>
      <c r="I261" s="22" t="s">
        <v>19309</v>
      </c>
      <c r="J261" s="22" t="s">
        <v>19708</v>
      </c>
      <c r="K261" s="22" t="s">
        <v>19709</v>
      </c>
      <c r="L261" s="22"/>
      <c r="M261" s="22"/>
      <c r="N261" s="25" t="str">
        <f>HYPERLINK("http://slimages.macys.com/is/image/MCY/19974191 ")</f>
        <v xml:space="preserve">http://slimages.macys.com/is/image/MCY/19974191 </v>
      </c>
    </row>
    <row r="262" spans="1:14" ht="24.75" x14ac:dyDescent="0.25">
      <c r="A262" s="21" t="s">
        <v>3450</v>
      </c>
      <c r="B262" s="22" t="s">
        <v>3451</v>
      </c>
      <c r="C262" s="2">
        <v>1</v>
      </c>
      <c r="D262" s="23">
        <v>15.99</v>
      </c>
      <c r="E262" s="3">
        <v>15.99</v>
      </c>
      <c r="F262" s="2" t="s">
        <v>8874</v>
      </c>
      <c r="G262" s="22" t="s">
        <v>19351</v>
      </c>
      <c r="H262" s="24" t="s">
        <v>20135</v>
      </c>
      <c r="I262" s="22" t="s">
        <v>19309</v>
      </c>
      <c r="J262" s="22" t="s">
        <v>19573</v>
      </c>
      <c r="K262" s="22" t="s">
        <v>19574</v>
      </c>
      <c r="L262" s="22"/>
      <c r="M262" s="22"/>
      <c r="N262" s="25" t="str">
        <f>HYPERLINK("http://slimages.macys.com/is/image/MCY/21907847 ")</f>
        <v xml:space="preserve">http://slimages.macys.com/is/image/MCY/21907847 </v>
      </c>
    </row>
    <row r="263" spans="1:14" x14ac:dyDescent="0.25">
      <c r="A263" s="21" t="s">
        <v>20221</v>
      </c>
      <c r="B263" s="22" t="s">
        <v>20222</v>
      </c>
      <c r="C263" s="2">
        <v>2</v>
      </c>
      <c r="D263" s="23">
        <v>15.99</v>
      </c>
      <c r="E263" s="3">
        <v>31.98</v>
      </c>
      <c r="F263" s="2" t="s">
        <v>20223</v>
      </c>
      <c r="G263" s="22" t="s">
        <v>19477</v>
      </c>
      <c r="H263" s="24" t="s">
        <v>19361</v>
      </c>
      <c r="I263" s="22" t="s">
        <v>19309</v>
      </c>
      <c r="J263" s="22" t="s">
        <v>19849</v>
      </c>
      <c r="K263" s="22" t="s">
        <v>19850</v>
      </c>
      <c r="L263" s="22"/>
      <c r="M263" s="22"/>
      <c r="N263" s="25" t="str">
        <f>HYPERLINK("http://slimages.macys.com/is/image/MCY/1488068 ")</f>
        <v xml:space="preserve">http://slimages.macys.com/is/image/MCY/1488068 </v>
      </c>
    </row>
    <row r="264" spans="1:14" x14ac:dyDescent="0.25">
      <c r="A264" s="21" t="s">
        <v>13715</v>
      </c>
      <c r="B264" s="22" t="s">
        <v>13716</v>
      </c>
      <c r="C264" s="2">
        <v>1</v>
      </c>
      <c r="D264" s="23">
        <v>15.99</v>
      </c>
      <c r="E264" s="3">
        <v>15.99</v>
      </c>
      <c r="F264" s="2" t="s">
        <v>20223</v>
      </c>
      <c r="G264" s="22" t="s">
        <v>19477</v>
      </c>
      <c r="H264" s="24" t="s">
        <v>19377</v>
      </c>
      <c r="I264" s="22" t="s">
        <v>19309</v>
      </c>
      <c r="J264" s="22" t="s">
        <v>19849</v>
      </c>
      <c r="K264" s="22" t="s">
        <v>19850</v>
      </c>
      <c r="L264" s="22"/>
      <c r="M264" s="22"/>
      <c r="N264" s="25" t="str">
        <f>HYPERLINK("http://slimages.macys.com/is/image/MCY/20549380 ")</f>
        <v xml:space="preserve">http://slimages.macys.com/is/image/MCY/20549380 </v>
      </c>
    </row>
    <row r="265" spans="1:14" ht="24.75" x14ac:dyDescent="0.25">
      <c r="A265" s="21" t="s">
        <v>2705</v>
      </c>
      <c r="B265" s="22" t="s">
        <v>2706</v>
      </c>
      <c r="C265" s="2">
        <v>1</v>
      </c>
      <c r="D265" s="23">
        <v>10.99</v>
      </c>
      <c r="E265" s="3">
        <v>10.99</v>
      </c>
      <c r="F265" s="2" t="s">
        <v>2707</v>
      </c>
      <c r="G265" s="22" t="s">
        <v>19467</v>
      </c>
      <c r="H265" s="24" t="s">
        <v>19334</v>
      </c>
      <c r="I265" s="22" t="s">
        <v>19309</v>
      </c>
      <c r="J265" s="22" t="s">
        <v>19447</v>
      </c>
      <c r="K265" s="22" t="s">
        <v>20146</v>
      </c>
      <c r="L265" s="22"/>
      <c r="M265" s="22"/>
      <c r="N265" s="25" t="str">
        <f>HYPERLINK("http://slimages.macys.com/is/image/MCY/20138515 ")</f>
        <v xml:space="preserve">http://slimages.macys.com/is/image/MCY/20138515 </v>
      </c>
    </row>
    <row r="266" spans="1:14" ht="24.75" x14ac:dyDescent="0.25">
      <c r="A266" s="21" t="s">
        <v>5849</v>
      </c>
      <c r="B266" s="22" t="s">
        <v>5850</v>
      </c>
      <c r="C266" s="2">
        <v>2</v>
      </c>
      <c r="D266" s="23">
        <v>15.99</v>
      </c>
      <c r="E266" s="3">
        <v>31.98</v>
      </c>
      <c r="F266" s="2" t="s">
        <v>6815</v>
      </c>
      <c r="G266" s="22" t="s">
        <v>18439</v>
      </c>
      <c r="H266" s="24" t="s">
        <v>19364</v>
      </c>
      <c r="I266" s="22" t="s">
        <v>19309</v>
      </c>
      <c r="J266" s="22" t="s">
        <v>19454</v>
      </c>
      <c r="K266" s="22" t="s">
        <v>18654</v>
      </c>
      <c r="L266" s="22"/>
      <c r="M266" s="22"/>
      <c r="N266" s="25" t="str">
        <f>HYPERLINK("http://slimages.macys.com/is/image/MCY/21708498 ")</f>
        <v xml:space="preserve">http://slimages.macys.com/is/image/MCY/21708498 </v>
      </c>
    </row>
    <row r="267" spans="1:14" ht="24.75" x14ac:dyDescent="0.25">
      <c r="A267" s="21" t="s">
        <v>6813</v>
      </c>
      <c r="B267" s="22" t="s">
        <v>6814</v>
      </c>
      <c r="C267" s="2">
        <v>2</v>
      </c>
      <c r="D267" s="23">
        <v>15.99</v>
      </c>
      <c r="E267" s="3">
        <v>31.98</v>
      </c>
      <c r="F267" s="2" t="s">
        <v>6815</v>
      </c>
      <c r="G267" s="22" t="s">
        <v>18439</v>
      </c>
      <c r="H267" s="24" t="s">
        <v>19352</v>
      </c>
      <c r="I267" s="22" t="s">
        <v>19309</v>
      </c>
      <c r="J267" s="22" t="s">
        <v>19454</v>
      </c>
      <c r="K267" s="22" t="s">
        <v>18654</v>
      </c>
      <c r="L267" s="22"/>
      <c r="M267" s="22"/>
      <c r="N267" s="25" t="str">
        <f>HYPERLINK("http://slimages.macys.com/is/image/MCY/21708498 ")</f>
        <v xml:space="preserve">http://slimages.macys.com/is/image/MCY/21708498 </v>
      </c>
    </row>
    <row r="268" spans="1:14" ht="24.75" x14ac:dyDescent="0.25">
      <c r="A268" s="21" t="s">
        <v>2708</v>
      </c>
      <c r="B268" s="22" t="s">
        <v>2709</v>
      </c>
      <c r="C268" s="2">
        <v>1</v>
      </c>
      <c r="D268" s="23">
        <v>15.99</v>
      </c>
      <c r="E268" s="3">
        <v>15.99</v>
      </c>
      <c r="F268" s="2" t="s">
        <v>6815</v>
      </c>
      <c r="G268" s="22" t="s">
        <v>18439</v>
      </c>
      <c r="H268" s="24" t="s">
        <v>19308</v>
      </c>
      <c r="I268" s="22" t="s">
        <v>19309</v>
      </c>
      <c r="J268" s="22" t="s">
        <v>19454</v>
      </c>
      <c r="K268" s="22" t="s">
        <v>18654</v>
      </c>
      <c r="L268" s="22"/>
      <c r="M268" s="22"/>
      <c r="N268" s="25" t="str">
        <f>HYPERLINK("http://slimages.macys.com/is/image/MCY/21708498 ")</f>
        <v xml:space="preserve">http://slimages.macys.com/is/image/MCY/21708498 </v>
      </c>
    </row>
    <row r="269" spans="1:14" x14ac:dyDescent="0.25">
      <c r="A269" s="21" t="s">
        <v>2710</v>
      </c>
      <c r="B269" s="22" t="s">
        <v>2711</v>
      </c>
      <c r="C269" s="2">
        <v>2</v>
      </c>
      <c r="D269" s="23">
        <v>14.99</v>
      </c>
      <c r="E269" s="3">
        <v>29.98</v>
      </c>
      <c r="F269" s="2" t="s">
        <v>11692</v>
      </c>
      <c r="G269" s="22" t="s">
        <v>19618</v>
      </c>
      <c r="H269" s="24" t="s">
        <v>19352</v>
      </c>
      <c r="I269" s="22" t="s">
        <v>19309</v>
      </c>
      <c r="J269" s="22" t="s">
        <v>19849</v>
      </c>
      <c r="K269" s="22" t="s">
        <v>19850</v>
      </c>
      <c r="L269" s="22"/>
      <c r="M269" s="22"/>
      <c r="N269" s="25" t="str">
        <f>HYPERLINK("http://slimages.macys.com/is/image/MCY/19505448 ")</f>
        <v xml:space="preserve">http://slimages.macys.com/is/image/MCY/19505448 </v>
      </c>
    </row>
    <row r="270" spans="1:14" x14ac:dyDescent="0.25">
      <c r="A270" s="21" t="s">
        <v>2712</v>
      </c>
      <c r="B270" s="22" t="s">
        <v>2713</v>
      </c>
      <c r="C270" s="2">
        <v>1</v>
      </c>
      <c r="D270" s="23">
        <v>14.99</v>
      </c>
      <c r="E270" s="3">
        <v>14.99</v>
      </c>
      <c r="F270" s="2" t="s">
        <v>11692</v>
      </c>
      <c r="G270" s="22" t="s">
        <v>19315</v>
      </c>
      <c r="H270" s="24" t="s">
        <v>19352</v>
      </c>
      <c r="I270" s="22" t="s">
        <v>19309</v>
      </c>
      <c r="J270" s="22" t="s">
        <v>19849</v>
      </c>
      <c r="K270" s="22" t="s">
        <v>19850</v>
      </c>
      <c r="L270" s="22"/>
      <c r="M270" s="22"/>
      <c r="N270" s="25" t="str">
        <f>HYPERLINK("http://slimages.macys.com/is/image/MCY/19505448 ")</f>
        <v xml:space="preserve">http://slimages.macys.com/is/image/MCY/19505448 </v>
      </c>
    </row>
    <row r="271" spans="1:14" ht="24.75" x14ac:dyDescent="0.25">
      <c r="A271" s="21" t="s">
        <v>20252</v>
      </c>
      <c r="B271" s="22" t="s">
        <v>20253</v>
      </c>
      <c r="C271" s="2">
        <v>1</v>
      </c>
      <c r="D271" s="23">
        <v>12.99</v>
      </c>
      <c r="E271" s="3">
        <v>12.99</v>
      </c>
      <c r="F271" s="2" t="s">
        <v>20249</v>
      </c>
      <c r="G271" s="22" t="s">
        <v>19338</v>
      </c>
      <c r="H271" s="24"/>
      <c r="I271" s="22" t="s">
        <v>19309</v>
      </c>
      <c r="J271" s="22" t="s">
        <v>20076</v>
      </c>
      <c r="K271" s="22" t="s">
        <v>20250</v>
      </c>
      <c r="L271" s="22" t="s">
        <v>19319</v>
      </c>
      <c r="M271" s="22" t="s">
        <v>20251</v>
      </c>
      <c r="N271" s="25" t="str">
        <f>HYPERLINK("http://slimages.macys.com/is/image/MCY/9336625 ")</f>
        <v xml:space="preserve">http://slimages.macys.com/is/image/MCY/9336625 </v>
      </c>
    </row>
    <row r="272" spans="1:14" ht="24.75" x14ac:dyDescent="0.25">
      <c r="A272" s="21" t="s">
        <v>2714</v>
      </c>
      <c r="B272" s="22" t="s">
        <v>2715</v>
      </c>
      <c r="C272" s="2">
        <v>1</v>
      </c>
      <c r="D272" s="23">
        <v>12.99</v>
      </c>
      <c r="E272" s="3">
        <v>12.99</v>
      </c>
      <c r="F272" s="2" t="s">
        <v>20249</v>
      </c>
      <c r="G272" s="22" t="s">
        <v>19338</v>
      </c>
      <c r="H272" s="24"/>
      <c r="I272" s="22" t="s">
        <v>19309</v>
      </c>
      <c r="J272" s="22" t="s">
        <v>20076</v>
      </c>
      <c r="K272" s="22" t="s">
        <v>20250</v>
      </c>
      <c r="L272" s="22" t="s">
        <v>19319</v>
      </c>
      <c r="M272" s="22" t="s">
        <v>20251</v>
      </c>
      <c r="N272" s="25" t="str">
        <f>HYPERLINK("http://slimages.macys.com/is/image/MCY/9336625 ")</f>
        <v xml:space="preserve">http://slimages.macys.com/is/image/MCY/9336625 </v>
      </c>
    </row>
    <row r="273" spans="1:14" ht="24.75" x14ac:dyDescent="0.25">
      <c r="A273" s="21" t="s">
        <v>13171</v>
      </c>
      <c r="B273" s="22" t="s">
        <v>13172</v>
      </c>
      <c r="C273" s="2">
        <v>1</v>
      </c>
      <c r="D273" s="23">
        <v>11.99</v>
      </c>
      <c r="E273" s="3">
        <v>11.99</v>
      </c>
      <c r="F273" s="2" t="s">
        <v>13173</v>
      </c>
      <c r="G273" s="22" t="s">
        <v>19333</v>
      </c>
      <c r="H273" s="24" t="s">
        <v>19538</v>
      </c>
      <c r="I273" s="22" t="s">
        <v>19309</v>
      </c>
      <c r="J273" s="22" t="s">
        <v>19573</v>
      </c>
      <c r="K273" s="22" t="s">
        <v>20256</v>
      </c>
      <c r="L273" s="22" t="s">
        <v>19319</v>
      </c>
      <c r="M273" s="22" t="s">
        <v>19358</v>
      </c>
      <c r="N273" s="25" t="str">
        <f>HYPERLINK("http://slimages.macys.com/is/image/MCY/8018009 ")</f>
        <v xml:space="preserve">http://slimages.macys.com/is/image/MCY/8018009 </v>
      </c>
    </row>
    <row r="274" spans="1:14" ht="24.75" x14ac:dyDescent="0.25">
      <c r="A274" s="21" t="s">
        <v>11696</v>
      </c>
      <c r="B274" s="22" t="s">
        <v>11697</v>
      </c>
      <c r="C274" s="2">
        <v>1</v>
      </c>
      <c r="D274" s="23">
        <v>11.99</v>
      </c>
      <c r="E274" s="3">
        <v>11.99</v>
      </c>
      <c r="F274" s="2" t="s">
        <v>18248</v>
      </c>
      <c r="G274" s="22" t="s">
        <v>19357</v>
      </c>
      <c r="H274" s="24" t="s">
        <v>19538</v>
      </c>
      <c r="I274" s="22" t="s">
        <v>19309</v>
      </c>
      <c r="J274" s="22" t="s">
        <v>19573</v>
      </c>
      <c r="K274" s="22" t="s">
        <v>20256</v>
      </c>
      <c r="L274" s="22" t="s">
        <v>19319</v>
      </c>
      <c r="M274" s="22" t="s">
        <v>19358</v>
      </c>
      <c r="N274" s="25" t="str">
        <f>HYPERLINK("http://slimages.macys.com/is/image/MCY/10227910 ")</f>
        <v xml:space="preserve">http://slimages.macys.com/is/image/MCY/10227910 </v>
      </c>
    </row>
    <row r="275" spans="1:14" ht="24.75" x14ac:dyDescent="0.25">
      <c r="A275" s="21" t="s">
        <v>18246</v>
      </c>
      <c r="B275" s="22" t="s">
        <v>18247</v>
      </c>
      <c r="C275" s="2">
        <v>2</v>
      </c>
      <c r="D275" s="23">
        <v>11.99</v>
      </c>
      <c r="E275" s="3">
        <v>23.98</v>
      </c>
      <c r="F275" s="2" t="s">
        <v>18248</v>
      </c>
      <c r="G275" s="22" t="s">
        <v>19357</v>
      </c>
      <c r="H275" s="24" t="s">
        <v>19770</v>
      </c>
      <c r="I275" s="22" t="s">
        <v>19309</v>
      </c>
      <c r="J275" s="22" t="s">
        <v>19573</v>
      </c>
      <c r="K275" s="22" t="s">
        <v>20256</v>
      </c>
      <c r="L275" s="22" t="s">
        <v>19319</v>
      </c>
      <c r="M275" s="22" t="s">
        <v>19358</v>
      </c>
      <c r="N275" s="25" t="str">
        <f>HYPERLINK("http://slimages.macys.com/is/image/MCY/10227910 ")</f>
        <v xml:space="preserve">http://slimages.macys.com/is/image/MCY/10227910 </v>
      </c>
    </row>
    <row r="276" spans="1:14" ht="24.75" x14ac:dyDescent="0.25">
      <c r="A276" s="21" t="s">
        <v>12167</v>
      </c>
      <c r="B276" s="22" t="s">
        <v>12168</v>
      </c>
      <c r="C276" s="2">
        <v>1</v>
      </c>
      <c r="D276" s="23">
        <v>11.99</v>
      </c>
      <c r="E276" s="3">
        <v>11.99</v>
      </c>
      <c r="F276" s="2" t="s">
        <v>13173</v>
      </c>
      <c r="G276" s="22" t="s">
        <v>19333</v>
      </c>
      <c r="H276" s="24"/>
      <c r="I276" s="22" t="s">
        <v>19309</v>
      </c>
      <c r="J276" s="22" t="s">
        <v>19573</v>
      </c>
      <c r="K276" s="22" t="s">
        <v>20256</v>
      </c>
      <c r="L276" s="22" t="s">
        <v>19319</v>
      </c>
      <c r="M276" s="22" t="s">
        <v>19358</v>
      </c>
      <c r="N276" s="25" t="str">
        <f>HYPERLINK("http://slimages.macys.com/is/image/MCY/8018009 ")</f>
        <v xml:space="preserve">http://slimages.macys.com/is/image/MCY/8018009 </v>
      </c>
    </row>
    <row r="277" spans="1:14" x14ac:dyDescent="0.25">
      <c r="A277" s="21" t="s">
        <v>2716</v>
      </c>
      <c r="B277" s="22" t="s">
        <v>2717</v>
      </c>
      <c r="C277" s="2">
        <v>1</v>
      </c>
      <c r="D277" s="23">
        <v>16.989999999999998</v>
      </c>
      <c r="E277" s="3">
        <v>16.989999999999998</v>
      </c>
      <c r="F277" s="2" t="s">
        <v>18245</v>
      </c>
      <c r="G277" s="22" t="s">
        <v>19431</v>
      </c>
      <c r="H277" s="24" t="s">
        <v>19352</v>
      </c>
      <c r="I277" s="22" t="s">
        <v>19309</v>
      </c>
      <c r="J277" s="22" t="s">
        <v>19849</v>
      </c>
      <c r="K277" s="22" t="s">
        <v>19850</v>
      </c>
      <c r="L277" s="22"/>
      <c r="M277" s="22"/>
      <c r="N277" s="25" t="str">
        <f>HYPERLINK("http://slimages.macys.com/is/image/MCY/21270490 ")</f>
        <v xml:space="preserve">http://slimages.macys.com/is/image/MCY/21270490 </v>
      </c>
    </row>
    <row r="278" spans="1:14" ht="24.75" x14ac:dyDescent="0.25">
      <c r="A278" s="21" t="s">
        <v>5854</v>
      </c>
      <c r="B278" s="22" t="s">
        <v>5855</v>
      </c>
      <c r="C278" s="2">
        <v>1</v>
      </c>
      <c r="D278" s="23">
        <v>16.989999999999998</v>
      </c>
      <c r="E278" s="3">
        <v>16.989999999999998</v>
      </c>
      <c r="F278" s="2" t="s">
        <v>5856</v>
      </c>
      <c r="G278" s="22" t="s">
        <v>19415</v>
      </c>
      <c r="H278" s="24" t="s">
        <v>20135</v>
      </c>
      <c r="I278" s="22" t="s">
        <v>19309</v>
      </c>
      <c r="J278" s="22" t="s">
        <v>19573</v>
      </c>
      <c r="K278" s="22" t="s">
        <v>19574</v>
      </c>
      <c r="L278" s="22"/>
      <c r="M278" s="22"/>
      <c r="N278" s="25" t="str">
        <f>HYPERLINK("http://slimages.macys.com/is/image/MCY/20142506 ")</f>
        <v xml:space="preserve">http://slimages.macys.com/is/image/MCY/20142506 </v>
      </c>
    </row>
    <row r="279" spans="1:14" ht="24.75" x14ac:dyDescent="0.25">
      <c r="A279" s="21" t="s">
        <v>2718</v>
      </c>
      <c r="B279" s="22" t="s">
        <v>2719</v>
      </c>
      <c r="C279" s="2">
        <v>1</v>
      </c>
      <c r="D279" s="23">
        <v>12.99</v>
      </c>
      <c r="E279" s="3">
        <v>12.99</v>
      </c>
      <c r="F279" s="2">
        <v>5133</v>
      </c>
      <c r="G279" s="22" t="s">
        <v>19333</v>
      </c>
      <c r="H279" s="24"/>
      <c r="I279" s="22" t="s">
        <v>19309</v>
      </c>
      <c r="J279" s="22" t="s">
        <v>20076</v>
      </c>
      <c r="K279" s="22" t="s">
        <v>20250</v>
      </c>
      <c r="L279" s="22" t="s">
        <v>19319</v>
      </c>
      <c r="M279" s="22" t="s">
        <v>19689</v>
      </c>
      <c r="N279" s="25" t="str">
        <f>HYPERLINK("http://slimages.macys.com/is/image/MCY/17906319 ")</f>
        <v xml:space="preserve">http://slimages.macys.com/is/image/MCY/17906319 </v>
      </c>
    </row>
    <row r="280" spans="1:14" ht="24.75" x14ac:dyDescent="0.25">
      <c r="A280" s="21" t="s">
        <v>2720</v>
      </c>
      <c r="B280" s="22" t="s">
        <v>2721</v>
      </c>
      <c r="C280" s="2">
        <v>1</v>
      </c>
      <c r="D280" s="23">
        <v>17.989999999999998</v>
      </c>
      <c r="E280" s="3">
        <v>17.989999999999998</v>
      </c>
      <c r="F280" s="2" t="s">
        <v>2722</v>
      </c>
      <c r="G280" s="22" t="s">
        <v>19467</v>
      </c>
      <c r="H280" s="24" t="s">
        <v>18502</v>
      </c>
      <c r="I280" s="22" t="s">
        <v>19309</v>
      </c>
      <c r="J280" s="22" t="s">
        <v>19595</v>
      </c>
      <c r="K280" s="22" t="s">
        <v>18498</v>
      </c>
      <c r="L280" s="22"/>
      <c r="M280" s="22"/>
      <c r="N280" s="25" t="str">
        <f>HYPERLINK("http://slimages.macys.com/is/image/MCY/20652026 ")</f>
        <v xml:space="preserve">http://slimages.macys.com/is/image/MCY/20652026 </v>
      </c>
    </row>
    <row r="281" spans="1:14" ht="24.75" x14ac:dyDescent="0.25">
      <c r="A281" s="21" t="s">
        <v>2723</v>
      </c>
      <c r="B281" s="22" t="s">
        <v>2724</v>
      </c>
      <c r="C281" s="2">
        <v>1</v>
      </c>
      <c r="D281" s="23">
        <v>14.99</v>
      </c>
      <c r="E281" s="3">
        <v>14.99</v>
      </c>
      <c r="F281" s="2" t="s">
        <v>2725</v>
      </c>
      <c r="G281" s="22" t="s">
        <v>19315</v>
      </c>
      <c r="H281" s="24" t="s">
        <v>19364</v>
      </c>
      <c r="I281" s="22" t="s">
        <v>19309</v>
      </c>
      <c r="J281" s="22" t="s">
        <v>19508</v>
      </c>
      <c r="K281" s="22" t="s">
        <v>20024</v>
      </c>
      <c r="L281" s="22"/>
      <c r="M281" s="22"/>
      <c r="N281" s="25" t="str">
        <f>HYPERLINK("http://slimages.macys.com/is/image/MCY/19747655 ")</f>
        <v xml:space="preserve">http://slimages.macys.com/is/image/MCY/19747655 </v>
      </c>
    </row>
    <row r="282" spans="1:14" ht="24.75" x14ac:dyDescent="0.25">
      <c r="A282" s="21" t="s">
        <v>2726</v>
      </c>
      <c r="B282" s="22" t="s">
        <v>2727</v>
      </c>
      <c r="C282" s="2">
        <v>1</v>
      </c>
      <c r="D282" s="23">
        <v>13.99</v>
      </c>
      <c r="E282" s="3">
        <v>13.99</v>
      </c>
      <c r="F282" s="2" t="s">
        <v>2728</v>
      </c>
      <c r="G282" s="22" t="s">
        <v>19351</v>
      </c>
      <c r="H282" s="24" t="s">
        <v>19352</v>
      </c>
      <c r="I282" s="22" t="s">
        <v>19309</v>
      </c>
      <c r="J282" s="22" t="s">
        <v>19508</v>
      </c>
      <c r="K282" s="22" t="s">
        <v>20024</v>
      </c>
      <c r="L282" s="22"/>
      <c r="M282" s="22"/>
      <c r="N282" s="25" t="str">
        <f>HYPERLINK("http://slimages.macys.com/is/image/MCY/18644297 ")</f>
        <v xml:space="preserve">http://slimages.macys.com/is/image/MCY/18644297 </v>
      </c>
    </row>
    <row r="283" spans="1:14" ht="24.75" x14ac:dyDescent="0.25">
      <c r="A283" s="21" t="s">
        <v>2729</v>
      </c>
      <c r="B283" s="22" t="s">
        <v>2730</v>
      </c>
      <c r="C283" s="2">
        <v>1</v>
      </c>
      <c r="D283" s="23">
        <v>12.99</v>
      </c>
      <c r="E283" s="3">
        <v>12.99</v>
      </c>
      <c r="F283" s="2">
        <v>6101</v>
      </c>
      <c r="G283" s="22" t="s">
        <v>18644</v>
      </c>
      <c r="H283" s="24" t="s">
        <v>19339</v>
      </c>
      <c r="I283" s="22" t="s">
        <v>19309</v>
      </c>
      <c r="J283" s="22" t="s">
        <v>20076</v>
      </c>
      <c r="K283" s="22" t="s">
        <v>12019</v>
      </c>
      <c r="L283" s="22" t="s">
        <v>19319</v>
      </c>
      <c r="M283" s="22" t="s">
        <v>2731</v>
      </c>
      <c r="N283" s="25" t="str">
        <f>HYPERLINK("http://slimages.macys.com/is/image/MCY/19674869 ")</f>
        <v xml:space="preserve">http://slimages.macys.com/is/image/MCY/19674869 </v>
      </c>
    </row>
    <row r="284" spans="1:14" ht="24.75" x14ac:dyDescent="0.25">
      <c r="A284" s="21" t="s">
        <v>13729</v>
      </c>
      <c r="B284" s="22" t="s">
        <v>13730</v>
      </c>
      <c r="C284" s="2">
        <v>2</v>
      </c>
      <c r="D284" s="23">
        <v>12.99</v>
      </c>
      <c r="E284" s="3">
        <v>25.98</v>
      </c>
      <c r="F284" s="2">
        <v>5133</v>
      </c>
      <c r="G284" s="22" t="s">
        <v>19333</v>
      </c>
      <c r="H284" s="24"/>
      <c r="I284" s="22" t="s">
        <v>19309</v>
      </c>
      <c r="J284" s="22" t="s">
        <v>20076</v>
      </c>
      <c r="K284" s="22" t="s">
        <v>20250</v>
      </c>
      <c r="L284" s="22" t="s">
        <v>19319</v>
      </c>
      <c r="M284" s="22" t="s">
        <v>19689</v>
      </c>
      <c r="N284" s="25" t="str">
        <f>HYPERLINK("http://slimages.macys.com/is/image/MCY/17906319 ")</f>
        <v xml:space="preserve">http://slimages.macys.com/is/image/MCY/17906319 </v>
      </c>
    </row>
    <row r="285" spans="1:14" ht="24.75" x14ac:dyDescent="0.25">
      <c r="A285" s="21" t="s">
        <v>2732</v>
      </c>
      <c r="B285" s="22" t="s">
        <v>2733</v>
      </c>
      <c r="C285" s="2">
        <v>2</v>
      </c>
      <c r="D285" s="23">
        <v>12.99</v>
      </c>
      <c r="E285" s="3">
        <v>25.98</v>
      </c>
      <c r="F285" s="2">
        <v>5133</v>
      </c>
      <c r="G285" s="22" t="s">
        <v>19333</v>
      </c>
      <c r="H285" s="24"/>
      <c r="I285" s="22" t="s">
        <v>19309</v>
      </c>
      <c r="J285" s="22" t="s">
        <v>20076</v>
      </c>
      <c r="K285" s="22" t="s">
        <v>20250</v>
      </c>
      <c r="L285" s="22" t="s">
        <v>19319</v>
      </c>
      <c r="M285" s="22" t="s">
        <v>19689</v>
      </c>
      <c r="N285" s="25" t="str">
        <f>HYPERLINK("http://slimages.macys.com/is/image/MCY/17906319 ")</f>
        <v xml:space="preserve">http://slimages.macys.com/is/image/MCY/17906319 </v>
      </c>
    </row>
    <row r="286" spans="1:14" ht="24.75" x14ac:dyDescent="0.25">
      <c r="A286" s="21" t="s">
        <v>6816</v>
      </c>
      <c r="B286" s="22" t="s">
        <v>6817</v>
      </c>
      <c r="C286" s="2">
        <v>1</v>
      </c>
      <c r="D286" s="23">
        <v>12.99</v>
      </c>
      <c r="E286" s="3">
        <v>12.99</v>
      </c>
      <c r="F286" s="2">
        <v>5133</v>
      </c>
      <c r="G286" s="22" t="s">
        <v>19333</v>
      </c>
      <c r="H286" s="24"/>
      <c r="I286" s="22" t="s">
        <v>19309</v>
      </c>
      <c r="J286" s="22" t="s">
        <v>20076</v>
      </c>
      <c r="K286" s="22" t="s">
        <v>20250</v>
      </c>
      <c r="L286" s="22" t="s">
        <v>19319</v>
      </c>
      <c r="M286" s="22" t="s">
        <v>19689</v>
      </c>
      <c r="N286" s="25" t="str">
        <f>HYPERLINK("http://slimages.macys.com/is/image/MCY/17906319 ")</f>
        <v xml:space="preserve">http://slimages.macys.com/is/image/MCY/17906319 </v>
      </c>
    </row>
    <row r="287" spans="1:14" ht="24.75" x14ac:dyDescent="0.25">
      <c r="A287" s="21" t="s">
        <v>2734</v>
      </c>
      <c r="B287" s="22" t="s">
        <v>2735</v>
      </c>
      <c r="C287" s="2">
        <v>1</v>
      </c>
      <c r="D287" s="23">
        <v>21.99</v>
      </c>
      <c r="E287" s="3">
        <v>21.99</v>
      </c>
      <c r="F287" s="2" t="s">
        <v>2736</v>
      </c>
      <c r="G287" s="22" t="s">
        <v>19333</v>
      </c>
      <c r="H287" s="24" t="s">
        <v>19797</v>
      </c>
      <c r="I287" s="22" t="s">
        <v>19309</v>
      </c>
      <c r="J287" s="22" t="s">
        <v>19353</v>
      </c>
      <c r="K287" s="22" t="s">
        <v>19524</v>
      </c>
      <c r="L287" s="22"/>
      <c r="M287" s="22"/>
      <c r="N287" s="25" t="str">
        <f>HYPERLINK("http://slimages.macys.com/is/image/MCY/20084023 ")</f>
        <v xml:space="preserve">http://slimages.macys.com/is/image/MCY/20084023 </v>
      </c>
    </row>
    <row r="288" spans="1:14" ht="24.75" x14ac:dyDescent="0.25">
      <c r="A288" s="21" t="s">
        <v>13178</v>
      </c>
      <c r="B288" s="22" t="s">
        <v>13179</v>
      </c>
      <c r="C288" s="2">
        <v>2</v>
      </c>
      <c r="D288" s="23">
        <v>11.99</v>
      </c>
      <c r="E288" s="3">
        <v>23.98</v>
      </c>
      <c r="F288" s="2" t="s">
        <v>20291</v>
      </c>
      <c r="G288" s="22" t="s">
        <v>19357</v>
      </c>
      <c r="H288" s="24" t="s">
        <v>19770</v>
      </c>
      <c r="I288" s="22" t="s">
        <v>19309</v>
      </c>
      <c r="J288" s="22" t="s">
        <v>19573</v>
      </c>
      <c r="K288" s="22" t="s">
        <v>20256</v>
      </c>
      <c r="L288" s="22" t="s">
        <v>19319</v>
      </c>
      <c r="M288" s="22" t="s">
        <v>19358</v>
      </c>
      <c r="N288" s="25" t="str">
        <f>HYPERLINK("http://slimages.macys.com/is/image/MCY/8018016 ")</f>
        <v xml:space="preserve">http://slimages.macys.com/is/image/MCY/8018016 </v>
      </c>
    </row>
    <row r="289" spans="1:14" ht="24.75" x14ac:dyDescent="0.25">
      <c r="A289" s="21" t="s">
        <v>13174</v>
      </c>
      <c r="B289" s="22" t="s">
        <v>13175</v>
      </c>
      <c r="C289" s="2">
        <v>4</v>
      </c>
      <c r="D289" s="23">
        <v>11.99</v>
      </c>
      <c r="E289" s="3">
        <v>47.96</v>
      </c>
      <c r="F289" s="2">
        <v>100007433</v>
      </c>
      <c r="G289" s="22" t="s">
        <v>19338</v>
      </c>
      <c r="H289" s="24" t="s">
        <v>19538</v>
      </c>
      <c r="I289" s="22" t="s">
        <v>19309</v>
      </c>
      <c r="J289" s="22" t="s">
        <v>19573</v>
      </c>
      <c r="K289" s="22" t="s">
        <v>20256</v>
      </c>
      <c r="L289" s="22" t="s">
        <v>19319</v>
      </c>
      <c r="M289" s="22" t="s">
        <v>20257</v>
      </c>
      <c r="N289" s="25" t="str">
        <f>HYPERLINK("http://slimages.macys.com/is/image/MCY/9157891 ")</f>
        <v xml:space="preserve">http://slimages.macys.com/is/image/MCY/9157891 </v>
      </c>
    </row>
    <row r="290" spans="1:14" ht="24.75" x14ac:dyDescent="0.25">
      <c r="A290" s="21" t="s">
        <v>12184</v>
      </c>
      <c r="B290" s="22" t="s">
        <v>12185</v>
      </c>
      <c r="C290" s="2">
        <v>1</v>
      </c>
      <c r="D290" s="23">
        <v>11.99</v>
      </c>
      <c r="E290" s="3">
        <v>11.99</v>
      </c>
      <c r="F290" s="2">
        <v>100007433</v>
      </c>
      <c r="G290" s="22" t="s">
        <v>19338</v>
      </c>
      <c r="H290" s="24" t="s">
        <v>19770</v>
      </c>
      <c r="I290" s="22" t="s">
        <v>19309</v>
      </c>
      <c r="J290" s="22" t="s">
        <v>19573</v>
      </c>
      <c r="K290" s="22" t="s">
        <v>20256</v>
      </c>
      <c r="L290" s="22" t="s">
        <v>19319</v>
      </c>
      <c r="M290" s="22" t="s">
        <v>20257</v>
      </c>
      <c r="N290" s="25" t="str">
        <f>HYPERLINK("http://slimages.macys.com/is/image/MCY/9157891 ")</f>
        <v xml:space="preserve">http://slimages.macys.com/is/image/MCY/9157891 </v>
      </c>
    </row>
    <row r="291" spans="1:14" ht="24.75" x14ac:dyDescent="0.25">
      <c r="A291" s="21" t="s">
        <v>2737</v>
      </c>
      <c r="B291" s="22" t="s">
        <v>2738</v>
      </c>
      <c r="C291" s="2">
        <v>1</v>
      </c>
      <c r="D291" s="23">
        <v>14.99</v>
      </c>
      <c r="E291" s="3">
        <v>14.99</v>
      </c>
      <c r="F291" s="2">
        <v>10013151100</v>
      </c>
      <c r="G291" s="22" t="s">
        <v>19618</v>
      </c>
      <c r="H291" s="24" t="s">
        <v>19384</v>
      </c>
      <c r="I291" s="22" t="s">
        <v>19309</v>
      </c>
      <c r="J291" s="22" t="s">
        <v>19573</v>
      </c>
      <c r="K291" s="22" t="s">
        <v>19574</v>
      </c>
      <c r="L291" s="22"/>
      <c r="M291" s="22"/>
      <c r="N291" s="25" t="str">
        <f>HYPERLINK("http://slimages.macys.com/is/image/MCY/19755878 ")</f>
        <v xml:space="preserve">http://slimages.macys.com/is/image/MCY/19755878 </v>
      </c>
    </row>
    <row r="292" spans="1:14" x14ac:dyDescent="0.25">
      <c r="A292" s="21" t="s">
        <v>2739</v>
      </c>
      <c r="B292" s="22" t="s">
        <v>2740</v>
      </c>
      <c r="C292" s="2">
        <v>1</v>
      </c>
      <c r="D292" s="23">
        <v>16.05</v>
      </c>
      <c r="E292" s="3">
        <v>16.05</v>
      </c>
      <c r="F292" s="2" t="s">
        <v>2741</v>
      </c>
      <c r="G292" s="22"/>
      <c r="H292" s="24" t="s">
        <v>20159</v>
      </c>
      <c r="I292" s="22" t="s">
        <v>19309</v>
      </c>
      <c r="J292" s="22" t="s">
        <v>19708</v>
      </c>
      <c r="K292" s="22" t="s">
        <v>19709</v>
      </c>
      <c r="L292" s="22"/>
      <c r="M292" s="22"/>
      <c r="N292" s="25" t="str">
        <f>HYPERLINK("http://slimages.macys.com/is/image/MCY/18846484 ")</f>
        <v xml:space="preserve">http://slimages.macys.com/is/image/MCY/18846484 </v>
      </c>
    </row>
    <row r="293" spans="1:14" x14ac:dyDescent="0.25">
      <c r="A293" s="21" t="s">
        <v>2742</v>
      </c>
      <c r="B293" s="22" t="s">
        <v>2743</v>
      </c>
      <c r="C293" s="2">
        <v>1</v>
      </c>
      <c r="D293" s="23">
        <v>16.05</v>
      </c>
      <c r="E293" s="3">
        <v>16.05</v>
      </c>
      <c r="F293" s="2" t="s">
        <v>2744</v>
      </c>
      <c r="G293" s="22"/>
      <c r="H293" s="24" t="s">
        <v>19367</v>
      </c>
      <c r="I293" s="22" t="s">
        <v>19309</v>
      </c>
      <c r="J293" s="22" t="s">
        <v>19708</v>
      </c>
      <c r="K293" s="22" t="s">
        <v>19709</v>
      </c>
      <c r="L293" s="22"/>
      <c r="M293" s="22"/>
      <c r="N293" s="25" t="str">
        <f>HYPERLINK("http://slimages.macys.com/is/image/MCY/18847043 ")</f>
        <v xml:space="preserve">http://slimages.macys.com/is/image/MCY/18847043 </v>
      </c>
    </row>
    <row r="294" spans="1:14" x14ac:dyDescent="0.25">
      <c r="A294" s="21" t="s">
        <v>2745</v>
      </c>
      <c r="B294" s="22" t="s">
        <v>2746</v>
      </c>
      <c r="C294" s="2">
        <v>1</v>
      </c>
      <c r="D294" s="23">
        <v>16.05</v>
      </c>
      <c r="E294" s="3">
        <v>16.05</v>
      </c>
      <c r="F294" s="2" t="s">
        <v>2747</v>
      </c>
      <c r="G294" s="22"/>
      <c r="H294" s="24" t="s">
        <v>19367</v>
      </c>
      <c r="I294" s="22" t="s">
        <v>19309</v>
      </c>
      <c r="J294" s="22" t="s">
        <v>19708</v>
      </c>
      <c r="K294" s="22" t="s">
        <v>19709</v>
      </c>
      <c r="L294" s="22"/>
      <c r="M294" s="22"/>
      <c r="N294" s="25" t="str">
        <f>HYPERLINK("http://slimages.macys.com/is/image/MCY/18645683 ")</f>
        <v xml:space="preserve">http://slimages.macys.com/is/image/MCY/18645683 </v>
      </c>
    </row>
    <row r="295" spans="1:14" ht="36.75" x14ac:dyDescent="0.25">
      <c r="A295" s="21" t="s">
        <v>20295</v>
      </c>
      <c r="B295" s="22" t="s">
        <v>20296</v>
      </c>
      <c r="C295" s="2">
        <v>1</v>
      </c>
      <c r="D295" s="23">
        <v>14.99</v>
      </c>
      <c r="E295" s="3">
        <v>14.99</v>
      </c>
      <c r="F295" s="2" t="s">
        <v>20297</v>
      </c>
      <c r="G295" s="22" t="s">
        <v>19674</v>
      </c>
      <c r="H295" s="24" t="s">
        <v>19538</v>
      </c>
      <c r="I295" s="22" t="s">
        <v>19309</v>
      </c>
      <c r="J295" s="22" t="s">
        <v>19573</v>
      </c>
      <c r="K295" s="22" t="s">
        <v>20256</v>
      </c>
      <c r="L295" s="22" t="s">
        <v>19319</v>
      </c>
      <c r="M295" s="22" t="s">
        <v>20298</v>
      </c>
      <c r="N295" s="25" t="str">
        <f>HYPERLINK("http://slimages.macys.com/is/image/MCY/3931290 ")</f>
        <v xml:space="preserve">http://slimages.macys.com/is/image/MCY/3931290 </v>
      </c>
    </row>
    <row r="296" spans="1:14" ht="24.75" x14ac:dyDescent="0.25">
      <c r="A296" s="21" t="s">
        <v>2748</v>
      </c>
      <c r="B296" s="22" t="s">
        <v>2749</v>
      </c>
      <c r="C296" s="2">
        <v>1</v>
      </c>
      <c r="D296" s="23">
        <v>20.99</v>
      </c>
      <c r="E296" s="3">
        <v>20.99</v>
      </c>
      <c r="F296" s="2" t="s">
        <v>2750</v>
      </c>
      <c r="G296" s="22"/>
      <c r="H296" s="24" t="s">
        <v>19542</v>
      </c>
      <c r="I296" s="22" t="s">
        <v>19309</v>
      </c>
      <c r="J296" s="22" t="s">
        <v>19908</v>
      </c>
      <c r="K296" s="22" t="s">
        <v>19524</v>
      </c>
      <c r="L296" s="22"/>
      <c r="M296" s="22"/>
      <c r="N296" s="25" t="str">
        <f>HYPERLINK("http://slimages.macys.com/is/image/MCY/20491547 ")</f>
        <v xml:space="preserve">http://slimages.macys.com/is/image/MCY/20491547 </v>
      </c>
    </row>
    <row r="297" spans="1:14" ht="24.75" x14ac:dyDescent="0.25">
      <c r="A297" s="21" t="s">
        <v>20299</v>
      </c>
      <c r="B297" s="22" t="s">
        <v>20300</v>
      </c>
      <c r="C297" s="2">
        <v>1</v>
      </c>
      <c r="D297" s="23">
        <v>14.99</v>
      </c>
      <c r="E297" s="3">
        <v>14.99</v>
      </c>
      <c r="F297" s="2" t="s">
        <v>20301</v>
      </c>
      <c r="G297" s="22" t="s">
        <v>19351</v>
      </c>
      <c r="H297" s="24" t="s">
        <v>19538</v>
      </c>
      <c r="I297" s="22" t="s">
        <v>19309</v>
      </c>
      <c r="J297" s="22" t="s">
        <v>19573</v>
      </c>
      <c r="K297" s="22" t="s">
        <v>20256</v>
      </c>
      <c r="L297" s="22" t="s">
        <v>19319</v>
      </c>
      <c r="M297" s="22" t="s">
        <v>20302</v>
      </c>
      <c r="N297" s="25" t="str">
        <f>HYPERLINK("http://slimages.macys.com/is/image/MCY/8484392 ")</f>
        <v xml:space="preserve">http://slimages.macys.com/is/image/MCY/8484392 </v>
      </c>
    </row>
    <row r="298" spans="1:14" ht="24.75" x14ac:dyDescent="0.25">
      <c r="A298" s="21" t="s">
        <v>6846</v>
      </c>
      <c r="B298" s="22" t="s">
        <v>6847</v>
      </c>
      <c r="C298" s="2">
        <v>2</v>
      </c>
      <c r="D298" s="23">
        <v>11.99</v>
      </c>
      <c r="E298" s="3">
        <v>23.98</v>
      </c>
      <c r="F298" s="2" t="s">
        <v>16153</v>
      </c>
      <c r="G298" s="22" t="s">
        <v>17811</v>
      </c>
      <c r="H298" s="24" t="s">
        <v>6848</v>
      </c>
      <c r="I298" s="22" t="s">
        <v>19309</v>
      </c>
      <c r="J298" s="22" t="s">
        <v>20076</v>
      </c>
      <c r="K298" s="22" t="s">
        <v>20077</v>
      </c>
      <c r="L298" s="22"/>
      <c r="M298" s="22"/>
      <c r="N298" s="25" t="str">
        <f>HYPERLINK("http://slimages.macys.com/is/image/MCY/16590400 ")</f>
        <v xml:space="preserve">http://slimages.macys.com/is/image/MCY/16590400 </v>
      </c>
    </row>
    <row r="299" spans="1:14" ht="24.75" x14ac:dyDescent="0.25">
      <c r="A299" s="21" t="s">
        <v>16151</v>
      </c>
      <c r="B299" s="22" t="s">
        <v>16152</v>
      </c>
      <c r="C299" s="2">
        <v>1</v>
      </c>
      <c r="D299" s="23">
        <v>11.99</v>
      </c>
      <c r="E299" s="3">
        <v>11.99</v>
      </c>
      <c r="F299" s="2" t="s">
        <v>16153</v>
      </c>
      <c r="G299" s="22" t="s">
        <v>17811</v>
      </c>
      <c r="H299" s="24" t="s">
        <v>16154</v>
      </c>
      <c r="I299" s="22" t="s">
        <v>19309</v>
      </c>
      <c r="J299" s="22" t="s">
        <v>20076</v>
      </c>
      <c r="K299" s="22" t="s">
        <v>20077</v>
      </c>
      <c r="L299" s="22"/>
      <c r="M299" s="22"/>
      <c r="N299" s="25" t="str">
        <f>HYPERLINK("http://slimages.macys.com/is/image/MCY/16590400 ")</f>
        <v xml:space="preserve">http://slimages.macys.com/is/image/MCY/16590400 </v>
      </c>
    </row>
    <row r="300" spans="1:14" ht="24.75" x14ac:dyDescent="0.25">
      <c r="A300" s="21" t="s">
        <v>2751</v>
      </c>
      <c r="B300" s="22" t="s">
        <v>2752</v>
      </c>
      <c r="C300" s="2">
        <v>1</v>
      </c>
      <c r="D300" s="23">
        <v>13.99</v>
      </c>
      <c r="E300" s="3">
        <v>13.99</v>
      </c>
      <c r="F300" s="2" t="s">
        <v>5884</v>
      </c>
      <c r="G300" s="22"/>
      <c r="H300" s="24" t="s">
        <v>19542</v>
      </c>
      <c r="I300" s="22" t="s">
        <v>19309</v>
      </c>
      <c r="J300" s="22" t="s">
        <v>19595</v>
      </c>
      <c r="K300" s="22" t="s">
        <v>19596</v>
      </c>
      <c r="L300" s="22"/>
      <c r="M300" s="22"/>
      <c r="N300" s="25" t="str">
        <f>HYPERLINK("http://slimages.macys.com/is/image/MCY/21623056 ")</f>
        <v xml:space="preserve">http://slimages.macys.com/is/image/MCY/21623056 </v>
      </c>
    </row>
    <row r="301" spans="1:14" ht="24.75" x14ac:dyDescent="0.25">
      <c r="A301" s="21" t="s">
        <v>6843</v>
      </c>
      <c r="B301" s="22" t="s">
        <v>6844</v>
      </c>
      <c r="C301" s="2">
        <v>2</v>
      </c>
      <c r="D301" s="23">
        <v>11.99</v>
      </c>
      <c r="E301" s="3">
        <v>23.98</v>
      </c>
      <c r="F301" s="2" t="s">
        <v>16153</v>
      </c>
      <c r="G301" s="22" t="s">
        <v>19351</v>
      </c>
      <c r="H301" s="24" t="s">
        <v>6845</v>
      </c>
      <c r="I301" s="22" t="s">
        <v>19309</v>
      </c>
      <c r="J301" s="22" t="s">
        <v>20076</v>
      </c>
      <c r="K301" s="22" t="s">
        <v>20077</v>
      </c>
      <c r="L301" s="22" t="s">
        <v>19319</v>
      </c>
      <c r="M301" s="22" t="s">
        <v>19209</v>
      </c>
      <c r="N301" s="25" t="str">
        <f>HYPERLINK("http://slimages.macys.com/is/image/MCY/11722351 ")</f>
        <v xml:space="preserve">http://slimages.macys.com/is/image/MCY/11722351 </v>
      </c>
    </row>
    <row r="302" spans="1:14" ht="24.75" x14ac:dyDescent="0.25">
      <c r="A302" s="21" t="s">
        <v>2753</v>
      </c>
      <c r="B302" s="22" t="s">
        <v>2754</v>
      </c>
      <c r="C302" s="2">
        <v>2</v>
      </c>
      <c r="D302" s="23">
        <v>11.99</v>
      </c>
      <c r="E302" s="3">
        <v>23.98</v>
      </c>
      <c r="F302" s="2" t="s">
        <v>16153</v>
      </c>
      <c r="G302" s="22" t="s">
        <v>19351</v>
      </c>
      <c r="H302" s="24" t="s">
        <v>16154</v>
      </c>
      <c r="I302" s="22" t="s">
        <v>19309</v>
      </c>
      <c r="J302" s="22" t="s">
        <v>20076</v>
      </c>
      <c r="K302" s="22" t="s">
        <v>20077</v>
      </c>
      <c r="L302" s="22" t="s">
        <v>19319</v>
      </c>
      <c r="M302" s="22" t="s">
        <v>19209</v>
      </c>
      <c r="N302" s="25" t="str">
        <f>HYPERLINK("http://slimages.macys.com/is/image/MCY/11722351 ")</f>
        <v xml:space="preserve">http://slimages.macys.com/is/image/MCY/11722351 </v>
      </c>
    </row>
    <row r="303" spans="1:14" ht="24.75" x14ac:dyDescent="0.25">
      <c r="A303" s="21" t="s">
        <v>2755</v>
      </c>
      <c r="B303" s="22" t="s">
        <v>2756</v>
      </c>
      <c r="C303" s="2">
        <v>1</v>
      </c>
      <c r="D303" s="23">
        <v>14.99</v>
      </c>
      <c r="E303" s="3">
        <v>14.99</v>
      </c>
      <c r="F303" s="2">
        <v>4489</v>
      </c>
      <c r="G303" s="22"/>
      <c r="H303" s="24" t="s">
        <v>19339</v>
      </c>
      <c r="I303" s="22" t="s">
        <v>19309</v>
      </c>
      <c r="J303" s="22" t="s">
        <v>20076</v>
      </c>
      <c r="K303" s="22" t="s">
        <v>20077</v>
      </c>
      <c r="L303" s="22"/>
      <c r="M303" s="22"/>
      <c r="N303" s="25" t="str">
        <f>HYPERLINK("http://slimages.macys.com/is/image/MCY/19348139 ")</f>
        <v xml:space="preserve">http://slimages.macys.com/is/image/MCY/19348139 </v>
      </c>
    </row>
    <row r="304" spans="1:14" ht="24.75" x14ac:dyDescent="0.25">
      <c r="A304" s="21" t="s">
        <v>2757</v>
      </c>
      <c r="B304" s="22" t="s">
        <v>2758</v>
      </c>
      <c r="C304" s="2">
        <v>1</v>
      </c>
      <c r="D304" s="23">
        <v>14.99</v>
      </c>
      <c r="E304" s="3">
        <v>14.99</v>
      </c>
      <c r="F304" s="2">
        <v>4489</v>
      </c>
      <c r="G304" s="22" t="s">
        <v>19323</v>
      </c>
      <c r="H304" s="24" t="s">
        <v>19339</v>
      </c>
      <c r="I304" s="22" t="s">
        <v>19309</v>
      </c>
      <c r="J304" s="22" t="s">
        <v>20076</v>
      </c>
      <c r="K304" s="22" t="s">
        <v>20077</v>
      </c>
      <c r="L304" s="22"/>
      <c r="M304" s="22"/>
      <c r="N304" s="25" t="str">
        <f>HYPERLINK("http://slimages.macys.com/is/image/MCY/19348139 ")</f>
        <v xml:space="preserve">http://slimages.macys.com/is/image/MCY/19348139 </v>
      </c>
    </row>
    <row r="305" spans="1:14" ht="24.75" x14ac:dyDescent="0.25">
      <c r="A305" s="21" t="s">
        <v>2759</v>
      </c>
      <c r="B305" s="22" t="s">
        <v>2760</v>
      </c>
      <c r="C305" s="2">
        <v>1</v>
      </c>
      <c r="D305" s="23">
        <v>14.99</v>
      </c>
      <c r="E305" s="3">
        <v>14.99</v>
      </c>
      <c r="F305" s="2">
        <v>4489</v>
      </c>
      <c r="G305" s="22"/>
      <c r="H305" s="24" t="s">
        <v>19352</v>
      </c>
      <c r="I305" s="22" t="s">
        <v>19309</v>
      </c>
      <c r="J305" s="22" t="s">
        <v>20076</v>
      </c>
      <c r="K305" s="22" t="s">
        <v>20077</v>
      </c>
      <c r="L305" s="22"/>
      <c r="M305" s="22"/>
      <c r="N305" s="25" t="str">
        <f>HYPERLINK("http://slimages.macys.com/is/image/MCY/19348139 ")</f>
        <v xml:space="preserve">http://slimages.macys.com/is/image/MCY/19348139 </v>
      </c>
    </row>
    <row r="306" spans="1:14" ht="24.75" x14ac:dyDescent="0.25">
      <c r="A306" s="21" t="s">
        <v>2761</v>
      </c>
      <c r="B306" s="22" t="s">
        <v>2762</v>
      </c>
      <c r="C306" s="2">
        <v>2</v>
      </c>
      <c r="D306" s="23">
        <v>11.99</v>
      </c>
      <c r="E306" s="3">
        <v>23.98</v>
      </c>
      <c r="F306" s="2" t="s">
        <v>2763</v>
      </c>
      <c r="G306" s="22" t="s">
        <v>19357</v>
      </c>
      <c r="H306" s="24" t="s">
        <v>19770</v>
      </c>
      <c r="I306" s="22" t="s">
        <v>19309</v>
      </c>
      <c r="J306" s="22" t="s">
        <v>19573</v>
      </c>
      <c r="K306" s="22" t="s">
        <v>20256</v>
      </c>
      <c r="L306" s="22" t="s">
        <v>19319</v>
      </c>
      <c r="M306" s="22" t="s">
        <v>19358</v>
      </c>
      <c r="N306" s="25" t="str">
        <f>HYPERLINK("http://slimages.macys.com/is/image/MCY/8018014 ")</f>
        <v xml:space="preserve">http://slimages.macys.com/is/image/MCY/8018014 </v>
      </c>
    </row>
    <row r="307" spans="1:14" ht="24.75" x14ac:dyDescent="0.25">
      <c r="A307" s="21" t="s">
        <v>2764</v>
      </c>
      <c r="B307" s="22" t="s">
        <v>2765</v>
      </c>
      <c r="C307" s="2">
        <v>1</v>
      </c>
      <c r="D307" s="23">
        <v>14.99</v>
      </c>
      <c r="E307" s="3">
        <v>14.99</v>
      </c>
      <c r="F307" s="2" t="s">
        <v>2766</v>
      </c>
      <c r="G307" s="22" t="s">
        <v>19323</v>
      </c>
      <c r="H307" s="24" t="s">
        <v>19339</v>
      </c>
      <c r="I307" s="22" t="s">
        <v>19309</v>
      </c>
      <c r="J307" s="22" t="s">
        <v>19353</v>
      </c>
      <c r="K307" s="22" t="s">
        <v>19524</v>
      </c>
      <c r="L307" s="22"/>
      <c r="M307" s="22"/>
      <c r="N307" s="25" t="str">
        <f>HYPERLINK("http://slimages.macys.com/is/image/MCY/20440836 ")</f>
        <v xml:space="preserve">http://slimages.macys.com/is/image/MCY/20440836 </v>
      </c>
    </row>
    <row r="308" spans="1:14" ht="24.75" x14ac:dyDescent="0.25">
      <c r="A308" s="21" t="s">
        <v>2767</v>
      </c>
      <c r="B308" s="22" t="s">
        <v>2768</v>
      </c>
      <c r="C308" s="2">
        <v>1</v>
      </c>
      <c r="D308" s="23">
        <v>14.99</v>
      </c>
      <c r="E308" s="3">
        <v>14.99</v>
      </c>
      <c r="F308" s="2" t="s">
        <v>2766</v>
      </c>
      <c r="G308" s="22" t="s">
        <v>19814</v>
      </c>
      <c r="H308" s="24" t="s">
        <v>19339</v>
      </c>
      <c r="I308" s="22" t="s">
        <v>19309</v>
      </c>
      <c r="J308" s="22" t="s">
        <v>19353</v>
      </c>
      <c r="K308" s="22" t="s">
        <v>19524</v>
      </c>
      <c r="L308" s="22"/>
      <c r="M308" s="22"/>
      <c r="N308" s="25" t="str">
        <f>HYPERLINK("http://slimages.macys.com/is/image/MCY/20440836 ")</f>
        <v xml:space="preserve">http://slimages.macys.com/is/image/MCY/20440836 </v>
      </c>
    </row>
    <row r="309" spans="1:14" ht="24.75" x14ac:dyDescent="0.25">
      <c r="A309" s="21" t="s">
        <v>2769</v>
      </c>
      <c r="B309" s="22" t="s">
        <v>2770</v>
      </c>
      <c r="C309" s="2">
        <v>2</v>
      </c>
      <c r="D309" s="23">
        <v>14.99</v>
      </c>
      <c r="E309" s="3">
        <v>29.98</v>
      </c>
      <c r="F309" s="2" t="s">
        <v>2766</v>
      </c>
      <c r="G309" s="22" t="s">
        <v>19814</v>
      </c>
      <c r="H309" s="24" t="s">
        <v>19364</v>
      </c>
      <c r="I309" s="22" t="s">
        <v>19309</v>
      </c>
      <c r="J309" s="22" t="s">
        <v>19353</v>
      </c>
      <c r="K309" s="22" t="s">
        <v>19524</v>
      </c>
      <c r="L309" s="22"/>
      <c r="M309" s="22"/>
      <c r="N309" s="25" t="str">
        <f>HYPERLINK("http://slimages.macys.com/is/image/MCY/20440836 ")</f>
        <v xml:space="preserve">http://slimages.macys.com/is/image/MCY/20440836 </v>
      </c>
    </row>
    <row r="310" spans="1:14" ht="24.75" x14ac:dyDescent="0.25">
      <c r="A310" s="21" t="s">
        <v>2771</v>
      </c>
      <c r="B310" s="22" t="s">
        <v>2772</v>
      </c>
      <c r="C310" s="2">
        <v>1</v>
      </c>
      <c r="D310" s="23">
        <v>14.99</v>
      </c>
      <c r="E310" s="3">
        <v>14.99</v>
      </c>
      <c r="F310" s="2" t="s">
        <v>2766</v>
      </c>
      <c r="G310" s="22" t="s">
        <v>19323</v>
      </c>
      <c r="H310" s="24" t="s">
        <v>19364</v>
      </c>
      <c r="I310" s="22" t="s">
        <v>19309</v>
      </c>
      <c r="J310" s="22" t="s">
        <v>19353</v>
      </c>
      <c r="K310" s="22" t="s">
        <v>19524</v>
      </c>
      <c r="L310" s="22"/>
      <c r="M310" s="22"/>
      <c r="N310" s="25" t="str">
        <f>HYPERLINK("http://slimages.macys.com/is/image/MCY/20440836 ")</f>
        <v xml:space="preserve">http://slimages.macys.com/is/image/MCY/20440836 </v>
      </c>
    </row>
    <row r="311" spans="1:14" ht="24.75" x14ac:dyDescent="0.25">
      <c r="A311" s="21" t="s">
        <v>2773</v>
      </c>
      <c r="B311" s="22" t="s">
        <v>2774</v>
      </c>
      <c r="C311" s="2">
        <v>1</v>
      </c>
      <c r="D311" s="23">
        <v>15.99</v>
      </c>
      <c r="E311" s="3">
        <v>15.99</v>
      </c>
      <c r="F311" s="2" t="s">
        <v>2775</v>
      </c>
      <c r="G311" s="22" t="s">
        <v>19323</v>
      </c>
      <c r="H311" s="24" t="s">
        <v>19352</v>
      </c>
      <c r="I311" s="22" t="s">
        <v>19309</v>
      </c>
      <c r="J311" s="22" t="s">
        <v>19353</v>
      </c>
      <c r="K311" s="22" t="s">
        <v>19524</v>
      </c>
      <c r="L311" s="22"/>
      <c r="M311" s="22"/>
      <c r="N311" s="25" t="str">
        <f>HYPERLINK("http://slimages.macys.com/is/image/MCY/20440823 ")</f>
        <v xml:space="preserve">http://slimages.macys.com/is/image/MCY/20440823 </v>
      </c>
    </row>
    <row r="312" spans="1:14" x14ac:dyDescent="0.25">
      <c r="A312" s="21" t="s">
        <v>18299</v>
      </c>
      <c r="B312" s="22" t="s">
        <v>18300</v>
      </c>
      <c r="C312" s="2">
        <v>1</v>
      </c>
      <c r="D312" s="23">
        <v>15.13</v>
      </c>
      <c r="E312" s="3">
        <v>15.13</v>
      </c>
      <c r="F312" s="2" t="s">
        <v>18357</v>
      </c>
      <c r="G312" s="22" t="s">
        <v>19338</v>
      </c>
      <c r="H312" s="24" t="s">
        <v>20152</v>
      </c>
      <c r="I312" s="22" t="s">
        <v>19309</v>
      </c>
      <c r="J312" s="22" t="s">
        <v>19708</v>
      </c>
      <c r="K312" s="22" t="s">
        <v>19709</v>
      </c>
      <c r="L312" s="22"/>
      <c r="M312" s="22"/>
      <c r="N312" s="25" t="str">
        <f>HYPERLINK("http://slimages.macys.com/is/image/MCY/21184050 ")</f>
        <v xml:space="preserve">http://slimages.macys.com/is/image/MCY/21184050 </v>
      </c>
    </row>
    <row r="313" spans="1:14" x14ac:dyDescent="0.25">
      <c r="A313" s="21" t="s">
        <v>2776</v>
      </c>
      <c r="B313" s="22" t="s">
        <v>2777</v>
      </c>
      <c r="C313" s="2">
        <v>1</v>
      </c>
      <c r="D313" s="23">
        <v>15.13</v>
      </c>
      <c r="E313" s="3">
        <v>15.13</v>
      </c>
      <c r="F313" s="2" t="s">
        <v>5905</v>
      </c>
      <c r="G313" s="22" t="s">
        <v>19338</v>
      </c>
      <c r="H313" s="24" t="s">
        <v>19330</v>
      </c>
      <c r="I313" s="22" t="s">
        <v>19309</v>
      </c>
      <c r="J313" s="22" t="s">
        <v>19708</v>
      </c>
      <c r="K313" s="22" t="s">
        <v>19709</v>
      </c>
      <c r="L313" s="22"/>
      <c r="M313" s="22"/>
      <c r="N313" s="25" t="str">
        <f>HYPERLINK("http://slimages.macys.com/is/image/MCY/21414189 ")</f>
        <v xml:space="preserve">http://slimages.macys.com/is/image/MCY/21414189 </v>
      </c>
    </row>
    <row r="314" spans="1:14" x14ac:dyDescent="0.25">
      <c r="A314" s="21" t="s">
        <v>2778</v>
      </c>
      <c r="B314" s="22" t="s">
        <v>2779</v>
      </c>
      <c r="C314" s="2">
        <v>1</v>
      </c>
      <c r="D314" s="23">
        <v>15.13</v>
      </c>
      <c r="E314" s="3">
        <v>15.13</v>
      </c>
      <c r="F314" s="2" t="s">
        <v>5905</v>
      </c>
      <c r="G314" s="22" t="s">
        <v>19338</v>
      </c>
      <c r="H314" s="24" t="s">
        <v>19416</v>
      </c>
      <c r="I314" s="22" t="s">
        <v>19309</v>
      </c>
      <c r="J314" s="22" t="s">
        <v>19708</v>
      </c>
      <c r="K314" s="22" t="s">
        <v>19709</v>
      </c>
      <c r="L314" s="22"/>
      <c r="M314" s="22"/>
      <c r="N314" s="25" t="str">
        <f>HYPERLINK("http://slimages.macys.com/is/image/MCY/21414189 ")</f>
        <v xml:space="preserve">http://slimages.macys.com/is/image/MCY/21414189 </v>
      </c>
    </row>
    <row r="315" spans="1:14" x14ac:dyDescent="0.25">
      <c r="A315" s="21" t="s">
        <v>5903</v>
      </c>
      <c r="B315" s="22" t="s">
        <v>5904</v>
      </c>
      <c r="C315" s="2">
        <v>1</v>
      </c>
      <c r="D315" s="23">
        <v>15.13</v>
      </c>
      <c r="E315" s="3">
        <v>15.13</v>
      </c>
      <c r="F315" s="2" t="s">
        <v>5905</v>
      </c>
      <c r="G315" s="22" t="s">
        <v>19338</v>
      </c>
      <c r="H315" s="24" t="s">
        <v>20152</v>
      </c>
      <c r="I315" s="22" t="s">
        <v>19309</v>
      </c>
      <c r="J315" s="22" t="s">
        <v>19708</v>
      </c>
      <c r="K315" s="22" t="s">
        <v>19709</v>
      </c>
      <c r="L315" s="22"/>
      <c r="M315" s="22"/>
      <c r="N315" s="25" t="str">
        <f>HYPERLINK("http://slimages.macys.com/is/image/MCY/21414189 ")</f>
        <v xml:space="preserve">http://slimages.macys.com/is/image/MCY/21414189 </v>
      </c>
    </row>
    <row r="316" spans="1:14" ht="24.75" x14ac:dyDescent="0.25">
      <c r="A316" s="21" t="s">
        <v>2780</v>
      </c>
      <c r="B316" s="22" t="s">
        <v>2781</v>
      </c>
      <c r="C316" s="2">
        <v>1</v>
      </c>
      <c r="D316" s="23">
        <v>9.99</v>
      </c>
      <c r="E316" s="3">
        <v>9.99</v>
      </c>
      <c r="F316" s="2" t="s">
        <v>2782</v>
      </c>
      <c r="G316" s="22" t="s">
        <v>19477</v>
      </c>
      <c r="H316" s="24" t="s">
        <v>19797</v>
      </c>
      <c r="I316" s="22" t="s">
        <v>19309</v>
      </c>
      <c r="J316" s="22" t="s">
        <v>19447</v>
      </c>
      <c r="K316" s="22" t="s">
        <v>19873</v>
      </c>
      <c r="L316" s="22"/>
      <c r="M316" s="22"/>
      <c r="N316" s="25" t="str">
        <f>HYPERLINK("http://slimages.macys.com/is/image/MCY/19835118 ")</f>
        <v xml:space="preserve">http://slimages.macys.com/is/image/MCY/19835118 </v>
      </c>
    </row>
    <row r="317" spans="1:14" ht="24.75" x14ac:dyDescent="0.25">
      <c r="A317" s="21" t="s">
        <v>2783</v>
      </c>
      <c r="B317" s="22" t="s">
        <v>2784</v>
      </c>
      <c r="C317" s="2">
        <v>3</v>
      </c>
      <c r="D317" s="23">
        <v>9.99</v>
      </c>
      <c r="E317" s="3">
        <v>29.97</v>
      </c>
      <c r="F317" s="2" t="s">
        <v>2782</v>
      </c>
      <c r="G317" s="22" t="s">
        <v>19315</v>
      </c>
      <c r="H317" s="24" t="s">
        <v>19352</v>
      </c>
      <c r="I317" s="22" t="s">
        <v>19309</v>
      </c>
      <c r="J317" s="22" t="s">
        <v>19447</v>
      </c>
      <c r="K317" s="22" t="s">
        <v>19873</v>
      </c>
      <c r="L317" s="22"/>
      <c r="M317" s="22"/>
      <c r="N317" s="25" t="str">
        <f>HYPERLINK("http://slimages.macys.com/is/image/MCY/19980386 ")</f>
        <v xml:space="preserve">http://slimages.macys.com/is/image/MCY/19980386 </v>
      </c>
    </row>
    <row r="318" spans="1:14" ht="24.75" x14ac:dyDescent="0.25">
      <c r="A318" s="21" t="s">
        <v>2785</v>
      </c>
      <c r="B318" s="22" t="s">
        <v>2786</v>
      </c>
      <c r="C318" s="2">
        <v>1</v>
      </c>
      <c r="D318" s="23">
        <v>9.99</v>
      </c>
      <c r="E318" s="3">
        <v>9.99</v>
      </c>
      <c r="F318" s="2" t="s">
        <v>2782</v>
      </c>
      <c r="G318" s="22" t="s">
        <v>19315</v>
      </c>
      <c r="H318" s="24" t="s">
        <v>19339</v>
      </c>
      <c r="I318" s="22" t="s">
        <v>19309</v>
      </c>
      <c r="J318" s="22" t="s">
        <v>19447</v>
      </c>
      <c r="K318" s="22" t="s">
        <v>19873</v>
      </c>
      <c r="L318" s="22"/>
      <c r="M318" s="22"/>
      <c r="N318" s="25" t="str">
        <f>HYPERLINK("http://slimages.macys.com/is/image/MCY/19980386 ")</f>
        <v xml:space="preserve">http://slimages.macys.com/is/image/MCY/19980386 </v>
      </c>
    </row>
    <row r="319" spans="1:14" x14ac:dyDescent="0.25">
      <c r="A319" s="21" t="s">
        <v>2787</v>
      </c>
      <c r="B319" s="22" t="s">
        <v>2788</v>
      </c>
      <c r="C319" s="2">
        <v>1</v>
      </c>
      <c r="D319" s="23">
        <v>22</v>
      </c>
      <c r="E319" s="3">
        <v>22</v>
      </c>
      <c r="F319" s="2" t="s">
        <v>8289</v>
      </c>
      <c r="G319" s="22" t="s">
        <v>18439</v>
      </c>
      <c r="H319" s="24"/>
      <c r="I319" s="22" t="s">
        <v>19309</v>
      </c>
      <c r="J319" s="22" t="s">
        <v>19417</v>
      </c>
      <c r="K319" s="22" t="s">
        <v>20110</v>
      </c>
      <c r="L319" s="22"/>
      <c r="M319" s="22"/>
      <c r="N319" s="25" t="str">
        <f>HYPERLINK("http://slimages.macys.com/is/image/MCY/21551774 ")</f>
        <v xml:space="preserve">http://slimages.macys.com/is/image/MCY/21551774 </v>
      </c>
    </row>
    <row r="320" spans="1:14" ht="24.75" x14ac:dyDescent="0.25">
      <c r="A320" s="21" t="s">
        <v>2789</v>
      </c>
      <c r="B320" s="22" t="s">
        <v>2790</v>
      </c>
      <c r="C320" s="2">
        <v>1</v>
      </c>
      <c r="D320" s="23">
        <v>28</v>
      </c>
      <c r="E320" s="3">
        <v>28</v>
      </c>
      <c r="F320" s="2" t="s">
        <v>2791</v>
      </c>
      <c r="G320" s="22" t="s">
        <v>19422</v>
      </c>
      <c r="H320" s="24"/>
      <c r="I320" s="22" t="s">
        <v>19309</v>
      </c>
      <c r="J320" s="22" t="s">
        <v>19417</v>
      </c>
      <c r="K320" s="22" t="s">
        <v>18317</v>
      </c>
      <c r="L320" s="22"/>
      <c r="M320" s="22"/>
      <c r="N320" s="25" t="str">
        <f>HYPERLINK("http://slimages.macys.com/is/image/MCY/21614884 ")</f>
        <v xml:space="preserve">http://slimages.macys.com/is/image/MCY/21614884 </v>
      </c>
    </row>
    <row r="321" spans="1:14" x14ac:dyDescent="0.25">
      <c r="A321" s="21" t="s">
        <v>18400</v>
      </c>
      <c r="B321" s="22" t="s">
        <v>18401</v>
      </c>
      <c r="C321" s="2">
        <v>1</v>
      </c>
      <c r="D321" s="23">
        <v>11.79</v>
      </c>
      <c r="E321" s="3">
        <v>11.79</v>
      </c>
      <c r="F321" s="2" t="s">
        <v>18402</v>
      </c>
      <c r="G321" s="22" t="s">
        <v>19431</v>
      </c>
      <c r="H321" s="24" t="s">
        <v>20159</v>
      </c>
      <c r="I321" s="22" t="s">
        <v>19309</v>
      </c>
      <c r="J321" s="22" t="s">
        <v>19708</v>
      </c>
      <c r="K321" s="22" t="s">
        <v>19709</v>
      </c>
      <c r="L321" s="22"/>
      <c r="M321" s="22"/>
      <c r="N321" s="25" t="str">
        <f>HYPERLINK("http://slimages.macys.com/is/image/MCY/19066490 ")</f>
        <v xml:space="preserve">http://slimages.macys.com/is/image/MCY/19066490 </v>
      </c>
    </row>
    <row r="322" spans="1:14" x14ac:dyDescent="0.25">
      <c r="A322" s="21" t="s">
        <v>6864</v>
      </c>
      <c r="B322" s="22" t="s">
        <v>6865</v>
      </c>
      <c r="C322" s="2">
        <v>1</v>
      </c>
      <c r="D322" s="23">
        <v>11.79</v>
      </c>
      <c r="E322" s="3">
        <v>11.79</v>
      </c>
      <c r="F322" s="2" t="s">
        <v>13804</v>
      </c>
      <c r="G322" s="22"/>
      <c r="H322" s="24" t="s">
        <v>20159</v>
      </c>
      <c r="I322" s="22" t="s">
        <v>19309</v>
      </c>
      <c r="J322" s="22" t="s">
        <v>19708</v>
      </c>
      <c r="K322" s="22" t="s">
        <v>19709</v>
      </c>
      <c r="L322" s="22"/>
      <c r="M322" s="22"/>
      <c r="N322" s="25" t="str">
        <f>HYPERLINK("http://slimages.macys.com/is/image/MCY/19063832 ")</f>
        <v xml:space="preserve">http://slimages.macys.com/is/image/MCY/19063832 </v>
      </c>
    </row>
    <row r="323" spans="1:14" ht="24.75" x14ac:dyDescent="0.25">
      <c r="A323" s="21" t="s">
        <v>2792</v>
      </c>
      <c r="B323" s="22" t="s">
        <v>2793</v>
      </c>
      <c r="C323" s="2">
        <v>1</v>
      </c>
      <c r="D323" s="23">
        <v>18.11</v>
      </c>
      <c r="E323" s="3">
        <v>18.11</v>
      </c>
      <c r="F323" s="2" t="s">
        <v>2794</v>
      </c>
      <c r="G323" s="22" t="s">
        <v>19315</v>
      </c>
      <c r="H323" s="24" t="s">
        <v>19416</v>
      </c>
      <c r="I323" s="22" t="s">
        <v>19309</v>
      </c>
      <c r="J323" s="22" t="s">
        <v>19573</v>
      </c>
      <c r="K323" s="22" t="s">
        <v>19574</v>
      </c>
      <c r="L323" s="22"/>
      <c r="M323" s="22"/>
      <c r="N323" s="25" t="str">
        <f>HYPERLINK("http://slimages.macys.com/is/image/MCY/19755057 ")</f>
        <v xml:space="preserve">http://slimages.macys.com/is/image/MCY/19755057 </v>
      </c>
    </row>
    <row r="324" spans="1:14" ht="24.75" x14ac:dyDescent="0.25">
      <c r="A324" s="21" t="s">
        <v>2795</v>
      </c>
      <c r="B324" s="22" t="s">
        <v>2796</v>
      </c>
      <c r="C324" s="2">
        <v>1</v>
      </c>
      <c r="D324" s="23">
        <v>18</v>
      </c>
      <c r="E324" s="3">
        <v>18</v>
      </c>
      <c r="F324" s="2" t="s">
        <v>2797</v>
      </c>
      <c r="G324" s="22" t="s">
        <v>19333</v>
      </c>
      <c r="H324" s="24" t="s">
        <v>19334</v>
      </c>
      <c r="I324" s="22" t="s">
        <v>19309</v>
      </c>
      <c r="J324" s="22" t="s">
        <v>19310</v>
      </c>
      <c r="K324" s="22" t="s">
        <v>15570</v>
      </c>
      <c r="L324" s="22"/>
      <c r="M324" s="22"/>
      <c r="N324" s="25" t="str">
        <f>HYPERLINK("http://slimages.macys.com/is/image/MCY/18626095 ")</f>
        <v xml:space="preserve">http://slimages.macys.com/is/image/MCY/18626095 </v>
      </c>
    </row>
    <row r="325" spans="1:14" ht="24.75" x14ac:dyDescent="0.25">
      <c r="A325" s="21" t="s">
        <v>2798</v>
      </c>
      <c r="B325" s="22" t="s">
        <v>2799</v>
      </c>
      <c r="C325" s="2">
        <v>1</v>
      </c>
      <c r="D325" s="23">
        <v>13.99</v>
      </c>
      <c r="E325" s="3">
        <v>13.99</v>
      </c>
      <c r="F325" s="2" t="s">
        <v>18412</v>
      </c>
      <c r="G325" s="22" t="s">
        <v>19351</v>
      </c>
      <c r="H325" s="24" t="s">
        <v>19538</v>
      </c>
      <c r="I325" s="22" t="s">
        <v>19309</v>
      </c>
      <c r="J325" s="22" t="s">
        <v>19573</v>
      </c>
      <c r="K325" s="22" t="s">
        <v>19574</v>
      </c>
      <c r="L325" s="22"/>
      <c r="M325" s="22"/>
      <c r="N325" s="25" t="str">
        <f>HYPERLINK("http://slimages.macys.com/is/image/MCY/1554795 ")</f>
        <v xml:space="preserve">http://slimages.macys.com/is/image/MCY/1554795 </v>
      </c>
    </row>
    <row r="326" spans="1:14" ht="24.75" x14ac:dyDescent="0.25">
      <c r="A326" s="21" t="s">
        <v>18339</v>
      </c>
      <c r="B326" s="22" t="s">
        <v>18340</v>
      </c>
      <c r="C326" s="2">
        <v>1</v>
      </c>
      <c r="D326" s="23">
        <v>13.99</v>
      </c>
      <c r="E326" s="3">
        <v>13.99</v>
      </c>
      <c r="F326" s="2" t="s">
        <v>18412</v>
      </c>
      <c r="G326" s="22" t="s">
        <v>19351</v>
      </c>
      <c r="H326" s="24" t="s">
        <v>19330</v>
      </c>
      <c r="I326" s="22" t="s">
        <v>19309</v>
      </c>
      <c r="J326" s="22" t="s">
        <v>19573</v>
      </c>
      <c r="K326" s="22" t="s">
        <v>19574</v>
      </c>
      <c r="L326" s="22"/>
      <c r="M326" s="22"/>
      <c r="N326" s="25" t="str">
        <f>HYPERLINK("http://slimages.macys.com/is/image/MCY/1554795 ")</f>
        <v xml:space="preserve">http://slimages.macys.com/is/image/MCY/1554795 </v>
      </c>
    </row>
    <row r="327" spans="1:14" ht="24.75" x14ac:dyDescent="0.25">
      <c r="A327" s="21" t="s">
        <v>2800</v>
      </c>
      <c r="B327" s="22" t="s">
        <v>2801</v>
      </c>
      <c r="C327" s="2">
        <v>1</v>
      </c>
      <c r="D327" s="23">
        <v>9.99</v>
      </c>
      <c r="E327" s="3">
        <v>9.99</v>
      </c>
      <c r="F327" s="2" t="s">
        <v>2802</v>
      </c>
      <c r="G327" s="22" t="s">
        <v>19467</v>
      </c>
      <c r="H327" s="24" t="s">
        <v>19308</v>
      </c>
      <c r="I327" s="22" t="s">
        <v>19309</v>
      </c>
      <c r="J327" s="22" t="s">
        <v>19815</v>
      </c>
      <c r="K327" s="22" t="s">
        <v>19816</v>
      </c>
      <c r="L327" s="22"/>
      <c r="M327" s="22"/>
      <c r="N327" s="25" t="str">
        <f>HYPERLINK("http://slimages.macys.com/is/image/MCY/20549979 ")</f>
        <v xml:space="preserve">http://slimages.macys.com/is/image/MCY/20549979 </v>
      </c>
    </row>
    <row r="328" spans="1:14" ht="24.75" x14ac:dyDescent="0.25">
      <c r="A328" s="21" t="s">
        <v>2803</v>
      </c>
      <c r="B328" s="22" t="s">
        <v>2804</v>
      </c>
      <c r="C328" s="2">
        <v>1</v>
      </c>
      <c r="D328" s="23">
        <v>9.99</v>
      </c>
      <c r="E328" s="3">
        <v>9.99</v>
      </c>
      <c r="F328" s="2" t="s">
        <v>2802</v>
      </c>
      <c r="G328" s="22" t="s">
        <v>19467</v>
      </c>
      <c r="H328" s="24" t="s">
        <v>19339</v>
      </c>
      <c r="I328" s="22" t="s">
        <v>19309</v>
      </c>
      <c r="J328" s="22" t="s">
        <v>19815</v>
      </c>
      <c r="K328" s="22" t="s">
        <v>19816</v>
      </c>
      <c r="L328" s="22"/>
      <c r="M328" s="22"/>
      <c r="N328" s="25" t="str">
        <f>HYPERLINK("http://slimages.macys.com/is/image/MCY/21769897 ")</f>
        <v xml:space="preserve">http://slimages.macys.com/is/image/MCY/21769897 </v>
      </c>
    </row>
    <row r="329" spans="1:14" ht="24.75" x14ac:dyDescent="0.25">
      <c r="A329" s="21" t="s">
        <v>2805</v>
      </c>
      <c r="B329" s="22" t="s">
        <v>2806</v>
      </c>
      <c r="C329" s="2">
        <v>1</v>
      </c>
      <c r="D329" s="23">
        <v>12.99</v>
      </c>
      <c r="E329" s="3">
        <v>12.99</v>
      </c>
      <c r="F329" s="2" t="s">
        <v>10633</v>
      </c>
      <c r="G329" s="22" t="s">
        <v>19431</v>
      </c>
      <c r="H329" s="24" t="s">
        <v>19432</v>
      </c>
      <c r="I329" s="22" t="s">
        <v>19309</v>
      </c>
      <c r="J329" s="22" t="s">
        <v>19454</v>
      </c>
      <c r="K329" s="22" t="s">
        <v>19524</v>
      </c>
      <c r="L329" s="22"/>
      <c r="M329" s="22"/>
      <c r="N329" s="25" t="str">
        <f>HYPERLINK("http://slimages.macys.com/is/image/MCY/21708877 ")</f>
        <v xml:space="preserve">http://slimages.macys.com/is/image/MCY/21708877 </v>
      </c>
    </row>
    <row r="330" spans="1:14" ht="24.75" x14ac:dyDescent="0.25">
      <c r="A330" s="21" t="s">
        <v>2807</v>
      </c>
      <c r="B330" s="22" t="s">
        <v>2808</v>
      </c>
      <c r="C330" s="2">
        <v>1</v>
      </c>
      <c r="D330" s="23">
        <v>12.99</v>
      </c>
      <c r="E330" s="3">
        <v>12.99</v>
      </c>
      <c r="F330" s="2" t="s">
        <v>10633</v>
      </c>
      <c r="G330" s="22" t="s">
        <v>18439</v>
      </c>
      <c r="H330" s="24" t="s">
        <v>19542</v>
      </c>
      <c r="I330" s="22" t="s">
        <v>19309</v>
      </c>
      <c r="J330" s="22" t="s">
        <v>19454</v>
      </c>
      <c r="K330" s="22" t="s">
        <v>19524</v>
      </c>
      <c r="L330" s="22"/>
      <c r="M330" s="22"/>
      <c r="N330" s="25" t="str">
        <f>HYPERLINK("http://slimages.macys.com/is/image/MCY/1521263 ")</f>
        <v xml:space="preserve">http://slimages.macys.com/is/image/MCY/1521263 </v>
      </c>
    </row>
    <row r="331" spans="1:14" ht="24.75" x14ac:dyDescent="0.25">
      <c r="A331" s="21" t="s">
        <v>2809</v>
      </c>
      <c r="B331" s="22" t="s">
        <v>2810</v>
      </c>
      <c r="C331" s="2">
        <v>1</v>
      </c>
      <c r="D331" s="23">
        <v>12.99</v>
      </c>
      <c r="E331" s="3">
        <v>12.99</v>
      </c>
      <c r="F331" s="2" t="s">
        <v>10633</v>
      </c>
      <c r="G331" s="22" t="s">
        <v>18439</v>
      </c>
      <c r="H331" s="24" t="s">
        <v>19361</v>
      </c>
      <c r="I331" s="22" t="s">
        <v>19309</v>
      </c>
      <c r="J331" s="22" t="s">
        <v>19454</v>
      </c>
      <c r="K331" s="22" t="s">
        <v>19524</v>
      </c>
      <c r="L331" s="22"/>
      <c r="M331" s="22"/>
      <c r="N331" s="25" t="str">
        <f>HYPERLINK("http://slimages.macys.com/is/image/MCY/1521263 ")</f>
        <v xml:space="preserve">http://slimages.macys.com/is/image/MCY/1521263 </v>
      </c>
    </row>
    <row r="332" spans="1:14" ht="24.75" x14ac:dyDescent="0.25">
      <c r="A332" s="21" t="s">
        <v>2811</v>
      </c>
      <c r="B332" s="22" t="s">
        <v>2812</v>
      </c>
      <c r="C332" s="2">
        <v>1</v>
      </c>
      <c r="D332" s="23">
        <v>15.99</v>
      </c>
      <c r="E332" s="3">
        <v>15.99</v>
      </c>
      <c r="F332" s="2" t="s">
        <v>2813</v>
      </c>
      <c r="G332" s="22" t="s">
        <v>19518</v>
      </c>
      <c r="H332" s="24" t="s">
        <v>19330</v>
      </c>
      <c r="I332" s="22" t="s">
        <v>19309</v>
      </c>
      <c r="J332" s="22" t="s">
        <v>19573</v>
      </c>
      <c r="K332" s="22" t="s">
        <v>19574</v>
      </c>
      <c r="L332" s="22"/>
      <c r="M332" s="22"/>
      <c r="N332" s="25" t="str">
        <f>HYPERLINK("http://slimages.macys.com/is/image/MCY/14601081 ")</f>
        <v xml:space="preserve">http://slimages.macys.com/is/image/MCY/14601081 </v>
      </c>
    </row>
    <row r="333" spans="1:14" ht="24.75" x14ac:dyDescent="0.25">
      <c r="A333" s="21" t="s">
        <v>2814</v>
      </c>
      <c r="B333" s="22" t="s">
        <v>2815</v>
      </c>
      <c r="C333" s="2">
        <v>2</v>
      </c>
      <c r="D333" s="23">
        <v>15.99</v>
      </c>
      <c r="E333" s="3">
        <v>31.98</v>
      </c>
      <c r="F333" s="2" t="s">
        <v>2813</v>
      </c>
      <c r="G333" s="22" t="s">
        <v>19518</v>
      </c>
      <c r="H333" s="24"/>
      <c r="I333" s="22" t="s">
        <v>19309</v>
      </c>
      <c r="J333" s="22" t="s">
        <v>19573</v>
      </c>
      <c r="K333" s="22" t="s">
        <v>19574</v>
      </c>
      <c r="L333" s="22"/>
      <c r="M333" s="22"/>
      <c r="N333" s="25" t="str">
        <f>HYPERLINK("http://slimages.macys.com/is/image/MCY/14601081 ")</f>
        <v xml:space="preserve">http://slimages.macys.com/is/image/MCY/14601081 </v>
      </c>
    </row>
    <row r="334" spans="1:14" ht="24.75" x14ac:dyDescent="0.25">
      <c r="A334" s="21" t="s">
        <v>2816</v>
      </c>
      <c r="B334" s="22" t="s">
        <v>2817</v>
      </c>
      <c r="C334" s="2">
        <v>1</v>
      </c>
      <c r="D334" s="23">
        <v>12.71</v>
      </c>
      <c r="E334" s="3">
        <v>12.71</v>
      </c>
      <c r="F334" s="2" t="s">
        <v>2818</v>
      </c>
      <c r="G334" s="22"/>
      <c r="H334" s="24" t="s">
        <v>19345</v>
      </c>
      <c r="I334" s="22" t="s">
        <v>19309</v>
      </c>
      <c r="J334" s="22" t="s">
        <v>19602</v>
      </c>
      <c r="K334" s="22" t="s">
        <v>20041</v>
      </c>
      <c r="L334" s="22"/>
      <c r="M334" s="22"/>
      <c r="N334" s="25" t="str">
        <f>HYPERLINK("http://slimages.macys.com/is/image/MCY/20243195 ")</f>
        <v xml:space="preserve">http://slimages.macys.com/is/image/MCY/20243195 </v>
      </c>
    </row>
    <row r="335" spans="1:14" ht="24.75" x14ac:dyDescent="0.25">
      <c r="A335" s="21" t="s">
        <v>2819</v>
      </c>
      <c r="B335" s="22" t="s">
        <v>2820</v>
      </c>
      <c r="C335" s="2">
        <v>1</v>
      </c>
      <c r="D335" s="23">
        <v>12.71</v>
      </c>
      <c r="E335" s="3">
        <v>12.71</v>
      </c>
      <c r="F335" s="2" t="s">
        <v>2821</v>
      </c>
      <c r="G335" s="22"/>
      <c r="H335" s="24" t="s">
        <v>19392</v>
      </c>
      <c r="I335" s="22" t="s">
        <v>19309</v>
      </c>
      <c r="J335" s="22" t="s">
        <v>19602</v>
      </c>
      <c r="K335" s="22" t="s">
        <v>19603</v>
      </c>
      <c r="L335" s="22"/>
      <c r="M335" s="22"/>
      <c r="N335" s="25" t="str">
        <f>HYPERLINK("http://slimages.macys.com/is/image/MCY/19916344 ")</f>
        <v xml:space="preserve">http://slimages.macys.com/is/image/MCY/19916344 </v>
      </c>
    </row>
    <row r="336" spans="1:14" ht="24.75" x14ac:dyDescent="0.25">
      <c r="A336" s="21" t="s">
        <v>2822</v>
      </c>
      <c r="B336" s="22" t="s">
        <v>2823</v>
      </c>
      <c r="C336" s="2">
        <v>1</v>
      </c>
      <c r="D336" s="23">
        <v>9.99</v>
      </c>
      <c r="E336" s="3">
        <v>9.99</v>
      </c>
      <c r="F336" s="2" t="s">
        <v>2824</v>
      </c>
      <c r="G336" s="22" t="s">
        <v>20145</v>
      </c>
      <c r="H336" s="24" t="s">
        <v>19352</v>
      </c>
      <c r="I336" s="22" t="s">
        <v>19309</v>
      </c>
      <c r="J336" s="22" t="s">
        <v>19447</v>
      </c>
      <c r="K336" s="22" t="s">
        <v>19873</v>
      </c>
      <c r="L336" s="22"/>
      <c r="M336" s="22"/>
      <c r="N336" s="25" t="str">
        <f>HYPERLINK("http://slimages.macys.com/is/image/MCY/21122039 ")</f>
        <v xml:space="preserve">http://slimages.macys.com/is/image/MCY/21122039 </v>
      </c>
    </row>
    <row r="337" spans="1:14" ht="24.75" x14ac:dyDescent="0.25">
      <c r="A337" s="21" t="s">
        <v>2825</v>
      </c>
      <c r="B337" s="22" t="s">
        <v>2826</v>
      </c>
      <c r="C337" s="2">
        <v>1</v>
      </c>
      <c r="D337" s="23">
        <v>9.99</v>
      </c>
      <c r="E337" s="3">
        <v>9.99</v>
      </c>
      <c r="F337" s="2" t="s">
        <v>2827</v>
      </c>
      <c r="G337" s="22" t="s">
        <v>19585</v>
      </c>
      <c r="H337" s="24" t="s">
        <v>19352</v>
      </c>
      <c r="I337" s="22" t="s">
        <v>19309</v>
      </c>
      <c r="J337" s="22" t="s">
        <v>19310</v>
      </c>
      <c r="K337" s="22" t="s">
        <v>19873</v>
      </c>
      <c r="L337" s="22"/>
      <c r="M337" s="22"/>
      <c r="N337" s="25" t="str">
        <f>HYPERLINK("http://slimages.macys.com/is/image/MCY/21551467 ")</f>
        <v xml:space="preserve">http://slimages.macys.com/is/image/MCY/21551467 </v>
      </c>
    </row>
    <row r="338" spans="1:14" ht="24.75" x14ac:dyDescent="0.25">
      <c r="A338" s="21" t="s">
        <v>2828</v>
      </c>
      <c r="B338" s="22" t="s">
        <v>2829</v>
      </c>
      <c r="C338" s="2">
        <v>1</v>
      </c>
      <c r="D338" s="23">
        <v>9.99</v>
      </c>
      <c r="E338" s="3">
        <v>9.99</v>
      </c>
      <c r="F338" s="2" t="s">
        <v>2827</v>
      </c>
      <c r="G338" s="22" t="s">
        <v>19585</v>
      </c>
      <c r="H338" s="24" t="s">
        <v>19364</v>
      </c>
      <c r="I338" s="22" t="s">
        <v>19309</v>
      </c>
      <c r="J338" s="22" t="s">
        <v>19310</v>
      </c>
      <c r="K338" s="22" t="s">
        <v>19873</v>
      </c>
      <c r="L338" s="22"/>
      <c r="M338" s="22"/>
      <c r="N338" s="25" t="str">
        <f>HYPERLINK("http://slimages.macys.com/is/image/MCY/21551467 ")</f>
        <v xml:space="preserve">http://slimages.macys.com/is/image/MCY/21551467 </v>
      </c>
    </row>
    <row r="339" spans="1:14" ht="24.75" x14ac:dyDescent="0.25">
      <c r="A339" s="21" t="s">
        <v>10648</v>
      </c>
      <c r="B339" s="22" t="s">
        <v>10649</v>
      </c>
      <c r="C339" s="2">
        <v>2</v>
      </c>
      <c r="D339" s="23">
        <v>13.99</v>
      </c>
      <c r="E339" s="3">
        <v>27.98</v>
      </c>
      <c r="F339" s="2" t="s">
        <v>16199</v>
      </c>
      <c r="G339" s="22" t="s">
        <v>18439</v>
      </c>
      <c r="H339" s="24" t="s">
        <v>19538</v>
      </c>
      <c r="I339" s="22" t="s">
        <v>19309</v>
      </c>
      <c r="J339" s="22" t="s">
        <v>19573</v>
      </c>
      <c r="K339" s="22" t="s">
        <v>19574</v>
      </c>
      <c r="L339" s="22"/>
      <c r="M339" s="22"/>
      <c r="N339" s="25" t="str">
        <f>HYPERLINK("http://slimages.macys.com/is/image/MCY/20757807 ")</f>
        <v xml:space="preserve">http://slimages.macys.com/is/image/MCY/20757807 </v>
      </c>
    </row>
    <row r="340" spans="1:14" x14ac:dyDescent="0.25">
      <c r="A340" s="21" t="s">
        <v>2830</v>
      </c>
      <c r="B340" s="22" t="s">
        <v>2831</v>
      </c>
      <c r="C340" s="2">
        <v>1</v>
      </c>
      <c r="D340" s="23">
        <v>15.99</v>
      </c>
      <c r="E340" s="3">
        <v>15.99</v>
      </c>
      <c r="F340" s="2" t="s">
        <v>18451</v>
      </c>
      <c r="G340" s="22" t="s">
        <v>19315</v>
      </c>
      <c r="H340" s="24" t="s">
        <v>19797</v>
      </c>
      <c r="I340" s="22" t="s">
        <v>19309</v>
      </c>
      <c r="J340" s="22" t="s">
        <v>19849</v>
      </c>
      <c r="K340" s="22" t="s">
        <v>19850</v>
      </c>
      <c r="L340" s="22"/>
      <c r="M340" s="22"/>
      <c r="N340" s="25" t="str">
        <f>HYPERLINK("http://slimages.macys.com/is/image/MCY/1414815 ")</f>
        <v xml:space="preserve">http://slimages.macys.com/is/image/MCY/1414815 </v>
      </c>
    </row>
    <row r="341" spans="1:14" x14ac:dyDescent="0.25">
      <c r="A341" s="21" t="s">
        <v>2832</v>
      </c>
      <c r="B341" s="22" t="s">
        <v>2833</v>
      </c>
      <c r="C341" s="2">
        <v>1</v>
      </c>
      <c r="D341" s="23">
        <v>15</v>
      </c>
      <c r="E341" s="3">
        <v>15</v>
      </c>
      <c r="F341" s="2" t="s">
        <v>2834</v>
      </c>
      <c r="G341" s="22"/>
      <c r="H341" s="24" t="s">
        <v>19324</v>
      </c>
      <c r="I341" s="22" t="s">
        <v>19309</v>
      </c>
      <c r="J341" s="22" t="s">
        <v>19708</v>
      </c>
      <c r="K341" s="22" t="s">
        <v>19754</v>
      </c>
      <c r="L341" s="22"/>
      <c r="M341" s="22"/>
      <c r="N341" s="25" t="str">
        <f>HYPERLINK("http://slimages.macys.com/is/image/MCY/23058216 ")</f>
        <v xml:space="preserve">http://slimages.macys.com/is/image/MCY/23058216 </v>
      </c>
    </row>
    <row r="342" spans="1:14" x14ac:dyDescent="0.25">
      <c r="A342" s="21" t="s">
        <v>10656</v>
      </c>
      <c r="B342" s="22" t="s">
        <v>10657</v>
      </c>
      <c r="C342" s="2">
        <v>1</v>
      </c>
      <c r="D342" s="23">
        <v>13.99</v>
      </c>
      <c r="E342" s="3">
        <v>13.99</v>
      </c>
      <c r="F342" s="2" t="s">
        <v>9847</v>
      </c>
      <c r="G342" s="22" t="s">
        <v>19477</v>
      </c>
      <c r="H342" s="24" t="s">
        <v>19377</v>
      </c>
      <c r="I342" s="22" t="s">
        <v>19309</v>
      </c>
      <c r="J342" s="22" t="s">
        <v>19849</v>
      </c>
      <c r="K342" s="22" t="s">
        <v>19850</v>
      </c>
      <c r="L342" s="22"/>
      <c r="M342" s="22"/>
      <c r="N342" s="25" t="str">
        <f>HYPERLINK("http://slimages.macys.com/is/image/MCY/21270228 ")</f>
        <v xml:space="preserve">http://slimages.macys.com/is/image/MCY/21270228 </v>
      </c>
    </row>
    <row r="343" spans="1:14" x14ac:dyDescent="0.25">
      <c r="A343" s="21" t="s">
        <v>6879</v>
      </c>
      <c r="B343" s="22" t="s">
        <v>6880</v>
      </c>
      <c r="C343" s="2">
        <v>1</v>
      </c>
      <c r="D343" s="23">
        <v>13.99</v>
      </c>
      <c r="E343" s="3">
        <v>13.99</v>
      </c>
      <c r="F343" s="2" t="s">
        <v>9847</v>
      </c>
      <c r="G343" s="22" t="s">
        <v>19477</v>
      </c>
      <c r="H343" s="24" t="s">
        <v>20135</v>
      </c>
      <c r="I343" s="22" t="s">
        <v>19309</v>
      </c>
      <c r="J343" s="22" t="s">
        <v>19849</v>
      </c>
      <c r="K343" s="22" t="s">
        <v>19850</v>
      </c>
      <c r="L343" s="22"/>
      <c r="M343" s="22"/>
      <c r="N343" s="25" t="str">
        <f>HYPERLINK("http://slimages.macys.com/is/image/MCY/21270228 ")</f>
        <v xml:space="preserve">http://slimages.macys.com/is/image/MCY/21270228 </v>
      </c>
    </row>
    <row r="344" spans="1:14" ht="24.75" x14ac:dyDescent="0.25">
      <c r="A344" s="21" t="s">
        <v>2835</v>
      </c>
      <c r="B344" s="22" t="s">
        <v>2836</v>
      </c>
      <c r="C344" s="2">
        <v>1</v>
      </c>
      <c r="D344" s="23">
        <v>12.99</v>
      </c>
      <c r="E344" s="3">
        <v>12.99</v>
      </c>
      <c r="F344" s="2" t="s">
        <v>13823</v>
      </c>
      <c r="G344" s="22" t="s">
        <v>19814</v>
      </c>
      <c r="H344" s="24" t="s">
        <v>20089</v>
      </c>
      <c r="I344" s="22" t="s">
        <v>19309</v>
      </c>
      <c r="J344" s="22" t="s">
        <v>19908</v>
      </c>
      <c r="K344" s="22" t="s">
        <v>19524</v>
      </c>
      <c r="L344" s="22"/>
      <c r="M344" s="22"/>
      <c r="N344" s="25" t="str">
        <f>HYPERLINK("http://slimages.macys.com/is/image/MCY/20450220 ")</f>
        <v xml:space="preserve">http://slimages.macys.com/is/image/MCY/20450220 </v>
      </c>
    </row>
    <row r="345" spans="1:14" x14ac:dyDescent="0.25">
      <c r="A345" s="21" t="s">
        <v>3870</v>
      </c>
      <c r="B345" s="22" t="s">
        <v>3871</v>
      </c>
      <c r="C345" s="2">
        <v>1</v>
      </c>
      <c r="D345" s="23">
        <v>13.99</v>
      </c>
      <c r="E345" s="3">
        <v>13.99</v>
      </c>
      <c r="F345" s="2" t="s">
        <v>9847</v>
      </c>
      <c r="G345" s="22" t="s">
        <v>19477</v>
      </c>
      <c r="H345" s="24" t="s">
        <v>19361</v>
      </c>
      <c r="I345" s="22" t="s">
        <v>19309</v>
      </c>
      <c r="J345" s="22" t="s">
        <v>19849</v>
      </c>
      <c r="K345" s="22" t="s">
        <v>19850</v>
      </c>
      <c r="L345" s="22"/>
      <c r="M345" s="22"/>
      <c r="N345" s="25" t="str">
        <f>HYPERLINK("http://slimages.macys.com/is/image/MCY/21270228 ")</f>
        <v xml:space="preserve">http://slimages.macys.com/is/image/MCY/21270228 </v>
      </c>
    </row>
    <row r="346" spans="1:14" x14ac:dyDescent="0.25">
      <c r="A346" s="21" t="s">
        <v>2837</v>
      </c>
      <c r="B346" s="22" t="s">
        <v>2838</v>
      </c>
      <c r="C346" s="2">
        <v>1</v>
      </c>
      <c r="D346" s="23">
        <v>13.99</v>
      </c>
      <c r="E346" s="3">
        <v>13.99</v>
      </c>
      <c r="F346" s="2" t="s">
        <v>9847</v>
      </c>
      <c r="G346" s="22" t="s">
        <v>19477</v>
      </c>
      <c r="H346" s="24" t="s">
        <v>19542</v>
      </c>
      <c r="I346" s="22" t="s">
        <v>19309</v>
      </c>
      <c r="J346" s="22" t="s">
        <v>19849</v>
      </c>
      <c r="K346" s="22" t="s">
        <v>19850</v>
      </c>
      <c r="L346" s="22"/>
      <c r="M346" s="22"/>
      <c r="N346" s="25" t="str">
        <f>HYPERLINK("http://slimages.macys.com/is/image/MCY/21270228 ")</f>
        <v xml:space="preserve">http://slimages.macys.com/is/image/MCY/21270228 </v>
      </c>
    </row>
    <row r="347" spans="1:14" x14ac:dyDescent="0.25">
      <c r="A347" s="21" t="s">
        <v>16491</v>
      </c>
      <c r="B347" s="22" t="s">
        <v>16492</v>
      </c>
      <c r="C347" s="2">
        <v>1</v>
      </c>
      <c r="D347" s="23">
        <v>13.99</v>
      </c>
      <c r="E347" s="3">
        <v>13.99</v>
      </c>
      <c r="F347" s="2" t="s">
        <v>18457</v>
      </c>
      <c r="G347" s="22" t="s">
        <v>19670</v>
      </c>
      <c r="H347" s="24" t="s">
        <v>20089</v>
      </c>
      <c r="I347" s="22" t="s">
        <v>19309</v>
      </c>
      <c r="J347" s="22" t="s">
        <v>19849</v>
      </c>
      <c r="K347" s="22" t="s">
        <v>19850</v>
      </c>
      <c r="L347" s="22"/>
      <c r="M347" s="22"/>
      <c r="N347" s="25" t="str">
        <f>HYPERLINK("http://slimages.macys.com/is/image/MCY/21270275 ")</f>
        <v xml:space="preserve">http://slimages.macys.com/is/image/MCY/21270275 </v>
      </c>
    </row>
    <row r="348" spans="1:14" x14ac:dyDescent="0.25">
      <c r="A348" s="21" t="s">
        <v>10658</v>
      </c>
      <c r="B348" s="22" t="s">
        <v>10659</v>
      </c>
      <c r="C348" s="2">
        <v>1</v>
      </c>
      <c r="D348" s="23">
        <v>15.99</v>
      </c>
      <c r="E348" s="3">
        <v>15.99</v>
      </c>
      <c r="F348" s="2" t="s">
        <v>18462</v>
      </c>
      <c r="G348" s="22" t="s">
        <v>19477</v>
      </c>
      <c r="H348" s="24" t="s">
        <v>19361</v>
      </c>
      <c r="I348" s="22" t="s">
        <v>19309</v>
      </c>
      <c r="J348" s="22" t="s">
        <v>19849</v>
      </c>
      <c r="K348" s="22" t="s">
        <v>19850</v>
      </c>
      <c r="L348" s="22"/>
      <c r="M348" s="22"/>
      <c r="N348" s="25" t="str">
        <f>HYPERLINK("http://slimages.macys.com/is/image/MCY/20549437 ")</f>
        <v xml:space="preserve">http://slimages.macys.com/is/image/MCY/20549437 </v>
      </c>
    </row>
    <row r="349" spans="1:14" x14ac:dyDescent="0.25">
      <c r="A349" s="21" t="s">
        <v>10666</v>
      </c>
      <c r="B349" s="22" t="s">
        <v>10667</v>
      </c>
      <c r="C349" s="2">
        <v>1</v>
      </c>
      <c r="D349" s="23">
        <v>11.99</v>
      </c>
      <c r="E349" s="3">
        <v>11.99</v>
      </c>
      <c r="F349" s="2" t="s">
        <v>13840</v>
      </c>
      <c r="G349" s="22" t="s">
        <v>19477</v>
      </c>
      <c r="H349" s="24" t="s">
        <v>19364</v>
      </c>
      <c r="I349" s="22" t="s">
        <v>19309</v>
      </c>
      <c r="J349" s="22" t="s">
        <v>19849</v>
      </c>
      <c r="K349" s="22" t="s">
        <v>19850</v>
      </c>
      <c r="L349" s="22"/>
      <c r="M349" s="22"/>
      <c r="N349" s="25" t="str">
        <f>HYPERLINK("http://slimages.macys.com/is/image/MCY/20549481 ")</f>
        <v xml:space="preserve">http://slimages.macys.com/is/image/MCY/20549481 </v>
      </c>
    </row>
    <row r="350" spans="1:14" x14ac:dyDescent="0.25">
      <c r="A350" s="21" t="s">
        <v>10670</v>
      </c>
      <c r="B350" s="22" t="s">
        <v>10671</v>
      </c>
      <c r="C350" s="2">
        <v>1</v>
      </c>
      <c r="D350" s="23">
        <v>11.99</v>
      </c>
      <c r="E350" s="3">
        <v>11.99</v>
      </c>
      <c r="F350" s="2" t="s">
        <v>13840</v>
      </c>
      <c r="G350" s="22" t="s">
        <v>19477</v>
      </c>
      <c r="H350" s="24" t="s">
        <v>19352</v>
      </c>
      <c r="I350" s="22" t="s">
        <v>19309</v>
      </c>
      <c r="J350" s="22" t="s">
        <v>19849</v>
      </c>
      <c r="K350" s="22" t="s">
        <v>19850</v>
      </c>
      <c r="L350" s="22"/>
      <c r="M350" s="22"/>
      <c r="N350" s="25" t="str">
        <f>HYPERLINK("http://slimages.macys.com/is/image/MCY/20549481 ")</f>
        <v xml:space="preserve">http://slimages.macys.com/is/image/MCY/20549481 </v>
      </c>
    </row>
    <row r="351" spans="1:14" x14ac:dyDescent="0.25">
      <c r="A351" s="21" t="s">
        <v>2839</v>
      </c>
      <c r="B351" s="22" t="s">
        <v>2840</v>
      </c>
      <c r="C351" s="2">
        <v>1</v>
      </c>
      <c r="D351" s="23">
        <v>10.99</v>
      </c>
      <c r="E351" s="3">
        <v>10.99</v>
      </c>
      <c r="F351" s="2" t="s">
        <v>2841</v>
      </c>
      <c r="G351" s="22" t="s">
        <v>19467</v>
      </c>
      <c r="H351" s="24" t="s">
        <v>19308</v>
      </c>
      <c r="I351" s="22" t="s">
        <v>19309</v>
      </c>
      <c r="J351" s="22" t="s">
        <v>19310</v>
      </c>
      <c r="K351" s="22" t="s">
        <v>19873</v>
      </c>
      <c r="L351" s="22"/>
      <c r="M351" s="22"/>
      <c r="N351" s="25" t="str">
        <f>HYPERLINK("http://slimages.macys.com/is/image/MCY/18971281 ")</f>
        <v xml:space="preserve">http://slimages.macys.com/is/image/MCY/18971281 </v>
      </c>
    </row>
    <row r="352" spans="1:14" x14ac:dyDescent="0.25">
      <c r="A352" s="21" t="s">
        <v>2842</v>
      </c>
      <c r="B352" s="22" t="s">
        <v>2843</v>
      </c>
      <c r="C352" s="2">
        <v>1</v>
      </c>
      <c r="D352" s="23">
        <v>10.99</v>
      </c>
      <c r="E352" s="3">
        <v>10.99</v>
      </c>
      <c r="F352" s="2" t="s">
        <v>2841</v>
      </c>
      <c r="G352" s="22" t="s">
        <v>19467</v>
      </c>
      <c r="H352" s="24" t="s">
        <v>19339</v>
      </c>
      <c r="I352" s="22" t="s">
        <v>19309</v>
      </c>
      <c r="J352" s="22" t="s">
        <v>19310</v>
      </c>
      <c r="K352" s="22" t="s">
        <v>19873</v>
      </c>
      <c r="L352" s="22"/>
      <c r="M352" s="22"/>
      <c r="N352" s="25" t="str">
        <f>HYPERLINK("http://slimages.macys.com/is/image/MCY/18971281 ")</f>
        <v xml:space="preserve">http://slimages.macys.com/is/image/MCY/18971281 </v>
      </c>
    </row>
    <row r="353" spans="1:14" x14ac:dyDescent="0.25">
      <c r="A353" s="21" t="s">
        <v>9875</v>
      </c>
      <c r="B353" s="22" t="s">
        <v>9876</v>
      </c>
      <c r="C353" s="2">
        <v>10</v>
      </c>
      <c r="D353" s="23">
        <v>13.99</v>
      </c>
      <c r="E353" s="3">
        <v>139.9</v>
      </c>
      <c r="F353" s="2" t="s">
        <v>16222</v>
      </c>
      <c r="G353" s="22" t="s">
        <v>19670</v>
      </c>
      <c r="H353" s="24" t="s">
        <v>19797</v>
      </c>
      <c r="I353" s="22" t="s">
        <v>19309</v>
      </c>
      <c r="J353" s="22" t="s">
        <v>19849</v>
      </c>
      <c r="K353" s="22" t="s">
        <v>19850</v>
      </c>
      <c r="L353" s="22"/>
      <c r="M353" s="22"/>
      <c r="N353" s="25" t="str">
        <f>HYPERLINK("http://slimages.macys.com/is/image/MCY/21270377 ")</f>
        <v xml:space="preserve">http://slimages.macys.com/is/image/MCY/21270377 </v>
      </c>
    </row>
    <row r="354" spans="1:14" x14ac:dyDescent="0.25">
      <c r="A354" s="21" t="s">
        <v>2844</v>
      </c>
      <c r="B354" s="22" t="s">
        <v>2845</v>
      </c>
      <c r="C354" s="2">
        <v>1</v>
      </c>
      <c r="D354" s="23">
        <v>13.99</v>
      </c>
      <c r="E354" s="3">
        <v>13.99</v>
      </c>
      <c r="F354" s="2" t="s">
        <v>10683</v>
      </c>
      <c r="G354" s="22" t="s">
        <v>19431</v>
      </c>
      <c r="H354" s="24" t="s">
        <v>19339</v>
      </c>
      <c r="I354" s="22" t="s">
        <v>19309</v>
      </c>
      <c r="J354" s="22" t="s">
        <v>19849</v>
      </c>
      <c r="K354" s="22" t="s">
        <v>19850</v>
      </c>
      <c r="L354" s="22"/>
      <c r="M354" s="22"/>
      <c r="N354" s="25" t="str">
        <f>HYPERLINK("http://slimages.macys.com/is/image/MCY/1249963 ")</f>
        <v xml:space="preserve">http://slimages.macys.com/is/image/MCY/1249963 </v>
      </c>
    </row>
    <row r="355" spans="1:14" x14ac:dyDescent="0.25">
      <c r="A355" s="21" t="s">
        <v>10686</v>
      </c>
      <c r="B355" s="22" t="s">
        <v>10687</v>
      </c>
      <c r="C355" s="2">
        <v>1</v>
      </c>
      <c r="D355" s="23">
        <v>16.989999999999998</v>
      </c>
      <c r="E355" s="3">
        <v>16.989999999999998</v>
      </c>
      <c r="F355" s="2" t="s">
        <v>9864</v>
      </c>
      <c r="G355" s="22" t="s">
        <v>19670</v>
      </c>
      <c r="H355" s="24" t="s">
        <v>19377</v>
      </c>
      <c r="I355" s="22" t="s">
        <v>19309</v>
      </c>
      <c r="J355" s="22" t="s">
        <v>19849</v>
      </c>
      <c r="K355" s="22" t="s">
        <v>19850</v>
      </c>
      <c r="L355" s="22"/>
      <c r="M355" s="22"/>
      <c r="N355" s="25" t="str">
        <f>HYPERLINK("http://slimages.macys.com/is/image/MCY/21270746 ")</f>
        <v xml:space="preserve">http://slimages.macys.com/is/image/MCY/21270746 </v>
      </c>
    </row>
    <row r="356" spans="1:14" x14ac:dyDescent="0.25">
      <c r="A356" s="21" t="s">
        <v>10679</v>
      </c>
      <c r="B356" s="22" t="s">
        <v>10680</v>
      </c>
      <c r="C356" s="2">
        <v>1</v>
      </c>
      <c r="D356" s="23">
        <v>16.989999999999998</v>
      </c>
      <c r="E356" s="3">
        <v>16.989999999999998</v>
      </c>
      <c r="F356" s="2" t="s">
        <v>9864</v>
      </c>
      <c r="G356" s="22" t="s">
        <v>19670</v>
      </c>
      <c r="H356" s="24" t="s">
        <v>20135</v>
      </c>
      <c r="I356" s="22" t="s">
        <v>19309</v>
      </c>
      <c r="J356" s="22" t="s">
        <v>19849</v>
      </c>
      <c r="K356" s="22" t="s">
        <v>19850</v>
      </c>
      <c r="L356" s="22"/>
      <c r="M356" s="22"/>
      <c r="N356" s="25" t="str">
        <f>HYPERLINK("http://slimages.macys.com/is/image/MCY/21270746 ")</f>
        <v xml:space="preserve">http://slimages.macys.com/is/image/MCY/21270746 </v>
      </c>
    </row>
    <row r="357" spans="1:14" x14ac:dyDescent="0.25">
      <c r="A357" s="21" t="s">
        <v>10677</v>
      </c>
      <c r="B357" s="22" t="s">
        <v>10678</v>
      </c>
      <c r="C357" s="2">
        <v>1</v>
      </c>
      <c r="D357" s="23">
        <v>16.989999999999998</v>
      </c>
      <c r="E357" s="3">
        <v>16.989999999999998</v>
      </c>
      <c r="F357" s="2" t="s">
        <v>9864</v>
      </c>
      <c r="G357" s="22" t="s">
        <v>19670</v>
      </c>
      <c r="H357" s="24" t="s">
        <v>19361</v>
      </c>
      <c r="I357" s="22" t="s">
        <v>19309</v>
      </c>
      <c r="J357" s="22" t="s">
        <v>19849</v>
      </c>
      <c r="K357" s="22" t="s">
        <v>19850</v>
      </c>
      <c r="L357" s="22"/>
      <c r="M357" s="22"/>
      <c r="N357" s="25" t="str">
        <f>HYPERLINK("http://slimages.macys.com/is/image/MCY/21270746 ")</f>
        <v xml:space="preserve">http://slimages.macys.com/is/image/MCY/21270746 </v>
      </c>
    </row>
    <row r="358" spans="1:14" x14ac:dyDescent="0.25">
      <c r="A358" s="21" t="s">
        <v>16511</v>
      </c>
      <c r="B358" s="22" t="s">
        <v>16512</v>
      </c>
      <c r="C358" s="2">
        <v>1</v>
      </c>
      <c r="D358" s="23">
        <v>13.77</v>
      </c>
      <c r="E358" s="3">
        <v>13.77</v>
      </c>
      <c r="F358" s="2" t="s">
        <v>16513</v>
      </c>
      <c r="G358" s="22" t="s">
        <v>19670</v>
      </c>
      <c r="H358" s="24" t="s">
        <v>19416</v>
      </c>
      <c r="I358" s="22" t="s">
        <v>19309</v>
      </c>
      <c r="J358" s="22" t="s">
        <v>19708</v>
      </c>
      <c r="K358" s="22" t="s">
        <v>19709</v>
      </c>
      <c r="L358" s="22"/>
      <c r="M358" s="22"/>
      <c r="N358" s="25" t="str">
        <f>HYPERLINK("http://slimages.macys.com/is/image/MCY/21414216 ")</f>
        <v xml:space="preserve">http://slimages.macys.com/is/image/MCY/21414216 </v>
      </c>
    </row>
    <row r="359" spans="1:14" x14ac:dyDescent="0.25">
      <c r="A359" s="21" t="s">
        <v>2846</v>
      </c>
      <c r="B359" s="22" t="s">
        <v>2847</v>
      </c>
      <c r="C359" s="2">
        <v>1</v>
      </c>
      <c r="D359" s="23">
        <v>13.77</v>
      </c>
      <c r="E359" s="3">
        <v>13.77</v>
      </c>
      <c r="F359" s="2" t="s">
        <v>16513</v>
      </c>
      <c r="G359" s="22" t="s">
        <v>19670</v>
      </c>
      <c r="H359" s="24" t="s">
        <v>20159</v>
      </c>
      <c r="I359" s="22" t="s">
        <v>19309</v>
      </c>
      <c r="J359" s="22" t="s">
        <v>19708</v>
      </c>
      <c r="K359" s="22" t="s">
        <v>19709</v>
      </c>
      <c r="L359" s="22"/>
      <c r="M359" s="22"/>
      <c r="N359" s="25" t="str">
        <f>HYPERLINK("http://slimages.macys.com/is/image/MCY/21414216 ")</f>
        <v xml:space="preserve">http://slimages.macys.com/is/image/MCY/21414216 </v>
      </c>
    </row>
    <row r="360" spans="1:14" ht="24.75" x14ac:dyDescent="0.25">
      <c r="A360" s="21" t="s">
        <v>2848</v>
      </c>
      <c r="B360" s="22" t="s">
        <v>2849</v>
      </c>
      <c r="C360" s="2">
        <v>1</v>
      </c>
      <c r="D360" s="23">
        <v>8.99</v>
      </c>
      <c r="E360" s="3">
        <v>8.99</v>
      </c>
      <c r="F360" s="2" t="s">
        <v>2850</v>
      </c>
      <c r="G360" s="22" t="s">
        <v>19528</v>
      </c>
      <c r="H360" s="24" t="s">
        <v>19352</v>
      </c>
      <c r="I360" s="22" t="s">
        <v>19309</v>
      </c>
      <c r="J360" s="22" t="s">
        <v>19447</v>
      </c>
      <c r="K360" s="22" t="s">
        <v>19873</v>
      </c>
      <c r="L360" s="22"/>
      <c r="M360" s="22"/>
      <c r="N360" s="25" t="str">
        <f>HYPERLINK("http://slimages.macys.com/is/image/MCY/19575720 ")</f>
        <v xml:space="preserve">http://slimages.macys.com/is/image/MCY/19575720 </v>
      </c>
    </row>
    <row r="361" spans="1:14" x14ac:dyDescent="0.25">
      <c r="A361" s="21" t="s">
        <v>10675</v>
      </c>
      <c r="B361" s="22" t="s">
        <v>10676</v>
      </c>
      <c r="C361" s="2">
        <v>1</v>
      </c>
      <c r="D361" s="23">
        <v>16.989999999999998</v>
      </c>
      <c r="E361" s="3">
        <v>16.989999999999998</v>
      </c>
      <c r="F361" s="2" t="s">
        <v>9864</v>
      </c>
      <c r="G361" s="22" t="s">
        <v>19670</v>
      </c>
      <c r="H361" s="24" t="s">
        <v>19542</v>
      </c>
      <c r="I361" s="22" t="s">
        <v>19309</v>
      </c>
      <c r="J361" s="22" t="s">
        <v>19849</v>
      </c>
      <c r="K361" s="22" t="s">
        <v>19850</v>
      </c>
      <c r="L361" s="22"/>
      <c r="M361" s="22"/>
      <c r="N361" s="25" t="str">
        <f>HYPERLINK("http://slimages.macys.com/is/image/MCY/21270746 ")</f>
        <v xml:space="preserve">http://slimages.macys.com/is/image/MCY/21270746 </v>
      </c>
    </row>
    <row r="362" spans="1:14" x14ac:dyDescent="0.25">
      <c r="A362" s="21" t="s">
        <v>9862</v>
      </c>
      <c r="B362" s="22" t="s">
        <v>9863</v>
      </c>
      <c r="C362" s="2">
        <v>1</v>
      </c>
      <c r="D362" s="23">
        <v>16.989999999999998</v>
      </c>
      <c r="E362" s="3">
        <v>16.989999999999998</v>
      </c>
      <c r="F362" s="2" t="s">
        <v>9864</v>
      </c>
      <c r="G362" s="22" t="s">
        <v>19670</v>
      </c>
      <c r="H362" s="24" t="s">
        <v>20089</v>
      </c>
      <c r="I362" s="22" t="s">
        <v>19309</v>
      </c>
      <c r="J362" s="22" t="s">
        <v>19849</v>
      </c>
      <c r="K362" s="22" t="s">
        <v>19850</v>
      </c>
      <c r="L362" s="22"/>
      <c r="M362" s="22"/>
      <c r="N362" s="25" t="str">
        <f>HYPERLINK("http://slimages.macys.com/is/image/MCY/21270746 ")</f>
        <v xml:space="preserve">http://slimages.macys.com/is/image/MCY/21270746 </v>
      </c>
    </row>
    <row r="363" spans="1:14" x14ac:dyDescent="0.25">
      <c r="A363" s="21" t="s">
        <v>16631</v>
      </c>
      <c r="B363" s="22" t="s">
        <v>16632</v>
      </c>
      <c r="C363" s="2">
        <v>1</v>
      </c>
      <c r="D363" s="23">
        <v>10.99</v>
      </c>
      <c r="E363" s="3">
        <v>10.99</v>
      </c>
      <c r="F363" s="2" t="s">
        <v>16624</v>
      </c>
      <c r="G363" s="22" t="s">
        <v>19674</v>
      </c>
      <c r="H363" s="24" t="s">
        <v>19364</v>
      </c>
      <c r="I363" s="22" t="s">
        <v>19309</v>
      </c>
      <c r="J363" s="22" t="s">
        <v>19849</v>
      </c>
      <c r="K363" s="22" t="s">
        <v>19850</v>
      </c>
      <c r="L363" s="22"/>
      <c r="M363" s="22"/>
      <c r="N363" s="25" t="str">
        <f>HYPERLINK("http://slimages.macys.com/is/image/MCY/1650136 ")</f>
        <v xml:space="preserve">http://slimages.macys.com/is/image/MCY/1650136 </v>
      </c>
    </row>
    <row r="364" spans="1:14" x14ac:dyDescent="0.25">
      <c r="A364" s="21" t="s">
        <v>16629</v>
      </c>
      <c r="B364" s="22" t="s">
        <v>16630</v>
      </c>
      <c r="C364" s="2">
        <v>2</v>
      </c>
      <c r="D364" s="23">
        <v>10.99</v>
      </c>
      <c r="E364" s="3">
        <v>21.98</v>
      </c>
      <c r="F364" s="2" t="s">
        <v>16624</v>
      </c>
      <c r="G364" s="22" t="s">
        <v>19674</v>
      </c>
      <c r="H364" s="24" t="s">
        <v>19352</v>
      </c>
      <c r="I364" s="22" t="s">
        <v>19309</v>
      </c>
      <c r="J364" s="22" t="s">
        <v>19849</v>
      </c>
      <c r="K364" s="22" t="s">
        <v>19850</v>
      </c>
      <c r="L364" s="22"/>
      <c r="M364" s="22"/>
      <c r="N364" s="25" t="str">
        <f>HYPERLINK("http://slimages.macys.com/is/image/MCY/1650136 ")</f>
        <v xml:space="preserve">http://slimages.macys.com/is/image/MCY/1650136 </v>
      </c>
    </row>
    <row r="365" spans="1:14" x14ac:dyDescent="0.25">
      <c r="A365" s="21" t="s">
        <v>7698</v>
      </c>
      <c r="B365" s="22" t="s">
        <v>7699</v>
      </c>
      <c r="C365" s="2">
        <v>2</v>
      </c>
      <c r="D365" s="23">
        <v>10.99</v>
      </c>
      <c r="E365" s="3">
        <v>21.98</v>
      </c>
      <c r="F365" s="2" t="s">
        <v>16624</v>
      </c>
      <c r="G365" s="22" t="s">
        <v>19674</v>
      </c>
      <c r="H365" s="24" t="s">
        <v>19339</v>
      </c>
      <c r="I365" s="22" t="s">
        <v>19309</v>
      </c>
      <c r="J365" s="22" t="s">
        <v>19849</v>
      </c>
      <c r="K365" s="22" t="s">
        <v>19850</v>
      </c>
      <c r="L365" s="22"/>
      <c r="M365" s="22"/>
      <c r="N365" s="25" t="str">
        <f>HYPERLINK("http://slimages.macys.com/is/image/MCY/1650136 ")</f>
        <v xml:space="preserve">http://slimages.macys.com/is/image/MCY/1650136 </v>
      </c>
    </row>
    <row r="366" spans="1:14" x14ac:dyDescent="0.25">
      <c r="A366" s="21" t="s">
        <v>4815</v>
      </c>
      <c r="B366" s="22" t="s">
        <v>4816</v>
      </c>
      <c r="C366" s="2">
        <v>1</v>
      </c>
      <c r="D366" s="23">
        <v>10.99</v>
      </c>
      <c r="E366" s="3">
        <v>10.99</v>
      </c>
      <c r="F366" s="2" t="s">
        <v>16624</v>
      </c>
      <c r="G366" s="22" t="s">
        <v>19477</v>
      </c>
      <c r="H366" s="24" t="s">
        <v>19797</v>
      </c>
      <c r="I366" s="22" t="s">
        <v>19309</v>
      </c>
      <c r="J366" s="22" t="s">
        <v>19849</v>
      </c>
      <c r="K366" s="22" t="s">
        <v>19850</v>
      </c>
      <c r="L366" s="22"/>
      <c r="M366" s="22"/>
      <c r="N366" s="25" t="str">
        <f>HYPERLINK("http://slimages.macys.com/is/image/MCY/22503415 ")</f>
        <v xml:space="preserve">http://slimages.macys.com/is/image/MCY/22503415 </v>
      </c>
    </row>
    <row r="367" spans="1:14" ht="24.75" x14ac:dyDescent="0.25">
      <c r="A367" s="21" t="s">
        <v>2851</v>
      </c>
      <c r="B367" s="22" t="s">
        <v>2852</v>
      </c>
      <c r="C367" s="2">
        <v>1</v>
      </c>
      <c r="D367" s="23">
        <v>18.989999999999998</v>
      </c>
      <c r="E367" s="3">
        <v>18.989999999999998</v>
      </c>
      <c r="F367" s="2" t="s">
        <v>2853</v>
      </c>
      <c r="G367" s="22" t="s">
        <v>19794</v>
      </c>
      <c r="H367" s="24" t="s">
        <v>19316</v>
      </c>
      <c r="I367" s="22" t="s">
        <v>19309</v>
      </c>
      <c r="J367" s="22" t="s">
        <v>19447</v>
      </c>
      <c r="K367" s="22" t="s">
        <v>18333</v>
      </c>
      <c r="L367" s="22"/>
      <c r="M367" s="22"/>
      <c r="N367" s="25" t="str">
        <f>HYPERLINK("http://slimages.macys.com/is/image/MCY/21541307 ")</f>
        <v xml:space="preserve">http://slimages.macys.com/is/image/MCY/21541307 </v>
      </c>
    </row>
    <row r="368" spans="1:14" x14ac:dyDescent="0.25">
      <c r="A368" s="21" t="s">
        <v>11108</v>
      </c>
      <c r="B368" s="22" t="s">
        <v>11109</v>
      </c>
      <c r="C368" s="2">
        <v>1</v>
      </c>
      <c r="D368" s="23">
        <v>10.99</v>
      </c>
      <c r="E368" s="3">
        <v>10.99</v>
      </c>
      <c r="F368" s="2" t="s">
        <v>16624</v>
      </c>
      <c r="G368" s="22" t="s">
        <v>19674</v>
      </c>
      <c r="H368" s="24" t="s">
        <v>19797</v>
      </c>
      <c r="I368" s="22" t="s">
        <v>19309</v>
      </c>
      <c r="J368" s="22" t="s">
        <v>19849</v>
      </c>
      <c r="K368" s="22" t="s">
        <v>19850</v>
      </c>
      <c r="L368" s="22"/>
      <c r="M368" s="22"/>
      <c r="N368" s="25" t="str">
        <f>HYPERLINK("http://slimages.macys.com/is/image/MCY/1650136 ")</f>
        <v xml:space="preserve">http://slimages.macys.com/is/image/MCY/1650136 </v>
      </c>
    </row>
    <row r="369" spans="1:14" ht="24.75" x14ac:dyDescent="0.25">
      <c r="A369" s="21" t="s">
        <v>2854</v>
      </c>
      <c r="B369" s="22" t="s">
        <v>2855</v>
      </c>
      <c r="C369" s="2">
        <v>1</v>
      </c>
      <c r="D369" s="23">
        <v>13.99</v>
      </c>
      <c r="E369" s="3">
        <v>13.99</v>
      </c>
      <c r="F369" s="2" t="s">
        <v>9886</v>
      </c>
      <c r="G369" s="22" t="s">
        <v>19513</v>
      </c>
      <c r="H369" s="24" t="s">
        <v>19334</v>
      </c>
      <c r="I369" s="22" t="s">
        <v>19309</v>
      </c>
      <c r="J369" s="22" t="s">
        <v>19595</v>
      </c>
      <c r="K369" s="22" t="s">
        <v>19596</v>
      </c>
      <c r="L369" s="22"/>
      <c r="M369" s="22"/>
      <c r="N369" s="25" t="str">
        <f>HYPERLINK("http://slimages.macys.com/is/image/MCY/21623014 ")</f>
        <v xml:space="preserve">http://slimages.macys.com/is/image/MCY/21623014 </v>
      </c>
    </row>
    <row r="370" spans="1:14" x14ac:dyDescent="0.25">
      <c r="A370" s="21" t="s">
        <v>2856</v>
      </c>
      <c r="B370" s="22" t="s">
        <v>2857</v>
      </c>
      <c r="C370" s="2">
        <v>1</v>
      </c>
      <c r="D370" s="23">
        <v>11.99</v>
      </c>
      <c r="E370" s="3">
        <v>11.99</v>
      </c>
      <c r="F370" s="2" t="s">
        <v>18493</v>
      </c>
      <c r="G370" s="22" t="s">
        <v>19477</v>
      </c>
      <c r="H370" s="24" t="s">
        <v>19364</v>
      </c>
      <c r="I370" s="22" t="s">
        <v>19309</v>
      </c>
      <c r="J370" s="22" t="s">
        <v>19849</v>
      </c>
      <c r="K370" s="22" t="s">
        <v>19850</v>
      </c>
      <c r="L370" s="22"/>
      <c r="M370" s="22"/>
      <c r="N370" s="25" t="str">
        <f>HYPERLINK("http://slimages.macys.com/is/image/MCY/20549452 ")</f>
        <v xml:space="preserve">http://slimages.macys.com/is/image/MCY/20549452 </v>
      </c>
    </row>
    <row r="371" spans="1:14" x14ac:dyDescent="0.25">
      <c r="A371" s="21" t="s">
        <v>13854</v>
      </c>
      <c r="B371" s="22" t="s">
        <v>13855</v>
      </c>
      <c r="C371" s="2">
        <v>3</v>
      </c>
      <c r="D371" s="23">
        <v>11.99</v>
      </c>
      <c r="E371" s="3">
        <v>35.97</v>
      </c>
      <c r="F371" s="2" t="s">
        <v>13856</v>
      </c>
      <c r="G371" s="22" t="s">
        <v>19618</v>
      </c>
      <c r="H371" s="24" t="s">
        <v>19352</v>
      </c>
      <c r="I371" s="22" t="s">
        <v>19309</v>
      </c>
      <c r="J371" s="22" t="s">
        <v>19849</v>
      </c>
      <c r="K371" s="22" t="s">
        <v>19850</v>
      </c>
      <c r="L371" s="22"/>
      <c r="M371" s="22"/>
      <c r="N371" s="25" t="str">
        <f>HYPERLINK("http://slimages.macys.com/is/image/MCY/20751956 ")</f>
        <v xml:space="preserve">http://slimages.macys.com/is/image/MCY/20751956 </v>
      </c>
    </row>
    <row r="372" spans="1:14" x14ac:dyDescent="0.25">
      <c r="A372" s="21" t="s">
        <v>2858</v>
      </c>
      <c r="B372" s="22" t="s">
        <v>2859</v>
      </c>
      <c r="C372" s="2">
        <v>1</v>
      </c>
      <c r="D372" s="23">
        <v>12.99</v>
      </c>
      <c r="E372" s="3">
        <v>12.99</v>
      </c>
      <c r="F372" s="2" t="s">
        <v>2860</v>
      </c>
      <c r="G372" s="22" t="s">
        <v>19618</v>
      </c>
      <c r="H372" s="24" t="s">
        <v>20232</v>
      </c>
      <c r="I372" s="22" t="s">
        <v>19309</v>
      </c>
      <c r="J372" s="22" t="s">
        <v>19514</v>
      </c>
      <c r="K372" s="22" t="s">
        <v>18514</v>
      </c>
      <c r="L372" s="22"/>
      <c r="M372" s="22"/>
      <c r="N372" s="25" t="str">
        <f>HYPERLINK("http://slimages.macys.com/is/image/MCY/20192140 ")</f>
        <v xml:space="preserve">http://slimages.macys.com/is/image/MCY/20192140 </v>
      </c>
    </row>
    <row r="373" spans="1:14" x14ac:dyDescent="0.25">
      <c r="A373" s="21" t="s">
        <v>2861</v>
      </c>
      <c r="B373" s="22" t="s">
        <v>2862</v>
      </c>
      <c r="C373" s="2">
        <v>1</v>
      </c>
      <c r="D373" s="23">
        <v>11.99</v>
      </c>
      <c r="E373" s="3">
        <v>11.99</v>
      </c>
      <c r="F373" s="2" t="s">
        <v>13856</v>
      </c>
      <c r="G373" s="22" t="s">
        <v>19618</v>
      </c>
      <c r="H373" s="24" t="s">
        <v>19364</v>
      </c>
      <c r="I373" s="22" t="s">
        <v>19309</v>
      </c>
      <c r="J373" s="22" t="s">
        <v>19849</v>
      </c>
      <c r="K373" s="22" t="s">
        <v>19850</v>
      </c>
      <c r="L373" s="22"/>
      <c r="M373" s="22"/>
      <c r="N373" s="25" t="str">
        <f>HYPERLINK("http://slimages.macys.com/is/image/MCY/20751956 ")</f>
        <v xml:space="preserve">http://slimages.macys.com/is/image/MCY/20751956 </v>
      </c>
    </row>
    <row r="374" spans="1:14" ht="24.75" x14ac:dyDescent="0.25">
      <c r="A374" s="21" t="s">
        <v>2863</v>
      </c>
      <c r="B374" s="22" t="s">
        <v>2864</v>
      </c>
      <c r="C374" s="2">
        <v>1</v>
      </c>
      <c r="D374" s="23">
        <v>13.99</v>
      </c>
      <c r="E374" s="3">
        <v>13.99</v>
      </c>
      <c r="F374" s="2" t="s">
        <v>2865</v>
      </c>
      <c r="G374" s="22" t="s">
        <v>19333</v>
      </c>
      <c r="H374" s="24" t="s">
        <v>19797</v>
      </c>
      <c r="I374" s="22" t="s">
        <v>19309</v>
      </c>
      <c r="J374" s="22" t="s">
        <v>19353</v>
      </c>
      <c r="K374" s="22" t="s">
        <v>19524</v>
      </c>
      <c r="L374" s="22"/>
      <c r="M374" s="22"/>
      <c r="N374" s="25" t="str">
        <f>HYPERLINK("http://slimages.macys.com/is/image/MCY/1489455 ")</f>
        <v xml:space="preserve">http://slimages.macys.com/is/image/MCY/1489455 </v>
      </c>
    </row>
    <row r="375" spans="1:14" x14ac:dyDescent="0.25">
      <c r="A375" s="21" t="s">
        <v>10715</v>
      </c>
      <c r="B375" s="22" t="s">
        <v>10716</v>
      </c>
      <c r="C375" s="2">
        <v>1</v>
      </c>
      <c r="D375" s="23">
        <v>16.989999999999998</v>
      </c>
      <c r="E375" s="3">
        <v>16.989999999999998</v>
      </c>
      <c r="F375" s="2" t="s">
        <v>16240</v>
      </c>
      <c r="G375" s="22" t="s">
        <v>19351</v>
      </c>
      <c r="H375" s="24" t="s">
        <v>19907</v>
      </c>
      <c r="I375" s="22" t="s">
        <v>19309</v>
      </c>
      <c r="J375" s="22" t="s">
        <v>19849</v>
      </c>
      <c r="K375" s="22" t="s">
        <v>19850</v>
      </c>
      <c r="L375" s="22"/>
      <c r="M375" s="22"/>
      <c r="N375" s="25" t="str">
        <f>HYPERLINK("http://slimages.macys.com/is/image/MCY/21270723 ")</f>
        <v xml:space="preserve">http://slimages.macys.com/is/image/MCY/21270723 </v>
      </c>
    </row>
    <row r="376" spans="1:14" x14ac:dyDescent="0.25">
      <c r="A376" s="21" t="s">
        <v>2866</v>
      </c>
      <c r="B376" s="22" t="s">
        <v>2867</v>
      </c>
      <c r="C376" s="2">
        <v>1</v>
      </c>
      <c r="D376" s="23">
        <v>14.99</v>
      </c>
      <c r="E376" s="3">
        <v>14.99</v>
      </c>
      <c r="F376" s="2" t="s">
        <v>2868</v>
      </c>
      <c r="G376" s="22" t="s">
        <v>19315</v>
      </c>
      <c r="H376" s="24" t="s">
        <v>19339</v>
      </c>
      <c r="I376" s="22" t="s">
        <v>19309</v>
      </c>
      <c r="J376" s="22" t="s">
        <v>19849</v>
      </c>
      <c r="K376" s="22" t="s">
        <v>19850</v>
      </c>
      <c r="L376" s="22"/>
      <c r="M376" s="22"/>
      <c r="N376" s="25" t="str">
        <f>HYPERLINK("http://slimages.macys.com/is/image/MCY/18926632 ")</f>
        <v xml:space="preserve">http://slimages.macys.com/is/image/MCY/18926632 </v>
      </c>
    </row>
    <row r="377" spans="1:14" ht="24.75" x14ac:dyDescent="0.25">
      <c r="A377" s="21" t="s">
        <v>2869</v>
      </c>
      <c r="B377" s="22" t="s">
        <v>2870</v>
      </c>
      <c r="C377" s="2">
        <v>1</v>
      </c>
      <c r="D377" s="23">
        <v>12.99</v>
      </c>
      <c r="E377" s="3">
        <v>12.99</v>
      </c>
      <c r="F377" s="2" t="s">
        <v>18533</v>
      </c>
      <c r="G377" s="22" t="s">
        <v>19585</v>
      </c>
      <c r="H377" s="24"/>
      <c r="I377" s="22" t="s">
        <v>19309</v>
      </c>
      <c r="J377" s="22" t="s">
        <v>19573</v>
      </c>
      <c r="K377" s="22" t="s">
        <v>19574</v>
      </c>
      <c r="L377" s="22"/>
      <c r="M377" s="22"/>
      <c r="N377" s="25" t="str">
        <f>HYPERLINK("http://slimages.macys.com/is/image/MCY/19977913 ")</f>
        <v xml:space="preserve">http://slimages.macys.com/is/image/MCY/19977913 </v>
      </c>
    </row>
    <row r="378" spans="1:14" x14ac:dyDescent="0.25">
      <c r="A378" s="21" t="s">
        <v>2871</v>
      </c>
      <c r="B378" s="22" t="s">
        <v>2872</v>
      </c>
      <c r="C378" s="2">
        <v>1</v>
      </c>
      <c r="D378" s="23">
        <v>13.31</v>
      </c>
      <c r="E378" s="3">
        <v>13.31</v>
      </c>
      <c r="F378" s="2" t="s">
        <v>2873</v>
      </c>
      <c r="G378" s="22" t="s">
        <v>19333</v>
      </c>
      <c r="H378" s="24" t="s">
        <v>20152</v>
      </c>
      <c r="I378" s="22" t="s">
        <v>19309</v>
      </c>
      <c r="J378" s="22" t="s">
        <v>19708</v>
      </c>
      <c r="K378" s="22" t="s">
        <v>19709</v>
      </c>
      <c r="L378" s="22"/>
      <c r="M378" s="22"/>
      <c r="N378" s="25" t="str">
        <f>HYPERLINK("http://slimages.macys.com/is/image/MCY/19836435 ")</f>
        <v xml:space="preserve">http://slimages.macys.com/is/image/MCY/19836435 </v>
      </c>
    </row>
    <row r="379" spans="1:14" ht="24.75" x14ac:dyDescent="0.25">
      <c r="A379" s="21" t="s">
        <v>2874</v>
      </c>
      <c r="B379" s="22" t="s">
        <v>2875</v>
      </c>
      <c r="C379" s="2">
        <v>1</v>
      </c>
      <c r="D379" s="23">
        <v>13.99</v>
      </c>
      <c r="E379" s="3">
        <v>13.99</v>
      </c>
      <c r="F379" s="2" t="s">
        <v>2876</v>
      </c>
      <c r="G379" s="22" t="s">
        <v>19618</v>
      </c>
      <c r="H379" s="24"/>
      <c r="I379" s="22" t="s">
        <v>19309</v>
      </c>
      <c r="J379" s="22" t="s">
        <v>19573</v>
      </c>
      <c r="K379" s="22" t="s">
        <v>19574</v>
      </c>
      <c r="L379" s="22"/>
      <c r="M379" s="22"/>
      <c r="N379" s="25" t="str">
        <f>HYPERLINK("http://slimages.macys.com/is/image/MCY/20142515 ")</f>
        <v xml:space="preserve">http://slimages.macys.com/is/image/MCY/20142515 </v>
      </c>
    </row>
    <row r="380" spans="1:14" ht="24.75" x14ac:dyDescent="0.25">
      <c r="A380" s="21" t="s">
        <v>2877</v>
      </c>
      <c r="B380" s="22" t="s">
        <v>2878</v>
      </c>
      <c r="C380" s="2">
        <v>1</v>
      </c>
      <c r="D380" s="23">
        <v>12.99</v>
      </c>
      <c r="E380" s="3">
        <v>12.99</v>
      </c>
      <c r="F380" s="2" t="s">
        <v>2879</v>
      </c>
      <c r="G380" s="22" t="s">
        <v>19879</v>
      </c>
      <c r="H380" s="24" t="s">
        <v>16005</v>
      </c>
      <c r="I380" s="22" t="s">
        <v>19309</v>
      </c>
      <c r="J380" s="22" t="s">
        <v>16678</v>
      </c>
      <c r="K380" s="22" t="s">
        <v>13268</v>
      </c>
      <c r="L380" s="22"/>
      <c r="M380" s="22"/>
      <c r="N380" s="25" t="str">
        <f>HYPERLINK("http://slimages.macys.com/is/image/MCY/20478205 ")</f>
        <v xml:space="preserve">http://slimages.macys.com/is/image/MCY/20478205 </v>
      </c>
    </row>
    <row r="381" spans="1:14" x14ac:dyDescent="0.25">
      <c r="A381" s="21" t="s">
        <v>2880</v>
      </c>
      <c r="B381" s="22" t="s">
        <v>2881</v>
      </c>
      <c r="C381" s="2">
        <v>1</v>
      </c>
      <c r="D381" s="23">
        <v>11.99</v>
      </c>
      <c r="E381" s="3">
        <v>11.99</v>
      </c>
      <c r="F381" s="2" t="s">
        <v>7712</v>
      </c>
      <c r="G381" s="22" t="s">
        <v>19670</v>
      </c>
      <c r="H381" s="24" t="s">
        <v>19352</v>
      </c>
      <c r="I381" s="22" t="s">
        <v>19309</v>
      </c>
      <c r="J381" s="22" t="s">
        <v>19849</v>
      </c>
      <c r="K381" s="22" t="s">
        <v>19850</v>
      </c>
      <c r="L381" s="22"/>
      <c r="M381" s="22"/>
      <c r="N381" s="25" t="str">
        <f>HYPERLINK("http://slimages.macys.com/is/image/MCY/20549602 ")</f>
        <v xml:space="preserve">http://slimages.macys.com/is/image/MCY/20549602 </v>
      </c>
    </row>
    <row r="382" spans="1:14" ht="24.75" x14ac:dyDescent="0.25">
      <c r="A382" s="21" t="s">
        <v>18552</v>
      </c>
      <c r="B382" s="22" t="s">
        <v>18553</v>
      </c>
      <c r="C382" s="2">
        <v>1</v>
      </c>
      <c r="D382" s="23">
        <v>13.99</v>
      </c>
      <c r="E382" s="3">
        <v>13.99</v>
      </c>
      <c r="F382" s="2" t="s">
        <v>18551</v>
      </c>
      <c r="G382" s="22" t="s">
        <v>19467</v>
      </c>
      <c r="H382" s="24" t="s">
        <v>19330</v>
      </c>
      <c r="I382" s="22" t="s">
        <v>19309</v>
      </c>
      <c r="J382" s="22" t="s">
        <v>19573</v>
      </c>
      <c r="K382" s="22" t="s">
        <v>19574</v>
      </c>
      <c r="L382" s="22"/>
      <c r="M382" s="22"/>
      <c r="N382" s="25" t="str">
        <f>HYPERLINK("http://slimages.macys.com/is/image/MCY/21361645 ")</f>
        <v xml:space="preserve">http://slimages.macys.com/is/image/MCY/21361645 </v>
      </c>
    </row>
    <row r="383" spans="1:14" ht="24.75" x14ac:dyDescent="0.25">
      <c r="A383" s="21" t="s">
        <v>8953</v>
      </c>
      <c r="B383" s="22" t="s">
        <v>8954</v>
      </c>
      <c r="C383" s="2">
        <v>1</v>
      </c>
      <c r="D383" s="23">
        <v>12.99</v>
      </c>
      <c r="E383" s="3">
        <v>12.99</v>
      </c>
      <c r="F383" s="2" t="s">
        <v>8955</v>
      </c>
      <c r="G383" s="22" t="s">
        <v>19315</v>
      </c>
      <c r="H383" s="24" t="s">
        <v>16005</v>
      </c>
      <c r="I383" s="22" t="s">
        <v>19309</v>
      </c>
      <c r="J383" s="22" t="s">
        <v>16678</v>
      </c>
      <c r="K383" s="22" t="s">
        <v>10407</v>
      </c>
      <c r="L383" s="22"/>
      <c r="M383" s="22"/>
      <c r="N383" s="25" t="str">
        <f>HYPERLINK("http://slimages.macys.com/is/image/MCY/20282929 ")</f>
        <v xml:space="preserve">http://slimages.macys.com/is/image/MCY/20282929 </v>
      </c>
    </row>
    <row r="384" spans="1:14" x14ac:dyDescent="0.25">
      <c r="A384" s="21" t="s">
        <v>2882</v>
      </c>
      <c r="B384" s="22" t="s">
        <v>2883</v>
      </c>
      <c r="C384" s="2">
        <v>1</v>
      </c>
      <c r="D384" s="23">
        <v>7.99</v>
      </c>
      <c r="E384" s="3">
        <v>7.99</v>
      </c>
      <c r="F384" s="2" t="s">
        <v>9907</v>
      </c>
      <c r="G384" s="22" t="s">
        <v>19618</v>
      </c>
      <c r="H384" s="24" t="s">
        <v>19352</v>
      </c>
      <c r="I384" s="22" t="s">
        <v>19309</v>
      </c>
      <c r="J384" s="22" t="s">
        <v>19310</v>
      </c>
      <c r="K384" s="22" t="s">
        <v>19873</v>
      </c>
      <c r="L384" s="22"/>
      <c r="M384" s="22"/>
      <c r="N384" s="25" t="str">
        <f>HYPERLINK("http://slimages.macys.com/is/image/MCY/20670332 ")</f>
        <v xml:space="preserve">http://slimages.macys.com/is/image/MCY/20670332 </v>
      </c>
    </row>
    <row r="385" spans="1:14" ht="24.75" x14ac:dyDescent="0.25">
      <c r="A385" s="21" t="s">
        <v>2884</v>
      </c>
      <c r="B385" s="22" t="s">
        <v>2885</v>
      </c>
      <c r="C385" s="2">
        <v>2</v>
      </c>
      <c r="D385" s="23">
        <v>16</v>
      </c>
      <c r="E385" s="3">
        <v>32</v>
      </c>
      <c r="F385" s="2" t="s">
        <v>16253</v>
      </c>
      <c r="G385" s="22" t="s">
        <v>19351</v>
      </c>
      <c r="H385" s="24" t="s">
        <v>19339</v>
      </c>
      <c r="I385" s="22" t="s">
        <v>19309</v>
      </c>
      <c r="J385" s="22" t="s">
        <v>19310</v>
      </c>
      <c r="K385" s="22" t="s">
        <v>19873</v>
      </c>
      <c r="L385" s="22"/>
      <c r="M385" s="22"/>
      <c r="N385" s="25" t="str">
        <f>HYPERLINK("http://slimages.macys.com/is/image/MCY/21694325 ")</f>
        <v xml:space="preserve">http://slimages.macys.com/is/image/MCY/21694325 </v>
      </c>
    </row>
    <row r="386" spans="1:14" ht="24.75" x14ac:dyDescent="0.25">
      <c r="A386" s="21" t="s">
        <v>16251</v>
      </c>
      <c r="B386" s="22" t="s">
        <v>16252</v>
      </c>
      <c r="C386" s="2">
        <v>2</v>
      </c>
      <c r="D386" s="23">
        <v>16</v>
      </c>
      <c r="E386" s="3">
        <v>32</v>
      </c>
      <c r="F386" s="2" t="s">
        <v>16253</v>
      </c>
      <c r="G386" s="22" t="s">
        <v>19351</v>
      </c>
      <c r="H386" s="24" t="s">
        <v>19352</v>
      </c>
      <c r="I386" s="22" t="s">
        <v>19309</v>
      </c>
      <c r="J386" s="22" t="s">
        <v>19310</v>
      </c>
      <c r="K386" s="22" t="s">
        <v>19873</v>
      </c>
      <c r="L386" s="22"/>
      <c r="M386" s="22"/>
      <c r="N386" s="25" t="str">
        <f>HYPERLINK("http://slimages.macys.com/is/image/MCY/21694325 ")</f>
        <v xml:space="preserve">http://slimages.macys.com/is/image/MCY/21694325 </v>
      </c>
    </row>
    <row r="387" spans="1:14" ht="24.75" x14ac:dyDescent="0.25">
      <c r="A387" s="21" t="s">
        <v>2886</v>
      </c>
      <c r="B387" s="22" t="s">
        <v>2887</v>
      </c>
      <c r="C387" s="2">
        <v>1</v>
      </c>
      <c r="D387" s="23">
        <v>7.99</v>
      </c>
      <c r="E387" s="3">
        <v>7.99</v>
      </c>
      <c r="F387" s="2" t="s">
        <v>2888</v>
      </c>
      <c r="G387" s="22" t="s">
        <v>19886</v>
      </c>
      <c r="H387" s="24" t="s">
        <v>19339</v>
      </c>
      <c r="I387" s="22" t="s">
        <v>19309</v>
      </c>
      <c r="J387" s="22" t="s">
        <v>19310</v>
      </c>
      <c r="K387" s="22" t="s">
        <v>19873</v>
      </c>
      <c r="L387" s="22"/>
      <c r="M387" s="22"/>
      <c r="N387" s="25" t="str">
        <f>HYPERLINK("http://slimages.macys.com/is/image/MCY/21030939 ")</f>
        <v xml:space="preserve">http://slimages.macys.com/is/image/MCY/21030939 </v>
      </c>
    </row>
    <row r="388" spans="1:14" ht="24.75" x14ac:dyDescent="0.25">
      <c r="A388" s="21" t="s">
        <v>2889</v>
      </c>
      <c r="B388" s="22" t="s">
        <v>2890</v>
      </c>
      <c r="C388" s="2">
        <v>1</v>
      </c>
      <c r="D388" s="23">
        <v>7.99</v>
      </c>
      <c r="E388" s="3">
        <v>7.99</v>
      </c>
      <c r="F388" s="2" t="s">
        <v>6902</v>
      </c>
      <c r="G388" s="22" t="s">
        <v>19467</v>
      </c>
      <c r="H388" s="24" t="s">
        <v>19352</v>
      </c>
      <c r="I388" s="22" t="s">
        <v>19309</v>
      </c>
      <c r="J388" s="22" t="s">
        <v>19310</v>
      </c>
      <c r="K388" s="22" t="s">
        <v>19873</v>
      </c>
      <c r="L388" s="22"/>
      <c r="M388" s="22"/>
      <c r="N388" s="25" t="str">
        <f>HYPERLINK("http://slimages.macys.com/is/image/MCY/21030922 ")</f>
        <v xml:space="preserve">http://slimages.macys.com/is/image/MCY/21030922 </v>
      </c>
    </row>
    <row r="389" spans="1:14" x14ac:dyDescent="0.25">
      <c r="A389" s="21" t="s">
        <v>2891</v>
      </c>
      <c r="B389" s="22" t="s">
        <v>2892</v>
      </c>
      <c r="C389" s="2">
        <v>1</v>
      </c>
      <c r="D389" s="23">
        <v>7.99</v>
      </c>
      <c r="E389" s="3">
        <v>7.99</v>
      </c>
      <c r="F389" s="2" t="s">
        <v>16552</v>
      </c>
      <c r="G389" s="22" t="s">
        <v>19814</v>
      </c>
      <c r="H389" s="24" t="s">
        <v>19352</v>
      </c>
      <c r="I389" s="22" t="s">
        <v>19309</v>
      </c>
      <c r="J389" s="22" t="s">
        <v>19310</v>
      </c>
      <c r="K389" s="22" t="s">
        <v>19873</v>
      </c>
      <c r="L389" s="22"/>
      <c r="M389" s="22"/>
      <c r="N389" s="25" t="str">
        <f>HYPERLINK("http://slimages.macys.com/is/image/MCY/20389870 ")</f>
        <v xml:space="preserve">http://slimages.macys.com/is/image/MCY/20389870 </v>
      </c>
    </row>
    <row r="390" spans="1:14" ht="24.75" x14ac:dyDescent="0.25">
      <c r="A390" s="21" t="s">
        <v>2893</v>
      </c>
      <c r="B390" s="22" t="s">
        <v>2894</v>
      </c>
      <c r="C390" s="2">
        <v>1</v>
      </c>
      <c r="D390" s="23">
        <v>7.99</v>
      </c>
      <c r="E390" s="3">
        <v>7.99</v>
      </c>
      <c r="F390" s="2" t="s">
        <v>9912</v>
      </c>
      <c r="G390" s="22" t="s">
        <v>19801</v>
      </c>
      <c r="H390" s="24" t="s">
        <v>19364</v>
      </c>
      <c r="I390" s="22" t="s">
        <v>19309</v>
      </c>
      <c r="J390" s="22" t="s">
        <v>19310</v>
      </c>
      <c r="K390" s="22" t="s">
        <v>19873</v>
      </c>
      <c r="L390" s="22"/>
      <c r="M390" s="22"/>
      <c r="N390" s="25" t="str">
        <f>HYPERLINK("http://slimages.macys.com/is/image/MCY/21176781 ")</f>
        <v xml:space="preserve">http://slimages.macys.com/is/image/MCY/21176781 </v>
      </c>
    </row>
    <row r="391" spans="1:14" ht="24.75" x14ac:dyDescent="0.25">
      <c r="A391" s="21" t="s">
        <v>18588</v>
      </c>
      <c r="B391" s="22" t="s">
        <v>18589</v>
      </c>
      <c r="C391" s="2">
        <v>1</v>
      </c>
      <c r="D391" s="23">
        <v>8.99</v>
      </c>
      <c r="E391" s="3">
        <v>8.99</v>
      </c>
      <c r="F391" s="2" t="s">
        <v>18590</v>
      </c>
      <c r="G391" s="22" t="s">
        <v>20145</v>
      </c>
      <c r="H391" s="24" t="s">
        <v>19352</v>
      </c>
      <c r="I391" s="22" t="s">
        <v>19309</v>
      </c>
      <c r="J391" s="22" t="s">
        <v>19310</v>
      </c>
      <c r="K391" s="22" t="s">
        <v>19873</v>
      </c>
      <c r="L391" s="22"/>
      <c r="M391" s="22"/>
      <c r="N391" s="25" t="str">
        <f>HYPERLINK("http://slimages.macys.com/is/image/MCY/21551350 ")</f>
        <v xml:space="preserve">http://slimages.macys.com/is/image/MCY/21551350 </v>
      </c>
    </row>
    <row r="392" spans="1:14" x14ac:dyDescent="0.25">
      <c r="A392" s="21" t="s">
        <v>2895</v>
      </c>
      <c r="B392" s="22" t="s">
        <v>2896</v>
      </c>
      <c r="C392" s="2">
        <v>1</v>
      </c>
      <c r="D392" s="23">
        <v>7.99</v>
      </c>
      <c r="E392" s="3">
        <v>7.99</v>
      </c>
      <c r="F392" s="2" t="s">
        <v>16552</v>
      </c>
      <c r="G392" s="22" t="s">
        <v>19315</v>
      </c>
      <c r="H392" s="24" t="s">
        <v>19339</v>
      </c>
      <c r="I392" s="22" t="s">
        <v>19309</v>
      </c>
      <c r="J392" s="22" t="s">
        <v>19310</v>
      </c>
      <c r="K392" s="22" t="s">
        <v>19873</v>
      </c>
      <c r="L392" s="22"/>
      <c r="M392" s="22"/>
      <c r="N392" s="25" t="str">
        <f>HYPERLINK("http://slimages.macys.com/is/image/MCY/20389870 ")</f>
        <v xml:space="preserve">http://slimages.macys.com/is/image/MCY/20389870 </v>
      </c>
    </row>
    <row r="393" spans="1:14" x14ac:dyDescent="0.25">
      <c r="A393" s="21" t="s">
        <v>3892</v>
      </c>
      <c r="B393" s="22" t="s">
        <v>3893</v>
      </c>
      <c r="C393" s="2">
        <v>1</v>
      </c>
      <c r="D393" s="23">
        <v>8.31</v>
      </c>
      <c r="E393" s="3">
        <v>8.31</v>
      </c>
      <c r="F393" s="2" t="s">
        <v>16569</v>
      </c>
      <c r="G393" s="22" t="s">
        <v>19383</v>
      </c>
      <c r="H393" s="24" t="s">
        <v>18530</v>
      </c>
      <c r="I393" s="22" t="s">
        <v>19309</v>
      </c>
      <c r="J393" s="22" t="s">
        <v>19514</v>
      </c>
      <c r="K393" s="22" t="s">
        <v>18514</v>
      </c>
      <c r="L393" s="22"/>
      <c r="M393" s="22"/>
      <c r="N393" s="25" t="str">
        <f>HYPERLINK("http://slimages.macys.com/is/image/MCY/20876630 ")</f>
        <v xml:space="preserve">http://slimages.macys.com/is/image/MCY/20876630 </v>
      </c>
    </row>
    <row r="394" spans="1:14" x14ac:dyDescent="0.25">
      <c r="A394" s="21" t="s">
        <v>2897</v>
      </c>
      <c r="B394" s="22" t="s">
        <v>2898</v>
      </c>
      <c r="C394" s="2">
        <v>1</v>
      </c>
      <c r="D394" s="23">
        <v>8.99</v>
      </c>
      <c r="E394" s="3">
        <v>8.99</v>
      </c>
      <c r="F394" s="2" t="s">
        <v>18605</v>
      </c>
      <c r="G394" s="22" t="s">
        <v>19422</v>
      </c>
      <c r="H394" s="24" t="s">
        <v>19395</v>
      </c>
      <c r="I394" s="22" t="s">
        <v>19309</v>
      </c>
      <c r="J394" s="22" t="s">
        <v>19514</v>
      </c>
      <c r="K394" s="22" t="s">
        <v>18514</v>
      </c>
      <c r="L394" s="22" t="s">
        <v>19319</v>
      </c>
      <c r="M394" s="22" t="s">
        <v>19435</v>
      </c>
      <c r="N394" s="25" t="str">
        <f>HYPERLINK("http://slimages.macys.com/is/image/MCY/9995089 ")</f>
        <v xml:space="preserve">http://slimages.macys.com/is/image/MCY/9995089 </v>
      </c>
    </row>
    <row r="395" spans="1:14" ht="24.75" x14ac:dyDescent="0.25">
      <c r="A395" s="21" t="s">
        <v>2899</v>
      </c>
      <c r="B395" s="22" t="s">
        <v>2900</v>
      </c>
      <c r="C395" s="2">
        <v>1</v>
      </c>
      <c r="D395" s="23">
        <v>18.11</v>
      </c>
      <c r="E395" s="3">
        <v>18.11</v>
      </c>
      <c r="F395" s="2" t="s">
        <v>16256</v>
      </c>
      <c r="G395" s="22" t="s">
        <v>19383</v>
      </c>
      <c r="H395" s="24" t="s">
        <v>19361</v>
      </c>
      <c r="I395" s="22" t="s">
        <v>19309</v>
      </c>
      <c r="J395" s="22" t="s">
        <v>19908</v>
      </c>
      <c r="K395" s="22" t="s">
        <v>19524</v>
      </c>
      <c r="L395" s="22"/>
      <c r="M395" s="22"/>
      <c r="N395" s="25" t="str">
        <f>HYPERLINK("http://slimages.macys.com/is/image/MCY/20819681 ")</f>
        <v xml:space="preserve">http://slimages.macys.com/is/image/MCY/20819681 </v>
      </c>
    </row>
    <row r="396" spans="1:14" ht="24.75" x14ac:dyDescent="0.25">
      <c r="A396" s="21" t="s">
        <v>7732</v>
      </c>
      <c r="B396" s="22" t="s">
        <v>7733</v>
      </c>
      <c r="C396" s="2">
        <v>1</v>
      </c>
      <c r="D396" s="23">
        <v>8.31</v>
      </c>
      <c r="E396" s="3">
        <v>8.31</v>
      </c>
      <c r="F396" s="2" t="s">
        <v>12330</v>
      </c>
      <c r="G396" s="22" t="s">
        <v>19351</v>
      </c>
      <c r="H396" s="24" t="s">
        <v>20232</v>
      </c>
      <c r="I396" s="22" t="s">
        <v>19309</v>
      </c>
      <c r="J396" s="22" t="s">
        <v>19514</v>
      </c>
      <c r="K396" s="22" t="s">
        <v>18514</v>
      </c>
      <c r="L396" s="22"/>
      <c r="M396" s="22"/>
      <c r="N396" s="25" t="str">
        <f>HYPERLINK("http://slimages.macys.com/is/image/MCY/20876641 ")</f>
        <v xml:space="preserve">http://slimages.macys.com/is/image/MCY/20876641 </v>
      </c>
    </row>
    <row r="397" spans="1:14" x14ac:dyDescent="0.25">
      <c r="A397" s="21" t="s">
        <v>2901</v>
      </c>
      <c r="B397" s="22" t="s">
        <v>2902</v>
      </c>
      <c r="C397" s="2">
        <v>1</v>
      </c>
      <c r="D397" s="23">
        <v>8.31</v>
      </c>
      <c r="E397" s="3">
        <v>8.31</v>
      </c>
      <c r="F397" s="2" t="s">
        <v>2903</v>
      </c>
      <c r="G397" s="22" t="s">
        <v>19415</v>
      </c>
      <c r="H397" s="24" t="s">
        <v>18530</v>
      </c>
      <c r="I397" s="22" t="s">
        <v>19309</v>
      </c>
      <c r="J397" s="22" t="s">
        <v>19514</v>
      </c>
      <c r="K397" s="22" t="s">
        <v>18514</v>
      </c>
      <c r="L397" s="22"/>
      <c r="M397" s="22"/>
      <c r="N397" s="25" t="str">
        <f>HYPERLINK("http://slimages.macys.com/is/image/MCY/20876640 ")</f>
        <v xml:space="preserve">http://slimages.macys.com/is/image/MCY/20876640 </v>
      </c>
    </row>
    <row r="398" spans="1:14" x14ac:dyDescent="0.25">
      <c r="A398" s="21" t="s">
        <v>12331</v>
      </c>
      <c r="B398" s="22" t="s">
        <v>12332</v>
      </c>
      <c r="C398" s="2">
        <v>1</v>
      </c>
      <c r="D398" s="23">
        <v>8.31</v>
      </c>
      <c r="E398" s="3">
        <v>8.31</v>
      </c>
      <c r="F398" s="2" t="s">
        <v>12330</v>
      </c>
      <c r="G398" s="22" t="s">
        <v>19351</v>
      </c>
      <c r="H398" s="24" t="s">
        <v>19542</v>
      </c>
      <c r="I398" s="22" t="s">
        <v>19309</v>
      </c>
      <c r="J398" s="22" t="s">
        <v>19514</v>
      </c>
      <c r="K398" s="22" t="s">
        <v>18514</v>
      </c>
      <c r="L398" s="22"/>
      <c r="M398" s="22"/>
      <c r="N398" s="25" t="str">
        <f>HYPERLINK("http://slimages.macys.com/is/image/MCY/20876641 ")</f>
        <v xml:space="preserve">http://slimages.macys.com/is/image/MCY/20876641 </v>
      </c>
    </row>
    <row r="399" spans="1:14" ht="24.75" x14ac:dyDescent="0.25">
      <c r="A399" s="21" t="s">
        <v>2904</v>
      </c>
      <c r="B399" s="22" t="s">
        <v>2905</v>
      </c>
      <c r="C399" s="2">
        <v>1</v>
      </c>
      <c r="D399" s="23">
        <v>11.99</v>
      </c>
      <c r="E399" s="3">
        <v>11.99</v>
      </c>
      <c r="F399" s="2" t="s">
        <v>18616</v>
      </c>
      <c r="G399" s="22" t="s">
        <v>19431</v>
      </c>
      <c r="H399" s="24" t="s">
        <v>19416</v>
      </c>
      <c r="I399" s="22" t="s">
        <v>19309</v>
      </c>
      <c r="J399" s="22" t="s">
        <v>19573</v>
      </c>
      <c r="K399" s="22" t="s">
        <v>19574</v>
      </c>
      <c r="L399" s="22"/>
      <c r="M399" s="22"/>
      <c r="N399" s="25" t="str">
        <f>HYPERLINK("http://slimages.macys.com/is/image/MCY/20753452 ")</f>
        <v xml:space="preserve">http://slimages.macys.com/is/image/MCY/20753452 </v>
      </c>
    </row>
    <row r="400" spans="1:14" ht="24.75" x14ac:dyDescent="0.25">
      <c r="A400" s="21" t="s">
        <v>2906</v>
      </c>
      <c r="B400" s="22" t="s">
        <v>2907</v>
      </c>
      <c r="C400" s="2">
        <v>1</v>
      </c>
      <c r="D400" s="23">
        <v>11.99</v>
      </c>
      <c r="E400" s="3">
        <v>11.99</v>
      </c>
      <c r="F400" s="2" t="s">
        <v>16256</v>
      </c>
      <c r="G400" s="22" t="s">
        <v>19383</v>
      </c>
      <c r="H400" s="24" t="s">
        <v>19377</v>
      </c>
      <c r="I400" s="22" t="s">
        <v>19309</v>
      </c>
      <c r="J400" s="22" t="s">
        <v>19908</v>
      </c>
      <c r="K400" s="22" t="s">
        <v>19524</v>
      </c>
      <c r="L400" s="22"/>
      <c r="M400" s="22"/>
      <c r="N400" s="25" t="str">
        <f>HYPERLINK("http://slimages.macys.com/is/image/MCY/20819681 ")</f>
        <v xml:space="preserve">http://slimages.macys.com/is/image/MCY/20819681 </v>
      </c>
    </row>
    <row r="401" spans="1:14" x14ac:dyDescent="0.25">
      <c r="A401" s="21" t="s">
        <v>18603</v>
      </c>
      <c r="B401" s="22" t="s">
        <v>18604</v>
      </c>
      <c r="C401" s="2">
        <v>1</v>
      </c>
      <c r="D401" s="23">
        <v>8.99</v>
      </c>
      <c r="E401" s="3">
        <v>8.99</v>
      </c>
      <c r="F401" s="2" t="s">
        <v>18605</v>
      </c>
      <c r="G401" s="22" t="s">
        <v>19422</v>
      </c>
      <c r="H401" s="24" t="s">
        <v>18530</v>
      </c>
      <c r="I401" s="22" t="s">
        <v>19309</v>
      </c>
      <c r="J401" s="22" t="s">
        <v>19514</v>
      </c>
      <c r="K401" s="22" t="s">
        <v>18514</v>
      </c>
      <c r="L401" s="22" t="s">
        <v>19319</v>
      </c>
      <c r="M401" s="22" t="s">
        <v>19435</v>
      </c>
      <c r="N401" s="25" t="str">
        <f>HYPERLINK("http://slimages.macys.com/is/image/MCY/9995089 ")</f>
        <v xml:space="preserve">http://slimages.macys.com/is/image/MCY/9995089 </v>
      </c>
    </row>
    <row r="402" spans="1:14" ht="24.75" x14ac:dyDescent="0.25">
      <c r="A402" s="21" t="s">
        <v>2908</v>
      </c>
      <c r="B402" s="22" t="s">
        <v>2909</v>
      </c>
      <c r="C402" s="2">
        <v>1</v>
      </c>
      <c r="D402" s="23">
        <v>8.99</v>
      </c>
      <c r="E402" s="3">
        <v>8.99</v>
      </c>
      <c r="F402" s="2" t="s">
        <v>16637</v>
      </c>
      <c r="G402" s="22" t="s">
        <v>19763</v>
      </c>
      <c r="H402" s="24" t="s">
        <v>19308</v>
      </c>
      <c r="I402" s="22" t="s">
        <v>19309</v>
      </c>
      <c r="J402" s="22" t="s">
        <v>19815</v>
      </c>
      <c r="K402" s="22" t="s">
        <v>19816</v>
      </c>
      <c r="L402" s="22"/>
      <c r="M402" s="22"/>
      <c r="N402" s="25" t="str">
        <f>HYPERLINK("http://slimages.macys.com/is/image/MCY/21769912 ")</f>
        <v xml:space="preserve">http://slimages.macys.com/is/image/MCY/21769912 </v>
      </c>
    </row>
    <row r="403" spans="1:14" ht="24.75" x14ac:dyDescent="0.25">
      <c r="A403" s="21" t="s">
        <v>2910</v>
      </c>
      <c r="B403" s="22" t="s">
        <v>2911</v>
      </c>
      <c r="C403" s="2">
        <v>1</v>
      </c>
      <c r="D403" s="23">
        <v>8.99</v>
      </c>
      <c r="E403" s="3">
        <v>8.99</v>
      </c>
      <c r="F403" s="2" t="s">
        <v>16637</v>
      </c>
      <c r="G403" s="22" t="s">
        <v>19763</v>
      </c>
      <c r="H403" s="24" t="s">
        <v>19339</v>
      </c>
      <c r="I403" s="22" t="s">
        <v>19309</v>
      </c>
      <c r="J403" s="22" t="s">
        <v>19815</v>
      </c>
      <c r="K403" s="22" t="s">
        <v>19816</v>
      </c>
      <c r="L403" s="22"/>
      <c r="M403" s="22"/>
      <c r="N403" s="25" t="str">
        <f>HYPERLINK("http://slimages.macys.com/is/image/MCY/21769912 ")</f>
        <v xml:space="preserve">http://slimages.macys.com/is/image/MCY/21769912 </v>
      </c>
    </row>
    <row r="404" spans="1:14" ht="24.75" x14ac:dyDescent="0.25">
      <c r="A404" s="21" t="s">
        <v>2912</v>
      </c>
      <c r="B404" s="22" t="s">
        <v>2913</v>
      </c>
      <c r="C404" s="2">
        <v>1</v>
      </c>
      <c r="D404" s="23">
        <v>11.1</v>
      </c>
      <c r="E404" s="3">
        <v>11.1</v>
      </c>
      <c r="F404" s="2" t="s">
        <v>2914</v>
      </c>
      <c r="G404" s="22"/>
      <c r="H404" s="24" t="s">
        <v>19345</v>
      </c>
      <c r="I404" s="22" t="s">
        <v>19309</v>
      </c>
      <c r="J404" s="22" t="s">
        <v>19602</v>
      </c>
      <c r="K404" s="22" t="s">
        <v>19603</v>
      </c>
      <c r="L404" s="22"/>
      <c r="M404" s="22"/>
      <c r="N404" s="25" t="str">
        <f>HYPERLINK("http://slimages.macys.com/is/image/MCY/19917199 ")</f>
        <v xml:space="preserve">http://slimages.macys.com/is/image/MCY/19917199 </v>
      </c>
    </row>
    <row r="405" spans="1:14" x14ac:dyDescent="0.25">
      <c r="A405" s="21" t="s">
        <v>16572</v>
      </c>
      <c r="B405" s="22" t="s">
        <v>16573</v>
      </c>
      <c r="C405" s="2">
        <v>1</v>
      </c>
      <c r="D405" s="23">
        <v>18.11</v>
      </c>
      <c r="E405" s="3">
        <v>18.11</v>
      </c>
      <c r="F405" s="2" t="s">
        <v>18666</v>
      </c>
      <c r="G405" s="22" t="s">
        <v>19351</v>
      </c>
      <c r="H405" s="24" t="s">
        <v>19339</v>
      </c>
      <c r="I405" s="22" t="s">
        <v>19309</v>
      </c>
      <c r="J405" s="22" t="s">
        <v>19849</v>
      </c>
      <c r="K405" s="22" t="s">
        <v>19850</v>
      </c>
      <c r="L405" s="22"/>
      <c r="M405" s="22"/>
      <c r="N405" s="25" t="str">
        <f>HYPERLINK("http://slimages.macys.com/is/image/MCY/20751778 ")</f>
        <v xml:space="preserve">http://slimages.macys.com/is/image/MCY/20751778 </v>
      </c>
    </row>
    <row r="406" spans="1:14" x14ac:dyDescent="0.25">
      <c r="A406" s="21" t="s">
        <v>16574</v>
      </c>
      <c r="B406" s="22" t="s">
        <v>16575</v>
      </c>
      <c r="C406" s="2">
        <v>2</v>
      </c>
      <c r="D406" s="23">
        <v>16.989999999999998</v>
      </c>
      <c r="E406" s="3">
        <v>33.979999999999997</v>
      </c>
      <c r="F406" s="2" t="s">
        <v>18666</v>
      </c>
      <c r="G406" s="22" t="s">
        <v>19351</v>
      </c>
      <c r="H406" s="24" t="s">
        <v>19364</v>
      </c>
      <c r="I406" s="22" t="s">
        <v>19309</v>
      </c>
      <c r="J406" s="22" t="s">
        <v>19849</v>
      </c>
      <c r="K406" s="22" t="s">
        <v>19850</v>
      </c>
      <c r="L406" s="22"/>
      <c r="M406" s="22"/>
      <c r="N406" s="25" t="str">
        <f>HYPERLINK("http://slimages.macys.com/is/image/MCY/20751778 ")</f>
        <v xml:space="preserve">http://slimages.macys.com/is/image/MCY/20751778 </v>
      </c>
    </row>
    <row r="407" spans="1:14" x14ac:dyDescent="0.25">
      <c r="A407" s="21" t="s">
        <v>16578</v>
      </c>
      <c r="B407" s="22" t="s">
        <v>16579</v>
      </c>
      <c r="C407" s="2">
        <v>1</v>
      </c>
      <c r="D407" s="23">
        <v>16.989999999999998</v>
      </c>
      <c r="E407" s="3">
        <v>16.989999999999998</v>
      </c>
      <c r="F407" s="2" t="s">
        <v>18666</v>
      </c>
      <c r="G407" s="22" t="s">
        <v>19431</v>
      </c>
      <c r="H407" s="24"/>
      <c r="I407" s="22" t="s">
        <v>19309</v>
      </c>
      <c r="J407" s="22" t="s">
        <v>19849</v>
      </c>
      <c r="K407" s="22" t="s">
        <v>19850</v>
      </c>
      <c r="L407" s="22"/>
      <c r="M407" s="22"/>
      <c r="N407" s="25" t="str">
        <f>HYPERLINK("http://slimages.macys.com/is/image/MCY/20751778 ")</f>
        <v xml:space="preserve">http://slimages.macys.com/is/image/MCY/20751778 </v>
      </c>
    </row>
    <row r="408" spans="1:14" x14ac:dyDescent="0.25">
      <c r="A408" s="21" t="s">
        <v>16580</v>
      </c>
      <c r="B408" s="22" t="s">
        <v>16581</v>
      </c>
      <c r="C408" s="2">
        <v>1</v>
      </c>
      <c r="D408" s="23">
        <v>16.989999999999998</v>
      </c>
      <c r="E408" s="3">
        <v>16.989999999999998</v>
      </c>
      <c r="F408" s="2" t="s">
        <v>18666</v>
      </c>
      <c r="G408" s="22" t="s">
        <v>19431</v>
      </c>
      <c r="H408" s="24" t="s">
        <v>19352</v>
      </c>
      <c r="I408" s="22" t="s">
        <v>19309</v>
      </c>
      <c r="J408" s="22" t="s">
        <v>19849</v>
      </c>
      <c r="K408" s="22" t="s">
        <v>19850</v>
      </c>
      <c r="L408" s="22"/>
      <c r="M408" s="22"/>
      <c r="N408" s="25" t="str">
        <f>HYPERLINK("http://slimages.macys.com/is/image/MCY/1249846 ")</f>
        <v xml:space="preserve">http://slimages.macys.com/is/image/MCY/1249846 </v>
      </c>
    </row>
    <row r="409" spans="1:14" ht="24.75" x14ac:dyDescent="0.25">
      <c r="A409" s="21" t="s">
        <v>6905</v>
      </c>
      <c r="B409" s="22" t="s">
        <v>6906</v>
      </c>
      <c r="C409" s="2">
        <v>1</v>
      </c>
      <c r="D409" s="23">
        <v>19.989999999999998</v>
      </c>
      <c r="E409" s="3">
        <v>19.989999999999998</v>
      </c>
      <c r="F409" s="2" t="s">
        <v>18619</v>
      </c>
      <c r="G409" s="22" t="s">
        <v>19618</v>
      </c>
      <c r="H409" s="24" t="s">
        <v>19392</v>
      </c>
      <c r="I409" s="22" t="s">
        <v>19309</v>
      </c>
      <c r="J409" s="22" t="s">
        <v>19815</v>
      </c>
      <c r="K409" s="22" t="s">
        <v>19816</v>
      </c>
      <c r="L409" s="22"/>
      <c r="M409" s="22"/>
      <c r="N409" s="25" t="str">
        <f>HYPERLINK("http://slimages.macys.com/is/image/MCY/20817208 ")</f>
        <v xml:space="preserve">http://slimages.macys.com/is/image/MCY/20817208 </v>
      </c>
    </row>
    <row r="410" spans="1:14" ht="24.75" x14ac:dyDescent="0.25">
      <c r="A410" s="21" t="s">
        <v>6907</v>
      </c>
      <c r="B410" s="22" t="s">
        <v>6908</v>
      </c>
      <c r="C410" s="2">
        <v>1</v>
      </c>
      <c r="D410" s="23">
        <v>8.99</v>
      </c>
      <c r="E410" s="3">
        <v>8.99</v>
      </c>
      <c r="F410" s="2" t="s">
        <v>18622</v>
      </c>
      <c r="G410" s="22" t="s">
        <v>19467</v>
      </c>
      <c r="H410" s="24" t="s">
        <v>19392</v>
      </c>
      <c r="I410" s="22" t="s">
        <v>19309</v>
      </c>
      <c r="J410" s="22" t="s">
        <v>19815</v>
      </c>
      <c r="K410" s="22" t="s">
        <v>19816</v>
      </c>
      <c r="L410" s="22"/>
      <c r="M410" s="22"/>
      <c r="N410" s="25" t="str">
        <f>HYPERLINK("http://slimages.macys.com/is/image/MCY/20531081 ")</f>
        <v xml:space="preserve">http://slimages.macys.com/is/image/MCY/20531081 </v>
      </c>
    </row>
    <row r="411" spans="1:14" x14ac:dyDescent="0.25">
      <c r="A411" s="21" t="s">
        <v>8964</v>
      </c>
      <c r="B411" s="22" t="s">
        <v>8965</v>
      </c>
      <c r="C411" s="2">
        <v>1</v>
      </c>
      <c r="D411" s="23">
        <v>11.99</v>
      </c>
      <c r="E411" s="3">
        <v>11.99</v>
      </c>
      <c r="F411" s="2" t="s">
        <v>8966</v>
      </c>
      <c r="G411" s="22" t="s">
        <v>19315</v>
      </c>
      <c r="H411" s="24" t="s">
        <v>19339</v>
      </c>
      <c r="I411" s="22" t="s">
        <v>19309</v>
      </c>
      <c r="J411" s="22" t="s">
        <v>19849</v>
      </c>
      <c r="K411" s="22" t="s">
        <v>19850</v>
      </c>
      <c r="L411" s="22"/>
      <c r="M411" s="22"/>
      <c r="N411" s="25" t="str">
        <f>HYPERLINK("http://slimages.macys.com/is/image/MCY/20752748 ")</f>
        <v xml:space="preserve">http://slimages.macys.com/is/image/MCY/20752748 </v>
      </c>
    </row>
    <row r="412" spans="1:14" ht="24.75" x14ac:dyDescent="0.25">
      <c r="A412" s="21" t="s">
        <v>8976</v>
      </c>
      <c r="B412" s="22" t="s">
        <v>8977</v>
      </c>
      <c r="C412" s="2">
        <v>1</v>
      </c>
      <c r="D412" s="23">
        <v>13.99</v>
      </c>
      <c r="E412" s="3">
        <v>13.99</v>
      </c>
      <c r="F412" s="2" t="s">
        <v>16593</v>
      </c>
      <c r="G412" s="22" t="s">
        <v>18429</v>
      </c>
      <c r="H412" s="24" t="s">
        <v>19308</v>
      </c>
      <c r="I412" s="22" t="s">
        <v>19309</v>
      </c>
      <c r="J412" s="22" t="s">
        <v>19815</v>
      </c>
      <c r="K412" s="22" t="s">
        <v>19816</v>
      </c>
      <c r="L412" s="22"/>
      <c r="M412" s="22"/>
      <c r="N412" s="25" t="str">
        <f>HYPERLINK("http://slimages.macys.com/is/image/MCY/21188139 ")</f>
        <v xml:space="preserve">http://slimages.macys.com/is/image/MCY/21188139 </v>
      </c>
    </row>
    <row r="413" spans="1:14" ht="24.75" x14ac:dyDescent="0.25">
      <c r="A413" s="21" t="s">
        <v>2915</v>
      </c>
      <c r="B413" s="22" t="s">
        <v>2916</v>
      </c>
      <c r="C413" s="2">
        <v>1</v>
      </c>
      <c r="D413" s="23">
        <v>8.25</v>
      </c>
      <c r="E413" s="3">
        <v>8.25</v>
      </c>
      <c r="F413" s="2" t="s">
        <v>2917</v>
      </c>
      <c r="G413" s="22" t="s">
        <v>19323</v>
      </c>
      <c r="H413" s="24" t="s">
        <v>19377</v>
      </c>
      <c r="I413" s="22" t="s">
        <v>19309</v>
      </c>
      <c r="J413" s="22" t="s">
        <v>19447</v>
      </c>
      <c r="K413" s="22" t="s">
        <v>20146</v>
      </c>
      <c r="L413" s="22"/>
      <c r="M413" s="22"/>
      <c r="N413" s="25" t="str">
        <f>HYPERLINK("http://slimages.macys.com/is/image/MCY/19902181 ")</f>
        <v xml:space="preserve">http://slimages.macys.com/is/image/MCY/19902181 </v>
      </c>
    </row>
    <row r="414" spans="1:14" ht="24.75" x14ac:dyDescent="0.25">
      <c r="A414" s="21" t="s">
        <v>12337</v>
      </c>
      <c r="B414" s="22" t="s">
        <v>12338</v>
      </c>
      <c r="C414" s="2">
        <v>1</v>
      </c>
      <c r="D414" s="23">
        <v>8.25</v>
      </c>
      <c r="E414" s="3">
        <v>8.25</v>
      </c>
      <c r="F414" s="2" t="s">
        <v>16596</v>
      </c>
      <c r="G414" s="22" t="s">
        <v>19351</v>
      </c>
      <c r="H414" s="24" t="s">
        <v>19542</v>
      </c>
      <c r="I414" s="22" t="s">
        <v>19309</v>
      </c>
      <c r="J414" s="22" t="s">
        <v>19447</v>
      </c>
      <c r="K414" s="22" t="s">
        <v>20146</v>
      </c>
      <c r="L414" s="22"/>
      <c r="M414" s="22"/>
      <c r="N414" s="25" t="str">
        <f>HYPERLINK("http://slimages.macys.com/is/image/MCY/19941191 ")</f>
        <v xml:space="preserve">http://slimages.macys.com/is/image/MCY/19941191 </v>
      </c>
    </row>
    <row r="415" spans="1:14" x14ac:dyDescent="0.25">
      <c r="A415" s="21" t="s">
        <v>13275</v>
      </c>
      <c r="B415" s="22" t="s">
        <v>13276</v>
      </c>
      <c r="C415" s="2">
        <v>1</v>
      </c>
      <c r="D415" s="23">
        <v>13.27</v>
      </c>
      <c r="E415" s="3">
        <v>13.27</v>
      </c>
      <c r="F415" s="2" t="s">
        <v>13897</v>
      </c>
      <c r="G415" s="22"/>
      <c r="H415" s="24" t="s">
        <v>19324</v>
      </c>
      <c r="I415" s="22" t="s">
        <v>19309</v>
      </c>
      <c r="J415" s="22" t="s">
        <v>19708</v>
      </c>
      <c r="K415" s="22" t="s">
        <v>19754</v>
      </c>
      <c r="L415" s="22"/>
      <c r="M415" s="22"/>
      <c r="N415" s="25" t="str">
        <f>HYPERLINK("http://slimages.macys.com/is/image/MCY/21414718 ")</f>
        <v xml:space="preserve">http://slimages.macys.com/is/image/MCY/21414718 </v>
      </c>
    </row>
    <row r="416" spans="1:14" ht="24.75" x14ac:dyDescent="0.25">
      <c r="A416" s="21" t="s">
        <v>2918</v>
      </c>
      <c r="B416" s="22" t="s">
        <v>2919</v>
      </c>
      <c r="C416" s="2">
        <v>1</v>
      </c>
      <c r="D416" s="23">
        <v>10.99</v>
      </c>
      <c r="E416" s="3">
        <v>10.99</v>
      </c>
      <c r="F416" s="2" t="s">
        <v>18657</v>
      </c>
      <c r="G416" s="22" t="s">
        <v>19814</v>
      </c>
      <c r="H416" s="24" t="s">
        <v>19352</v>
      </c>
      <c r="I416" s="22" t="s">
        <v>19309</v>
      </c>
      <c r="J416" s="22" t="s">
        <v>19353</v>
      </c>
      <c r="K416" s="22" t="s">
        <v>19524</v>
      </c>
      <c r="L416" s="22"/>
      <c r="M416" s="22"/>
      <c r="N416" s="25" t="str">
        <f>HYPERLINK("http://slimages.macys.com/is/image/MCY/20702948 ")</f>
        <v xml:space="preserve">http://slimages.macys.com/is/image/MCY/20702948 </v>
      </c>
    </row>
    <row r="417" spans="1:14" x14ac:dyDescent="0.25">
      <c r="A417" s="21" t="s">
        <v>16633</v>
      </c>
      <c r="B417" s="22" t="s">
        <v>16634</v>
      </c>
      <c r="C417" s="2">
        <v>1</v>
      </c>
      <c r="D417" s="23">
        <v>16.989999999999998</v>
      </c>
      <c r="E417" s="3">
        <v>16.989999999999998</v>
      </c>
      <c r="F417" s="2" t="s">
        <v>18666</v>
      </c>
      <c r="G417" s="22" t="s">
        <v>19477</v>
      </c>
      <c r="H417" s="24" t="s">
        <v>19797</v>
      </c>
      <c r="I417" s="22" t="s">
        <v>19309</v>
      </c>
      <c r="J417" s="22" t="s">
        <v>19849</v>
      </c>
      <c r="K417" s="22" t="s">
        <v>19850</v>
      </c>
      <c r="L417" s="22"/>
      <c r="M417" s="22"/>
      <c r="N417" s="25" t="str">
        <f>HYPERLINK("http://slimages.macys.com/is/image/MCY/20549559 ")</f>
        <v xml:space="preserve">http://slimages.macys.com/is/image/MCY/20549559 </v>
      </c>
    </row>
    <row r="418" spans="1:14" ht="24.75" x14ac:dyDescent="0.25">
      <c r="A418" s="21" t="s">
        <v>2920</v>
      </c>
      <c r="B418" s="22" t="s">
        <v>2921</v>
      </c>
      <c r="C418" s="2">
        <v>1</v>
      </c>
      <c r="D418" s="23">
        <v>18.11</v>
      </c>
      <c r="E418" s="3">
        <v>18.11</v>
      </c>
      <c r="F418" s="2" t="s">
        <v>16624</v>
      </c>
      <c r="G418" s="22" t="s">
        <v>19955</v>
      </c>
      <c r="H418" s="24" t="s">
        <v>19797</v>
      </c>
      <c r="I418" s="22" t="s">
        <v>19309</v>
      </c>
      <c r="J418" s="22" t="s">
        <v>19849</v>
      </c>
      <c r="K418" s="22" t="s">
        <v>19850</v>
      </c>
      <c r="L418" s="22"/>
      <c r="M418" s="22"/>
      <c r="N418" s="25" t="str">
        <f>HYPERLINK("http://slimages.macys.com/is/image/MCY/19965805 ")</f>
        <v xml:space="preserve">http://slimages.macys.com/is/image/MCY/19965805 </v>
      </c>
    </row>
    <row r="419" spans="1:14" x14ac:dyDescent="0.25">
      <c r="A419" s="21" t="s">
        <v>16625</v>
      </c>
      <c r="B419" s="22" t="s">
        <v>16626</v>
      </c>
      <c r="C419" s="2">
        <v>2</v>
      </c>
      <c r="D419" s="23">
        <v>16.989999999999998</v>
      </c>
      <c r="E419" s="3">
        <v>33.979999999999997</v>
      </c>
      <c r="F419" s="2" t="s">
        <v>18666</v>
      </c>
      <c r="G419" s="22" t="s">
        <v>19477</v>
      </c>
      <c r="H419" s="24" t="s">
        <v>19364</v>
      </c>
      <c r="I419" s="22" t="s">
        <v>19309</v>
      </c>
      <c r="J419" s="22" t="s">
        <v>19849</v>
      </c>
      <c r="K419" s="22" t="s">
        <v>19850</v>
      </c>
      <c r="L419" s="22"/>
      <c r="M419" s="22"/>
      <c r="N419" s="25" t="str">
        <f>HYPERLINK("http://slimages.macys.com/is/image/MCY/20549559 ")</f>
        <v xml:space="preserve">http://slimages.macys.com/is/image/MCY/20549559 </v>
      </c>
    </row>
    <row r="420" spans="1:14" x14ac:dyDescent="0.25">
      <c r="A420" s="21" t="s">
        <v>18664</v>
      </c>
      <c r="B420" s="22" t="s">
        <v>18665</v>
      </c>
      <c r="C420" s="2">
        <v>3</v>
      </c>
      <c r="D420" s="23">
        <v>16.989999999999998</v>
      </c>
      <c r="E420" s="3">
        <v>50.97</v>
      </c>
      <c r="F420" s="2" t="s">
        <v>18666</v>
      </c>
      <c r="G420" s="22" t="s">
        <v>19477</v>
      </c>
      <c r="H420" s="24" t="s">
        <v>19352</v>
      </c>
      <c r="I420" s="22" t="s">
        <v>19309</v>
      </c>
      <c r="J420" s="22" t="s">
        <v>19849</v>
      </c>
      <c r="K420" s="22" t="s">
        <v>19850</v>
      </c>
      <c r="L420" s="22"/>
      <c r="M420" s="22"/>
      <c r="N420" s="25" t="str">
        <f>HYPERLINK("http://slimages.macys.com/is/image/MCY/20549559 ")</f>
        <v xml:space="preserve">http://slimages.macys.com/is/image/MCY/20549559 </v>
      </c>
    </row>
    <row r="421" spans="1:14" ht="24.75" x14ac:dyDescent="0.25">
      <c r="A421" s="21" t="s">
        <v>2922</v>
      </c>
      <c r="B421" s="22" t="s">
        <v>2923</v>
      </c>
      <c r="C421" s="2">
        <v>1</v>
      </c>
      <c r="D421" s="23">
        <v>11.99</v>
      </c>
      <c r="E421" s="3">
        <v>11.99</v>
      </c>
      <c r="F421" s="2" t="s">
        <v>2924</v>
      </c>
      <c r="G421" s="22" t="s">
        <v>19674</v>
      </c>
      <c r="H421" s="24" t="s">
        <v>19907</v>
      </c>
      <c r="I421" s="22" t="s">
        <v>19309</v>
      </c>
      <c r="J421" s="22" t="s">
        <v>19908</v>
      </c>
      <c r="K421" s="22" t="s">
        <v>19524</v>
      </c>
      <c r="L421" s="22"/>
      <c r="M421" s="22"/>
      <c r="N421" s="25" t="str">
        <f>HYPERLINK("http://slimages.macys.com/is/image/MCY/20450160 ")</f>
        <v xml:space="preserve">http://slimages.macys.com/is/image/MCY/20450160 </v>
      </c>
    </row>
    <row r="422" spans="1:14" x14ac:dyDescent="0.25">
      <c r="A422" s="21" t="s">
        <v>2925</v>
      </c>
      <c r="B422" s="22" t="s">
        <v>2926</v>
      </c>
      <c r="C422" s="2">
        <v>1</v>
      </c>
      <c r="D422" s="23">
        <v>7.99</v>
      </c>
      <c r="E422" s="3">
        <v>7.99</v>
      </c>
      <c r="F422" s="2" t="s">
        <v>2927</v>
      </c>
      <c r="G422" s="22" t="s">
        <v>19585</v>
      </c>
      <c r="H422" s="24" t="s">
        <v>19352</v>
      </c>
      <c r="I422" s="22" t="s">
        <v>19309</v>
      </c>
      <c r="J422" s="22" t="s">
        <v>19310</v>
      </c>
      <c r="K422" s="22" t="s">
        <v>19873</v>
      </c>
      <c r="L422" s="22"/>
      <c r="M422" s="22"/>
      <c r="N422" s="25" t="str">
        <f>HYPERLINK("http://slimages.macys.com/is/image/MCY/18648007 ")</f>
        <v xml:space="preserve">http://slimages.macys.com/is/image/MCY/18648007 </v>
      </c>
    </row>
    <row r="423" spans="1:14" ht="24.75" x14ac:dyDescent="0.25">
      <c r="A423" s="21" t="s">
        <v>6010</v>
      </c>
      <c r="B423" s="22" t="s">
        <v>6011</v>
      </c>
      <c r="C423" s="2">
        <v>1</v>
      </c>
      <c r="D423" s="23">
        <v>7.99</v>
      </c>
      <c r="E423" s="3">
        <v>7.99</v>
      </c>
      <c r="F423" s="2" t="s">
        <v>6012</v>
      </c>
      <c r="G423" s="22" t="s">
        <v>19315</v>
      </c>
      <c r="H423" s="24" t="s">
        <v>19339</v>
      </c>
      <c r="I423" s="22" t="s">
        <v>19309</v>
      </c>
      <c r="J423" s="22" t="s">
        <v>19447</v>
      </c>
      <c r="K423" s="22" t="s">
        <v>19873</v>
      </c>
      <c r="L423" s="22"/>
      <c r="M423" s="22"/>
      <c r="N423" s="25" t="str">
        <f>HYPERLINK("http://slimages.macys.com/is/image/MCY/19835146 ")</f>
        <v xml:space="preserve">http://slimages.macys.com/is/image/MCY/19835146 </v>
      </c>
    </row>
    <row r="424" spans="1:14" ht="24.75" x14ac:dyDescent="0.25">
      <c r="A424" s="21" t="s">
        <v>9005</v>
      </c>
      <c r="B424" s="22" t="s">
        <v>9006</v>
      </c>
      <c r="C424" s="2">
        <v>2</v>
      </c>
      <c r="D424" s="23">
        <v>10.62</v>
      </c>
      <c r="E424" s="3">
        <v>21.24</v>
      </c>
      <c r="F424" s="2" t="s">
        <v>9007</v>
      </c>
      <c r="G424" s="22" t="s">
        <v>19635</v>
      </c>
      <c r="H424" s="24" t="s">
        <v>19334</v>
      </c>
      <c r="I424" s="22" t="s">
        <v>19309</v>
      </c>
      <c r="J424" s="22" t="s">
        <v>19602</v>
      </c>
      <c r="K424" s="22" t="s">
        <v>20041</v>
      </c>
      <c r="L424" s="22"/>
      <c r="M424" s="22"/>
      <c r="N424" s="25" t="str">
        <f>HYPERLINK("http://slimages.macys.com/is/image/MCY/21728862 ")</f>
        <v xml:space="preserve">http://slimages.macys.com/is/image/MCY/21728862 </v>
      </c>
    </row>
    <row r="425" spans="1:14" x14ac:dyDescent="0.25">
      <c r="A425" s="21" t="s">
        <v>2928</v>
      </c>
      <c r="B425" s="22" t="s">
        <v>2929</v>
      </c>
      <c r="C425" s="2">
        <v>1</v>
      </c>
      <c r="D425" s="23">
        <v>8.99</v>
      </c>
      <c r="E425" s="3">
        <v>8.99</v>
      </c>
      <c r="F425" s="2" t="s">
        <v>9960</v>
      </c>
      <c r="G425" s="22" t="s">
        <v>19477</v>
      </c>
      <c r="H425" s="24"/>
      <c r="I425" s="22" t="s">
        <v>19309</v>
      </c>
      <c r="J425" s="22" t="s">
        <v>19849</v>
      </c>
      <c r="K425" s="22" t="s">
        <v>19850</v>
      </c>
      <c r="L425" s="22"/>
      <c r="M425" s="22"/>
      <c r="N425" s="25" t="str">
        <f>HYPERLINK("http://slimages.macys.com/is/image/MCY/19965838 ")</f>
        <v xml:space="preserve">http://slimages.macys.com/is/image/MCY/19965838 </v>
      </c>
    </row>
    <row r="426" spans="1:14" x14ac:dyDescent="0.25">
      <c r="A426" s="21" t="s">
        <v>2930</v>
      </c>
      <c r="B426" s="22" t="s">
        <v>2931</v>
      </c>
      <c r="C426" s="2">
        <v>1</v>
      </c>
      <c r="D426" s="23">
        <v>11.82</v>
      </c>
      <c r="E426" s="3">
        <v>11.82</v>
      </c>
      <c r="F426" s="2" t="s">
        <v>2932</v>
      </c>
      <c r="G426" s="22" t="s">
        <v>19879</v>
      </c>
      <c r="H426" s="24" t="s">
        <v>19416</v>
      </c>
      <c r="I426" s="22" t="s">
        <v>19309</v>
      </c>
      <c r="J426" s="22" t="s">
        <v>19708</v>
      </c>
      <c r="K426" s="22" t="s">
        <v>19709</v>
      </c>
      <c r="L426" s="22"/>
      <c r="M426" s="22"/>
      <c r="N426" s="25" t="str">
        <f>HYPERLINK("http://slimages.macys.com/is/image/MCY/19146610 ")</f>
        <v xml:space="preserve">http://slimages.macys.com/is/image/MCY/19146610 </v>
      </c>
    </row>
    <row r="427" spans="1:14" x14ac:dyDescent="0.25">
      <c r="A427" s="21" t="s">
        <v>2933</v>
      </c>
      <c r="B427" s="22" t="s">
        <v>2934</v>
      </c>
      <c r="C427" s="2">
        <v>1</v>
      </c>
      <c r="D427" s="23">
        <v>11.82</v>
      </c>
      <c r="E427" s="3">
        <v>11.82</v>
      </c>
      <c r="F427" s="2" t="s">
        <v>2935</v>
      </c>
      <c r="G427" s="22" t="s">
        <v>19333</v>
      </c>
      <c r="H427" s="24" t="s">
        <v>19416</v>
      </c>
      <c r="I427" s="22" t="s">
        <v>19309</v>
      </c>
      <c r="J427" s="22" t="s">
        <v>19708</v>
      </c>
      <c r="K427" s="22" t="s">
        <v>19709</v>
      </c>
      <c r="L427" s="22"/>
      <c r="M427" s="22"/>
      <c r="N427" s="25" t="str">
        <f>HYPERLINK("http://slimages.macys.com/is/image/MCY/19146613 ")</f>
        <v xml:space="preserve">http://slimages.macys.com/is/image/MCY/19146613 </v>
      </c>
    </row>
    <row r="428" spans="1:14" ht="24.75" x14ac:dyDescent="0.25">
      <c r="A428" s="21" t="s">
        <v>9963</v>
      </c>
      <c r="B428" s="22" t="s">
        <v>9964</v>
      </c>
      <c r="C428" s="2">
        <v>1</v>
      </c>
      <c r="D428" s="23">
        <v>11.99</v>
      </c>
      <c r="E428" s="3">
        <v>11.99</v>
      </c>
      <c r="F428" s="2" t="s">
        <v>9965</v>
      </c>
      <c r="G428" s="22" t="s">
        <v>19351</v>
      </c>
      <c r="H428" s="24" t="s">
        <v>19339</v>
      </c>
      <c r="I428" s="22" t="s">
        <v>19309</v>
      </c>
      <c r="J428" s="22" t="s">
        <v>20076</v>
      </c>
      <c r="K428" s="22" t="s">
        <v>20077</v>
      </c>
      <c r="L428" s="22" t="s">
        <v>19319</v>
      </c>
      <c r="M428" s="22" t="s">
        <v>19209</v>
      </c>
      <c r="N428" s="25" t="str">
        <f>HYPERLINK("http://slimages.macys.com/is/image/MCY/8349880 ")</f>
        <v xml:space="preserve">http://slimages.macys.com/is/image/MCY/8349880 </v>
      </c>
    </row>
    <row r="429" spans="1:14" ht="24.75" x14ac:dyDescent="0.25">
      <c r="A429" s="21" t="s">
        <v>2936</v>
      </c>
      <c r="B429" s="22" t="s">
        <v>2937</v>
      </c>
      <c r="C429" s="2">
        <v>1</v>
      </c>
      <c r="D429" s="23">
        <v>8.99</v>
      </c>
      <c r="E429" s="3">
        <v>8.99</v>
      </c>
      <c r="F429" s="2" t="s">
        <v>16396</v>
      </c>
      <c r="G429" s="22" t="s">
        <v>19955</v>
      </c>
      <c r="H429" s="24" t="s">
        <v>19361</v>
      </c>
      <c r="I429" s="22" t="s">
        <v>19309</v>
      </c>
      <c r="J429" s="22" t="s">
        <v>19849</v>
      </c>
      <c r="K429" s="22" t="s">
        <v>19850</v>
      </c>
      <c r="L429" s="22"/>
      <c r="M429" s="22"/>
      <c r="N429" s="25" t="str">
        <f>HYPERLINK("http://slimages.macys.com/is/image/MCY/19068331 ")</f>
        <v xml:space="preserve">http://slimages.macys.com/is/image/MCY/19068331 </v>
      </c>
    </row>
    <row r="430" spans="1:14" x14ac:dyDescent="0.25">
      <c r="A430" s="21" t="s">
        <v>2938</v>
      </c>
      <c r="B430" s="22" t="s">
        <v>2939</v>
      </c>
      <c r="C430" s="2">
        <v>1</v>
      </c>
      <c r="D430" s="23">
        <v>9.99</v>
      </c>
      <c r="E430" s="3">
        <v>9.99</v>
      </c>
      <c r="F430" s="2" t="s">
        <v>16396</v>
      </c>
      <c r="G430" s="22" t="s">
        <v>19431</v>
      </c>
      <c r="H430" s="24" t="s">
        <v>19361</v>
      </c>
      <c r="I430" s="22" t="s">
        <v>19309</v>
      </c>
      <c r="J430" s="22" t="s">
        <v>19849</v>
      </c>
      <c r="K430" s="22" t="s">
        <v>19850</v>
      </c>
      <c r="L430" s="22"/>
      <c r="M430" s="22"/>
      <c r="N430" s="25" t="str">
        <f>HYPERLINK("http://slimages.macys.com/is/image/MCY/19068331 ")</f>
        <v xml:space="preserve">http://slimages.macys.com/is/image/MCY/19068331 </v>
      </c>
    </row>
    <row r="431" spans="1:14" x14ac:dyDescent="0.25">
      <c r="A431" s="21" t="s">
        <v>4854</v>
      </c>
      <c r="B431" s="22" t="s">
        <v>4855</v>
      </c>
      <c r="C431" s="2">
        <v>1</v>
      </c>
      <c r="D431" s="23">
        <v>9.99</v>
      </c>
      <c r="E431" s="3">
        <v>9.99</v>
      </c>
      <c r="F431" s="2" t="s">
        <v>16396</v>
      </c>
      <c r="G431" s="22" t="s">
        <v>19670</v>
      </c>
      <c r="H431" s="24" t="s">
        <v>19377</v>
      </c>
      <c r="I431" s="22" t="s">
        <v>19309</v>
      </c>
      <c r="J431" s="22" t="s">
        <v>19849</v>
      </c>
      <c r="K431" s="22" t="s">
        <v>19850</v>
      </c>
      <c r="L431" s="22"/>
      <c r="M431" s="22"/>
      <c r="N431" s="25" t="str">
        <f>HYPERLINK("http://slimages.macys.com/is/image/MCY/19068331 ")</f>
        <v xml:space="preserve">http://slimages.macys.com/is/image/MCY/19068331 </v>
      </c>
    </row>
    <row r="432" spans="1:14" ht="24.75" x14ac:dyDescent="0.25">
      <c r="A432" s="21" t="s">
        <v>6940</v>
      </c>
      <c r="B432" s="22" t="s">
        <v>6941</v>
      </c>
      <c r="C432" s="2">
        <v>1</v>
      </c>
      <c r="D432" s="23">
        <v>10.99</v>
      </c>
      <c r="E432" s="3">
        <v>10.99</v>
      </c>
      <c r="F432" s="2" t="s">
        <v>13946</v>
      </c>
      <c r="G432" s="22" t="s">
        <v>19674</v>
      </c>
      <c r="H432" s="24" t="s">
        <v>19352</v>
      </c>
      <c r="I432" s="22" t="s">
        <v>19309</v>
      </c>
      <c r="J432" s="22" t="s">
        <v>19353</v>
      </c>
      <c r="K432" s="22" t="s">
        <v>19524</v>
      </c>
      <c r="L432" s="22"/>
      <c r="M432" s="22"/>
      <c r="N432" s="25" t="str">
        <f>HYPERLINK("http://slimages.macys.com/is/image/MCY/21083376 ")</f>
        <v xml:space="preserve">http://slimages.macys.com/is/image/MCY/21083376 </v>
      </c>
    </row>
    <row r="433" spans="1:14" ht="24.75" x14ac:dyDescent="0.25">
      <c r="A433" s="21" t="s">
        <v>2940</v>
      </c>
      <c r="B433" s="22" t="s">
        <v>2941</v>
      </c>
      <c r="C433" s="2">
        <v>1</v>
      </c>
      <c r="D433" s="23">
        <v>12.99</v>
      </c>
      <c r="E433" s="3">
        <v>12.99</v>
      </c>
      <c r="F433" s="2" t="s">
        <v>2942</v>
      </c>
      <c r="G433" s="22" t="s">
        <v>19351</v>
      </c>
      <c r="H433" s="24" t="s">
        <v>19542</v>
      </c>
      <c r="I433" s="22" t="s">
        <v>19309</v>
      </c>
      <c r="J433" s="22" t="s">
        <v>19454</v>
      </c>
      <c r="K433" s="22" t="s">
        <v>19524</v>
      </c>
      <c r="L433" s="22"/>
      <c r="M433" s="22"/>
      <c r="N433" s="25" t="str">
        <f>HYPERLINK("http://slimages.macys.com/is/image/MCY/19568276 ")</f>
        <v xml:space="preserve">http://slimages.macys.com/is/image/MCY/19568276 </v>
      </c>
    </row>
    <row r="434" spans="1:14" ht="24.75" x14ac:dyDescent="0.25">
      <c r="A434" s="21" t="s">
        <v>2943</v>
      </c>
      <c r="B434" s="22" t="s">
        <v>2944</v>
      </c>
      <c r="C434" s="2">
        <v>1</v>
      </c>
      <c r="D434" s="23">
        <v>11.99</v>
      </c>
      <c r="E434" s="3">
        <v>11.99</v>
      </c>
      <c r="F434" s="2" t="s">
        <v>16348</v>
      </c>
      <c r="G434" s="22" t="s">
        <v>19315</v>
      </c>
      <c r="H434" s="24" t="s">
        <v>19364</v>
      </c>
      <c r="I434" s="22" t="s">
        <v>19309</v>
      </c>
      <c r="J434" s="22" t="s">
        <v>19454</v>
      </c>
      <c r="K434" s="22" t="s">
        <v>18654</v>
      </c>
      <c r="L434" s="22"/>
      <c r="M434" s="22"/>
      <c r="N434" s="25" t="str">
        <f>HYPERLINK("http://slimages.macys.com/is/image/MCY/21267473 ")</f>
        <v xml:space="preserve">http://slimages.macys.com/is/image/MCY/21267473 </v>
      </c>
    </row>
    <row r="435" spans="1:14" x14ac:dyDescent="0.25">
      <c r="A435" s="21" t="s">
        <v>2945</v>
      </c>
      <c r="B435" s="22" t="s">
        <v>2946</v>
      </c>
      <c r="C435" s="2">
        <v>1</v>
      </c>
      <c r="D435" s="23">
        <v>9.99</v>
      </c>
      <c r="E435" s="3">
        <v>9.99</v>
      </c>
      <c r="F435" s="2" t="s">
        <v>6044</v>
      </c>
      <c r="G435" s="22" t="s">
        <v>19670</v>
      </c>
      <c r="H435" s="24" t="s">
        <v>19907</v>
      </c>
      <c r="I435" s="22" t="s">
        <v>19309</v>
      </c>
      <c r="J435" s="22" t="s">
        <v>19849</v>
      </c>
      <c r="K435" s="22" t="s">
        <v>19850</v>
      </c>
      <c r="L435" s="22"/>
      <c r="M435" s="22"/>
      <c r="N435" s="25" t="str">
        <f>HYPERLINK("http://slimages.macys.com/is/image/MCY/20949588 ")</f>
        <v xml:space="preserve">http://slimages.macys.com/is/image/MCY/20949588 </v>
      </c>
    </row>
    <row r="436" spans="1:14" ht="24.75" x14ac:dyDescent="0.25">
      <c r="A436" s="21" t="s">
        <v>16703</v>
      </c>
      <c r="B436" s="22" t="s">
        <v>16704</v>
      </c>
      <c r="C436" s="2">
        <v>1</v>
      </c>
      <c r="D436" s="23">
        <v>13.99</v>
      </c>
      <c r="E436" s="3">
        <v>13.99</v>
      </c>
      <c r="F436" s="2" t="s">
        <v>18729</v>
      </c>
      <c r="G436" s="22" t="s">
        <v>19415</v>
      </c>
      <c r="H436" s="24" t="s">
        <v>19330</v>
      </c>
      <c r="I436" s="22" t="s">
        <v>19309</v>
      </c>
      <c r="J436" s="22" t="s">
        <v>19573</v>
      </c>
      <c r="K436" s="22" t="s">
        <v>19574</v>
      </c>
      <c r="L436" s="22"/>
      <c r="M436" s="22"/>
      <c r="N436" s="25" t="str">
        <f>HYPERLINK("http://slimages.macys.com/is/image/MCY/1956290 ")</f>
        <v xml:space="preserve">http://slimages.macys.com/is/image/MCY/1956290 </v>
      </c>
    </row>
    <row r="437" spans="1:14" ht="24.75" x14ac:dyDescent="0.25">
      <c r="A437" s="21" t="s">
        <v>13320</v>
      </c>
      <c r="B437" s="22" t="s">
        <v>13321</v>
      </c>
      <c r="C437" s="2">
        <v>1</v>
      </c>
      <c r="D437" s="23">
        <v>13.99</v>
      </c>
      <c r="E437" s="3">
        <v>13.99</v>
      </c>
      <c r="F437" s="2" t="s">
        <v>18729</v>
      </c>
      <c r="G437" s="22" t="s">
        <v>19415</v>
      </c>
      <c r="H437" s="24" t="s">
        <v>19538</v>
      </c>
      <c r="I437" s="22" t="s">
        <v>19309</v>
      </c>
      <c r="J437" s="22" t="s">
        <v>19573</v>
      </c>
      <c r="K437" s="22" t="s">
        <v>19574</v>
      </c>
      <c r="L437" s="22"/>
      <c r="M437" s="22"/>
      <c r="N437" s="25" t="str">
        <f>HYPERLINK("http://slimages.macys.com/is/image/MCY/1956290 ")</f>
        <v xml:space="preserve">http://slimages.macys.com/is/image/MCY/1956290 </v>
      </c>
    </row>
    <row r="438" spans="1:14" ht="24.75" x14ac:dyDescent="0.25">
      <c r="A438" s="21" t="s">
        <v>9030</v>
      </c>
      <c r="B438" s="22" t="s">
        <v>9031</v>
      </c>
      <c r="C438" s="2">
        <v>1</v>
      </c>
      <c r="D438" s="23">
        <v>9.99</v>
      </c>
      <c r="E438" s="3">
        <v>9.99</v>
      </c>
      <c r="F438" s="2" t="s">
        <v>16716</v>
      </c>
      <c r="G438" s="22" t="s">
        <v>19431</v>
      </c>
      <c r="H438" s="24" t="s">
        <v>19361</v>
      </c>
      <c r="I438" s="22" t="s">
        <v>19309</v>
      </c>
      <c r="J438" s="22" t="s">
        <v>19908</v>
      </c>
      <c r="K438" s="22" t="s">
        <v>19524</v>
      </c>
      <c r="L438" s="22"/>
      <c r="M438" s="22"/>
      <c r="N438" s="25" t="str">
        <f>HYPERLINK("http://slimages.macys.com/is/image/MCY/21727207 ")</f>
        <v xml:space="preserve">http://slimages.macys.com/is/image/MCY/21727207 </v>
      </c>
    </row>
    <row r="439" spans="1:14" ht="24.75" x14ac:dyDescent="0.25">
      <c r="A439" s="21" t="s">
        <v>16727</v>
      </c>
      <c r="B439" s="22" t="s">
        <v>16728</v>
      </c>
      <c r="C439" s="2">
        <v>1</v>
      </c>
      <c r="D439" s="23">
        <v>10.99</v>
      </c>
      <c r="E439" s="3">
        <v>10.99</v>
      </c>
      <c r="F439" s="2" t="s">
        <v>16709</v>
      </c>
      <c r="G439" s="22" t="s">
        <v>19431</v>
      </c>
      <c r="H439" s="24" t="s">
        <v>19339</v>
      </c>
      <c r="I439" s="22" t="s">
        <v>19309</v>
      </c>
      <c r="J439" s="22" t="s">
        <v>19353</v>
      </c>
      <c r="K439" s="22" t="s">
        <v>19524</v>
      </c>
      <c r="L439" s="22"/>
      <c r="M439" s="22"/>
      <c r="N439" s="25" t="str">
        <f>HYPERLINK("http://slimages.macys.com/is/image/MCY/1472528 ")</f>
        <v xml:space="preserve">http://slimages.macys.com/is/image/MCY/1472528 </v>
      </c>
    </row>
    <row r="440" spans="1:14" ht="24.75" x14ac:dyDescent="0.25">
      <c r="A440" s="21" t="s">
        <v>6945</v>
      </c>
      <c r="B440" s="22" t="s">
        <v>6946</v>
      </c>
      <c r="C440" s="2">
        <v>1</v>
      </c>
      <c r="D440" s="23">
        <v>9.99</v>
      </c>
      <c r="E440" s="3">
        <v>9.99</v>
      </c>
      <c r="F440" s="2" t="s">
        <v>16716</v>
      </c>
      <c r="G440" s="22" t="s">
        <v>19431</v>
      </c>
      <c r="H440" s="24" t="s">
        <v>19907</v>
      </c>
      <c r="I440" s="22" t="s">
        <v>19309</v>
      </c>
      <c r="J440" s="22" t="s">
        <v>19908</v>
      </c>
      <c r="K440" s="22" t="s">
        <v>19524</v>
      </c>
      <c r="L440" s="22"/>
      <c r="M440" s="22"/>
      <c r="N440" s="25" t="str">
        <f>HYPERLINK("http://slimages.macys.com/is/image/MCY/21727207 ")</f>
        <v xml:space="preserve">http://slimages.macys.com/is/image/MCY/21727207 </v>
      </c>
    </row>
    <row r="441" spans="1:14" x14ac:dyDescent="0.25">
      <c r="A441" s="21" t="s">
        <v>6056</v>
      </c>
      <c r="B441" s="22" t="s">
        <v>6057</v>
      </c>
      <c r="C441" s="2">
        <v>1</v>
      </c>
      <c r="D441" s="23">
        <v>11.38</v>
      </c>
      <c r="E441" s="3">
        <v>11.38</v>
      </c>
      <c r="F441" s="2" t="s">
        <v>13963</v>
      </c>
      <c r="G441" s="22"/>
      <c r="H441" s="24" t="s">
        <v>19770</v>
      </c>
      <c r="I441" s="22" t="s">
        <v>19309</v>
      </c>
      <c r="J441" s="22" t="s">
        <v>19708</v>
      </c>
      <c r="K441" s="22" t="s">
        <v>19709</v>
      </c>
      <c r="L441" s="22"/>
      <c r="M441" s="22"/>
      <c r="N441" s="25" t="str">
        <f>HYPERLINK("http://slimages.macys.com/is/image/MCY/21414194 ")</f>
        <v xml:space="preserve">http://slimages.macys.com/is/image/MCY/21414194 </v>
      </c>
    </row>
    <row r="442" spans="1:14" x14ac:dyDescent="0.25">
      <c r="A442" s="21" t="s">
        <v>18750</v>
      </c>
      <c r="B442" s="22" t="s">
        <v>18751</v>
      </c>
      <c r="C442" s="2">
        <v>1</v>
      </c>
      <c r="D442" s="23">
        <v>11.38</v>
      </c>
      <c r="E442" s="3">
        <v>11.38</v>
      </c>
      <c r="F442" s="2" t="s">
        <v>18749</v>
      </c>
      <c r="G442" s="22"/>
      <c r="H442" s="24" t="s">
        <v>19770</v>
      </c>
      <c r="I442" s="22" t="s">
        <v>19309</v>
      </c>
      <c r="J442" s="22" t="s">
        <v>19708</v>
      </c>
      <c r="K442" s="22" t="s">
        <v>19709</v>
      </c>
      <c r="L442" s="22"/>
      <c r="M442" s="22"/>
      <c r="N442" s="25" t="str">
        <f>HYPERLINK("http://slimages.macys.com/is/image/MCY/21414119 ")</f>
        <v xml:space="preserve">http://slimages.macys.com/is/image/MCY/21414119 </v>
      </c>
    </row>
    <row r="443" spans="1:14" x14ac:dyDescent="0.25">
      <c r="A443" s="21" t="s">
        <v>2947</v>
      </c>
      <c r="B443" s="22" t="s">
        <v>2948</v>
      </c>
      <c r="C443" s="2">
        <v>1</v>
      </c>
      <c r="D443" s="23">
        <v>11.38</v>
      </c>
      <c r="E443" s="3">
        <v>11.38</v>
      </c>
      <c r="F443" s="2" t="s">
        <v>18749</v>
      </c>
      <c r="G443" s="22"/>
      <c r="H443" s="24" t="s">
        <v>20159</v>
      </c>
      <c r="I443" s="22" t="s">
        <v>19309</v>
      </c>
      <c r="J443" s="22" t="s">
        <v>19708</v>
      </c>
      <c r="K443" s="22" t="s">
        <v>19709</v>
      </c>
      <c r="L443" s="22"/>
      <c r="M443" s="22"/>
      <c r="N443" s="25" t="str">
        <f>HYPERLINK("http://slimages.macys.com/is/image/MCY/21414119 ")</f>
        <v xml:space="preserve">http://slimages.macys.com/is/image/MCY/21414119 </v>
      </c>
    </row>
    <row r="444" spans="1:14" x14ac:dyDescent="0.25">
      <c r="A444" s="21" t="s">
        <v>12415</v>
      </c>
      <c r="B444" s="22" t="s">
        <v>12416</v>
      </c>
      <c r="C444" s="2">
        <v>1</v>
      </c>
      <c r="D444" s="23">
        <v>9.99</v>
      </c>
      <c r="E444" s="3">
        <v>9.99</v>
      </c>
      <c r="F444" s="2" t="s">
        <v>12417</v>
      </c>
      <c r="G444" s="22" t="s">
        <v>19674</v>
      </c>
      <c r="H444" s="24" t="s">
        <v>20089</v>
      </c>
      <c r="I444" s="22" t="s">
        <v>19309</v>
      </c>
      <c r="J444" s="22" t="s">
        <v>19849</v>
      </c>
      <c r="K444" s="22" t="s">
        <v>19850</v>
      </c>
      <c r="L444" s="22"/>
      <c r="M444" s="22"/>
      <c r="N444" s="25" t="str">
        <f>HYPERLINK("http://slimages.macys.com/is/image/MCY/1249852 ")</f>
        <v xml:space="preserve">http://slimages.macys.com/is/image/MCY/1249852 </v>
      </c>
    </row>
    <row r="445" spans="1:14" ht="24.75" x14ac:dyDescent="0.25">
      <c r="A445" s="21" t="s">
        <v>2949</v>
      </c>
      <c r="B445" s="22" t="s">
        <v>2950</v>
      </c>
      <c r="C445" s="2">
        <v>1</v>
      </c>
      <c r="D445" s="23">
        <v>10.99</v>
      </c>
      <c r="E445" s="3">
        <v>10.99</v>
      </c>
      <c r="F445" s="2" t="s">
        <v>2951</v>
      </c>
      <c r="G445" s="22" t="s">
        <v>19338</v>
      </c>
      <c r="H445" s="24" t="s">
        <v>19339</v>
      </c>
      <c r="I445" s="22" t="s">
        <v>19309</v>
      </c>
      <c r="J445" s="22" t="s">
        <v>19353</v>
      </c>
      <c r="K445" s="22" t="s">
        <v>19524</v>
      </c>
      <c r="L445" s="22"/>
      <c r="M445" s="22"/>
      <c r="N445" s="25" t="str">
        <f>HYPERLINK("http://slimages.macys.com/is/image/MCY/20664968 ")</f>
        <v xml:space="preserve">http://slimages.macys.com/is/image/MCY/20664968 </v>
      </c>
    </row>
    <row r="446" spans="1:14" ht="24.75" x14ac:dyDescent="0.25">
      <c r="A446" s="21" t="s">
        <v>6947</v>
      </c>
      <c r="B446" s="22" t="s">
        <v>6948</v>
      </c>
      <c r="C446" s="2">
        <v>1</v>
      </c>
      <c r="D446" s="23">
        <v>11.99</v>
      </c>
      <c r="E446" s="3">
        <v>11.99</v>
      </c>
      <c r="F446" s="2" t="s">
        <v>6949</v>
      </c>
      <c r="G446" s="22" t="s">
        <v>19333</v>
      </c>
      <c r="H446" s="24" t="s">
        <v>20135</v>
      </c>
      <c r="I446" s="22" t="s">
        <v>19309</v>
      </c>
      <c r="J446" s="22" t="s">
        <v>19908</v>
      </c>
      <c r="K446" s="22" t="s">
        <v>19524</v>
      </c>
      <c r="L446" s="22"/>
      <c r="M446" s="22"/>
      <c r="N446" s="25" t="str">
        <f>HYPERLINK("http://slimages.macys.com/is/image/MCY/21243382 ")</f>
        <v xml:space="preserve">http://slimages.macys.com/is/image/MCY/21243382 </v>
      </c>
    </row>
    <row r="447" spans="1:14" ht="24.75" x14ac:dyDescent="0.25">
      <c r="A447" s="21" t="s">
        <v>2952</v>
      </c>
      <c r="B447" s="22" t="s">
        <v>2953</v>
      </c>
      <c r="C447" s="2">
        <v>1</v>
      </c>
      <c r="D447" s="23">
        <v>11.99</v>
      </c>
      <c r="E447" s="3">
        <v>11.99</v>
      </c>
      <c r="F447" s="2" t="s">
        <v>18757</v>
      </c>
      <c r="G447" s="22" t="s">
        <v>19814</v>
      </c>
      <c r="H447" s="24" t="s">
        <v>19907</v>
      </c>
      <c r="I447" s="22" t="s">
        <v>19309</v>
      </c>
      <c r="J447" s="22" t="s">
        <v>19908</v>
      </c>
      <c r="K447" s="22" t="s">
        <v>19524</v>
      </c>
      <c r="L447" s="22"/>
      <c r="M447" s="22"/>
      <c r="N447" s="25" t="str">
        <f>HYPERLINK("http://slimages.macys.com/is/image/MCY/21243378 ")</f>
        <v xml:space="preserve">http://slimages.macys.com/is/image/MCY/21243378 </v>
      </c>
    </row>
    <row r="448" spans="1:14" ht="24.75" x14ac:dyDescent="0.25">
      <c r="A448" s="21" t="s">
        <v>13332</v>
      </c>
      <c r="B448" s="22" t="s">
        <v>13333</v>
      </c>
      <c r="C448" s="2">
        <v>1</v>
      </c>
      <c r="D448" s="23">
        <v>10.99</v>
      </c>
      <c r="E448" s="3">
        <v>10.99</v>
      </c>
      <c r="F448" s="2" t="s">
        <v>18763</v>
      </c>
      <c r="G448" s="22" t="s">
        <v>18764</v>
      </c>
      <c r="H448" s="24" t="s">
        <v>19538</v>
      </c>
      <c r="I448" s="22" t="s">
        <v>19309</v>
      </c>
      <c r="J448" s="22" t="s">
        <v>19573</v>
      </c>
      <c r="K448" s="22" t="s">
        <v>19574</v>
      </c>
      <c r="L448" s="22"/>
      <c r="M448" s="22"/>
      <c r="N448" s="25" t="str">
        <f>HYPERLINK("http://slimages.macys.com/is/image/MCY/17720840 ")</f>
        <v xml:space="preserve">http://slimages.macys.com/is/image/MCY/17720840 </v>
      </c>
    </row>
    <row r="449" spans="1:14" ht="24.75" x14ac:dyDescent="0.25">
      <c r="A449" s="21" t="s">
        <v>2954</v>
      </c>
      <c r="B449" s="22" t="s">
        <v>2955</v>
      </c>
      <c r="C449" s="2">
        <v>1</v>
      </c>
      <c r="D449" s="23">
        <v>9.81</v>
      </c>
      <c r="E449" s="3">
        <v>9.81</v>
      </c>
      <c r="F449" s="2" t="s">
        <v>2956</v>
      </c>
      <c r="G449" s="22" t="s">
        <v>19333</v>
      </c>
      <c r="H449" s="24" t="s">
        <v>19334</v>
      </c>
      <c r="I449" s="22" t="s">
        <v>19309</v>
      </c>
      <c r="J449" s="22" t="s">
        <v>19602</v>
      </c>
      <c r="K449" s="22" t="s">
        <v>20041</v>
      </c>
      <c r="L449" s="22"/>
      <c r="M449" s="22"/>
      <c r="N449" s="25" t="str">
        <f>HYPERLINK("http://slimages.macys.com/is/image/MCY/21669744 ")</f>
        <v xml:space="preserve">http://slimages.macys.com/is/image/MCY/21669744 </v>
      </c>
    </row>
    <row r="450" spans="1:14" ht="24.75" x14ac:dyDescent="0.25">
      <c r="A450" s="21" t="s">
        <v>12420</v>
      </c>
      <c r="B450" s="22" t="s">
        <v>12421</v>
      </c>
      <c r="C450" s="2">
        <v>1</v>
      </c>
      <c r="D450" s="23">
        <v>9.99</v>
      </c>
      <c r="E450" s="3">
        <v>9.99</v>
      </c>
      <c r="F450" s="2" t="s">
        <v>18773</v>
      </c>
      <c r="G450" s="22" t="s">
        <v>19422</v>
      </c>
      <c r="H450" s="24" t="s">
        <v>19324</v>
      </c>
      <c r="I450" s="22" t="s">
        <v>19309</v>
      </c>
      <c r="J450" s="22" t="s">
        <v>19573</v>
      </c>
      <c r="K450" s="22" t="s">
        <v>19574</v>
      </c>
      <c r="L450" s="22"/>
      <c r="M450" s="22"/>
      <c r="N450" s="25" t="str">
        <f>HYPERLINK("http://slimages.macys.com/is/image/MCY/1322715 ")</f>
        <v xml:space="preserve">http://slimages.macys.com/is/image/MCY/1322715 </v>
      </c>
    </row>
    <row r="451" spans="1:14" ht="24.75" x14ac:dyDescent="0.25">
      <c r="A451" s="21" t="s">
        <v>2957</v>
      </c>
      <c r="B451" s="22" t="s">
        <v>2958</v>
      </c>
      <c r="C451" s="2">
        <v>1</v>
      </c>
      <c r="D451" s="23">
        <v>9.81</v>
      </c>
      <c r="E451" s="3">
        <v>9.81</v>
      </c>
      <c r="F451" s="2" t="s">
        <v>2959</v>
      </c>
      <c r="G451" s="22" t="s">
        <v>19333</v>
      </c>
      <c r="H451" s="24" t="s">
        <v>19334</v>
      </c>
      <c r="I451" s="22" t="s">
        <v>19309</v>
      </c>
      <c r="J451" s="22" t="s">
        <v>19602</v>
      </c>
      <c r="K451" s="22" t="s">
        <v>20041</v>
      </c>
      <c r="L451" s="22"/>
      <c r="M451" s="22"/>
      <c r="N451" s="25" t="str">
        <f>HYPERLINK("http://slimages.macys.com/is/image/MCY/21728952 ")</f>
        <v xml:space="preserve">http://slimages.macys.com/is/image/MCY/21728952 </v>
      </c>
    </row>
    <row r="452" spans="1:14" ht="24.75" x14ac:dyDescent="0.25">
      <c r="A452" s="21" t="s">
        <v>18771</v>
      </c>
      <c r="B452" s="22" t="s">
        <v>18772</v>
      </c>
      <c r="C452" s="2">
        <v>1</v>
      </c>
      <c r="D452" s="23">
        <v>9.99</v>
      </c>
      <c r="E452" s="3">
        <v>9.99</v>
      </c>
      <c r="F452" s="2" t="s">
        <v>18773</v>
      </c>
      <c r="G452" s="22" t="s">
        <v>19422</v>
      </c>
      <c r="H452" s="24" t="s">
        <v>19538</v>
      </c>
      <c r="I452" s="22" t="s">
        <v>19309</v>
      </c>
      <c r="J452" s="22" t="s">
        <v>19573</v>
      </c>
      <c r="K452" s="22" t="s">
        <v>19574</v>
      </c>
      <c r="L452" s="22"/>
      <c r="M452" s="22"/>
      <c r="N452" s="25" t="str">
        <f>HYPERLINK("http://slimages.macys.com/is/image/MCY/1322715 ")</f>
        <v xml:space="preserve">http://slimages.macys.com/is/image/MCY/1322715 </v>
      </c>
    </row>
    <row r="453" spans="1:14" ht="24.75" x14ac:dyDescent="0.25">
      <c r="A453" s="21" t="s">
        <v>2960</v>
      </c>
      <c r="B453" s="22" t="s">
        <v>2961</v>
      </c>
      <c r="C453" s="2">
        <v>1</v>
      </c>
      <c r="D453" s="23">
        <v>10.99</v>
      </c>
      <c r="E453" s="3">
        <v>10.99</v>
      </c>
      <c r="F453" s="2" t="s">
        <v>2962</v>
      </c>
      <c r="G453" s="22" t="s">
        <v>19323</v>
      </c>
      <c r="H453" s="24" t="s">
        <v>19352</v>
      </c>
      <c r="I453" s="22" t="s">
        <v>19309</v>
      </c>
      <c r="J453" s="22" t="s">
        <v>19353</v>
      </c>
      <c r="K453" s="22" t="s">
        <v>19524</v>
      </c>
      <c r="L453" s="22"/>
      <c r="M453" s="22"/>
      <c r="N453" s="25" t="str">
        <f>HYPERLINK("http://slimages.macys.com/is/image/MCY/19503977 ")</f>
        <v xml:space="preserve">http://slimages.macys.com/is/image/MCY/19503977 </v>
      </c>
    </row>
    <row r="454" spans="1:14" x14ac:dyDescent="0.25">
      <c r="A454" s="21" t="s">
        <v>2963</v>
      </c>
      <c r="B454" s="22" t="s">
        <v>2964</v>
      </c>
      <c r="C454" s="2">
        <v>1</v>
      </c>
      <c r="D454" s="23">
        <v>8.64</v>
      </c>
      <c r="E454" s="3">
        <v>8.64</v>
      </c>
      <c r="F454" s="2" t="s">
        <v>2965</v>
      </c>
      <c r="G454" s="22" t="s">
        <v>19338</v>
      </c>
      <c r="H454" s="24" t="s">
        <v>19770</v>
      </c>
      <c r="I454" s="22" t="s">
        <v>19309</v>
      </c>
      <c r="J454" s="22" t="s">
        <v>19708</v>
      </c>
      <c r="K454" s="22" t="s">
        <v>19709</v>
      </c>
      <c r="L454" s="22"/>
      <c r="M454" s="22"/>
      <c r="N454" s="25" t="str">
        <f>HYPERLINK("http://slimages.macys.com/is/image/MCY/19146318 ")</f>
        <v xml:space="preserve">http://slimages.macys.com/is/image/MCY/19146318 </v>
      </c>
    </row>
    <row r="455" spans="1:14" x14ac:dyDescent="0.25">
      <c r="A455" s="21" t="s">
        <v>2966</v>
      </c>
      <c r="B455" s="22" t="s">
        <v>2967</v>
      </c>
      <c r="C455" s="2">
        <v>1</v>
      </c>
      <c r="D455" s="23">
        <v>8.64</v>
      </c>
      <c r="E455" s="3">
        <v>8.64</v>
      </c>
      <c r="F455" s="2" t="s">
        <v>2968</v>
      </c>
      <c r="G455" s="22"/>
      <c r="H455" s="24" t="s">
        <v>19367</v>
      </c>
      <c r="I455" s="22" t="s">
        <v>19309</v>
      </c>
      <c r="J455" s="22" t="s">
        <v>19708</v>
      </c>
      <c r="K455" s="22" t="s">
        <v>19709</v>
      </c>
      <c r="L455" s="22"/>
      <c r="M455" s="22"/>
      <c r="N455" s="25" t="str">
        <f>HYPERLINK("http://slimages.macys.com/is/image/MCY/19019127 ")</f>
        <v xml:space="preserve">http://slimages.macys.com/is/image/MCY/19019127 </v>
      </c>
    </row>
    <row r="456" spans="1:14" ht="24.75" x14ac:dyDescent="0.25">
      <c r="A456" s="21" t="s">
        <v>2969</v>
      </c>
      <c r="B456" s="22" t="s">
        <v>2970</v>
      </c>
      <c r="C456" s="2">
        <v>2</v>
      </c>
      <c r="D456" s="23">
        <v>8.89</v>
      </c>
      <c r="E456" s="3">
        <v>17.78</v>
      </c>
      <c r="F456" s="2" t="s">
        <v>2971</v>
      </c>
      <c r="G456" s="22" t="s">
        <v>11228</v>
      </c>
      <c r="H456" s="24" t="s">
        <v>19352</v>
      </c>
      <c r="I456" s="22" t="s">
        <v>19309</v>
      </c>
      <c r="J456" s="22" t="s">
        <v>19565</v>
      </c>
      <c r="K456" s="22" t="s">
        <v>18514</v>
      </c>
      <c r="L456" s="22"/>
      <c r="M456" s="22"/>
      <c r="N456" s="25" t="str">
        <f>HYPERLINK("http://slimages.macys.com/is/image/MCY/21128984 ")</f>
        <v xml:space="preserve">http://slimages.macys.com/is/image/MCY/21128984 </v>
      </c>
    </row>
    <row r="457" spans="1:14" ht="24.75" x14ac:dyDescent="0.25">
      <c r="A457" s="21" t="s">
        <v>2972</v>
      </c>
      <c r="B457" s="22" t="s">
        <v>2973</v>
      </c>
      <c r="C457" s="2">
        <v>27</v>
      </c>
      <c r="D457" s="23">
        <v>8.89</v>
      </c>
      <c r="E457" s="3">
        <v>240.03</v>
      </c>
      <c r="F457" s="2" t="s">
        <v>2974</v>
      </c>
      <c r="G457" s="22" t="s">
        <v>19630</v>
      </c>
      <c r="H457" s="24" t="s">
        <v>19352</v>
      </c>
      <c r="I457" s="22" t="s">
        <v>19309</v>
      </c>
      <c r="J457" s="22" t="s">
        <v>19565</v>
      </c>
      <c r="K457" s="22" t="s">
        <v>18514</v>
      </c>
      <c r="L457" s="22"/>
      <c r="M457" s="22"/>
      <c r="N457" s="25" t="str">
        <f>HYPERLINK("http://slimages.macys.com/is/image/MCY/20464455 ")</f>
        <v xml:space="preserve">http://slimages.macys.com/is/image/MCY/20464455 </v>
      </c>
    </row>
    <row r="458" spans="1:14" ht="24.75" x14ac:dyDescent="0.25">
      <c r="A458" s="21" t="s">
        <v>2975</v>
      </c>
      <c r="B458" s="22" t="s">
        <v>2976</v>
      </c>
      <c r="C458" s="2">
        <v>1</v>
      </c>
      <c r="D458" s="23">
        <v>8.89</v>
      </c>
      <c r="E458" s="3">
        <v>8.89</v>
      </c>
      <c r="F458" s="2" t="s">
        <v>2977</v>
      </c>
      <c r="G458" s="22" t="s">
        <v>19801</v>
      </c>
      <c r="H458" s="24" t="s">
        <v>19339</v>
      </c>
      <c r="I458" s="22" t="s">
        <v>19309</v>
      </c>
      <c r="J458" s="22" t="s">
        <v>19565</v>
      </c>
      <c r="K458" s="22" t="s">
        <v>18514</v>
      </c>
      <c r="L458" s="22"/>
      <c r="M458" s="22"/>
      <c r="N458" s="25" t="str">
        <f>HYPERLINK("http://slimages.macys.com/is/image/MCY/20464446 ")</f>
        <v xml:space="preserve">http://slimages.macys.com/is/image/MCY/20464446 </v>
      </c>
    </row>
    <row r="459" spans="1:14" ht="24.75" x14ac:dyDescent="0.25">
      <c r="A459" s="21" t="s">
        <v>2978</v>
      </c>
      <c r="B459" s="22" t="s">
        <v>2979</v>
      </c>
      <c r="C459" s="2">
        <v>1</v>
      </c>
      <c r="D459" s="23">
        <v>11.99</v>
      </c>
      <c r="E459" s="3">
        <v>11.99</v>
      </c>
      <c r="F459" s="2" t="s">
        <v>13358</v>
      </c>
      <c r="G459" s="22" t="s">
        <v>19307</v>
      </c>
      <c r="H459" s="24"/>
      <c r="I459" s="22" t="s">
        <v>19309</v>
      </c>
      <c r="J459" s="22" t="s">
        <v>20076</v>
      </c>
      <c r="K459" s="22" t="s">
        <v>18822</v>
      </c>
      <c r="L459" s="22"/>
      <c r="M459" s="22"/>
      <c r="N459" s="25" t="str">
        <f>HYPERLINK("http://slimages.macys.com/is/image/MCY/19598484 ")</f>
        <v xml:space="preserve">http://slimages.macys.com/is/image/MCY/19598484 </v>
      </c>
    </row>
    <row r="460" spans="1:14" ht="24.75" x14ac:dyDescent="0.25">
      <c r="A460" s="21" t="s">
        <v>2980</v>
      </c>
      <c r="B460" s="22" t="s">
        <v>2981</v>
      </c>
      <c r="C460" s="2">
        <v>1</v>
      </c>
      <c r="D460" s="23">
        <v>24</v>
      </c>
      <c r="E460" s="3">
        <v>24</v>
      </c>
      <c r="F460" s="2" t="s">
        <v>2982</v>
      </c>
      <c r="G460" s="22" t="s">
        <v>19422</v>
      </c>
      <c r="H460" s="24" t="s">
        <v>19384</v>
      </c>
      <c r="I460" s="22" t="s">
        <v>19309</v>
      </c>
      <c r="J460" s="22" t="s">
        <v>19417</v>
      </c>
      <c r="K460" s="22" t="s">
        <v>18317</v>
      </c>
      <c r="L460" s="22"/>
      <c r="M460" s="22"/>
      <c r="N460" s="25" t="str">
        <f>HYPERLINK("http://slimages.macys.com/is/image/MCY/18850725 ")</f>
        <v xml:space="preserve">http://slimages.macys.com/is/image/MCY/18850725 </v>
      </c>
    </row>
    <row r="461" spans="1:14" x14ac:dyDescent="0.25">
      <c r="A461" s="21" t="s">
        <v>13982</v>
      </c>
      <c r="B461" s="22" t="s">
        <v>13983</v>
      </c>
      <c r="C461" s="2">
        <v>3</v>
      </c>
      <c r="D461" s="23">
        <v>8.99</v>
      </c>
      <c r="E461" s="3">
        <v>26.97</v>
      </c>
      <c r="F461" s="2" t="s">
        <v>16396</v>
      </c>
      <c r="G461" s="22" t="s">
        <v>19618</v>
      </c>
      <c r="H461" s="24" t="s">
        <v>19361</v>
      </c>
      <c r="I461" s="22" t="s">
        <v>19309</v>
      </c>
      <c r="J461" s="22" t="s">
        <v>19849</v>
      </c>
      <c r="K461" s="22" t="s">
        <v>19850</v>
      </c>
      <c r="L461" s="22"/>
      <c r="M461" s="22"/>
      <c r="N461" s="25" t="str">
        <f>HYPERLINK("http://slimages.macys.com/is/image/MCY/19068331 ")</f>
        <v xml:space="preserve">http://slimages.macys.com/is/image/MCY/19068331 </v>
      </c>
    </row>
    <row r="462" spans="1:14" ht="24.75" x14ac:dyDescent="0.25">
      <c r="A462" s="21" t="s">
        <v>9077</v>
      </c>
      <c r="B462" s="22" t="s">
        <v>9078</v>
      </c>
      <c r="C462" s="2">
        <v>2</v>
      </c>
      <c r="D462" s="23">
        <v>10.99</v>
      </c>
      <c r="E462" s="3">
        <v>21.98</v>
      </c>
      <c r="F462" s="2" t="s">
        <v>9079</v>
      </c>
      <c r="G462" s="22" t="s">
        <v>19462</v>
      </c>
      <c r="H462" s="24" t="s">
        <v>19339</v>
      </c>
      <c r="I462" s="22" t="s">
        <v>19309</v>
      </c>
      <c r="J462" s="22" t="s">
        <v>19353</v>
      </c>
      <c r="K462" s="22" t="s">
        <v>19524</v>
      </c>
      <c r="L462" s="22"/>
      <c r="M462" s="22"/>
      <c r="N462" s="25" t="str">
        <f>HYPERLINK("http://slimages.macys.com/is/image/MCY/21233421 ")</f>
        <v xml:space="preserve">http://slimages.macys.com/is/image/MCY/21233421 </v>
      </c>
    </row>
    <row r="463" spans="1:14" ht="24.75" x14ac:dyDescent="0.25">
      <c r="A463" s="21" t="s">
        <v>2983</v>
      </c>
      <c r="B463" s="22" t="s">
        <v>2984</v>
      </c>
      <c r="C463" s="2">
        <v>1</v>
      </c>
      <c r="D463" s="23">
        <v>10.99</v>
      </c>
      <c r="E463" s="3">
        <v>10.99</v>
      </c>
      <c r="F463" s="2" t="s">
        <v>2985</v>
      </c>
      <c r="G463" s="22" t="s">
        <v>19351</v>
      </c>
      <c r="H463" s="24" t="s">
        <v>19364</v>
      </c>
      <c r="I463" s="22" t="s">
        <v>19309</v>
      </c>
      <c r="J463" s="22" t="s">
        <v>19353</v>
      </c>
      <c r="K463" s="22" t="s">
        <v>19524</v>
      </c>
      <c r="L463" s="22"/>
      <c r="M463" s="22"/>
      <c r="N463" s="25" t="str">
        <f>HYPERLINK("http://slimages.macys.com/is/image/MCY/21733973 ")</f>
        <v xml:space="preserve">http://slimages.macys.com/is/image/MCY/21733973 </v>
      </c>
    </row>
    <row r="464" spans="1:14" ht="24.75" x14ac:dyDescent="0.25">
      <c r="A464" s="21" t="s">
        <v>3921</v>
      </c>
      <c r="B464" s="22" t="s">
        <v>3922</v>
      </c>
      <c r="C464" s="2">
        <v>1</v>
      </c>
      <c r="D464" s="23">
        <v>10.99</v>
      </c>
      <c r="E464" s="3">
        <v>10.99</v>
      </c>
      <c r="F464" s="2" t="s">
        <v>9079</v>
      </c>
      <c r="G464" s="22" t="s">
        <v>19462</v>
      </c>
      <c r="H464" s="24" t="s">
        <v>19352</v>
      </c>
      <c r="I464" s="22" t="s">
        <v>19309</v>
      </c>
      <c r="J464" s="22" t="s">
        <v>19353</v>
      </c>
      <c r="K464" s="22" t="s">
        <v>19524</v>
      </c>
      <c r="L464" s="22"/>
      <c r="M464" s="22"/>
      <c r="N464" s="25" t="str">
        <f>HYPERLINK("http://slimages.macys.com/is/image/MCY/21233421 ")</f>
        <v xml:space="preserve">http://slimages.macys.com/is/image/MCY/21233421 </v>
      </c>
    </row>
    <row r="465" spans="1:14" x14ac:dyDescent="0.25">
      <c r="A465" s="21" t="s">
        <v>16801</v>
      </c>
      <c r="B465" s="22" t="s">
        <v>16802</v>
      </c>
      <c r="C465" s="2">
        <v>1</v>
      </c>
      <c r="D465" s="23">
        <v>11.99</v>
      </c>
      <c r="E465" s="3">
        <v>11.99</v>
      </c>
      <c r="F465" s="2" t="s">
        <v>16803</v>
      </c>
      <c r="G465" s="22" t="s">
        <v>19431</v>
      </c>
      <c r="H465" s="24" t="s">
        <v>19364</v>
      </c>
      <c r="I465" s="22" t="s">
        <v>19309</v>
      </c>
      <c r="J465" s="22" t="s">
        <v>19849</v>
      </c>
      <c r="K465" s="22" t="s">
        <v>19850</v>
      </c>
      <c r="L465" s="22"/>
      <c r="M465" s="22"/>
      <c r="N465" s="25" t="str">
        <f t="shared" ref="N465:N472" si="0">HYPERLINK("http://slimages.macys.com/is/image/MCY/20752030 ")</f>
        <v xml:space="preserve">http://slimages.macys.com/is/image/MCY/20752030 </v>
      </c>
    </row>
    <row r="466" spans="1:14" x14ac:dyDescent="0.25">
      <c r="A466" s="21" t="s">
        <v>16818</v>
      </c>
      <c r="B466" s="22" t="s">
        <v>16819</v>
      </c>
      <c r="C466" s="2">
        <v>1</v>
      </c>
      <c r="D466" s="23">
        <v>11.99</v>
      </c>
      <c r="E466" s="3">
        <v>11.99</v>
      </c>
      <c r="F466" s="2" t="s">
        <v>16803</v>
      </c>
      <c r="G466" s="22" t="s">
        <v>19670</v>
      </c>
      <c r="H466" s="24" t="s">
        <v>19797</v>
      </c>
      <c r="I466" s="22" t="s">
        <v>19309</v>
      </c>
      <c r="J466" s="22" t="s">
        <v>19849</v>
      </c>
      <c r="K466" s="22" t="s">
        <v>19850</v>
      </c>
      <c r="L466" s="22"/>
      <c r="M466" s="22"/>
      <c r="N466" s="25" t="str">
        <f t="shared" si="0"/>
        <v xml:space="preserve">http://slimages.macys.com/is/image/MCY/20752030 </v>
      </c>
    </row>
    <row r="467" spans="1:14" x14ac:dyDescent="0.25">
      <c r="A467" s="21" t="s">
        <v>16814</v>
      </c>
      <c r="B467" s="22" t="s">
        <v>16815</v>
      </c>
      <c r="C467" s="2">
        <v>1</v>
      </c>
      <c r="D467" s="23">
        <v>11.99</v>
      </c>
      <c r="E467" s="3">
        <v>11.99</v>
      </c>
      <c r="F467" s="2" t="s">
        <v>16803</v>
      </c>
      <c r="G467" s="22" t="s">
        <v>19670</v>
      </c>
      <c r="H467" s="24"/>
      <c r="I467" s="22" t="s">
        <v>19309</v>
      </c>
      <c r="J467" s="22" t="s">
        <v>19849</v>
      </c>
      <c r="K467" s="22" t="s">
        <v>19850</v>
      </c>
      <c r="L467" s="22"/>
      <c r="M467" s="22"/>
      <c r="N467" s="25" t="str">
        <f t="shared" si="0"/>
        <v xml:space="preserve">http://slimages.macys.com/is/image/MCY/20752030 </v>
      </c>
    </row>
    <row r="468" spans="1:14" x14ac:dyDescent="0.25">
      <c r="A468" s="21" t="s">
        <v>16812</v>
      </c>
      <c r="B468" s="22" t="s">
        <v>16813</v>
      </c>
      <c r="C468" s="2">
        <v>1</v>
      </c>
      <c r="D468" s="23">
        <v>11.99</v>
      </c>
      <c r="E468" s="3">
        <v>11.99</v>
      </c>
      <c r="F468" s="2" t="s">
        <v>16803</v>
      </c>
      <c r="G468" s="22" t="s">
        <v>19431</v>
      </c>
      <c r="H468" s="24" t="s">
        <v>19797</v>
      </c>
      <c r="I468" s="22" t="s">
        <v>19309</v>
      </c>
      <c r="J468" s="22" t="s">
        <v>19849</v>
      </c>
      <c r="K468" s="22" t="s">
        <v>19850</v>
      </c>
      <c r="L468" s="22"/>
      <c r="M468" s="22"/>
      <c r="N468" s="25" t="str">
        <f t="shared" si="0"/>
        <v xml:space="preserve">http://slimages.macys.com/is/image/MCY/20752030 </v>
      </c>
    </row>
    <row r="469" spans="1:14" x14ac:dyDescent="0.25">
      <c r="A469" s="21" t="s">
        <v>16816</v>
      </c>
      <c r="B469" s="22" t="s">
        <v>16817</v>
      </c>
      <c r="C469" s="2">
        <v>1</v>
      </c>
      <c r="D469" s="23">
        <v>11.99</v>
      </c>
      <c r="E469" s="3">
        <v>11.99</v>
      </c>
      <c r="F469" s="2" t="s">
        <v>16803</v>
      </c>
      <c r="G469" s="22" t="s">
        <v>19670</v>
      </c>
      <c r="H469" s="24" t="s">
        <v>19352</v>
      </c>
      <c r="I469" s="22" t="s">
        <v>19309</v>
      </c>
      <c r="J469" s="22" t="s">
        <v>19849</v>
      </c>
      <c r="K469" s="22" t="s">
        <v>19850</v>
      </c>
      <c r="L469" s="22"/>
      <c r="M469" s="22"/>
      <c r="N469" s="25" t="str">
        <f t="shared" si="0"/>
        <v xml:space="preserve">http://slimages.macys.com/is/image/MCY/20752030 </v>
      </c>
    </row>
    <row r="470" spans="1:14" x14ac:dyDescent="0.25">
      <c r="A470" s="21" t="s">
        <v>16808</v>
      </c>
      <c r="B470" s="22" t="s">
        <v>16809</v>
      </c>
      <c r="C470" s="2">
        <v>1</v>
      </c>
      <c r="D470" s="23">
        <v>11.99</v>
      </c>
      <c r="E470" s="3">
        <v>11.99</v>
      </c>
      <c r="F470" s="2" t="s">
        <v>16803</v>
      </c>
      <c r="G470" s="22" t="s">
        <v>19670</v>
      </c>
      <c r="H470" s="24" t="s">
        <v>19364</v>
      </c>
      <c r="I470" s="22" t="s">
        <v>19309</v>
      </c>
      <c r="J470" s="22" t="s">
        <v>19849</v>
      </c>
      <c r="K470" s="22" t="s">
        <v>19850</v>
      </c>
      <c r="L470" s="22"/>
      <c r="M470" s="22"/>
      <c r="N470" s="25" t="str">
        <f t="shared" si="0"/>
        <v xml:space="preserve">http://slimages.macys.com/is/image/MCY/20752030 </v>
      </c>
    </row>
    <row r="471" spans="1:14" x14ac:dyDescent="0.25">
      <c r="A471" s="21" t="s">
        <v>9086</v>
      </c>
      <c r="B471" s="22" t="s">
        <v>9087</v>
      </c>
      <c r="C471" s="2">
        <v>1</v>
      </c>
      <c r="D471" s="23">
        <v>11.99</v>
      </c>
      <c r="E471" s="3">
        <v>11.99</v>
      </c>
      <c r="F471" s="2" t="s">
        <v>16803</v>
      </c>
      <c r="G471" s="22" t="s">
        <v>19670</v>
      </c>
      <c r="H471" s="24" t="s">
        <v>19339</v>
      </c>
      <c r="I471" s="22" t="s">
        <v>19309</v>
      </c>
      <c r="J471" s="22" t="s">
        <v>19849</v>
      </c>
      <c r="K471" s="22" t="s">
        <v>19850</v>
      </c>
      <c r="L471" s="22"/>
      <c r="M471" s="22"/>
      <c r="N471" s="25" t="str">
        <f t="shared" si="0"/>
        <v xml:space="preserve">http://slimages.macys.com/is/image/MCY/20752030 </v>
      </c>
    </row>
    <row r="472" spans="1:14" x14ac:dyDescent="0.25">
      <c r="A472" s="21" t="s">
        <v>16804</v>
      </c>
      <c r="B472" s="22" t="s">
        <v>16805</v>
      </c>
      <c r="C472" s="2">
        <v>1</v>
      </c>
      <c r="D472" s="23">
        <v>11.99</v>
      </c>
      <c r="E472" s="3">
        <v>11.99</v>
      </c>
      <c r="F472" s="2" t="s">
        <v>16803</v>
      </c>
      <c r="G472" s="22" t="s">
        <v>19431</v>
      </c>
      <c r="H472" s="24" t="s">
        <v>19339</v>
      </c>
      <c r="I472" s="22" t="s">
        <v>19309</v>
      </c>
      <c r="J472" s="22" t="s">
        <v>19849</v>
      </c>
      <c r="K472" s="22" t="s">
        <v>19850</v>
      </c>
      <c r="L472" s="22"/>
      <c r="M472" s="22"/>
      <c r="N472" s="25" t="str">
        <f t="shared" si="0"/>
        <v xml:space="preserve">http://slimages.macys.com/is/image/MCY/20752030 </v>
      </c>
    </row>
    <row r="473" spans="1:14" ht="24.75" x14ac:dyDescent="0.25">
      <c r="A473" s="21" t="s">
        <v>2986</v>
      </c>
      <c r="B473" s="22" t="s">
        <v>2987</v>
      </c>
      <c r="C473" s="2">
        <v>1</v>
      </c>
      <c r="D473" s="23">
        <v>11.99</v>
      </c>
      <c r="E473" s="3">
        <v>11.99</v>
      </c>
      <c r="F473" s="2" t="s">
        <v>2988</v>
      </c>
      <c r="G473" s="22" t="s">
        <v>19467</v>
      </c>
      <c r="H473" s="24" t="s">
        <v>19384</v>
      </c>
      <c r="I473" s="22" t="s">
        <v>19309</v>
      </c>
      <c r="J473" s="22" t="s">
        <v>19573</v>
      </c>
      <c r="K473" s="22" t="s">
        <v>19574</v>
      </c>
      <c r="L473" s="22"/>
      <c r="M473" s="22"/>
      <c r="N473" s="25" t="str">
        <f>HYPERLINK("http://slimages.macys.com/is/image/MCY/19589137 ")</f>
        <v xml:space="preserve">http://slimages.macys.com/is/image/MCY/19589137 </v>
      </c>
    </row>
    <row r="474" spans="1:14" ht="24.75" x14ac:dyDescent="0.25">
      <c r="A474" s="21" t="s">
        <v>2989</v>
      </c>
      <c r="B474" s="22" t="s">
        <v>2990</v>
      </c>
      <c r="C474" s="2">
        <v>1</v>
      </c>
      <c r="D474" s="23">
        <v>11.99</v>
      </c>
      <c r="E474" s="3">
        <v>11.99</v>
      </c>
      <c r="F474" s="2" t="s">
        <v>2991</v>
      </c>
      <c r="G474" s="22" t="s">
        <v>19351</v>
      </c>
      <c r="H474" s="24"/>
      <c r="I474" s="22" t="s">
        <v>19309</v>
      </c>
      <c r="J474" s="22" t="s">
        <v>20076</v>
      </c>
      <c r="K474" s="22" t="s">
        <v>18822</v>
      </c>
      <c r="L474" s="22"/>
      <c r="M474" s="22"/>
      <c r="N474" s="25" t="str">
        <f>HYPERLINK("http://slimages.macys.com/is/image/MCY/21333002 ")</f>
        <v xml:space="preserve">http://slimages.macys.com/is/image/MCY/21333002 </v>
      </c>
    </row>
    <row r="475" spans="1:14" x14ac:dyDescent="0.25">
      <c r="A475" s="21" t="s">
        <v>10032</v>
      </c>
      <c r="B475" s="22" t="s">
        <v>10033</v>
      </c>
      <c r="C475" s="2">
        <v>1</v>
      </c>
      <c r="D475" s="23">
        <v>7.99</v>
      </c>
      <c r="E475" s="3">
        <v>7.99</v>
      </c>
      <c r="F475" s="2" t="s">
        <v>16840</v>
      </c>
      <c r="G475" s="22" t="s">
        <v>19431</v>
      </c>
      <c r="H475" s="24" t="s">
        <v>19377</v>
      </c>
      <c r="I475" s="22" t="s">
        <v>19309</v>
      </c>
      <c r="J475" s="22" t="s">
        <v>19849</v>
      </c>
      <c r="K475" s="22" t="s">
        <v>19850</v>
      </c>
      <c r="L475" s="22"/>
      <c r="M475" s="22"/>
      <c r="N475" s="25" t="str">
        <f>HYPERLINK("http://slimages.macys.com/is/image/MCY/19068277 ")</f>
        <v xml:space="preserve">http://slimages.macys.com/is/image/MCY/19068277 </v>
      </c>
    </row>
    <row r="476" spans="1:14" x14ac:dyDescent="0.25">
      <c r="A476" s="21" t="s">
        <v>16426</v>
      </c>
      <c r="B476" s="22" t="s">
        <v>16427</v>
      </c>
      <c r="C476" s="2">
        <v>3</v>
      </c>
      <c r="D476" s="23">
        <v>7.99</v>
      </c>
      <c r="E476" s="3">
        <v>23.97</v>
      </c>
      <c r="F476" s="2" t="s">
        <v>16840</v>
      </c>
      <c r="G476" s="22" t="s">
        <v>19431</v>
      </c>
      <c r="H476" s="24" t="s">
        <v>20089</v>
      </c>
      <c r="I476" s="22" t="s">
        <v>19309</v>
      </c>
      <c r="J476" s="22" t="s">
        <v>19849</v>
      </c>
      <c r="K476" s="22" t="s">
        <v>19850</v>
      </c>
      <c r="L476" s="22"/>
      <c r="M476" s="22"/>
      <c r="N476" s="25" t="str">
        <f>HYPERLINK("http://slimages.macys.com/is/image/MCY/19068277 ")</f>
        <v xml:space="preserve">http://slimages.macys.com/is/image/MCY/19068277 </v>
      </c>
    </row>
    <row r="477" spans="1:14" ht="24.75" x14ac:dyDescent="0.25">
      <c r="A477" s="21" t="s">
        <v>2992</v>
      </c>
      <c r="B477" s="22" t="s">
        <v>2993</v>
      </c>
      <c r="C477" s="2">
        <v>1</v>
      </c>
      <c r="D477" s="23">
        <v>7.99</v>
      </c>
      <c r="E477" s="3">
        <v>7.99</v>
      </c>
      <c r="F477" s="2">
        <v>47427130</v>
      </c>
      <c r="G477" s="22" t="s">
        <v>19351</v>
      </c>
      <c r="H477" s="24" t="s">
        <v>19364</v>
      </c>
      <c r="I477" s="22" t="s">
        <v>19309</v>
      </c>
      <c r="J477" s="22" t="s">
        <v>19353</v>
      </c>
      <c r="K477" s="22" t="s">
        <v>19524</v>
      </c>
      <c r="L477" s="22" t="s">
        <v>19319</v>
      </c>
      <c r="M477" s="22" t="s">
        <v>12712</v>
      </c>
      <c r="N477" s="25" t="str">
        <f>HYPERLINK("http://slimages.macys.com/is/image/MCY/12670179 ")</f>
        <v xml:space="preserve">http://slimages.macys.com/is/image/MCY/12670179 </v>
      </c>
    </row>
    <row r="478" spans="1:14" x14ac:dyDescent="0.25">
      <c r="A478" s="21" t="s">
        <v>13363</v>
      </c>
      <c r="B478" s="22" t="s">
        <v>13364</v>
      </c>
      <c r="C478" s="2">
        <v>1</v>
      </c>
      <c r="D478" s="23">
        <v>7.99</v>
      </c>
      <c r="E478" s="3">
        <v>7.99</v>
      </c>
      <c r="F478" s="2" t="s">
        <v>16840</v>
      </c>
      <c r="G478" s="22" t="s">
        <v>19431</v>
      </c>
      <c r="H478" s="24" t="s">
        <v>20135</v>
      </c>
      <c r="I478" s="22" t="s">
        <v>19309</v>
      </c>
      <c r="J478" s="22" t="s">
        <v>19849</v>
      </c>
      <c r="K478" s="22" t="s">
        <v>19850</v>
      </c>
      <c r="L478" s="22"/>
      <c r="M478" s="22"/>
      <c r="N478" s="25" t="str">
        <f>HYPERLINK("http://slimages.macys.com/is/image/MCY/19068277 ")</f>
        <v xml:space="preserve">http://slimages.macys.com/is/image/MCY/19068277 </v>
      </c>
    </row>
    <row r="479" spans="1:14" x14ac:dyDescent="0.25">
      <c r="A479" s="21" t="s">
        <v>2994</v>
      </c>
      <c r="B479" s="22" t="s">
        <v>2995</v>
      </c>
      <c r="C479" s="2">
        <v>1</v>
      </c>
      <c r="D479" s="23">
        <v>7.99</v>
      </c>
      <c r="E479" s="3">
        <v>7.99</v>
      </c>
      <c r="F479" s="2" t="s">
        <v>16840</v>
      </c>
      <c r="G479" s="22" t="s">
        <v>19674</v>
      </c>
      <c r="H479" s="24" t="s">
        <v>19377</v>
      </c>
      <c r="I479" s="22" t="s">
        <v>19309</v>
      </c>
      <c r="J479" s="22" t="s">
        <v>19849</v>
      </c>
      <c r="K479" s="22" t="s">
        <v>19850</v>
      </c>
      <c r="L479" s="22"/>
      <c r="M479" s="22"/>
      <c r="N479" s="25" t="str">
        <f>HYPERLINK("http://slimages.macys.com/is/image/MCY/1622118 ")</f>
        <v xml:space="preserve">http://slimages.macys.com/is/image/MCY/1622118 </v>
      </c>
    </row>
    <row r="480" spans="1:14" ht="24.75" x14ac:dyDescent="0.25">
      <c r="A480" s="21" t="s">
        <v>2996</v>
      </c>
      <c r="B480" s="22" t="s">
        <v>2997</v>
      </c>
      <c r="C480" s="2">
        <v>1</v>
      </c>
      <c r="D480" s="23">
        <v>10.99</v>
      </c>
      <c r="E480" s="3">
        <v>10.99</v>
      </c>
      <c r="F480" s="2" t="s">
        <v>2998</v>
      </c>
      <c r="G480" s="22" t="s">
        <v>19333</v>
      </c>
      <c r="H480" s="24" t="s">
        <v>19352</v>
      </c>
      <c r="I480" s="22" t="s">
        <v>19309</v>
      </c>
      <c r="J480" s="22" t="s">
        <v>19353</v>
      </c>
      <c r="K480" s="22" t="s">
        <v>19524</v>
      </c>
      <c r="L480" s="22"/>
      <c r="M480" s="22"/>
      <c r="N480" s="25" t="str">
        <f>HYPERLINK("http://slimages.macys.com/is/image/MCY/19499259 ")</f>
        <v xml:space="preserve">http://slimages.macys.com/is/image/MCY/19499259 </v>
      </c>
    </row>
    <row r="481" spans="1:14" x14ac:dyDescent="0.25">
      <c r="A481" s="21" t="s">
        <v>14032</v>
      </c>
      <c r="B481" s="22" t="s">
        <v>14033</v>
      </c>
      <c r="C481" s="2">
        <v>1</v>
      </c>
      <c r="D481" s="23">
        <v>7.99</v>
      </c>
      <c r="E481" s="3">
        <v>7.99</v>
      </c>
      <c r="F481" s="2" t="s">
        <v>16840</v>
      </c>
      <c r="G481" s="22" t="s">
        <v>19674</v>
      </c>
      <c r="H481" s="24" t="s">
        <v>19542</v>
      </c>
      <c r="I481" s="22" t="s">
        <v>19309</v>
      </c>
      <c r="J481" s="22" t="s">
        <v>19849</v>
      </c>
      <c r="K481" s="22" t="s">
        <v>19850</v>
      </c>
      <c r="L481" s="22"/>
      <c r="M481" s="22"/>
      <c r="N481" s="25" t="str">
        <f>HYPERLINK("http://slimages.macys.com/is/image/MCY/19068277 ")</f>
        <v xml:space="preserve">http://slimages.macys.com/is/image/MCY/19068277 </v>
      </c>
    </row>
    <row r="482" spans="1:14" x14ac:dyDescent="0.25">
      <c r="A482" s="21" t="s">
        <v>14039</v>
      </c>
      <c r="B482" s="22" t="s">
        <v>14040</v>
      </c>
      <c r="C482" s="2">
        <v>1</v>
      </c>
      <c r="D482" s="23">
        <v>7.99</v>
      </c>
      <c r="E482" s="3">
        <v>7.99</v>
      </c>
      <c r="F482" s="2" t="s">
        <v>16840</v>
      </c>
      <c r="G482" s="22" t="s">
        <v>19674</v>
      </c>
      <c r="H482" s="24" t="s">
        <v>20135</v>
      </c>
      <c r="I482" s="22" t="s">
        <v>19309</v>
      </c>
      <c r="J482" s="22" t="s">
        <v>19849</v>
      </c>
      <c r="K482" s="22" t="s">
        <v>19850</v>
      </c>
      <c r="L482" s="22"/>
      <c r="M482" s="22"/>
      <c r="N482" s="25" t="str">
        <f>HYPERLINK("http://slimages.macys.com/is/image/MCY/1622118 ")</f>
        <v xml:space="preserve">http://slimages.macys.com/is/image/MCY/1622118 </v>
      </c>
    </row>
    <row r="483" spans="1:14" ht="24.75" x14ac:dyDescent="0.25">
      <c r="A483" s="21" t="s">
        <v>3548</v>
      </c>
      <c r="B483" s="22" t="s">
        <v>3549</v>
      </c>
      <c r="C483" s="2">
        <v>2</v>
      </c>
      <c r="D483" s="23">
        <v>11.99</v>
      </c>
      <c r="E483" s="3">
        <v>23.98</v>
      </c>
      <c r="F483" s="2">
        <v>4217</v>
      </c>
      <c r="G483" s="22" t="s">
        <v>19422</v>
      </c>
      <c r="H483" s="24" t="s">
        <v>19352</v>
      </c>
      <c r="I483" s="22" t="s">
        <v>19309</v>
      </c>
      <c r="J483" s="22" t="s">
        <v>20076</v>
      </c>
      <c r="K483" s="22" t="s">
        <v>20077</v>
      </c>
      <c r="L483" s="22" t="s">
        <v>19319</v>
      </c>
      <c r="M483" s="22" t="s">
        <v>19209</v>
      </c>
      <c r="N483" s="25" t="str">
        <f>HYPERLINK("http://slimages.macys.com/is/image/MCY/13050192 ")</f>
        <v xml:space="preserve">http://slimages.macys.com/is/image/MCY/13050192 </v>
      </c>
    </row>
    <row r="484" spans="1:14" ht="24.75" x14ac:dyDescent="0.25">
      <c r="A484" s="21" t="s">
        <v>16931</v>
      </c>
      <c r="B484" s="22" t="s">
        <v>16932</v>
      </c>
      <c r="C484" s="2">
        <v>2</v>
      </c>
      <c r="D484" s="23">
        <v>8.99</v>
      </c>
      <c r="E484" s="3">
        <v>17.98</v>
      </c>
      <c r="F484" s="2" t="s">
        <v>18909</v>
      </c>
      <c r="G484" s="22" t="s">
        <v>19518</v>
      </c>
      <c r="H484" s="24" t="s">
        <v>19352</v>
      </c>
      <c r="I484" s="22" t="s">
        <v>19309</v>
      </c>
      <c r="J484" s="22" t="s">
        <v>19815</v>
      </c>
      <c r="K484" s="22" t="s">
        <v>19816</v>
      </c>
      <c r="L484" s="22"/>
      <c r="M484" s="22"/>
      <c r="N484" s="25" t="str">
        <f>HYPERLINK("http://slimages.macys.com/is/image/MCY/21769938 ")</f>
        <v xml:space="preserve">http://slimages.macys.com/is/image/MCY/21769938 </v>
      </c>
    </row>
    <row r="485" spans="1:14" x14ac:dyDescent="0.25">
      <c r="A485" s="21" t="s">
        <v>14047</v>
      </c>
      <c r="B485" s="22" t="s">
        <v>14048</v>
      </c>
      <c r="C485" s="2">
        <v>1</v>
      </c>
      <c r="D485" s="23">
        <v>8.33</v>
      </c>
      <c r="E485" s="3">
        <v>8.33</v>
      </c>
      <c r="F485" s="2" t="s">
        <v>16437</v>
      </c>
      <c r="G485" s="22" t="s">
        <v>19801</v>
      </c>
      <c r="H485" s="24" t="s">
        <v>19395</v>
      </c>
      <c r="I485" s="22" t="s">
        <v>19309</v>
      </c>
      <c r="J485" s="22" t="s">
        <v>19514</v>
      </c>
      <c r="K485" s="22" t="s">
        <v>18514</v>
      </c>
      <c r="L485" s="22"/>
      <c r="M485" s="22"/>
      <c r="N485" s="25" t="str">
        <f>HYPERLINK("http://slimages.macys.com/is/image/MCY/21511198 ")</f>
        <v xml:space="preserve">http://slimages.macys.com/is/image/MCY/21511198 </v>
      </c>
    </row>
    <row r="486" spans="1:14" x14ac:dyDescent="0.25">
      <c r="A486" s="21" t="s">
        <v>18839</v>
      </c>
      <c r="B486" s="22" t="s">
        <v>18840</v>
      </c>
      <c r="C486" s="2">
        <v>3</v>
      </c>
      <c r="D486" s="23">
        <v>6.99</v>
      </c>
      <c r="E486" s="3">
        <v>20.97</v>
      </c>
      <c r="F486" s="2" t="s">
        <v>18841</v>
      </c>
      <c r="G486" s="22" t="s">
        <v>19467</v>
      </c>
      <c r="H486" s="24" t="s">
        <v>19352</v>
      </c>
      <c r="I486" s="22" t="s">
        <v>19309</v>
      </c>
      <c r="J486" s="22" t="s">
        <v>19849</v>
      </c>
      <c r="K486" s="22" t="s">
        <v>19850</v>
      </c>
      <c r="L486" s="22"/>
      <c r="M486" s="22"/>
      <c r="N486" s="25" t="str">
        <f>HYPERLINK("http://slimages.macys.com/is/image/MCY/19965819 ")</f>
        <v xml:space="preserve">http://slimages.macys.com/is/image/MCY/19965819 </v>
      </c>
    </row>
    <row r="487" spans="1:14" x14ac:dyDescent="0.25">
      <c r="A487" s="21" t="s">
        <v>18844</v>
      </c>
      <c r="B487" s="22" t="s">
        <v>18845</v>
      </c>
      <c r="C487" s="2">
        <v>1</v>
      </c>
      <c r="D487" s="23">
        <v>6.99</v>
      </c>
      <c r="E487" s="3">
        <v>6.99</v>
      </c>
      <c r="F487" s="2" t="s">
        <v>18841</v>
      </c>
      <c r="G487" s="22" t="s">
        <v>19467</v>
      </c>
      <c r="H487" s="24" t="s">
        <v>19797</v>
      </c>
      <c r="I487" s="22" t="s">
        <v>19309</v>
      </c>
      <c r="J487" s="22" t="s">
        <v>19849</v>
      </c>
      <c r="K487" s="22" t="s">
        <v>19850</v>
      </c>
      <c r="L487" s="22"/>
      <c r="M487" s="22"/>
      <c r="N487" s="25" t="str">
        <f>HYPERLINK("http://slimages.macys.com/is/image/MCY/19965819 ")</f>
        <v xml:space="preserve">http://slimages.macys.com/is/image/MCY/19965819 </v>
      </c>
    </row>
    <row r="488" spans="1:14" x14ac:dyDescent="0.25">
      <c r="A488" s="21" t="s">
        <v>9115</v>
      </c>
      <c r="B488" s="22" t="s">
        <v>9116</v>
      </c>
      <c r="C488" s="2">
        <v>1</v>
      </c>
      <c r="D488" s="23">
        <v>18.11</v>
      </c>
      <c r="E488" s="3">
        <v>18.11</v>
      </c>
      <c r="F488" s="2" t="s">
        <v>16849</v>
      </c>
      <c r="G488" s="22" t="s">
        <v>19674</v>
      </c>
      <c r="H488" s="24" t="s">
        <v>19339</v>
      </c>
      <c r="I488" s="22" t="s">
        <v>19309</v>
      </c>
      <c r="J488" s="22" t="s">
        <v>19849</v>
      </c>
      <c r="K488" s="22" t="s">
        <v>19850</v>
      </c>
      <c r="L488" s="22"/>
      <c r="M488" s="22"/>
      <c r="N488" s="25" t="str">
        <f>HYPERLINK("http://slimages.macys.com/is/image/MCY/1523123 ")</f>
        <v xml:space="preserve">http://slimages.macys.com/is/image/MCY/1523123 </v>
      </c>
    </row>
    <row r="489" spans="1:14" ht="24.75" x14ac:dyDescent="0.25">
      <c r="A489" s="21" t="s">
        <v>2999</v>
      </c>
      <c r="B489" s="22" t="s">
        <v>3000</v>
      </c>
      <c r="C489" s="2">
        <v>1</v>
      </c>
      <c r="D489" s="23">
        <v>7.99</v>
      </c>
      <c r="E489" s="3">
        <v>7.99</v>
      </c>
      <c r="F489" s="2">
        <v>10014308400</v>
      </c>
      <c r="G489" s="22" t="s">
        <v>19713</v>
      </c>
      <c r="H489" s="24" t="s">
        <v>19384</v>
      </c>
      <c r="I489" s="22" t="s">
        <v>19309</v>
      </c>
      <c r="J489" s="22" t="s">
        <v>19573</v>
      </c>
      <c r="K489" s="22" t="s">
        <v>19574</v>
      </c>
      <c r="L489" s="22"/>
      <c r="M489" s="22"/>
      <c r="N489" s="25" t="str">
        <f>HYPERLINK("http://slimages.macys.com/is/image/MCY/20753573 ")</f>
        <v xml:space="preserve">http://slimages.macys.com/is/image/MCY/20753573 </v>
      </c>
    </row>
    <row r="490" spans="1:14" ht="24.75" x14ac:dyDescent="0.25">
      <c r="A490" s="21" t="s">
        <v>3001</v>
      </c>
      <c r="B490" s="22" t="s">
        <v>3002</v>
      </c>
      <c r="C490" s="2">
        <v>1</v>
      </c>
      <c r="D490" s="23">
        <v>11.99</v>
      </c>
      <c r="E490" s="3">
        <v>11.99</v>
      </c>
      <c r="F490" s="2" t="s">
        <v>16453</v>
      </c>
      <c r="G490" s="22" t="s">
        <v>19674</v>
      </c>
      <c r="H490" s="24" t="s">
        <v>19538</v>
      </c>
      <c r="I490" s="22" t="s">
        <v>19309</v>
      </c>
      <c r="J490" s="22" t="s">
        <v>19573</v>
      </c>
      <c r="K490" s="22" t="s">
        <v>19574</v>
      </c>
      <c r="L490" s="22"/>
      <c r="M490" s="22"/>
      <c r="N490" s="25" t="str">
        <f>HYPERLINK("http://slimages.macys.com/is/image/MCY/1427605 ")</f>
        <v xml:space="preserve">http://slimages.macys.com/is/image/MCY/1427605 </v>
      </c>
    </row>
    <row r="491" spans="1:14" ht="24.75" x14ac:dyDescent="0.25">
      <c r="A491" s="21" t="s">
        <v>3003</v>
      </c>
      <c r="B491" s="22" t="s">
        <v>3004</v>
      </c>
      <c r="C491" s="2">
        <v>1</v>
      </c>
      <c r="D491" s="23">
        <v>10.99</v>
      </c>
      <c r="E491" s="3">
        <v>10.99</v>
      </c>
      <c r="F491" s="2" t="s">
        <v>9126</v>
      </c>
      <c r="G491" s="22" t="s">
        <v>19618</v>
      </c>
      <c r="H491" s="24"/>
      <c r="I491" s="22" t="s">
        <v>19309</v>
      </c>
      <c r="J491" s="22" t="s">
        <v>19573</v>
      </c>
      <c r="K491" s="22" t="s">
        <v>19574</v>
      </c>
      <c r="L491" s="22"/>
      <c r="M491" s="22"/>
      <c r="N491" s="25" t="str">
        <f>HYPERLINK("http://slimages.macys.com/is/image/MCY/20757666 ")</f>
        <v xml:space="preserve">http://slimages.macys.com/is/image/MCY/20757666 </v>
      </c>
    </row>
    <row r="492" spans="1:14" ht="24.75" x14ac:dyDescent="0.25">
      <c r="A492" s="21" t="s">
        <v>3005</v>
      </c>
      <c r="B492" s="22" t="s">
        <v>3006</v>
      </c>
      <c r="C492" s="2">
        <v>1</v>
      </c>
      <c r="D492" s="23">
        <v>10.99</v>
      </c>
      <c r="E492" s="3">
        <v>10.99</v>
      </c>
      <c r="F492" s="2" t="s">
        <v>3007</v>
      </c>
      <c r="G492" s="22" t="s">
        <v>19422</v>
      </c>
      <c r="H492" s="24" t="s">
        <v>19384</v>
      </c>
      <c r="I492" s="22" t="s">
        <v>19309</v>
      </c>
      <c r="J492" s="22" t="s">
        <v>19573</v>
      </c>
      <c r="K492" s="22" t="s">
        <v>19574</v>
      </c>
      <c r="L492" s="22"/>
      <c r="M492" s="22"/>
      <c r="N492" s="25" t="str">
        <f>HYPERLINK("http://slimages.macys.com/is/image/MCY/1104372 ")</f>
        <v xml:space="preserve">http://slimages.macys.com/is/image/MCY/1104372 </v>
      </c>
    </row>
    <row r="493" spans="1:14" ht="24.75" x14ac:dyDescent="0.25">
      <c r="A493" s="21" t="s">
        <v>3008</v>
      </c>
      <c r="B493" s="22" t="s">
        <v>3009</v>
      </c>
      <c r="C493" s="2">
        <v>1</v>
      </c>
      <c r="D493" s="23">
        <v>10.99</v>
      </c>
      <c r="E493" s="3">
        <v>10.99</v>
      </c>
      <c r="F493" s="2" t="s">
        <v>3010</v>
      </c>
      <c r="G493" s="22" t="s">
        <v>19585</v>
      </c>
      <c r="H493" s="24" t="s">
        <v>19538</v>
      </c>
      <c r="I493" s="22" t="s">
        <v>19309</v>
      </c>
      <c r="J493" s="22" t="s">
        <v>19573</v>
      </c>
      <c r="K493" s="22" t="s">
        <v>19574</v>
      </c>
      <c r="L493" s="22"/>
      <c r="M493" s="22"/>
      <c r="N493" s="25" t="str">
        <f>HYPERLINK("http://slimages.macys.com/is/image/MCY/958342 ")</f>
        <v xml:space="preserve">http://slimages.macys.com/is/image/MCY/958342 </v>
      </c>
    </row>
    <row r="494" spans="1:14" ht="24.75" x14ac:dyDescent="0.25">
      <c r="A494" s="21" t="s">
        <v>9122</v>
      </c>
      <c r="B494" s="22" t="s">
        <v>9123</v>
      </c>
      <c r="C494" s="2">
        <v>1</v>
      </c>
      <c r="D494" s="23">
        <v>10.99</v>
      </c>
      <c r="E494" s="3">
        <v>10.99</v>
      </c>
      <c r="F494" s="2" t="s">
        <v>18866</v>
      </c>
      <c r="G494" s="22" t="s">
        <v>19351</v>
      </c>
      <c r="H494" s="24"/>
      <c r="I494" s="22" t="s">
        <v>19309</v>
      </c>
      <c r="J494" s="22" t="s">
        <v>19573</v>
      </c>
      <c r="K494" s="22" t="s">
        <v>19574</v>
      </c>
      <c r="L494" s="22"/>
      <c r="M494" s="22"/>
      <c r="N494" s="25" t="str">
        <f>HYPERLINK("http://slimages.macys.com/is/image/MCY/21088530 ")</f>
        <v xml:space="preserve">http://slimages.macys.com/is/image/MCY/21088530 </v>
      </c>
    </row>
    <row r="495" spans="1:14" x14ac:dyDescent="0.25">
      <c r="A495" s="21" t="s">
        <v>10043</v>
      </c>
      <c r="B495" s="22" t="s">
        <v>10044</v>
      </c>
      <c r="C495" s="2">
        <v>1</v>
      </c>
      <c r="D495" s="23">
        <v>9.99</v>
      </c>
      <c r="E495" s="3">
        <v>9.99</v>
      </c>
      <c r="F495" s="2" t="s">
        <v>18869</v>
      </c>
      <c r="G495" s="22" t="s">
        <v>19351</v>
      </c>
      <c r="H495" s="24" t="s">
        <v>19377</v>
      </c>
      <c r="I495" s="22" t="s">
        <v>19309</v>
      </c>
      <c r="J495" s="22" t="s">
        <v>19849</v>
      </c>
      <c r="K495" s="22" t="s">
        <v>19850</v>
      </c>
      <c r="L495" s="22"/>
      <c r="M495" s="22"/>
      <c r="N495" s="25" t="str">
        <f>HYPERLINK("http://slimages.macys.com/is/image/MCY/21351556 ")</f>
        <v xml:space="preserve">http://slimages.macys.com/is/image/MCY/21351556 </v>
      </c>
    </row>
    <row r="496" spans="1:14" x14ac:dyDescent="0.25">
      <c r="A496" s="21" t="s">
        <v>7843</v>
      </c>
      <c r="B496" s="22" t="s">
        <v>7844</v>
      </c>
      <c r="C496" s="2">
        <v>1</v>
      </c>
      <c r="D496" s="23">
        <v>9.99</v>
      </c>
      <c r="E496" s="3">
        <v>9.99</v>
      </c>
      <c r="F496" s="2" t="s">
        <v>18869</v>
      </c>
      <c r="G496" s="22" t="s">
        <v>19351</v>
      </c>
      <c r="H496" s="24" t="s">
        <v>19542</v>
      </c>
      <c r="I496" s="22" t="s">
        <v>19309</v>
      </c>
      <c r="J496" s="22" t="s">
        <v>19849</v>
      </c>
      <c r="K496" s="22" t="s">
        <v>19850</v>
      </c>
      <c r="L496" s="22"/>
      <c r="M496" s="22"/>
      <c r="N496" s="25" t="str">
        <f>HYPERLINK("http://slimages.macys.com/is/image/MCY/21351556 ")</f>
        <v xml:space="preserve">http://slimages.macys.com/is/image/MCY/21351556 </v>
      </c>
    </row>
    <row r="497" spans="1:14" ht="24.75" x14ac:dyDescent="0.25">
      <c r="A497" s="21" t="s">
        <v>3011</v>
      </c>
      <c r="B497" s="22" t="s">
        <v>3012</v>
      </c>
      <c r="C497" s="2">
        <v>1</v>
      </c>
      <c r="D497" s="23">
        <v>9.99</v>
      </c>
      <c r="E497" s="3">
        <v>9.99</v>
      </c>
      <c r="F497" s="2" t="s">
        <v>3013</v>
      </c>
      <c r="G497" s="22" t="s">
        <v>19357</v>
      </c>
      <c r="H497" s="24" t="s">
        <v>19364</v>
      </c>
      <c r="I497" s="22" t="s">
        <v>19309</v>
      </c>
      <c r="J497" s="22" t="s">
        <v>19353</v>
      </c>
      <c r="K497" s="22" t="s">
        <v>19524</v>
      </c>
      <c r="L497" s="22"/>
      <c r="M497" s="22"/>
      <c r="N497" s="25" t="str">
        <f>HYPERLINK("http://slimages.macys.com/is/image/MCY/21433970 ")</f>
        <v xml:space="preserve">http://slimages.macys.com/is/image/MCY/21433970 </v>
      </c>
    </row>
    <row r="498" spans="1:14" ht="24.75" x14ac:dyDescent="0.25">
      <c r="A498" s="21" t="s">
        <v>3014</v>
      </c>
      <c r="B498" s="22" t="s">
        <v>3015</v>
      </c>
      <c r="C498" s="2">
        <v>1</v>
      </c>
      <c r="D498" s="23">
        <v>9.99</v>
      </c>
      <c r="E498" s="3">
        <v>9.99</v>
      </c>
      <c r="F498" s="2" t="s">
        <v>3013</v>
      </c>
      <c r="G498" s="22" t="s">
        <v>19357</v>
      </c>
      <c r="H498" s="24" t="s">
        <v>19339</v>
      </c>
      <c r="I498" s="22" t="s">
        <v>19309</v>
      </c>
      <c r="J498" s="22" t="s">
        <v>19353</v>
      </c>
      <c r="K498" s="22" t="s">
        <v>19524</v>
      </c>
      <c r="L498" s="22"/>
      <c r="M498" s="22"/>
      <c r="N498" s="25" t="str">
        <f>HYPERLINK("http://slimages.macys.com/is/image/MCY/21433970 ")</f>
        <v xml:space="preserve">http://slimages.macys.com/is/image/MCY/21433970 </v>
      </c>
    </row>
    <row r="499" spans="1:14" x14ac:dyDescent="0.25">
      <c r="A499" s="21" t="s">
        <v>3016</v>
      </c>
      <c r="B499" s="22" t="s">
        <v>3017</v>
      </c>
      <c r="C499" s="2">
        <v>1</v>
      </c>
      <c r="D499" s="23">
        <v>7.99</v>
      </c>
      <c r="E499" s="3">
        <v>7.99</v>
      </c>
      <c r="F499" s="2" t="s">
        <v>3018</v>
      </c>
      <c r="G499" s="22" t="s">
        <v>19630</v>
      </c>
      <c r="H499" s="24" t="s">
        <v>18530</v>
      </c>
      <c r="I499" s="22" t="s">
        <v>19309</v>
      </c>
      <c r="J499" s="22" t="s">
        <v>19514</v>
      </c>
      <c r="K499" s="22" t="s">
        <v>18514</v>
      </c>
      <c r="L499" s="22"/>
      <c r="M499" s="22"/>
      <c r="N499" s="25" t="str">
        <f>HYPERLINK("http://slimages.macys.com/is/image/MCY/20726216 ")</f>
        <v xml:space="preserve">http://slimages.macys.com/is/image/MCY/20726216 </v>
      </c>
    </row>
    <row r="500" spans="1:14" ht="24.75" x14ac:dyDescent="0.25">
      <c r="A500" s="21" t="s">
        <v>10053</v>
      </c>
      <c r="B500" s="22" t="s">
        <v>10054</v>
      </c>
      <c r="C500" s="2">
        <v>1</v>
      </c>
      <c r="D500" s="23">
        <v>8.42</v>
      </c>
      <c r="E500" s="3">
        <v>8.42</v>
      </c>
      <c r="F500" s="2" t="s">
        <v>16460</v>
      </c>
      <c r="G500" s="22"/>
      <c r="H500" s="24" t="s">
        <v>19392</v>
      </c>
      <c r="I500" s="22" t="s">
        <v>19309</v>
      </c>
      <c r="J500" s="22" t="s">
        <v>19602</v>
      </c>
      <c r="K500" s="22" t="s">
        <v>20041</v>
      </c>
      <c r="L500" s="22"/>
      <c r="M500" s="22"/>
      <c r="N500" s="25" t="str">
        <f>HYPERLINK("http://slimages.macys.com/is/image/MCY/21722988 ")</f>
        <v xml:space="preserve">http://slimages.macys.com/is/image/MCY/21722988 </v>
      </c>
    </row>
    <row r="501" spans="1:14" ht="24.75" x14ac:dyDescent="0.25">
      <c r="A501" s="21" t="s">
        <v>3019</v>
      </c>
      <c r="B501" s="22" t="s">
        <v>3020</v>
      </c>
      <c r="C501" s="2">
        <v>1</v>
      </c>
      <c r="D501" s="23">
        <v>7.99</v>
      </c>
      <c r="E501" s="3">
        <v>7.99</v>
      </c>
      <c r="F501" s="2" t="s">
        <v>3021</v>
      </c>
      <c r="G501" s="22" t="s">
        <v>19351</v>
      </c>
      <c r="H501" s="24" t="s">
        <v>19907</v>
      </c>
      <c r="I501" s="22" t="s">
        <v>19309</v>
      </c>
      <c r="J501" s="22" t="s">
        <v>19454</v>
      </c>
      <c r="K501" s="22" t="s">
        <v>19524</v>
      </c>
      <c r="L501" s="22"/>
      <c r="M501" s="22"/>
      <c r="N501" s="25" t="str">
        <f>HYPERLINK("http://slimages.macys.com/is/image/MCY/21048856 ")</f>
        <v xml:space="preserve">http://slimages.macys.com/is/image/MCY/21048856 </v>
      </c>
    </row>
    <row r="502" spans="1:14" ht="24.75" x14ac:dyDescent="0.25">
      <c r="A502" s="21" t="s">
        <v>3022</v>
      </c>
      <c r="B502" s="22" t="s">
        <v>3023</v>
      </c>
      <c r="C502" s="2">
        <v>1</v>
      </c>
      <c r="D502" s="23">
        <v>7.99</v>
      </c>
      <c r="E502" s="3">
        <v>7.99</v>
      </c>
      <c r="F502" s="2" t="s">
        <v>3021</v>
      </c>
      <c r="G502" s="22" t="s">
        <v>19351</v>
      </c>
      <c r="H502" s="24" t="s">
        <v>19392</v>
      </c>
      <c r="I502" s="22" t="s">
        <v>19309</v>
      </c>
      <c r="J502" s="22" t="s">
        <v>19454</v>
      </c>
      <c r="K502" s="22" t="s">
        <v>19524</v>
      </c>
      <c r="L502" s="22"/>
      <c r="M502" s="22"/>
      <c r="N502" s="25" t="str">
        <f>HYPERLINK("http://slimages.macys.com/is/image/MCY/21048856 ")</f>
        <v xml:space="preserve">http://slimages.macys.com/is/image/MCY/21048856 </v>
      </c>
    </row>
    <row r="503" spans="1:14" ht="24.75" x14ac:dyDescent="0.25">
      <c r="A503" s="21" t="s">
        <v>3024</v>
      </c>
      <c r="B503" s="22" t="s">
        <v>3025</v>
      </c>
      <c r="C503" s="2">
        <v>1</v>
      </c>
      <c r="D503" s="23">
        <v>7.99</v>
      </c>
      <c r="E503" s="3">
        <v>7.99</v>
      </c>
      <c r="F503" s="2" t="s">
        <v>3021</v>
      </c>
      <c r="G503" s="22" t="s">
        <v>19351</v>
      </c>
      <c r="H503" s="24" t="s">
        <v>20135</v>
      </c>
      <c r="I503" s="22" t="s">
        <v>19309</v>
      </c>
      <c r="J503" s="22" t="s">
        <v>19454</v>
      </c>
      <c r="K503" s="22" t="s">
        <v>19524</v>
      </c>
      <c r="L503" s="22"/>
      <c r="M503" s="22"/>
      <c r="N503" s="25" t="str">
        <f>HYPERLINK("http://slimages.macys.com/is/image/MCY/21048856 ")</f>
        <v xml:space="preserve">http://slimages.macys.com/is/image/MCY/21048856 </v>
      </c>
    </row>
    <row r="504" spans="1:14" ht="24.75" x14ac:dyDescent="0.25">
      <c r="A504" s="21" t="s">
        <v>3026</v>
      </c>
      <c r="B504" s="22" t="s">
        <v>3027</v>
      </c>
      <c r="C504" s="2">
        <v>1</v>
      </c>
      <c r="D504" s="23">
        <v>7.99</v>
      </c>
      <c r="E504" s="3">
        <v>7.99</v>
      </c>
      <c r="F504" s="2" t="s">
        <v>3028</v>
      </c>
      <c r="G504" s="22" t="s">
        <v>19585</v>
      </c>
      <c r="H504" s="24" t="s">
        <v>20089</v>
      </c>
      <c r="I504" s="22" t="s">
        <v>19309</v>
      </c>
      <c r="J504" s="22" t="s">
        <v>19908</v>
      </c>
      <c r="K504" s="22" t="s">
        <v>19524</v>
      </c>
      <c r="L504" s="22"/>
      <c r="M504" s="22"/>
      <c r="N504" s="25" t="str">
        <f>HYPERLINK("http://slimages.macys.com/is/image/MCY/20691819 ")</f>
        <v xml:space="preserve">http://slimages.macys.com/is/image/MCY/20691819 </v>
      </c>
    </row>
    <row r="505" spans="1:14" ht="24.75" x14ac:dyDescent="0.25">
      <c r="A505" s="21" t="s">
        <v>7022</v>
      </c>
      <c r="B505" s="22" t="s">
        <v>7023</v>
      </c>
      <c r="C505" s="2">
        <v>1</v>
      </c>
      <c r="D505" s="23">
        <v>7.99</v>
      </c>
      <c r="E505" s="3">
        <v>7.99</v>
      </c>
      <c r="F505" s="2" t="s">
        <v>16906</v>
      </c>
      <c r="G505" s="22" t="s">
        <v>19906</v>
      </c>
      <c r="H505" s="24" t="s">
        <v>19907</v>
      </c>
      <c r="I505" s="22" t="s">
        <v>19309</v>
      </c>
      <c r="J505" s="22" t="s">
        <v>19908</v>
      </c>
      <c r="K505" s="22" t="s">
        <v>19524</v>
      </c>
      <c r="L505" s="22"/>
      <c r="M505" s="22"/>
      <c r="N505" s="25" t="str">
        <f>HYPERLINK("http://slimages.macys.com/is/image/MCY/21991517 ")</f>
        <v xml:space="preserve">http://slimages.macys.com/is/image/MCY/21991517 </v>
      </c>
    </row>
    <row r="506" spans="1:14" ht="24.75" x14ac:dyDescent="0.25">
      <c r="A506" s="21" t="s">
        <v>3029</v>
      </c>
      <c r="B506" s="22" t="s">
        <v>3030</v>
      </c>
      <c r="C506" s="2">
        <v>1</v>
      </c>
      <c r="D506" s="23">
        <v>7.99</v>
      </c>
      <c r="E506" s="3">
        <v>7.99</v>
      </c>
      <c r="F506" s="2" t="s">
        <v>18889</v>
      </c>
      <c r="G506" s="22" t="s">
        <v>19422</v>
      </c>
      <c r="H506" s="24" t="s">
        <v>20135</v>
      </c>
      <c r="I506" s="22" t="s">
        <v>19309</v>
      </c>
      <c r="J506" s="22" t="s">
        <v>19908</v>
      </c>
      <c r="K506" s="22" t="s">
        <v>19524</v>
      </c>
      <c r="L506" s="22"/>
      <c r="M506" s="22"/>
      <c r="N506" s="25" t="str">
        <f>HYPERLINK("http://slimages.macys.com/is/image/MCY/1414247 ")</f>
        <v xml:space="preserve">http://slimages.macys.com/is/image/MCY/1414247 </v>
      </c>
    </row>
    <row r="507" spans="1:14" x14ac:dyDescent="0.25">
      <c r="A507" s="21" t="s">
        <v>14644</v>
      </c>
      <c r="B507" s="22" t="s">
        <v>14645</v>
      </c>
      <c r="C507" s="2">
        <v>5</v>
      </c>
      <c r="D507" s="23">
        <v>11.99</v>
      </c>
      <c r="E507" s="3">
        <v>59.95</v>
      </c>
      <c r="F507" s="2" t="s">
        <v>14643</v>
      </c>
      <c r="G507" s="22" t="s">
        <v>19513</v>
      </c>
      <c r="H507" s="24" t="s">
        <v>19364</v>
      </c>
      <c r="I507" s="22" t="s">
        <v>19309</v>
      </c>
      <c r="J507" s="22" t="s">
        <v>19849</v>
      </c>
      <c r="K507" s="22" t="s">
        <v>19850</v>
      </c>
      <c r="L507" s="22"/>
      <c r="M507" s="22"/>
      <c r="N507" s="25" t="str">
        <f>HYPERLINK("http://slimages.macys.com/is/image/MCY/21278245 ")</f>
        <v xml:space="preserve">http://slimages.macys.com/is/image/MCY/21278245 </v>
      </c>
    </row>
    <row r="508" spans="1:14" x14ac:dyDescent="0.25">
      <c r="A508" s="21" t="s">
        <v>14646</v>
      </c>
      <c r="B508" s="22" t="s">
        <v>14647</v>
      </c>
      <c r="C508" s="2">
        <v>1</v>
      </c>
      <c r="D508" s="23">
        <v>11.99</v>
      </c>
      <c r="E508" s="3">
        <v>11.99</v>
      </c>
      <c r="F508" s="2" t="s">
        <v>14643</v>
      </c>
      <c r="G508" s="22" t="s">
        <v>19513</v>
      </c>
      <c r="H508" s="24" t="s">
        <v>19797</v>
      </c>
      <c r="I508" s="22" t="s">
        <v>19309</v>
      </c>
      <c r="J508" s="22" t="s">
        <v>19849</v>
      </c>
      <c r="K508" s="22" t="s">
        <v>19850</v>
      </c>
      <c r="L508" s="22"/>
      <c r="M508" s="22"/>
      <c r="N508" s="25" t="str">
        <f>HYPERLINK("http://slimages.macys.com/is/image/MCY/21278245 ")</f>
        <v xml:space="preserve">http://slimages.macys.com/is/image/MCY/21278245 </v>
      </c>
    </row>
    <row r="509" spans="1:14" x14ac:dyDescent="0.25">
      <c r="A509" s="21" t="s">
        <v>14641</v>
      </c>
      <c r="B509" s="22" t="s">
        <v>14642</v>
      </c>
      <c r="C509" s="2">
        <v>4</v>
      </c>
      <c r="D509" s="23">
        <v>11.99</v>
      </c>
      <c r="E509" s="3">
        <v>47.96</v>
      </c>
      <c r="F509" s="2" t="s">
        <v>14643</v>
      </c>
      <c r="G509" s="22" t="s">
        <v>19513</v>
      </c>
      <c r="H509" s="24" t="s">
        <v>19352</v>
      </c>
      <c r="I509" s="22" t="s">
        <v>19309</v>
      </c>
      <c r="J509" s="22" t="s">
        <v>19849</v>
      </c>
      <c r="K509" s="22" t="s">
        <v>19850</v>
      </c>
      <c r="L509" s="22"/>
      <c r="M509" s="22"/>
      <c r="N509" s="25" t="str">
        <f>HYPERLINK("http://slimages.macys.com/is/image/MCY/21278245 ")</f>
        <v xml:space="preserve">http://slimages.macys.com/is/image/MCY/21278245 </v>
      </c>
    </row>
    <row r="510" spans="1:14" x14ac:dyDescent="0.25">
      <c r="A510" s="21" t="s">
        <v>14648</v>
      </c>
      <c r="B510" s="22" t="s">
        <v>14649</v>
      </c>
      <c r="C510" s="2">
        <v>1</v>
      </c>
      <c r="D510" s="23">
        <v>11.99</v>
      </c>
      <c r="E510" s="3">
        <v>11.99</v>
      </c>
      <c r="F510" s="2" t="s">
        <v>14643</v>
      </c>
      <c r="G510" s="22" t="s">
        <v>19513</v>
      </c>
      <c r="H510" s="24" t="s">
        <v>19339</v>
      </c>
      <c r="I510" s="22" t="s">
        <v>19309</v>
      </c>
      <c r="J510" s="22" t="s">
        <v>19849</v>
      </c>
      <c r="K510" s="22" t="s">
        <v>19850</v>
      </c>
      <c r="L510" s="22"/>
      <c r="M510" s="22"/>
      <c r="N510" s="25" t="str">
        <f>HYPERLINK("http://slimages.macys.com/is/image/MCY/21278245 ")</f>
        <v xml:space="preserve">http://slimages.macys.com/is/image/MCY/21278245 </v>
      </c>
    </row>
    <row r="511" spans="1:14" x14ac:dyDescent="0.25">
      <c r="A511" s="21" t="s">
        <v>3031</v>
      </c>
      <c r="B511" s="22" t="s">
        <v>3032</v>
      </c>
      <c r="C511" s="2">
        <v>1</v>
      </c>
      <c r="D511" s="23">
        <v>9.99</v>
      </c>
      <c r="E511" s="3">
        <v>9.99</v>
      </c>
      <c r="F511" s="2" t="s">
        <v>3033</v>
      </c>
      <c r="G511" s="22" t="s">
        <v>19674</v>
      </c>
      <c r="H511" s="24" t="s">
        <v>19377</v>
      </c>
      <c r="I511" s="22" t="s">
        <v>19309</v>
      </c>
      <c r="J511" s="22" t="s">
        <v>19849</v>
      </c>
      <c r="K511" s="22" t="s">
        <v>3034</v>
      </c>
      <c r="L511" s="22"/>
      <c r="M511" s="22"/>
      <c r="N511" s="25" t="str">
        <f>HYPERLINK("http://slimages.macys.com/is/image/MCY/17899410 ")</f>
        <v xml:space="preserve">http://slimages.macys.com/is/image/MCY/17899410 </v>
      </c>
    </row>
    <row r="512" spans="1:14" ht="24.75" x14ac:dyDescent="0.25">
      <c r="A512" s="21" t="s">
        <v>3035</v>
      </c>
      <c r="B512" s="22" t="s">
        <v>3036</v>
      </c>
      <c r="C512" s="2">
        <v>1</v>
      </c>
      <c r="D512" s="23">
        <v>7.99</v>
      </c>
      <c r="E512" s="3">
        <v>7.99</v>
      </c>
      <c r="F512" s="2" t="s">
        <v>3037</v>
      </c>
      <c r="G512" s="22" t="s">
        <v>19618</v>
      </c>
      <c r="H512" s="24" t="s">
        <v>19907</v>
      </c>
      <c r="I512" s="22" t="s">
        <v>19309</v>
      </c>
      <c r="J512" s="22" t="s">
        <v>19573</v>
      </c>
      <c r="K512" s="22" t="s">
        <v>19574</v>
      </c>
      <c r="L512" s="22"/>
      <c r="M512" s="22"/>
      <c r="N512" s="25" t="str">
        <f>HYPERLINK("http://slimages.macys.com/is/image/MCY/876675 ")</f>
        <v xml:space="preserve">http://slimages.macys.com/is/image/MCY/876675 </v>
      </c>
    </row>
    <row r="513" spans="1:14" ht="24.75" x14ac:dyDescent="0.25">
      <c r="A513" s="21" t="s">
        <v>3038</v>
      </c>
      <c r="B513" s="22" t="s">
        <v>3039</v>
      </c>
      <c r="C513" s="2">
        <v>1</v>
      </c>
      <c r="D513" s="23">
        <v>7.99</v>
      </c>
      <c r="E513" s="3">
        <v>7.99</v>
      </c>
      <c r="F513" s="2" t="s">
        <v>3040</v>
      </c>
      <c r="G513" s="22" t="s">
        <v>19879</v>
      </c>
      <c r="H513" s="24" t="s">
        <v>19377</v>
      </c>
      <c r="I513" s="22" t="s">
        <v>19309</v>
      </c>
      <c r="J513" s="22" t="s">
        <v>19908</v>
      </c>
      <c r="K513" s="22" t="s">
        <v>19524</v>
      </c>
      <c r="L513" s="22"/>
      <c r="M513" s="22"/>
      <c r="N513" s="25" t="str">
        <f>HYPERLINK("http://slimages.macys.com/is/image/MCY/20819642 ")</f>
        <v xml:space="preserve">http://slimages.macys.com/is/image/MCY/20819642 </v>
      </c>
    </row>
    <row r="514" spans="1:14" ht="24.75" x14ac:dyDescent="0.25">
      <c r="A514" s="21" t="s">
        <v>3041</v>
      </c>
      <c r="B514" s="22" t="s">
        <v>3042</v>
      </c>
      <c r="C514" s="2">
        <v>1</v>
      </c>
      <c r="D514" s="23">
        <v>7.99</v>
      </c>
      <c r="E514" s="3">
        <v>7.99</v>
      </c>
      <c r="F514" s="2" t="s">
        <v>7886</v>
      </c>
      <c r="G514" s="22" t="s">
        <v>19338</v>
      </c>
      <c r="H514" s="24" t="s">
        <v>19542</v>
      </c>
      <c r="I514" s="22" t="s">
        <v>19309</v>
      </c>
      <c r="J514" s="22" t="s">
        <v>19908</v>
      </c>
      <c r="K514" s="22" t="s">
        <v>19524</v>
      </c>
      <c r="L514" s="22"/>
      <c r="M514" s="22"/>
      <c r="N514" s="25" t="str">
        <f>HYPERLINK("http://slimages.macys.com/is/image/MCY/1092107 ")</f>
        <v xml:space="preserve">http://slimages.macys.com/is/image/MCY/1092107 </v>
      </c>
    </row>
    <row r="515" spans="1:14" ht="24.75" x14ac:dyDescent="0.25">
      <c r="A515" s="21" t="s">
        <v>3043</v>
      </c>
      <c r="B515" s="22" t="s">
        <v>3044</v>
      </c>
      <c r="C515" s="2">
        <v>1</v>
      </c>
      <c r="D515" s="23">
        <v>7.99</v>
      </c>
      <c r="E515" s="3">
        <v>7.99</v>
      </c>
      <c r="F515" s="2" t="s">
        <v>7894</v>
      </c>
      <c r="G515" s="22" t="s">
        <v>19477</v>
      </c>
      <c r="H515" s="24" t="s">
        <v>19377</v>
      </c>
      <c r="I515" s="22" t="s">
        <v>19309</v>
      </c>
      <c r="J515" s="22" t="s">
        <v>19908</v>
      </c>
      <c r="K515" s="22" t="s">
        <v>19524</v>
      </c>
      <c r="L515" s="22"/>
      <c r="M515" s="22"/>
      <c r="N515" s="25" t="str">
        <f>HYPERLINK("http://slimages.macys.com/is/image/MCY/20691807 ")</f>
        <v xml:space="preserve">http://slimages.macys.com/is/image/MCY/20691807 </v>
      </c>
    </row>
    <row r="516" spans="1:14" ht="24.75" x14ac:dyDescent="0.25">
      <c r="A516" s="21" t="s">
        <v>3045</v>
      </c>
      <c r="B516" s="22" t="s">
        <v>3046</v>
      </c>
      <c r="C516" s="2">
        <v>1</v>
      </c>
      <c r="D516" s="23">
        <v>18.11</v>
      </c>
      <c r="E516" s="3">
        <v>18.11</v>
      </c>
      <c r="F516" s="2" t="s">
        <v>7894</v>
      </c>
      <c r="G516" s="22" t="s">
        <v>19477</v>
      </c>
      <c r="H516" s="24" t="s">
        <v>20135</v>
      </c>
      <c r="I516" s="22" t="s">
        <v>19309</v>
      </c>
      <c r="J516" s="22" t="s">
        <v>19908</v>
      </c>
      <c r="K516" s="22" t="s">
        <v>19524</v>
      </c>
      <c r="L516" s="22"/>
      <c r="M516" s="22"/>
      <c r="N516" s="25" t="str">
        <f>HYPERLINK("http://slimages.macys.com/is/image/MCY/1122580 ")</f>
        <v xml:space="preserve">http://slimages.macys.com/is/image/MCY/1122580 </v>
      </c>
    </row>
    <row r="517" spans="1:14" ht="24.75" x14ac:dyDescent="0.25">
      <c r="A517" s="21" t="s">
        <v>7048</v>
      </c>
      <c r="B517" s="22" t="s">
        <v>7049</v>
      </c>
      <c r="C517" s="2">
        <v>1</v>
      </c>
      <c r="D517" s="23">
        <v>7.99</v>
      </c>
      <c r="E517" s="3">
        <v>7.99</v>
      </c>
      <c r="F517" s="2" t="s">
        <v>18943</v>
      </c>
      <c r="G517" s="22" t="s">
        <v>19431</v>
      </c>
      <c r="H517" s="24" t="s">
        <v>19361</v>
      </c>
      <c r="I517" s="22" t="s">
        <v>19309</v>
      </c>
      <c r="J517" s="22" t="s">
        <v>19908</v>
      </c>
      <c r="K517" s="22" t="s">
        <v>19524</v>
      </c>
      <c r="L517" s="22"/>
      <c r="M517" s="22"/>
      <c r="N517" s="25" t="str">
        <f>HYPERLINK("http://slimages.macys.com/is/image/MCY/22163970 ")</f>
        <v xml:space="preserve">http://slimages.macys.com/is/image/MCY/22163970 </v>
      </c>
    </row>
    <row r="518" spans="1:14" ht="24.75" x14ac:dyDescent="0.25">
      <c r="A518" s="21" t="s">
        <v>7063</v>
      </c>
      <c r="B518" s="22" t="s">
        <v>7064</v>
      </c>
      <c r="C518" s="2">
        <v>1</v>
      </c>
      <c r="D518" s="23">
        <v>18.11</v>
      </c>
      <c r="E518" s="3">
        <v>18.11</v>
      </c>
      <c r="F518" s="2" t="s">
        <v>18935</v>
      </c>
      <c r="G518" s="22" t="s">
        <v>19814</v>
      </c>
      <c r="H518" s="24" t="s">
        <v>19542</v>
      </c>
      <c r="I518" s="22" t="s">
        <v>19309</v>
      </c>
      <c r="J518" s="22" t="s">
        <v>19908</v>
      </c>
      <c r="K518" s="22" t="s">
        <v>19524</v>
      </c>
      <c r="L518" s="22"/>
      <c r="M518" s="22"/>
      <c r="N518" s="25" t="str">
        <f>HYPERLINK("http://slimages.macys.com/is/image/MCY/21070276 ")</f>
        <v xml:space="preserve">http://slimages.macys.com/is/image/MCY/21070276 </v>
      </c>
    </row>
    <row r="519" spans="1:14" ht="24.75" x14ac:dyDescent="0.25">
      <c r="A519" s="21" t="s">
        <v>18922</v>
      </c>
      <c r="B519" s="22" t="s">
        <v>18923</v>
      </c>
      <c r="C519" s="2">
        <v>1</v>
      </c>
      <c r="D519" s="23">
        <v>7.99</v>
      </c>
      <c r="E519" s="3">
        <v>7.99</v>
      </c>
      <c r="F519" s="2" t="s">
        <v>18924</v>
      </c>
      <c r="G519" s="22" t="s">
        <v>19674</v>
      </c>
      <c r="H519" s="24" t="s">
        <v>19361</v>
      </c>
      <c r="I519" s="22" t="s">
        <v>19309</v>
      </c>
      <c r="J519" s="22" t="s">
        <v>19908</v>
      </c>
      <c r="K519" s="22" t="s">
        <v>19524</v>
      </c>
      <c r="L519" s="22"/>
      <c r="M519" s="22"/>
      <c r="N519" s="25" t="str">
        <f>HYPERLINK("http://slimages.macys.com/is/image/MCY/21070271 ")</f>
        <v xml:space="preserve">http://slimages.macys.com/is/image/MCY/21070271 </v>
      </c>
    </row>
    <row r="520" spans="1:14" ht="24.75" x14ac:dyDescent="0.25">
      <c r="A520" s="21" t="s">
        <v>6148</v>
      </c>
      <c r="B520" s="22" t="s">
        <v>6149</v>
      </c>
      <c r="C520" s="2">
        <v>1</v>
      </c>
      <c r="D520" s="23">
        <v>7.99</v>
      </c>
      <c r="E520" s="3">
        <v>7.99</v>
      </c>
      <c r="F520" s="2" t="s">
        <v>16949</v>
      </c>
      <c r="G520" s="22" t="s">
        <v>19351</v>
      </c>
      <c r="H520" s="24" t="s">
        <v>20089</v>
      </c>
      <c r="I520" s="22" t="s">
        <v>19309</v>
      </c>
      <c r="J520" s="22" t="s">
        <v>19908</v>
      </c>
      <c r="K520" s="22" t="s">
        <v>19524</v>
      </c>
      <c r="L520" s="22"/>
      <c r="M520" s="22"/>
      <c r="N520" s="25" t="str">
        <f>HYPERLINK("http://slimages.macys.com/is/image/MCY/21243386 ")</f>
        <v xml:space="preserve">http://slimages.macys.com/is/image/MCY/21243386 </v>
      </c>
    </row>
    <row r="521" spans="1:14" ht="24.75" x14ac:dyDescent="0.25">
      <c r="A521" s="21" t="s">
        <v>3047</v>
      </c>
      <c r="B521" s="22" t="s">
        <v>3048</v>
      </c>
      <c r="C521" s="2">
        <v>1</v>
      </c>
      <c r="D521" s="23">
        <v>7.99</v>
      </c>
      <c r="E521" s="3">
        <v>7.99</v>
      </c>
      <c r="F521" s="2" t="s">
        <v>16942</v>
      </c>
      <c r="G521" s="22" t="s">
        <v>19674</v>
      </c>
      <c r="H521" s="24" t="s">
        <v>20089</v>
      </c>
      <c r="I521" s="22" t="s">
        <v>19309</v>
      </c>
      <c r="J521" s="22" t="s">
        <v>19908</v>
      </c>
      <c r="K521" s="22" t="s">
        <v>19524</v>
      </c>
      <c r="L521" s="22"/>
      <c r="M521" s="22"/>
      <c r="N521" s="25" t="str">
        <f>HYPERLINK("http://slimages.macys.com/is/image/MCY/21572442 ")</f>
        <v xml:space="preserve">http://slimages.macys.com/is/image/MCY/21572442 </v>
      </c>
    </row>
    <row r="522" spans="1:14" ht="24.75" x14ac:dyDescent="0.25">
      <c r="A522" s="21" t="s">
        <v>3049</v>
      </c>
      <c r="B522" s="22" t="s">
        <v>3050</v>
      </c>
      <c r="C522" s="2">
        <v>1</v>
      </c>
      <c r="D522" s="23">
        <v>7.99</v>
      </c>
      <c r="E522" s="3">
        <v>7.99</v>
      </c>
      <c r="F522" s="2" t="s">
        <v>3051</v>
      </c>
      <c r="G522" s="22" t="s">
        <v>19594</v>
      </c>
      <c r="H522" s="24" t="s">
        <v>19542</v>
      </c>
      <c r="I522" s="22" t="s">
        <v>19309</v>
      </c>
      <c r="J522" s="22" t="s">
        <v>19908</v>
      </c>
      <c r="K522" s="22" t="s">
        <v>19524</v>
      </c>
      <c r="L522" s="22"/>
      <c r="M522" s="22"/>
      <c r="N522" s="25" t="str">
        <f>HYPERLINK("http://slimages.macys.com/is/image/MCY/19072839 ")</f>
        <v xml:space="preserve">http://slimages.macys.com/is/image/MCY/19072839 </v>
      </c>
    </row>
    <row r="523" spans="1:14" ht="24.75" x14ac:dyDescent="0.25">
      <c r="A523" s="21" t="s">
        <v>3052</v>
      </c>
      <c r="B523" s="22" t="s">
        <v>3053</v>
      </c>
      <c r="C523" s="2">
        <v>1</v>
      </c>
      <c r="D523" s="23">
        <v>7.99</v>
      </c>
      <c r="E523" s="3">
        <v>7.99</v>
      </c>
      <c r="F523" s="2" t="s">
        <v>3054</v>
      </c>
      <c r="G523" s="22" t="s">
        <v>19618</v>
      </c>
      <c r="H523" s="24" t="s">
        <v>19542</v>
      </c>
      <c r="I523" s="22" t="s">
        <v>19309</v>
      </c>
      <c r="J523" s="22" t="s">
        <v>19908</v>
      </c>
      <c r="K523" s="22" t="s">
        <v>19524</v>
      </c>
      <c r="L523" s="22"/>
      <c r="M523" s="22"/>
      <c r="N523" s="25" t="str">
        <f>HYPERLINK("http://slimages.macys.com/is/image/MCY/19072836 ")</f>
        <v xml:space="preserve">http://slimages.macys.com/is/image/MCY/19072836 </v>
      </c>
    </row>
    <row r="524" spans="1:14" ht="24.75" x14ac:dyDescent="0.25">
      <c r="A524" s="21" t="s">
        <v>9173</v>
      </c>
      <c r="B524" s="22" t="s">
        <v>9174</v>
      </c>
      <c r="C524" s="2">
        <v>1</v>
      </c>
      <c r="D524" s="23">
        <v>7.99</v>
      </c>
      <c r="E524" s="3">
        <v>7.99</v>
      </c>
      <c r="F524" s="2" t="s">
        <v>16958</v>
      </c>
      <c r="G524" s="22" t="s">
        <v>19338</v>
      </c>
      <c r="H524" s="24" t="s">
        <v>19542</v>
      </c>
      <c r="I524" s="22" t="s">
        <v>19309</v>
      </c>
      <c r="J524" s="22" t="s">
        <v>19454</v>
      </c>
      <c r="K524" s="22" t="s">
        <v>19524</v>
      </c>
      <c r="L524" s="22"/>
      <c r="M524" s="22"/>
      <c r="N524" s="25" t="str">
        <f>HYPERLINK("http://slimages.macys.com/is/image/MCY/20669887 ")</f>
        <v xml:space="preserve">http://slimages.macys.com/is/image/MCY/20669887 </v>
      </c>
    </row>
    <row r="525" spans="1:14" ht="24.75" x14ac:dyDescent="0.25">
      <c r="A525" s="21" t="s">
        <v>3055</v>
      </c>
      <c r="B525" s="22" t="s">
        <v>3056</v>
      </c>
      <c r="C525" s="2">
        <v>1</v>
      </c>
      <c r="D525" s="23">
        <v>7.99</v>
      </c>
      <c r="E525" s="3">
        <v>7.99</v>
      </c>
      <c r="F525" s="2" t="s">
        <v>9177</v>
      </c>
      <c r="G525" s="22" t="s">
        <v>18439</v>
      </c>
      <c r="H525" s="24" t="s">
        <v>19542</v>
      </c>
      <c r="I525" s="22" t="s">
        <v>19309</v>
      </c>
      <c r="J525" s="22" t="s">
        <v>19454</v>
      </c>
      <c r="K525" s="22" t="s">
        <v>19524</v>
      </c>
      <c r="L525" s="22"/>
      <c r="M525" s="22"/>
      <c r="N525" s="25" t="str">
        <f>HYPERLINK("http://slimages.macys.com/is/image/MCY/20441355 ")</f>
        <v xml:space="preserve">http://slimages.macys.com/is/image/MCY/20441355 </v>
      </c>
    </row>
    <row r="526" spans="1:14" ht="24.75" x14ac:dyDescent="0.25">
      <c r="A526" s="21" t="s">
        <v>3057</v>
      </c>
      <c r="B526" s="22" t="s">
        <v>3058</v>
      </c>
      <c r="C526" s="2">
        <v>1</v>
      </c>
      <c r="D526" s="23">
        <v>7.99</v>
      </c>
      <c r="E526" s="3">
        <v>7.99</v>
      </c>
      <c r="F526" s="2" t="s">
        <v>16958</v>
      </c>
      <c r="G526" s="22" t="s">
        <v>19338</v>
      </c>
      <c r="H526" s="24" t="s">
        <v>19432</v>
      </c>
      <c r="I526" s="22" t="s">
        <v>19309</v>
      </c>
      <c r="J526" s="22" t="s">
        <v>19454</v>
      </c>
      <c r="K526" s="22" t="s">
        <v>19524</v>
      </c>
      <c r="L526" s="22"/>
      <c r="M526" s="22"/>
      <c r="N526" s="25" t="str">
        <f>HYPERLINK("http://slimages.macys.com/is/image/MCY/20669887 ")</f>
        <v xml:space="preserve">http://slimages.macys.com/is/image/MCY/20669887 </v>
      </c>
    </row>
    <row r="527" spans="1:14" ht="24.75" x14ac:dyDescent="0.25">
      <c r="A527" s="21" t="s">
        <v>3059</v>
      </c>
      <c r="B527" s="22" t="s">
        <v>3060</v>
      </c>
      <c r="C527" s="2">
        <v>1</v>
      </c>
      <c r="D527" s="23">
        <v>7.99</v>
      </c>
      <c r="E527" s="3">
        <v>7.99</v>
      </c>
      <c r="F527" s="2" t="s">
        <v>16958</v>
      </c>
      <c r="G527" s="22" t="s">
        <v>19338</v>
      </c>
      <c r="H527" s="24" t="s">
        <v>19392</v>
      </c>
      <c r="I527" s="22" t="s">
        <v>19309</v>
      </c>
      <c r="J527" s="22" t="s">
        <v>19454</v>
      </c>
      <c r="K527" s="22" t="s">
        <v>19524</v>
      </c>
      <c r="L527" s="22"/>
      <c r="M527" s="22"/>
      <c r="N527" s="25" t="str">
        <f>HYPERLINK("http://slimages.macys.com/is/image/MCY/20665870 ")</f>
        <v xml:space="preserve">http://slimages.macys.com/is/image/MCY/20665870 </v>
      </c>
    </row>
    <row r="528" spans="1:14" ht="24.75" x14ac:dyDescent="0.25">
      <c r="A528" s="21" t="s">
        <v>3061</v>
      </c>
      <c r="B528" s="22" t="s">
        <v>3062</v>
      </c>
      <c r="C528" s="2">
        <v>1</v>
      </c>
      <c r="D528" s="23">
        <v>7.99</v>
      </c>
      <c r="E528" s="3">
        <v>7.99</v>
      </c>
      <c r="F528" s="2" t="s">
        <v>9177</v>
      </c>
      <c r="G528" s="22" t="s">
        <v>18439</v>
      </c>
      <c r="H528" s="24" t="s">
        <v>19432</v>
      </c>
      <c r="I528" s="22" t="s">
        <v>19309</v>
      </c>
      <c r="J528" s="22" t="s">
        <v>19454</v>
      </c>
      <c r="K528" s="22" t="s">
        <v>19524</v>
      </c>
      <c r="L528" s="22"/>
      <c r="M528" s="22"/>
      <c r="N528" s="25" t="str">
        <f>HYPERLINK("http://slimages.macys.com/is/image/MCY/20441355 ")</f>
        <v xml:space="preserve">http://slimages.macys.com/is/image/MCY/20441355 </v>
      </c>
    </row>
    <row r="529" spans="1:14" ht="24.75" x14ac:dyDescent="0.25">
      <c r="A529" s="21" t="s">
        <v>3063</v>
      </c>
      <c r="B529" s="22" t="s">
        <v>3064</v>
      </c>
      <c r="C529" s="2">
        <v>1</v>
      </c>
      <c r="D529" s="23">
        <v>7.99</v>
      </c>
      <c r="E529" s="3">
        <v>7.99</v>
      </c>
      <c r="F529" s="2" t="s">
        <v>3065</v>
      </c>
      <c r="G529" s="22" t="s">
        <v>19518</v>
      </c>
      <c r="H529" s="24" t="s">
        <v>19542</v>
      </c>
      <c r="I529" s="22" t="s">
        <v>19309</v>
      </c>
      <c r="J529" s="22" t="s">
        <v>19454</v>
      </c>
      <c r="K529" s="22" t="s">
        <v>19524</v>
      </c>
      <c r="L529" s="22"/>
      <c r="M529" s="22"/>
      <c r="N529" s="25" t="str">
        <f>HYPERLINK("http://slimages.macys.com/is/image/MCY/19844207 ")</f>
        <v xml:space="preserve">http://slimages.macys.com/is/image/MCY/19844207 </v>
      </c>
    </row>
    <row r="530" spans="1:14" ht="24.75" x14ac:dyDescent="0.25">
      <c r="A530" s="21" t="s">
        <v>3066</v>
      </c>
      <c r="B530" s="22" t="s">
        <v>3067</v>
      </c>
      <c r="C530" s="2">
        <v>1</v>
      </c>
      <c r="D530" s="23">
        <v>7.99</v>
      </c>
      <c r="E530" s="3">
        <v>7.99</v>
      </c>
      <c r="F530" s="2" t="s">
        <v>3068</v>
      </c>
      <c r="G530" s="22" t="s">
        <v>19713</v>
      </c>
      <c r="H530" s="24" t="s">
        <v>19542</v>
      </c>
      <c r="I530" s="22" t="s">
        <v>19309</v>
      </c>
      <c r="J530" s="22" t="s">
        <v>19454</v>
      </c>
      <c r="K530" s="22" t="s">
        <v>19524</v>
      </c>
      <c r="L530" s="22"/>
      <c r="M530" s="22"/>
      <c r="N530" s="25" t="str">
        <f>HYPERLINK("http://slimages.macys.com/is/image/MCY/19844157 ")</f>
        <v xml:space="preserve">http://slimages.macys.com/is/image/MCY/19844157 </v>
      </c>
    </row>
    <row r="531" spans="1:14" ht="24.75" x14ac:dyDescent="0.25">
      <c r="A531" s="21" t="s">
        <v>3069</v>
      </c>
      <c r="B531" s="22" t="s">
        <v>3070</v>
      </c>
      <c r="C531" s="2">
        <v>1</v>
      </c>
      <c r="D531" s="23">
        <v>6.99</v>
      </c>
      <c r="E531" s="3">
        <v>6.99</v>
      </c>
      <c r="F531" s="2" t="s">
        <v>7069</v>
      </c>
      <c r="G531" s="22" t="s">
        <v>19431</v>
      </c>
      <c r="H531" s="24" t="s">
        <v>19324</v>
      </c>
      <c r="I531" s="22" t="s">
        <v>19309</v>
      </c>
      <c r="J531" s="22" t="s">
        <v>19573</v>
      </c>
      <c r="K531" s="22" t="s">
        <v>19574</v>
      </c>
      <c r="L531" s="22"/>
      <c r="M531" s="22"/>
      <c r="N531" s="25" t="str">
        <f>HYPERLINK("http://slimages.macys.com/is/image/MCY/19977832 ")</f>
        <v xml:space="preserve">http://slimages.macys.com/is/image/MCY/19977832 </v>
      </c>
    </row>
    <row r="532" spans="1:14" x14ac:dyDescent="0.25">
      <c r="A532" s="21" t="s">
        <v>16967</v>
      </c>
      <c r="B532" s="22" t="s">
        <v>16968</v>
      </c>
      <c r="C532" s="2">
        <v>1</v>
      </c>
      <c r="D532" s="23">
        <v>7.99</v>
      </c>
      <c r="E532" s="3">
        <v>7.99</v>
      </c>
      <c r="F532" s="2" t="s">
        <v>16840</v>
      </c>
      <c r="G532" s="22" t="s">
        <v>19467</v>
      </c>
      <c r="H532" s="24" t="s">
        <v>19361</v>
      </c>
      <c r="I532" s="22" t="s">
        <v>19309</v>
      </c>
      <c r="J532" s="22" t="s">
        <v>19849</v>
      </c>
      <c r="K532" s="22" t="s">
        <v>19850</v>
      </c>
      <c r="L532" s="22"/>
      <c r="M532" s="22"/>
      <c r="N532" s="25" t="str">
        <f>HYPERLINK("http://slimages.macys.com/is/image/MCY/19068277 ")</f>
        <v xml:space="preserve">http://slimages.macys.com/is/image/MCY/19068277 </v>
      </c>
    </row>
    <row r="533" spans="1:14" x14ac:dyDescent="0.25">
      <c r="A533" s="21" t="s">
        <v>6171</v>
      </c>
      <c r="B533" s="22" t="s">
        <v>6172</v>
      </c>
      <c r="C533" s="2">
        <v>3</v>
      </c>
      <c r="D533" s="23">
        <v>7.99</v>
      </c>
      <c r="E533" s="3">
        <v>23.97</v>
      </c>
      <c r="F533" s="2" t="s">
        <v>16840</v>
      </c>
      <c r="G533" s="22" t="s">
        <v>19674</v>
      </c>
      <c r="H533" s="24" t="s">
        <v>20089</v>
      </c>
      <c r="I533" s="22" t="s">
        <v>19309</v>
      </c>
      <c r="J533" s="22" t="s">
        <v>19849</v>
      </c>
      <c r="K533" s="22" t="s">
        <v>19850</v>
      </c>
      <c r="L533" s="22"/>
      <c r="M533" s="22"/>
      <c r="N533" s="25" t="str">
        <f>HYPERLINK("http://slimages.macys.com/is/image/MCY/19068277 ")</f>
        <v xml:space="preserve">http://slimages.macys.com/is/image/MCY/19068277 </v>
      </c>
    </row>
    <row r="534" spans="1:14" x14ac:dyDescent="0.25">
      <c r="A534" s="21" t="s">
        <v>10074</v>
      </c>
      <c r="B534" s="22" t="s">
        <v>10075</v>
      </c>
      <c r="C534" s="2">
        <v>1</v>
      </c>
      <c r="D534" s="23">
        <v>7.99</v>
      </c>
      <c r="E534" s="3">
        <v>7.99</v>
      </c>
      <c r="F534" s="2" t="s">
        <v>16840</v>
      </c>
      <c r="G534" s="22" t="s">
        <v>19674</v>
      </c>
      <c r="H534" s="24" t="s">
        <v>19377</v>
      </c>
      <c r="I534" s="22" t="s">
        <v>19309</v>
      </c>
      <c r="J534" s="22" t="s">
        <v>19849</v>
      </c>
      <c r="K534" s="22" t="s">
        <v>19850</v>
      </c>
      <c r="L534" s="22"/>
      <c r="M534" s="22"/>
      <c r="N534" s="25" t="str">
        <f>HYPERLINK("http://slimages.macys.com/is/image/MCY/19068277 ")</f>
        <v xml:space="preserve">http://slimages.macys.com/is/image/MCY/19068277 </v>
      </c>
    </row>
    <row r="535" spans="1:14" ht="24.75" x14ac:dyDescent="0.25">
      <c r="A535" s="21" t="s">
        <v>3071</v>
      </c>
      <c r="B535" s="22" t="s">
        <v>3072</v>
      </c>
      <c r="C535" s="2">
        <v>1</v>
      </c>
      <c r="D535" s="23">
        <v>5.99</v>
      </c>
      <c r="E535" s="3">
        <v>5.99</v>
      </c>
      <c r="F535" s="2" t="s">
        <v>16840</v>
      </c>
      <c r="G535" s="22" t="s">
        <v>19955</v>
      </c>
      <c r="H535" s="24" t="s">
        <v>19542</v>
      </c>
      <c r="I535" s="22" t="s">
        <v>19309</v>
      </c>
      <c r="J535" s="22" t="s">
        <v>19849</v>
      </c>
      <c r="K535" s="22" t="s">
        <v>19850</v>
      </c>
      <c r="L535" s="22"/>
      <c r="M535" s="22"/>
      <c r="N535" s="25" t="str">
        <f>HYPERLINK("http://slimages.macys.com/is/image/MCY/19068277 ")</f>
        <v xml:space="preserve">http://slimages.macys.com/is/image/MCY/19068277 </v>
      </c>
    </row>
    <row r="536" spans="1:14" ht="24.75" x14ac:dyDescent="0.25">
      <c r="A536" s="21" t="s">
        <v>3073</v>
      </c>
      <c r="B536" s="22" t="s">
        <v>3074</v>
      </c>
      <c r="C536" s="2">
        <v>1</v>
      </c>
      <c r="D536" s="23">
        <v>7.99</v>
      </c>
      <c r="E536" s="3">
        <v>7.99</v>
      </c>
      <c r="F536" s="2" t="s">
        <v>3075</v>
      </c>
      <c r="G536" s="22" t="s">
        <v>19422</v>
      </c>
      <c r="H536" s="24" t="s">
        <v>20135</v>
      </c>
      <c r="I536" s="22" t="s">
        <v>19309</v>
      </c>
      <c r="J536" s="22" t="s">
        <v>19908</v>
      </c>
      <c r="K536" s="22" t="s">
        <v>19524</v>
      </c>
      <c r="L536" s="22"/>
      <c r="M536" s="22"/>
      <c r="N536" s="25" t="str">
        <f>HYPERLINK("http://slimages.macys.com/is/image/MCY/19635553 ")</f>
        <v xml:space="preserve">http://slimages.macys.com/is/image/MCY/19635553 </v>
      </c>
    </row>
    <row r="537" spans="1:14" ht="24.75" x14ac:dyDescent="0.25">
      <c r="A537" s="21" t="s">
        <v>3076</v>
      </c>
      <c r="B537" s="22" t="s">
        <v>3077</v>
      </c>
      <c r="C537" s="2">
        <v>1</v>
      </c>
      <c r="D537" s="23">
        <v>7.99</v>
      </c>
      <c r="E537" s="3">
        <v>7.99</v>
      </c>
      <c r="F537" s="2" t="s">
        <v>3078</v>
      </c>
      <c r="G537" s="22" t="s">
        <v>19585</v>
      </c>
      <c r="H537" s="24" t="s">
        <v>19907</v>
      </c>
      <c r="I537" s="22" t="s">
        <v>19309</v>
      </c>
      <c r="J537" s="22" t="s">
        <v>19908</v>
      </c>
      <c r="K537" s="22" t="s">
        <v>19524</v>
      </c>
      <c r="L537" s="22"/>
      <c r="M537" s="22"/>
      <c r="N537" s="25" t="str">
        <f>HYPERLINK("http://slimages.macys.com/is/image/MCY/20450156 ")</f>
        <v xml:space="preserve">http://slimages.macys.com/is/image/MCY/20450156 </v>
      </c>
    </row>
    <row r="538" spans="1:14" ht="24.75" x14ac:dyDescent="0.25">
      <c r="A538" s="21" t="s">
        <v>3079</v>
      </c>
      <c r="B538" s="22" t="s">
        <v>3080</v>
      </c>
      <c r="C538" s="2">
        <v>1</v>
      </c>
      <c r="D538" s="23">
        <v>7.99</v>
      </c>
      <c r="E538" s="3">
        <v>7.99</v>
      </c>
      <c r="F538" s="2" t="s">
        <v>3081</v>
      </c>
      <c r="G538" s="22" t="s">
        <v>19415</v>
      </c>
      <c r="H538" s="24" t="s">
        <v>19907</v>
      </c>
      <c r="I538" s="22" t="s">
        <v>19309</v>
      </c>
      <c r="J538" s="22" t="s">
        <v>19908</v>
      </c>
      <c r="K538" s="22" t="s">
        <v>19524</v>
      </c>
      <c r="L538" s="22"/>
      <c r="M538" s="22"/>
      <c r="N538" s="25" t="str">
        <f>HYPERLINK("http://slimages.macys.com/is/image/MCY/20450168 ")</f>
        <v xml:space="preserve">http://slimages.macys.com/is/image/MCY/20450168 </v>
      </c>
    </row>
    <row r="539" spans="1:14" ht="24.75" x14ac:dyDescent="0.25">
      <c r="A539" s="21" t="s">
        <v>7938</v>
      </c>
      <c r="B539" s="22" t="s">
        <v>7939</v>
      </c>
      <c r="C539" s="2">
        <v>1</v>
      </c>
      <c r="D539" s="23">
        <v>7.99</v>
      </c>
      <c r="E539" s="3">
        <v>7.99</v>
      </c>
      <c r="F539" s="2" t="s">
        <v>17003</v>
      </c>
      <c r="G539" s="22" t="s">
        <v>19333</v>
      </c>
      <c r="H539" s="24" t="s">
        <v>20135</v>
      </c>
      <c r="I539" s="22" t="s">
        <v>19309</v>
      </c>
      <c r="J539" s="22" t="s">
        <v>19908</v>
      </c>
      <c r="K539" s="22" t="s">
        <v>19524</v>
      </c>
      <c r="L539" s="22"/>
      <c r="M539" s="22"/>
      <c r="N539" s="25" t="str">
        <f>HYPERLINK("http://slimages.macys.com/is/image/MCY/21070268 ")</f>
        <v xml:space="preserve">http://slimages.macys.com/is/image/MCY/21070268 </v>
      </c>
    </row>
    <row r="540" spans="1:14" ht="24.75" x14ac:dyDescent="0.25">
      <c r="A540" s="21" t="s">
        <v>7083</v>
      </c>
      <c r="B540" s="22" t="s">
        <v>7084</v>
      </c>
      <c r="C540" s="2">
        <v>1</v>
      </c>
      <c r="D540" s="23">
        <v>7.99</v>
      </c>
      <c r="E540" s="3">
        <v>7.99</v>
      </c>
      <c r="F540" s="2" t="s">
        <v>7072</v>
      </c>
      <c r="G540" s="22" t="s">
        <v>19333</v>
      </c>
      <c r="H540" s="24" t="s">
        <v>19361</v>
      </c>
      <c r="I540" s="22" t="s">
        <v>19309</v>
      </c>
      <c r="J540" s="22" t="s">
        <v>19908</v>
      </c>
      <c r="K540" s="22" t="s">
        <v>19524</v>
      </c>
      <c r="L540" s="22"/>
      <c r="M540" s="22"/>
      <c r="N540" s="25" t="str">
        <f>HYPERLINK("http://slimages.macys.com/is/image/MCY/21243353 ")</f>
        <v xml:space="preserve">http://slimages.macys.com/is/image/MCY/21243353 </v>
      </c>
    </row>
    <row r="541" spans="1:14" ht="24.75" x14ac:dyDescent="0.25">
      <c r="A541" s="21" t="s">
        <v>3082</v>
      </c>
      <c r="B541" s="22" t="s">
        <v>3083</v>
      </c>
      <c r="C541" s="2">
        <v>1</v>
      </c>
      <c r="D541" s="23">
        <v>7.99</v>
      </c>
      <c r="E541" s="3">
        <v>7.99</v>
      </c>
      <c r="F541" s="2" t="s">
        <v>3084</v>
      </c>
      <c r="G541" s="22" t="s">
        <v>19383</v>
      </c>
      <c r="H541" s="24" t="s">
        <v>19907</v>
      </c>
      <c r="I541" s="22" t="s">
        <v>19309</v>
      </c>
      <c r="J541" s="22" t="s">
        <v>19908</v>
      </c>
      <c r="K541" s="22" t="s">
        <v>19524</v>
      </c>
      <c r="L541" s="22"/>
      <c r="M541" s="22"/>
      <c r="N541" s="25" t="str">
        <f>HYPERLINK("http://slimages.macys.com/is/image/MCY/20450147 ")</f>
        <v xml:space="preserve">http://slimages.macys.com/is/image/MCY/20450147 </v>
      </c>
    </row>
    <row r="542" spans="1:14" ht="24.75" x14ac:dyDescent="0.25">
      <c r="A542" s="21" t="s">
        <v>3085</v>
      </c>
      <c r="B542" s="22" t="s">
        <v>3086</v>
      </c>
      <c r="C542" s="2">
        <v>1</v>
      </c>
      <c r="D542" s="23">
        <v>7.99</v>
      </c>
      <c r="E542" s="3">
        <v>7.99</v>
      </c>
      <c r="F542" s="2" t="s">
        <v>3087</v>
      </c>
      <c r="G542" s="22" t="s">
        <v>19477</v>
      </c>
      <c r="H542" s="24" t="s">
        <v>19542</v>
      </c>
      <c r="I542" s="22" t="s">
        <v>19309</v>
      </c>
      <c r="J542" s="22" t="s">
        <v>19908</v>
      </c>
      <c r="K542" s="22" t="s">
        <v>19524</v>
      </c>
      <c r="L542" s="22"/>
      <c r="M542" s="22"/>
      <c r="N542" s="25" t="str">
        <f>HYPERLINK("http://slimages.macys.com/is/image/MCY/20691768 ")</f>
        <v xml:space="preserve">http://slimages.macys.com/is/image/MCY/20691768 </v>
      </c>
    </row>
    <row r="543" spans="1:14" ht="24.75" x14ac:dyDescent="0.25">
      <c r="A543" s="21" t="s">
        <v>3088</v>
      </c>
      <c r="B543" s="22" t="s">
        <v>3089</v>
      </c>
      <c r="C543" s="2">
        <v>1</v>
      </c>
      <c r="D543" s="23">
        <v>7.99</v>
      </c>
      <c r="E543" s="3">
        <v>7.99</v>
      </c>
      <c r="F543" s="2" t="s">
        <v>3084</v>
      </c>
      <c r="G543" s="22" t="s">
        <v>19383</v>
      </c>
      <c r="H543" s="24" t="s">
        <v>20089</v>
      </c>
      <c r="I543" s="22" t="s">
        <v>19309</v>
      </c>
      <c r="J543" s="22" t="s">
        <v>19908</v>
      </c>
      <c r="K543" s="22" t="s">
        <v>19524</v>
      </c>
      <c r="L543" s="22"/>
      <c r="M543" s="22"/>
      <c r="N543" s="25" t="str">
        <f>HYPERLINK("http://slimages.macys.com/is/image/MCY/20450147 ")</f>
        <v xml:space="preserve">http://slimages.macys.com/is/image/MCY/20450147 </v>
      </c>
    </row>
    <row r="544" spans="1:14" ht="24.75" x14ac:dyDescent="0.25">
      <c r="A544" s="21" t="s">
        <v>3090</v>
      </c>
      <c r="B544" s="22" t="s">
        <v>3091</v>
      </c>
      <c r="C544" s="2">
        <v>1</v>
      </c>
      <c r="D544" s="23">
        <v>7.99</v>
      </c>
      <c r="E544" s="3">
        <v>7.99</v>
      </c>
      <c r="F544" s="2" t="s">
        <v>3092</v>
      </c>
      <c r="G544" s="22" t="s">
        <v>19351</v>
      </c>
      <c r="H544" s="24" t="s">
        <v>19377</v>
      </c>
      <c r="I544" s="22" t="s">
        <v>19309</v>
      </c>
      <c r="J544" s="22" t="s">
        <v>19908</v>
      </c>
      <c r="K544" s="22" t="s">
        <v>19524</v>
      </c>
      <c r="L544" s="22"/>
      <c r="M544" s="22"/>
      <c r="N544" s="25" t="str">
        <f>HYPERLINK("http://slimages.macys.com/is/image/MCY/20450158 ")</f>
        <v xml:space="preserve">http://slimages.macys.com/is/image/MCY/20450158 </v>
      </c>
    </row>
    <row r="545" spans="1:14" ht="24.75" x14ac:dyDescent="0.25">
      <c r="A545" s="21" t="s">
        <v>3093</v>
      </c>
      <c r="B545" s="22" t="s">
        <v>3094</v>
      </c>
      <c r="C545" s="2">
        <v>1</v>
      </c>
      <c r="D545" s="23">
        <v>7.99</v>
      </c>
      <c r="E545" s="3">
        <v>7.99</v>
      </c>
      <c r="F545" s="2" t="s">
        <v>3092</v>
      </c>
      <c r="G545" s="22" t="s">
        <v>19351</v>
      </c>
      <c r="H545" s="24" t="s">
        <v>19542</v>
      </c>
      <c r="I545" s="22" t="s">
        <v>19309</v>
      </c>
      <c r="J545" s="22" t="s">
        <v>19908</v>
      </c>
      <c r="K545" s="22" t="s">
        <v>19524</v>
      </c>
      <c r="L545" s="22"/>
      <c r="M545" s="22"/>
      <c r="N545" s="25" t="str">
        <f>HYPERLINK("http://slimages.macys.com/is/image/MCY/1106903 ")</f>
        <v xml:space="preserve">http://slimages.macys.com/is/image/MCY/1106903 </v>
      </c>
    </row>
    <row r="546" spans="1:14" ht="24.75" x14ac:dyDescent="0.25">
      <c r="A546" s="21" t="s">
        <v>3095</v>
      </c>
      <c r="B546" s="22" t="s">
        <v>3096</v>
      </c>
      <c r="C546" s="2">
        <v>1</v>
      </c>
      <c r="D546" s="23">
        <v>7.99</v>
      </c>
      <c r="E546" s="3">
        <v>7.99</v>
      </c>
      <c r="F546" s="2" t="s">
        <v>3084</v>
      </c>
      <c r="G546" s="22" t="s">
        <v>19383</v>
      </c>
      <c r="H546" s="24" t="s">
        <v>19361</v>
      </c>
      <c r="I546" s="22" t="s">
        <v>19309</v>
      </c>
      <c r="J546" s="22" t="s">
        <v>19908</v>
      </c>
      <c r="K546" s="22" t="s">
        <v>19524</v>
      </c>
      <c r="L546" s="22"/>
      <c r="M546" s="22"/>
      <c r="N546" s="25" t="str">
        <f>HYPERLINK("http://slimages.macys.com/is/image/MCY/20450147 ")</f>
        <v xml:space="preserve">http://slimages.macys.com/is/image/MCY/20450147 </v>
      </c>
    </row>
    <row r="547" spans="1:14" ht="24.75" x14ac:dyDescent="0.25">
      <c r="A547" s="21" t="s">
        <v>3097</v>
      </c>
      <c r="B547" s="22" t="s">
        <v>3098</v>
      </c>
      <c r="C547" s="2">
        <v>1</v>
      </c>
      <c r="D547" s="23">
        <v>7.99</v>
      </c>
      <c r="E547" s="3">
        <v>7.99</v>
      </c>
      <c r="F547" s="2" t="s">
        <v>3099</v>
      </c>
      <c r="G547" s="22" t="s">
        <v>19351</v>
      </c>
      <c r="H547" s="24" t="s">
        <v>19361</v>
      </c>
      <c r="I547" s="22" t="s">
        <v>19309</v>
      </c>
      <c r="J547" s="22" t="s">
        <v>19908</v>
      </c>
      <c r="K547" s="22" t="s">
        <v>19524</v>
      </c>
      <c r="L547" s="22"/>
      <c r="M547" s="22"/>
      <c r="N547" s="25" t="str">
        <f>HYPERLINK("http://slimages.macys.com/is/image/MCY/1121699 ")</f>
        <v xml:space="preserve">http://slimages.macys.com/is/image/MCY/1121699 </v>
      </c>
    </row>
    <row r="548" spans="1:14" ht="24.75" x14ac:dyDescent="0.25">
      <c r="A548" s="21" t="s">
        <v>3100</v>
      </c>
      <c r="B548" s="22" t="s">
        <v>3101</v>
      </c>
      <c r="C548" s="2">
        <v>1</v>
      </c>
      <c r="D548" s="23">
        <v>7.99</v>
      </c>
      <c r="E548" s="3">
        <v>7.99</v>
      </c>
      <c r="F548" s="2" t="s">
        <v>18966</v>
      </c>
      <c r="G548" s="22" t="s">
        <v>19351</v>
      </c>
      <c r="H548" s="24" t="s">
        <v>20089</v>
      </c>
      <c r="I548" s="22" t="s">
        <v>19309</v>
      </c>
      <c r="J548" s="22" t="s">
        <v>19908</v>
      </c>
      <c r="K548" s="22" t="s">
        <v>19524</v>
      </c>
      <c r="L548" s="22"/>
      <c r="M548" s="22"/>
      <c r="N548" s="25" t="str">
        <f>HYPERLINK("http://slimages.macys.com/is/image/MCY/1537727 ")</f>
        <v xml:space="preserve">http://slimages.macys.com/is/image/MCY/1537727 </v>
      </c>
    </row>
    <row r="549" spans="1:14" ht="24.75" x14ac:dyDescent="0.25">
      <c r="A549" s="21" t="s">
        <v>3102</v>
      </c>
      <c r="B549" s="22" t="s">
        <v>3103</v>
      </c>
      <c r="C549" s="2">
        <v>2</v>
      </c>
      <c r="D549" s="23">
        <v>7.99</v>
      </c>
      <c r="E549" s="3">
        <v>15.98</v>
      </c>
      <c r="F549" s="2" t="s">
        <v>18954</v>
      </c>
      <c r="G549" s="22" t="s">
        <v>19333</v>
      </c>
      <c r="H549" s="24" t="s">
        <v>19907</v>
      </c>
      <c r="I549" s="22" t="s">
        <v>19309</v>
      </c>
      <c r="J549" s="22" t="s">
        <v>19908</v>
      </c>
      <c r="K549" s="22" t="s">
        <v>19524</v>
      </c>
      <c r="L549" s="22"/>
      <c r="M549" s="22"/>
      <c r="N549" s="25" t="str">
        <f>HYPERLINK("http://slimages.macys.com/is/image/MCY/21070261 ")</f>
        <v xml:space="preserve">http://slimages.macys.com/is/image/MCY/21070261 </v>
      </c>
    </row>
    <row r="550" spans="1:14" ht="24.75" x14ac:dyDescent="0.25">
      <c r="A550" s="21" t="s">
        <v>9190</v>
      </c>
      <c r="B550" s="22" t="s">
        <v>9191</v>
      </c>
      <c r="C550" s="2">
        <v>1</v>
      </c>
      <c r="D550" s="23">
        <v>7.99</v>
      </c>
      <c r="E550" s="3">
        <v>7.99</v>
      </c>
      <c r="F550" s="2" t="s">
        <v>18954</v>
      </c>
      <c r="G550" s="22" t="s">
        <v>19333</v>
      </c>
      <c r="H550" s="24" t="s">
        <v>20135</v>
      </c>
      <c r="I550" s="22" t="s">
        <v>19309</v>
      </c>
      <c r="J550" s="22" t="s">
        <v>19908</v>
      </c>
      <c r="K550" s="22" t="s">
        <v>19524</v>
      </c>
      <c r="L550" s="22"/>
      <c r="M550" s="22"/>
      <c r="N550" s="25" t="str">
        <f>HYPERLINK("http://slimages.macys.com/is/image/MCY/21070261 ")</f>
        <v xml:space="preserve">http://slimages.macys.com/is/image/MCY/21070261 </v>
      </c>
    </row>
    <row r="551" spans="1:14" ht="24.75" x14ac:dyDescent="0.25">
      <c r="A551" s="21" t="s">
        <v>3104</v>
      </c>
      <c r="B551" s="22" t="s">
        <v>3105</v>
      </c>
      <c r="C551" s="2">
        <v>2</v>
      </c>
      <c r="D551" s="23">
        <v>7.99</v>
      </c>
      <c r="E551" s="3">
        <v>15.98</v>
      </c>
      <c r="F551" s="2" t="s">
        <v>18954</v>
      </c>
      <c r="G551" s="22" t="s">
        <v>19333</v>
      </c>
      <c r="H551" s="24" t="s">
        <v>19361</v>
      </c>
      <c r="I551" s="22" t="s">
        <v>19309</v>
      </c>
      <c r="J551" s="22" t="s">
        <v>19908</v>
      </c>
      <c r="K551" s="22" t="s">
        <v>19524</v>
      </c>
      <c r="L551" s="22"/>
      <c r="M551" s="22"/>
      <c r="N551" s="25" t="str">
        <f>HYPERLINK("http://slimages.macys.com/is/image/MCY/21070261 ")</f>
        <v xml:space="preserve">http://slimages.macys.com/is/image/MCY/21070261 </v>
      </c>
    </row>
    <row r="552" spans="1:14" ht="24.75" x14ac:dyDescent="0.25">
      <c r="A552" s="21" t="s">
        <v>3106</v>
      </c>
      <c r="B552" s="22" t="s">
        <v>3107</v>
      </c>
      <c r="C552" s="2">
        <v>1</v>
      </c>
      <c r="D552" s="23">
        <v>7.99</v>
      </c>
      <c r="E552" s="3">
        <v>7.99</v>
      </c>
      <c r="F552" s="2" t="s">
        <v>3108</v>
      </c>
      <c r="G552" s="22" t="s">
        <v>19422</v>
      </c>
      <c r="H552" s="24" t="s">
        <v>19377</v>
      </c>
      <c r="I552" s="22" t="s">
        <v>19309</v>
      </c>
      <c r="J552" s="22" t="s">
        <v>19908</v>
      </c>
      <c r="K552" s="22" t="s">
        <v>19524</v>
      </c>
      <c r="L552" s="22"/>
      <c r="M552" s="22"/>
      <c r="N552" s="25" t="str">
        <f>HYPERLINK("http://slimages.macys.com/is/image/MCY/19988027 ")</f>
        <v xml:space="preserve">http://slimages.macys.com/is/image/MCY/19988027 </v>
      </c>
    </row>
    <row r="553" spans="1:14" ht="24.75" x14ac:dyDescent="0.25">
      <c r="A553" s="21" t="s">
        <v>7087</v>
      </c>
      <c r="B553" s="22" t="s">
        <v>7088</v>
      </c>
      <c r="C553" s="2">
        <v>2</v>
      </c>
      <c r="D553" s="23">
        <v>7.99</v>
      </c>
      <c r="E553" s="3">
        <v>15.98</v>
      </c>
      <c r="F553" s="2" t="s">
        <v>18954</v>
      </c>
      <c r="G553" s="22" t="s">
        <v>19333</v>
      </c>
      <c r="H553" s="24" t="s">
        <v>19542</v>
      </c>
      <c r="I553" s="22" t="s">
        <v>19309</v>
      </c>
      <c r="J553" s="22" t="s">
        <v>19908</v>
      </c>
      <c r="K553" s="22" t="s">
        <v>19524</v>
      </c>
      <c r="L553" s="22"/>
      <c r="M553" s="22"/>
      <c r="N553" s="25" t="str">
        <f>HYPERLINK("http://slimages.macys.com/is/image/MCY/21070261 ")</f>
        <v xml:space="preserve">http://slimages.macys.com/is/image/MCY/21070261 </v>
      </c>
    </row>
    <row r="554" spans="1:14" ht="24.75" x14ac:dyDescent="0.25">
      <c r="A554" s="21" t="s">
        <v>3109</v>
      </c>
      <c r="B554" s="22" t="s">
        <v>3110</v>
      </c>
      <c r="C554" s="2">
        <v>2</v>
      </c>
      <c r="D554" s="23">
        <v>7.99</v>
      </c>
      <c r="E554" s="3">
        <v>15.98</v>
      </c>
      <c r="F554" s="2" t="s">
        <v>18954</v>
      </c>
      <c r="G554" s="22" t="s">
        <v>19333</v>
      </c>
      <c r="H554" s="24" t="s">
        <v>20089</v>
      </c>
      <c r="I554" s="22" t="s">
        <v>19309</v>
      </c>
      <c r="J554" s="22" t="s">
        <v>19908</v>
      </c>
      <c r="K554" s="22" t="s">
        <v>19524</v>
      </c>
      <c r="L554" s="22"/>
      <c r="M554" s="22"/>
      <c r="N554" s="25" t="str">
        <f>HYPERLINK("http://slimages.macys.com/is/image/MCY/21070261 ")</f>
        <v xml:space="preserve">http://slimages.macys.com/is/image/MCY/21070261 </v>
      </c>
    </row>
    <row r="555" spans="1:14" ht="24.75" x14ac:dyDescent="0.25">
      <c r="A555" s="21" t="s">
        <v>3111</v>
      </c>
      <c r="B555" s="22" t="s">
        <v>3112</v>
      </c>
      <c r="C555" s="2">
        <v>1</v>
      </c>
      <c r="D555" s="23">
        <v>7.99</v>
      </c>
      <c r="E555" s="3">
        <v>7.99</v>
      </c>
      <c r="F555" s="2" t="s">
        <v>12537</v>
      </c>
      <c r="G555" s="22" t="s">
        <v>19674</v>
      </c>
      <c r="H555" s="24" t="s">
        <v>20135</v>
      </c>
      <c r="I555" s="22" t="s">
        <v>19309</v>
      </c>
      <c r="J555" s="22" t="s">
        <v>19908</v>
      </c>
      <c r="K555" s="22" t="s">
        <v>19524</v>
      </c>
      <c r="L555" s="22"/>
      <c r="M555" s="22"/>
      <c r="N555" s="25" t="str">
        <f>HYPERLINK("http://slimages.macys.com/is/image/MCY/21070269 ")</f>
        <v xml:space="preserve">http://slimages.macys.com/is/image/MCY/21070269 </v>
      </c>
    </row>
    <row r="556" spans="1:14" ht="24.75" x14ac:dyDescent="0.25">
      <c r="A556" s="21" t="s">
        <v>3113</v>
      </c>
      <c r="B556" s="22" t="s">
        <v>3114</v>
      </c>
      <c r="C556" s="2">
        <v>1</v>
      </c>
      <c r="D556" s="23">
        <v>7.99</v>
      </c>
      <c r="E556" s="3">
        <v>7.99</v>
      </c>
      <c r="F556" s="2" t="s">
        <v>7970</v>
      </c>
      <c r="G556" s="22" t="s">
        <v>19674</v>
      </c>
      <c r="H556" s="24" t="s">
        <v>19377</v>
      </c>
      <c r="I556" s="22" t="s">
        <v>19309</v>
      </c>
      <c r="J556" s="22" t="s">
        <v>19908</v>
      </c>
      <c r="K556" s="22" t="s">
        <v>19524</v>
      </c>
      <c r="L556" s="22"/>
      <c r="M556" s="22"/>
      <c r="N556" s="25" t="str">
        <f>HYPERLINK("http://slimages.macys.com/is/image/MCY/1308257 ")</f>
        <v xml:space="preserve">http://slimages.macys.com/is/image/MCY/1308257 </v>
      </c>
    </row>
    <row r="557" spans="1:14" ht="24.75" x14ac:dyDescent="0.25">
      <c r="A557" s="21" t="s">
        <v>3115</v>
      </c>
      <c r="B557" s="22" t="s">
        <v>3116</v>
      </c>
      <c r="C557" s="2">
        <v>1</v>
      </c>
      <c r="D557" s="23">
        <v>7.99</v>
      </c>
      <c r="E557" s="3">
        <v>7.99</v>
      </c>
      <c r="F557" s="2" t="s">
        <v>7967</v>
      </c>
      <c r="G557" s="22"/>
      <c r="H557" s="24" t="s">
        <v>20135</v>
      </c>
      <c r="I557" s="22" t="s">
        <v>19309</v>
      </c>
      <c r="J557" s="22" t="s">
        <v>19908</v>
      </c>
      <c r="K557" s="22" t="s">
        <v>19524</v>
      </c>
      <c r="L557" s="22"/>
      <c r="M557" s="22"/>
      <c r="N557" s="25" t="str">
        <f>HYPERLINK("http://slimages.macys.com/is/image/MCY/21570010 ")</f>
        <v xml:space="preserve">http://slimages.macys.com/is/image/MCY/21570010 </v>
      </c>
    </row>
    <row r="558" spans="1:14" ht="24.75" x14ac:dyDescent="0.25">
      <c r="A558" s="21" t="s">
        <v>7965</v>
      </c>
      <c r="B558" s="22" t="s">
        <v>7966</v>
      </c>
      <c r="C558" s="2">
        <v>1</v>
      </c>
      <c r="D558" s="23">
        <v>7.99</v>
      </c>
      <c r="E558" s="3">
        <v>7.99</v>
      </c>
      <c r="F558" s="2" t="s">
        <v>7967</v>
      </c>
      <c r="G558" s="22"/>
      <c r="H558" s="24" t="s">
        <v>19907</v>
      </c>
      <c r="I558" s="22" t="s">
        <v>19309</v>
      </c>
      <c r="J558" s="22" t="s">
        <v>19908</v>
      </c>
      <c r="K558" s="22" t="s">
        <v>19524</v>
      </c>
      <c r="L558" s="22"/>
      <c r="M558" s="22"/>
      <c r="N558" s="25" t="str">
        <f>HYPERLINK("http://slimages.macys.com/is/image/MCY/21570010 ")</f>
        <v xml:space="preserve">http://slimages.macys.com/is/image/MCY/21570010 </v>
      </c>
    </row>
    <row r="559" spans="1:14" ht="24.75" x14ac:dyDescent="0.25">
      <c r="A559" s="21" t="s">
        <v>3117</v>
      </c>
      <c r="B559" s="22" t="s">
        <v>3118</v>
      </c>
      <c r="C559" s="2">
        <v>1</v>
      </c>
      <c r="D559" s="23">
        <v>7.99</v>
      </c>
      <c r="E559" s="3">
        <v>7.99</v>
      </c>
      <c r="F559" s="2" t="s">
        <v>7967</v>
      </c>
      <c r="G559" s="22"/>
      <c r="H559" s="24" t="s">
        <v>19377</v>
      </c>
      <c r="I559" s="22" t="s">
        <v>19309</v>
      </c>
      <c r="J559" s="22" t="s">
        <v>19908</v>
      </c>
      <c r="K559" s="22" t="s">
        <v>19524</v>
      </c>
      <c r="L559" s="22"/>
      <c r="M559" s="22"/>
      <c r="N559" s="25" t="str">
        <f>HYPERLINK("http://slimages.macys.com/is/image/MCY/21569891 ")</f>
        <v xml:space="preserve">http://slimages.macys.com/is/image/MCY/21569891 </v>
      </c>
    </row>
    <row r="560" spans="1:14" ht="24.75" x14ac:dyDescent="0.25">
      <c r="A560" s="21" t="s">
        <v>3119</v>
      </c>
      <c r="B560" s="22" t="s">
        <v>3120</v>
      </c>
      <c r="C560" s="2">
        <v>1</v>
      </c>
      <c r="D560" s="23">
        <v>7.99</v>
      </c>
      <c r="E560" s="3">
        <v>7.99</v>
      </c>
      <c r="F560" s="2" t="s">
        <v>14127</v>
      </c>
      <c r="G560" s="22" t="s">
        <v>19415</v>
      </c>
      <c r="H560" s="24" t="s">
        <v>19361</v>
      </c>
      <c r="I560" s="22" t="s">
        <v>19309</v>
      </c>
      <c r="J560" s="22" t="s">
        <v>19908</v>
      </c>
      <c r="K560" s="22" t="s">
        <v>19524</v>
      </c>
      <c r="L560" s="22"/>
      <c r="M560" s="22"/>
      <c r="N560" s="25" t="str">
        <f>HYPERLINK("http://slimages.macys.com/is/image/MCY/20450170 ")</f>
        <v xml:space="preserve">http://slimages.macys.com/is/image/MCY/20450170 </v>
      </c>
    </row>
    <row r="561" spans="1:14" ht="24.75" x14ac:dyDescent="0.25">
      <c r="A561" s="21" t="s">
        <v>3121</v>
      </c>
      <c r="B561" s="22" t="s">
        <v>3122</v>
      </c>
      <c r="C561" s="2">
        <v>1</v>
      </c>
      <c r="D561" s="23">
        <v>7.99</v>
      </c>
      <c r="E561" s="3">
        <v>7.99</v>
      </c>
      <c r="F561" s="2" t="s">
        <v>3123</v>
      </c>
      <c r="G561" s="22" t="s">
        <v>19351</v>
      </c>
      <c r="H561" s="24" t="s">
        <v>19361</v>
      </c>
      <c r="I561" s="22" t="s">
        <v>19309</v>
      </c>
      <c r="J561" s="22" t="s">
        <v>19908</v>
      </c>
      <c r="K561" s="22" t="s">
        <v>19524</v>
      </c>
      <c r="L561" s="22"/>
      <c r="M561" s="22"/>
      <c r="N561" s="25" t="str">
        <f>HYPERLINK("http://slimages.macys.com/is/image/MCY/1088549 ")</f>
        <v xml:space="preserve">http://slimages.macys.com/is/image/MCY/1088549 </v>
      </c>
    </row>
    <row r="562" spans="1:14" ht="24.75" x14ac:dyDescent="0.25">
      <c r="A562" s="21" t="s">
        <v>3124</v>
      </c>
      <c r="B562" s="22" t="s">
        <v>3125</v>
      </c>
      <c r="C562" s="2">
        <v>1</v>
      </c>
      <c r="D562" s="23">
        <v>6.99</v>
      </c>
      <c r="E562" s="3">
        <v>6.99</v>
      </c>
      <c r="F562" s="2" t="s">
        <v>4901</v>
      </c>
      <c r="G562" s="22" t="s">
        <v>19351</v>
      </c>
      <c r="H562" s="24" t="s">
        <v>19352</v>
      </c>
      <c r="I562" s="22" t="s">
        <v>19309</v>
      </c>
      <c r="J562" s="22" t="s">
        <v>19353</v>
      </c>
      <c r="K562" s="22" t="s">
        <v>19354</v>
      </c>
      <c r="L562" s="22"/>
      <c r="M562" s="22"/>
      <c r="N562" s="25" t="str">
        <f>HYPERLINK("http://slimages.macys.com/is/image/MCY/20708668 ")</f>
        <v xml:space="preserve">http://slimages.macys.com/is/image/MCY/20708668 </v>
      </c>
    </row>
    <row r="563" spans="1:14" x14ac:dyDescent="0.25">
      <c r="A563" s="21" t="s">
        <v>4378</v>
      </c>
      <c r="B563" s="22" t="s">
        <v>4379</v>
      </c>
      <c r="C563" s="2">
        <v>1</v>
      </c>
      <c r="D563" s="23">
        <v>5.99</v>
      </c>
      <c r="E563" s="3">
        <v>5.99</v>
      </c>
      <c r="F563" s="2" t="s">
        <v>13433</v>
      </c>
      <c r="G563" s="22" t="s">
        <v>19477</v>
      </c>
      <c r="H563" s="24" t="s">
        <v>20089</v>
      </c>
      <c r="I563" s="22" t="s">
        <v>19309</v>
      </c>
      <c r="J563" s="22" t="s">
        <v>19849</v>
      </c>
      <c r="K563" s="22" t="s">
        <v>19850</v>
      </c>
      <c r="L563" s="22"/>
      <c r="M563" s="22"/>
      <c r="N563" s="25" t="str">
        <f>HYPERLINK("http://slimages.macys.com/is/image/MCY/20549051 ")</f>
        <v xml:space="preserve">http://slimages.macys.com/is/image/MCY/20549051 </v>
      </c>
    </row>
    <row r="564" spans="1:14" ht="24.75" x14ac:dyDescent="0.25">
      <c r="A564" s="21" t="s">
        <v>3126</v>
      </c>
      <c r="B564" s="22" t="s">
        <v>3127</v>
      </c>
      <c r="C564" s="2">
        <v>1</v>
      </c>
      <c r="D564" s="23">
        <v>7.99</v>
      </c>
      <c r="E564" s="3">
        <v>7.99</v>
      </c>
      <c r="F564" s="2" t="s">
        <v>14691</v>
      </c>
      <c r="G564" s="22" t="s">
        <v>19323</v>
      </c>
      <c r="H564" s="24" t="s">
        <v>19797</v>
      </c>
      <c r="I564" s="22" t="s">
        <v>19309</v>
      </c>
      <c r="J564" s="22" t="s">
        <v>19353</v>
      </c>
      <c r="K564" s="22" t="s">
        <v>19524</v>
      </c>
      <c r="L564" s="22"/>
      <c r="M564" s="22"/>
      <c r="N564" s="25" t="str">
        <f>HYPERLINK("http://slimages.macys.com/is/image/MCY/18235710 ")</f>
        <v xml:space="preserve">http://slimages.macys.com/is/image/MCY/18235710 </v>
      </c>
    </row>
    <row r="565" spans="1:14" ht="24.75" x14ac:dyDescent="0.25">
      <c r="A565" s="21" t="s">
        <v>3128</v>
      </c>
      <c r="B565" s="22" t="s">
        <v>3129</v>
      </c>
      <c r="C565" s="2">
        <v>1</v>
      </c>
      <c r="D565" s="23">
        <v>7.99</v>
      </c>
      <c r="E565" s="3">
        <v>7.99</v>
      </c>
      <c r="F565" s="2" t="s">
        <v>14691</v>
      </c>
      <c r="G565" s="22" t="s">
        <v>19323</v>
      </c>
      <c r="H565" s="24" t="s">
        <v>19352</v>
      </c>
      <c r="I565" s="22" t="s">
        <v>19309</v>
      </c>
      <c r="J565" s="22" t="s">
        <v>19353</v>
      </c>
      <c r="K565" s="22" t="s">
        <v>19524</v>
      </c>
      <c r="L565" s="22"/>
      <c r="M565" s="22"/>
      <c r="N565" s="25" t="str">
        <f>HYPERLINK("http://slimages.macys.com/is/image/MCY/19266430 ")</f>
        <v xml:space="preserve">http://slimages.macys.com/is/image/MCY/19266430 </v>
      </c>
    </row>
    <row r="566" spans="1:14" ht="24.75" x14ac:dyDescent="0.25">
      <c r="A566" s="21" t="s">
        <v>3130</v>
      </c>
      <c r="B566" s="22" t="s">
        <v>3131</v>
      </c>
      <c r="C566" s="2">
        <v>1</v>
      </c>
      <c r="D566" s="23">
        <v>8.99</v>
      </c>
      <c r="E566" s="3">
        <v>8.99</v>
      </c>
      <c r="F566" s="2" t="s">
        <v>12542</v>
      </c>
      <c r="G566" s="22" t="s">
        <v>19462</v>
      </c>
      <c r="H566" s="24" t="s">
        <v>19538</v>
      </c>
      <c r="I566" s="22" t="s">
        <v>19309</v>
      </c>
      <c r="J566" s="22" t="s">
        <v>19573</v>
      </c>
      <c r="K566" s="22" t="s">
        <v>19574</v>
      </c>
      <c r="L566" s="22"/>
      <c r="M566" s="22"/>
      <c r="N566" s="25" t="str">
        <f>HYPERLINK("http://slimages.macys.com/is/image/MCY/1520532 ")</f>
        <v xml:space="preserve">http://slimages.macys.com/is/image/MCY/1520532 </v>
      </c>
    </row>
    <row r="567" spans="1:14" x14ac:dyDescent="0.25">
      <c r="A567" s="21" t="s">
        <v>3132</v>
      </c>
      <c r="B567" s="22" t="s">
        <v>3133</v>
      </c>
      <c r="C567" s="2">
        <v>1</v>
      </c>
      <c r="D567" s="23">
        <v>8.3000000000000007</v>
      </c>
      <c r="E567" s="3">
        <v>8.3000000000000007</v>
      </c>
      <c r="F567" s="2" t="s">
        <v>3134</v>
      </c>
      <c r="G567" s="22" t="s">
        <v>19814</v>
      </c>
      <c r="H567" s="24" t="s">
        <v>20152</v>
      </c>
      <c r="I567" s="22" t="s">
        <v>19309</v>
      </c>
      <c r="J567" s="22" t="s">
        <v>19708</v>
      </c>
      <c r="K567" s="22" t="s">
        <v>19709</v>
      </c>
      <c r="L567" s="22"/>
      <c r="M567" s="22"/>
      <c r="N567" s="25" t="str">
        <f>HYPERLINK("http://slimages.macys.com/is/image/MCY/21414098 ")</f>
        <v xml:space="preserve">http://slimages.macys.com/is/image/MCY/21414098 </v>
      </c>
    </row>
    <row r="568" spans="1:14" ht="24.75" x14ac:dyDescent="0.25">
      <c r="A568" s="21" t="s">
        <v>18998</v>
      </c>
      <c r="B568" s="22" t="s">
        <v>18999</v>
      </c>
      <c r="C568" s="2">
        <v>1</v>
      </c>
      <c r="D568" s="23">
        <v>5.99</v>
      </c>
      <c r="E568" s="3">
        <v>5.99</v>
      </c>
      <c r="F568" s="2" t="s">
        <v>19000</v>
      </c>
      <c r="G568" s="22" t="s">
        <v>18439</v>
      </c>
      <c r="H568" s="24" t="s">
        <v>19538</v>
      </c>
      <c r="I568" s="22" t="s">
        <v>19309</v>
      </c>
      <c r="J568" s="22" t="s">
        <v>19573</v>
      </c>
      <c r="K568" s="22" t="s">
        <v>19574</v>
      </c>
      <c r="L568" s="22"/>
      <c r="M568" s="22"/>
      <c r="N568" s="25" t="str">
        <f>HYPERLINK("http://slimages.macys.com/is/image/MCY/21515593 ")</f>
        <v xml:space="preserve">http://slimages.macys.com/is/image/MCY/21515593 </v>
      </c>
    </row>
    <row r="569" spans="1:14" ht="24.75" x14ac:dyDescent="0.25">
      <c r="A569" s="21" t="s">
        <v>3135</v>
      </c>
      <c r="B569" s="22" t="s">
        <v>3136</v>
      </c>
      <c r="C569" s="2">
        <v>1</v>
      </c>
      <c r="D569" s="23">
        <v>6.99</v>
      </c>
      <c r="E569" s="3">
        <v>6.99</v>
      </c>
      <c r="F569" s="2" t="s">
        <v>13446</v>
      </c>
      <c r="G569" s="22" t="s">
        <v>19415</v>
      </c>
      <c r="H569" s="24" t="s">
        <v>19384</v>
      </c>
      <c r="I569" s="22" t="s">
        <v>19309</v>
      </c>
      <c r="J569" s="22" t="s">
        <v>19573</v>
      </c>
      <c r="K569" s="22" t="s">
        <v>19574</v>
      </c>
      <c r="L569" s="22"/>
      <c r="M569" s="22"/>
      <c r="N569" s="25" t="str">
        <f>HYPERLINK("http://slimages.macys.com/is/image/MCY/13531635 ")</f>
        <v xml:space="preserve">http://slimages.macys.com/is/image/MCY/13531635 </v>
      </c>
    </row>
    <row r="570" spans="1:14" ht="24.75" x14ac:dyDescent="0.25">
      <c r="A570" s="21" t="s">
        <v>3137</v>
      </c>
      <c r="B570" s="22" t="s">
        <v>3138</v>
      </c>
      <c r="C570" s="2">
        <v>2</v>
      </c>
      <c r="D570" s="23">
        <v>7.99</v>
      </c>
      <c r="E570" s="3">
        <v>15.98</v>
      </c>
      <c r="F570" s="2" t="s">
        <v>3139</v>
      </c>
      <c r="G570" s="22" t="s">
        <v>19315</v>
      </c>
      <c r="H570" s="24" t="s">
        <v>20089</v>
      </c>
      <c r="I570" s="22" t="s">
        <v>19309</v>
      </c>
      <c r="J570" s="22" t="s">
        <v>19573</v>
      </c>
      <c r="K570" s="22" t="s">
        <v>19574</v>
      </c>
      <c r="L570" s="22"/>
      <c r="M570" s="22"/>
      <c r="N570" s="25" t="str">
        <f>HYPERLINK("http://slimages.macys.com/is/image/MCY/19784518 ")</f>
        <v xml:space="preserve">http://slimages.macys.com/is/image/MCY/19784518 </v>
      </c>
    </row>
    <row r="571" spans="1:14" ht="24.75" x14ac:dyDescent="0.25">
      <c r="A571" s="21" t="s">
        <v>3140</v>
      </c>
      <c r="B571" s="22" t="s">
        <v>3141</v>
      </c>
      <c r="C571" s="2">
        <v>1</v>
      </c>
      <c r="D571" s="23">
        <v>6.99</v>
      </c>
      <c r="E571" s="3">
        <v>6.99</v>
      </c>
      <c r="F571" s="2" t="s">
        <v>3142</v>
      </c>
      <c r="G571" s="22" t="s">
        <v>19315</v>
      </c>
      <c r="H571" s="24" t="s">
        <v>19330</v>
      </c>
      <c r="I571" s="22" t="s">
        <v>19309</v>
      </c>
      <c r="J571" s="22" t="s">
        <v>19573</v>
      </c>
      <c r="K571" s="22" t="s">
        <v>19574</v>
      </c>
      <c r="L571" s="22"/>
      <c r="M571" s="22"/>
      <c r="N571" s="25" t="str">
        <f>HYPERLINK("http://slimages.macys.com/is/image/MCY/20385782 ")</f>
        <v xml:space="preserve">http://slimages.macys.com/is/image/MCY/20385782 </v>
      </c>
    </row>
    <row r="572" spans="1:14" ht="24.75" x14ac:dyDescent="0.25">
      <c r="A572" s="21" t="s">
        <v>3143</v>
      </c>
      <c r="B572" s="22" t="s">
        <v>3144</v>
      </c>
      <c r="C572" s="2">
        <v>1</v>
      </c>
      <c r="D572" s="23">
        <v>6.99</v>
      </c>
      <c r="E572" s="3">
        <v>6.99</v>
      </c>
      <c r="F572" s="2" t="s">
        <v>3145</v>
      </c>
      <c r="G572" s="22" t="s">
        <v>19467</v>
      </c>
      <c r="H572" s="24" t="s">
        <v>19324</v>
      </c>
      <c r="I572" s="22" t="s">
        <v>19309</v>
      </c>
      <c r="J572" s="22" t="s">
        <v>19573</v>
      </c>
      <c r="K572" s="22" t="s">
        <v>19574</v>
      </c>
      <c r="L572" s="22"/>
      <c r="M572" s="22"/>
      <c r="N572" s="25" t="str">
        <f>HYPERLINK("http://slimages.macys.com/is/image/MCY/19977417 ")</f>
        <v xml:space="preserve">http://slimages.macys.com/is/image/MCY/19977417 </v>
      </c>
    </row>
    <row r="573" spans="1:14" x14ac:dyDescent="0.25">
      <c r="A573" s="21" t="s">
        <v>3146</v>
      </c>
      <c r="B573" s="22" t="s">
        <v>3147</v>
      </c>
      <c r="C573" s="2">
        <v>1</v>
      </c>
      <c r="D573" s="23">
        <v>6.99</v>
      </c>
      <c r="E573" s="3">
        <v>6.99</v>
      </c>
      <c r="F573" s="2" t="s">
        <v>3552</v>
      </c>
      <c r="G573" s="22" t="s">
        <v>19477</v>
      </c>
      <c r="H573" s="24" t="s">
        <v>19352</v>
      </c>
      <c r="I573" s="22" t="s">
        <v>19309</v>
      </c>
      <c r="J573" s="22" t="s">
        <v>19849</v>
      </c>
      <c r="K573" s="22" t="s">
        <v>19850</v>
      </c>
      <c r="L573" s="22"/>
      <c r="M573" s="22"/>
      <c r="N573" s="25" t="str">
        <f>HYPERLINK("http://slimages.macys.com/is/image/MCY/19965765 ")</f>
        <v xml:space="preserve">http://slimages.macys.com/is/image/MCY/19965765 </v>
      </c>
    </row>
    <row r="574" spans="1:14" ht="24.75" x14ac:dyDescent="0.25">
      <c r="A574" s="21" t="s">
        <v>3148</v>
      </c>
      <c r="B574" s="22" t="s">
        <v>3149</v>
      </c>
      <c r="C574" s="2">
        <v>1</v>
      </c>
      <c r="D574" s="23">
        <v>6.99</v>
      </c>
      <c r="E574" s="3">
        <v>6.99</v>
      </c>
      <c r="F574" s="2" t="s">
        <v>3145</v>
      </c>
      <c r="G574" s="22" t="s">
        <v>19467</v>
      </c>
      <c r="H574" s="24" t="s">
        <v>19384</v>
      </c>
      <c r="I574" s="22" t="s">
        <v>19309</v>
      </c>
      <c r="J574" s="22" t="s">
        <v>19573</v>
      </c>
      <c r="K574" s="22" t="s">
        <v>19574</v>
      </c>
      <c r="L574" s="22"/>
      <c r="M574" s="22"/>
      <c r="N574" s="25" t="str">
        <f>HYPERLINK("http://slimages.macys.com/is/image/MCY/19977417 ")</f>
        <v xml:space="preserve">http://slimages.macys.com/is/image/MCY/19977417 </v>
      </c>
    </row>
    <row r="575" spans="1:14" ht="24.75" x14ac:dyDescent="0.25">
      <c r="A575" s="21" t="s">
        <v>12563</v>
      </c>
      <c r="B575" s="22" t="s">
        <v>12564</v>
      </c>
      <c r="C575" s="2">
        <v>2</v>
      </c>
      <c r="D575" s="23">
        <v>18.11</v>
      </c>
      <c r="E575" s="3">
        <v>36.22</v>
      </c>
      <c r="F575" s="2" t="s">
        <v>12565</v>
      </c>
      <c r="G575" s="22" t="s">
        <v>19351</v>
      </c>
      <c r="H575" s="24" t="s">
        <v>19907</v>
      </c>
      <c r="I575" s="22" t="s">
        <v>19309</v>
      </c>
      <c r="J575" s="22" t="s">
        <v>19573</v>
      </c>
      <c r="K575" s="22" t="s">
        <v>19574</v>
      </c>
      <c r="L575" s="22"/>
      <c r="M575" s="22"/>
      <c r="N575" s="25" t="str">
        <f>HYPERLINK("http://slimages.macys.com/is/image/MCY/1124651 ")</f>
        <v xml:space="preserve">http://slimages.macys.com/is/image/MCY/1124651 </v>
      </c>
    </row>
    <row r="576" spans="1:14" ht="24.75" x14ac:dyDescent="0.25">
      <c r="A576" s="21" t="s">
        <v>3150</v>
      </c>
      <c r="B576" s="22" t="s">
        <v>3151</v>
      </c>
      <c r="C576" s="2">
        <v>2</v>
      </c>
      <c r="D576" s="23">
        <v>7.99</v>
      </c>
      <c r="E576" s="3">
        <v>15.98</v>
      </c>
      <c r="F576" s="2" t="s">
        <v>3152</v>
      </c>
      <c r="G576" s="22" t="s">
        <v>19467</v>
      </c>
      <c r="H576" s="24" t="s">
        <v>19907</v>
      </c>
      <c r="I576" s="22" t="s">
        <v>19309</v>
      </c>
      <c r="J576" s="22" t="s">
        <v>19573</v>
      </c>
      <c r="K576" s="22" t="s">
        <v>19574</v>
      </c>
      <c r="L576" s="22"/>
      <c r="M576" s="22"/>
      <c r="N576" s="25" t="str">
        <f>HYPERLINK("http://slimages.macys.com/is/image/MCY/20385740 ")</f>
        <v xml:space="preserve">http://slimages.macys.com/is/image/MCY/20385740 </v>
      </c>
    </row>
    <row r="577" spans="1:14" ht="24.75" x14ac:dyDescent="0.25">
      <c r="A577" s="21" t="s">
        <v>3153</v>
      </c>
      <c r="B577" s="22" t="s">
        <v>3154</v>
      </c>
      <c r="C577" s="2">
        <v>1</v>
      </c>
      <c r="D577" s="23">
        <v>6.99</v>
      </c>
      <c r="E577" s="3">
        <v>6.99</v>
      </c>
      <c r="F577" s="2">
        <v>6156</v>
      </c>
      <c r="G577" s="22" t="s">
        <v>19415</v>
      </c>
      <c r="H577" s="24" t="s">
        <v>19416</v>
      </c>
      <c r="I577" s="22" t="s">
        <v>19309</v>
      </c>
      <c r="J577" s="22" t="s">
        <v>19573</v>
      </c>
      <c r="K577" s="22" t="s">
        <v>19574</v>
      </c>
      <c r="L577" s="22" t="s">
        <v>19319</v>
      </c>
      <c r="M577" s="22" t="s">
        <v>19435</v>
      </c>
      <c r="N577" s="25" t="str">
        <f>HYPERLINK("http://slimages.macys.com/is/image/MCY/13987479 ")</f>
        <v xml:space="preserve">http://slimages.macys.com/is/image/MCY/13987479 </v>
      </c>
    </row>
    <row r="578" spans="1:14" ht="24.75" x14ac:dyDescent="0.25">
      <c r="A578" s="21" t="s">
        <v>3155</v>
      </c>
      <c r="B578" s="22" t="s">
        <v>3156</v>
      </c>
      <c r="C578" s="2">
        <v>2</v>
      </c>
      <c r="D578" s="23">
        <v>6.99</v>
      </c>
      <c r="E578" s="3">
        <v>13.98</v>
      </c>
      <c r="F578" s="2" t="s">
        <v>17155</v>
      </c>
      <c r="G578" s="22" t="s">
        <v>19415</v>
      </c>
      <c r="H578" s="24" t="s">
        <v>19384</v>
      </c>
      <c r="I578" s="22" t="s">
        <v>19309</v>
      </c>
      <c r="J578" s="22" t="s">
        <v>19573</v>
      </c>
      <c r="K578" s="22" t="s">
        <v>19574</v>
      </c>
      <c r="L578" s="22"/>
      <c r="M578" s="22"/>
      <c r="N578" s="25" t="str">
        <f>HYPERLINK("http://slimages.macys.com/is/image/MCY/14799396 ")</f>
        <v xml:space="preserve">http://slimages.macys.com/is/image/MCY/14799396 </v>
      </c>
    </row>
    <row r="579" spans="1:14" ht="24.75" x14ac:dyDescent="0.25">
      <c r="A579" s="21" t="s">
        <v>3157</v>
      </c>
      <c r="B579" s="22" t="s">
        <v>3158</v>
      </c>
      <c r="C579" s="2">
        <v>2</v>
      </c>
      <c r="D579" s="23">
        <v>6.99</v>
      </c>
      <c r="E579" s="3">
        <v>13.98</v>
      </c>
      <c r="F579" s="2">
        <v>10013625700</v>
      </c>
      <c r="G579" s="22" t="s">
        <v>19585</v>
      </c>
      <c r="H579" s="24" t="s">
        <v>19384</v>
      </c>
      <c r="I579" s="22" t="s">
        <v>19309</v>
      </c>
      <c r="J579" s="22" t="s">
        <v>19573</v>
      </c>
      <c r="K579" s="22" t="s">
        <v>19574</v>
      </c>
      <c r="L579" s="22"/>
      <c r="M579" s="22"/>
      <c r="N579" s="25" t="str">
        <f>HYPERLINK("http://slimages.macys.com/is/image/MCY/20142519 ")</f>
        <v xml:space="preserve">http://slimages.macys.com/is/image/MCY/20142519 </v>
      </c>
    </row>
    <row r="580" spans="1:14" ht="24.75" x14ac:dyDescent="0.25">
      <c r="A580" s="21" t="s">
        <v>9203</v>
      </c>
      <c r="B580" s="22" t="s">
        <v>9204</v>
      </c>
      <c r="C580" s="2">
        <v>1</v>
      </c>
      <c r="D580" s="23">
        <v>6.99</v>
      </c>
      <c r="E580" s="3">
        <v>6.99</v>
      </c>
      <c r="F580" s="2">
        <v>10013625700</v>
      </c>
      <c r="G580" s="22" t="s">
        <v>19585</v>
      </c>
      <c r="H580" s="24" t="s">
        <v>19770</v>
      </c>
      <c r="I580" s="22" t="s">
        <v>19309</v>
      </c>
      <c r="J580" s="22" t="s">
        <v>19573</v>
      </c>
      <c r="K580" s="22" t="s">
        <v>19574</v>
      </c>
      <c r="L580" s="22"/>
      <c r="M580" s="22"/>
      <c r="N580" s="25" t="str">
        <f>HYPERLINK("http://slimages.macys.com/is/image/MCY/20142519 ")</f>
        <v xml:space="preserve">http://slimages.macys.com/is/image/MCY/20142519 </v>
      </c>
    </row>
    <row r="581" spans="1:14" ht="24.75" x14ac:dyDescent="0.25">
      <c r="A581" s="21" t="s">
        <v>12569</v>
      </c>
      <c r="B581" s="22" t="s">
        <v>12570</v>
      </c>
      <c r="C581" s="2">
        <v>2</v>
      </c>
      <c r="D581" s="23">
        <v>6.99</v>
      </c>
      <c r="E581" s="3">
        <v>13.98</v>
      </c>
      <c r="F581" s="2">
        <v>10013625700</v>
      </c>
      <c r="G581" s="22" t="s">
        <v>19585</v>
      </c>
      <c r="H581" s="24"/>
      <c r="I581" s="22" t="s">
        <v>19309</v>
      </c>
      <c r="J581" s="22" t="s">
        <v>19573</v>
      </c>
      <c r="K581" s="22" t="s">
        <v>19574</v>
      </c>
      <c r="L581" s="22"/>
      <c r="M581" s="22"/>
      <c r="N581" s="25" t="str">
        <f>HYPERLINK("http://slimages.macys.com/is/image/MCY/1070793 ")</f>
        <v xml:space="preserve">http://slimages.macys.com/is/image/MCY/1070793 </v>
      </c>
    </row>
    <row r="582" spans="1:14" ht="24.75" x14ac:dyDescent="0.25">
      <c r="A582" s="21" t="s">
        <v>3159</v>
      </c>
      <c r="B582" s="22" t="s">
        <v>3160</v>
      </c>
      <c r="C582" s="2">
        <v>1</v>
      </c>
      <c r="D582" s="23">
        <v>6.99</v>
      </c>
      <c r="E582" s="3">
        <v>6.99</v>
      </c>
      <c r="F582" s="2" t="s">
        <v>9207</v>
      </c>
      <c r="G582" s="22" t="s">
        <v>19618</v>
      </c>
      <c r="H582" s="24" t="s">
        <v>19339</v>
      </c>
      <c r="I582" s="22" t="s">
        <v>19309</v>
      </c>
      <c r="J582" s="22" t="s">
        <v>19454</v>
      </c>
      <c r="K582" s="22" t="s">
        <v>18654</v>
      </c>
      <c r="L582" s="22"/>
      <c r="M582" s="22"/>
      <c r="N582" s="25" t="str">
        <f>HYPERLINK("http://slimages.macys.com/is/image/MCY/19257819 ")</f>
        <v xml:space="preserve">http://slimages.macys.com/is/image/MCY/19257819 </v>
      </c>
    </row>
    <row r="583" spans="1:14" ht="24.75" x14ac:dyDescent="0.25">
      <c r="A583" s="21" t="s">
        <v>6215</v>
      </c>
      <c r="B583" s="22" t="s">
        <v>6216</v>
      </c>
      <c r="C583" s="2">
        <v>2</v>
      </c>
      <c r="D583" s="23">
        <v>6.99</v>
      </c>
      <c r="E583" s="3">
        <v>13.98</v>
      </c>
      <c r="F583" s="2" t="s">
        <v>6217</v>
      </c>
      <c r="G583" s="22" t="s">
        <v>19618</v>
      </c>
      <c r="H583" s="24" t="s">
        <v>19330</v>
      </c>
      <c r="I583" s="22" t="s">
        <v>19309</v>
      </c>
      <c r="J583" s="22" t="s">
        <v>19573</v>
      </c>
      <c r="K583" s="22" t="s">
        <v>19574</v>
      </c>
      <c r="L583" s="22"/>
      <c r="M583" s="22"/>
      <c r="N583" s="25" t="str">
        <f>HYPERLINK("http://slimages.macys.com/is/image/MCY/19977728 ")</f>
        <v xml:space="preserve">http://slimages.macys.com/is/image/MCY/19977728 </v>
      </c>
    </row>
    <row r="584" spans="1:14" ht="24.75" x14ac:dyDescent="0.25">
      <c r="A584" s="21" t="s">
        <v>3161</v>
      </c>
      <c r="B584" s="22" t="s">
        <v>3162</v>
      </c>
      <c r="C584" s="2">
        <v>2</v>
      </c>
      <c r="D584" s="23">
        <v>6.99</v>
      </c>
      <c r="E584" s="3">
        <v>13.98</v>
      </c>
      <c r="F584" s="2" t="s">
        <v>6217</v>
      </c>
      <c r="G584" s="22" t="s">
        <v>19618</v>
      </c>
      <c r="H584" s="24" t="s">
        <v>19384</v>
      </c>
      <c r="I584" s="22" t="s">
        <v>19309</v>
      </c>
      <c r="J584" s="22" t="s">
        <v>19573</v>
      </c>
      <c r="K584" s="22" t="s">
        <v>19574</v>
      </c>
      <c r="L584" s="22"/>
      <c r="M584" s="22"/>
      <c r="N584" s="25" t="str">
        <f>HYPERLINK("http://slimages.macys.com/is/image/MCY/19977728 ")</f>
        <v xml:space="preserve">http://slimages.macys.com/is/image/MCY/19977728 </v>
      </c>
    </row>
    <row r="585" spans="1:14" ht="24.75" x14ac:dyDescent="0.25">
      <c r="A585" s="21" t="s">
        <v>3163</v>
      </c>
      <c r="B585" s="22" t="s">
        <v>3164</v>
      </c>
      <c r="C585" s="2">
        <v>1</v>
      </c>
      <c r="D585" s="23">
        <v>6.99</v>
      </c>
      <c r="E585" s="3">
        <v>6.99</v>
      </c>
      <c r="F585" s="2" t="s">
        <v>6217</v>
      </c>
      <c r="G585" s="22" t="s">
        <v>19618</v>
      </c>
      <c r="H585" s="24" t="s">
        <v>19416</v>
      </c>
      <c r="I585" s="22" t="s">
        <v>19309</v>
      </c>
      <c r="J585" s="22" t="s">
        <v>19573</v>
      </c>
      <c r="K585" s="22" t="s">
        <v>19574</v>
      </c>
      <c r="L585" s="22"/>
      <c r="M585" s="22"/>
      <c r="N585" s="25" t="str">
        <f>HYPERLINK("http://slimages.macys.com/is/image/MCY/19977728 ")</f>
        <v xml:space="preserve">http://slimages.macys.com/is/image/MCY/19977728 </v>
      </c>
    </row>
    <row r="586" spans="1:14" ht="24.75" x14ac:dyDescent="0.25">
      <c r="A586" s="21" t="s">
        <v>3165</v>
      </c>
      <c r="B586" s="22" t="s">
        <v>3166</v>
      </c>
      <c r="C586" s="2">
        <v>1</v>
      </c>
      <c r="D586" s="23">
        <v>6.99</v>
      </c>
      <c r="E586" s="3">
        <v>6.99</v>
      </c>
      <c r="F586" s="2" t="s">
        <v>3167</v>
      </c>
      <c r="G586" s="22" t="s">
        <v>19618</v>
      </c>
      <c r="H586" s="24" t="s">
        <v>19416</v>
      </c>
      <c r="I586" s="22" t="s">
        <v>19309</v>
      </c>
      <c r="J586" s="22" t="s">
        <v>19573</v>
      </c>
      <c r="K586" s="22" t="s">
        <v>19574</v>
      </c>
      <c r="L586" s="22"/>
      <c r="M586" s="22"/>
      <c r="N586" s="25" t="str">
        <f>HYPERLINK("http://slimages.macys.com/is/image/MCY/19588592 ")</f>
        <v xml:space="preserve">http://slimages.macys.com/is/image/MCY/19588592 </v>
      </c>
    </row>
    <row r="587" spans="1:14" ht="24.75" x14ac:dyDescent="0.25">
      <c r="A587" s="21" t="s">
        <v>3168</v>
      </c>
      <c r="B587" s="22" t="s">
        <v>3169</v>
      </c>
      <c r="C587" s="2">
        <v>1</v>
      </c>
      <c r="D587" s="23">
        <v>7.99</v>
      </c>
      <c r="E587" s="3">
        <v>7.99</v>
      </c>
      <c r="F587" s="2" t="s">
        <v>3170</v>
      </c>
      <c r="G587" s="22" t="s">
        <v>19351</v>
      </c>
      <c r="H587" s="24" t="s">
        <v>19907</v>
      </c>
      <c r="I587" s="22" t="s">
        <v>19309</v>
      </c>
      <c r="J587" s="22" t="s">
        <v>19573</v>
      </c>
      <c r="K587" s="22" t="s">
        <v>19574</v>
      </c>
      <c r="L587" s="22"/>
      <c r="M587" s="22"/>
      <c r="N587" s="25" t="str">
        <f>HYPERLINK("http://slimages.macys.com/is/image/MCY/19977723 ")</f>
        <v xml:space="preserve">http://slimages.macys.com/is/image/MCY/19977723 </v>
      </c>
    </row>
    <row r="588" spans="1:14" ht="24.75" x14ac:dyDescent="0.25">
      <c r="A588" s="21" t="s">
        <v>3171</v>
      </c>
      <c r="B588" s="22" t="s">
        <v>3172</v>
      </c>
      <c r="C588" s="2">
        <v>1</v>
      </c>
      <c r="D588" s="23">
        <v>6.99</v>
      </c>
      <c r="E588" s="3">
        <v>6.99</v>
      </c>
      <c r="F588" s="2" t="s">
        <v>3173</v>
      </c>
      <c r="G588" s="22" t="s">
        <v>19323</v>
      </c>
      <c r="H588" s="24" t="s">
        <v>19339</v>
      </c>
      <c r="I588" s="22" t="s">
        <v>19309</v>
      </c>
      <c r="J588" s="22" t="s">
        <v>19353</v>
      </c>
      <c r="K588" s="22" t="s">
        <v>19524</v>
      </c>
      <c r="L588" s="22"/>
      <c r="M588" s="22"/>
      <c r="N588" s="25" t="str">
        <f>HYPERLINK("http://slimages.macys.com/is/image/MCY/19252883 ")</f>
        <v xml:space="preserve">http://slimages.macys.com/is/image/MCY/19252883 </v>
      </c>
    </row>
    <row r="589" spans="1:14" ht="24.75" x14ac:dyDescent="0.25">
      <c r="A589" s="21" t="s">
        <v>3174</v>
      </c>
      <c r="B589" s="22" t="s">
        <v>3175</v>
      </c>
      <c r="C589" s="2">
        <v>1</v>
      </c>
      <c r="D589" s="23">
        <v>6.99</v>
      </c>
      <c r="E589" s="3">
        <v>6.99</v>
      </c>
      <c r="F589" s="2" t="s">
        <v>3176</v>
      </c>
      <c r="G589" s="22" t="s">
        <v>19518</v>
      </c>
      <c r="H589" s="24" t="s">
        <v>19324</v>
      </c>
      <c r="I589" s="22" t="s">
        <v>19309</v>
      </c>
      <c r="J589" s="22" t="s">
        <v>19573</v>
      </c>
      <c r="K589" s="22" t="s">
        <v>19574</v>
      </c>
      <c r="L589" s="22"/>
      <c r="M589" s="22"/>
      <c r="N589" s="25" t="str">
        <f>HYPERLINK("http://slimages.macys.com/is/image/MCY/20385781 ")</f>
        <v xml:space="preserve">http://slimages.macys.com/is/image/MCY/20385781 </v>
      </c>
    </row>
    <row r="590" spans="1:14" ht="24.75" x14ac:dyDescent="0.25">
      <c r="A590" s="21" t="s">
        <v>3177</v>
      </c>
      <c r="B590" s="22" t="s">
        <v>3178</v>
      </c>
      <c r="C590" s="2">
        <v>1</v>
      </c>
      <c r="D590" s="23">
        <v>6.99</v>
      </c>
      <c r="E590" s="3">
        <v>6.99</v>
      </c>
      <c r="F590" s="2" t="s">
        <v>3179</v>
      </c>
      <c r="G590" s="22" t="s">
        <v>19431</v>
      </c>
      <c r="H590" s="24" t="s">
        <v>19330</v>
      </c>
      <c r="I590" s="22" t="s">
        <v>19309</v>
      </c>
      <c r="J590" s="22" t="s">
        <v>19573</v>
      </c>
      <c r="K590" s="22" t="s">
        <v>19574</v>
      </c>
      <c r="L590" s="22"/>
      <c r="M590" s="22"/>
      <c r="N590" s="25" t="str">
        <f>HYPERLINK("http://slimages.macys.com/is/image/MCY/20386028 ")</f>
        <v xml:space="preserve">http://slimages.macys.com/is/image/MCY/20386028 </v>
      </c>
    </row>
    <row r="591" spans="1:14" ht="24.75" x14ac:dyDescent="0.25">
      <c r="A591" s="21" t="s">
        <v>3180</v>
      </c>
      <c r="B591" s="22" t="s">
        <v>3181</v>
      </c>
      <c r="C591" s="2">
        <v>1</v>
      </c>
      <c r="D591" s="23">
        <v>6.99</v>
      </c>
      <c r="E591" s="3">
        <v>6.99</v>
      </c>
      <c r="F591" s="2" t="s">
        <v>3182</v>
      </c>
      <c r="G591" s="22" t="s">
        <v>18439</v>
      </c>
      <c r="H591" s="24" t="s">
        <v>19538</v>
      </c>
      <c r="I591" s="22" t="s">
        <v>19309</v>
      </c>
      <c r="J591" s="22" t="s">
        <v>19573</v>
      </c>
      <c r="K591" s="22" t="s">
        <v>19574</v>
      </c>
      <c r="L591" s="22"/>
      <c r="M591" s="22"/>
      <c r="N591" s="25" t="str">
        <f>HYPERLINK("http://slimages.macys.com/is/image/MCY/19217740 ")</f>
        <v xml:space="preserve">http://slimages.macys.com/is/image/MCY/19217740 </v>
      </c>
    </row>
    <row r="592" spans="1:14" ht="24.75" x14ac:dyDescent="0.25">
      <c r="A592" s="21" t="s">
        <v>3183</v>
      </c>
      <c r="B592" s="22" t="s">
        <v>3184</v>
      </c>
      <c r="C592" s="2">
        <v>1</v>
      </c>
      <c r="D592" s="23">
        <v>6.99</v>
      </c>
      <c r="E592" s="3">
        <v>6.99</v>
      </c>
      <c r="F592" s="2" t="s">
        <v>3176</v>
      </c>
      <c r="G592" s="22" t="s">
        <v>19518</v>
      </c>
      <c r="H592" s="24" t="s">
        <v>19416</v>
      </c>
      <c r="I592" s="22" t="s">
        <v>19309</v>
      </c>
      <c r="J592" s="22" t="s">
        <v>19573</v>
      </c>
      <c r="K592" s="22" t="s">
        <v>19574</v>
      </c>
      <c r="L592" s="22"/>
      <c r="M592" s="22"/>
      <c r="N592" s="25" t="str">
        <f>HYPERLINK("http://slimages.macys.com/is/image/MCY/1003386 ")</f>
        <v xml:space="preserve">http://slimages.macys.com/is/image/MCY/1003386 </v>
      </c>
    </row>
    <row r="593" spans="1:14" ht="24.75" x14ac:dyDescent="0.25">
      <c r="A593" s="21" t="s">
        <v>3185</v>
      </c>
      <c r="B593" s="22" t="s">
        <v>3186</v>
      </c>
      <c r="C593" s="2">
        <v>1</v>
      </c>
      <c r="D593" s="23">
        <v>6.99</v>
      </c>
      <c r="E593" s="3">
        <v>6.99</v>
      </c>
      <c r="F593" s="2" t="s">
        <v>3187</v>
      </c>
      <c r="G593" s="22" t="s">
        <v>19513</v>
      </c>
      <c r="H593" s="24" t="s">
        <v>19324</v>
      </c>
      <c r="I593" s="22" t="s">
        <v>19309</v>
      </c>
      <c r="J593" s="22" t="s">
        <v>19573</v>
      </c>
      <c r="K593" s="22" t="s">
        <v>19574</v>
      </c>
      <c r="L593" s="22"/>
      <c r="M593" s="22"/>
      <c r="N593" s="25" t="str">
        <f>HYPERLINK("http://slimages.macys.com/is/image/MCY/19588517 ")</f>
        <v xml:space="preserve">http://slimages.macys.com/is/image/MCY/19588517 </v>
      </c>
    </row>
    <row r="594" spans="1:14" ht="24.75" x14ac:dyDescent="0.25">
      <c r="A594" s="21" t="s">
        <v>3188</v>
      </c>
      <c r="B594" s="22" t="s">
        <v>3189</v>
      </c>
      <c r="C594" s="2">
        <v>1</v>
      </c>
      <c r="D594" s="23">
        <v>6.99</v>
      </c>
      <c r="E594" s="3">
        <v>6.99</v>
      </c>
      <c r="F594" s="2" t="s">
        <v>3190</v>
      </c>
      <c r="G594" s="22" t="s">
        <v>19618</v>
      </c>
      <c r="H594" s="24" t="s">
        <v>19538</v>
      </c>
      <c r="I594" s="22" t="s">
        <v>19309</v>
      </c>
      <c r="J594" s="22" t="s">
        <v>19573</v>
      </c>
      <c r="K594" s="22" t="s">
        <v>19574</v>
      </c>
      <c r="L594" s="22"/>
      <c r="M594" s="22"/>
      <c r="N594" s="25" t="str">
        <f>HYPERLINK("http://slimages.macys.com/is/image/MCY/19587560 ")</f>
        <v xml:space="preserve">http://slimages.macys.com/is/image/MCY/19587560 </v>
      </c>
    </row>
    <row r="595" spans="1:14" ht="24.75" x14ac:dyDescent="0.25">
      <c r="A595" s="21" t="s">
        <v>3191</v>
      </c>
      <c r="B595" s="22" t="s">
        <v>3192</v>
      </c>
      <c r="C595" s="2">
        <v>2</v>
      </c>
      <c r="D595" s="23">
        <v>6.99</v>
      </c>
      <c r="E595" s="3">
        <v>13.98</v>
      </c>
      <c r="F595" s="2" t="s">
        <v>3193</v>
      </c>
      <c r="G595" s="22" t="s">
        <v>19618</v>
      </c>
      <c r="H595" s="24" t="s">
        <v>19384</v>
      </c>
      <c r="I595" s="22" t="s">
        <v>19309</v>
      </c>
      <c r="J595" s="22" t="s">
        <v>19573</v>
      </c>
      <c r="K595" s="22" t="s">
        <v>19574</v>
      </c>
      <c r="L595" s="22"/>
      <c r="M595" s="22"/>
      <c r="N595" s="25" t="str">
        <f>HYPERLINK("http://slimages.macys.com/is/image/MCY/19977394 ")</f>
        <v xml:space="preserve">http://slimages.macys.com/is/image/MCY/19977394 </v>
      </c>
    </row>
    <row r="596" spans="1:14" ht="24.75" x14ac:dyDescent="0.25">
      <c r="A596" s="21" t="s">
        <v>3194</v>
      </c>
      <c r="B596" s="22" t="s">
        <v>3195</v>
      </c>
      <c r="C596" s="2">
        <v>1</v>
      </c>
      <c r="D596" s="23">
        <v>7.99</v>
      </c>
      <c r="E596" s="3">
        <v>7.99</v>
      </c>
      <c r="F596" s="2" t="s">
        <v>3196</v>
      </c>
      <c r="G596" s="22" t="s">
        <v>19518</v>
      </c>
      <c r="H596" s="24" t="s">
        <v>20135</v>
      </c>
      <c r="I596" s="22" t="s">
        <v>19309</v>
      </c>
      <c r="J596" s="22" t="s">
        <v>19573</v>
      </c>
      <c r="K596" s="22" t="s">
        <v>19574</v>
      </c>
      <c r="L596" s="22"/>
      <c r="M596" s="22"/>
      <c r="N596" s="25" t="str">
        <f>HYPERLINK("http://slimages.macys.com/is/image/MCY/20385690 ")</f>
        <v xml:space="preserve">http://slimages.macys.com/is/image/MCY/20385690 </v>
      </c>
    </row>
    <row r="597" spans="1:14" ht="24.75" x14ac:dyDescent="0.25">
      <c r="A597" s="21" t="s">
        <v>3197</v>
      </c>
      <c r="B597" s="22" t="s">
        <v>3198</v>
      </c>
      <c r="C597" s="2">
        <v>1</v>
      </c>
      <c r="D597" s="23">
        <v>6.99</v>
      </c>
      <c r="E597" s="3">
        <v>6.99</v>
      </c>
      <c r="F597" s="2" t="s">
        <v>14247</v>
      </c>
      <c r="G597" s="22" t="s">
        <v>19467</v>
      </c>
      <c r="H597" s="24" t="s">
        <v>19330</v>
      </c>
      <c r="I597" s="22" t="s">
        <v>19309</v>
      </c>
      <c r="J597" s="22" t="s">
        <v>19573</v>
      </c>
      <c r="K597" s="22" t="s">
        <v>19574</v>
      </c>
      <c r="L597" s="22"/>
      <c r="M597" s="22"/>
      <c r="N597" s="25" t="str">
        <f>HYPERLINK("http://slimages.macys.com/is/image/MCY/19977413 ")</f>
        <v xml:space="preserve">http://slimages.macys.com/is/image/MCY/19977413 </v>
      </c>
    </row>
    <row r="598" spans="1:14" ht="24.75" x14ac:dyDescent="0.25">
      <c r="A598" s="21" t="s">
        <v>4398</v>
      </c>
      <c r="B598" s="22" t="s">
        <v>4399</v>
      </c>
      <c r="C598" s="2">
        <v>1</v>
      </c>
      <c r="D598" s="23">
        <v>4.99</v>
      </c>
      <c r="E598" s="3">
        <v>4.99</v>
      </c>
      <c r="F598" s="2">
        <v>4101</v>
      </c>
      <c r="G598" s="22" t="s">
        <v>19422</v>
      </c>
      <c r="H598" s="24" t="s">
        <v>19339</v>
      </c>
      <c r="I598" s="22" t="s">
        <v>19309</v>
      </c>
      <c r="J598" s="22" t="s">
        <v>20076</v>
      </c>
      <c r="K598" s="22" t="s">
        <v>20077</v>
      </c>
      <c r="L598" s="22"/>
      <c r="M598" s="22"/>
      <c r="N598" s="25" t="str">
        <f>HYPERLINK("http://slimages.macys.com/is/image/MCY/19939990 ")</f>
        <v xml:space="preserve">http://slimages.macys.com/is/image/MCY/19939990 </v>
      </c>
    </row>
    <row r="599" spans="1:14" ht="24.75" x14ac:dyDescent="0.25">
      <c r="A599" s="21" t="s">
        <v>5273</v>
      </c>
      <c r="B599" s="22" t="s">
        <v>5274</v>
      </c>
      <c r="C599" s="2">
        <v>2</v>
      </c>
      <c r="D599" s="23">
        <v>4.99</v>
      </c>
      <c r="E599" s="3">
        <v>9.98</v>
      </c>
      <c r="F599" s="2">
        <v>4101</v>
      </c>
      <c r="G599" s="22" t="s">
        <v>19422</v>
      </c>
      <c r="H599" s="24" t="s">
        <v>19352</v>
      </c>
      <c r="I599" s="22" t="s">
        <v>19309</v>
      </c>
      <c r="J599" s="22" t="s">
        <v>20076</v>
      </c>
      <c r="K599" s="22" t="s">
        <v>20077</v>
      </c>
      <c r="L599" s="22"/>
      <c r="M599" s="22"/>
      <c r="N599" s="25" t="str">
        <f>HYPERLINK("http://slimages.macys.com/is/image/MCY/19939990 ")</f>
        <v xml:space="preserve">http://slimages.macys.com/is/image/MCY/19939990 </v>
      </c>
    </row>
    <row r="600" spans="1:14" ht="24.75" x14ac:dyDescent="0.25">
      <c r="A600" s="21" t="s">
        <v>5271</v>
      </c>
      <c r="B600" s="22" t="s">
        <v>5272</v>
      </c>
      <c r="C600" s="2">
        <v>2</v>
      </c>
      <c r="D600" s="23">
        <v>4.99</v>
      </c>
      <c r="E600" s="3">
        <v>9.98</v>
      </c>
      <c r="F600" s="2">
        <v>4101</v>
      </c>
      <c r="G600" s="22" t="s">
        <v>19422</v>
      </c>
      <c r="H600" s="24" t="s">
        <v>19364</v>
      </c>
      <c r="I600" s="22" t="s">
        <v>19309</v>
      </c>
      <c r="J600" s="22" t="s">
        <v>20076</v>
      </c>
      <c r="K600" s="22" t="s">
        <v>20077</v>
      </c>
      <c r="L600" s="22"/>
      <c r="M600" s="22"/>
      <c r="N600" s="25" t="str">
        <f>HYPERLINK("http://slimages.macys.com/is/image/MCY/19939990 ")</f>
        <v xml:space="preserve">http://slimages.macys.com/is/image/MCY/19939990 </v>
      </c>
    </row>
    <row r="601" spans="1:14" ht="24.75" x14ac:dyDescent="0.25">
      <c r="A601" s="21" t="s">
        <v>3199</v>
      </c>
      <c r="B601" s="22" t="s">
        <v>3200</v>
      </c>
      <c r="C601" s="2">
        <v>1</v>
      </c>
      <c r="D601" s="23">
        <v>6.99</v>
      </c>
      <c r="E601" s="3">
        <v>6.99</v>
      </c>
      <c r="F601" s="2" t="s">
        <v>14247</v>
      </c>
      <c r="G601" s="22" t="s">
        <v>19467</v>
      </c>
      <c r="H601" s="24" t="s">
        <v>19538</v>
      </c>
      <c r="I601" s="22" t="s">
        <v>19309</v>
      </c>
      <c r="J601" s="22" t="s">
        <v>19573</v>
      </c>
      <c r="K601" s="22" t="s">
        <v>19574</v>
      </c>
      <c r="L601" s="22"/>
      <c r="M601" s="22"/>
      <c r="N601" s="25" t="str">
        <f>HYPERLINK("http://slimages.macys.com/is/image/MCY/19977413 ")</f>
        <v xml:space="preserve">http://slimages.macys.com/is/image/MCY/19977413 </v>
      </c>
    </row>
    <row r="602" spans="1:14" ht="24.75" x14ac:dyDescent="0.25">
      <c r="A602" s="21" t="s">
        <v>3201</v>
      </c>
      <c r="B602" s="22" t="s">
        <v>3202</v>
      </c>
      <c r="C602" s="2">
        <v>1</v>
      </c>
      <c r="D602" s="23">
        <v>6.99</v>
      </c>
      <c r="E602" s="3">
        <v>6.99</v>
      </c>
      <c r="F602" s="2" t="s">
        <v>17129</v>
      </c>
      <c r="G602" s="22" t="s">
        <v>19351</v>
      </c>
      <c r="H602" s="24" t="s">
        <v>19384</v>
      </c>
      <c r="I602" s="22" t="s">
        <v>19309</v>
      </c>
      <c r="J602" s="22" t="s">
        <v>19573</v>
      </c>
      <c r="K602" s="22" t="s">
        <v>19574</v>
      </c>
      <c r="L602" s="22"/>
      <c r="M602" s="22"/>
      <c r="N602" s="25" t="str">
        <f>HYPERLINK("http://slimages.macys.com/is/image/MCY/14715178 ")</f>
        <v xml:space="preserve">http://slimages.macys.com/is/image/MCY/14715178 </v>
      </c>
    </row>
    <row r="603" spans="1:14" ht="24.75" x14ac:dyDescent="0.25">
      <c r="A603" s="21" t="s">
        <v>3203</v>
      </c>
      <c r="B603" s="22" t="s">
        <v>3204</v>
      </c>
      <c r="C603" s="2">
        <v>1</v>
      </c>
      <c r="D603" s="23">
        <v>6.99</v>
      </c>
      <c r="E603" s="3">
        <v>6.99</v>
      </c>
      <c r="F603" s="2" t="s">
        <v>3205</v>
      </c>
      <c r="G603" s="22" t="s">
        <v>18439</v>
      </c>
      <c r="H603" s="24" t="s">
        <v>19384</v>
      </c>
      <c r="I603" s="22" t="s">
        <v>19309</v>
      </c>
      <c r="J603" s="22" t="s">
        <v>19573</v>
      </c>
      <c r="K603" s="22" t="s">
        <v>19574</v>
      </c>
      <c r="L603" s="22"/>
      <c r="M603" s="22"/>
      <c r="N603" s="25" t="str">
        <f>HYPERLINK("http://slimages.macys.com/is/image/MCY/19976982 ")</f>
        <v xml:space="preserve">http://slimages.macys.com/is/image/MCY/19976982 </v>
      </c>
    </row>
    <row r="604" spans="1:14" ht="24.75" x14ac:dyDescent="0.25">
      <c r="A604" s="21" t="s">
        <v>3206</v>
      </c>
      <c r="B604" s="22" t="s">
        <v>3207</v>
      </c>
      <c r="C604" s="2">
        <v>1</v>
      </c>
      <c r="D604" s="23">
        <v>7.99</v>
      </c>
      <c r="E604" s="3">
        <v>7.99</v>
      </c>
      <c r="F604" s="2" t="s">
        <v>14253</v>
      </c>
      <c r="G604" s="22" t="s">
        <v>19518</v>
      </c>
      <c r="H604" s="24" t="s">
        <v>19907</v>
      </c>
      <c r="I604" s="22" t="s">
        <v>19309</v>
      </c>
      <c r="J604" s="22" t="s">
        <v>19573</v>
      </c>
      <c r="K604" s="22" t="s">
        <v>19574</v>
      </c>
      <c r="L604" s="22"/>
      <c r="M604" s="22"/>
      <c r="N604" s="25" t="str">
        <f>HYPERLINK("http://slimages.macys.com/is/image/MCY/19507413 ")</f>
        <v xml:space="preserve">http://slimages.macys.com/is/image/MCY/19507413 </v>
      </c>
    </row>
    <row r="605" spans="1:14" ht="24.75" x14ac:dyDescent="0.25">
      <c r="A605" s="21" t="s">
        <v>3208</v>
      </c>
      <c r="B605" s="22" t="s">
        <v>3209</v>
      </c>
      <c r="C605" s="2">
        <v>2</v>
      </c>
      <c r="D605" s="23">
        <v>6.99</v>
      </c>
      <c r="E605" s="3">
        <v>13.98</v>
      </c>
      <c r="F605" s="2" t="s">
        <v>3210</v>
      </c>
      <c r="G605" s="22" t="s">
        <v>19351</v>
      </c>
      <c r="H605" s="24" t="s">
        <v>19384</v>
      </c>
      <c r="I605" s="22" t="s">
        <v>19309</v>
      </c>
      <c r="J605" s="22" t="s">
        <v>19573</v>
      </c>
      <c r="K605" s="22" t="s">
        <v>19574</v>
      </c>
      <c r="L605" s="22"/>
      <c r="M605" s="22"/>
      <c r="N605" s="25" t="str">
        <f>HYPERLINK("http://slimages.macys.com/is/image/MCY/1096134 ")</f>
        <v xml:space="preserve">http://slimages.macys.com/is/image/MCY/1096134 </v>
      </c>
    </row>
    <row r="606" spans="1:14" ht="24.75" x14ac:dyDescent="0.25">
      <c r="A606" s="21" t="s">
        <v>3211</v>
      </c>
      <c r="B606" s="22" t="s">
        <v>3212</v>
      </c>
      <c r="C606" s="2">
        <v>1</v>
      </c>
      <c r="D606" s="23">
        <v>6.99</v>
      </c>
      <c r="E606" s="3">
        <v>6.99</v>
      </c>
      <c r="F606" s="2" t="s">
        <v>3205</v>
      </c>
      <c r="G606" s="22" t="s">
        <v>18439</v>
      </c>
      <c r="H606" s="24" t="s">
        <v>19330</v>
      </c>
      <c r="I606" s="22" t="s">
        <v>19309</v>
      </c>
      <c r="J606" s="22" t="s">
        <v>19573</v>
      </c>
      <c r="K606" s="22" t="s">
        <v>19574</v>
      </c>
      <c r="L606" s="22"/>
      <c r="M606" s="22"/>
      <c r="N606" s="25" t="str">
        <f>HYPERLINK("http://slimages.macys.com/is/image/MCY/19976982 ")</f>
        <v xml:space="preserve">http://slimages.macys.com/is/image/MCY/19976982 </v>
      </c>
    </row>
    <row r="607" spans="1:14" ht="24.75" x14ac:dyDescent="0.25">
      <c r="A607" s="21" t="s">
        <v>3213</v>
      </c>
      <c r="B607" s="22" t="s">
        <v>3214</v>
      </c>
      <c r="C607" s="2">
        <v>1</v>
      </c>
      <c r="D607" s="23">
        <v>6.99</v>
      </c>
      <c r="E607" s="3">
        <v>6.99</v>
      </c>
      <c r="F607" s="2" t="s">
        <v>3210</v>
      </c>
      <c r="G607" s="22" t="s">
        <v>19351</v>
      </c>
      <c r="H607" s="24" t="s">
        <v>19330</v>
      </c>
      <c r="I607" s="22" t="s">
        <v>19309</v>
      </c>
      <c r="J607" s="22" t="s">
        <v>19573</v>
      </c>
      <c r="K607" s="22" t="s">
        <v>19574</v>
      </c>
      <c r="L607" s="22"/>
      <c r="M607" s="22"/>
      <c r="N607" s="25" t="str">
        <f>HYPERLINK("http://slimages.macys.com/is/image/MCY/1096134 ")</f>
        <v xml:space="preserve">http://slimages.macys.com/is/image/MCY/1096134 </v>
      </c>
    </row>
    <row r="608" spans="1:14" ht="24.75" x14ac:dyDescent="0.25">
      <c r="A608" s="21" t="s">
        <v>3215</v>
      </c>
      <c r="B608" s="22" t="s">
        <v>3216</v>
      </c>
      <c r="C608" s="2">
        <v>1</v>
      </c>
      <c r="D608" s="23">
        <v>6.99</v>
      </c>
      <c r="E608" s="3">
        <v>6.99</v>
      </c>
      <c r="F608" s="2" t="s">
        <v>3210</v>
      </c>
      <c r="G608" s="22" t="s">
        <v>19351</v>
      </c>
      <c r="H608" s="24" t="s">
        <v>19538</v>
      </c>
      <c r="I608" s="22" t="s">
        <v>19309</v>
      </c>
      <c r="J608" s="22" t="s">
        <v>19573</v>
      </c>
      <c r="K608" s="22" t="s">
        <v>19574</v>
      </c>
      <c r="L608" s="22"/>
      <c r="M608" s="22"/>
      <c r="N608" s="25" t="str">
        <f>HYPERLINK("http://slimages.macys.com/is/image/MCY/1096134 ")</f>
        <v xml:space="preserve">http://slimages.macys.com/is/image/MCY/1096134 </v>
      </c>
    </row>
    <row r="609" spans="1:14" ht="24.75" x14ac:dyDescent="0.25">
      <c r="A609" s="21" t="s">
        <v>3217</v>
      </c>
      <c r="B609" s="22" t="s">
        <v>3218</v>
      </c>
      <c r="C609" s="2">
        <v>1</v>
      </c>
      <c r="D609" s="23">
        <v>6.99</v>
      </c>
      <c r="E609" s="3">
        <v>6.99</v>
      </c>
      <c r="F609" s="2" t="s">
        <v>3210</v>
      </c>
      <c r="G609" s="22" t="s">
        <v>19351</v>
      </c>
      <c r="H609" s="24" t="s">
        <v>19416</v>
      </c>
      <c r="I609" s="22" t="s">
        <v>19309</v>
      </c>
      <c r="J609" s="22" t="s">
        <v>19573</v>
      </c>
      <c r="K609" s="22" t="s">
        <v>19574</v>
      </c>
      <c r="L609" s="22"/>
      <c r="M609" s="22"/>
      <c r="N609" s="25" t="str">
        <f>HYPERLINK("http://slimages.macys.com/is/image/MCY/20402535 ")</f>
        <v xml:space="preserve">http://slimages.macys.com/is/image/MCY/20402535 </v>
      </c>
    </row>
    <row r="610" spans="1:14" ht="24.75" x14ac:dyDescent="0.25">
      <c r="A610" s="21" t="s">
        <v>3219</v>
      </c>
      <c r="B610" s="22" t="s">
        <v>3220</v>
      </c>
      <c r="C610" s="2">
        <v>1</v>
      </c>
      <c r="D610" s="23">
        <v>6.99</v>
      </c>
      <c r="E610" s="3">
        <v>6.99</v>
      </c>
      <c r="F610" s="2" t="s">
        <v>9242</v>
      </c>
      <c r="G610" s="22" t="s">
        <v>19513</v>
      </c>
      <c r="H610" s="24" t="s">
        <v>19416</v>
      </c>
      <c r="I610" s="22" t="s">
        <v>19309</v>
      </c>
      <c r="J610" s="22" t="s">
        <v>19573</v>
      </c>
      <c r="K610" s="22" t="s">
        <v>19574</v>
      </c>
      <c r="L610" s="22"/>
      <c r="M610" s="22"/>
      <c r="N610" s="25" t="str">
        <f>HYPERLINK("http://slimages.macys.com/is/image/MCY/19510950 ")</f>
        <v xml:space="preserve">http://slimages.macys.com/is/image/MCY/19510950 </v>
      </c>
    </row>
    <row r="611" spans="1:14" ht="24.75" x14ac:dyDescent="0.25">
      <c r="A611" s="21" t="s">
        <v>3221</v>
      </c>
      <c r="B611" s="22" t="s">
        <v>3222</v>
      </c>
      <c r="C611" s="2">
        <v>1</v>
      </c>
      <c r="D611" s="23">
        <v>6.99</v>
      </c>
      <c r="E611" s="3">
        <v>6.99</v>
      </c>
      <c r="F611" s="2" t="s">
        <v>9242</v>
      </c>
      <c r="G611" s="22" t="s">
        <v>19513</v>
      </c>
      <c r="H611" s="24" t="s">
        <v>19538</v>
      </c>
      <c r="I611" s="22" t="s">
        <v>19309</v>
      </c>
      <c r="J611" s="22" t="s">
        <v>19573</v>
      </c>
      <c r="K611" s="22" t="s">
        <v>19574</v>
      </c>
      <c r="L611" s="22"/>
      <c r="M611" s="22"/>
      <c r="N611" s="25" t="str">
        <f>HYPERLINK("http://slimages.macys.com/is/image/MCY/19510950 ")</f>
        <v xml:space="preserve">http://slimages.macys.com/is/image/MCY/19510950 </v>
      </c>
    </row>
    <row r="612" spans="1:14" ht="24.75" x14ac:dyDescent="0.25">
      <c r="A612" s="21" t="s">
        <v>7166</v>
      </c>
      <c r="B612" s="22" t="s">
        <v>7167</v>
      </c>
      <c r="C612" s="2">
        <v>1</v>
      </c>
      <c r="D612" s="23">
        <v>6.99</v>
      </c>
      <c r="E612" s="3">
        <v>6.99</v>
      </c>
      <c r="F612" s="2" t="s">
        <v>7168</v>
      </c>
      <c r="G612" s="22" t="s">
        <v>19467</v>
      </c>
      <c r="H612" s="24" t="s">
        <v>19538</v>
      </c>
      <c r="I612" s="22" t="s">
        <v>19309</v>
      </c>
      <c r="J612" s="22" t="s">
        <v>19573</v>
      </c>
      <c r="K612" s="22" t="s">
        <v>19574</v>
      </c>
      <c r="L612" s="22"/>
      <c r="M612" s="22"/>
      <c r="N612" s="25" t="str">
        <f>HYPERLINK("http://slimages.macys.com/is/image/MCY/1122110 ")</f>
        <v xml:space="preserve">http://slimages.macys.com/is/image/MCY/1122110 </v>
      </c>
    </row>
    <row r="613" spans="1:14" ht="24.75" x14ac:dyDescent="0.25">
      <c r="A613" s="21" t="s">
        <v>3223</v>
      </c>
      <c r="B613" s="22" t="s">
        <v>3224</v>
      </c>
      <c r="C613" s="2">
        <v>1</v>
      </c>
      <c r="D613" s="23">
        <v>6.99</v>
      </c>
      <c r="E613" s="3">
        <v>6.99</v>
      </c>
      <c r="F613" s="2" t="s">
        <v>7168</v>
      </c>
      <c r="G613" s="22" t="s">
        <v>19467</v>
      </c>
      <c r="H613" s="24" t="s">
        <v>19416</v>
      </c>
      <c r="I613" s="22" t="s">
        <v>19309</v>
      </c>
      <c r="J613" s="22" t="s">
        <v>19573</v>
      </c>
      <c r="K613" s="22" t="s">
        <v>19574</v>
      </c>
      <c r="L613" s="22"/>
      <c r="M613" s="22"/>
      <c r="N613" s="25" t="str">
        <f>HYPERLINK("http://slimages.macys.com/is/image/MCY/1122110 ")</f>
        <v xml:space="preserve">http://slimages.macys.com/is/image/MCY/1122110 </v>
      </c>
    </row>
    <row r="614" spans="1:14" x14ac:dyDescent="0.25">
      <c r="A614" s="21" t="s">
        <v>19097</v>
      </c>
      <c r="B614" s="22" t="s">
        <v>19098</v>
      </c>
      <c r="C614" s="2">
        <v>1</v>
      </c>
      <c r="D614" s="23">
        <v>5.99</v>
      </c>
      <c r="E614" s="3">
        <v>5.99</v>
      </c>
      <c r="F614" s="2" t="s">
        <v>19096</v>
      </c>
      <c r="G614" s="22" t="s">
        <v>19513</v>
      </c>
      <c r="H614" s="24" t="s">
        <v>19432</v>
      </c>
      <c r="I614" s="22" t="s">
        <v>19309</v>
      </c>
      <c r="J614" s="22" t="s">
        <v>19514</v>
      </c>
      <c r="K614" s="22" t="s">
        <v>18514</v>
      </c>
      <c r="L614" s="22" t="s">
        <v>19319</v>
      </c>
      <c r="M614" s="22" t="s">
        <v>19435</v>
      </c>
      <c r="N614" s="25" t="str">
        <f>HYPERLINK("http://slimages.macys.com/is/image/MCY/9337988 ")</f>
        <v xml:space="preserve">http://slimages.macys.com/is/image/MCY/9337988 </v>
      </c>
    </row>
    <row r="615" spans="1:14" x14ac:dyDescent="0.25">
      <c r="A615" s="21" t="s">
        <v>19094</v>
      </c>
      <c r="B615" s="22" t="s">
        <v>19095</v>
      </c>
      <c r="C615" s="2">
        <v>1</v>
      </c>
      <c r="D615" s="23">
        <v>5.99</v>
      </c>
      <c r="E615" s="3">
        <v>5.99</v>
      </c>
      <c r="F615" s="2" t="s">
        <v>19096</v>
      </c>
      <c r="G615" s="22" t="s">
        <v>19513</v>
      </c>
      <c r="H615" s="24" t="s">
        <v>19542</v>
      </c>
      <c r="I615" s="22" t="s">
        <v>19309</v>
      </c>
      <c r="J615" s="22" t="s">
        <v>19514</v>
      </c>
      <c r="K615" s="22" t="s">
        <v>18514</v>
      </c>
      <c r="L615" s="22" t="s">
        <v>19319</v>
      </c>
      <c r="M615" s="22" t="s">
        <v>19435</v>
      </c>
      <c r="N615" s="25" t="str">
        <f>HYPERLINK("http://slimages.macys.com/is/image/MCY/9337988 ")</f>
        <v xml:space="preserve">http://slimages.macys.com/is/image/MCY/9337988 </v>
      </c>
    </row>
    <row r="616" spans="1:14" x14ac:dyDescent="0.25">
      <c r="A616" s="21" t="s">
        <v>12595</v>
      </c>
      <c r="B616" s="22" t="s">
        <v>12596</v>
      </c>
      <c r="C616" s="2">
        <v>1</v>
      </c>
      <c r="D616" s="23">
        <v>5.99</v>
      </c>
      <c r="E616" s="3">
        <v>5.99</v>
      </c>
      <c r="F616" s="2" t="s">
        <v>19096</v>
      </c>
      <c r="G616" s="22" t="s">
        <v>19513</v>
      </c>
      <c r="H616" s="24" t="s">
        <v>18530</v>
      </c>
      <c r="I616" s="22" t="s">
        <v>19309</v>
      </c>
      <c r="J616" s="22" t="s">
        <v>19514</v>
      </c>
      <c r="K616" s="22" t="s">
        <v>18514</v>
      </c>
      <c r="L616" s="22" t="s">
        <v>19319</v>
      </c>
      <c r="M616" s="22" t="s">
        <v>20257</v>
      </c>
      <c r="N616" s="25" t="str">
        <f>HYPERLINK("http://slimages.macys.com/is/image/MCY/9337988 ")</f>
        <v xml:space="preserve">http://slimages.macys.com/is/image/MCY/9337988 </v>
      </c>
    </row>
    <row r="617" spans="1:14" ht="24.75" x14ac:dyDescent="0.25">
      <c r="A617" s="21" t="s">
        <v>3225</v>
      </c>
      <c r="B617" s="22" t="s">
        <v>3226</v>
      </c>
      <c r="C617" s="2">
        <v>1</v>
      </c>
      <c r="D617" s="23">
        <v>6.99</v>
      </c>
      <c r="E617" s="3">
        <v>6.99</v>
      </c>
      <c r="F617" s="2" t="s">
        <v>7168</v>
      </c>
      <c r="G617" s="22" t="s">
        <v>19467</v>
      </c>
      <c r="H617" s="24" t="s">
        <v>19384</v>
      </c>
      <c r="I617" s="22" t="s">
        <v>19309</v>
      </c>
      <c r="J617" s="22" t="s">
        <v>19573</v>
      </c>
      <c r="K617" s="22" t="s">
        <v>19574</v>
      </c>
      <c r="L617" s="22"/>
      <c r="M617" s="22"/>
      <c r="N617" s="25" t="str">
        <f>HYPERLINK("http://slimages.macys.com/is/image/MCY/1122110 ")</f>
        <v xml:space="preserve">http://slimages.macys.com/is/image/MCY/1122110 </v>
      </c>
    </row>
    <row r="618" spans="1:14" ht="24.75" x14ac:dyDescent="0.25">
      <c r="A618" s="21" t="s">
        <v>3227</v>
      </c>
      <c r="B618" s="22" t="s">
        <v>3228</v>
      </c>
      <c r="C618" s="2">
        <v>1</v>
      </c>
      <c r="D618" s="23">
        <v>6.99</v>
      </c>
      <c r="E618" s="3">
        <v>6.99</v>
      </c>
      <c r="F618" s="2" t="s">
        <v>9250</v>
      </c>
      <c r="G618" s="22" t="s">
        <v>19351</v>
      </c>
      <c r="H618" s="24" t="s">
        <v>19538</v>
      </c>
      <c r="I618" s="22" t="s">
        <v>19309</v>
      </c>
      <c r="J618" s="22" t="s">
        <v>19573</v>
      </c>
      <c r="K618" s="22" t="s">
        <v>19574</v>
      </c>
      <c r="L618" s="22"/>
      <c r="M618" s="22"/>
      <c r="N618" s="25" t="str">
        <f>HYPERLINK("http://slimages.macys.com/is/image/MCY/20134543 ")</f>
        <v xml:space="preserve">http://slimages.macys.com/is/image/MCY/20134543 </v>
      </c>
    </row>
    <row r="619" spans="1:14" ht="24.75" x14ac:dyDescent="0.25">
      <c r="A619" s="21" t="s">
        <v>3229</v>
      </c>
      <c r="B619" s="22" t="s">
        <v>3230</v>
      </c>
      <c r="C619" s="2">
        <v>3</v>
      </c>
      <c r="D619" s="23">
        <v>6.99</v>
      </c>
      <c r="E619" s="3">
        <v>20.97</v>
      </c>
      <c r="F619" s="2" t="s">
        <v>9250</v>
      </c>
      <c r="G619" s="22" t="s">
        <v>19351</v>
      </c>
      <c r="H619" s="24" t="s">
        <v>19416</v>
      </c>
      <c r="I619" s="22" t="s">
        <v>19309</v>
      </c>
      <c r="J619" s="22" t="s">
        <v>19573</v>
      </c>
      <c r="K619" s="22" t="s">
        <v>19574</v>
      </c>
      <c r="L619" s="22"/>
      <c r="M619" s="22"/>
      <c r="N619" s="25" t="str">
        <f>HYPERLINK("http://slimages.macys.com/is/image/MCY/20134543 ")</f>
        <v xml:space="preserve">http://slimages.macys.com/is/image/MCY/20134543 </v>
      </c>
    </row>
    <row r="620" spans="1:14" ht="24.75" x14ac:dyDescent="0.25">
      <c r="A620" s="21" t="s">
        <v>3231</v>
      </c>
      <c r="B620" s="22" t="s">
        <v>3232</v>
      </c>
      <c r="C620" s="2">
        <v>1</v>
      </c>
      <c r="D620" s="23">
        <v>6.99</v>
      </c>
      <c r="E620" s="3">
        <v>6.99</v>
      </c>
      <c r="F620" s="2" t="s">
        <v>9250</v>
      </c>
      <c r="G620" s="22" t="s">
        <v>19351</v>
      </c>
      <c r="H620" s="24" t="s">
        <v>19384</v>
      </c>
      <c r="I620" s="22" t="s">
        <v>19309</v>
      </c>
      <c r="J620" s="22" t="s">
        <v>19573</v>
      </c>
      <c r="K620" s="22" t="s">
        <v>19574</v>
      </c>
      <c r="L620" s="22"/>
      <c r="M620" s="22"/>
      <c r="N620" s="25" t="str">
        <f>HYPERLINK("http://slimages.macys.com/is/image/MCY/20134543 ")</f>
        <v xml:space="preserve">http://slimages.macys.com/is/image/MCY/20134543 </v>
      </c>
    </row>
    <row r="621" spans="1:14" ht="24.75" x14ac:dyDescent="0.25">
      <c r="A621" s="21" t="s">
        <v>3233</v>
      </c>
      <c r="B621" s="22" t="s">
        <v>4978</v>
      </c>
      <c r="C621" s="2">
        <v>1</v>
      </c>
      <c r="D621" s="23">
        <v>6.99</v>
      </c>
      <c r="E621" s="3">
        <v>6.99</v>
      </c>
      <c r="F621" s="2" t="s">
        <v>3234</v>
      </c>
      <c r="G621" s="22" t="s">
        <v>19618</v>
      </c>
      <c r="H621" s="24" t="s">
        <v>19330</v>
      </c>
      <c r="I621" s="22" t="s">
        <v>19309</v>
      </c>
      <c r="J621" s="22" t="s">
        <v>19573</v>
      </c>
      <c r="K621" s="22" t="s">
        <v>19574</v>
      </c>
      <c r="L621" s="22"/>
      <c r="M621" s="22"/>
      <c r="N621" s="25" t="str">
        <f>HYPERLINK("http://slimages.macys.com/is/image/MCY/19587826 ")</f>
        <v xml:space="preserve">http://slimages.macys.com/is/image/MCY/19587826 </v>
      </c>
    </row>
    <row r="622" spans="1:14" ht="24.75" x14ac:dyDescent="0.25">
      <c r="A622" s="21" t="s">
        <v>8615</v>
      </c>
      <c r="B622" s="22" t="s">
        <v>8616</v>
      </c>
      <c r="C622" s="2">
        <v>1</v>
      </c>
      <c r="D622" s="23">
        <v>6.99</v>
      </c>
      <c r="E622" s="3">
        <v>6.99</v>
      </c>
      <c r="F622" s="2" t="s">
        <v>8617</v>
      </c>
      <c r="G622" s="22" t="s">
        <v>19351</v>
      </c>
      <c r="H622" s="24" t="s">
        <v>19538</v>
      </c>
      <c r="I622" s="22" t="s">
        <v>19309</v>
      </c>
      <c r="J622" s="22" t="s">
        <v>19573</v>
      </c>
      <c r="K622" s="22" t="s">
        <v>19574</v>
      </c>
      <c r="L622" s="22"/>
      <c r="M622" s="22"/>
      <c r="N622" s="25" t="str">
        <f>HYPERLINK("http://slimages.macys.com/is/image/MCY/20134168 ")</f>
        <v xml:space="preserve">http://slimages.macys.com/is/image/MCY/20134168 </v>
      </c>
    </row>
    <row r="623" spans="1:14" ht="24.75" x14ac:dyDescent="0.25">
      <c r="A623" s="21" t="s">
        <v>9248</v>
      </c>
      <c r="B623" s="22" t="s">
        <v>9249</v>
      </c>
      <c r="C623" s="2">
        <v>1</v>
      </c>
      <c r="D623" s="23">
        <v>6.99</v>
      </c>
      <c r="E623" s="3">
        <v>6.99</v>
      </c>
      <c r="F623" s="2" t="s">
        <v>9250</v>
      </c>
      <c r="G623" s="22" t="s">
        <v>19351</v>
      </c>
      <c r="H623" s="24" t="s">
        <v>19324</v>
      </c>
      <c r="I623" s="22" t="s">
        <v>19309</v>
      </c>
      <c r="J623" s="22" t="s">
        <v>19573</v>
      </c>
      <c r="K623" s="22" t="s">
        <v>19574</v>
      </c>
      <c r="L623" s="22"/>
      <c r="M623" s="22"/>
      <c r="N623" s="25" t="str">
        <f>HYPERLINK("http://slimages.macys.com/is/image/MCY/20134543 ")</f>
        <v xml:space="preserve">http://slimages.macys.com/is/image/MCY/20134543 </v>
      </c>
    </row>
    <row r="624" spans="1:14" ht="24.75" x14ac:dyDescent="0.25">
      <c r="A624" s="21" t="s">
        <v>3235</v>
      </c>
      <c r="B624" s="22" t="s">
        <v>3236</v>
      </c>
      <c r="C624" s="2">
        <v>1</v>
      </c>
      <c r="D624" s="23">
        <v>4.99</v>
      </c>
      <c r="E624" s="3">
        <v>4.99</v>
      </c>
      <c r="F624" s="2" t="s">
        <v>3237</v>
      </c>
      <c r="G624" s="22" t="s">
        <v>19383</v>
      </c>
      <c r="H624" s="24"/>
      <c r="I624" s="22" t="s">
        <v>19309</v>
      </c>
      <c r="J624" s="22" t="s">
        <v>20076</v>
      </c>
      <c r="K624" s="22" t="s">
        <v>20077</v>
      </c>
      <c r="L624" s="22"/>
      <c r="M624" s="22"/>
      <c r="N624" s="25" t="str">
        <f>HYPERLINK("http://slimages.macys.com/is/image/MCY/17459196 ")</f>
        <v xml:space="preserve">http://slimages.macys.com/is/image/MCY/17459196 </v>
      </c>
    </row>
    <row r="625" spans="1:14" ht="24.75" x14ac:dyDescent="0.25">
      <c r="A625" s="21" t="s">
        <v>3238</v>
      </c>
      <c r="B625" s="22" t="s">
        <v>3239</v>
      </c>
      <c r="C625" s="2">
        <v>2</v>
      </c>
      <c r="D625" s="23">
        <v>6.99</v>
      </c>
      <c r="E625" s="3">
        <v>13.98</v>
      </c>
      <c r="F625" s="2" t="s">
        <v>9242</v>
      </c>
      <c r="G625" s="22" t="s">
        <v>19513</v>
      </c>
      <c r="H625" s="24" t="s">
        <v>19324</v>
      </c>
      <c r="I625" s="22" t="s">
        <v>19309</v>
      </c>
      <c r="J625" s="22" t="s">
        <v>19573</v>
      </c>
      <c r="K625" s="22" t="s">
        <v>19574</v>
      </c>
      <c r="L625" s="22"/>
      <c r="M625" s="22"/>
      <c r="N625" s="25" t="str">
        <f>HYPERLINK("http://slimages.macys.com/is/image/MCY/19510950 ")</f>
        <v xml:space="preserve">http://slimages.macys.com/is/image/MCY/19510950 </v>
      </c>
    </row>
    <row r="626" spans="1:14" ht="24.75" x14ac:dyDescent="0.25">
      <c r="A626" s="21" t="s">
        <v>3240</v>
      </c>
      <c r="B626" s="22" t="s">
        <v>3241</v>
      </c>
      <c r="C626" s="2">
        <v>1</v>
      </c>
      <c r="D626" s="23">
        <v>6.99</v>
      </c>
      <c r="E626" s="3">
        <v>6.99</v>
      </c>
      <c r="F626" s="2" t="s">
        <v>3242</v>
      </c>
      <c r="G626" s="22" t="s">
        <v>19763</v>
      </c>
      <c r="H626" s="24" t="s">
        <v>19308</v>
      </c>
      <c r="I626" s="22" t="s">
        <v>19309</v>
      </c>
      <c r="J626" s="22" t="s">
        <v>19565</v>
      </c>
      <c r="K626" s="22" t="s">
        <v>18514</v>
      </c>
      <c r="L626" s="22"/>
      <c r="M626" s="22"/>
      <c r="N626" s="25" t="str">
        <f>HYPERLINK("http://slimages.macys.com/is/image/MCY/20732897 ")</f>
        <v xml:space="preserve">http://slimages.macys.com/is/image/MCY/20732897 </v>
      </c>
    </row>
    <row r="627" spans="1:14" ht="24.75" x14ac:dyDescent="0.25">
      <c r="A627" s="21" t="s">
        <v>3243</v>
      </c>
      <c r="B627" s="22" t="s">
        <v>3244</v>
      </c>
      <c r="C627" s="2">
        <v>1</v>
      </c>
      <c r="D627" s="23">
        <v>4.99</v>
      </c>
      <c r="E627" s="3">
        <v>4.99</v>
      </c>
      <c r="F627" s="2" t="s">
        <v>3237</v>
      </c>
      <c r="G627" s="22" t="s">
        <v>19383</v>
      </c>
      <c r="H627" s="24"/>
      <c r="I627" s="22" t="s">
        <v>19309</v>
      </c>
      <c r="J627" s="22" t="s">
        <v>20076</v>
      </c>
      <c r="K627" s="22" t="s">
        <v>20077</v>
      </c>
      <c r="L627" s="22"/>
      <c r="M627" s="22"/>
      <c r="N627" s="25" t="str">
        <f>HYPERLINK("http://slimages.macys.com/is/image/MCY/17459196 ")</f>
        <v xml:space="preserve">http://slimages.macys.com/is/image/MCY/17459196 </v>
      </c>
    </row>
    <row r="628" spans="1:14" ht="24.75" x14ac:dyDescent="0.25">
      <c r="A628" s="21" t="s">
        <v>19117</v>
      </c>
      <c r="B628" s="22" t="s">
        <v>19118</v>
      </c>
      <c r="C628" s="2">
        <v>1</v>
      </c>
      <c r="D628" s="23">
        <v>5.99</v>
      </c>
      <c r="E628" s="3">
        <v>5.99</v>
      </c>
      <c r="F628" s="2" t="s">
        <v>19109</v>
      </c>
      <c r="G628" s="22" t="s">
        <v>19670</v>
      </c>
      <c r="H628" s="24" t="s">
        <v>19538</v>
      </c>
      <c r="I628" s="22" t="s">
        <v>19309</v>
      </c>
      <c r="J628" s="22" t="s">
        <v>19573</v>
      </c>
      <c r="K628" s="22" t="s">
        <v>19574</v>
      </c>
      <c r="L628" s="22"/>
      <c r="M628" s="22"/>
      <c r="N628" s="25" t="str">
        <f>HYPERLINK("http://slimages.macys.com/is/image/MCY/21209381 ")</f>
        <v xml:space="preserve">http://slimages.macys.com/is/image/MCY/21209381 </v>
      </c>
    </row>
    <row r="629" spans="1:14" ht="24.75" x14ac:dyDescent="0.25">
      <c r="A629" s="21" t="s">
        <v>14783</v>
      </c>
      <c r="B629" s="22" t="s">
        <v>14784</v>
      </c>
      <c r="C629" s="2">
        <v>1</v>
      </c>
      <c r="D629" s="23">
        <v>11.99</v>
      </c>
      <c r="E629" s="3">
        <v>11.99</v>
      </c>
      <c r="F629" s="2" t="s">
        <v>14785</v>
      </c>
      <c r="G629" s="22" t="s">
        <v>19383</v>
      </c>
      <c r="H629" s="24" t="s">
        <v>19352</v>
      </c>
      <c r="I629" s="22" t="s">
        <v>19309</v>
      </c>
      <c r="J629" s="22" t="s">
        <v>20076</v>
      </c>
      <c r="K629" s="22" t="s">
        <v>20077</v>
      </c>
      <c r="L629" s="22" t="s">
        <v>19319</v>
      </c>
      <c r="M629" s="22" t="s">
        <v>19209</v>
      </c>
      <c r="N629" s="25" t="str">
        <f>HYPERLINK("http://slimages.macys.com/is/image/MCY/3325503 ")</f>
        <v xml:space="preserve">http://slimages.macys.com/is/image/MCY/3325503 </v>
      </c>
    </row>
    <row r="630" spans="1:14" ht="24.75" x14ac:dyDescent="0.25">
      <c r="A630" s="21" t="s">
        <v>8620</v>
      </c>
      <c r="B630" s="22" t="s">
        <v>8621</v>
      </c>
      <c r="C630" s="2">
        <v>1</v>
      </c>
      <c r="D630" s="23">
        <v>6.99</v>
      </c>
      <c r="E630" s="3">
        <v>6.99</v>
      </c>
      <c r="F630" s="2" t="s">
        <v>8622</v>
      </c>
      <c r="G630" s="22" t="s">
        <v>19351</v>
      </c>
      <c r="H630" s="24" t="s">
        <v>19330</v>
      </c>
      <c r="I630" s="22" t="s">
        <v>19309</v>
      </c>
      <c r="J630" s="22" t="s">
        <v>19573</v>
      </c>
      <c r="K630" s="22" t="s">
        <v>19574</v>
      </c>
      <c r="L630" s="22"/>
      <c r="M630" s="22"/>
      <c r="N630" s="25" t="str">
        <f>HYPERLINK("http://slimages.macys.com/is/image/MCY/20540912 ")</f>
        <v xml:space="preserve">http://slimages.macys.com/is/image/MCY/20540912 </v>
      </c>
    </row>
    <row r="631" spans="1:14" ht="24.75" x14ac:dyDescent="0.25">
      <c r="A631" s="21" t="s">
        <v>3245</v>
      </c>
      <c r="B631" s="22" t="s">
        <v>3246</v>
      </c>
      <c r="C631" s="2">
        <v>1</v>
      </c>
      <c r="D631" s="23">
        <v>6.99</v>
      </c>
      <c r="E631" s="3">
        <v>6.99</v>
      </c>
      <c r="F631" s="2" t="s">
        <v>3247</v>
      </c>
      <c r="G631" s="22" t="s">
        <v>19618</v>
      </c>
      <c r="H631" s="24" t="s">
        <v>19384</v>
      </c>
      <c r="I631" s="22" t="s">
        <v>19309</v>
      </c>
      <c r="J631" s="22" t="s">
        <v>19573</v>
      </c>
      <c r="K631" s="22" t="s">
        <v>19574</v>
      </c>
      <c r="L631" s="22"/>
      <c r="M631" s="22"/>
      <c r="N631" s="25" t="str">
        <f>HYPERLINK("http://slimages.macys.com/is/image/MCY/19588641 ")</f>
        <v xml:space="preserve">http://slimages.macys.com/is/image/MCY/19588641 </v>
      </c>
    </row>
    <row r="632" spans="1:14" ht="24.75" x14ac:dyDescent="0.25">
      <c r="A632" s="21" t="s">
        <v>3248</v>
      </c>
      <c r="B632" s="22" t="s">
        <v>3249</v>
      </c>
      <c r="C632" s="2">
        <v>1</v>
      </c>
      <c r="D632" s="23">
        <v>6.99</v>
      </c>
      <c r="E632" s="3">
        <v>6.99</v>
      </c>
      <c r="F632" s="2" t="s">
        <v>8622</v>
      </c>
      <c r="G632" s="22" t="s">
        <v>19351</v>
      </c>
      <c r="H632" s="24" t="s">
        <v>19416</v>
      </c>
      <c r="I632" s="22" t="s">
        <v>19309</v>
      </c>
      <c r="J632" s="22" t="s">
        <v>19573</v>
      </c>
      <c r="K632" s="22" t="s">
        <v>19574</v>
      </c>
      <c r="L632" s="22"/>
      <c r="M632" s="22"/>
      <c r="N632" s="25" t="str">
        <f>HYPERLINK("http://slimages.macys.com/is/image/MCY/20540912 ")</f>
        <v xml:space="preserve">http://slimages.macys.com/is/image/MCY/20540912 </v>
      </c>
    </row>
    <row r="633" spans="1:14" ht="24.75" x14ac:dyDescent="0.25">
      <c r="A633" s="21" t="s">
        <v>3250</v>
      </c>
      <c r="B633" s="22" t="s">
        <v>3251</v>
      </c>
      <c r="C633" s="2">
        <v>1</v>
      </c>
      <c r="D633" s="23">
        <v>6.99</v>
      </c>
      <c r="E633" s="3">
        <v>6.99</v>
      </c>
      <c r="F633" s="2" t="s">
        <v>8622</v>
      </c>
      <c r="G633" s="22" t="s">
        <v>19351</v>
      </c>
      <c r="H633" s="24" t="s">
        <v>19538</v>
      </c>
      <c r="I633" s="22" t="s">
        <v>19309</v>
      </c>
      <c r="J633" s="22" t="s">
        <v>19573</v>
      </c>
      <c r="K633" s="22" t="s">
        <v>19574</v>
      </c>
      <c r="L633" s="22"/>
      <c r="M633" s="22"/>
      <c r="N633" s="25" t="str">
        <f>HYPERLINK("http://slimages.macys.com/is/image/MCY/20540912 ")</f>
        <v xml:space="preserve">http://slimages.macys.com/is/image/MCY/20540912 </v>
      </c>
    </row>
    <row r="634" spans="1:14" ht="24.75" x14ac:dyDescent="0.25">
      <c r="A634" s="21" t="s">
        <v>3252</v>
      </c>
      <c r="B634" s="22" t="s">
        <v>3253</v>
      </c>
      <c r="C634" s="2">
        <v>1</v>
      </c>
      <c r="D634" s="23">
        <v>5.99</v>
      </c>
      <c r="E634" s="3">
        <v>5.99</v>
      </c>
      <c r="F634" s="2" t="s">
        <v>3254</v>
      </c>
      <c r="G634" s="22" t="s">
        <v>19431</v>
      </c>
      <c r="H634" s="24" t="s">
        <v>19384</v>
      </c>
      <c r="I634" s="22" t="s">
        <v>19309</v>
      </c>
      <c r="J634" s="22" t="s">
        <v>19573</v>
      </c>
      <c r="K634" s="22" t="s">
        <v>19574</v>
      </c>
      <c r="L634" s="22"/>
      <c r="M634" s="22"/>
      <c r="N634" s="25" t="str">
        <f>HYPERLINK("http://slimages.macys.com/is/image/MCY/16999696 ")</f>
        <v xml:space="preserve">http://slimages.macys.com/is/image/MCY/16999696 </v>
      </c>
    </row>
    <row r="635" spans="1:14" ht="24.75" x14ac:dyDescent="0.25">
      <c r="A635" s="21" t="s">
        <v>14265</v>
      </c>
      <c r="B635" s="22" t="s">
        <v>14266</v>
      </c>
      <c r="C635" s="2">
        <v>1</v>
      </c>
      <c r="D635" s="23">
        <v>6.99</v>
      </c>
      <c r="E635" s="3">
        <v>6.99</v>
      </c>
      <c r="F635" s="2" t="s">
        <v>14267</v>
      </c>
      <c r="G635" s="22" t="s">
        <v>19518</v>
      </c>
      <c r="H635" s="24" t="s">
        <v>19330</v>
      </c>
      <c r="I635" s="22" t="s">
        <v>19309</v>
      </c>
      <c r="J635" s="22" t="s">
        <v>19573</v>
      </c>
      <c r="K635" s="22" t="s">
        <v>19574</v>
      </c>
      <c r="L635" s="22"/>
      <c r="M635" s="22"/>
      <c r="N635" s="25" t="str">
        <f>HYPERLINK("http://slimages.macys.com/is/image/MCY/992998 ")</f>
        <v xml:space="preserve">http://slimages.macys.com/is/image/MCY/992998 </v>
      </c>
    </row>
    <row r="636" spans="1:14" ht="24.75" x14ac:dyDescent="0.25">
      <c r="A636" s="21" t="s">
        <v>14270</v>
      </c>
      <c r="B636" s="22" t="s">
        <v>14271</v>
      </c>
      <c r="C636" s="2">
        <v>1</v>
      </c>
      <c r="D636" s="23">
        <v>6.99</v>
      </c>
      <c r="E636" s="3">
        <v>6.99</v>
      </c>
      <c r="F636" s="2" t="s">
        <v>14267</v>
      </c>
      <c r="G636" s="22" t="s">
        <v>19518</v>
      </c>
      <c r="H636" s="24" t="s">
        <v>19416</v>
      </c>
      <c r="I636" s="22" t="s">
        <v>19309</v>
      </c>
      <c r="J636" s="22" t="s">
        <v>19573</v>
      </c>
      <c r="K636" s="22" t="s">
        <v>19574</v>
      </c>
      <c r="L636" s="22"/>
      <c r="M636" s="22"/>
      <c r="N636" s="25" t="str">
        <f>HYPERLINK("http://slimages.macys.com/is/image/MCY/992998 ")</f>
        <v xml:space="preserve">http://slimages.macys.com/is/image/MCY/992998 </v>
      </c>
    </row>
    <row r="637" spans="1:14" ht="24.75" x14ac:dyDescent="0.25">
      <c r="A637" s="21" t="s">
        <v>14278</v>
      </c>
      <c r="B637" s="22" t="s">
        <v>14279</v>
      </c>
      <c r="C637" s="2">
        <v>1</v>
      </c>
      <c r="D637" s="23">
        <v>6.99</v>
      </c>
      <c r="E637" s="3">
        <v>6.99</v>
      </c>
      <c r="F637" s="2" t="s">
        <v>14267</v>
      </c>
      <c r="G637" s="22" t="s">
        <v>19518</v>
      </c>
      <c r="H637" s="24" t="s">
        <v>19538</v>
      </c>
      <c r="I637" s="22" t="s">
        <v>19309</v>
      </c>
      <c r="J637" s="22" t="s">
        <v>19573</v>
      </c>
      <c r="K637" s="22" t="s">
        <v>19574</v>
      </c>
      <c r="L637" s="22"/>
      <c r="M637" s="22"/>
      <c r="N637" s="25" t="str">
        <f>HYPERLINK("http://slimages.macys.com/is/image/MCY/992998 ")</f>
        <v xml:space="preserve">http://slimages.macys.com/is/image/MCY/992998 </v>
      </c>
    </row>
    <row r="638" spans="1:14" ht="24.75" x14ac:dyDescent="0.25">
      <c r="A638" s="21" t="s">
        <v>3255</v>
      </c>
      <c r="B638" s="22" t="s">
        <v>3256</v>
      </c>
      <c r="C638" s="2">
        <v>1</v>
      </c>
      <c r="D638" s="23">
        <v>6.99</v>
      </c>
      <c r="E638" s="3">
        <v>6.99</v>
      </c>
      <c r="F638" s="2" t="s">
        <v>9261</v>
      </c>
      <c r="G638" s="22" t="s">
        <v>19351</v>
      </c>
      <c r="H638" s="24" t="s">
        <v>19416</v>
      </c>
      <c r="I638" s="22" t="s">
        <v>19309</v>
      </c>
      <c r="J638" s="22" t="s">
        <v>19573</v>
      </c>
      <c r="K638" s="22" t="s">
        <v>19574</v>
      </c>
      <c r="L638" s="22"/>
      <c r="M638" s="22"/>
      <c r="N638" s="25" t="str">
        <f>HYPERLINK("http://slimages.macys.com/is/image/MCY/19977451 ")</f>
        <v xml:space="preserve">http://slimages.macys.com/is/image/MCY/19977451 </v>
      </c>
    </row>
    <row r="639" spans="1:14" ht="24.75" x14ac:dyDescent="0.25">
      <c r="A639" s="21" t="s">
        <v>3257</v>
      </c>
      <c r="B639" s="22" t="s">
        <v>3258</v>
      </c>
      <c r="C639" s="2">
        <v>1</v>
      </c>
      <c r="D639" s="23">
        <v>6.99</v>
      </c>
      <c r="E639" s="3">
        <v>6.99</v>
      </c>
      <c r="F639" s="2" t="s">
        <v>3259</v>
      </c>
      <c r="G639" s="22" t="s">
        <v>19513</v>
      </c>
      <c r="H639" s="24" t="s">
        <v>19538</v>
      </c>
      <c r="I639" s="22" t="s">
        <v>19309</v>
      </c>
      <c r="J639" s="22" t="s">
        <v>19573</v>
      </c>
      <c r="K639" s="22" t="s">
        <v>19574</v>
      </c>
      <c r="L639" s="22"/>
      <c r="M639" s="22"/>
      <c r="N639" s="25" t="str">
        <f>HYPERLINK("http://slimages.macys.com/is/image/MCY/13987473 ")</f>
        <v xml:space="preserve">http://slimages.macys.com/is/image/MCY/13987473 </v>
      </c>
    </row>
    <row r="640" spans="1:14" ht="24.75" x14ac:dyDescent="0.25">
      <c r="A640" s="21" t="s">
        <v>3260</v>
      </c>
      <c r="B640" s="22" t="s">
        <v>3261</v>
      </c>
      <c r="C640" s="2">
        <v>1</v>
      </c>
      <c r="D640" s="23">
        <v>6.99</v>
      </c>
      <c r="E640" s="3">
        <v>6.99</v>
      </c>
      <c r="F640" s="2" t="s">
        <v>9261</v>
      </c>
      <c r="G640" s="22" t="s">
        <v>19462</v>
      </c>
      <c r="H640" s="24" t="s">
        <v>19416</v>
      </c>
      <c r="I640" s="22" t="s">
        <v>19309</v>
      </c>
      <c r="J640" s="22" t="s">
        <v>19573</v>
      </c>
      <c r="K640" s="22" t="s">
        <v>19574</v>
      </c>
      <c r="L640" s="22"/>
      <c r="M640" s="22"/>
      <c r="N640" s="25" t="str">
        <f>HYPERLINK("http://slimages.macys.com/is/image/MCY/19977451 ")</f>
        <v xml:space="preserve">http://slimages.macys.com/is/image/MCY/19977451 </v>
      </c>
    </row>
    <row r="641" spans="1:14" ht="24.75" x14ac:dyDescent="0.25">
      <c r="A641" s="21" t="s">
        <v>14812</v>
      </c>
      <c r="B641" s="22" t="s">
        <v>14813</v>
      </c>
      <c r="C641" s="2">
        <v>3</v>
      </c>
      <c r="D641" s="23">
        <v>6.99</v>
      </c>
      <c r="E641" s="3">
        <v>20.97</v>
      </c>
      <c r="F641" s="2" t="s">
        <v>14809</v>
      </c>
      <c r="G641" s="22" t="s">
        <v>19674</v>
      </c>
      <c r="H641" s="24" t="s">
        <v>19330</v>
      </c>
      <c r="I641" s="22" t="s">
        <v>19309</v>
      </c>
      <c r="J641" s="22" t="s">
        <v>19573</v>
      </c>
      <c r="K641" s="22" t="s">
        <v>19574</v>
      </c>
      <c r="L641" s="22"/>
      <c r="M641" s="22"/>
      <c r="N641" s="25" t="str">
        <f>HYPERLINK("http://slimages.macys.com/is/image/MCY/20385753 ")</f>
        <v xml:space="preserve">http://slimages.macys.com/is/image/MCY/20385753 </v>
      </c>
    </row>
    <row r="642" spans="1:14" ht="24.75" x14ac:dyDescent="0.25">
      <c r="A642" s="21" t="s">
        <v>14807</v>
      </c>
      <c r="B642" s="22" t="s">
        <v>14808</v>
      </c>
      <c r="C642" s="2">
        <v>2</v>
      </c>
      <c r="D642" s="23">
        <v>6.99</v>
      </c>
      <c r="E642" s="3">
        <v>13.98</v>
      </c>
      <c r="F642" s="2" t="s">
        <v>14809</v>
      </c>
      <c r="G642" s="22" t="s">
        <v>19674</v>
      </c>
      <c r="H642" s="24" t="s">
        <v>19324</v>
      </c>
      <c r="I642" s="22" t="s">
        <v>19309</v>
      </c>
      <c r="J642" s="22" t="s">
        <v>19573</v>
      </c>
      <c r="K642" s="22" t="s">
        <v>19574</v>
      </c>
      <c r="L642" s="22"/>
      <c r="M642" s="22"/>
      <c r="N642" s="25" t="str">
        <f>HYPERLINK("http://slimages.macys.com/is/image/MCY/20385753 ")</f>
        <v xml:space="preserve">http://slimages.macys.com/is/image/MCY/20385753 </v>
      </c>
    </row>
    <row r="643" spans="1:14" ht="24.75" x14ac:dyDescent="0.25">
      <c r="A643" s="21" t="s">
        <v>3262</v>
      </c>
      <c r="B643" s="22" t="s">
        <v>3263</v>
      </c>
      <c r="C643" s="2">
        <v>1</v>
      </c>
      <c r="D643" s="23">
        <v>6.99</v>
      </c>
      <c r="E643" s="3">
        <v>6.99</v>
      </c>
      <c r="F643" s="2" t="s">
        <v>3264</v>
      </c>
      <c r="G643" s="22" t="s">
        <v>18821</v>
      </c>
      <c r="H643" s="24" t="s">
        <v>19324</v>
      </c>
      <c r="I643" s="22" t="s">
        <v>19309</v>
      </c>
      <c r="J643" s="22" t="s">
        <v>19573</v>
      </c>
      <c r="K643" s="22" t="s">
        <v>19574</v>
      </c>
      <c r="L643" s="22"/>
      <c r="M643" s="22"/>
      <c r="N643" s="25" t="str">
        <f>HYPERLINK("http://slimages.macys.com/is/image/MCY/1041674 ")</f>
        <v xml:space="preserve">http://slimages.macys.com/is/image/MCY/1041674 </v>
      </c>
    </row>
    <row r="644" spans="1:14" ht="24.75" x14ac:dyDescent="0.25">
      <c r="A644" s="21" t="s">
        <v>3265</v>
      </c>
      <c r="B644" s="22" t="s">
        <v>3266</v>
      </c>
      <c r="C644" s="2">
        <v>1</v>
      </c>
      <c r="D644" s="23">
        <v>6.99</v>
      </c>
      <c r="E644" s="3">
        <v>6.99</v>
      </c>
      <c r="F644" s="2" t="s">
        <v>9267</v>
      </c>
      <c r="G644" s="22" t="s">
        <v>18429</v>
      </c>
      <c r="H644" s="24" t="s">
        <v>19330</v>
      </c>
      <c r="I644" s="22" t="s">
        <v>19309</v>
      </c>
      <c r="J644" s="22" t="s">
        <v>19573</v>
      </c>
      <c r="K644" s="22" t="s">
        <v>19574</v>
      </c>
      <c r="L644" s="22"/>
      <c r="M644" s="22"/>
      <c r="N644" s="25" t="str">
        <f>HYPERLINK("http://slimages.macys.com/is/image/MCY/19507809 ")</f>
        <v xml:space="preserve">http://slimages.macys.com/is/image/MCY/19507809 </v>
      </c>
    </row>
    <row r="645" spans="1:14" ht="24.75" x14ac:dyDescent="0.25">
      <c r="A645" s="21" t="s">
        <v>4413</v>
      </c>
      <c r="B645" s="22" t="s">
        <v>4414</v>
      </c>
      <c r="C645" s="2">
        <v>1</v>
      </c>
      <c r="D645" s="23">
        <v>6.99</v>
      </c>
      <c r="E645" s="3">
        <v>6.99</v>
      </c>
      <c r="F645" s="2" t="s">
        <v>4415</v>
      </c>
      <c r="G645" s="22" t="s">
        <v>19713</v>
      </c>
      <c r="H645" s="24" t="s">
        <v>19324</v>
      </c>
      <c r="I645" s="22" t="s">
        <v>19309</v>
      </c>
      <c r="J645" s="22" t="s">
        <v>19573</v>
      </c>
      <c r="K645" s="22" t="s">
        <v>19574</v>
      </c>
      <c r="L645" s="22"/>
      <c r="M645" s="22"/>
      <c r="N645" s="25" t="str">
        <f>HYPERLINK("http://slimages.macys.com/is/image/MCY/19588509 ")</f>
        <v xml:space="preserve">http://slimages.macys.com/is/image/MCY/19588509 </v>
      </c>
    </row>
    <row r="646" spans="1:14" ht="24.75" x14ac:dyDescent="0.25">
      <c r="A646" s="21" t="s">
        <v>9265</v>
      </c>
      <c r="B646" s="22" t="s">
        <v>9266</v>
      </c>
      <c r="C646" s="2">
        <v>2</v>
      </c>
      <c r="D646" s="23">
        <v>6.99</v>
      </c>
      <c r="E646" s="3">
        <v>13.98</v>
      </c>
      <c r="F646" s="2" t="s">
        <v>9267</v>
      </c>
      <c r="G646" s="22" t="s">
        <v>18429</v>
      </c>
      <c r="H646" s="24" t="s">
        <v>19324</v>
      </c>
      <c r="I646" s="22" t="s">
        <v>19309</v>
      </c>
      <c r="J646" s="22" t="s">
        <v>19573</v>
      </c>
      <c r="K646" s="22" t="s">
        <v>19574</v>
      </c>
      <c r="L646" s="22"/>
      <c r="M646" s="22"/>
      <c r="N646" s="25" t="str">
        <f>HYPERLINK("http://slimages.macys.com/is/image/MCY/19507809 ")</f>
        <v xml:space="preserve">http://slimages.macys.com/is/image/MCY/19507809 </v>
      </c>
    </row>
    <row r="647" spans="1:14" ht="24.75" x14ac:dyDescent="0.25">
      <c r="A647" s="21" t="s">
        <v>3267</v>
      </c>
      <c r="B647" s="22" t="s">
        <v>3268</v>
      </c>
      <c r="C647" s="2">
        <v>1</v>
      </c>
      <c r="D647" s="23">
        <v>6.99</v>
      </c>
      <c r="E647" s="3">
        <v>6.99</v>
      </c>
      <c r="F647" s="2" t="s">
        <v>9275</v>
      </c>
      <c r="G647" s="22" t="s">
        <v>19618</v>
      </c>
      <c r="H647" s="24" t="s">
        <v>19538</v>
      </c>
      <c r="I647" s="22" t="s">
        <v>19309</v>
      </c>
      <c r="J647" s="22" t="s">
        <v>19573</v>
      </c>
      <c r="K647" s="22" t="s">
        <v>19574</v>
      </c>
      <c r="L647" s="22"/>
      <c r="M647" s="22"/>
      <c r="N647" s="25" t="str">
        <f>HYPERLINK("http://slimages.macys.com/is/image/MCY/17709100 ")</f>
        <v xml:space="preserve">http://slimages.macys.com/is/image/MCY/17709100 </v>
      </c>
    </row>
    <row r="648" spans="1:14" ht="24.75" x14ac:dyDescent="0.25">
      <c r="A648" s="21" t="s">
        <v>3269</v>
      </c>
      <c r="B648" s="22" t="s">
        <v>3270</v>
      </c>
      <c r="C648" s="2">
        <v>1</v>
      </c>
      <c r="D648" s="23">
        <v>6.99</v>
      </c>
      <c r="E648" s="3">
        <v>6.99</v>
      </c>
      <c r="F648" s="2" t="s">
        <v>3271</v>
      </c>
      <c r="G648" s="22" t="s">
        <v>19513</v>
      </c>
      <c r="H648" s="24" t="s">
        <v>19330</v>
      </c>
      <c r="I648" s="22" t="s">
        <v>19309</v>
      </c>
      <c r="J648" s="22" t="s">
        <v>19573</v>
      </c>
      <c r="K648" s="22" t="s">
        <v>19574</v>
      </c>
      <c r="L648" s="22"/>
      <c r="M648" s="22"/>
      <c r="N648" s="25" t="str">
        <f>HYPERLINK("http://slimages.macys.com/is/image/MCY/19511448 ")</f>
        <v xml:space="preserve">http://slimages.macys.com/is/image/MCY/19511448 </v>
      </c>
    </row>
    <row r="649" spans="1:14" ht="24.75" x14ac:dyDescent="0.25">
      <c r="A649" s="21" t="s">
        <v>14833</v>
      </c>
      <c r="B649" s="22" t="s">
        <v>14834</v>
      </c>
      <c r="C649" s="2">
        <v>1</v>
      </c>
      <c r="D649" s="23">
        <v>5.99</v>
      </c>
      <c r="E649" s="3">
        <v>5.99</v>
      </c>
      <c r="F649" s="2" t="s">
        <v>19145</v>
      </c>
      <c r="G649" s="22" t="s">
        <v>19618</v>
      </c>
      <c r="H649" s="24" t="s">
        <v>19324</v>
      </c>
      <c r="I649" s="22" t="s">
        <v>19309</v>
      </c>
      <c r="J649" s="22" t="s">
        <v>19573</v>
      </c>
      <c r="K649" s="22" t="s">
        <v>19574</v>
      </c>
      <c r="L649" s="22"/>
      <c r="M649" s="22"/>
      <c r="N649" s="25" t="str">
        <f>HYPERLINK("http://slimages.macys.com/is/image/MCY/21970089 ")</f>
        <v xml:space="preserve">http://slimages.macys.com/is/image/MCY/21970089 </v>
      </c>
    </row>
    <row r="650" spans="1:14" ht="24.75" x14ac:dyDescent="0.25">
      <c r="A650" s="21" t="s">
        <v>19150</v>
      </c>
      <c r="B650" s="22" t="s">
        <v>19151</v>
      </c>
      <c r="C650" s="2">
        <v>1</v>
      </c>
      <c r="D650" s="23">
        <v>5.99</v>
      </c>
      <c r="E650" s="3">
        <v>5.99</v>
      </c>
      <c r="F650" s="2" t="s">
        <v>19145</v>
      </c>
      <c r="G650" s="22" t="s">
        <v>19618</v>
      </c>
      <c r="H650" s="24" t="s">
        <v>19384</v>
      </c>
      <c r="I650" s="22" t="s">
        <v>19309</v>
      </c>
      <c r="J650" s="22" t="s">
        <v>19573</v>
      </c>
      <c r="K650" s="22" t="s">
        <v>19574</v>
      </c>
      <c r="L650" s="22"/>
      <c r="M650" s="22"/>
      <c r="N650" s="25" t="str">
        <f>HYPERLINK("http://slimages.macys.com/is/image/MCY/21970089 ")</f>
        <v xml:space="preserve">http://slimages.macys.com/is/image/MCY/21970089 </v>
      </c>
    </row>
    <row r="651" spans="1:14" ht="24.75" x14ac:dyDescent="0.25">
      <c r="A651" s="21" t="s">
        <v>3272</v>
      </c>
      <c r="B651" s="22" t="s">
        <v>3273</v>
      </c>
      <c r="C651" s="2">
        <v>1</v>
      </c>
      <c r="D651" s="23">
        <v>6.99</v>
      </c>
      <c r="E651" s="3">
        <v>6.99</v>
      </c>
      <c r="F651" s="2" t="s">
        <v>3271</v>
      </c>
      <c r="G651" s="22" t="s">
        <v>19513</v>
      </c>
      <c r="H651" s="24" t="s">
        <v>19384</v>
      </c>
      <c r="I651" s="22" t="s">
        <v>19309</v>
      </c>
      <c r="J651" s="22" t="s">
        <v>19573</v>
      </c>
      <c r="K651" s="22" t="s">
        <v>19574</v>
      </c>
      <c r="L651" s="22"/>
      <c r="M651" s="22"/>
      <c r="N651" s="25" t="str">
        <f>HYPERLINK("http://slimages.macys.com/is/image/MCY/19511448 ")</f>
        <v xml:space="preserve">http://slimages.macys.com/is/image/MCY/19511448 </v>
      </c>
    </row>
    <row r="652" spans="1:14" ht="24.75" x14ac:dyDescent="0.25">
      <c r="A652" s="21" t="s">
        <v>3274</v>
      </c>
      <c r="B652" s="22" t="s">
        <v>3275</v>
      </c>
      <c r="C652" s="2">
        <v>1</v>
      </c>
      <c r="D652" s="23">
        <v>6.99</v>
      </c>
      <c r="E652" s="3">
        <v>6.99</v>
      </c>
      <c r="F652" s="2" t="s">
        <v>3276</v>
      </c>
      <c r="G652" s="22" t="s">
        <v>19351</v>
      </c>
      <c r="H652" s="24" t="s">
        <v>19324</v>
      </c>
      <c r="I652" s="22" t="s">
        <v>19309</v>
      </c>
      <c r="J652" s="22" t="s">
        <v>19573</v>
      </c>
      <c r="K652" s="22" t="s">
        <v>19574</v>
      </c>
      <c r="L652" s="22"/>
      <c r="M652" s="22"/>
      <c r="N652" s="25" t="str">
        <f>HYPERLINK("http://slimages.macys.com/is/image/MCY/17933635 ")</f>
        <v xml:space="preserve">http://slimages.macys.com/is/image/MCY/17933635 </v>
      </c>
    </row>
    <row r="653" spans="1:14" ht="24.75" x14ac:dyDescent="0.25">
      <c r="A653" s="21" t="s">
        <v>3277</v>
      </c>
      <c r="B653" s="22" t="s">
        <v>3278</v>
      </c>
      <c r="C653" s="2">
        <v>1</v>
      </c>
      <c r="D653" s="23">
        <v>6.99</v>
      </c>
      <c r="E653" s="3">
        <v>6.99</v>
      </c>
      <c r="F653" s="2" t="s">
        <v>3279</v>
      </c>
      <c r="G653" s="22" t="s">
        <v>19467</v>
      </c>
      <c r="H653" s="24" t="s">
        <v>19416</v>
      </c>
      <c r="I653" s="22" t="s">
        <v>19309</v>
      </c>
      <c r="J653" s="22" t="s">
        <v>19573</v>
      </c>
      <c r="K653" s="22" t="s">
        <v>19574</v>
      </c>
      <c r="L653" s="22"/>
      <c r="M653" s="22"/>
      <c r="N653" s="25" t="str">
        <f>HYPERLINK("http://slimages.macys.com/is/image/MCY/20385740 ")</f>
        <v xml:space="preserve">http://slimages.macys.com/is/image/MCY/20385740 </v>
      </c>
    </row>
    <row r="654" spans="1:14" ht="24.75" x14ac:dyDescent="0.25">
      <c r="A654" s="21" t="s">
        <v>3280</v>
      </c>
      <c r="B654" s="22" t="s">
        <v>3281</v>
      </c>
      <c r="C654" s="2">
        <v>1</v>
      </c>
      <c r="D654" s="23">
        <v>6.99</v>
      </c>
      <c r="E654" s="3">
        <v>6.99</v>
      </c>
      <c r="F654" s="2" t="s">
        <v>4976</v>
      </c>
      <c r="G654" s="22" t="s">
        <v>19431</v>
      </c>
      <c r="H654" s="24" t="s">
        <v>19324</v>
      </c>
      <c r="I654" s="22" t="s">
        <v>19309</v>
      </c>
      <c r="J654" s="22" t="s">
        <v>19573</v>
      </c>
      <c r="K654" s="22" t="s">
        <v>19574</v>
      </c>
      <c r="L654" s="22"/>
      <c r="M654" s="22"/>
      <c r="N654" s="25" t="str">
        <f>HYPERLINK("http://slimages.macys.com/is/image/MCY/20386036 ")</f>
        <v xml:space="preserve">http://slimages.macys.com/is/image/MCY/20386036 </v>
      </c>
    </row>
    <row r="655" spans="1:14" ht="24.75" x14ac:dyDescent="0.25">
      <c r="A655" s="21" t="s">
        <v>9289</v>
      </c>
      <c r="B655" s="22" t="s">
        <v>9290</v>
      </c>
      <c r="C655" s="2">
        <v>1</v>
      </c>
      <c r="D655" s="23">
        <v>6.99</v>
      </c>
      <c r="E655" s="3">
        <v>6.99</v>
      </c>
      <c r="F655" s="2" t="s">
        <v>9291</v>
      </c>
      <c r="G655" s="22" t="s">
        <v>19315</v>
      </c>
      <c r="H655" s="24" t="s">
        <v>19416</v>
      </c>
      <c r="I655" s="22" t="s">
        <v>19309</v>
      </c>
      <c r="J655" s="22" t="s">
        <v>19573</v>
      </c>
      <c r="K655" s="22" t="s">
        <v>19574</v>
      </c>
      <c r="L655" s="22"/>
      <c r="M655" s="22"/>
      <c r="N655" s="25" t="str">
        <f>HYPERLINK("http://slimages.macys.com/is/image/MCY/20385748 ")</f>
        <v xml:space="preserve">http://slimages.macys.com/is/image/MCY/20385748 </v>
      </c>
    </row>
    <row r="656" spans="1:14" ht="24.75" x14ac:dyDescent="0.25">
      <c r="A656" s="21" t="s">
        <v>3282</v>
      </c>
      <c r="B656" s="22" t="s">
        <v>3283</v>
      </c>
      <c r="C656" s="2">
        <v>1</v>
      </c>
      <c r="D656" s="23">
        <v>6.99</v>
      </c>
      <c r="E656" s="3">
        <v>6.99</v>
      </c>
      <c r="F656" s="2" t="s">
        <v>9291</v>
      </c>
      <c r="G656" s="22" t="s">
        <v>19315</v>
      </c>
      <c r="H656" s="24" t="s">
        <v>19330</v>
      </c>
      <c r="I656" s="22" t="s">
        <v>19309</v>
      </c>
      <c r="J656" s="22" t="s">
        <v>19573</v>
      </c>
      <c r="K656" s="22" t="s">
        <v>19574</v>
      </c>
      <c r="L656" s="22"/>
      <c r="M656" s="22"/>
      <c r="N656" s="25" t="str">
        <f>HYPERLINK("http://slimages.macys.com/is/image/MCY/20385748 ")</f>
        <v xml:space="preserve">http://slimages.macys.com/is/image/MCY/20385748 </v>
      </c>
    </row>
    <row r="657" spans="1:14" ht="24.75" x14ac:dyDescent="0.25">
      <c r="A657" s="21" t="s">
        <v>3284</v>
      </c>
      <c r="B657" s="22" t="s">
        <v>3285</v>
      </c>
      <c r="C657" s="2">
        <v>1</v>
      </c>
      <c r="D657" s="23">
        <v>18.11</v>
      </c>
      <c r="E657" s="3">
        <v>18.11</v>
      </c>
      <c r="F657" s="2" t="s">
        <v>3286</v>
      </c>
      <c r="G657" s="22" t="s">
        <v>19351</v>
      </c>
      <c r="H657" s="24" t="s">
        <v>19416</v>
      </c>
      <c r="I657" s="22" t="s">
        <v>19309</v>
      </c>
      <c r="J657" s="22" t="s">
        <v>19573</v>
      </c>
      <c r="K657" s="22" t="s">
        <v>19574</v>
      </c>
      <c r="L657" s="22"/>
      <c r="M657" s="22"/>
      <c r="N657" s="25" t="str">
        <f>HYPERLINK("http://slimages.macys.com/is/image/MCY/14385124 ")</f>
        <v xml:space="preserve">http://slimages.macys.com/is/image/MCY/14385124 </v>
      </c>
    </row>
    <row r="658" spans="1:14" ht="24.75" x14ac:dyDescent="0.25">
      <c r="A658" s="21" t="s">
        <v>3287</v>
      </c>
      <c r="B658" s="22" t="s">
        <v>3288</v>
      </c>
      <c r="C658" s="2">
        <v>2</v>
      </c>
      <c r="D658" s="23">
        <v>6.99</v>
      </c>
      <c r="E658" s="3">
        <v>13.98</v>
      </c>
      <c r="F658" s="2" t="s">
        <v>3289</v>
      </c>
      <c r="G658" s="22" t="s">
        <v>19467</v>
      </c>
      <c r="H658" s="24" t="s">
        <v>19330</v>
      </c>
      <c r="I658" s="22" t="s">
        <v>19309</v>
      </c>
      <c r="J658" s="22" t="s">
        <v>19573</v>
      </c>
      <c r="K658" s="22" t="s">
        <v>19574</v>
      </c>
      <c r="L658" s="22"/>
      <c r="M658" s="22"/>
      <c r="N658" s="25" t="str">
        <f>HYPERLINK("http://slimages.macys.com/is/image/MCY/20386188 ")</f>
        <v xml:space="preserve">http://slimages.macys.com/is/image/MCY/20386188 </v>
      </c>
    </row>
    <row r="659" spans="1:14" ht="24.75" x14ac:dyDescent="0.25">
      <c r="A659" s="21" t="s">
        <v>3290</v>
      </c>
      <c r="B659" s="22" t="s">
        <v>3291</v>
      </c>
      <c r="C659" s="2">
        <v>1</v>
      </c>
      <c r="D659" s="23">
        <v>6.99</v>
      </c>
      <c r="E659" s="3">
        <v>6.99</v>
      </c>
      <c r="F659" s="2" t="s">
        <v>3292</v>
      </c>
      <c r="G659" s="22" t="s">
        <v>19585</v>
      </c>
      <c r="H659" s="24" t="s">
        <v>19384</v>
      </c>
      <c r="I659" s="22" t="s">
        <v>19309</v>
      </c>
      <c r="J659" s="22" t="s">
        <v>19573</v>
      </c>
      <c r="K659" s="22" t="s">
        <v>19574</v>
      </c>
      <c r="L659" s="22"/>
      <c r="M659" s="22"/>
      <c r="N659" s="25" t="str">
        <f>HYPERLINK("http://slimages.macys.com/is/image/MCY/19587918 ")</f>
        <v xml:space="preserve">http://slimages.macys.com/is/image/MCY/19587918 </v>
      </c>
    </row>
    <row r="660" spans="1:14" ht="24.75" x14ac:dyDescent="0.25">
      <c r="A660" s="21" t="s">
        <v>3293</v>
      </c>
      <c r="B660" s="22" t="s">
        <v>3294</v>
      </c>
      <c r="C660" s="2">
        <v>1</v>
      </c>
      <c r="D660" s="23">
        <v>6.99</v>
      </c>
      <c r="E660" s="3">
        <v>6.99</v>
      </c>
      <c r="F660" s="2" t="s">
        <v>3289</v>
      </c>
      <c r="G660" s="22" t="s">
        <v>19467</v>
      </c>
      <c r="H660" s="24" t="s">
        <v>19416</v>
      </c>
      <c r="I660" s="22" t="s">
        <v>19309</v>
      </c>
      <c r="J660" s="22" t="s">
        <v>19573</v>
      </c>
      <c r="K660" s="22" t="s">
        <v>19574</v>
      </c>
      <c r="L660" s="22"/>
      <c r="M660" s="22"/>
      <c r="N660" s="25" t="str">
        <f>HYPERLINK("http://slimages.macys.com/is/image/MCY/20386188 ")</f>
        <v xml:space="preserve">http://slimages.macys.com/is/image/MCY/20386188 </v>
      </c>
    </row>
    <row r="661" spans="1:14" ht="24.75" x14ac:dyDescent="0.25">
      <c r="A661" s="21" t="s">
        <v>14284</v>
      </c>
      <c r="B661" s="22" t="s">
        <v>14285</v>
      </c>
      <c r="C661" s="2">
        <v>1</v>
      </c>
      <c r="D661" s="23">
        <v>5.99</v>
      </c>
      <c r="E661" s="3">
        <v>5.99</v>
      </c>
      <c r="F661" s="2" t="s">
        <v>17185</v>
      </c>
      <c r="G661" s="22" t="s">
        <v>19477</v>
      </c>
      <c r="H661" s="24" t="s">
        <v>19538</v>
      </c>
      <c r="I661" s="22" t="s">
        <v>19309</v>
      </c>
      <c r="J661" s="22" t="s">
        <v>19573</v>
      </c>
      <c r="K661" s="22" t="s">
        <v>19574</v>
      </c>
      <c r="L661" s="22"/>
      <c r="M661" s="22"/>
      <c r="N661" s="25" t="str">
        <f>HYPERLINK("http://slimages.macys.com/is/image/MCY/21209412 ")</f>
        <v xml:space="preserve">http://slimages.macys.com/is/image/MCY/21209412 </v>
      </c>
    </row>
    <row r="662" spans="1:14" ht="24.75" x14ac:dyDescent="0.25">
      <c r="A662" s="21" t="s">
        <v>3295</v>
      </c>
      <c r="B662" s="22" t="s">
        <v>3296</v>
      </c>
      <c r="C662" s="2">
        <v>2</v>
      </c>
      <c r="D662" s="23">
        <v>6.99</v>
      </c>
      <c r="E662" s="3">
        <v>13.98</v>
      </c>
      <c r="F662" s="2">
        <v>10014307300</v>
      </c>
      <c r="G662" s="22" t="s">
        <v>19713</v>
      </c>
      <c r="H662" s="24" t="s">
        <v>19324</v>
      </c>
      <c r="I662" s="22" t="s">
        <v>19309</v>
      </c>
      <c r="J662" s="22" t="s">
        <v>19573</v>
      </c>
      <c r="K662" s="22" t="s">
        <v>19574</v>
      </c>
      <c r="L662" s="22"/>
      <c r="M662" s="22"/>
      <c r="N662" s="25" t="str">
        <f>HYPERLINK("http://slimages.macys.com/is/image/MCY/20753541 ")</f>
        <v xml:space="preserve">http://slimages.macys.com/is/image/MCY/20753541 </v>
      </c>
    </row>
    <row r="663" spans="1:14" ht="24.75" x14ac:dyDescent="0.25">
      <c r="A663" s="21" t="s">
        <v>14867</v>
      </c>
      <c r="B663" s="22" t="s">
        <v>14868</v>
      </c>
      <c r="C663" s="2">
        <v>1</v>
      </c>
      <c r="D663" s="23">
        <v>5.99</v>
      </c>
      <c r="E663" s="3">
        <v>5.99</v>
      </c>
      <c r="F663" s="2" t="s">
        <v>19170</v>
      </c>
      <c r="G663" s="22" t="s">
        <v>19906</v>
      </c>
      <c r="H663" s="24" t="s">
        <v>19324</v>
      </c>
      <c r="I663" s="22" t="s">
        <v>19309</v>
      </c>
      <c r="J663" s="22" t="s">
        <v>19573</v>
      </c>
      <c r="K663" s="22" t="s">
        <v>19574</v>
      </c>
      <c r="L663" s="22"/>
      <c r="M663" s="22"/>
      <c r="N663" s="25" t="str">
        <f>HYPERLINK("http://slimages.macys.com/is/image/MCY/21361119 ")</f>
        <v xml:space="preserve">http://slimages.macys.com/is/image/MCY/21361119 </v>
      </c>
    </row>
    <row r="664" spans="1:14" ht="24.75" x14ac:dyDescent="0.25">
      <c r="A664" s="21" t="s">
        <v>3297</v>
      </c>
      <c r="B664" s="22" t="s">
        <v>3298</v>
      </c>
      <c r="C664" s="2">
        <v>2</v>
      </c>
      <c r="D664" s="23">
        <v>6.99</v>
      </c>
      <c r="E664" s="3">
        <v>13.98</v>
      </c>
      <c r="F664" s="2" t="s">
        <v>9291</v>
      </c>
      <c r="G664" s="22" t="s">
        <v>19315</v>
      </c>
      <c r="H664" s="24" t="s">
        <v>19324</v>
      </c>
      <c r="I664" s="22" t="s">
        <v>19309</v>
      </c>
      <c r="J664" s="22" t="s">
        <v>19573</v>
      </c>
      <c r="K664" s="22" t="s">
        <v>19574</v>
      </c>
      <c r="L664" s="22"/>
      <c r="M664" s="22"/>
      <c r="N664" s="25" t="str">
        <f>HYPERLINK("http://slimages.macys.com/is/image/MCY/20385748 ")</f>
        <v xml:space="preserve">http://slimages.macys.com/is/image/MCY/20385748 </v>
      </c>
    </row>
    <row r="665" spans="1:14" ht="24.75" x14ac:dyDescent="0.25">
      <c r="A665" s="21" t="s">
        <v>3299</v>
      </c>
      <c r="B665" s="22" t="s">
        <v>3300</v>
      </c>
      <c r="C665" s="2">
        <v>1</v>
      </c>
      <c r="D665" s="23">
        <v>6.99</v>
      </c>
      <c r="E665" s="3">
        <v>6.99</v>
      </c>
      <c r="F665" s="2" t="s">
        <v>3301</v>
      </c>
      <c r="G665" s="22" t="s">
        <v>18439</v>
      </c>
      <c r="H665" s="24" t="s">
        <v>19538</v>
      </c>
      <c r="I665" s="22" t="s">
        <v>19309</v>
      </c>
      <c r="J665" s="22" t="s">
        <v>19573</v>
      </c>
      <c r="K665" s="22" t="s">
        <v>19574</v>
      </c>
      <c r="L665" s="22"/>
      <c r="M665" s="22"/>
      <c r="N665" s="25" t="str">
        <f>HYPERLINK("http://slimages.macys.com/is/image/MCY/19588394 ")</f>
        <v xml:space="preserve">http://slimages.macys.com/is/image/MCY/19588394 </v>
      </c>
    </row>
    <row r="666" spans="1:14" ht="24.75" x14ac:dyDescent="0.25">
      <c r="A666" s="21" t="s">
        <v>19185</v>
      </c>
      <c r="B666" s="22" t="s">
        <v>19186</v>
      </c>
      <c r="C666" s="2">
        <v>1</v>
      </c>
      <c r="D666" s="23">
        <v>5.99</v>
      </c>
      <c r="E666" s="3">
        <v>5.99</v>
      </c>
      <c r="F666" s="2" t="s">
        <v>19180</v>
      </c>
      <c r="G666" s="22" t="s">
        <v>19477</v>
      </c>
      <c r="H666" s="24" t="s">
        <v>19538</v>
      </c>
      <c r="I666" s="22" t="s">
        <v>19309</v>
      </c>
      <c r="J666" s="22" t="s">
        <v>19573</v>
      </c>
      <c r="K666" s="22" t="s">
        <v>19574</v>
      </c>
      <c r="L666" s="22"/>
      <c r="M666" s="22"/>
      <c r="N666" s="25" t="str">
        <f>HYPERLINK("http://slimages.macys.com/is/image/MCY/1521974 ")</f>
        <v xml:space="preserve">http://slimages.macys.com/is/image/MCY/1521974 </v>
      </c>
    </row>
    <row r="667" spans="1:14" ht="24.75" x14ac:dyDescent="0.25">
      <c r="A667" s="21" t="s">
        <v>3302</v>
      </c>
      <c r="B667" s="22" t="s">
        <v>3303</v>
      </c>
      <c r="C667" s="2">
        <v>1</v>
      </c>
      <c r="D667" s="23">
        <v>6.99</v>
      </c>
      <c r="E667" s="3">
        <v>6.99</v>
      </c>
      <c r="F667" s="2" t="s">
        <v>3304</v>
      </c>
      <c r="G667" s="22" t="s">
        <v>19467</v>
      </c>
      <c r="H667" s="24" t="s">
        <v>19538</v>
      </c>
      <c r="I667" s="22" t="s">
        <v>19309</v>
      </c>
      <c r="J667" s="22" t="s">
        <v>19573</v>
      </c>
      <c r="K667" s="22" t="s">
        <v>19574</v>
      </c>
      <c r="L667" s="22"/>
      <c r="M667" s="22"/>
      <c r="N667" s="25" t="str">
        <f>HYPERLINK("http://slimages.macys.com/is/image/MCY/19977012 ")</f>
        <v xml:space="preserve">http://slimages.macys.com/is/image/MCY/19977012 </v>
      </c>
    </row>
    <row r="668" spans="1:14" ht="24.75" x14ac:dyDescent="0.25">
      <c r="A668" s="21" t="s">
        <v>3305</v>
      </c>
      <c r="B668" s="22" t="s">
        <v>3306</v>
      </c>
      <c r="C668" s="2">
        <v>1</v>
      </c>
      <c r="D668" s="23">
        <v>6.99</v>
      </c>
      <c r="E668" s="3">
        <v>6.99</v>
      </c>
      <c r="F668" s="2" t="s">
        <v>17155</v>
      </c>
      <c r="G668" s="22" t="s">
        <v>19955</v>
      </c>
      <c r="H668" s="24" t="s">
        <v>19384</v>
      </c>
      <c r="I668" s="22" t="s">
        <v>19309</v>
      </c>
      <c r="J668" s="22" t="s">
        <v>19573</v>
      </c>
      <c r="K668" s="22" t="s">
        <v>19574</v>
      </c>
      <c r="L668" s="22"/>
      <c r="M668" s="22"/>
      <c r="N668" s="25" t="str">
        <f>HYPERLINK("http://slimages.macys.com/is/image/MCY/19762874 ")</f>
        <v xml:space="preserve">http://slimages.macys.com/is/image/MCY/19762874 </v>
      </c>
    </row>
    <row r="669" spans="1:14" ht="24.75" x14ac:dyDescent="0.25">
      <c r="A669" s="21" t="s">
        <v>3307</v>
      </c>
      <c r="B669" s="22" t="s">
        <v>3308</v>
      </c>
      <c r="C669" s="2">
        <v>1</v>
      </c>
      <c r="D669" s="23">
        <v>6.99</v>
      </c>
      <c r="E669" s="3">
        <v>6.99</v>
      </c>
      <c r="F669" s="2" t="s">
        <v>3309</v>
      </c>
      <c r="G669" s="22" t="s">
        <v>19351</v>
      </c>
      <c r="H669" s="24" t="s">
        <v>19416</v>
      </c>
      <c r="I669" s="22" t="s">
        <v>19309</v>
      </c>
      <c r="J669" s="22" t="s">
        <v>19573</v>
      </c>
      <c r="K669" s="22" t="s">
        <v>19574</v>
      </c>
      <c r="L669" s="22"/>
      <c r="M669" s="22"/>
      <c r="N669" s="25" t="str">
        <f>HYPERLINK("http://slimages.macys.com/is/image/MCY/19977826 ")</f>
        <v xml:space="preserve">http://slimages.macys.com/is/image/MCY/19977826 </v>
      </c>
    </row>
    <row r="670" spans="1:14" ht="24.75" x14ac:dyDescent="0.25">
      <c r="A670" s="21" t="s">
        <v>4432</v>
      </c>
      <c r="B670" s="22" t="s">
        <v>4433</v>
      </c>
      <c r="C670" s="2">
        <v>1</v>
      </c>
      <c r="D670" s="23">
        <v>6.99</v>
      </c>
      <c r="E670" s="3">
        <v>6.99</v>
      </c>
      <c r="F670" s="2" t="s">
        <v>19192</v>
      </c>
      <c r="G670" s="22" t="s">
        <v>19315</v>
      </c>
      <c r="H670" s="24" t="s">
        <v>19384</v>
      </c>
      <c r="I670" s="22" t="s">
        <v>19309</v>
      </c>
      <c r="J670" s="22" t="s">
        <v>19573</v>
      </c>
      <c r="K670" s="22" t="s">
        <v>19574</v>
      </c>
      <c r="L670" s="22"/>
      <c r="M670" s="22"/>
      <c r="N670" s="25" t="str">
        <f>HYPERLINK("http://slimages.macys.com/is/image/MCY/1655977 ")</f>
        <v xml:space="preserve">http://slimages.macys.com/is/image/MCY/1655977 </v>
      </c>
    </row>
    <row r="671" spans="1:14" ht="24.75" x14ac:dyDescent="0.25">
      <c r="A671" s="21" t="s">
        <v>3310</v>
      </c>
      <c r="B671" s="22" t="s">
        <v>3311</v>
      </c>
      <c r="C671" s="2">
        <v>1</v>
      </c>
      <c r="D671" s="23">
        <v>6.99</v>
      </c>
      <c r="E671" s="3">
        <v>6.99</v>
      </c>
      <c r="F671" s="2" t="s">
        <v>3309</v>
      </c>
      <c r="G671" s="22" t="s">
        <v>19351</v>
      </c>
      <c r="H671" s="24" t="s">
        <v>19330</v>
      </c>
      <c r="I671" s="22" t="s">
        <v>19309</v>
      </c>
      <c r="J671" s="22" t="s">
        <v>19573</v>
      </c>
      <c r="K671" s="22" t="s">
        <v>19574</v>
      </c>
      <c r="L671" s="22"/>
      <c r="M671" s="22"/>
      <c r="N671" s="25" t="str">
        <f>HYPERLINK("http://slimages.macys.com/is/image/MCY/19977826 ")</f>
        <v xml:space="preserve">http://slimages.macys.com/is/image/MCY/19977826 </v>
      </c>
    </row>
    <row r="672" spans="1:14" ht="24.75" x14ac:dyDescent="0.25">
      <c r="A672" s="21" t="s">
        <v>3312</v>
      </c>
      <c r="B672" s="22" t="s">
        <v>3313</v>
      </c>
      <c r="C672" s="2">
        <v>1</v>
      </c>
      <c r="D672" s="23">
        <v>6.99</v>
      </c>
      <c r="E672" s="3">
        <v>6.99</v>
      </c>
      <c r="F672" s="2" t="s">
        <v>12650</v>
      </c>
      <c r="G672" s="22" t="s">
        <v>19585</v>
      </c>
      <c r="H672" s="24" t="s">
        <v>19324</v>
      </c>
      <c r="I672" s="22" t="s">
        <v>19309</v>
      </c>
      <c r="J672" s="22" t="s">
        <v>19573</v>
      </c>
      <c r="K672" s="22" t="s">
        <v>19574</v>
      </c>
      <c r="L672" s="22"/>
      <c r="M672" s="22"/>
      <c r="N672" s="25" t="str">
        <f>HYPERLINK("http://slimages.macys.com/is/image/MCY/19977735 ")</f>
        <v xml:space="preserve">http://slimages.macys.com/is/image/MCY/19977735 </v>
      </c>
    </row>
    <row r="673" spans="1:14" ht="24.75" x14ac:dyDescent="0.25">
      <c r="A673" s="21" t="s">
        <v>3314</v>
      </c>
      <c r="B673" s="22" t="s">
        <v>3315</v>
      </c>
      <c r="C673" s="2">
        <v>2</v>
      </c>
      <c r="D673" s="23">
        <v>6.99</v>
      </c>
      <c r="E673" s="3">
        <v>13.98</v>
      </c>
      <c r="F673" s="2" t="s">
        <v>9294</v>
      </c>
      <c r="G673" s="22" t="s">
        <v>19618</v>
      </c>
      <c r="H673" s="24" t="s">
        <v>19538</v>
      </c>
      <c r="I673" s="22" t="s">
        <v>19309</v>
      </c>
      <c r="J673" s="22" t="s">
        <v>19573</v>
      </c>
      <c r="K673" s="22" t="s">
        <v>19574</v>
      </c>
      <c r="L673" s="22"/>
      <c r="M673" s="22"/>
      <c r="N673" s="25" t="str">
        <f>HYPERLINK("http://slimages.macys.com/is/image/MCY/19977450 ")</f>
        <v xml:space="preserve">http://slimages.macys.com/is/image/MCY/19977450 </v>
      </c>
    </row>
    <row r="674" spans="1:14" ht="24.75" x14ac:dyDescent="0.25">
      <c r="A674" s="21" t="s">
        <v>9295</v>
      </c>
      <c r="B674" s="22" t="s">
        <v>9296</v>
      </c>
      <c r="C674" s="2">
        <v>1</v>
      </c>
      <c r="D674" s="23">
        <v>18.11</v>
      </c>
      <c r="E674" s="3">
        <v>18.11</v>
      </c>
      <c r="F674" s="2" t="s">
        <v>9294</v>
      </c>
      <c r="G674" s="22" t="s">
        <v>19618</v>
      </c>
      <c r="H674" s="24" t="s">
        <v>19324</v>
      </c>
      <c r="I674" s="22" t="s">
        <v>19309</v>
      </c>
      <c r="J674" s="22" t="s">
        <v>19573</v>
      </c>
      <c r="K674" s="22" t="s">
        <v>19574</v>
      </c>
      <c r="L674" s="22"/>
      <c r="M674" s="22"/>
      <c r="N674" s="25" t="str">
        <f>HYPERLINK("http://slimages.macys.com/is/image/MCY/19977450 ")</f>
        <v xml:space="preserve">http://slimages.macys.com/is/image/MCY/19977450 </v>
      </c>
    </row>
    <row r="675" spans="1:14" ht="24.75" x14ac:dyDescent="0.25">
      <c r="A675" s="21" t="s">
        <v>3316</v>
      </c>
      <c r="B675" s="22" t="s">
        <v>3317</v>
      </c>
      <c r="C675" s="2">
        <v>1</v>
      </c>
      <c r="D675" s="23">
        <v>6.99</v>
      </c>
      <c r="E675" s="3">
        <v>6.99</v>
      </c>
      <c r="F675" s="2" t="s">
        <v>9294</v>
      </c>
      <c r="G675" s="22" t="s">
        <v>19618</v>
      </c>
      <c r="H675" s="24" t="s">
        <v>19330</v>
      </c>
      <c r="I675" s="22" t="s">
        <v>19309</v>
      </c>
      <c r="J675" s="22" t="s">
        <v>19573</v>
      </c>
      <c r="K675" s="22" t="s">
        <v>19574</v>
      </c>
      <c r="L675" s="22"/>
      <c r="M675" s="22"/>
      <c r="N675" s="25" t="str">
        <f>HYPERLINK("http://slimages.macys.com/is/image/MCY/19977450 ")</f>
        <v xml:space="preserve">http://slimages.macys.com/is/image/MCY/19977450 </v>
      </c>
    </row>
    <row r="676" spans="1:14" ht="24.75" x14ac:dyDescent="0.25">
      <c r="A676" s="21" t="s">
        <v>9292</v>
      </c>
      <c r="B676" s="22" t="s">
        <v>9293</v>
      </c>
      <c r="C676" s="2">
        <v>1</v>
      </c>
      <c r="D676" s="23">
        <v>6.99</v>
      </c>
      <c r="E676" s="3">
        <v>6.99</v>
      </c>
      <c r="F676" s="2" t="s">
        <v>9294</v>
      </c>
      <c r="G676" s="22" t="s">
        <v>19618</v>
      </c>
      <c r="H676" s="24" t="s">
        <v>19384</v>
      </c>
      <c r="I676" s="22" t="s">
        <v>19309</v>
      </c>
      <c r="J676" s="22" t="s">
        <v>19573</v>
      </c>
      <c r="K676" s="22" t="s">
        <v>19574</v>
      </c>
      <c r="L676" s="22"/>
      <c r="M676" s="22"/>
      <c r="N676" s="25" t="str">
        <f>HYPERLINK("http://slimages.macys.com/is/image/MCY/19977450 ")</f>
        <v xml:space="preserve">http://slimages.macys.com/is/image/MCY/19977450 </v>
      </c>
    </row>
    <row r="677" spans="1:14" ht="24.75" x14ac:dyDescent="0.25">
      <c r="A677" s="21" t="s">
        <v>3318</v>
      </c>
      <c r="B677" s="22" t="s">
        <v>3319</v>
      </c>
      <c r="C677" s="2">
        <v>1</v>
      </c>
      <c r="D677" s="23">
        <v>6.99</v>
      </c>
      <c r="E677" s="3">
        <v>6.99</v>
      </c>
      <c r="F677" s="2" t="s">
        <v>9294</v>
      </c>
      <c r="G677" s="22" t="s">
        <v>19618</v>
      </c>
      <c r="H677" s="24" t="s">
        <v>19416</v>
      </c>
      <c r="I677" s="22" t="s">
        <v>19309</v>
      </c>
      <c r="J677" s="22" t="s">
        <v>19573</v>
      </c>
      <c r="K677" s="22" t="s">
        <v>19574</v>
      </c>
      <c r="L677" s="22"/>
      <c r="M677" s="22"/>
      <c r="N677" s="25" t="str">
        <f>HYPERLINK("http://slimages.macys.com/is/image/MCY/19977450 ")</f>
        <v xml:space="preserve">http://slimages.macys.com/is/image/MCY/19977450 </v>
      </c>
    </row>
    <row r="678" spans="1:14" ht="24.75" x14ac:dyDescent="0.25">
      <c r="A678" s="21" t="s">
        <v>3320</v>
      </c>
      <c r="B678" s="22" t="s">
        <v>3321</v>
      </c>
      <c r="C678" s="2">
        <v>2</v>
      </c>
      <c r="D678" s="23">
        <v>6.99</v>
      </c>
      <c r="E678" s="3">
        <v>13.98</v>
      </c>
      <c r="F678" s="2" t="s">
        <v>3322</v>
      </c>
      <c r="G678" s="22" t="s">
        <v>18439</v>
      </c>
      <c r="H678" s="24" t="s">
        <v>19538</v>
      </c>
      <c r="I678" s="22" t="s">
        <v>19309</v>
      </c>
      <c r="J678" s="22" t="s">
        <v>19573</v>
      </c>
      <c r="K678" s="22" t="s">
        <v>19574</v>
      </c>
      <c r="L678" s="22"/>
      <c r="M678" s="22"/>
      <c r="N678" s="25" t="str">
        <f>HYPERLINK("http://slimages.macys.com/is/image/MCY/19588489 ")</f>
        <v xml:space="preserve">http://slimages.macys.com/is/image/MCY/19588489 </v>
      </c>
    </row>
    <row r="679" spans="1:14" ht="24.75" x14ac:dyDescent="0.25">
      <c r="A679" s="21" t="s">
        <v>17196</v>
      </c>
      <c r="B679" s="22" t="s">
        <v>17197</v>
      </c>
      <c r="C679" s="2">
        <v>1</v>
      </c>
      <c r="D679" s="23">
        <v>5.99</v>
      </c>
      <c r="E679" s="3">
        <v>5.99</v>
      </c>
      <c r="F679" s="2" t="s">
        <v>17198</v>
      </c>
      <c r="G679" s="22" t="s">
        <v>19467</v>
      </c>
      <c r="H679" s="24" t="s">
        <v>19330</v>
      </c>
      <c r="I679" s="22" t="s">
        <v>19309</v>
      </c>
      <c r="J679" s="22" t="s">
        <v>19573</v>
      </c>
      <c r="K679" s="22" t="s">
        <v>19574</v>
      </c>
      <c r="L679" s="22"/>
      <c r="M679" s="22"/>
      <c r="N679" s="25" t="str">
        <f>HYPERLINK("http://slimages.macys.com/is/image/MCY/21209066 ")</f>
        <v xml:space="preserve">http://slimages.macys.com/is/image/MCY/21209066 </v>
      </c>
    </row>
    <row r="680" spans="1:14" ht="24.75" x14ac:dyDescent="0.25">
      <c r="A680" s="21" t="s">
        <v>19222</v>
      </c>
      <c r="B680" s="22" t="s">
        <v>19223</v>
      </c>
      <c r="C680" s="2">
        <v>1</v>
      </c>
      <c r="D680" s="23">
        <v>5.99</v>
      </c>
      <c r="E680" s="3">
        <v>5.99</v>
      </c>
      <c r="F680" s="2" t="s">
        <v>19224</v>
      </c>
      <c r="G680" s="22" t="s">
        <v>18821</v>
      </c>
      <c r="H680" s="24" t="s">
        <v>19538</v>
      </c>
      <c r="I680" s="22" t="s">
        <v>19309</v>
      </c>
      <c r="J680" s="22" t="s">
        <v>19573</v>
      </c>
      <c r="K680" s="22" t="s">
        <v>19574</v>
      </c>
      <c r="L680" s="22"/>
      <c r="M680" s="22"/>
      <c r="N680" s="25" t="str">
        <f>HYPERLINK("http://slimages.macys.com/is/image/MCY/21905230 ")</f>
        <v xml:space="preserve">http://slimages.macys.com/is/image/MCY/21905230 </v>
      </c>
    </row>
    <row r="681" spans="1:14" ht="24.75" x14ac:dyDescent="0.25">
      <c r="A681" s="21" t="s">
        <v>3323</v>
      </c>
      <c r="B681" s="22" t="s">
        <v>3324</v>
      </c>
      <c r="C681" s="2">
        <v>1</v>
      </c>
      <c r="D681" s="23">
        <v>6.99</v>
      </c>
      <c r="E681" s="3">
        <v>6.99</v>
      </c>
      <c r="F681" s="2" t="s">
        <v>9308</v>
      </c>
      <c r="G681" s="22" t="s">
        <v>19467</v>
      </c>
      <c r="H681" s="24" t="s">
        <v>19538</v>
      </c>
      <c r="I681" s="22" t="s">
        <v>19309</v>
      </c>
      <c r="J681" s="22" t="s">
        <v>19573</v>
      </c>
      <c r="K681" s="22" t="s">
        <v>19574</v>
      </c>
      <c r="L681" s="22"/>
      <c r="M681" s="22"/>
      <c r="N681" s="25" t="str">
        <f>HYPERLINK("http://slimages.macys.com/is/image/MCY/20436636 ")</f>
        <v xml:space="preserve">http://slimages.macys.com/is/image/MCY/20436636 </v>
      </c>
    </row>
    <row r="682" spans="1:14" ht="24.75" x14ac:dyDescent="0.25">
      <c r="A682" s="21" t="s">
        <v>3325</v>
      </c>
      <c r="B682" s="22" t="s">
        <v>3326</v>
      </c>
      <c r="C682" s="2">
        <v>1</v>
      </c>
      <c r="D682" s="23">
        <v>6.99</v>
      </c>
      <c r="E682" s="3">
        <v>6.99</v>
      </c>
      <c r="F682" s="2" t="s">
        <v>9308</v>
      </c>
      <c r="G682" s="22" t="s">
        <v>19467</v>
      </c>
      <c r="H682" s="24" t="s">
        <v>19330</v>
      </c>
      <c r="I682" s="22" t="s">
        <v>19309</v>
      </c>
      <c r="J682" s="22" t="s">
        <v>19573</v>
      </c>
      <c r="K682" s="22" t="s">
        <v>19574</v>
      </c>
      <c r="L682" s="22"/>
      <c r="M682" s="22"/>
      <c r="N682" s="25" t="str">
        <f>HYPERLINK("http://slimages.macys.com/is/image/MCY/20436636 ")</f>
        <v xml:space="preserve">http://slimages.macys.com/is/image/MCY/20436636 </v>
      </c>
    </row>
    <row r="683" spans="1:14" ht="24.75" x14ac:dyDescent="0.25">
      <c r="A683" s="21" t="s">
        <v>9306</v>
      </c>
      <c r="B683" s="22" t="s">
        <v>9307</v>
      </c>
      <c r="C683" s="2">
        <v>3</v>
      </c>
      <c r="D683" s="23">
        <v>6.99</v>
      </c>
      <c r="E683" s="3">
        <v>20.97</v>
      </c>
      <c r="F683" s="2" t="s">
        <v>9308</v>
      </c>
      <c r="G683" s="22" t="s">
        <v>19467</v>
      </c>
      <c r="H683" s="24" t="s">
        <v>19416</v>
      </c>
      <c r="I683" s="22" t="s">
        <v>19309</v>
      </c>
      <c r="J683" s="22" t="s">
        <v>19573</v>
      </c>
      <c r="K683" s="22" t="s">
        <v>19574</v>
      </c>
      <c r="L683" s="22"/>
      <c r="M683" s="22"/>
      <c r="N683" s="25" t="str">
        <f>HYPERLINK("http://slimages.macys.com/is/image/MCY/20436636 ")</f>
        <v xml:space="preserve">http://slimages.macys.com/is/image/MCY/20436636 </v>
      </c>
    </row>
    <row r="684" spans="1:14" ht="24.75" x14ac:dyDescent="0.25">
      <c r="A684" s="21" t="s">
        <v>14909</v>
      </c>
      <c r="B684" s="22" t="s">
        <v>14910</v>
      </c>
      <c r="C684" s="2">
        <v>1</v>
      </c>
      <c r="D684" s="23">
        <v>5.99</v>
      </c>
      <c r="E684" s="3">
        <v>5.99</v>
      </c>
      <c r="F684" s="2" t="s">
        <v>14911</v>
      </c>
      <c r="G684" s="22" t="s">
        <v>19415</v>
      </c>
      <c r="H684" s="24" t="s">
        <v>19324</v>
      </c>
      <c r="I684" s="22" t="s">
        <v>19309</v>
      </c>
      <c r="J684" s="22" t="s">
        <v>19573</v>
      </c>
      <c r="K684" s="22" t="s">
        <v>19574</v>
      </c>
      <c r="L684" s="22"/>
      <c r="M684" s="22"/>
      <c r="N684" s="25" t="str">
        <f>HYPERLINK("http://slimages.macys.com/is/image/MCY/21371388 ")</f>
        <v xml:space="preserve">http://slimages.macys.com/is/image/MCY/21371388 </v>
      </c>
    </row>
    <row r="685" spans="1:14" ht="24.75" x14ac:dyDescent="0.25">
      <c r="A685" s="21" t="s">
        <v>3327</v>
      </c>
      <c r="B685" s="22" t="s">
        <v>3328</v>
      </c>
      <c r="C685" s="2">
        <v>1</v>
      </c>
      <c r="D685" s="23">
        <v>6.99</v>
      </c>
      <c r="E685" s="3">
        <v>6.99</v>
      </c>
      <c r="F685" s="2" t="s">
        <v>3329</v>
      </c>
      <c r="G685" s="22" t="s">
        <v>19618</v>
      </c>
      <c r="H685" s="24" t="s">
        <v>19384</v>
      </c>
      <c r="I685" s="22" t="s">
        <v>19309</v>
      </c>
      <c r="J685" s="22" t="s">
        <v>19573</v>
      </c>
      <c r="K685" s="22" t="s">
        <v>19574</v>
      </c>
      <c r="L685" s="22"/>
      <c r="M685" s="22"/>
      <c r="N685" s="25" t="str">
        <f>HYPERLINK("http://slimages.macys.com/is/image/MCY/19977855 ")</f>
        <v xml:space="preserve">http://slimages.macys.com/is/image/MCY/19977855 </v>
      </c>
    </row>
    <row r="686" spans="1:14" ht="24.75" x14ac:dyDescent="0.25">
      <c r="A686" s="21" t="s">
        <v>14300</v>
      </c>
      <c r="B686" s="22" t="s">
        <v>14301</v>
      </c>
      <c r="C686" s="2">
        <v>1</v>
      </c>
      <c r="D686" s="23">
        <v>5.99</v>
      </c>
      <c r="E686" s="3">
        <v>5.99</v>
      </c>
      <c r="F686" s="2" t="s">
        <v>14302</v>
      </c>
      <c r="G686" s="22" t="s">
        <v>19351</v>
      </c>
      <c r="H686" s="24" t="s">
        <v>19538</v>
      </c>
      <c r="I686" s="22" t="s">
        <v>19309</v>
      </c>
      <c r="J686" s="22" t="s">
        <v>19573</v>
      </c>
      <c r="K686" s="22" t="s">
        <v>19574</v>
      </c>
      <c r="L686" s="22"/>
      <c r="M686" s="22"/>
      <c r="N686" s="25" t="str">
        <f>HYPERLINK("http://slimages.macys.com/is/image/MCY/21371433 ")</f>
        <v xml:space="preserve">http://slimages.macys.com/is/image/MCY/21371433 </v>
      </c>
    </row>
    <row r="687" spans="1:14" ht="24.75" x14ac:dyDescent="0.25">
      <c r="A687" s="21" t="s">
        <v>9313</v>
      </c>
      <c r="B687" s="22" t="s">
        <v>9314</v>
      </c>
      <c r="C687" s="2">
        <v>1</v>
      </c>
      <c r="D687" s="23">
        <v>5.99</v>
      </c>
      <c r="E687" s="3">
        <v>5.99</v>
      </c>
      <c r="F687" s="2" t="s">
        <v>14927</v>
      </c>
      <c r="G687" s="22" t="s">
        <v>19618</v>
      </c>
      <c r="H687" s="24" t="s">
        <v>19384</v>
      </c>
      <c r="I687" s="22" t="s">
        <v>19309</v>
      </c>
      <c r="J687" s="22" t="s">
        <v>19573</v>
      </c>
      <c r="K687" s="22" t="s">
        <v>19574</v>
      </c>
      <c r="L687" s="22"/>
      <c r="M687" s="22"/>
      <c r="N687" s="25" t="str">
        <f>HYPERLINK("http://slimages.macys.com/is/image/MCY/21088408 ")</f>
        <v xml:space="preserve">http://slimages.macys.com/is/image/MCY/21088408 </v>
      </c>
    </row>
    <row r="688" spans="1:14" ht="24.75" x14ac:dyDescent="0.25">
      <c r="A688" s="21" t="s">
        <v>14925</v>
      </c>
      <c r="B688" s="22" t="s">
        <v>14926</v>
      </c>
      <c r="C688" s="2">
        <v>1</v>
      </c>
      <c r="D688" s="23">
        <v>5.99</v>
      </c>
      <c r="E688" s="3">
        <v>5.99</v>
      </c>
      <c r="F688" s="2" t="s">
        <v>14927</v>
      </c>
      <c r="G688" s="22" t="s">
        <v>19618</v>
      </c>
      <c r="H688" s="24" t="s">
        <v>19538</v>
      </c>
      <c r="I688" s="22" t="s">
        <v>19309</v>
      </c>
      <c r="J688" s="22" t="s">
        <v>19573</v>
      </c>
      <c r="K688" s="22" t="s">
        <v>19574</v>
      </c>
      <c r="L688" s="22"/>
      <c r="M688" s="22"/>
      <c r="N688" s="25" t="str">
        <f>HYPERLINK("http://slimages.macys.com/is/image/MCY/21088408 ")</f>
        <v xml:space="preserve">http://slimages.macys.com/is/image/MCY/21088408 </v>
      </c>
    </row>
    <row r="689" spans="1:14" ht="24.75" x14ac:dyDescent="0.25">
      <c r="A689" s="21" t="s">
        <v>3330</v>
      </c>
      <c r="B689" s="22" t="s">
        <v>3331</v>
      </c>
      <c r="C689" s="2">
        <v>1</v>
      </c>
      <c r="D689" s="23">
        <v>6.99</v>
      </c>
      <c r="E689" s="3">
        <v>6.99</v>
      </c>
      <c r="F689" s="2" t="s">
        <v>3332</v>
      </c>
      <c r="G689" s="22" t="s">
        <v>19518</v>
      </c>
      <c r="H689" s="24" t="s">
        <v>19330</v>
      </c>
      <c r="I689" s="22" t="s">
        <v>19309</v>
      </c>
      <c r="J689" s="22" t="s">
        <v>19573</v>
      </c>
      <c r="K689" s="22" t="s">
        <v>19574</v>
      </c>
      <c r="L689" s="22"/>
      <c r="M689" s="22"/>
      <c r="N689" s="25" t="str">
        <f>HYPERLINK("http://slimages.macys.com/is/image/MCY/19507848 ")</f>
        <v xml:space="preserve">http://slimages.macys.com/is/image/MCY/19507848 </v>
      </c>
    </row>
    <row r="690" spans="1:14" ht="24.75" x14ac:dyDescent="0.25">
      <c r="A690" s="21" t="s">
        <v>3333</v>
      </c>
      <c r="B690" s="22" t="s">
        <v>3334</v>
      </c>
      <c r="C690" s="2">
        <v>1</v>
      </c>
      <c r="D690" s="23">
        <v>5.99</v>
      </c>
      <c r="E690" s="3">
        <v>5.99</v>
      </c>
      <c r="F690" s="2" t="s">
        <v>3335</v>
      </c>
      <c r="G690" s="22" t="s">
        <v>19585</v>
      </c>
      <c r="H690" s="24" t="s">
        <v>19324</v>
      </c>
      <c r="I690" s="22" t="s">
        <v>19309</v>
      </c>
      <c r="J690" s="22" t="s">
        <v>19573</v>
      </c>
      <c r="K690" s="22" t="s">
        <v>19574</v>
      </c>
      <c r="L690" s="22"/>
      <c r="M690" s="22"/>
      <c r="N690" s="25" t="str">
        <f>HYPERLINK("http://slimages.macys.com/is/image/MCY/18422201 ")</f>
        <v xml:space="preserve">http://slimages.macys.com/is/image/MCY/18422201 </v>
      </c>
    </row>
    <row r="691" spans="1:14" ht="24.75" x14ac:dyDescent="0.25">
      <c r="A691" s="21" t="s">
        <v>3336</v>
      </c>
      <c r="B691" s="22" t="s">
        <v>3337</v>
      </c>
      <c r="C691" s="2">
        <v>2</v>
      </c>
      <c r="D691" s="23">
        <v>6.99</v>
      </c>
      <c r="E691" s="3">
        <v>13.98</v>
      </c>
      <c r="F691" s="2" t="s">
        <v>4446</v>
      </c>
      <c r="G691" s="22" t="s">
        <v>19467</v>
      </c>
      <c r="H691" s="24" t="s">
        <v>19384</v>
      </c>
      <c r="I691" s="22" t="s">
        <v>19309</v>
      </c>
      <c r="J691" s="22" t="s">
        <v>19573</v>
      </c>
      <c r="K691" s="22" t="s">
        <v>19574</v>
      </c>
      <c r="L691" s="22"/>
      <c r="M691" s="22"/>
      <c r="N691" s="25" t="str">
        <f>HYPERLINK("http://slimages.macys.com/is/image/MCY/19977363 ")</f>
        <v xml:space="preserve">http://slimages.macys.com/is/image/MCY/19977363 </v>
      </c>
    </row>
    <row r="692" spans="1:14" ht="24.75" x14ac:dyDescent="0.25">
      <c r="A692" s="21" t="s">
        <v>3338</v>
      </c>
      <c r="B692" s="22" t="s">
        <v>3339</v>
      </c>
      <c r="C692" s="2">
        <v>1</v>
      </c>
      <c r="D692" s="23">
        <v>6.99</v>
      </c>
      <c r="E692" s="3">
        <v>6.99</v>
      </c>
      <c r="F692" s="2" t="s">
        <v>14317</v>
      </c>
      <c r="G692" s="22" t="s">
        <v>19351</v>
      </c>
      <c r="H692" s="24" t="s">
        <v>19538</v>
      </c>
      <c r="I692" s="22" t="s">
        <v>19309</v>
      </c>
      <c r="J692" s="22" t="s">
        <v>19573</v>
      </c>
      <c r="K692" s="22" t="s">
        <v>19574</v>
      </c>
      <c r="L692" s="22"/>
      <c r="M692" s="22"/>
      <c r="N692" s="25" t="str">
        <f>HYPERLINK("http://slimages.macys.com/is/image/MCY/19977362 ")</f>
        <v xml:space="preserve">http://slimages.macys.com/is/image/MCY/19977362 </v>
      </c>
    </row>
    <row r="693" spans="1:14" ht="24.75" x14ac:dyDescent="0.25">
      <c r="A693" s="21" t="s">
        <v>9322</v>
      </c>
      <c r="B693" s="22" t="s">
        <v>9323</v>
      </c>
      <c r="C693" s="2">
        <v>2</v>
      </c>
      <c r="D693" s="23">
        <v>6.99</v>
      </c>
      <c r="E693" s="3">
        <v>13.98</v>
      </c>
      <c r="F693" s="2" t="s">
        <v>14317</v>
      </c>
      <c r="G693" s="22" t="s">
        <v>19351</v>
      </c>
      <c r="H693" s="24" t="s">
        <v>19330</v>
      </c>
      <c r="I693" s="22" t="s">
        <v>19309</v>
      </c>
      <c r="J693" s="22" t="s">
        <v>19573</v>
      </c>
      <c r="K693" s="22" t="s">
        <v>19574</v>
      </c>
      <c r="L693" s="22"/>
      <c r="M693" s="22"/>
      <c r="N693" s="25" t="str">
        <f>HYPERLINK("http://slimages.macys.com/is/image/MCY/19977362 ")</f>
        <v xml:space="preserve">http://slimages.macys.com/is/image/MCY/19977362 </v>
      </c>
    </row>
    <row r="694" spans="1:14" ht="24.75" x14ac:dyDescent="0.25">
      <c r="A694" s="21" t="s">
        <v>3340</v>
      </c>
      <c r="B694" s="22" t="s">
        <v>3341</v>
      </c>
      <c r="C694" s="2">
        <v>2</v>
      </c>
      <c r="D694" s="23">
        <v>6.99</v>
      </c>
      <c r="E694" s="3">
        <v>13.98</v>
      </c>
      <c r="F694" s="2" t="s">
        <v>14317</v>
      </c>
      <c r="G694" s="22" t="s">
        <v>19351</v>
      </c>
      <c r="H694" s="24" t="s">
        <v>19324</v>
      </c>
      <c r="I694" s="22" t="s">
        <v>19309</v>
      </c>
      <c r="J694" s="22" t="s">
        <v>19573</v>
      </c>
      <c r="K694" s="22" t="s">
        <v>19574</v>
      </c>
      <c r="L694" s="22"/>
      <c r="M694" s="22"/>
      <c r="N694" s="25" t="str">
        <f>HYPERLINK("http://slimages.macys.com/is/image/MCY/19977362 ")</f>
        <v xml:space="preserve">http://slimages.macys.com/is/image/MCY/19977362 </v>
      </c>
    </row>
    <row r="695" spans="1:14" ht="24.75" x14ac:dyDescent="0.25">
      <c r="A695" s="21" t="s">
        <v>3342</v>
      </c>
      <c r="B695" s="22" t="s">
        <v>3343</v>
      </c>
      <c r="C695" s="2">
        <v>3</v>
      </c>
      <c r="D695" s="23">
        <v>6.99</v>
      </c>
      <c r="E695" s="3">
        <v>20.97</v>
      </c>
      <c r="F695" s="2" t="s">
        <v>14317</v>
      </c>
      <c r="G695" s="22" t="s">
        <v>19351</v>
      </c>
      <c r="H695" s="24" t="s">
        <v>19416</v>
      </c>
      <c r="I695" s="22" t="s">
        <v>19309</v>
      </c>
      <c r="J695" s="22" t="s">
        <v>19573</v>
      </c>
      <c r="K695" s="22" t="s">
        <v>19574</v>
      </c>
      <c r="L695" s="22"/>
      <c r="M695" s="22"/>
      <c r="N695" s="25" t="str">
        <f>HYPERLINK("http://slimages.macys.com/is/image/MCY/19977362 ")</f>
        <v xml:space="preserve">http://slimages.macys.com/is/image/MCY/19977362 </v>
      </c>
    </row>
    <row r="696" spans="1:14" ht="24.75" x14ac:dyDescent="0.25">
      <c r="A696" s="21" t="s">
        <v>14315</v>
      </c>
      <c r="B696" s="22" t="s">
        <v>14316</v>
      </c>
      <c r="C696" s="2">
        <v>1</v>
      </c>
      <c r="D696" s="23">
        <v>6.99</v>
      </c>
      <c r="E696" s="3">
        <v>6.99</v>
      </c>
      <c r="F696" s="2" t="s">
        <v>14317</v>
      </c>
      <c r="G696" s="22" t="s">
        <v>19351</v>
      </c>
      <c r="H696" s="24" t="s">
        <v>19384</v>
      </c>
      <c r="I696" s="22" t="s">
        <v>19309</v>
      </c>
      <c r="J696" s="22" t="s">
        <v>19573</v>
      </c>
      <c r="K696" s="22" t="s">
        <v>19574</v>
      </c>
      <c r="L696" s="22"/>
      <c r="M696" s="22"/>
      <c r="N696" s="25" t="str">
        <f>HYPERLINK("http://slimages.macys.com/is/image/MCY/19977362 ")</f>
        <v xml:space="preserve">http://slimages.macys.com/is/image/MCY/19977362 </v>
      </c>
    </row>
    <row r="697" spans="1:14" ht="24.75" x14ac:dyDescent="0.25">
      <c r="A697" s="21" t="s">
        <v>3344</v>
      </c>
      <c r="B697" s="22" t="s">
        <v>3345</v>
      </c>
      <c r="C697" s="2">
        <v>4</v>
      </c>
      <c r="D697" s="23">
        <v>6.99</v>
      </c>
      <c r="E697" s="3">
        <v>27.96</v>
      </c>
      <c r="F697" s="2" t="s">
        <v>4446</v>
      </c>
      <c r="G697" s="22" t="s">
        <v>19467</v>
      </c>
      <c r="H697" s="24" t="s">
        <v>19416</v>
      </c>
      <c r="I697" s="22" t="s">
        <v>19309</v>
      </c>
      <c r="J697" s="22" t="s">
        <v>19573</v>
      </c>
      <c r="K697" s="22" t="s">
        <v>19574</v>
      </c>
      <c r="L697" s="22"/>
      <c r="M697" s="22"/>
      <c r="N697" s="25" t="str">
        <f>HYPERLINK("http://slimages.macys.com/is/image/MCY/19977363 ")</f>
        <v xml:space="preserve">http://slimages.macys.com/is/image/MCY/19977363 </v>
      </c>
    </row>
    <row r="698" spans="1:14" ht="24.75" x14ac:dyDescent="0.25">
      <c r="A698" s="21" t="s">
        <v>3346</v>
      </c>
      <c r="B698" s="22" t="s">
        <v>3347</v>
      </c>
      <c r="C698" s="2">
        <v>1</v>
      </c>
      <c r="D698" s="23">
        <v>18.11</v>
      </c>
      <c r="E698" s="3">
        <v>18.11</v>
      </c>
      <c r="F698" s="2" t="s">
        <v>3348</v>
      </c>
      <c r="G698" s="22" t="s">
        <v>19518</v>
      </c>
      <c r="H698" s="24" t="s">
        <v>19384</v>
      </c>
      <c r="I698" s="22" t="s">
        <v>19309</v>
      </c>
      <c r="J698" s="22" t="s">
        <v>19573</v>
      </c>
      <c r="K698" s="22" t="s">
        <v>19574</v>
      </c>
      <c r="L698" s="22"/>
      <c r="M698" s="22"/>
      <c r="N698" s="25" t="str">
        <f>HYPERLINK("http://slimages.macys.com/is/image/MCY/1504449 ")</f>
        <v xml:space="preserve">http://slimages.macys.com/is/image/MCY/1504449 </v>
      </c>
    </row>
    <row r="699" spans="1:14" ht="24.75" x14ac:dyDescent="0.25">
      <c r="A699" s="21" t="s">
        <v>3349</v>
      </c>
      <c r="B699" s="22" t="s">
        <v>3350</v>
      </c>
      <c r="C699" s="2">
        <v>1</v>
      </c>
      <c r="D699" s="23">
        <v>6.99</v>
      </c>
      <c r="E699" s="3">
        <v>6.99</v>
      </c>
      <c r="F699" s="2" t="s">
        <v>3348</v>
      </c>
      <c r="G699" s="22" t="s">
        <v>19518</v>
      </c>
      <c r="H699" s="24" t="s">
        <v>19330</v>
      </c>
      <c r="I699" s="22" t="s">
        <v>19309</v>
      </c>
      <c r="J699" s="22" t="s">
        <v>19573</v>
      </c>
      <c r="K699" s="22" t="s">
        <v>19574</v>
      </c>
      <c r="L699" s="22"/>
      <c r="M699" s="22"/>
      <c r="N699" s="25" t="str">
        <f>HYPERLINK("http://slimages.macys.com/is/image/MCY/20385690 ")</f>
        <v xml:space="preserve">http://slimages.macys.com/is/image/MCY/20385690 </v>
      </c>
    </row>
    <row r="700" spans="1:14" ht="24.75" x14ac:dyDescent="0.25">
      <c r="A700" s="21" t="s">
        <v>3351</v>
      </c>
      <c r="B700" s="22" t="s">
        <v>3352</v>
      </c>
      <c r="C700" s="2">
        <v>1</v>
      </c>
      <c r="D700" s="23">
        <v>6.99</v>
      </c>
      <c r="E700" s="3">
        <v>6.99</v>
      </c>
      <c r="F700" s="2" t="s">
        <v>3348</v>
      </c>
      <c r="G700" s="22" t="s">
        <v>19518</v>
      </c>
      <c r="H700" s="24" t="s">
        <v>19416</v>
      </c>
      <c r="I700" s="22" t="s">
        <v>19309</v>
      </c>
      <c r="J700" s="22" t="s">
        <v>19573</v>
      </c>
      <c r="K700" s="22" t="s">
        <v>19574</v>
      </c>
      <c r="L700" s="22"/>
      <c r="M700" s="22"/>
      <c r="N700" s="25" t="str">
        <f>HYPERLINK("http://slimages.macys.com/is/image/MCY/20385690 ")</f>
        <v xml:space="preserve">http://slimages.macys.com/is/image/MCY/20385690 </v>
      </c>
    </row>
    <row r="701" spans="1:14" ht="24.75" x14ac:dyDescent="0.25">
      <c r="A701" s="21" t="s">
        <v>9738</v>
      </c>
      <c r="B701" s="22" t="s">
        <v>9739</v>
      </c>
      <c r="C701" s="2">
        <v>1</v>
      </c>
      <c r="D701" s="23">
        <v>5.99</v>
      </c>
      <c r="E701" s="3">
        <v>5.99</v>
      </c>
      <c r="F701" s="2" t="s">
        <v>17245</v>
      </c>
      <c r="G701" s="22" t="s">
        <v>19670</v>
      </c>
      <c r="H701" s="24" t="s">
        <v>19538</v>
      </c>
      <c r="I701" s="22" t="s">
        <v>19309</v>
      </c>
      <c r="J701" s="22" t="s">
        <v>19573</v>
      </c>
      <c r="K701" s="22" t="s">
        <v>19574</v>
      </c>
      <c r="L701" s="22"/>
      <c r="M701" s="22"/>
      <c r="N701" s="25" t="str">
        <f>HYPERLINK("http://slimages.macys.com/is/image/MCY/21209342 ")</f>
        <v xml:space="preserve">http://slimages.macys.com/is/image/MCY/21209342 </v>
      </c>
    </row>
    <row r="702" spans="1:14" ht="24.75" x14ac:dyDescent="0.25">
      <c r="A702" s="21" t="s">
        <v>3631</v>
      </c>
      <c r="B702" s="22" t="s">
        <v>3632</v>
      </c>
      <c r="C702" s="2">
        <v>1</v>
      </c>
      <c r="D702" s="23">
        <v>5.99</v>
      </c>
      <c r="E702" s="3">
        <v>5.99</v>
      </c>
      <c r="F702" s="2" t="s">
        <v>17245</v>
      </c>
      <c r="G702" s="22" t="s">
        <v>19670</v>
      </c>
      <c r="H702" s="24" t="s">
        <v>19384</v>
      </c>
      <c r="I702" s="22" t="s">
        <v>19309</v>
      </c>
      <c r="J702" s="22" t="s">
        <v>19573</v>
      </c>
      <c r="K702" s="22" t="s">
        <v>19574</v>
      </c>
      <c r="L702" s="22"/>
      <c r="M702" s="22"/>
      <c r="N702" s="25" t="str">
        <f>HYPERLINK("http://slimages.macys.com/is/image/MCY/21209342 ")</f>
        <v xml:space="preserve">http://slimages.macys.com/is/image/MCY/21209342 </v>
      </c>
    </row>
    <row r="703" spans="1:14" ht="24.75" x14ac:dyDescent="0.25">
      <c r="A703" s="21" t="s">
        <v>3629</v>
      </c>
      <c r="B703" s="22" t="s">
        <v>3630</v>
      </c>
      <c r="C703" s="2">
        <v>1</v>
      </c>
      <c r="D703" s="23">
        <v>5.99</v>
      </c>
      <c r="E703" s="3">
        <v>5.99</v>
      </c>
      <c r="F703" s="2" t="s">
        <v>17245</v>
      </c>
      <c r="G703" s="22" t="s">
        <v>19670</v>
      </c>
      <c r="H703" s="24" t="s">
        <v>19416</v>
      </c>
      <c r="I703" s="22" t="s">
        <v>19309</v>
      </c>
      <c r="J703" s="22" t="s">
        <v>19573</v>
      </c>
      <c r="K703" s="22" t="s">
        <v>19574</v>
      </c>
      <c r="L703" s="22"/>
      <c r="M703" s="22"/>
      <c r="N703" s="25" t="str">
        <f>HYPERLINK("http://slimages.macys.com/is/image/MCY/21209342 ")</f>
        <v xml:space="preserve">http://slimages.macys.com/is/image/MCY/21209342 </v>
      </c>
    </row>
    <row r="704" spans="1:14" ht="24.75" x14ac:dyDescent="0.25">
      <c r="A704" s="21" t="s">
        <v>3353</v>
      </c>
      <c r="B704" s="22" t="s">
        <v>3354</v>
      </c>
      <c r="C704" s="2">
        <v>1</v>
      </c>
      <c r="D704" s="23">
        <v>5.99</v>
      </c>
      <c r="E704" s="3">
        <v>5.99</v>
      </c>
      <c r="F704" s="2" t="s">
        <v>7207</v>
      </c>
      <c r="G704" s="22" t="s">
        <v>19467</v>
      </c>
      <c r="H704" s="24" t="s">
        <v>19330</v>
      </c>
      <c r="I704" s="22" t="s">
        <v>19309</v>
      </c>
      <c r="J704" s="22" t="s">
        <v>19573</v>
      </c>
      <c r="K704" s="22" t="s">
        <v>19574</v>
      </c>
      <c r="L704" s="22"/>
      <c r="M704" s="22"/>
      <c r="N704" s="25" t="str">
        <f>HYPERLINK("http://slimages.macys.com/is/image/MCY/20436622 ")</f>
        <v xml:space="preserve">http://slimages.macys.com/is/image/MCY/20436622 </v>
      </c>
    </row>
    <row r="705" spans="1:14" ht="24.75" x14ac:dyDescent="0.25">
      <c r="A705" s="21" t="s">
        <v>7205</v>
      </c>
      <c r="B705" s="22" t="s">
        <v>7206</v>
      </c>
      <c r="C705" s="2">
        <v>1</v>
      </c>
      <c r="D705" s="23">
        <v>5.99</v>
      </c>
      <c r="E705" s="3">
        <v>5.99</v>
      </c>
      <c r="F705" s="2" t="s">
        <v>7207</v>
      </c>
      <c r="G705" s="22" t="s">
        <v>19467</v>
      </c>
      <c r="H705" s="24" t="s">
        <v>19416</v>
      </c>
      <c r="I705" s="22" t="s">
        <v>19309</v>
      </c>
      <c r="J705" s="22" t="s">
        <v>19573</v>
      </c>
      <c r="K705" s="22" t="s">
        <v>19574</v>
      </c>
      <c r="L705" s="22"/>
      <c r="M705" s="22"/>
      <c r="N705" s="25" t="str">
        <f>HYPERLINK("http://slimages.macys.com/is/image/MCY/20436622 ")</f>
        <v xml:space="preserve">http://slimages.macys.com/is/image/MCY/20436622 </v>
      </c>
    </row>
    <row r="706" spans="1:14" ht="24.75" x14ac:dyDescent="0.25">
      <c r="A706" s="21" t="s">
        <v>3355</v>
      </c>
      <c r="B706" s="22" t="s">
        <v>3356</v>
      </c>
      <c r="C706" s="2">
        <v>1</v>
      </c>
      <c r="D706" s="23">
        <v>5.99</v>
      </c>
      <c r="E706" s="3">
        <v>5.99</v>
      </c>
      <c r="F706" s="2" t="s">
        <v>7207</v>
      </c>
      <c r="G706" s="22" t="s">
        <v>19467</v>
      </c>
      <c r="H706" s="24" t="s">
        <v>19324</v>
      </c>
      <c r="I706" s="22" t="s">
        <v>19309</v>
      </c>
      <c r="J706" s="22" t="s">
        <v>19573</v>
      </c>
      <c r="K706" s="22" t="s">
        <v>19574</v>
      </c>
      <c r="L706" s="22"/>
      <c r="M706" s="22"/>
      <c r="N706" s="25" t="str">
        <f>HYPERLINK("http://slimages.macys.com/is/image/MCY/20436622 ")</f>
        <v xml:space="preserve">http://slimages.macys.com/is/image/MCY/20436622 </v>
      </c>
    </row>
    <row r="707" spans="1:14" ht="24.75" x14ac:dyDescent="0.25">
      <c r="A707" s="21" t="s">
        <v>19268</v>
      </c>
      <c r="B707" s="22" t="s">
        <v>19269</v>
      </c>
      <c r="C707" s="2">
        <v>1</v>
      </c>
      <c r="D707" s="23">
        <v>5.99</v>
      </c>
      <c r="E707" s="3">
        <v>5.99</v>
      </c>
      <c r="F707" s="2" t="s">
        <v>19270</v>
      </c>
      <c r="G707" s="22" t="s">
        <v>19351</v>
      </c>
      <c r="H707" s="24" t="s">
        <v>19384</v>
      </c>
      <c r="I707" s="22" t="s">
        <v>19309</v>
      </c>
      <c r="J707" s="22" t="s">
        <v>19573</v>
      </c>
      <c r="K707" s="22" t="s">
        <v>19574</v>
      </c>
      <c r="L707" s="22"/>
      <c r="M707" s="22"/>
      <c r="N707" s="25" t="str">
        <f>HYPERLINK("http://slimages.macys.com/is/image/MCY/20839696 ")</f>
        <v xml:space="preserve">http://slimages.macys.com/is/image/MCY/20839696 </v>
      </c>
    </row>
    <row r="708" spans="1:14" ht="24.75" x14ac:dyDescent="0.25">
      <c r="A708" s="21" t="s">
        <v>17385</v>
      </c>
      <c r="B708" s="22" t="s">
        <v>17386</v>
      </c>
      <c r="C708" s="2">
        <v>1</v>
      </c>
      <c r="D708" s="23">
        <v>5.99</v>
      </c>
      <c r="E708" s="3">
        <v>5.99</v>
      </c>
      <c r="F708" s="2" t="s">
        <v>17384</v>
      </c>
      <c r="G708" s="22" t="s">
        <v>18439</v>
      </c>
      <c r="H708" s="24" t="s">
        <v>19330</v>
      </c>
      <c r="I708" s="22" t="s">
        <v>19309</v>
      </c>
      <c r="J708" s="22" t="s">
        <v>19573</v>
      </c>
      <c r="K708" s="22" t="s">
        <v>19574</v>
      </c>
      <c r="L708" s="22"/>
      <c r="M708" s="22"/>
      <c r="N708" s="25" t="str">
        <f>HYPERLINK("http://slimages.macys.com/is/image/MCY/1905756 ")</f>
        <v xml:space="preserve">http://slimages.macys.com/is/image/MCY/1905756 </v>
      </c>
    </row>
    <row r="709" spans="1:14" ht="24.75" x14ac:dyDescent="0.25">
      <c r="A709" s="21" t="s">
        <v>9336</v>
      </c>
      <c r="B709" s="22" t="s">
        <v>9337</v>
      </c>
      <c r="C709" s="2">
        <v>1</v>
      </c>
      <c r="D709" s="23">
        <v>6.99</v>
      </c>
      <c r="E709" s="3">
        <v>6.99</v>
      </c>
      <c r="F709" s="2" t="s">
        <v>9338</v>
      </c>
      <c r="G709" s="22" t="s">
        <v>19518</v>
      </c>
      <c r="H709" s="24" t="s">
        <v>19324</v>
      </c>
      <c r="I709" s="22" t="s">
        <v>19309</v>
      </c>
      <c r="J709" s="22" t="s">
        <v>19573</v>
      </c>
      <c r="K709" s="22" t="s">
        <v>19574</v>
      </c>
      <c r="L709" s="22"/>
      <c r="M709" s="22"/>
      <c r="N709" s="25" t="str">
        <f>HYPERLINK("http://slimages.macys.com/is/image/MCY/19507413 ")</f>
        <v xml:space="preserve">http://slimages.macys.com/is/image/MCY/19507413 </v>
      </c>
    </row>
    <row r="710" spans="1:14" ht="24.75" x14ac:dyDescent="0.25">
      <c r="A710" s="21" t="s">
        <v>3357</v>
      </c>
      <c r="B710" s="22" t="s">
        <v>3358</v>
      </c>
      <c r="C710" s="2">
        <v>1</v>
      </c>
      <c r="D710" s="23">
        <v>6.99</v>
      </c>
      <c r="E710" s="3">
        <v>6.99</v>
      </c>
      <c r="F710" s="2" t="s">
        <v>3359</v>
      </c>
      <c r="G710" s="22" t="s">
        <v>19513</v>
      </c>
      <c r="H710" s="24" t="s">
        <v>19384</v>
      </c>
      <c r="I710" s="22" t="s">
        <v>19309</v>
      </c>
      <c r="J710" s="22" t="s">
        <v>19573</v>
      </c>
      <c r="K710" s="22" t="s">
        <v>19574</v>
      </c>
      <c r="L710" s="22"/>
      <c r="M710" s="22"/>
      <c r="N710" s="25" t="str">
        <f>HYPERLINK("http://slimages.macys.com/is/image/MCY/19507901 ")</f>
        <v xml:space="preserve">http://slimages.macys.com/is/image/MCY/19507901 </v>
      </c>
    </row>
    <row r="711" spans="1:14" ht="24.75" x14ac:dyDescent="0.25">
      <c r="A711" s="21" t="s">
        <v>3360</v>
      </c>
      <c r="B711" s="22" t="s">
        <v>3361</v>
      </c>
      <c r="C711" s="2">
        <v>1</v>
      </c>
      <c r="D711" s="23">
        <v>6.99</v>
      </c>
      <c r="E711" s="3">
        <v>6.99</v>
      </c>
      <c r="F711" s="2" t="s">
        <v>3362</v>
      </c>
      <c r="G711" s="22" t="s">
        <v>19415</v>
      </c>
      <c r="H711" s="24" t="s">
        <v>19330</v>
      </c>
      <c r="I711" s="22" t="s">
        <v>19309</v>
      </c>
      <c r="J711" s="22" t="s">
        <v>19573</v>
      </c>
      <c r="K711" s="22" t="s">
        <v>19574</v>
      </c>
      <c r="L711" s="22"/>
      <c r="M711" s="22"/>
      <c r="N711" s="25" t="str">
        <f>HYPERLINK("http://slimages.macys.com/is/image/MCY/19217535 ")</f>
        <v xml:space="preserve">http://slimages.macys.com/is/image/MCY/19217535 </v>
      </c>
    </row>
    <row r="712" spans="1:14" ht="24.75" x14ac:dyDescent="0.25">
      <c r="A712" s="21" t="s">
        <v>3363</v>
      </c>
      <c r="B712" s="22" t="s">
        <v>3364</v>
      </c>
      <c r="C712" s="2">
        <v>1</v>
      </c>
      <c r="D712" s="23">
        <v>6.99</v>
      </c>
      <c r="E712" s="3">
        <v>6.99</v>
      </c>
      <c r="F712" s="2" t="s">
        <v>3362</v>
      </c>
      <c r="G712" s="22" t="s">
        <v>19415</v>
      </c>
      <c r="H712" s="24" t="s">
        <v>19416</v>
      </c>
      <c r="I712" s="22" t="s">
        <v>19309</v>
      </c>
      <c r="J712" s="22" t="s">
        <v>19573</v>
      </c>
      <c r="K712" s="22" t="s">
        <v>19574</v>
      </c>
      <c r="L712" s="22"/>
      <c r="M712" s="22"/>
      <c r="N712" s="25" t="str">
        <f>HYPERLINK("http://slimages.macys.com/is/image/MCY/19217535 ")</f>
        <v xml:space="preserve">http://slimages.macys.com/is/image/MCY/19217535 </v>
      </c>
    </row>
    <row r="713" spans="1:14" ht="24.75" x14ac:dyDescent="0.25">
      <c r="A713" s="21" t="s">
        <v>3365</v>
      </c>
      <c r="B713" s="22" t="s">
        <v>3366</v>
      </c>
      <c r="C713" s="2">
        <v>2</v>
      </c>
      <c r="D713" s="23">
        <v>6.99</v>
      </c>
      <c r="E713" s="3">
        <v>13.98</v>
      </c>
      <c r="F713" s="2" t="s">
        <v>3367</v>
      </c>
      <c r="G713" s="22" t="s">
        <v>19431</v>
      </c>
      <c r="H713" s="24" t="s">
        <v>19538</v>
      </c>
      <c r="I713" s="22" t="s">
        <v>19309</v>
      </c>
      <c r="J713" s="22" t="s">
        <v>19573</v>
      </c>
      <c r="K713" s="22" t="s">
        <v>19574</v>
      </c>
      <c r="L713" s="22"/>
      <c r="M713" s="22"/>
      <c r="N713" s="25" t="str">
        <f>HYPERLINK("http://slimages.macys.com/is/image/MCY/19507487 ")</f>
        <v xml:space="preserve">http://slimages.macys.com/is/image/MCY/19507487 </v>
      </c>
    </row>
    <row r="714" spans="1:14" ht="24.75" x14ac:dyDescent="0.25">
      <c r="A714" s="21" t="s">
        <v>3368</v>
      </c>
      <c r="B714" s="22" t="s">
        <v>3369</v>
      </c>
      <c r="C714" s="2">
        <v>3</v>
      </c>
      <c r="D714" s="23">
        <v>6.99</v>
      </c>
      <c r="E714" s="3">
        <v>20.97</v>
      </c>
      <c r="F714" s="2" t="s">
        <v>3370</v>
      </c>
      <c r="G714" s="22" t="s">
        <v>19351</v>
      </c>
      <c r="H714" s="24" t="s">
        <v>19416</v>
      </c>
      <c r="I714" s="22" t="s">
        <v>19309</v>
      </c>
      <c r="J714" s="22" t="s">
        <v>19573</v>
      </c>
      <c r="K714" s="22" t="s">
        <v>19574</v>
      </c>
      <c r="L714" s="22"/>
      <c r="M714" s="22"/>
      <c r="N714" s="25" t="str">
        <f>HYPERLINK("http://slimages.macys.com/is/image/MCY/1504449 ")</f>
        <v xml:space="preserve">http://slimages.macys.com/is/image/MCY/1504449 </v>
      </c>
    </row>
    <row r="715" spans="1:14" ht="24.75" x14ac:dyDescent="0.25">
      <c r="A715" s="21" t="s">
        <v>3371</v>
      </c>
      <c r="B715" s="22" t="s">
        <v>3372</v>
      </c>
      <c r="C715" s="2">
        <v>1</v>
      </c>
      <c r="D715" s="23">
        <v>6.99</v>
      </c>
      <c r="E715" s="3">
        <v>6.99</v>
      </c>
      <c r="F715" s="2" t="s">
        <v>3370</v>
      </c>
      <c r="G715" s="22" t="s">
        <v>19351</v>
      </c>
      <c r="H715" s="24" t="s">
        <v>19384</v>
      </c>
      <c r="I715" s="22" t="s">
        <v>19309</v>
      </c>
      <c r="J715" s="22" t="s">
        <v>19573</v>
      </c>
      <c r="K715" s="22" t="s">
        <v>19574</v>
      </c>
      <c r="L715" s="22"/>
      <c r="M715" s="22"/>
      <c r="N715" s="25" t="str">
        <f>HYPERLINK("http://slimages.macys.com/is/image/MCY/20385677 ")</f>
        <v xml:space="preserve">http://slimages.macys.com/is/image/MCY/20385677 </v>
      </c>
    </row>
    <row r="716" spans="1:14" ht="24.75" x14ac:dyDescent="0.25">
      <c r="A716" s="21" t="s">
        <v>3373</v>
      </c>
      <c r="B716" s="22" t="s">
        <v>3374</v>
      </c>
      <c r="C716" s="2">
        <v>2</v>
      </c>
      <c r="D716" s="23">
        <v>6.99</v>
      </c>
      <c r="E716" s="3">
        <v>13.98</v>
      </c>
      <c r="F716" s="2" t="s">
        <v>3375</v>
      </c>
      <c r="G716" s="22" t="s">
        <v>19431</v>
      </c>
      <c r="H716" s="24" t="s">
        <v>19384</v>
      </c>
      <c r="I716" s="22" t="s">
        <v>19309</v>
      </c>
      <c r="J716" s="22" t="s">
        <v>19573</v>
      </c>
      <c r="K716" s="22" t="s">
        <v>19574</v>
      </c>
      <c r="L716" s="22"/>
      <c r="M716" s="22"/>
      <c r="N716" s="25" t="str">
        <f>HYPERLINK("http://slimages.macys.com/is/image/MCY/20386120 ")</f>
        <v xml:space="preserve">http://slimages.macys.com/is/image/MCY/20386120 </v>
      </c>
    </row>
    <row r="717" spans="1:14" ht="24.75" x14ac:dyDescent="0.25">
      <c r="A717" s="21" t="s">
        <v>3376</v>
      </c>
      <c r="B717" s="22" t="s">
        <v>3377</v>
      </c>
      <c r="C717" s="2">
        <v>1</v>
      </c>
      <c r="D717" s="23">
        <v>6.99</v>
      </c>
      <c r="E717" s="3">
        <v>6.99</v>
      </c>
      <c r="F717" s="2" t="s">
        <v>3375</v>
      </c>
      <c r="G717" s="22" t="s">
        <v>19431</v>
      </c>
      <c r="H717" s="24" t="s">
        <v>19416</v>
      </c>
      <c r="I717" s="22" t="s">
        <v>19309</v>
      </c>
      <c r="J717" s="22" t="s">
        <v>19573</v>
      </c>
      <c r="K717" s="22" t="s">
        <v>19574</v>
      </c>
      <c r="L717" s="22"/>
      <c r="M717" s="22"/>
      <c r="N717" s="25" t="str">
        <f>HYPERLINK("http://slimages.macys.com/is/image/MCY/20386120 ")</f>
        <v xml:space="preserve">http://slimages.macys.com/is/image/MCY/20386120 </v>
      </c>
    </row>
    <row r="718" spans="1:14" ht="24.75" x14ac:dyDescent="0.25">
      <c r="A718" s="21" t="s">
        <v>3378</v>
      </c>
      <c r="B718" s="22" t="s">
        <v>3379</v>
      </c>
      <c r="C718" s="2">
        <v>2</v>
      </c>
      <c r="D718" s="23">
        <v>6.99</v>
      </c>
      <c r="E718" s="3">
        <v>13.98</v>
      </c>
      <c r="F718" s="2" t="s">
        <v>3370</v>
      </c>
      <c r="G718" s="22" t="s">
        <v>19351</v>
      </c>
      <c r="H718" s="24" t="s">
        <v>19324</v>
      </c>
      <c r="I718" s="22" t="s">
        <v>19309</v>
      </c>
      <c r="J718" s="22" t="s">
        <v>19573</v>
      </c>
      <c r="K718" s="22" t="s">
        <v>19574</v>
      </c>
      <c r="L718" s="22"/>
      <c r="M718" s="22"/>
      <c r="N718" s="25" t="str">
        <f>HYPERLINK("http://slimages.macys.com/is/image/MCY/20385677 ")</f>
        <v xml:space="preserve">http://slimages.macys.com/is/image/MCY/20385677 </v>
      </c>
    </row>
    <row r="719" spans="1:14" ht="24.75" x14ac:dyDescent="0.25">
      <c r="A719" s="21" t="s">
        <v>3380</v>
      </c>
      <c r="B719" s="22" t="s">
        <v>3381</v>
      </c>
      <c r="C719" s="2">
        <v>1</v>
      </c>
      <c r="D719" s="23">
        <v>6.99</v>
      </c>
      <c r="E719" s="3">
        <v>6.99</v>
      </c>
      <c r="F719" s="2" t="s">
        <v>14343</v>
      </c>
      <c r="G719" s="22" t="s">
        <v>19315</v>
      </c>
      <c r="H719" s="24" t="s">
        <v>19384</v>
      </c>
      <c r="I719" s="22" t="s">
        <v>19309</v>
      </c>
      <c r="J719" s="22" t="s">
        <v>19573</v>
      </c>
      <c r="K719" s="22" t="s">
        <v>19574</v>
      </c>
      <c r="L719" s="22"/>
      <c r="M719" s="22"/>
      <c r="N719" s="25" t="str">
        <f>HYPERLINK("http://slimages.macys.com/is/image/MCY/20385718 ")</f>
        <v xml:space="preserve">http://slimages.macys.com/is/image/MCY/20385718 </v>
      </c>
    </row>
    <row r="720" spans="1:14" ht="24.75" x14ac:dyDescent="0.25">
      <c r="A720" s="21" t="s">
        <v>3382</v>
      </c>
      <c r="B720" s="22" t="s">
        <v>3383</v>
      </c>
      <c r="C720" s="2">
        <v>1</v>
      </c>
      <c r="D720" s="23">
        <v>6.99</v>
      </c>
      <c r="E720" s="3">
        <v>6.99</v>
      </c>
      <c r="F720" s="2" t="s">
        <v>10763</v>
      </c>
      <c r="G720" s="22" t="s">
        <v>19351</v>
      </c>
      <c r="H720" s="24" t="s">
        <v>19416</v>
      </c>
      <c r="I720" s="22" t="s">
        <v>19309</v>
      </c>
      <c r="J720" s="22" t="s">
        <v>19573</v>
      </c>
      <c r="K720" s="22" t="s">
        <v>19574</v>
      </c>
      <c r="L720" s="22"/>
      <c r="M720" s="22"/>
      <c r="N720" s="25" t="str">
        <f>HYPERLINK("http://slimages.macys.com/is/image/MCY/20385749 ")</f>
        <v xml:space="preserve">http://slimages.macys.com/is/image/MCY/20385749 </v>
      </c>
    </row>
    <row r="721" spans="1:14" ht="24.75" x14ac:dyDescent="0.25">
      <c r="A721" s="21" t="s">
        <v>3384</v>
      </c>
      <c r="B721" s="22" t="s">
        <v>3385</v>
      </c>
      <c r="C721" s="2">
        <v>1</v>
      </c>
      <c r="D721" s="23">
        <v>6.99</v>
      </c>
      <c r="E721" s="3">
        <v>6.99</v>
      </c>
      <c r="F721" s="2" t="s">
        <v>3386</v>
      </c>
      <c r="G721" s="22" t="s">
        <v>19467</v>
      </c>
      <c r="H721" s="24" t="s">
        <v>19416</v>
      </c>
      <c r="I721" s="22" t="s">
        <v>19309</v>
      </c>
      <c r="J721" s="22" t="s">
        <v>19573</v>
      </c>
      <c r="K721" s="22" t="s">
        <v>19574</v>
      </c>
      <c r="L721" s="22"/>
      <c r="M721" s="22"/>
      <c r="N721" s="25" t="str">
        <f>HYPERLINK("http://slimages.macys.com/is/image/MCY/1104693 ")</f>
        <v xml:space="preserve">http://slimages.macys.com/is/image/MCY/1104693 </v>
      </c>
    </row>
    <row r="722" spans="1:14" ht="24.75" x14ac:dyDescent="0.25">
      <c r="A722" s="21" t="s">
        <v>3387</v>
      </c>
      <c r="B722" s="22" t="s">
        <v>3388</v>
      </c>
      <c r="C722" s="2">
        <v>1</v>
      </c>
      <c r="D722" s="23">
        <v>5.99</v>
      </c>
      <c r="E722" s="3">
        <v>5.99</v>
      </c>
      <c r="F722" s="2" t="s">
        <v>9345</v>
      </c>
      <c r="G722" s="22" t="s">
        <v>19618</v>
      </c>
      <c r="H722" s="24" t="s">
        <v>19416</v>
      </c>
      <c r="I722" s="22" t="s">
        <v>19309</v>
      </c>
      <c r="J722" s="22" t="s">
        <v>19573</v>
      </c>
      <c r="K722" s="22" t="s">
        <v>19574</v>
      </c>
      <c r="L722" s="22"/>
      <c r="M722" s="22"/>
      <c r="N722" s="25" t="str">
        <f>HYPERLINK("http://slimages.macys.com/is/image/MCY/1122097 ")</f>
        <v xml:space="preserve">http://slimages.macys.com/is/image/MCY/1122097 </v>
      </c>
    </row>
    <row r="723" spans="1:14" ht="24.75" x14ac:dyDescent="0.25">
      <c r="A723" s="21" t="s">
        <v>3389</v>
      </c>
      <c r="B723" s="22" t="s">
        <v>3390</v>
      </c>
      <c r="C723" s="2">
        <v>1</v>
      </c>
      <c r="D723" s="23">
        <v>5.99</v>
      </c>
      <c r="E723" s="3">
        <v>5.99</v>
      </c>
      <c r="F723" s="2" t="s">
        <v>3391</v>
      </c>
      <c r="G723" s="22" t="s">
        <v>19415</v>
      </c>
      <c r="H723" s="24" t="s">
        <v>19324</v>
      </c>
      <c r="I723" s="22" t="s">
        <v>19309</v>
      </c>
      <c r="J723" s="22" t="s">
        <v>19573</v>
      </c>
      <c r="K723" s="22" t="s">
        <v>19574</v>
      </c>
      <c r="L723" s="22"/>
      <c r="M723" s="22"/>
      <c r="N723" s="25" t="str">
        <f>HYPERLINK("http://slimages.macys.com/is/image/MCY/1133231 ")</f>
        <v xml:space="preserve">http://slimages.macys.com/is/image/MCY/1133231 </v>
      </c>
    </row>
    <row r="724" spans="1:14" ht="24.75" x14ac:dyDescent="0.25">
      <c r="A724" s="21" t="s">
        <v>14989</v>
      </c>
      <c r="B724" s="22" t="s">
        <v>14990</v>
      </c>
      <c r="C724" s="2">
        <v>1</v>
      </c>
      <c r="D724" s="23">
        <v>5.99</v>
      </c>
      <c r="E724" s="3">
        <v>5.99</v>
      </c>
      <c r="F724" s="2" t="s">
        <v>14988</v>
      </c>
      <c r="G724" s="22" t="s">
        <v>19467</v>
      </c>
      <c r="H724" s="24" t="s">
        <v>19324</v>
      </c>
      <c r="I724" s="22" t="s">
        <v>19309</v>
      </c>
      <c r="J724" s="22" t="s">
        <v>19573</v>
      </c>
      <c r="K724" s="22" t="s">
        <v>19574</v>
      </c>
      <c r="L724" s="22"/>
      <c r="M724" s="22"/>
      <c r="N724" s="25" t="str">
        <f>HYPERLINK("http://slimages.macys.com/is/image/MCY/20757609 ")</f>
        <v xml:space="preserve">http://slimages.macys.com/is/image/MCY/20757609 </v>
      </c>
    </row>
    <row r="725" spans="1:14" ht="24.75" x14ac:dyDescent="0.25">
      <c r="A725" s="21" t="s">
        <v>14348</v>
      </c>
      <c r="B725" s="22" t="s">
        <v>14349</v>
      </c>
      <c r="C725" s="2">
        <v>1</v>
      </c>
      <c r="D725" s="23">
        <v>5.99</v>
      </c>
      <c r="E725" s="3">
        <v>5.99</v>
      </c>
      <c r="F725" s="2" t="s">
        <v>17283</v>
      </c>
      <c r="G725" s="22" t="s">
        <v>19618</v>
      </c>
      <c r="H725" s="24" t="s">
        <v>19538</v>
      </c>
      <c r="I725" s="22" t="s">
        <v>19309</v>
      </c>
      <c r="J725" s="22" t="s">
        <v>19573</v>
      </c>
      <c r="K725" s="22" t="s">
        <v>19574</v>
      </c>
      <c r="L725" s="22"/>
      <c r="M725" s="22"/>
      <c r="N725" s="25" t="str">
        <f>HYPERLINK("http://slimages.macys.com/is/image/MCY/21089253 ")</f>
        <v xml:space="preserve">http://slimages.macys.com/is/image/MCY/21089253 </v>
      </c>
    </row>
    <row r="726" spans="1:14" ht="24.75" x14ac:dyDescent="0.25">
      <c r="A726" s="21" t="s">
        <v>9350</v>
      </c>
      <c r="B726" s="22" t="s">
        <v>9351</v>
      </c>
      <c r="C726" s="2">
        <v>2</v>
      </c>
      <c r="D726" s="23">
        <v>5.99</v>
      </c>
      <c r="E726" s="3">
        <v>11.98</v>
      </c>
      <c r="F726" s="2" t="s">
        <v>17283</v>
      </c>
      <c r="G726" s="22" t="s">
        <v>19618</v>
      </c>
      <c r="H726" s="24" t="s">
        <v>19384</v>
      </c>
      <c r="I726" s="22" t="s">
        <v>19309</v>
      </c>
      <c r="J726" s="22" t="s">
        <v>19573</v>
      </c>
      <c r="K726" s="22" t="s">
        <v>19574</v>
      </c>
      <c r="L726" s="22"/>
      <c r="M726" s="22"/>
      <c r="N726" s="25" t="str">
        <f>HYPERLINK("http://slimages.macys.com/is/image/MCY/21089253 ")</f>
        <v xml:space="preserve">http://slimages.macys.com/is/image/MCY/21089253 </v>
      </c>
    </row>
    <row r="727" spans="1:14" ht="24.75" x14ac:dyDescent="0.25">
      <c r="A727" s="21" t="s">
        <v>3392</v>
      </c>
      <c r="B727" s="22" t="s">
        <v>3393</v>
      </c>
      <c r="C727" s="2">
        <v>1</v>
      </c>
      <c r="D727" s="23">
        <v>6.99</v>
      </c>
      <c r="E727" s="3">
        <v>6.99</v>
      </c>
      <c r="F727" s="2" t="s">
        <v>3394</v>
      </c>
      <c r="G727" s="22" t="s">
        <v>19351</v>
      </c>
      <c r="H727" s="24" t="s">
        <v>19384</v>
      </c>
      <c r="I727" s="22" t="s">
        <v>19309</v>
      </c>
      <c r="J727" s="22" t="s">
        <v>19573</v>
      </c>
      <c r="K727" s="22" t="s">
        <v>19574</v>
      </c>
      <c r="L727" s="22"/>
      <c r="M727" s="22"/>
      <c r="N727" s="25" t="str">
        <f>HYPERLINK("http://slimages.macys.com/is/image/MCY/20386094 ")</f>
        <v xml:space="preserve">http://slimages.macys.com/is/image/MCY/20386094 </v>
      </c>
    </row>
    <row r="728" spans="1:14" ht="24.75" x14ac:dyDescent="0.25">
      <c r="A728" s="21" t="s">
        <v>3395</v>
      </c>
      <c r="B728" s="22" t="s">
        <v>3396</v>
      </c>
      <c r="C728" s="2">
        <v>1</v>
      </c>
      <c r="D728" s="23">
        <v>6.99</v>
      </c>
      <c r="E728" s="3">
        <v>6.99</v>
      </c>
      <c r="F728" s="2" t="s">
        <v>3394</v>
      </c>
      <c r="G728" s="22" t="s">
        <v>19351</v>
      </c>
      <c r="H728" s="24" t="s">
        <v>19416</v>
      </c>
      <c r="I728" s="22" t="s">
        <v>19309</v>
      </c>
      <c r="J728" s="22" t="s">
        <v>19573</v>
      </c>
      <c r="K728" s="22" t="s">
        <v>19574</v>
      </c>
      <c r="L728" s="22"/>
      <c r="M728" s="22"/>
      <c r="N728" s="25" t="str">
        <f>HYPERLINK("http://slimages.macys.com/is/image/MCY/20386094 ")</f>
        <v xml:space="preserve">http://slimages.macys.com/is/image/MCY/20386094 </v>
      </c>
    </row>
    <row r="729" spans="1:14" ht="24.75" x14ac:dyDescent="0.25">
      <c r="A729" s="21" t="s">
        <v>3397</v>
      </c>
      <c r="B729" s="22" t="s">
        <v>3398</v>
      </c>
      <c r="C729" s="2">
        <v>2</v>
      </c>
      <c r="D729" s="23">
        <v>6.99</v>
      </c>
      <c r="E729" s="3">
        <v>13.98</v>
      </c>
      <c r="F729" s="2" t="s">
        <v>3394</v>
      </c>
      <c r="G729" s="22" t="s">
        <v>19351</v>
      </c>
      <c r="H729" s="24" t="s">
        <v>19330</v>
      </c>
      <c r="I729" s="22" t="s">
        <v>19309</v>
      </c>
      <c r="J729" s="22" t="s">
        <v>19573</v>
      </c>
      <c r="K729" s="22" t="s">
        <v>19574</v>
      </c>
      <c r="L729" s="22"/>
      <c r="M729" s="22"/>
      <c r="N729" s="25" t="str">
        <f>HYPERLINK("http://slimages.macys.com/is/image/MCY/20386094 ")</f>
        <v xml:space="preserve">http://slimages.macys.com/is/image/MCY/20386094 </v>
      </c>
    </row>
    <row r="730" spans="1:14" ht="24.75" x14ac:dyDescent="0.25">
      <c r="A730" s="21" t="s">
        <v>3399</v>
      </c>
      <c r="B730" s="22" t="s">
        <v>3400</v>
      </c>
      <c r="C730" s="2">
        <v>1</v>
      </c>
      <c r="D730" s="23">
        <v>5.99</v>
      </c>
      <c r="E730" s="3">
        <v>5.99</v>
      </c>
      <c r="F730" s="2" t="s">
        <v>17420</v>
      </c>
      <c r="G730" s="22" t="s">
        <v>19462</v>
      </c>
      <c r="H730" s="24" t="s">
        <v>19538</v>
      </c>
      <c r="I730" s="22" t="s">
        <v>19309</v>
      </c>
      <c r="J730" s="22" t="s">
        <v>19573</v>
      </c>
      <c r="K730" s="22" t="s">
        <v>19574</v>
      </c>
      <c r="L730" s="22"/>
      <c r="M730" s="22"/>
      <c r="N730" s="25" t="str">
        <f>HYPERLINK("http://slimages.macys.com/is/image/MCY/21209187 ")</f>
        <v xml:space="preserve">http://slimages.macys.com/is/image/MCY/21209187 </v>
      </c>
    </row>
    <row r="731" spans="1:14" ht="24.75" x14ac:dyDescent="0.25">
      <c r="A731" s="21" t="s">
        <v>3401</v>
      </c>
      <c r="B731" s="22" t="s">
        <v>3402</v>
      </c>
      <c r="C731" s="2">
        <v>1</v>
      </c>
      <c r="D731" s="23">
        <v>5.99</v>
      </c>
      <c r="E731" s="3">
        <v>5.99</v>
      </c>
      <c r="F731" s="2" t="s">
        <v>3403</v>
      </c>
      <c r="G731" s="22" t="s">
        <v>19351</v>
      </c>
      <c r="H731" s="24" t="s">
        <v>19330</v>
      </c>
      <c r="I731" s="22" t="s">
        <v>19309</v>
      </c>
      <c r="J731" s="22" t="s">
        <v>19573</v>
      </c>
      <c r="K731" s="22" t="s">
        <v>19574</v>
      </c>
      <c r="L731" s="22"/>
      <c r="M731" s="22"/>
      <c r="N731" s="25" t="str">
        <f>HYPERLINK("http://slimages.macys.com/is/image/MCY/18838411 ")</f>
        <v xml:space="preserve">http://slimages.macys.com/is/image/MCY/18838411 </v>
      </c>
    </row>
    <row r="732" spans="1:14" ht="24.75" x14ac:dyDescent="0.25">
      <c r="A732" s="21" t="s">
        <v>15011</v>
      </c>
      <c r="B732" s="22" t="s">
        <v>15012</v>
      </c>
      <c r="C732" s="2">
        <v>2</v>
      </c>
      <c r="D732" s="23">
        <v>5.99</v>
      </c>
      <c r="E732" s="3">
        <v>11.98</v>
      </c>
      <c r="F732" s="2" t="s">
        <v>17449</v>
      </c>
      <c r="G732" s="22" t="s">
        <v>19415</v>
      </c>
      <c r="H732" s="24" t="s">
        <v>19330</v>
      </c>
      <c r="I732" s="22" t="s">
        <v>19309</v>
      </c>
      <c r="J732" s="22" t="s">
        <v>19573</v>
      </c>
      <c r="K732" s="22" t="s">
        <v>19574</v>
      </c>
      <c r="L732" s="22"/>
      <c r="M732" s="22"/>
      <c r="N732" s="25" t="str">
        <f>HYPERLINK("http://slimages.macys.com/is/image/MCY/21209295 ")</f>
        <v xml:space="preserve">http://slimages.macys.com/is/image/MCY/21209295 </v>
      </c>
    </row>
    <row r="733" spans="1:14" ht="24.75" x14ac:dyDescent="0.25">
      <c r="A733" s="21" t="s">
        <v>17447</v>
      </c>
      <c r="B733" s="22" t="s">
        <v>17448</v>
      </c>
      <c r="C733" s="2">
        <v>1</v>
      </c>
      <c r="D733" s="23">
        <v>5.99</v>
      </c>
      <c r="E733" s="3">
        <v>5.99</v>
      </c>
      <c r="F733" s="2" t="s">
        <v>17449</v>
      </c>
      <c r="G733" s="22" t="s">
        <v>19415</v>
      </c>
      <c r="H733" s="24" t="s">
        <v>19324</v>
      </c>
      <c r="I733" s="22" t="s">
        <v>19309</v>
      </c>
      <c r="J733" s="22" t="s">
        <v>19573</v>
      </c>
      <c r="K733" s="22" t="s">
        <v>19574</v>
      </c>
      <c r="L733" s="22"/>
      <c r="M733" s="22"/>
      <c r="N733" s="25" t="str">
        <f>HYPERLINK("http://slimages.macys.com/is/image/MCY/21209295 ")</f>
        <v xml:space="preserve">http://slimages.macys.com/is/image/MCY/21209295 </v>
      </c>
    </row>
    <row r="734" spans="1:14" ht="24.75" x14ac:dyDescent="0.25">
      <c r="A734" s="21" t="s">
        <v>13538</v>
      </c>
      <c r="B734" s="22" t="s">
        <v>13539</v>
      </c>
      <c r="C734" s="2">
        <v>1</v>
      </c>
      <c r="D734" s="23">
        <v>5.99</v>
      </c>
      <c r="E734" s="3">
        <v>5.99</v>
      </c>
      <c r="F734" s="2" t="s">
        <v>17455</v>
      </c>
      <c r="G734" s="22" t="s">
        <v>19431</v>
      </c>
      <c r="H734" s="24" t="s">
        <v>19538</v>
      </c>
      <c r="I734" s="22" t="s">
        <v>19309</v>
      </c>
      <c r="J734" s="22" t="s">
        <v>19573</v>
      </c>
      <c r="K734" s="22" t="s">
        <v>19574</v>
      </c>
      <c r="L734" s="22"/>
      <c r="M734" s="22"/>
      <c r="N734" s="25" t="str">
        <f>HYPERLINK("http://slimages.macys.com/is/image/MCY/21089250 ")</f>
        <v xml:space="preserve">http://slimages.macys.com/is/image/MCY/21089250 </v>
      </c>
    </row>
    <row r="735" spans="1:14" ht="24.75" x14ac:dyDescent="0.25">
      <c r="A735" s="21" t="s">
        <v>3404</v>
      </c>
      <c r="B735" s="22" t="s">
        <v>3405</v>
      </c>
      <c r="C735" s="2">
        <v>1</v>
      </c>
      <c r="D735" s="23">
        <v>185</v>
      </c>
      <c r="E735" s="3">
        <v>185</v>
      </c>
      <c r="F735" s="2">
        <v>311850581003</v>
      </c>
      <c r="G735" s="22" t="s">
        <v>19333</v>
      </c>
      <c r="H735" s="24" t="s">
        <v>19334</v>
      </c>
      <c r="I735" s="22" t="s">
        <v>19309</v>
      </c>
      <c r="J735" s="22" t="s">
        <v>19389</v>
      </c>
      <c r="K735" s="22" t="s">
        <v>19326</v>
      </c>
      <c r="L735" s="22"/>
      <c r="M735" s="22"/>
      <c r="N735" s="25"/>
    </row>
    <row r="736" spans="1:14" x14ac:dyDescent="0.25">
      <c r="A736" s="21" t="s">
        <v>3406</v>
      </c>
      <c r="B736" s="22" t="s">
        <v>3407</v>
      </c>
      <c r="C736" s="2">
        <v>1</v>
      </c>
      <c r="D736" s="23">
        <v>27.5</v>
      </c>
      <c r="E736" s="3">
        <v>27.5</v>
      </c>
      <c r="F736" s="2" t="s">
        <v>3408</v>
      </c>
      <c r="G736" s="22" t="s">
        <v>19315</v>
      </c>
      <c r="H736" s="24" t="s">
        <v>19542</v>
      </c>
      <c r="I736" s="22" t="s">
        <v>19309</v>
      </c>
      <c r="J736" s="22" t="s">
        <v>19514</v>
      </c>
      <c r="K736" s="22" t="s">
        <v>19546</v>
      </c>
      <c r="L736" s="22"/>
      <c r="M736" s="22"/>
      <c r="N736" s="25"/>
    </row>
    <row r="737" spans="1:14" x14ac:dyDescent="0.25">
      <c r="A737" s="21" t="s">
        <v>3409</v>
      </c>
      <c r="B737" s="22" t="s">
        <v>15034</v>
      </c>
      <c r="C737" s="2">
        <v>1</v>
      </c>
      <c r="D737" s="23">
        <v>36.99</v>
      </c>
      <c r="E737" s="3">
        <v>36.99</v>
      </c>
      <c r="F737" s="2" t="s">
        <v>15035</v>
      </c>
      <c r="G737" s="22" t="s">
        <v>19307</v>
      </c>
      <c r="H737" s="24" t="s">
        <v>19361</v>
      </c>
      <c r="I737" s="22" t="s">
        <v>19309</v>
      </c>
      <c r="J737" s="22" t="s">
        <v>19310</v>
      </c>
      <c r="K737" s="22" t="s">
        <v>19433</v>
      </c>
      <c r="L737" s="22"/>
      <c r="M737" s="22"/>
      <c r="N737" s="25"/>
    </row>
    <row r="738" spans="1:14" x14ac:dyDescent="0.25">
      <c r="A738" s="21" t="s">
        <v>3410</v>
      </c>
      <c r="B738" s="22" t="s">
        <v>15034</v>
      </c>
      <c r="C738" s="2">
        <v>1</v>
      </c>
      <c r="D738" s="23">
        <v>36.99</v>
      </c>
      <c r="E738" s="3">
        <v>36.99</v>
      </c>
      <c r="F738" s="2" t="s">
        <v>15035</v>
      </c>
      <c r="G738" s="22" t="s">
        <v>19307</v>
      </c>
      <c r="H738" s="24" t="s">
        <v>19395</v>
      </c>
      <c r="I738" s="22" t="s">
        <v>19309</v>
      </c>
      <c r="J738" s="22" t="s">
        <v>19310</v>
      </c>
      <c r="K738" s="22" t="s">
        <v>19433</v>
      </c>
      <c r="L738" s="22"/>
      <c r="M738" s="22"/>
      <c r="N738" s="25"/>
    </row>
    <row r="739" spans="1:14" ht="24.75" x14ac:dyDescent="0.25">
      <c r="A739" s="21" t="s">
        <v>5356</v>
      </c>
      <c r="B739" s="22" t="s">
        <v>5357</v>
      </c>
      <c r="C739" s="2">
        <v>2</v>
      </c>
      <c r="D739" s="23">
        <v>34.99</v>
      </c>
      <c r="E739" s="3">
        <v>69.98</v>
      </c>
      <c r="F739" s="2" t="s">
        <v>10208</v>
      </c>
      <c r="G739" s="22" t="s">
        <v>11254</v>
      </c>
      <c r="H739" s="24" t="s">
        <v>19384</v>
      </c>
      <c r="I739" s="22" t="s">
        <v>19309</v>
      </c>
      <c r="J739" s="22" t="s">
        <v>19385</v>
      </c>
      <c r="K739" s="22" t="s">
        <v>19487</v>
      </c>
      <c r="L739" s="22"/>
      <c r="M739" s="22"/>
      <c r="N739" s="25"/>
    </row>
    <row r="740" spans="1:14" ht="24.75" x14ac:dyDescent="0.25">
      <c r="A740" s="21" t="s">
        <v>5365</v>
      </c>
      <c r="B740" s="22" t="s">
        <v>5366</v>
      </c>
      <c r="C740" s="2">
        <v>2</v>
      </c>
      <c r="D740" s="23">
        <v>29.99</v>
      </c>
      <c r="E740" s="3">
        <v>59.98</v>
      </c>
      <c r="F740" s="2" t="s">
        <v>10213</v>
      </c>
      <c r="G740" s="22" t="s">
        <v>19801</v>
      </c>
      <c r="H740" s="24" t="s">
        <v>19416</v>
      </c>
      <c r="I740" s="22" t="s">
        <v>19309</v>
      </c>
      <c r="J740" s="22" t="s">
        <v>19385</v>
      </c>
      <c r="K740" s="22" t="s">
        <v>19487</v>
      </c>
      <c r="L740" s="22"/>
      <c r="M740" s="22"/>
      <c r="N740" s="25"/>
    </row>
    <row r="741" spans="1:14" ht="24.75" x14ac:dyDescent="0.25">
      <c r="A741" s="21" t="s">
        <v>5363</v>
      </c>
      <c r="B741" s="22" t="s">
        <v>5364</v>
      </c>
      <c r="C741" s="2">
        <v>1</v>
      </c>
      <c r="D741" s="23">
        <v>29.99</v>
      </c>
      <c r="E741" s="3">
        <v>29.99</v>
      </c>
      <c r="F741" s="2" t="s">
        <v>10213</v>
      </c>
      <c r="G741" s="22" t="s">
        <v>19801</v>
      </c>
      <c r="H741" s="24" t="s">
        <v>19538</v>
      </c>
      <c r="I741" s="22" t="s">
        <v>19309</v>
      </c>
      <c r="J741" s="22" t="s">
        <v>19385</v>
      </c>
      <c r="K741" s="22" t="s">
        <v>19487</v>
      </c>
      <c r="L741" s="22"/>
      <c r="M741" s="22"/>
      <c r="N741" s="25"/>
    </row>
    <row r="742" spans="1:14" ht="24.75" x14ac:dyDescent="0.25">
      <c r="A742" s="21" t="s">
        <v>3411</v>
      </c>
      <c r="B742" s="22" t="s">
        <v>3412</v>
      </c>
      <c r="C742" s="2">
        <v>1</v>
      </c>
      <c r="D742" s="23">
        <v>26.23</v>
      </c>
      <c r="E742" s="3">
        <v>26.23</v>
      </c>
      <c r="F742" s="2" t="s">
        <v>3413</v>
      </c>
      <c r="G742" s="22"/>
      <c r="H742" s="24" t="s">
        <v>19478</v>
      </c>
      <c r="I742" s="22" t="s">
        <v>19309</v>
      </c>
      <c r="J742" s="22" t="s">
        <v>19602</v>
      </c>
      <c r="K742" s="22" t="s">
        <v>19603</v>
      </c>
      <c r="L742" s="22"/>
      <c r="M742" s="22"/>
      <c r="N742" s="25"/>
    </row>
    <row r="743" spans="1:14" ht="24.75" x14ac:dyDescent="0.25">
      <c r="A743" s="21" t="s">
        <v>3414</v>
      </c>
      <c r="B743" s="22" t="s">
        <v>5377</v>
      </c>
      <c r="C743" s="2">
        <v>1</v>
      </c>
      <c r="D743" s="23">
        <v>33</v>
      </c>
      <c r="E743" s="3">
        <v>33</v>
      </c>
      <c r="F743" s="2" t="s">
        <v>5378</v>
      </c>
      <c r="G743" s="22" t="s">
        <v>19794</v>
      </c>
      <c r="H743" s="24" t="s">
        <v>19501</v>
      </c>
      <c r="I743" s="22" t="s">
        <v>19309</v>
      </c>
      <c r="J743" s="22" t="s">
        <v>19400</v>
      </c>
      <c r="K743" s="22" t="s">
        <v>19423</v>
      </c>
      <c r="L743" s="22"/>
      <c r="M743" s="22"/>
      <c r="N743" s="25"/>
    </row>
    <row r="744" spans="1:14" ht="24.75" x14ac:dyDescent="0.25">
      <c r="A744" s="21" t="s">
        <v>3415</v>
      </c>
      <c r="B744" s="22"/>
      <c r="C744" s="2">
        <v>2</v>
      </c>
      <c r="D744" s="23">
        <v>1.94</v>
      </c>
      <c r="E744" s="3">
        <v>3.88</v>
      </c>
      <c r="F744" s="2"/>
      <c r="G744" s="22" t="s">
        <v>17504</v>
      </c>
      <c r="H744" s="24" t="s">
        <v>17505</v>
      </c>
      <c r="I744" s="22" t="s">
        <v>19309</v>
      </c>
      <c r="J744" s="22" t="s">
        <v>3416</v>
      </c>
      <c r="K744" s="22" t="s">
        <v>3417</v>
      </c>
      <c r="L744" s="22"/>
      <c r="M744" s="22"/>
      <c r="N744" s="25"/>
    </row>
    <row r="745" spans="1:14" ht="24.75" x14ac:dyDescent="0.25">
      <c r="A745" s="21" t="s">
        <v>3418</v>
      </c>
      <c r="B745" s="22" t="s">
        <v>3419</v>
      </c>
      <c r="C745" s="2">
        <v>1</v>
      </c>
      <c r="D745" s="23">
        <v>15.99</v>
      </c>
      <c r="E745" s="3">
        <v>15.99</v>
      </c>
      <c r="F745" s="2" t="s">
        <v>3420</v>
      </c>
      <c r="G745" s="22"/>
      <c r="H745" s="24" t="s">
        <v>19364</v>
      </c>
      <c r="I745" s="22" t="s">
        <v>19309</v>
      </c>
      <c r="J745" s="22" t="s">
        <v>20076</v>
      </c>
      <c r="K745" s="22" t="s">
        <v>20077</v>
      </c>
      <c r="L745" s="22"/>
      <c r="M745" s="22"/>
      <c r="N745" s="25"/>
    </row>
    <row r="746" spans="1:14" x14ac:dyDescent="0.25">
      <c r="A746" s="21" t="s">
        <v>3421</v>
      </c>
      <c r="B746" s="22" t="s">
        <v>3422</v>
      </c>
      <c r="C746" s="2">
        <v>1</v>
      </c>
      <c r="D746" s="23">
        <v>16.84</v>
      </c>
      <c r="E746" s="3">
        <v>16.84</v>
      </c>
      <c r="F746" s="2" t="s">
        <v>3423</v>
      </c>
      <c r="G746" s="22" t="s">
        <v>19404</v>
      </c>
      <c r="H746" s="24" t="s">
        <v>19416</v>
      </c>
      <c r="I746" s="22" t="s">
        <v>19309</v>
      </c>
      <c r="J746" s="22" t="s">
        <v>19708</v>
      </c>
      <c r="K746" s="22" t="s">
        <v>19709</v>
      </c>
      <c r="L746" s="22"/>
      <c r="M746" s="22"/>
      <c r="N746" s="25"/>
    </row>
    <row r="747" spans="1:14" ht="24.75" x14ac:dyDescent="0.25">
      <c r="A747" s="21" t="s">
        <v>3424</v>
      </c>
      <c r="B747" s="22" t="s">
        <v>3425</v>
      </c>
      <c r="C747" s="2">
        <v>1</v>
      </c>
      <c r="D747" s="23">
        <v>14.99</v>
      </c>
      <c r="E747" s="3">
        <v>14.99</v>
      </c>
      <c r="F747" s="2" t="s">
        <v>3426</v>
      </c>
      <c r="G747" s="22" t="s">
        <v>19351</v>
      </c>
      <c r="H747" s="24" t="s">
        <v>19364</v>
      </c>
      <c r="I747" s="22" t="s">
        <v>19309</v>
      </c>
      <c r="J747" s="22" t="s">
        <v>19508</v>
      </c>
      <c r="K747" s="22" t="s">
        <v>20024</v>
      </c>
      <c r="L747" s="22"/>
      <c r="M747" s="22"/>
      <c r="N747" s="25"/>
    </row>
    <row r="748" spans="1:14" x14ac:dyDescent="0.25">
      <c r="A748" s="21" t="s">
        <v>3427</v>
      </c>
      <c r="B748" s="22" t="s">
        <v>3428</v>
      </c>
      <c r="C748" s="2">
        <v>1</v>
      </c>
      <c r="D748" s="23">
        <v>15.13</v>
      </c>
      <c r="E748" s="3">
        <v>15.13</v>
      </c>
      <c r="F748" s="2" t="s">
        <v>13200</v>
      </c>
      <c r="G748" s="22" t="s">
        <v>19594</v>
      </c>
      <c r="H748" s="24" t="s">
        <v>19770</v>
      </c>
      <c r="I748" s="22" t="s">
        <v>19309</v>
      </c>
      <c r="J748" s="22" t="s">
        <v>19708</v>
      </c>
      <c r="K748" s="22" t="s">
        <v>19709</v>
      </c>
      <c r="L748" s="22"/>
      <c r="M748" s="22"/>
      <c r="N748" s="25"/>
    </row>
    <row r="749" spans="1:14" x14ac:dyDescent="0.25">
      <c r="A749" s="21" t="s">
        <v>10824</v>
      </c>
      <c r="B749" s="22" t="s">
        <v>10825</v>
      </c>
      <c r="C749" s="2">
        <v>1</v>
      </c>
      <c r="D749" s="23">
        <v>14.93</v>
      </c>
      <c r="E749" s="3">
        <v>14.93</v>
      </c>
      <c r="F749" s="2" t="s">
        <v>13210</v>
      </c>
      <c r="G749" s="22" t="s">
        <v>18361</v>
      </c>
      <c r="H749" s="24" t="s">
        <v>19367</v>
      </c>
      <c r="I749" s="22" t="s">
        <v>19309</v>
      </c>
      <c r="J749" s="22" t="s">
        <v>19708</v>
      </c>
      <c r="K749" s="22" t="s">
        <v>19709</v>
      </c>
      <c r="L749" s="22"/>
      <c r="M749" s="22"/>
      <c r="N749" s="25"/>
    </row>
    <row r="750" spans="1:14" ht="24.75" x14ac:dyDescent="0.25">
      <c r="A750" s="21" t="s">
        <v>3429</v>
      </c>
      <c r="B750" s="22" t="s">
        <v>3430</v>
      </c>
      <c r="C750" s="2">
        <v>1</v>
      </c>
      <c r="D750" s="23">
        <v>12.11</v>
      </c>
      <c r="E750" s="3">
        <v>12.11</v>
      </c>
      <c r="F750" s="2" t="s">
        <v>3431</v>
      </c>
      <c r="G750" s="22" t="s">
        <v>19323</v>
      </c>
      <c r="H750" s="24" t="s">
        <v>19345</v>
      </c>
      <c r="I750" s="22" t="s">
        <v>19309</v>
      </c>
      <c r="J750" s="22" t="s">
        <v>19602</v>
      </c>
      <c r="K750" s="22" t="s">
        <v>20041</v>
      </c>
      <c r="L750" s="22"/>
      <c r="M750" s="22"/>
      <c r="N750" s="25"/>
    </row>
    <row r="751" spans="1:14" ht="24.75" x14ac:dyDescent="0.25">
      <c r="A751" s="21" t="s">
        <v>4505</v>
      </c>
      <c r="B751" s="22" t="s">
        <v>13587</v>
      </c>
      <c r="C751" s="2">
        <v>1</v>
      </c>
      <c r="D751" s="23">
        <v>8.99</v>
      </c>
      <c r="E751" s="3">
        <v>8.99</v>
      </c>
      <c r="F751" s="2" t="s">
        <v>13588</v>
      </c>
      <c r="G751" s="22" t="s">
        <v>15203</v>
      </c>
      <c r="H751" s="24" t="s">
        <v>19542</v>
      </c>
      <c r="I751" s="22" t="s">
        <v>19309</v>
      </c>
      <c r="J751" s="22" t="s">
        <v>19447</v>
      </c>
      <c r="K751" s="22" t="s">
        <v>20146</v>
      </c>
      <c r="L751" s="22"/>
      <c r="M751" s="22"/>
      <c r="N751" s="25"/>
    </row>
    <row r="752" spans="1:14" x14ac:dyDescent="0.25">
      <c r="A752" s="21" t="s">
        <v>3432</v>
      </c>
      <c r="B752" s="22" t="s">
        <v>3433</v>
      </c>
      <c r="C752" s="2">
        <v>1</v>
      </c>
      <c r="D752" s="23">
        <v>7.99</v>
      </c>
      <c r="E752" s="3">
        <v>7.99</v>
      </c>
      <c r="F752" s="2" t="s">
        <v>3434</v>
      </c>
      <c r="G752" s="22" t="s">
        <v>19351</v>
      </c>
      <c r="H752" s="24" t="s">
        <v>19352</v>
      </c>
      <c r="I752" s="22" t="s">
        <v>19309</v>
      </c>
      <c r="J752" s="22" t="s">
        <v>19310</v>
      </c>
      <c r="K752" s="22" t="s">
        <v>19873</v>
      </c>
      <c r="L752" s="22"/>
      <c r="M752" s="22"/>
      <c r="N752" s="25"/>
    </row>
    <row r="753" spans="1:14" x14ac:dyDescent="0.25">
      <c r="A753" s="21" t="s">
        <v>3435</v>
      </c>
      <c r="B753" s="22" t="s">
        <v>3436</v>
      </c>
      <c r="C753" s="2">
        <v>1</v>
      </c>
      <c r="D753" s="23">
        <v>8.3000000000000007</v>
      </c>
      <c r="E753" s="3">
        <v>8.3000000000000007</v>
      </c>
      <c r="F753" s="2" t="s">
        <v>3437</v>
      </c>
      <c r="G753" s="22" t="s">
        <v>19431</v>
      </c>
      <c r="H753" s="24" t="s">
        <v>19770</v>
      </c>
      <c r="I753" s="22" t="s">
        <v>19309</v>
      </c>
      <c r="J753" s="22" t="s">
        <v>19708</v>
      </c>
      <c r="K753" s="22" t="s">
        <v>19709</v>
      </c>
      <c r="L753" s="22"/>
      <c r="M753" s="22"/>
      <c r="N753" s="25"/>
    </row>
    <row r="754" spans="1:14" x14ac:dyDescent="0.25">
      <c r="A754" s="21" t="s">
        <v>3438</v>
      </c>
      <c r="B754" s="22" t="s">
        <v>1652</v>
      </c>
      <c r="C754" s="2">
        <v>1</v>
      </c>
      <c r="D754" s="23">
        <v>8.3000000000000007</v>
      </c>
      <c r="E754" s="3">
        <v>8.3000000000000007</v>
      </c>
      <c r="F754" s="2" t="s">
        <v>1653</v>
      </c>
      <c r="G754" s="22" t="s">
        <v>19670</v>
      </c>
      <c r="H754" s="24" t="s">
        <v>20159</v>
      </c>
      <c r="I754" s="22" t="s">
        <v>19309</v>
      </c>
      <c r="J754" s="22" t="s">
        <v>19708</v>
      </c>
      <c r="K754" s="22" t="s">
        <v>19709</v>
      </c>
      <c r="L754" s="22"/>
      <c r="M754" s="22"/>
      <c r="N754" s="25"/>
    </row>
    <row r="755" spans="1:14" x14ac:dyDescent="0.25">
      <c r="A755" s="21" t="s">
        <v>1654</v>
      </c>
      <c r="B755" s="22" t="s">
        <v>1655</v>
      </c>
      <c r="C755" s="2">
        <v>1</v>
      </c>
      <c r="D755" s="23">
        <v>8.3000000000000007</v>
      </c>
      <c r="E755" s="3">
        <v>8.3000000000000007</v>
      </c>
      <c r="F755" s="2" t="s">
        <v>10245</v>
      </c>
      <c r="G755" s="22" t="s">
        <v>19670</v>
      </c>
      <c r="H755" s="24" t="s">
        <v>19330</v>
      </c>
      <c r="I755" s="22" t="s">
        <v>19309</v>
      </c>
      <c r="J755" s="22" t="s">
        <v>19708</v>
      </c>
      <c r="K755" s="22" t="s">
        <v>19709</v>
      </c>
      <c r="L755" s="22"/>
      <c r="M755" s="22"/>
      <c r="N755" s="25"/>
    </row>
  </sheetData>
  <phoneticPr fontId="0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6"/>
  <sheetViews>
    <sheetView workbookViewId="0">
      <selection activeCell="G18" sqref="G18"/>
    </sheetView>
  </sheetViews>
  <sheetFormatPr defaultRowHeight="15" x14ac:dyDescent="0.25"/>
  <cols>
    <col min="1" max="1" width="14.42578125" customWidth="1"/>
    <col min="2" max="2" width="48.5703125" customWidth="1"/>
    <col min="3" max="4" width="15" customWidth="1"/>
    <col min="5" max="5" width="9.5703125" customWidth="1"/>
    <col min="6" max="6" width="14.42578125" customWidth="1"/>
    <col min="7" max="8" width="11.42578125" customWidth="1"/>
    <col min="9" max="9" width="10.85546875" customWidth="1"/>
    <col min="10" max="10" width="12.140625" customWidth="1"/>
    <col min="11" max="11" width="36.5703125" bestFit="1" customWidth="1"/>
    <col min="12" max="13" width="20.5703125" customWidth="1"/>
    <col min="14" max="14" width="64.42578125" customWidth="1"/>
  </cols>
  <sheetData>
    <row r="1" spans="1:14" ht="36" x14ac:dyDescent="0.25">
      <c r="A1" s="1" t="s">
        <v>19291</v>
      </c>
      <c r="B1" s="1" t="s">
        <v>19292</v>
      </c>
      <c r="C1" s="1" t="s">
        <v>19293</v>
      </c>
      <c r="D1" s="1" t="s">
        <v>19284</v>
      </c>
      <c r="E1" s="1" t="s">
        <v>19294</v>
      </c>
      <c r="F1" s="1" t="s">
        <v>19295</v>
      </c>
      <c r="G1" s="1" t="s">
        <v>19296</v>
      </c>
      <c r="H1" s="1" t="s">
        <v>19297</v>
      </c>
      <c r="I1" s="1" t="s">
        <v>19298</v>
      </c>
      <c r="J1" s="1" t="s">
        <v>19299</v>
      </c>
      <c r="K1" s="1" t="s">
        <v>19300</v>
      </c>
      <c r="L1" s="1" t="s">
        <v>19301</v>
      </c>
      <c r="M1" s="1" t="s">
        <v>19302</v>
      </c>
      <c r="N1" s="1" t="s">
        <v>19303</v>
      </c>
    </row>
    <row r="2" spans="1:14" ht="24.75" x14ac:dyDescent="0.25">
      <c r="A2" s="21" t="s">
        <v>1656</v>
      </c>
      <c r="B2" s="22" t="s">
        <v>1657</v>
      </c>
      <c r="C2" s="2">
        <v>1</v>
      </c>
      <c r="D2" s="23">
        <v>94</v>
      </c>
      <c r="E2" s="3">
        <v>94</v>
      </c>
      <c r="F2" s="2" t="s">
        <v>1658</v>
      </c>
      <c r="G2" s="22" t="s">
        <v>19307</v>
      </c>
      <c r="H2" s="24" t="s">
        <v>9388</v>
      </c>
      <c r="I2" s="22" t="s">
        <v>19309</v>
      </c>
      <c r="J2" s="22" t="s">
        <v>19317</v>
      </c>
      <c r="K2" s="22" t="s">
        <v>9389</v>
      </c>
      <c r="L2" s="22"/>
      <c r="M2" s="22"/>
      <c r="N2" s="25" t="str">
        <f>HYPERLINK("http://slimages.macys.com/is/image/MCY/21332998 ")</f>
        <v xml:space="preserve">http://slimages.macys.com/is/image/MCY/21332998 </v>
      </c>
    </row>
    <row r="3" spans="1:14" ht="24.75" x14ac:dyDescent="0.25">
      <c r="A3" s="21" t="s">
        <v>1659</v>
      </c>
      <c r="B3" s="22" t="s">
        <v>1660</v>
      </c>
      <c r="C3" s="2">
        <v>2</v>
      </c>
      <c r="D3" s="23">
        <v>93.75</v>
      </c>
      <c r="E3" s="3">
        <v>187.5</v>
      </c>
      <c r="F3" s="2" t="s">
        <v>17514</v>
      </c>
      <c r="G3" s="22" t="s">
        <v>19513</v>
      </c>
      <c r="H3" s="24" t="s">
        <v>19316</v>
      </c>
      <c r="I3" s="22" t="s">
        <v>19309</v>
      </c>
      <c r="J3" s="22" t="s">
        <v>19317</v>
      </c>
      <c r="K3" s="22" t="s">
        <v>17515</v>
      </c>
      <c r="L3" s="22"/>
      <c r="M3" s="22"/>
      <c r="N3" s="25" t="str">
        <f>HYPERLINK("http://slimages.macys.com/is/image/MCY/21211150 ")</f>
        <v xml:space="preserve">http://slimages.macys.com/is/image/MCY/21211150 </v>
      </c>
    </row>
    <row r="4" spans="1:14" ht="24.75" x14ac:dyDescent="0.25">
      <c r="A4" s="21" t="s">
        <v>17516</v>
      </c>
      <c r="B4" s="22" t="s">
        <v>17517</v>
      </c>
      <c r="C4" s="2">
        <v>1</v>
      </c>
      <c r="D4" s="23">
        <v>93.75</v>
      </c>
      <c r="E4" s="3">
        <v>93.75</v>
      </c>
      <c r="F4" s="2" t="s">
        <v>17514</v>
      </c>
      <c r="G4" s="22" t="s">
        <v>19513</v>
      </c>
      <c r="H4" s="24" t="s">
        <v>19478</v>
      </c>
      <c r="I4" s="22" t="s">
        <v>19309</v>
      </c>
      <c r="J4" s="22" t="s">
        <v>19317</v>
      </c>
      <c r="K4" s="22" t="s">
        <v>17515</v>
      </c>
      <c r="L4" s="22"/>
      <c r="M4" s="22"/>
      <c r="N4" s="25" t="str">
        <f>HYPERLINK("http://slimages.macys.com/is/image/MCY/21211150 ")</f>
        <v xml:space="preserve">http://slimages.macys.com/is/image/MCY/21211150 </v>
      </c>
    </row>
    <row r="5" spans="1:14" ht="24.75" x14ac:dyDescent="0.25">
      <c r="A5" s="21" t="s">
        <v>1661</v>
      </c>
      <c r="B5" s="22" t="s">
        <v>1662</v>
      </c>
      <c r="C5" s="2">
        <v>1</v>
      </c>
      <c r="D5" s="23">
        <v>93.75</v>
      </c>
      <c r="E5" s="3">
        <v>93.75</v>
      </c>
      <c r="F5" s="2" t="s">
        <v>17514</v>
      </c>
      <c r="G5" s="22" t="s">
        <v>19513</v>
      </c>
      <c r="H5" s="24" t="s">
        <v>15803</v>
      </c>
      <c r="I5" s="22" t="s">
        <v>19309</v>
      </c>
      <c r="J5" s="22" t="s">
        <v>19317</v>
      </c>
      <c r="K5" s="22" t="s">
        <v>17515</v>
      </c>
      <c r="L5" s="22"/>
      <c r="M5" s="22"/>
      <c r="N5" s="25" t="str">
        <f>HYPERLINK("http://slimages.macys.com/is/image/MCY/21211150 ")</f>
        <v xml:space="preserve">http://slimages.macys.com/is/image/MCY/21211150 </v>
      </c>
    </row>
    <row r="6" spans="1:14" ht="24.75" x14ac:dyDescent="0.25">
      <c r="A6" s="21" t="s">
        <v>1663</v>
      </c>
      <c r="B6" s="22" t="s">
        <v>1664</v>
      </c>
      <c r="C6" s="2">
        <v>1</v>
      </c>
      <c r="D6" s="23">
        <v>90.99</v>
      </c>
      <c r="E6" s="3">
        <v>90.99</v>
      </c>
      <c r="F6" s="2" t="s">
        <v>1665</v>
      </c>
      <c r="G6" s="22" t="s">
        <v>19333</v>
      </c>
      <c r="H6" s="24" t="s">
        <v>9388</v>
      </c>
      <c r="I6" s="22" t="s">
        <v>19309</v>
      </c>
      <c r="J6" s="22" t="s">
        <v>19317</v>
      </c>
      <c r="K6" s="22" t="s">
        <v>9389</v>
      </c>
      <c r="L6" s="22" t="s">
        <v>19319</v>
      </c>
      <c r="M6" s="22" t="s">
        <v>1666</v>
      </c>
      <c r="N6" s="25" t="str">
        <f>HYPERLINK("http://slimages.macys.com/is/image/MCY/10031481 ")</f>
        <v xml:space="preserve">http://slimages.macys.com/is/image/MCY/10031481 </v>
      </c>
    </row>
    <row r="7" spans="1:14" ht="24.75" x14ac:dyDescent="0.25">
      <c r="A7" s="21" t="s">
        <v>19312</v>
      </c>
      <c r="B7" s="22" t="s">
        <v>19313</v>
      </c>
      <c r="C7" s="2">
        <v>1</v>
      </c>
      <c r="D7" s="23">
        <v>79.989999999999995</v>
      </c>
      <c r="E7" s="3">
        <v>79.989999999999995</v>
      </c>
      <c r="F7" s="2" t="s">
        <v>19314</v>
      </c>
      <c r="G7" s="22" t="s">
        <v>19315</v>
      </c>
      <c r="H7" s="24" t="s">
        <v>19316</v>
      </c>
      <c r="I7" s="22" t="s">
        <v>19309</v>
      </c>
      <c r="J7" s="22" t="s">
        <v>19317</v>
      </c>
      <c r="K7" s="22" t="s">
        <v>19318</v>
      </c>
      <c r="L7" s="22" t="s">
        <v>19319</v>
      </c>
      <c r="M7" s="22" t="s">
        <v>19320</v>
      </c>
      <c r="N7" s="25" t="str">
        <f>HYPERLINK("http://slimages.macys.com/is/image/MCY/11252408 ")</f>
        <v xml:space="preserve">http://slimages.macys.com/is/image/MCY/11252408 </v>
      </c>
    </row>
    <row r="8" spans="1:14" ht="24.75" x14ac:dyDescent="0.25">
      <c r="A8" s="21" t="s">
        <v>13589</v>
      </c>
      <c r="B8" s="22" t="s">
        <v>13590</v>
      </c>
      <c r="C8" s="2">
        <v>2</v>
      </c>
      <c r="D8" s="23">
        <v>79.989999999999995</v>
      </c>
      <c r="E8" s="3">
        <v>159.97999999999999</v>
      </c>
      <c r="F8" s="2" t="s">
        <v>19314</v>
      </c>
      <c r="G8" s="22" t="s">
        <v>19315</v>
      </c>
      <c r="H8" s="24" t="s">
        <v>19997</v>
      </c>
      <c r="I8" s="22" t="s">
        <v>19309</v>
      </c>
      <c r="J8" s="22" t="s">
        <v>19317</v>
      </c>
      <c r="K8" s="22" t="s">
        <v>19318</v>
      </c>
      <c r="L8" s="22" t="s">
        <v>19319</v>
      </c>
      <c r="M8" s="22" t="s">
        <v>19320</v>
      </c>
      <c r="N8" s="25" t="str">
        <f>HYPERLINK("http://slimages.macys.com/is/image/MCY/11252408 ")</f>
        <v xml:space="preserve">http://slimages.macys.com/is/image/MCY/11252408 </v>
      </c>
    </row>
    <row r="9" spans="1:14" ht="24.75" x14ac:dyDescent="0.25">
      <c r="A9" s="21" t="s">
        <v>1667</v>
      </c>
      <c r="B9" s="22" t="s">
        <v>1668</v>
      </c>
      <c r="C9" s="2">
        <v>2</v>
      </c>
      <c r="D9" s="23">
        <v>79.989999999999995</v>
      </c>
      <c r="E9" s="3">
        <v>159.97999999999999</v>
      </c>
      <c r="F9" s="2" t="s">
        <v>19314</v>
      </c>
      <c r="G9" s="22" t="s">
        <v>19315</v>
      </c>
      <c r="H9" s="24" t="s">
        <v>19501</v>
      </c>
      <c r="I9" s="22" t="s">
        <v>19309</v>
      </c>
      <c r="J9" s="22" t="s">
        <v>19317</v>
      </c>
      <c r="K9" s="22" t="s">
        <v>19318</v>
      </c>
      <c r="L9" s="22" t="s">
        <v>19319</v>
      </c>
      <c r="M9" s="22" t="s">
        <v>19320</v>
      </c>
      <c r="N9" s="25" t="str">
        <f>HYPERLINK("http://slimages.macys.com/is/image/MCY/11252408 ")</f>
        <v xml:space="preserve">http://slimages.macys.com/is/image/MCY/11252408 </v>
      </c>
    </row>
    <row r="10" spans="1:14" ht="24.75" x14ac:dyDescent="0.25">
      <c r="A10" s="21" t="s">
        <v>1669</v>
      </c>
      <c r="B10" s="22" t="s">
        <v>1670</v>
      </c>
      <c r="C10" s="2">
        <v>1</v>
      </c>
      <c r="D10" s="23">
        <v>55</v>
      </c>
      <c r="E10" s="3">
        <v>55</v>
      </c>
      <c r="F10" s="2">
        <v>323861047001</v>
      </c>
      <c r="G10" s="22" t="s">
        <v>19351</v>
      </c>
      <c r="H10" s="24" t="s">
        <v>19352</v>
      </c>
      <c r="I10" s="22" t="s">
        <v>19309</v>
      </c>
      <c r="J10" s="22" t="s">
        <v>19335</v>
      </c>
      <c r="K10" s="22" t="s">
        <v>19326</v>
      </c>
      <c r="L10" s="22"/>
      <c r="M10" s="22"/>
      <c r="N10" s="25" t="str">
        <f>HYPERLINK("http://slimages.macys.com/is/image/MCY/21177512 ")</f>
        <v xml:space="preserve">http://slimages.macys.com/is/image/MCY/21177512 </v>
      </c>
    </row>
    <row r="11" spans="1:14" ht="24.75" x14ac:dyDescent="0.25">
      <c r="A11" s="21" t="s">
        <v>1671</v>
      </c>
      <c r="B11" s="22" t="s">
        <v>1672</v>
      </c>
      <c r="C11" s="2">
        <v>1</v>
      </c>
      <c r="D11" s="23">
        <v>55</v>
      </c>
      <c r="E11" s="3">
        <v>55</v>
      </c>
      <c r="F11" s="2">
        <v>322863988001</v>
      </c>
      <c r="G11" s="22" t="s">
        <v>19351</v>
      </c>
      <c r="H11" s="24" t="s">
        <v>19432</v>
      </c>
      <c r="I11" s="22" t="s">
        <v>19309</v>
      </c>
      <c r="J11" s="22" t="s">
        <v>19335</v>
      </c>
      <c r="K11" s="22" t="s">
        <v>19326</v>
      </c>
      <c r="L11" s="22"/>
      <c r="M11" s="22"/>
      <c r="N11" s="25" t="str">
        <f>HYPERLINK("http://slimages.macys.com/is/image/MCY/21552237 ")</f>
        <v xml:space="preserve">http://slimages.macys.com/is/image/MCY/21552237 </v>
      </c>
    </row>
    <row r="12" spans="1:14" ht="24.75" x14ac:dyDescent="0.25">
      <c r="A12" s="21" t="s">
        <v>1673</v>
      </c>
      <c r="B12" s="22" t="s">
        <v>1674</v>
      </c>
      <c r="C12" s="2">
        <v>1</v>
      </c>
      <c r="D12" s="23">
        <v>55</v>
      </c>
      <c r="E12" s="3">
        <v>55</v>
      </c>
      <c r="F12" s="2" t="s">
        <v>1675</v>
      </c>
      <c r="G12" s="22" t="s">
        <v>11254</v>
      </c>
      <c r="H12" s="24" t="s">
        <v>19538</v>
      </c>
      <c r="I12" s="22" t="s">
        <v>19309</v>
      </c>
      <c r="J12" s="22" t="s">
        <v>19417</v>
      </c>
      <c r="K12" s="22" t="s">
        <v>1676</v>
      </c>
      <c r="L12" s="22"/>
      <c r="M12" s="22"/>
      <c r="N12" s="25" t="str">
        <f>HYPERLINK("http://slimages.macys.com/is/image/MCY/19757784 ")</f>
        <v xml:space="preserve">http://slimages.macys.com/is/image/MCY/19757784 </v>
      </c>
    </row>
    <row r="13" spans="1:14" ht="24.75" x14ac:dyDescent="0.25">
      <c r="A13" s="21" t="s">
        <v>1677</v>
      </c>
      <c r="B13" s="22" t="s">
        <v>1678</v>
      </c>
      <c r="C13" s="2">
        <v>1</v>
      </c>
      <c r="D13" s="23">
        <v>55</v>
      </c>
      <c r="E13" s="3">
        <v>55</v>
      </c>
      <c r="F13" s="2">
        <v>323865276001</v>
      </c>
      <c r="G13" s="22" t="s">
        <v>19342</v>
      </c>
      <c r="H13" s="24" t="s">
        <v>19364</v>
      </c>
      <c r="I13" s="22" t="s">
        <v>19309</v>
      </c>
      <c r="J13" s="22" t="s">
        <v>19335</v>
      </c>
      <c r="K13" s="22" t="s">
        <v>19326</v>
      </c>
      <c r="L13" s="22"/>
      <c r="M13" s="22"/>
      <c r="N13" s="25" t="str">
        <f>HYPERLINK("http://slimages.macys.com/is/image/MCY/21177414 ")</f>
        <v xml:space="preserve">http://slimages.macys.com/is/image/MCY/21177414 </v>
      </c>
    </row>
    <row r="14" spans="1:14" ht="24.75" x14ac:dyDescent="0.25">
      <c r="A14" s="21" t="s">
        <v>1679</v>
      </c>
      <c r="B14" s="22" t="s">
        <v>1680</v>
      </c>
      <c r="C14" s="2">
        <v>1</v>
      </c>
      <c r="D14" s="23">
        <v>50</v>
      </c>
      <c r="E14" s="3">
        <v>50</v>
      </c>
      <c r="F14" s="2" t="s">
        <v>1681</v>
      </c>
      <c r="G14" s="22" t="s">
        <v>15032</v>
      </c>
      <c r="H14" s="24" t="s">
        <v>8844</v>
      </c>
      <c r="I14" s="22" t="s">
        <v>19309</v>
      </c>
      <c r="J14" s="22" t="s">
        <v>17328</v>
      </c>
      <c r="K14" s="22" t="s">
        <v>8648</v>
      </c>
      <c r="L14" s="22"/>
      <c r="M14" s="22"/>
      <c r="N14" s="25" t="str">
        <f>HYPERLINK("http://slimages.macys.com/is/image/MCY/20921180 ")</f>
        <v xml:space="preserve">http://slimages.macys.com/is/image/MCY/20921180 </v>
      </c>
    </row>
    <row r="15" spans="1:14" ht="36.75" x14ac:dyDescent="0.25">
      <c r="A15" s="21" t="s">
        <v>1682</v>
      </c>
      <c r="B15" s="22" t="s">
        <v>1683</v>
      </c>
      <c r="C15" s="2">
        <v>1</v>
      </c>
      <c r="D15" s="23">
        <v>39.99</v>
      </c>
      <c r="E15" s="3">
        <v>39.99</v>
      </c>
      <c r="F15" s="2" t="s">
        <v>1684</v>
      </c>
      <c r="G15" s="22" t="s">
        <v>19585</v>
      </c>
      <c r="H15" s="24" t="s">
        <v>15565</v>
      </c>
      <c r="I15" s="22" t="s">
        <v>19309</v>
      </c>
      <c r="J15" s="22" t="s">
        <v>17328</v>
      </c>
      <c r="K15" s="22" t="s">
        <v>8648</v>
      </c>
      <c r="L15" s="22" t="s">
        <v>17554</v>
      </c>
      <c r="M15" s="22" t="s">
        <v>1685</v>
      </c>
      <c r="N15" s="25" t="str">
        <f>HYPERLINK("http://images.bloomingdales.com/is/image/BLM/11169809 ")</f>
        <v xml:space="preserve">http://images.bloomingdales.com/is/image/BLM/11169809 </v>
      </c>
    </row>
    <row r="16" spans="1:14" x14ac:dyDescent="0.25">
      <c r="A16" s="21" t="s">
        <v>1686</v>
      </c>
      <c r="B16" s="22" t="s">
        <v>1687</v>
      </c>
      <c r="C16" s="2">
        <v>1</v>
      </c>
      <c r="D16" s="23">
        <v>49</v>
      </c>
      <c r="E16" s="3">
        <v>49</v>
      </c>
      <c r="F16" s="2" t="s">
        <v>1688</v>
      </c>
      <c r="G16" s="22" t="s">
        <v>19315</v>
      </c>
      <c r="H16" s="24" t="s">
        <v>11850</v>
      </c>
      <c r="I16" s="22" t="s">
        <v>19309</v>
      </c>
      <c r="J16" s="22" t="s">
        <v>17328</v>
      </c>
      <c r="K16" s="22" t="s">
        <v>1689</v>
      </c>
      <c r="L16" s="22"/>
      <c r="M16" s="22"/>
      <c r="N16" s="25" t="str">
        <f>HYPERLINK("http://slimages.macys.com/is/image/MCY/19406626 ")</f>
        <v xml:space="preserve">http://slimages.macys.com/is/image/MCY/19406626 </v>
      </c>
    </row>
    <row r="17" spans="1:14" x14ac:dyDescent="0.25">
      <c r="A17" s="21" t="s">
        <v>1690</v>
      </c>
      <c r="B17" s="22" t="s">
        <v>1691</v>
      </c>
      <c r="C17" s="2">
        <v>1</v>
      </c>
      <c r="D17" s="23">
        <v>45</v>
      </c>
      <c r="E17" s="3">
        <v>45</v>
      </c>
      <c r="F17" s="2" t="s">
        <v>1692</v>
      </c>
      <c r="G17" s="22" t="s">
        <v>19618</v>
      </c>
      <c r="H17" s="24" t="s">
        <v>18530</v>
      </c>
      <c r="I17" s="22" t="s">
        <v>19309</v>
      </c>
      <c r="J17" s="22" t="s">
        <v>17328</v>
      </c>
      <c r="K17" s="22" t="s">
        <v>4090</v>
      </c>
      <c r="L17" s="22"/>
      <c r="M17" s="22"/>
      <c r="N17" s="25" t="str">
        <f>HYPERLINK("http://slimages.macys.com/is/image/MCY/18650331 ")</f>
        <v xml:space="preserve">http://slimages.macys.com/is/image/MCY/18650331 </v>
      </c>
    </row>
    <row r="18" spans="1:14" ht="24.75" x14ac:dyDescent="0.25">
      <c r="A18" s="21" t="s">
        <v>1693</v>
      </c>
      <c r="B18" s="22" t="s">
        <v>1694</v>
      </c>
      <c r="C18" s="2">
        <v>1</v>
      </c>
      <c r="D18" s="23">
        <v>45</v>
      </c>
      <c r="E18" s="3">
        <v>45</v>
      </c>
      <c r="F18" s="2">
        <v>1366067</v>
      </c>
      <c r="G18" s="22" t="s">
        <v>19315</v>
      </c>
      <c r="H18" s="24" t="s">
        <v>19364</v>
      </c>
      <c r="I18" s="22" t="s">
        <v>19309</v>
      </c>
      <c r="J18" s="22" t="s">
        <v>19447</v>
      </c>
      <c r="K18" s="22" t="s">
        <v>17686</v>
      </c>
      <c r="L18" s="22"/>
      <c r="M18" s="22"/>
      <c r="N18" s="25" t="str">
        <f>HYPERLINK("http://slimages.macys.com/is/image/MCY/20277546 ")</f>
        <v xml:space="preserve">http://slimages.macys.com/is/image/MCY/20277546 </v>
      </c>
    </row>
    <row r="19" spans="1:14" ht="24.75" x14ac:dyDescent="0.25">
      <c r="A19" s="21" t="s">
        <v>1695</v>
      </c>
      <c r="B19" s="22" t="s">
        <v>1696</v>
      </c>
      <c r="C19" s="2">
        <v>1</v>
      </c>
      <c r="D19" s="23">
        <v>39.99</v>
      </c>
      <c r="E19" s="3">
        <v>39.99</v>
      </c>
      <c r="F19" s="2">
        <v>1954761</v>
      </c>
      <c r="G19" s="22" t="s">
        <v>19518</v>
      </c>
      <c r="H19" s="24" t="s">
        <v>19364</v>
      </c>
      <c r="I19" s="22" t="s">
        <v>19309</v>
      </c>
      <c r="J19" s="22" t="s">
        <v>15506</v>
      </c>
      <c r="K19" s="22" t="s">
        <v>13612</v>
      </c>
      <c r="L19" s="22"/>
      <c r="M19" s="22"/>
      <c r="N19" s="25" t="str">
        <f>HYPERLINK("http://slimages.macys.com/is/image/MCY/21091368 ")</f>
        <v xml:space="preserve">http://slimages.macys.com/is/image/MCY/21091368 </v>
      </c>
    </row>
    <row r="20" spans="1:14" x14ac:dyDescent="0.25">
      <c r="A20" s="21" t="s">
        <v>1697</v>
      </c>
      <c r="B20" s="22" t="s">
        <v>1698</v>
      </c>
      <c r="C20" s="2">
        <v>1</v>
      </c>
      <c r="D20" s="23">
        <v>46</v>
      </c>
      <c r="E20" s="3">
        <v>46</v>
      </c>
      <c r="F20" s="2" t="s">
        <v>1699</v>
      </c>
      <c r="G20" s="22" t="s">
        <v>19323</v>
      </c>
      <c r="H20" s="24" t="s">
        <v>19364</v>
      </c>
      <c r="I20" s="22" t="s">
        <v>19309</v>
      </c>
      <c r="J20" s="22" t="s">
        <v>19559</v>
      </c>
      <c r="K20" s="22" t="s">
        <v>1700</v>
      </c>
      <c r="L20" s="22"/>
      <c r="M20" s="22"/>
      <c r="N20" s="25" t="str">
        <f>HYPERLINK("http://slimages.macys.com/is/image/MCY/20718039 ")</f>
        <v xml:space="preserve">http://slimages.macys.com/is/image/MCY/20718039 </v>
      </c>
    </row>
    <row r="21" spans="1:14" ht="24.75" x14ac:dyDescent="0.25">
      <c r="A21" s="21" t="s">
        <v>1701</v>
      </c>
      <c r="B21" s="22" t="s">
        <v>1702</v>
      </c>
      <c r="C21" s="2">
        <v>1</v>
      </c>
      <c r="D21" s="23">
        <v>40</v>
      </c>
      <c r="E21" s="3">
        <v>40</v>
      </c>
      <c r="F21" s="2">
        <v>1356489</v>
      </c>
      <c r="G21" s="22" t="s">
        <v>19383</v>
      </c>
      <c r="H21" s="24" t="s">
        <v>19352</v>
      </c>
      <c r="I21" s="22" t="s">
        <v>19309</v>
      </c>
      <c r="J21" s="22" t="s">
        <v>19447</v>
      </c>
      <c r="K21" s="22" t="s">
        <v>17686</v>
      </c>
      <c r="L21" s="22"/>
      <c r="M21" s="22"/>
      <c r="N21" s="25" t="str">
        <f>HYPERLINK("http://slimages.macys.com/is/image/MCY/18086211 ")</f>
        <v xml:space="preserve">http://slimages.macys.com/is/image/MCY/18086211 </v>
      </c>
    </row>
    <row r="22" spans="1:14" x14ac:dyDescent="0.25">
      <c r="A22" s="21" t="s">
        <v>1703</v>
      </c>
      <c r="B22" s="22" t="s">
        <v>1704</v>
      </c>
      <c r="C22" s="2">
        <v>1</v>
      </c>
      <c r="D22" s="23">
        <v>40</v>
      </c>
      <c r="E22" s="3">
        <v>40</v>
      </c>
      <c r="F22" s="2" t="s">
        <v>1705</v>
      </c>
      <c r="G22" s="22"/>
      <c r="H22" s="24" t="s">
        <v>18530</v>
      </c>
      <c r="I22" s="22" t="s">
        <v>19309</v>
      </c>
      <c r="J22" s="22" t="s">
        <v>17328</v>
      </c>
      <c r="K22" s="22" t="s">
        <v>4090</v>
      </c>
      <c r="L22" s="22"/>
      <c r="M22" s="22"/>
      <c r="N22" s="25" t="str">
        <f>HYPERLINK("http://slimages.macys.com/is/image/MCY/18650840 ")</f>
        <v xml:space="preserve">http://slimages.macys.com/is/image/MCY/18650840 </v>
      </c>
    </row>
    <row r="23" spans="1:14" ht="36.75" x14ac:dyDescent="0.25">
      <c r="A23" s="21" t="s">
        <v>1706</v>
      </c>
      <c r="B23" s="22" t="s">
        <v>1707</v>
      </c>
      <c r="C23" s="2">
        <v>1</v>
      </c>
      <c r="D23" s="23">
        <v>39.5</v>
      </c>
      <c r="E23" s="3">
        <v>39.5</v>
      </c>
      <c r="F23" s="2">
        <v>322861450001</v>
      </c>
      <c r="G23" s="22" t="s">
        <v>19333</v>
      </c>
      <c r="H23" s="24" t="s">
        <v>19432</v>
      </c>
      <c r="I23" s="22" t="s">
        <v>19309</v>
      </c>
      <c r="J23" s="22" t="s">
        <v>19335</v>
      </c>
      <c r="K23" s="22" t="s">
        <v>19326</v>
      </c>
      <c r="L23" s="22" t="s">
        <v>19434</v>
      </c>
      <c r="M23" s="22" t="s">
        <v>11315</v>
      </c>
      <c r="N23" s="25" t="str">
        <f>HYPERLINK("http://images.bloomingdales.com/is/image/BLM/12050275 ")</f>
        <v xml:space="preserve">http://images.bloomingdales.com/is/image/BLM/12050275 </v>
      </c>
    </row>
    <row r="24" spans="1:14" ht="24.75" x14ac:dyDescent="0.25">
      <c r="A24" s="21" t="s">
        <v>1708</v>
      </c>
      <c r="B24" s="22" t="s">
        <v>1709</v>
      </c>
      <c r="C24" s="2">
        <v>1</v>
      </c>
      <c r="D24" s="23">
        <v>39.5</v>
      </c>
      <c r="E24" s="3">
        <v>39.5</v>
      </c>
      <c r="F24" s="2">
        <v>321832971002</v>
      </c>
      <c r="G24" s="22" t="s">
        <v>19357</v>
      </c>
      <c r="H24" s="24" t="s">
        <v>19392</v>
      </c>
      <c r="I24" s="22" t="s">
        <v>19309</v>
      </c>
      <c r="J24" s="22" t="s">
        <v>19335</v>
      </c>
      <c r="K24" s="22" t="s">
        <v>19326</v>
      </c>
      <c r="L24" s="22"/>
      <c r="M24" s="22"/>
      <c r="N24" s="25" t="str">
        <f>HYPERLINK("http://slimages.macys.com/is/image/MCY/18459220 ")</f>
        <v xml:space="preserve">http://slimages.macys.com/is/image/MCY/18459220 </v>
      </c>
    </row>
    <row r="25" spans="1:14" ht="24.75" x14ac:dyDescent="0.25">
      <c r="A25" s="21" t="s">
        <v>1710</v>
      </c>
      <c r="B25" s="22" t="s">
        <v>1711</v>
      </c>
      <c r="C25" s="2">
        <v>1</v>
      </c>
      <c r="D25" s="23">
        <v>24.99</v>
      </c>
      <c r="E25" s="3">
        <v>24.99</v>
      </c>
      <c r="F25" s="2" t="s">
        <v>12744</v>
      </c>
      <c r="G25" s="22" t="s">
        <v>19431</v>
      </c>
      <c r="H25" s="24" t="s">
        <v>19364</v>
      </c>
      <c r="I25" s="22" t="s">
        <v>19309</v>
      </c>
      <c r="J25" s="22" t="s">
        <v>19454</v>
      </c>
      <c r="K25" s="22" t="s">
        <v>19354</v>
      </c>
      <c r="L25" s="22"/>
      <c r="M25" s="22"/>
      <c r="N25" s="25" t="str">
        <f>HYPERLINK("http://slimages.macys.com/is/image/MCY/1723042 ")</f>
        <v xml:space="preserve">http://slimages.macys.com/is/image/MCY/1723042 </v>
      </c>
    </row>
    <row r="26" spans="1:14" ht="24.75" x14ac:dyDescent="0.25">
      <c r="A26" s="21" t="s">
        <v>1712</v>
      </c>
      <c r="B26" s="22" t="s">
        <v>1713</v>
      </c>
      <c r="C26" s="2">
        <v>1</v>
      </c>
      <c r="D26" s="23">
        <v>24.99</v>
      </c>
      <c r="E26" s="3">
        <v>24.99</v>
      </c>
      <c r="F26" s="2" t="s">
        <v>12744</v>
      </c>
      <c r="G26" s="22" t="s">
        <v>19431</v>
      </c>
      <c r="H26" s="24" t="s">
        <v>19352</v>
      </c>
      <c r="I26" s="22" t="s">
        <v>19309</v>
      </c>
      <c r="J26" s="22" t="s">
        <v>19454</v>
      </c>
      <c r="K26" s="22" t="s">
        <v>19354</v>
      </c>
      <c r="L26" s="22"/>
      <c r="M26" s="22"/>
      <c r="N26" s="25" t="str">
        <f>HYPERLINK("http://slimages.macys.com/is/image/MCY/1723042 ")</f>
        <v xml:space="preserve">http://slimages.macys.com/is/image/MCY/1723042 </v>
      </c>
    </row>
    <row r="27" spans="1:14" ht="24.75" x14ac:dyDescent="0.25">
      <c r="A27" s="21" t="s">
        <v>12742</v>
      </c>
      <c r="B27" s="22" t="s">
        <v>12743</v>
      </c>
      <c r="C27" s="2">
        <v>1</v>
      </c>
      <c r="D27" s="23">
        <v>24.99</v>
      </c>
      <c r="E27" s="3">
        <v>24.99</v>
      </c>
      <c r="F27" s="2" t="s">
        <v>12744</v>
      </c>
      <c r="G27" s="22" t="s">
        <v>19431</v>
      </c>
      <c r="H27" s="24" t="s">
        <v>19308</v>
      </c>
      <c r="I27" s="22" t="s">
        <v>19309</v>
      </c>
      <c r="J27" s="22" t="s">
        <v>19454</v>
      </c>
      <c r="K27" s="22" t="s">
        <v>19354</v>
      </c>
      <c r="L27" s="22"/>
      <c r="M27" s="22"/>
      <c r="N27" s="25" t="str">
        <f>HYPERLINK("http://slimages.macys.com/is/image/MCY/1667507 ")</f>
        <v xml:space="preserve">http://slimages.macys.com/is/image/MCY/1667507 </v>
      </c>
    </row>
    <row r="28" spans="1:14" ht="24.75" x14ac:dyDescent="0.25">
      <c r="A28" s="21" t="s">
        <v>11323</v>
      </c>
      <c r="B28" s="22" t="s">
        <v>11324</v>
      </c>
      <c r="C28" s="2">
        <v>1</v>
      </c>
      <c r="D28" s="23">
        <v>44.99</v>
      </c>
      <c r="E28" s="3">
        <v>44.99</v>
      </c>
      <c r="F28" s="2" t="s">
        <v>12782</v>
      </c>
      <c r="G28" s="22" t="s">
        <v>19422</v>
      </c>
      <c r="H28" s="24" t="s">
        <v>19330</v>
      </c>
      <c r="I28" s="22" t="s">
        <v>19309</v>
      </c>
      <c r="J28" s="22" t="s">
        <v>19385</v>
      </c>
      <c r="K28" s="22" t="s">
        <v>19386</v>
      </c>
      <c r="L28" s="22"/>
      <c r="M28" s="22"/>
      <c r="N28" s="25" t="str">
        <f>HYPERLINK("http://slimages.macys.com/is/image/MCY/21878268 ")</f>
        <v xml:space="preserve">http://slimages.macys.com/is/image/MCY/21878268 </v>
      </c>
    </row>
    <row r="29" spans="1:14" ht="24.75" x14ac:dyDescent="0.25">
      <c r="A29" s="21" t="s">
        <v>1714</v>
      </c>
      <c r="B29" s="22" t="s">
        <v>1715</v>
      </c>
      <c r="C29" s="2">
        <v>1</v>
      </c>
      <c r="D29" s="23">
        <v>34.99</v>
      </c>
      <c r="E29" s="3">
        <v>34.99</v>
      </c>
      <c r="F29" s="2" t="s">
        <v>1716</v>
      </c>
      <c r="G29" s="22" t="s">
        <v>19660</v>
      </c>
      <c r="H29" s="24" t="s">
        <v>19334</v>
      </c>
      <c r="I29" s="22" t="s">
        <v>19309</v>
      </c>
      <c r="J29" s="22" t="s">
        <v>19317</v>
      </c>
      <c r="K29" s="22" t="s">
        <v>15499</v>
      </c>
      <c r="L29" s="22"/>
      <c r="M29" s="22"/>
      <c r="N29" s="25" t="str">
        <f>HYPERLINK("http://slimages.macys.com/is/image/MCY/21368320 ")</f>
        <v xml:space="preserve">http://slimages.macys.com/is/image/MCY/21368320 </v>
      </c>
    </row>
    <row r="30" spans="1:14" ht="24.75" x14ac:dyDescent="0.25">
      <c r="A30" s="21" t="s">
        <v>1717</v>
      </c>
      <c r="B30" s="22" t="s">
        <v>1718</v>
      </c>
      <c r="C30" s="2">
        <v>1</v>
      </c>
      <c r="D30" s="23">
        <v>35</v>
      </c>
      <c r="E30" s="3">
        <v>35</v>
      </c>
      <c r="F30" s="2">
        <v>321867158049</v>
      </c>
      <c r="G30" s="22" t="s">
        <v>19333</v>
      </c>
      <c r="H30" s="24" t="s">
        <v>19392</v>
      </c>
      <c r="I30" s="22" t="s">
        <v>19309</v>
      </c>
      <c r="J30" s="22" t="s">
        <v>19335</v>
      </c>
      <c r="K30" s="22" t="s">
        <v>19326</v>
      </c>
      <c r="L30" s="22"/>
      <c r="M30" s="22"/>
      <c r="N30" s="25" t="str">
        <f>HYPERLINK("http://slimages.macys.com/is/image/MCY/21997342 ")</f>
        <v xml:space="preserve">http://slimages.macys.com/is/image/MCY/21997342 </v>
      </c>
    </row>
    <row r="31" spans="1:14" ht="24.75" x14ac:dyDescent="0.25">
      <c r="A31" s="21" t="s">
        <v>1719</v>
      </c>
      <c r="B31" s="22" t="s">
        <v>1720</v>
      </c>
      <c r="C31" s="2">
        <v>1</v>
      </c>
      <c r="D31" s="23">
        <v>25.99</v>
      </c>
      <c r="E31" s="3">
        <v>25.99</v>
      </c>
      <c r="F31" s="2" t="s">
        <v>1721</v>
      </c>
      <c r="G31" s="22" t="s">
        <v>19431</v>
      </c>
      <c r="H31" s="24" t="s">
        <v>19316</v>
      </c>
      <c r="I31" s="22" t="s">
        <v>19309</v>
      </c>
      <c r="J31" s="22" t="s">
        <v>19454</v>
      </c>
      <c r="K31" s="22" t="s">
        <v>19354</v>
      </c>
      <c r="L31" s="22"/>
      <c r="M31" s="22"/>
      <c r="N31" s="25" t="str">
        <f>HYPERLINK("http://slimages.macys.com/is/image/MCY/22401008 ")</f>
        <v xml:space="preserve">http://slimages.macys.com/is/image/MCY/22401008 </v>
      </c>
    </row>
    <row r="32" spans="1:14" ht="24.75" x14ac:dyDescent="0.25">
      <c r="A32" s="21" t="s">
        <v>1722</v>
      </c>
      <c r="B32" s="22" t="s">
        <v>1723</v>
      </c>
      <c r="C32" s="2">
        <v>1</v>
      </c>
      <c r="D32" s="23">
        <v>25.99</v>
      </c>
      <c r="E32" s="3">
        <v>25.99</v>
      </c>
      <c r="F32" s="2" t="s">
        <v>1721</v>
      </c>
      <c r="G32" s="22" t="s">
        <v>19431</v>
      </c>
      <c r="H32" s="24" t="s">
        <v>15738</v>
      </c>
      <c r="I32" s="22" t="s">
        <v>19309</v>
      </c>
      <c r="J32" s="22" t="s">
        <v>19454</v>
      </c>
      <c r="K32" s="22" t="s">
        <v>19354</v>
      </c>
      <c r="L32" s="22"/>
      <c r="M32" s="22"/>
      <c r="N32" s="25" t="str">
        <f>HYPERLINK("http://slimages.macys.com/is/image/MCY/22401008 ")</f>
        <v xml:space="preserve">http://slimages.macys.com/is/image/MCY/22401008 </v>
      </c>
    </row>
    <row r="33" spans="1:14" x14ac:dyDescent="0.25">
      <c r="A33" s="21" t="s">
        <v>1724</v>
      </c>
      <c r="B33" s="22" t="s">
        <v>1725</v>
      </c>
      <c r="C33" s="2">
        <v>1</v>
      </c>
      <c r="D33" s="23">
        <v>45</v>
      </c>
      <c r="E33" s="3">
        <v>45</v>
      </c>
      <c r="F33" s="2" t="s">
        <v>1726</v>
      </c>
      <c r="G33" s="22" t="s">
        <v>19351</v>
      </c>
      <c r="H33" s="24" t="s">
        <v>8647</v>
      </c>
      <c r="I33" s="22" t="s">
        <v>19309</v>
      </c>
      <c r="J33" s="22" t="s">
        <v>17328</v>
      </c>
      <c r="K33" s="22" t="s">
        <v>13631</v>
      </c>
      <c r="L33" s="22"/>
      <c r="M33" s="22"/>
      <c r="N33" s="25" t="str">
        <f>HYPERLINK("http://slimages.macys.com/is/image/MCY/19577650 ")</f>
        <v xml:space="preserve">http://slimages.macys.com/is/image/MCY/19577650 </v>
      </c>
    </row>
    <row r="34" spans="1:14" ht="24.75" x14ac:dyDescent="0.25">
      <c r="A34" s="21" t="s">
        <v>1727</v>
      </c>
      <c r="B34" s="22" t="s">
        <v>1728</v>
      </c>
      <c r="C34" s="2">
        <v>1</v>
      </c>
      <c r="D34" s="23">
        <v>36.99</v>
      </c>
      <c r="E34" s="3">
        <v>36.99</v>
      </c>
      <c r="F34" s="2" t="s">
        <v>1729</v>
      </c>
      <c r="G34" s="22" t="s">
        <v>19351</v>
      </c>
      <c r="H34" s="24" t="s">
        <v>19542</v>
      </c>
      <c r="I34" s="22" t="s">
        <v>19309</v>
      </c>
      <c r="J34" s="22" t="s">
        <v>19310</v>
      </c>
      <c r="K34" s="22" t="s">
        <v>8678</v>
      </c>
      <c r="L34" s="22"/>
      <c r="M34" s="22"/>
      <c r="N34" s="25" t="str">
        <f>HYPERLINK("http://slimages.macys.com/is/image/MCY/21305438 ")</f>
        <v xml:space="preserve">http://slimages.macys.com/is/image/MCY/21305438 </v>
      </c>
    </row>
    <row r="35" spans="1:14" ht="24.75" x14ac:dyDescent="0.25">
      <c r="A35" s="21" t="s">
        <v>1730</v>
      </c>
      <c r="B35" s="22" t="s">
        <v>1731</v>
      </c>
      <c r="C35" s="2">
        <v>1</v>
      </c>
      <c r="D35" s="23">
        <v>29.99</v>
      </c>
      <c r="E35" s="3">
        <v>29.99</v>
      </c>
      <c r="F35" s="2" t="s">
        <v>7293</v>
      </c>
      <c r="G35" s="22" t="s">
        <v>19307</v>
      </c>
      <c r="H35" s="24" t="s">
        <v>19324</v>
      </c>
      <c r="I35" s="22" t="s">
        <v>19309</v>
      </c>
      <c r="J35" s="22" t="s">
        <v>19491</v>
      </c>
      <c r="K35" s="22" t="s">
        <v>19463</v>
      </c>
      <c r="L35" s="22"/>
      <c r="M35" s="22"/>
      <c r="N35" s="25" t="str">
        <f>HYPERLINK("http://slimages.macys.com/is/image/MCY/18252184 ")</f>
        <v xml:space="preserve">http://slimages.macys.com/is/image/MCY/18252184 </v>
      </c>
    </row>
    <row r="36" spans="1:14" ht="24.75" x14ac:dyDescent="0.25">
      <c r="A36" s="21" t="s">
        <v>1732</v>
      </c>
      <c r="B36" s="22" t="s">
        <v>1733</v>
      </c>
      <c r="C36" s="2">
        <v>1</v>
      </c>
      <c r="D36" s="23">
        <v>30.99</v>
      </c>
      <c r="E36" s="3">
        <v>30.99</v>
      </c>
      <c r="F36" s="2" t="s">
        <v>1734</v>
      </c>
      <c r="G36" s="22" t="s">
        <v>19315</v>
      </c>
      <c r="H36" s="24" t="s">
        <v>19352</v>
      </c>
      <c r="I36" s="22" t="s">
        <v>19309</v>
      </c>
      <c r="J36" s="22" t="s">
        <v>19447</v>
      </c>
      <c r="K36" s="22" t="s">
        <v>19533</v>
      </c>
      <c r="L36" s="22"/>
      <c r="M36" s="22"/>
      <c r="N36" s="25" t="str">
        <f>HYPERLINK("http://slimages.macys.com/is/image/MCY/21150493 ")</f>
        <v xml:space="preserve">http://slimages.macys.com/is/image/MCY/21150493 </v>
      </c>
    </row>
    <row r="37" spans="1:14" ht="24.75" x14ac:dyDescent="0.25">
      <c r="A37" s="21" t="s">
        <v>1735</v>
      </c>
      <c r="B37" s="22" t="s">
        <v>1736</v>
      </c>
      <c r="C37" s="2">
        <v>1</v>
      </c>
      <c r="D37" s="23">
        <v>29.99</v>
      </c>
      <c r="E37" s="3">
        <v>29.99</v>
      </c>
      <c r="F37" s="2" t="s">
        <v>1737</v>
      </c>
      <c r="G37" s="22" t="s">
        <v>19351</v>
      </c>
      <c r="H37" s="24" t="s">
        <v>19395</v>
      </c>
      <c r="I37" s="22" t="s">
        <v>19309</v>
      </c>
      <c r="J37" s="22" t="s">
        <v>19447</v>
      </c>
      <c r="K37" s="22" t="s">
        <v>13616</v>
      </c>
      <c r="L37" s="22"/>
      <c r="M37" s="22"/>
      <c r="N37" s="25" t="str">
        <f>HYPERLINK("http://slimages.macys.com/is/image/MCY/21163346 ")</f>
        <v xml:space="preserve">http://slimages.macys.com/is/image/MCY/21163346 </v>
      </c>
    </row>
    <row r="38" spans="1:14" ht="24.75" x14ac:dyDescent="0.25">
      <c r="A38" s="21" t="s">
        <v>1738</v>
      </c>
      <c r="B38" s="22" t="s">
        <v>1739</v>
      </c>
      <c r="C38" s="2">
        <v>1</v>
      </c>
      <c r="D38" s="23">
        <v>39.99</v>
      </c>
      <c r="E38" s="3">
        <v>39.99</v>
      </c>
      <c r="F38" s="2" t="s">
        <v>1740</v>
      </c>
      <c r="G38" s="22" t="s">
        <v>19351</v>
      </c>
      <c r="H38" s="24" t="s">
        <v>19399</v>
      </c>
      <c r="I38" s="22" t="s">
        <v>19309</v>
      </c>
      <c r="J38" s="22" t="s">
        <v>19400</v>
      </c>
      <c r="K38" s="22" t="s">
        <v>19479</v>
      </c>
      <c r="L38" s="22"/>
      <c r="M38" s="22"/>
      <c r="N38" s="25" t="str">
        <f>HYPERLINK("http://slimages.macys.com/is/image/MCY/21348087 ")</f>
        <v xml:space="preserve">http://slimages.macys.com/is/image/MCY/21348087 </v>
      </c>
    </row>
    <row r="39" spans="1:14" ht="24.75" x14ac:dyDescent="0.25">
      <c r="A39" s="21" t="s">
        <v>5465</v>
      </c>
      <c r="B39" s="22" t="s">
        <v>5466</v>
      </c>
      <c r="C39" s="2">
        <v>1</v>
      </c>
      <c r="D39" s="23">
        <v>29.99</v>
      </c>
      <c r="E39" s="3">
        <v>29.99</v>
      </c>
      <c r="F39" s="2" t="s">
        <v>11358</v>
      </c>
      <c r="G39" s="22" t="s">
        <v>19338</v>
      </c>
      <c r="H39" s="24" t="s">
        <v>19361</v>
      </c>
      <c r="I39" s="22" t="s">
        <v>19309</v>
      </c>
      <c r="J39" s="22" t="s">
        <v>19310</v>
      </c>
      <c r="K39" s="22" t="s">
        <v>19440</v>
      </c>
      <c r="L39" s="22"/>
      <c r="M39" s="22"/>
      <c r="N39" s="25" t="str">
        <f>HYPERLINK("http://slimages.macys.com/is/image/MCY/21268041 ")</f>
        <v xml:space="preserve">http://slimages.macys.com/is/image/MCY/21268041 </v>
      </c>
    </row>
    <row r="40" spans="1:14" ht="24.75" x14ac:dyDescent="0.25">
      <c r="A40" s="21" t="s">
        <v>15119</v>
      </c>
      <c r="B40" s="22" t="s">
        <v>15120</v>
      </c>
      <c r="C40" s="2">
        <v>1</v>
      </c>
      <c r="D40" s="23">
        <v>33.99</v>
      </c>
      <c r="E40" s="3">
        <v>33.99</v>
      </c>
      <c r="F40" s="2" t="s">
        <v>19443</v>
      </c>
      <c r="G40" s="22" t="s">
        <v>19351</v>
      </c>
      <c r="H40" s="24" t="s">
        <v>19384</v>
      </c>
      <c r="I40" s="22" t="s">
        <v>19309</v>
      </c>
      <c r="J40" s="22" t="s">
        <v>19385</v>
      </c>
      <c r="K40" s="22" t="s">
        <v>19386</v>
      </c>
      <c r="L40" s="22"/>
      <c r="M40" s="22"/>
      <c r="N40" s="25" t="str">
        <f>HYPERLINK("http://slimages.macys.com/is/image/MCY/22175297 ")</f>
        <v xml:space="preserve">http://slimages.macys.com/is/image/MCY/22175297 </v>
      </c>
    </row>
    <row r="41" spans="1:14" ht="24.75" x14ac:dyDescent="0.25">
      <c r="A41" s="21" t="s">
        <v>1741</v>
      </c>
      <c r="B41" s="22" t="s">
        <v>1742</v>
      </c>
      <c r="C41" s="2">
        <v>1</v>
      </c>
      <c r="D41" s="23">
        <v>35</v>
      </c>
      <c r="E41" s="3">
        <v>35</v>
      </c>
      <c r="F41" s="2" t="s">
        <v>1743</v>
      </c>
      <c r="G41" s="22" t="s">
        <v>19338</v>
      </c>
      <c r="H41" s="24" t="s">
        <v>1744</v>
      </c>
      <c r="I41" s="22" t="s">
        <v>19309</v>
      </c>
      <c r="J41" s="22" t="s">
        <v>19317</v>
      </c>
      <c r="K41" s="22" t="s">
        <v>9389</v>
      </c>
      <c r="L41" s="22"/>
      <c r="M41" s="22"/>
      <c r="N41" s="25" t="str">
        <f>HYPERLINK("http://slimages.macys.com/is/image/MCY/17928832 ")</f>
        <v xml:space="preserve">http://slimages.macys.com/is/image/MCY/17928832 </v>
      </c>
    </row>
    <row r="42" spans="1:14" x14ac:dyDescent="0.25">
      <c r="A42" s="21" t="s">
        <v>1745</v>
      </c>
      <c r="B42" s="22" t="s">
        <v>1746</v>
      </c>
      <c r="C42" s="2">
        <v>1</v>
      </c>
      <c r="D42" s="23">
        <v>44.5</v>
      </c>
      <c r="E42" s="3">
        <v>44.5</v>
      </c>
      <c r="F42" s="2">
        <v>100137036</v>
      </c>
      <c r="G42" s="22" t="s">
        <v>19357</v>
      </c>
      <c r="H42" s="24" t="s">
        <v>15565</v>
      </c>
      <c r="I42" s="22" t="s">
        <v>19309</v>
      </c>
      <c r="J42" s="22" t="s">
        <v>17328</v>
      </c>
      <c r="K42" s="22" t="s">
        <v>8845</v>
      </c>
      <c r="L42" s="22"/>
      <c r="M42" s="22"/>
      <c r="N42" s="25" t="str">
        <f>HYPERLINK("http://slimages.macys.com/is/image/MCY/20276175 ")</f>
        <v xml:space="preserve">http://slimages.macys.com/is/image/MCY/20276175 </v>
      </c>
    </row>
    <row r="43" spans="1:14" x14ac:dyDescent="0.25">
      <c r="A43" s="21" t="s">
        <v>1747</v>
      </c>
      <c r="B43" s="22" t="s">
        <v>1748</v>
      </c>
      <c r="C43" s="2">
        <v>1</v>
      </c>
      <c r="D43" s="23">
        <v>44.5</v>
      </c>
      <c r="E43" s="3">
        <v>44.5</v>
      </c>
      <c r="F43" s="2">
        <v>100137036</v>
      </c>
      <c r="G43" s="22" t="s">
        <v>19357</v>
      </c>
      <c r="H43" s="24" t="s">
        <v>11239</v>
      </c>
      <c r="I43" s="22" t="s">
        <v>19309</v>
      </c>
      <c r="J43" s="22" t="s">
        <v>17328</v>
      </c>
      <c r="K43" s="22" t="s">
        <v>8845</v>
      </c>
      <c r="L43" s="22"/>
      <c r="M43" s="22"/>
      <c r="N43" s="25" t="str">
        <f>HYPERLINK("http://slimages.macys.com/is/image/MCY/20276175 ")</f>
        <v xml:space="preserve">http://slimages.macys.com/is/image/MCY/20276175 </v>
      </c>
    </row>
    <row r="44" spans="1:14" x14ac:dyDescent="0.25">
      <c r="A44" s="21" t="s">
        <v>1749</v>
      </c>
      <c r="B44" s="22" t="s">
        <v>1750</v>
      </c>
      <c r="C44" s="2">
        <v>1</v>
      </c>
      <c r="D44" s="23">
        <v>44.5</v>
      </c>
      <c r="E44" s="3">
        <v>44.5</v>
      </c>
      <c r="F44" s="2">
        <v>100137036</v>
      </c>
      <c r="G44" s="22" t="s">
        <v>19357</v>
      </c>
      <c r="H44" s="24" t="s">
        <v>6444</v>
      </c>
      <c r="I44" s="22" t="s">
        <v>19309</v>
      </c>
      <c r="J44" s="22" t="s">
        <v>17328</v>
      </c>
      <c r="K44" s="22" t="s">
        <v>8845</v>
      </c>
      <c r="L44" s="22"/>
      <c r="M44" s="22"/>
      <c r="N44" s="25" t="str">
        <f>HYPERLINK("http://slimages.macys.com/is/image/MCY/20276175 ")</f>
        <v xml:space="preserve">http://slimages.macys.com/is/image/MCY/20276175 </v>
      </c>
    </row>
    <row r="45" spans="1:14" x14ac:dyDescent="0.25">
      <c r="A45" s="21" t="s">
        <v>1751</v>
      </c>
      <c r="B45" s="22" t="s">
        <v>1752</v>
      </c>
      <c r="C45" s="2">
        <v>1</v>
      </c>
      <c r="D45" s="23">
        <v>44.5</v>
      </c>
      <c r="E45" s="3">
        <v>44.5</v>
      </c>
      <c r="F45" s="2">
        <v>100137036</v>
      </c>
      <c r="G45" s="22" t="s">
        <v>19357</v>
      </c>
      <c r="H45" s="24" t="s">
        <v>10251</v>
      </c>
      <c r="I45" s="22" t="s">
        <v>19309</v>
      </c>
      <c r="J45" s="22" t="s">
        <v>17328</v>
      </c>
      <c r="K45" s="22" t="s">
        <v>8845</v>
      </c>
      <c r="L45" s="22"/>
      <c r="M45" s="22"/>
      <c r="N45" s="25" t="str">
        <f>HYPERLINK("http://slimages.macys.com/is/image/MCY/20276175 ")</f>
        <v xml:space="preserve">http://slimages.macys.com/is/image/MCY/20276175 </v>
      </c>
    </row>
    <row r="46" spans="1:14" ht="24.75" x14ac:dyDescent="0.25">
      <c r="A46" s="21" t="s">
        <v>12879</v>
      </c>
      <c r="B46" s="22" t="s">
        <v>12880</v>
      </c>
      <c r="C46" s="2">
        <v>1</v>
      </c>
      <c r="D46" s="23">
        <v>20.99</v>
      </c>
      <c r="E46" s="3">
        <v>20.99</v>
      </c>
      <c r="F46" s="2" t="s">
        <v>19453</v>
      </c>
      <c r="G46" s="22" t="s">
        <v>19431</v>
      </c>
      <c r="H46" s="24" t="s">
        <v>19339</v>
      </c>
      <c r="I46" s="22" t="s">
        <v>19309</v>
      </c>
      <c r="J46" s="22" t="s">
        <v>19454</v>
      </c>
      <c r="K46" s="22" t="s">
        <v>19354</v>
      </c>
      <c r="L46" s="22"/>
      <c r="M46" s="22"/>
      <c r="N46" s="25" t="str">
        <f>HYPERLINK("http://slimages.macys.com/is/image/MCY/1667507 ")</f>
        <v xml:space="preserve">http://slimages.macys.com/is/image/MCY/1667507 </v>
      </c>
    </row>
    <row r="47" spans="1:14" ht="24.75" x14ac:dyDescent="0.25">
      <c r="A47" s="21" t="s">
        <v>12877</v>
      </c>
      <c r="B47" s="22" t="s">
        <v>12878</v>
      </c>
      <c r="C47" s="2">
        <v>1</v>
      </c>
      <c r="D47" s="23">
        <v>20.99</v>
      </c>
      <c r="E47" s="3">
        <v>20.99</v>
      </c>
      <c r="F47" s="2" t="s">
        <v>19453</v>
      </c>
      <c r="G47" s="22" t="s">
        <v>19431</v>
      </c>
      <c r="H47" s="24" t="s">
        <v>19352</v>
      </c>
      <c r="I47" s="22" t="s">
        <v>19309</v>
      </c>
      <c r="J47" s="22" t="s">
        <v>19454</v>
      </c>
      <c r="K47" s="22" t="s">
        <v>19354</v>
      </c>
      <c r="L47" s="22"/>
      <c r="M47" s="22"/>
      <c r="N47" s="25" t="str">
        <f>HYPERLINK("http://slimages.macys.com/is/image/MCY/1667507 ")</f>
        <v xml:space="preserve">http://slimages.macys.com/is/image/MCY/1667507 </v>
      </c>
    </row>
    <row r="48" spans="1:14" ht="24.75" x14ac:dyDescent="0.25">
      <c r="A48" s="21" t="s">
        <v>1753</v>
      </c>
      <c r="B48" s="22" t="s">
        <v>1754</v>
      </c>
      <c r="C48" s="2">
        <v>1</v>
      </c>
      <c r="D48" s="23">
        <v>26.99</v>
      </c>
      <c r="E48" s="3">
        <v>26.99</v>
      </c>
      <c r="F48" s="2" t="s">
        <v>1755</v>
      </c>
      <c r="G48" s="22" t="s">
        <v>19618</v>
      </c>
      <c r="H48" s="24" t="s">
        <v>14375</v>
      </c>
      <c r="I48" s="22" t="s">
        <v>19309</v>
      </c>
      <c r="J48" s="22" t="s">
        <v>19508</v>
      </c>
      <c r="K48" s="22" t="s">
        <v>19509</v>
      </c>
      <c r="L48" s="22" t="s">
        <v>19319</v>
      </c>
      <c r="M48" s="22" t="s">
        <v>13626</v>
      </c>
      <c r="N48" s="25" t="str">
        <f>HYPERLINK("http://slimages.macys.com/is/image/MCY/10180526 ")</f>
        <v xml:space="preserve">http://slimages.macys.com/is/image/MCY/10180526 </v>
      </c>
    </row>
    <row r="49" spans="1:14" ht="24.75" x14ac:dyDescent="0.25">
      <c r="A49" s="21" t="s">
        <v>1756</v>
      </c>
      <c r="B49" s="22" t="s">
        <v>1757</v>
      </c>
      <c r="C49" s="2">
        <v>1</v>
      </c>
      <c r="D49" s="23">
        <v>49.5</v>
      </c>
      <c r="E49" s="3">
        <v>49.5</v>
      </c>
      <c r="F49" s="2">
        <v>100147695</v>
      </c>
      <c r="G49" s="22" t="s">
        <v>19315</v>
      </c>
      <c r="H49" s="24" t="s">
        <v>13630</v>
      </c>
      <c r="I49" s="22" t="s">
        <v>19309</v>
      </c>
      <c r="J49" s="22" t="s">
        <v>17328</v>
      </c>
      <c r="K49" s="22" t="s">
        <v>11851</v>
      </c>
      <c r="L49" s="22"/>
      <c r="M49" s="22"/>
      <c r="N49" s="25" t="str">
        <f>HYPERLINK("http://slimages.macys.com/is/image/MCY/21182656 ")</f>
        <v xml:space="preserve">http://slimages.macys.com/is/image/MCY/21182656 </v>
      </c>
    </row>
    <row r="50" spans="1:14" ht="24.75" x14ac:dyDescent="0.25">
      <c r="A50" s="21" t="s">
        <v>1758</v>
      </c>
      <c r="B50" s="22" t="s">
        <v>1759</v>
      </c>
      <c r="C50" s="2">
        <v>1</v>
      </c>
      <c r="D50" s="23">
        <v>49.5</v>
      </c>
      <c r="E50" s="3">
        <v>49.5</v>
      </c>
      <c r="F50" s="2" t="s">
        <v>1760</v>
      </c>
      <c r="G50" s="22" t="s">
        <v>18073</v>
      </c>
      <c r="H50" s="24" t="s">
        <v>15803</v>
      </c>
      <c r="I50" s="22" t="s">
        <v>19309</v>
      </c>
      <c r="J50" s="22" t="s">
        <v>19613</v>
      </c>
      <c r="K50" s="22" t="s">
        <v>19614</v>
      </c>
      <c r="L50" s="22"/>
      <c r="M50" s="22"/>
      <c r="N50" s="25" t="str">
        <f>HYPERLINK("http://slimages.macys.com/is/image/MCY/21035828 ")</f>
        <v xml:space="preserve">http://slimages.macys.com/is/image/MCY/21035828 </v>
      </c>
    </row>
    <row r="51" spans="1:14" ht="24.75" x14ac:dyDescent="0.25">
      <c r="A51" s="21" t="s">
        <v>1761</v>
      </c>
      <c r="B51" s="22" t="s">
        <v>1762</v>
      </c>
      <c r="C51" s="2">
        <v>1</v>
      </c>
      <c r="D51" s="23">
        <v>49.5</v>
      </c>
      <c r="E51" s="3">
        <v>49.5</v>
      </c>
      <c r="F51" s="2" t="s">
        <v>1763</v>
      </c>
      <c r="G51" s="22" t="s">
        <v>19351</v>
      </c>
      <c r="H51" s="24" t="s">
        <v>19478</v>
      </c>
      <c r="I51" s="22" t="s">
        <v>19309</v>
      </c>
      <c r="J51" s="22" t="s">
        <v>19613</v>
      </c>
      <c r="K51" s="22" t="s">
        <v>19614</v>
      </c>
      <c r="L51" s="22"/>
      <c r="M51" s="22"/>
      <c r="N51" s="25" t="str">
        <f>HYPERLINK("http://slimages.macys.com/is/image/MCY/21035828 ")</f>
        <v xml:space="preserve">http://slimages.macys.com/is/image/MCY/21035828 </v>
      </c>
    </row>
    <row r="52" spans="1:14" ht="24.75" x14ac:dyDescent="0.25">
      <c r="A52" s="21" t="s">
        <v>1764</v>
      </c>
      <c r="B52" s="22" t="s">
        <v>1765</v>
      </c>
      <c r="C52" s="2">
        <v>1</v>
      </c>
      <c r="D52" s="23">
        <v>49.5</v>
      </c>
      <c r="E52" s="3">
        <v>49.5</v>
      </c>
      <c r="F52" s="2">
        <v>100147696</v>
      </c>
      <c r="G52" s="22" t="s">
        <v>19315</v>
      </c>
      <c r="H52" s="24" t="s">
        <v>8647</v>
      </c>
      <c r="I52" s="22" t="s">
        <v>19309</v>
      </c>
      <c r="J52" s="22" t="s">
        <v>17328</v>
      </c>
      <c r="K52" s="22" t="s">
        <v>11851</v>
      </c>
      <c r="L52" s="22"/>
      <c r="M52" s="22"/>
      <c r="N52" s="25" t="str">
        <f>HYPERLINK("http://slimages.macys.com/is/image/MCY/1431232 ")</f>
        <v xml:space="preserve">http://slimages.macys.com/is/image/MCY/1431232 </v>
      </c>
    </row>
    <row r="53" spans="1:14" ht="24.75" x14ac:dyDescent="0.25">
      <c r="A53" s="21" t="s">
        <v>1766</v>
      </c>
      <c r="B53" s="22" t="s">
        <v>1767</v>
      </c>
      <c r="C53" s="2">
        <v>1</v>
      </c>
      <c r="D53" s="23">
        <v>29.99</v>
      </c>
      <c r="E53" s="3">
        <v>29.99</v>
      </c>
      <c r="F53" s="2" t="s">
        <v>11366</v>
      </c>
      <c r="G53" s="22" t="s">
        <v>19431</v>
      </c>
      <c r="H53" s="24" t="s">
        <v>19339</v>
      </c>
      <c r="I53" s="22" t="s">
        <v>19309</v>
      </c>
      <c r="J53" s="22" t="s">
        <v>19310</v>
      </c>
      <c r="K53" s="22" t="s">
        <v>19932</v>
      </c>
      <c r="L53" s="22"/>
      <c r="M53" s="22"/>
      <c r="N53" s="25" t="str">
        <f>HYPERLINK("http://slimages.macys.com/is/image/MCY/21605124 ")</f>
        <v xml:space="preserve">http://slimages.macys.com/is/image/MCY/21605124 </v>
      </c>
    </row>
    <row r="54" spans="1:14" ht="24.75" x14ac:dyDescent="0.25">
      <c r="A54" s="21" t="s">
        <v>1768</v>
      </c>
      <c r="B54" s="22" t="s">
        <v>1769</v>
      </c>
      <c r="C54" s="2">
        <v>1</v>
      </c>
      <c r="D54" s="23">
        <v>27.99</v>
      </c>
      <c r="E54" s="3">
        <v>27.99</v>
      </c>
      <c r="F54" s="2" t="s">
        <v>1770</v>
      </c>
      <c r="G54" s="22" t="s">
        <v>19307</v>
      </c>
      <c r="H54" s="24" t="s">
        <v>19324</v>
      </c>
      <c r="I54" s="22" t="s">
        <v>19309</v>
      </c>
      <c r="J54" s="22" t="s">
        <v>19385</v>
      </c>
      <c r="K54" s="22" t="s">
        <v>19463</v>
      </c>
      <c r="L54" s="22"/>
      <c r="M54" s="22"/>
      <c r="N54" s="25" t="str">
        <f>HYPERLINK("http://slimages.macys.com/is/image/MCY/19748149 ")</f>
        <v xml:space="preserve">http://slimages.macys.com/is/image/MCY/19748149 </v>
      </c>
    </row>
    <row r="55" spans="1:14" ht="24.75" x14ac:dyDescent="0.25">
      <c r="A55" s="21" t="s">
        <v>1771</v>
      </c>
      <c r="B55" s="22" t="s">
        <v>1772</v>
      </c>
      <c r="C55" s="2">
        <v>1</v>
      </c>
      <c r="D55" s="23">
        <v>28.33</v>
      </c>
      <c r="E55" s="3">
        <v>28.33</v>
      </c>
      <c r="F55" s="2" t="s">
        <v>1773</v>
      </c>
      <c r="G55" s="22" t="s">
        <v>11766</v>
      </c>
      <c r="H55" s="24" t="s">
        <v>19478</v>
      </c>
      <c r="I55" s="22" t="s">
        <v>19309</v>
      </c>
      <c r="J55" s="22" t="s">
        <v>19565</v>
      </c>
      <c r="K55" s="22" t="s">
        <v>19566</v>
      </c>
      <c r="L55" s="22"/>
      <c r="M55" s="22"/>
      <c r="N55" s="25" t="str">
        <f>HYPERLINK("http://slimages.macys.com/is/image/MCY/21294508 ")</f>
        <v xml:space="preserve">http://slimages.macys.com/is/image/MCY/21294508 </v>
      </c>
    </row>
    <row r="56" spans="1:14" ht="24.75" x14ac:dyDescent="0.25">
      <c r="A56" s="21" t="s">
        <v>1774</v>
      </c>
      <c r="B56" s="22" t="s">
        <v>1775</v>
      </c>
      <c r="C56" s="2">
        <v>1</v>
      </c>
      <c r="D56" s="23">
        <v>28</v>
      </c>
      <c r="E56" s="3">
        <v>28</v>
      </c>
      <c r="F56" s="2" t="s">
        <v>1776</v>
      </c>
      <c r="G56" s="22" t="s">
        <v>19338</v>
      </c>
      <c r="H56" s="24" t="s">
        <v>17541</v>
      </c>
      <c r="I56" s="22" t="s">
        <v>19309</v>
      </c>
      <c r="J56" s="22" t="s">
        <v>19447</v>
      </c>
      <c r="K56" s="22" t="s">
        <v>17538</v>
      </c>
      <c r="L56" s="22"/>
      <c r="M56" s="22"/>
      <c r="N56" s="25" t="str">
        <f>HYPERLINK("http://slimages.macys.com/is/image/MCY/21007752 ")</f>
        <v xml:space="preserve">http://slimages.macys.com/is/image/MCY/21007752 </v>
      </c>
    </row>
    <row r="57" spans="1:14" x14ac:dyDescent="0.25">
      <c r="A57" s="21" t="s">
        <v>1777</v>
      </c>
      <c r="B57" s="22" t="s">
        <v>1778</v>
      </c>
      <c r="C57" s="2">
        <v>1</v>
      </c>
      <c r="D57" s="23">
        <v>31.63</v>
      </c>
      <c r="E57" s="3">
        <v>31.63</v>
      </c>
      <c r="F57" s="2" t="s">
        <v>12891</v>
      </c>
      <c r="G57" s="22"/>
      <c r="H57" s="24" t="s">
        <v>19538</v>
      </c>
      <c r="I57" s="22" t="s">
        <v>19309</v>
      </c>
      <c r="J57" s="22" t="s">
        <v>19708</v>
      </c>
      <c r="K57" s="22" t="s">
        <v>19709</v>
      </c>
      <c r="L57" s="22"/>
      <c r="M57" s="22"/>
      <c r="N57" s="25" t="str">
        <f>HYPERLINK("http://slimages.macys.com/is/image/MCY/22296897 ")</f>
        <v xml:space="preserve">http://slimages.macys.com/is/image/MCY/22296897 </v>
      </c>
    </row>
    <row r="58" spans="1:14" ht="24.75" x14ac:dyDescent="0.25">
      <c r="A58" s="21" t="s">
        <v>1779</v>
      </c>
      <c r="B58" s="22" t="s">
        <v>1780</v>
      </c>
      <c r="C58" s="2">
        <v>1</v>
      </c>
      <c r="D58" s="23">
        <v>29</v>
      </c>
      <c r="E58" s="3">
        <v>29</v>
      </c>
      <c r="F58" s="2" t="s">
        <v>1781</v>
      </c>
      <c r="G58" s="22" t="s">
        <v>19315</v>
      </c>
      <c r="H58" s="24" t="s">
        <v>1782</v>
      </c>
      <c r="I58" s="22" t="s">
        <v>19309</v>
      </c>
      <c r="J58" s="22" t="s">
        <v>19559</v>
      </c>
      <c r="K58" s="22" t="s">
        <v>12721</v>
      </c>
      <c r="L58" s="22"/>
      <c r="M58" s="22"/>
      <c r="N58" s="25" t="str">
        <f>HYPERLINK("http://slimages.macys.com/is/image/MCY/16736058 ")</f>
        <v xml:space="preserve">http://slimages.macys.com/is/image/MCY/16736058 </v>
      </c>
    </row>
    <row r="59" spans="1:14" ht="24.75" x14ac:dyDescent="0.25">
      <c r="A59" s="21" t="s">
        <v>1783</v>
      </c>
      <c r="B59" s="22" t="s">
        <v>1784</v>
      </c>
      <c r="C59" s="2">
        <v>1</v>
      </c>
      <c r="D59" s="23">
        <v>24.99</v>
      </c>
      <c r="E59" s="3">
        <v>24.99</v>
      </c>
      <c r="F59" s="2">
        <v>1833191</v>
      </c>
      <c r="G59" s="22" t="s">
        <v>19404</v>
      </c>
      <c r="H59" s="24" t="s">
        <v>19364</v>
      </c>
      <c r="I59" s="22" t="s">
        <v>19309</v>
      </c>
      <c r="J59" s="22" t="s">
        <v>15506</v>
      </c>
      <c r="K59" s="22" t="s">
        <v>13612</v>
      </c>
      <c r="L59" s="22"/>
      <c r="M59" s="22"/>
      <c r="N59" s="25" t="str">
        <f>HYPERLINK("http://slimages.macys.com/is/image/MCY/18539766 ")</f>
        <v xml:space="preserve">http://slimages.macys.com/is/image/MCY/18539766 </v>
      </c>
    </row>
    <row r="60" spans="1:14" ht="24.75" x14ac:dyDescent="0.25">
      <c r="A60" s="21" t="s">
        <v>1785</v>
      </c>
      <c r="B60" s="22" t="s">
        <v>1786</v>
      </c>
      <c r="C60" s="2">
        <v>1</v>
      </c>
      <c r="D60" s="23">
        <v>24.99</v>
      </c>
      <c r="E60" s="3">
        <v>24.99</v>
      </c>
      <c r="F60" s="2" t="s">
        <v>19527</v>
      </c>
      <c r="G60" s="22" t="s">
        <v>19528</v>
      </c>
      <c r="H60" s="24" t="s">
        <v>19339</v>
      </c>
      <c r="I60" s="22" t="s">
        <v>19309</v>
      </c>
      <c r="J60" s="22" t="s">
        <v>19310</v>
      </c>
      <c r="K60" s="22" t="s">
        <v>19529</v>
      </c>
      <c r="L60" s="22"/>
      <c r="M60" s="22"/>
      <c r="N60" s="25" t="str">
        <f>HYPERLINK("http://slimages.macys.com/is/image/MCY/21646847 ")</f>
        <v xml:space="preserve">http://slimages.macys.com/is/image/MCY/21646847 </v>
      </c>
    </row>
    <row r="61" spans="1:14" ht="24.75" x14ac:dyDescent="0.25">
      <c r="A61" s="21" t="s">
        <v>15175</v>
      </c>
      <c r="B61" s="22" t="s">
        <v>15176</v>
      </c>
      <c r="C61" s="2">
        <v>1</v>
      </c>
      <c r="D61" s="23">
        <v>35.99</v>
      </c>
      <c r="E61" s="3">
        <v>35.99</v>
      </c>
      <c r="F61" s="2" t="s">
        <v>15166</v>
      </c>
      <c r="G61" s="22" t="s">
        <v>19357</v>
      </c>
      <c r="H61" s="24" t="s">
        <v>19478</v>
      </c>
      <c r="I61" s="22" t="s">
        <v>19309</v>
      </c>
      <c r="J61" s="22" t="s">
        <v>19400</v>
      </c>
      <c r="K61" s="22" t="s">
        <v>19423</v>
      </c>
      <c r="L61" s="22"/>
      <c r="M61" s="22"/>
      <c r="N61" s="25" t="str">
        <f>HYPERLINK("http://slimages.macys.com/is/image/MCY/22060053 ")</f>
        <v xml:space="preserve">http://slimages.macys.com/is/image/MCY/22060053 </v>
      </c>
    </row>
    <row r="62" spans="1:14" ht="24.75" x14ac:dyDescent="0.25">
      <c r="A62" s="21" t="s">
        <v>1787</v>
      </c>
      <c r="B62" s="22" t="s">
        <v>1788</v>
      </c>
      <c r="C62" s="2">
        <v>1</v>
      </c>
      <c r="D62" s="23">
        <v>21.99</v>
      </c>
      <c r="E62" s="3">
        <v>21.99</v>
      </c>
      <c r="F62" s="2" t="s">
        <v>1789</v>
      </c>
      <c r="G62" s="22" t="s">
        <v>19674</v>
      </c>
      <c r="H62" s="24" t="s">
        <v>19797</v>
      </c>
      <c r="I62" s="22" t="s">
        <v>19309</v>
      </c>
      <c r="J62" s="22" t="s">
        <v>19447</v>
      </c>
      <c r="K62" s="22" t="s">
        <v>19873</v>
      </c>
      <c r="L62" s="22"/>
      <c r="M62" s="22"/>
      <c r="N62" s="25" t="str">
        <f>HYPERLINK("http://slimages.macys.com/is/image/MCY/20391425 ")</f>
        <v xml:space="preserve">http://slimages.macys.com/is/image/MCY/20391425 </v>
      </c>
    </row>
    <row r="63" spans="1:14" ht="24.75" x14ac:dyDescent="0.25">
      <c r="A63" s="21" t="s">
        <v>17667</v>
      </c>
      <c r="B63" s="22" t="s">
        <v>17668</v>
      </c>
      <c r="C63" s="2">
        <v>1</v>
      </c>
      <c r="D63" s="23">
        <v>28.99</v>
      </c>
      <c r="E63" s="3">
        <v>28.99</v>
      </c>
      <c r="F63" s="2" t="s">
        <v>17655</v>
      </c>
      <c r="G63" s="22" t="s">
        <v>19342</v>
      </c>
      <c r="H63" s="24" t="s">
        <v>19542</v>
      </c>
      <c r="I63" s="22" t="s">
        <v>19309</v>
      </c>
      <c r="J63" s="22" t="s">
        <v>19550</v>
      </c>
      <c r="K63" s="22" t="s">
        <v>19554</v>
      </c>
      <c r="L63" s="22"/>
      <c r="M63" s="22"/>
      <c r="N63" s="25" t="str">
        <f>HYPERLINK("http://slimages.macys.com/is/image/MCY/21204888 ")</f>
        <v xml:space="preserve">http://slimages.macys.com/is/image/MCY/21204888 </v>
      </c>
    </row>
    <row r="64" spans="1:14" ht="24.75" x14ac:dyDescent="0.25">
      <c r="A64" s="21" t="s">
        <v>1790</v>
      </c>
      <c r="B64" s="22" t="s">
        <v>1791</v>
      </c>
      <c r="C64" s="2">
        <v>1</v>
      </c>
      <c r="D64" s="23">
        <v>44.5</v>
      </c>
      <c r="E64" s="3">
        <v>44.5</v>
      </c>
      <c r="F64" s="2" t="s">
        <v>1792</v>
      </c>
      <c r="G64" s="22" t="s">
        <v>19618</v>
      </c>
      <c r="H64" s="24" t="s">
        <v>19392</v>
      </c>
      <c r="I64" s="22" t="s">
        <v>19309</v>
      </c>
      <c r="J64" s="22" t="s">
        <v>20104</v>
      </c>
      <c r="K64" s="22" t="s">
        <v>20105</v>
      </c>
      <c r="L64" s="22"/>
      <c r="M64" s="22"/>
      <c r="N64" s="25" t="str">
        <f>HYPERLINK("http://slimages.macys.com/is/image/MCY/20250270 ")</f>
        <v xml:space="preserve">http://slimages.macys.com/is/image/MCY/20250270 </v>
      </c>
    </row>
    <row r="65" spans="1:14" ht="24.75" x14ac:dyDescent="0.25">
      <c r="A65" s="21" t="s">
        <v>19586</v>
      </c>
      <c r="B65" s="22" t="s">
        <v>19587</v>
      </c>
      <c r="C65" s="2">
        <v>1</v>
      </c>
      <c r="D65" s="23">
        <v>26.99</v>
      </c>
      <c r="E65" s="3">
        <v>26.99</v>
      </c>
      <c r="F65" s="2" t="s">
        <v>19588</v>
      </c>
      <c r="G65" s="22" t="s">
        <v>19351</v>
      </c>
      <c r="H65" s="24" t="s">
        <v>19324</v>
      </c>
      <c r="I65" s="22" t="s">
        <v>19309</v>
      </c>
      <c r="J65" s="22" t="s">
        <v>19573</v>
      </c>
      <c r="K65" s="22" t="s">
        <v>19574</v>
      </c>
      <c r="L65" s="22"/>
      <c r="M65" s="22"/>
      <c r="N65" s="25" t="str">
        <f>HYPERLINK("http://slimages.macys.com/is/image/MCY/20142463 ")</f>
        <v xml:space="preserve">http://slimages.macys.com/is/image/MCY/20142463 </v>
      </c>
    </row>
    <row r="66" spans="1:14" ht="24.75" x14ac:dyDescent="0.25">
      <c r="A66" s="21" t="s">
        <v>15630</v>
      </c>
      <c r="B66" s="22" t="s">
        <v>15631</v>
      </c>
      <c r="C66" s="2">
        <v>1</v>
      </c>
      <c r="D66" s="23">
        <v>24.99</v>
      </c>
      <c r="E66" s="3">
        <v>24.99</v>
      </c>
      <c r="F66" s="2" t="s">
        <v>15632</v>
      </c>
      <c r="G66" s="22" t="s">
        <v>19342</v>
      </c>
      <c r="H66" s="24" t="s">
        <v>19324</v>
      </c>
      <c r="I66" s="22" t="s">
        <v>19309</v>
      </c>
      <c r="J66" s="22" t="s">
        <v>19491</v>
      </c>
      <c r="K66" s="22" t="s">
        <v>19554</v>
      </c>
      <c r="L66" s="22"/>
      <c r="M66" s="22"/>
      <c r="N66" s="25" t="str">
        <f>HYPERLINK("http://slimages.macys.com/is/image/MCY/21779045 ")</f>
        <v xml:space="preserve">http://slimages.macys.com/is/image/MCY/21779045 </v>
      </c>
    </row>
    <row r="67" spans="1:14" x14ac:dyDescent="0.25">
      <c r="A67" s="21" t="s">
        <v>1793</v>
      </c>
      <c r="B67" s="22" t="s">
        <v>1794</v>
      </c>
      <c r="C67" s="2">
        <v>1</v>
      </c>
      <c r="D67" s="23">
        <v>30.99</v>
      </c>
      <c r="E67" s="3">
        <v>30.99</v>
      </c>
      <c r="F67" s="2">
        <v>2131</v>
      </c>
      <c r="G67" s="22" t="s">
        <v>19814</v>
      </c>
      <c r="H67" s="24" t="s">
        <v>19352</v>
      </c>
      <c r="I67" s="22" t="s">
        <v>19309</v>
      </c>
      <c r="J67" s="22" t="s">
        <v>19696</v>
      </c>
      <c r="K67" s="22" t="s">
        <v>15660</v>
      </c>
      <c r="L67" s="22"/>
      <c r="M67" s="22"/>
      <c r="N67" s="25" t="str">
        <f>HYPERLINK("http://slimages.macys.com/is/image/MCY/21408371 ")</f>
        <v xml:space="preserve">http://slimages.macys.com/is/image/MCY/21408371 </v>
      </c>
    </row>
    <row r="68" spans="1:14" ht="24.75" x14ac:dyDescent="0.25">
      <c r="A68" s="21" t="s">
        <v>1795</v>
      </c>
      <c r="B68" s="22" t="s">
        <v>13753</v>
      </c>
      <c r="C68" s="2">
        <v>1</v>
      </c>
      <c r="D68" s="23">
        <v>37.5</v>
      </c>
      <c r="E68" s="3">
        <v>37.5</v>
      </c>
      <c r="F68" s="2" t="s">
        <v>1796</v>
      </c>
      <c r="G68" s="22" t="s">
        <v>19415</v>
      </c>
      <c r="H68" s="24"/>
      <c r="I68" s="22" t="s">
        <v>19309</v>
      </c>
      <c r="J68" s="22" t="s">
        <v>19613</v>
      </c>
      <c r="K68" s="22" t="s">
        <v>19614</v>
      </c>
      <c r="L68" s="22"/>
      <c r="M68" s="22"/>
      <c r="N68" s="25" t="str">
        <f>HYPERLINK("http://slimages.macys.com/is/image/MCY/21035822 ")</f>
        <v xml:space="preserve">http://slimages.macys.com/is/image/MCY/21035822 </v>
      </c>
    </row>
    <row r="69" spans="1:14" ht="24.75" x14ac:dyDescent="0.25">
      <c r="A69" s="21" t="s">
        <v>1797</v>
      </c>
      <c r="B69" s="22" t="s">
        <v>1798</v>
      </c>
      <c r="C69" s="2">
        <v>1</v>
      </c>
      <c r="D69" s="23">
        <v>32.99</v>
      </c>
      <c r="E69" s="3">
        <v>32.99</v>
      </c>
      <c r="F69" s="2" t="s">
        <v>15676</v>
      </c>
      <c r="G69" s="22" t="s">
        <v>19351</v>
      </c>
      <c r="H69" s="24" t="s">
        <v>19352</v>
      </c>
      <c r="I69" s="22" t="s">
        <v>19309</v>
      </c>
      <c r="J69" s="22" t="s">
        <v>19595</v>
      </c>
      <c r="K69" s="22" t="s">
        <v>19423</v>
      </c>
      <c r="L69" s="22"/>
      <c r="M69" s="22"/>
      <c r="N69" s="25" t="str">
        <f>HYPERLINK("http://slimages.macys.com/is/image/MCY/21398450 ")</f>
        <v xml:space="preserve">http://slimages.macys.com/is/image/MCY/21398450 </v>
      </c>
    </row>
    <row r="70" spans="1:14" x14ac:dyDescent="0.25">
      <c r="A70" s="21" t="s">
        <v>4170</v>
      </c>
      <c r="B70" s="22" t="s">
        <v>4171</v>
      </c>
      <c r="C70" s="2">
        <v>1</v>
      </c>
      <c r="D70" s="23">
        <v>27.99</v>
      </c>
      <c r="E70" s="3">
        <v>27.99</v>
      </c>
      <c r="F70" s="2">
        <v>1134</v>
      </c>
      <c r="G70" s="22" t="s">
        <v>19404</v>
      </c>
      <c r="H70" s="24"/>
      <c r="I70" s="22" t="s">
        <v>19309</v>
      </c>
      <c r="J70" s="22" t="s">
        <v>19696</v>
      </c>
      <c r="K70" s="22" t="s">
        <v>8212</v>
      </c>
      <c r="L70" s="22"/>
      <c r="M70" s="22"/>
      <c r="N70" s="25" t="str">
        <f>HYPERLINK("http://slimages.macys.com/is/image/MCY/20586557 ")</f>
        <v xml:space="preserve">http://slimages.macys.com/is/image/MCY/20586557 </v>
      </c>
    </row>
    <row r="71" spans="1:14" ht="36.75" x14ac:dyDescent="0.25">
      <c r="A71" s="21" t="s">
        <v>1799</v>
      </c>
      <c r="B71" s="22" t="s">
        <v>1800</v>
      </c>
      <c r="C71" s="2">
        <v>1</v>
      </c>
      <c r="D71" s="23">
        <v>22.99</v>
      </c>
      <c r="E71" s="3">
        <v>22.99</v>
      </c>
      <c r="F71" s="2" t="s">
        <v>17734</v>
      </c>
      <c r="G71" s="22" t="s">
        <v>19674</v>
      </c>
      <c r="H71" s="24" t="s">
        <v>19377</v>
      </c>
      <c r="I71" s="22" t="s">
        <v>19309</v>
      </c>
      <c r="J71" s="22" t="s">
        <v>19447</v>
      </c>
      <c r="K71" s="22" t="s">
        <v>19463</v>
      </c>
      <c r="L71" s="22" t="s">
        <v>19434</v>
      </c>
      <c r="M71" s="22" t="s">
        <v>1801</v>
      </c>
      <c r="N71" s="25" t="str">
        <f>HYPERLINK("http://images.bloomingdales.com/is/image/BLM/11538517 ")</f>
        <v xml:space="preserve">http://images.bloomingdales.com/is/image/BLM/11538517 </v>
      </c>
    </row>
    <row r="72" spans="1:14" ht="24.75" x14ac:dyDescent="0.25">
      <c r="A72" s="21" t="s">
        <v>1802</v>
      </c>
      <c r="B72" s="22" t="s">
        <v>1803</v>
      </c>
      <c r="C72" s="2">
        <v>2</v>
      </c>
      <c r="D72" s="23">
        <v>32.99</v>
      </c>
      <c r="E72" s="3">
        <v>65.98</v>
      </c>
      <c r="F72" s="2" t="s">
        <v>1804</v>
      </c>
      <c r="G72" s="22" t="s">
        <v>19427</v>
      </c>
      <c r="H72" s="24" t="s">
        <v>19352</v>
      </c>
      <c r="I72" s="22" t="s">
        <v>19309</v>
      </c>
      <c r="J72" s="22" t="s">
        <v>19595</v>
      </c>
      <c r="K72" s="22" t="s">
        <v>19423</v>
      </c>
      <c r="L72" s="22"/>
      <c r="M72" s="22"/>
      <c r="N72" s="25" t="str">
        <f>HYPERLINK("http://slimages.macys.com/is/image/MCY/21425247 ")</f>
        <v xml:space="preserve">http://slimages.macys.com/is/image/MCY/21425247 </v>
      </c>
    </row>
    <row r="73" spans="1:14" ht="24.75" x14ac:dyDescent="0.25">
      <c r="A73" s="21" t="s">
        <v>12920</v>
      </c>
      <c r="B73" s="22" t="s">
        <v>12921</v>
      </c>
      <c r="C73" s="2">
        <v>1</v>
      </c>
      <c r="D73" s="23">
        <v>32.99</v>
      </c>
      <c r="E73" s="3">
        <v>32.99</v>
      </c>
      <c r="F73" s="2" t="s">
        <v>12922</v>
      </c>
      <c r="G73" s="22" t="s">
        <v>19404</v>
      </c>
      <c r="H73" s="24" t="s">
        <v>19364</v>
      </c>
      <c r="I73" s="22" t="s">
        <v>19309</v>
      </c>
      <c r="J73" s="22" t="s">
        <v>19595</v>
      </c>
      <c r="K73" s="22" t="s">
        <v>19423</v>
      </c>
      <c r="L73" s="22"/>
      <c r="M73" s="22"/>
      <c r="N73" s="25" t="str">
        <f>HYPERLINK("http://slimages.macys.com/is/image/MCY/21398445 ")</f>
        <v xml:space="preserve">http://slimages.macys.com/is/image/MCY/21398445 </v>
      </c>
    </row>
    <row r="74" spans="1:14" ht="24.75" x14ac:dyDescent="0.25">
      <c r="A74" s="21" t="s">
        <v>15220</v>
      </c>
      <c r="B74" s="22" t="s">
        <v>15221</v>
      </c>
      <c r="C74" s="2">
        <v>1</v>
      </c>
      <c r="D74" s="23">
        <v>22.99</v>
      </c>
      <c r="E74" s="3">
        <v>22.99</v>
      </c>
      <c r="F74" s="2" t="s">
        <v>15222</v>
      </c>
      <c r="G74" s="22" t="s">
        <v>19886</v>
      </c>
      <c r="H74" s="24" t="s">
        <v>19364</v>
      </c>
      <c r="I74" s="22" t="s">
        <v>19309</v>
      </c>
      <c r="J74" s="22" t="s">
        <v>19447</v>
      </c>
      <c r="K74" s="22" t="s">
        <v>19533</v>
      </c>
      <c r="L74" s="22"/>
      <c r="M74" s="22"/>
      <c r="N74" s="25" t="str">
        <f>HYPERLINK("http://slimages.macys.com/is/image/MCY/20930978 ")</f>
        <v xml:space="preserve">http://slimages.macys.com/is/image/MCY/20930978 </v>
      </c>
    </row>
    <row r="75" spans="1:14" ht="24.75" x14ac:dyDescent="0.25">
      <c r="A75" s="21" t="s">
        <v>1805</v>
      </c>
      <c r="B75" s="22" t="s">
        <v>1806</v>
      </c>
      <c r="C75" s="2">
        <v>1</v>
      </c>
      <c r="D75" s="23">
        <v>39.5</v>
      </c>
      <c r="E75" s="3">
        <v>39.5</v>
      </c>
      <c r="F75" s="2">
        <v>100144423</v>
      </c>
      <c r="G75" s="22" t="s">
        <v>19315</v>
      </c>
      <c r="H75" s="24" t="s">
        <v>13630</v>
      </c>
      <c r="I75" s="22" t="s">
        <v>19309</v>
      </c>
      <c r="J75" s="22" t="s">
        <v>17328</v>
      </c>
      <c r="K75" s="22" t="s">
        <v>11851</v>
      </c>
      <c r="L75" s="22"/>
      <c r="M75" s="22"/>
      <c r="N75" s="25" t="str">
        <f>HYPERLINK("http://slimages.macys.com/is/image/MCY/20283152 ")</f>
        <v xml:space="preserve">http://slimages.macys.com/is/image/MCY/20283152 </v>
      </c>
    </row>
    <row r="76" spans="1:14" ht="24.75" x14ac:dyDescent="0.25">
      <c r="A76" s="21" t="s">
        <v>1807</v>
      </c>
      <c r="B76" s="22" t="s">
        <v>8734</v>
      </c>
      <c r="C76" s="2">
        <v>1</v>
      </c>
      <c r="D76" s="23">
        <v>27.99</v>
      </c>
      <c r="E76" s="3">
        <v>27.99</v>
      </c>
      <c r="F76" s="2" t="s">
        <v>5174</v>
      </c>
      <c r="G76" s="22" t="s">
        <v>19315</v>
      </c>
      <c r="H76" s="24" t="s">
        <v>11751</v>
      </c>
      <c r="I76" s="22" t="s">
        <v>19309</v>
      </c>
      <c r="J76" s="22" t="s">
        <v>19447</v>
      </c>
      <c r="K76" s="22" t="s">
        <v>18333</v>
      </c>
      <c r="L76" s="22"/>
      <c r="M76" s="22"/>
      <c r="N76" s="25" t="str">
        <f>HYPERLINK("http://slimages.macys.com/is/image/MCY/21048334 ")</f>
        <v xml:space="preserve">http://slimages.macys.com/is/image/MCY/21048334 </v>
      </c>
    </row>
    <row r="77" spans="1:14" ht="24.75" x14ac:dyDescent="0.25">
      <c r="A77" s="21" t="s">
        <v>15694</v>
      </c>
      <c r="B77" s="22" t="s">
        <v>15695</v>
      </c>
      <c r="C77" s="2">
        <v>1</v>
      </c>
      <c r="D77" s="23">
        <v>26.99</v>
      </c>
      <c r="E77" s="3">
        <v>26.99</v>
      </c>
      <c r="F77" s="2" t="s">
        <v>19663</v>
      </c>
      <c r="G77" s="22" t="s">
        <v>19333</v>
      </c>
      <c r="H77" s="24" t="s">
        <v>19330</v>
      </c>
      <c r="I77" s="22" t="s">
        <v>19309</v>
      </c>
      <c r="J77" s="22" t="s">
        <v>19385</v>
      </c>
      <c r="K77" s="22" t="s">
        <v>19487</v>
      </c>
      <c r="L77" s="22"/>
      <c r="M77" s="22"/>
      <c r="N77" s="25" t="str">
        <f>HYPERLINK("http://slimages.macys.com/is/image/MCY/21856819 ")</f>
        <v xml:space="preserve">http://slimages.macys.com/is/image/MCY/21856819 </v>
      </c>
    </row>
    <row r="78" spans="1:14" x14ac:dyDescent="0.25">
      <c r="A78" s="21" t="s">
        <v>7369</v>
      </c>
      <c r="B78" s="22" t="s">
        <v>7370</v>
      </c>
      <c r="C78" s="2">
        <v>1</v>
      </c>
      <c r="D78" s="23">
        <v>16.989999999999998</v>
      </c>
      <c r="E78" s="3">
        <v>16.989999999999998</v>
      </c>
      <c r="F78" s="2" t="s">
        <v>17768</v>
      </c>
      <c r="G78" s="22" t="s">
        <v>19618</v>
      </c>
      <c r="H78" s="24" t="s">
        <v>19432</v>
      </c>
      <c r="I78" s="22" t="s">
        <v>19309</v>
      </c>
      <c r="J78" s="22" t="s">
        <v>19310</v>
      </c>
      <c r="K78" s="22" t="s">
        <v>19468</v>
      </c>
      <c r="L78" s="22"/>
      <c r="M78" s="22"/>
      <c r="N78" s="25" t="str">
        <f>HYPERLINK("http://slimages.macys.com/is/image/MCY/20663243 ")</f>
        <v xml:space="preserve">http://slimages.macys.com/is/image/MCY/20663243 </v>
      </c>
    </row>
    <row r="79" spans="1:14" ht="24.75" x14ac:dyDescent="0.25">
      <c r="A79" s="21" t="s">
        <v>1808</v>
      </c>
      <c r="B79" s="22" t="s">
        <v>1809</v>
      </c>
      <c r="C79" s="2">
        <v>1</v>
      </c>
      <c r="D79" s="23">
        <v>24.99</v>
      </c>
      <c r="E79" s="3">
        <v>24.99</v>
      </c>
      <c r="F79" s="2" t="s">
        <v>19673</v>
      </c>
      <c r="G79" s="22" t="s">
        <v>19674</v>
      </c>
      <c r="H79" s="24" t="s">
        <v>19384</v>
      </c>
      <c r="I79" s="22" t="s">
        <v>19309</v>
      </c>
      <c r="J79" s="22" t="s">
        <v>19573</v>
      </c>
      <c r="K79" s="22" t="s">
        <v>19574</v>
      </c>
      <c r="L79" s="22"/>
      <c r="M79" s="22"/>
      <c r="N79" s="25" t="str">
        <f>HYPERLINK("http://slimages.macys.com/is/image/MCY/1554793 ")</f>
        <v xml:space="preserve">http://slimages.macys.com/is/image/MCY/1554793 </v>
      </c>
    </row>
    <row r="80" spans="1:14" ht="24.75" x14ac:dyDescent="0.25">
      <c r="A80" s="21" t="s">
        <v>17772</v>
      </c>
      <c r="B80" s="22" t="s">
        <v>17773</v>
      </c>
      <c r="C80" s="2">
        <v>1</v>
      </c>
      <c r="D80" s="23">
        <v>27.99</v>
      </c>
      <c r="E80" s="3">
        <v>27.99</v>
      </c>
      <c r="F80" s="2" t="s">
        <v>17774</v>
      </c>
      <c r="G80" s="22" t="s">
        <v>19342</v>
      </c>
      <c r="H80" s="24" t="s">
        <v>19392</v>
      </c>
      <c r="I80" s="22" t="s">
        <v>19309</v>
      </c>
      <c r="J80" s="22" t="s">
        <v>19696</v>
      </c>
      <c r="K80" s="22" t="s">
        <v>19965</v>
      </c>
      <c r="L80" s="22"/>
      <c r="M80" s="22"/>
      <c r="N80" s="25" t="str">
        <f>HYPERLINK("http://slimages.macys.com/is/image/MCY/21540669 ")</f>
        <v xml:space="preserve">http://slimages.macys.com/is/image/MCY/21540669 </v>
      </c>
    </row>
    <row r="81" spans="1:14" x14ac:dyDescent="0.25">
      <c r="A81" s="21" t="s">
        <v>17775</v>
      </c>
      <c r="B81" s="22" t="s">
        <v>17776</v>
      </c>
      <c r="C81" s="2">
        <v>1</v>
      </c>
      <c r="D81" s="23">
        <v>27.99</v>
      </c>
      <c r="E81" s="3">
        <v>27.99</v>
      </c>
      <c r="F81" s="2" t="s">
        <v>17777</v>
      </c>
      <c r="G81" s="22" t="s">
        <v>19342</v>
      </c>
      <c r="H81" s="24" t="s">
        <v>19345</v>
      </c>
      <c r="I81" s="22" t="s">
        <v>19309</v>
      </c>
      <c r="J81" s="22" t="s">
        <v>19696</v>
      </c>
      <c r="K81" s="22" t="s">
        <v>19697</v>
      </c>
      <c r="L81" s="22"/>
      <c r="M81" s="22"/>
      <c r="N81" s="25" t="str">
        <f>HYPERLINK("http://slimages.macys.com/is/image/MCY/21364964 ")</f>
        <v xml:space="preserve">http://slimages.macys.com/is/image/MCY/21364964 </v>
      </c>
    </row>
    <row r="82" spans="1:14" ht="24.75" x14ac:dyDescent="0.25">
      <c r="A82" s="21" t="s">
        <v>1810</v>
      </c>
      <c r="B82" s="22" t="s">
        <v>1811</v>
      </c>
      <c r="C82" s="2">
        <v>1</v>
      </c>
      <c r="D82" s="23">
        <v>29.99</v>
      </c>
      <c r="E82" s="3">
        <v>29.99</v>
      </c>
      <c r="F82" s="2" t="s">
        <v>1812</v>
      </c>
      <c r="G82" s="22" t="s">
        <v>19342</v>
      </c>
      <c r="H82" s="24" t="s">
        <v>19416</v>
      </c>
      <c r="I82" s="22" t="s">
        <v>19309</v>
      </c>
      <c r="J82" s="22" t="s">
        <v>19491</v>
      </c>
      <c r="K82" s="22" t="s">
        <v>15725</v>
      </c>
      <c r="L82" s="22"/>
      <c r="M82" s="22"/>
      <c r="N82" s="25" t="str">
        <f>HYPERLINK("http://slimages.macys.com/is/image/MCY/21398390 ")</f>
        <v xml:space="preserve">http://slimages.macys.com/is/image/MCY/21398390 </v>
      </c>
    </row>
    <row r="83" spans="1:14" ht="24.75" x14ac:dyDescent="0.25">
      <c r="A83" s="21" t="s">
        <v>15733</v>
      </c>
      <c r="B83" s="22" t="s">
        <v>15734</v>
      </c>
      <c r="C83" s="2">
        <v>1</v>
      </c>
      <c r="D83" s="23">
        <v>18.989999999999998</v>
      </c>
      <c r="E83" s="3">
        <v>18.989999999999998</v>
      </c>
      <c r="F83" s="2" t="s">
        <v>17797</v>
      </c>
      <c r="G83" s="22" t="s">
        <v>19315</v>
      </c>
      <c r="H83" s="24" t="s">
        <v>19395</v>
      </c>
      <c r="I83" s="22" t="s">
        <v>19309</v>
      </c>
      <c r="J83" s="22" t="s">
        <v>19447</v>
      </c>
      <c r="K83" s="22" t="s">
        <v>20146</v>
      </c>
      <c r="L83" s="22"/>
      <c r="M83" s="22"/>
      <c r="N83" s="25" t="str">
        <f>HYPERLINK("http://slimages.macys.com/is/image/MCY/20016812 ")</f>
        <v xml:space="preserve">http://slimages.macys.com/is/image/MCY/20016812 </v>
      </c>
    </row>
    <row r="84" spans="1:14" ht="24.75" x14ac:dyDescent="0.25">
      <c r="A84" s="21" t="s">
        <v>1813</v>
      </c>
      <c r="B84" s="22" t="s">
        <v>1814</v>
      </c>
      <c r="C84" s="2">
        <v>1</v>
      </c>
      <c r="D84" s="23">
        <v>18.989999999999998</v>
      </c>
      <c r="E84" s="3">
        <v>18.989999999999998</v>
      </c>
      <c r="F84" s="2" t="s">
        <v>17797</v>
      </c>
      <c r="G84" s="22" t="s">
        <v>19315</v>
      </c>
      <c r="H84" s="24" t="s">
        <v>19345</v>
      </c>
      <c r="I84" s="22" t="s">
        <v>19309</v>
      </c>
      <c r="J84" s="22" t="s">
        <v>19447</v>
      </c>
      <c r="K84" s="22" t="s">
        <v>20146</v>
      </c>
      <c r="L84" s="22"/>
      <c r="M84" s="22"/>
      <c r="N84" s="25" t="str">
        <f>HYPERLINK("http://slimages.macys.com/is/image/MCY/20016810 ")</f>
        <v xml:space="preserve">http://slimages.macys.com/is/image/MCY/20016810 </v>
      </c>
    </row>
    <row r="85" spans="1:14" ht="24.75" x14ac:dyDescent="0.25">
      <c r="A85" s="21" t="s">
        <v>1815</v>
      </c>
      <c r="B85" s="22" t="s">
        <v>1816</v>
      </c>
      <c r="C85" s="2">
        <v>1</v>
      </c>
      <c r="D85" s="23">
        <v>22.99</v>
      </c>
      <c r="E85" s="3">
        <v>22.99</v>
      </c>
      <c r="F85" s="2" t="s">
        <v>1817</v>
      </c>
      <c r="G85" s="22" t="s">
        <v>19315</v>
      </c>
      <c r="H85" s="24"/>
      <c r="I85" s="22" t="s">
        <v>19309</v>
      </c>
      <c r="J85" s="22" t="s">
        <v>19310</v>
      </c>
      <c r="K85" s="22" t="s">
        <v>2679</v>
      </c>
      <c r="L85" s="22"/>
      <c r="M85" s="22"/>
      <c r="N85" s="25" t="str">
        <f>HYPERLINK("http://slimages.macys.com/is/image/MCY/21678942 ")</f>
        <v xml:space="preserve">http://slimages.macys.com/is/image/MCY/21678942 </v>
      </c>
    </row>
    <row r="86" spans="1:14" ht="24.75" x14ac:dyDescent="0.25">
      <c r="A86" s="21" t="s">
        <v>1818</v>
      </c>
      <c r="B86" s="22" t="s">
        <v>1819</v>
      </c>
      <c r="C86" s="2">
        <v>1</v>
      </c>
      <c r="D86" s="23">
        <v>22.99</v>
      </c>
      <c r="E86" s="3">
        <v>22.99</v>
      </c>
      <c r="F86" s="2">
        <v>848196</v>
      </c>
      <c r="G86" s="22" t="s">
        <v>19307</v>
      </c>
      <c r="H86" s="24" t="s">
        <v>19364</v>
      </c>
      <c r="I86" s="22" t="s">
        <v>19309</v>
      </c>
      <c r="J86" s="22" t="s">
        <v>19447</v>
      </c>
      <c r="K86" s="22" t="s">
        <v>19311</v>
      </c>
      <c r="L86" s="22" t="s">
        <v>19319</v>
      </c>
      <c r="M86" s="22" t="s">
        <v>19764</v>
      </c>
      <c r="N86" s="25" t="str">
        <f>HYPERLINK("http://slimages.macys.com/is/image/MCY/13860974 ")</f>
        <v xml:space="preserve">http://slimages.macys.com/is/image/MCY/13860974 </v>
      </c>
    </row>
    <row r="87" spans="1:14" ht="24.75" x14ac:dyDescent="0.25">
      <c r="A87" s="21" t="s">
        <v>1820</v>
      </c>
      <c r="B87" s="22" t="s">
        <v>1821</v>
      </c>
      <c r="C87" s="2">
        <v>1</v>
      </c>
      <c r="D87" s="23">
        <v>24.99</v>
      </c>
      <c r="E87" s="3">
        <v>24.99</v>
      </c>
      <c r="F87" s="2" t="s">
        <v>17821</v>
      </c>
      <c r="G87" s="22" t="s">
        <v>19713</v>
      </c>
      <c r="H87" s="24" t="s">
        <v>19416</v>
      </c>
      <c r="I87" s="22" t="s">
        <v>19309</v>
      </c>
      <c r="J87" s="22" t="s">
        <v>19573</v>
      </c>
      <c r="K87" s="22" t="s">
        <v>19574</v>
      </c>
      <c r="L87" s="22"/>
      <c r="M87" s="22"/>
      <c r="N87" s="25" t="str">
        <f>HYPERLINK("http://slimages.macys.com/is/image/MCY/1679020 ")</f>
        <v xml:space="preserve">http://slimages.macys.com/is/image/MCY/1679020 </v>
      </c>
    </row>
    <row r="88" spans="1:14" ht="24.75" x14ac:dyDescent="0.25">
      <c r="A88" s="21" t="s">
        <v>12957</v>
      </c>
      <c r="B88" s="22" t="s">
        <v>12958</v>
      </c>
      <c r="C88" s="2">
        <v>2</v>
      </c>
      <c r="D88" s="23">
        <v>24.99</v>
      </c>
      <c r="E88" s="3">
        <v>49.98</v>
      </c>
      <c r="F88" s="2" t="s">
        <v>17821</v>
      </c>
      <c r="G88" s="22" t="s">
        <v>19713</v>
      </c>
      <c r="H88" s="24" t="s">
        <v>19538</v>
      </c>
      <c r="I88" s="22" t="s">
        <v>19309</v>
      </c>
      <c r="J88" s="22" t="s">
        <v>19573</v>
      </c>
      <c r="K88" s="22" t="s">
        <v>19574</v>
      </c>
      <c r="L88" s="22"/>
      <c r="M88" s="22"/>
      <c r="N88" s="25" t="str">
        <f>HYPERLINK("http://slimages.macys.com/is/image/MCY/1679019 ")</f>
        <v xml:space="preserve">http://slimages.macys.com/is/image/MCY/1679019 </v>
      </c>
    </row>
    <row r="89" spans="1:14" ht="24.75" x14ac:dyDescent="0.25">
      <c r="A89" s="21" t="s">
        <v>12959</v>
      </c>
      <c r="B89" s="22" t="s">
        <v>12960</v>
      </c>
      <c r="C89" s="2">
        <v>1</v>
      </c>
      <c r="D89" s="23">
        <v>24.99</v>
      </c>
      <c r="E89" s="3">
        <v>24.99</v>
      </c>
      <c r="F89" s="2" t="s">
        <v>17821</v>
      </c>
      <c r="G89" s="22" t="s">
        <v>19713</v>
      </c>
      <c r="H89" s="24" t="s">
        <v>19324</v>
      </c>
      <c r="I89" s="22" t="s">
        <v>19309</v>
      </c>
      <c r="J89" s="22" t="s">
        <v>19573</v>
      </c>
      <c r="K89" s="22" t="s">
        <v>19574</v>
      </c>
      <c r="L89" s="22"/>
      <c r="M89" s="22"/>
      <c r="N89" s="25" t="str">
        <f>HYPERLINK("http://slimages.macys.com/is/image/MCY/1679019 ")</f>
        <v xml:space="preserve">http://slimages.macys.com/is/image/MCY/1679019 </v>
      </c>
    </row>
    <row r="90" spans="1:14" ht="24.75" x14ac:dyDescent="0.25">
      <c r="A90" s="21" t="s">
        <v>12961</v>
      </c>
      <c r="B90" s="22" t="s">
        <v>12962</v>
      </c>
      <c r="C90" s="2">
        <v>1</v>
      </c>
      <c r="D90" s="23">
        <v>24.99</v>
      </c>
      <c r="E90" s="3">
        <v>24.99</v>
      </c>
      <c r="F90" s="2" t="s">
        <v>17821</v>
      </c>
      <c r="G90" s="22" t="s">
        <v>19713</v>
      </c>
      <c r="H90" s="24" t="s">
        <v>19330</v>
      </c>
      <c r="I90" s="22" t="s">
        <v>19309</v>
      </c>
      <c r="J90" s="22" t="s">
        <v>19573</v>
      </c>
      <c r="K90" s="22" t="s">
        <v>19574</v>
      </c>
      <c r="L90" s="22"/>
      <c r="M90" s="22"/>
      <c r="N90" s="25" t="str">
        <f>HYPERLINK("http://slimages.macys.com/is/image/MCY/1679020 ")</f>
        <v xml:space="preserve">http://slimages.macys.com/is/image/MCY/1679020 </v>
      </c>
    </row>
    <row r="91" spans="1:14" ht="24.75" x14ac:dyDescent="0.25">
      <c r="A91" s="21" t="s">
        <v>1822</v>
      </c>
      <c r="B91" s="22" t="s">
        <v>1823</v>
      </c>
      <c r="C91" s="2">
        <v>1</v>
      </c>
      <c r="D91" s="23">
        <v>19.989999999999998</v>
      </c>
      <c r="E91" s="3">
        <v>19.989999999999998</v>
      </c>
      <c r="F91" s="2" t="s">
        <v>7389</v>
      </c>
      <c r="G91" s="22" t="s">
        <v>19351</v>
      </c>
      <c r="H91" s="24" t="s">
        <v>19339</v>
      </c>
      <c r="I91" s="22" t="s">
        <v>19309</v>
      </c>
      <c r="J91" s="22" t="s">
        <v>19353</v>
      </c>
      <c r="K91" s="22" t="s">
        <v>19524</v>
      </c>
      <c r="L91" s="22"/>
      <c r="M91" s="22"/>
      <c r="N91" s="25" t="str">
        <f>HYPERLINK("http://slimages.macys.com/is/image/MCY/1617378 ")</f>
        <v xml:space="preserve">http://slimages.macys.com/is/image/MCY/1617378 </v>
      </c>
    </row>
    <row r="92" spans="1:14" ht="24.75" x14ac:dyDescent="0.25">
      <c r="A92" s="21" t="s">
        <v>19743</v>
      </c>
      <c r="B92" s="22" t="s">
        <v>19744</v>
      </c>
      <c r="C92" s="2">
        <v>2</v>
      </c>
      <c r="D92" s="23">
        <v>24.99</v>
      </c>
      <c r="E92" s="3">
        <v>49.98</v>
      </c>
      <c r="F92" s="2" t="s">
        <v>19728</v>
      </c>
      <c r="G92" s="22" t="s">
        <v>19342</v>
      </c>
      <c r="H92" s="24" t="s">
        <v>19330</v>
      </c>
      <c r="I92" s="22" t="s">
        <v>19309</v>
      </c>
      <c r="J92" s="22" t="s">
        <v>19385</v>
      </c>
      <c r="K92" s="22" t="s">
        <v>19729</v>
      </c>
      <c r="L92" s="22"/>
      <c r="M92" s="22"/>
      <c r="N92" s="25" t="str">
        <f>HYPERLINK("http://slimages.macys.com/is/image/MCY/21773792 ")</f>
        <v xml:space="preserve">http://slimages.macys.com/is/image/MCY/21773792 </v>
      </c>
    </row>
    <row r="93" spans="1:14" ht="24.75" x14ac:dyDescent="0.25">
      <c r="A93" s="21" t="s">
        <v>19726</v>
      </c>
      <c r="B93" s="22" t="s">
        <v>19727</v>
      </c>
      <c r="C93" s="2">
        <v>2</v>
      </c>
      <c r="D93" s="23">
        <v>24.99</v>
      </c>
      <c r="E93" s="3">
        <v>49.98</v>
      </c>
      <c r="F93" s="2" t="s">
        <v>19728</v>
      </c>
      <c r="G93" s="22" t="s">
        <v>19342</v>
      </c>
      <c r="H93" s="24" t="s">
        <v>19324</v>
      </c>
      <c r="I93" s="22" t="s">
        <v>19309</v>
      </c>
      <c r="J93" s="22" t="s">
        <v>19385</v>
      </c>
      <c r="K93" s="22" t="s">
        <v>19729</v>
      </c>
      <c r="L93" s="22"/>
      <c r="M93" s="22"/>
      <c r="N93" s="25" t="str">
        <f>HYPERLINK("http://slimages.macys.com/is/image/MCY/21773792 ")</f>
        <v xml:space="preserve">http://slimages.macys.com/is/image/MCY/21773792 </v>
      </c>
    </row>
    <row r="94" spans="1:14" ht="24.75" x14ac:dyDescent="0.25">
      <c r="A94" s="21" t="s">
        <v>19741</v>
      </c>
      <c r="B94" s="22" t="s">
        <v>19742</v>
      </c>
      <c r="C94" s="2">
        <v>2</v>
      </c>
      <c r="D94" s="23">
        <v>24.99</v>
      </c>
      <c r="E94" s="3">
        <v>49.98</v>
      </c>
      <c r="F94" s="2" t="s">
        <v>19728</v>
      </c>
      <c r="G94" s="22" t="s">
        <v>19342</v>
      </c>
      <c r="H94" s="24" t="s">
        <v>19416</v>
      </c>
      <c r="I94" s="22" t="s">
        <v>19309</v>
      </c>
      <c r="J94" s="22" t="s">
        <v>19385</v>
      </c>
      <c r="K94" s="22" t="s">
        <v>19729</v>
      </c>
      <c r="L94" s="22"/>
      <c r="M94" s="22"/>
      <c r="N94" s="25" t="str">
        <f>HYPERLINK("http://slimages.macys.com/is/image/MCY/21773792 ")</f>
        <v xml:space="preserve">http://slimages.macys.com/is/image/MCY/21773792 </v>
      </c>
    </row>
    <row r="95" spans="1:14" ht="24.75" x14ac:dyDescent="0.25">
      <c r="A95" s="21" t="s">
        <v>1824</v>
      </c>
      <c r="B95" s="22" t="s">
        <v>1825</v>
      </c>
      <c r="C95" s="2">
        <v>1</v>
      </c>
      <c r="D95" s="23">
        <v>24.99</v>
      </c>
      <c r="E95" s="3">
        <v>24.99</v>
      </c>
      <c r="F95" s="2" t="s">
        <v>1826</v>
      </c>
      <c r="G95" s="22" t="s">
        <v>19794</v>
      </c>
      <c r="H95" s="24" t="s">
        <v>19501</v>
      </c>
      <c r="I95" s="22" t="s">
        <v>19309</v>
      </c>
      <c r="J95" s="22" t="s">
        <v>19595</v>
      </c>
      <c r="K95" s="22" t="s">
        <v>9601</v>
      </c>
      <c r="L95" s="22"/>
      <c r="M95" s="22"/>
      <c r="N95" s="25" t="str">
        <f>HYPERLINK("http://slimages.macys.com/is/image/MCY/18106125 ")</f>
        <v xml:space="preserve">http://slimages.macys.com/is/image/MCY/18106125 </v>
      </c>
    </row>
    <row r="96" spans="1:14" ht="24.75" x14ac:dyDescent="0.25">
      <c r="A96" s="21" t="s">
        <v>1827</v>
      </c>
      <c r="B96" s="22" t="s">
        <v>1828</v>
      </c>
      <c r="C96" s="2">
        <v>2</v>
      </c>
      <c r="D96" s="23">
        <v>25.99</v>
      </c>
      <c r="E96" s="3">
        <v>51.98</v>
      </c>
      <c r="F96" s="2" t="s">
        <v>1829</v>
      </c>
      <c r="G96" s="22" t="s">
        <v>19333</v>
      </c>
      <c r="H96" s="24" t="s">
        <v>18139</v>
      </c>
      <c r="I96" s="22" t="s">
        <v>19309</v>
      </c>
      <c r="J96" s="22" t="s">
        <v>19519</v>
      </c>
      <c r="K96" s="22" t="s">
        <v>10971</v>
      </c>
      <c r="L96" s="22"/>
      <c r="M96" s="22"/>
      <c r="N96" s="25" t="str">
        <f>HYPERLINK("http://slimages.macys.com/is/image/MCY/21313711 ")</f>
        <v xml:space="preserve">http://slimages.macys.com/is/image/MCY/21313711 </v>
      </c>
    </row>
    <row r="97" spans="1:14" x14ac:dyDescent="0.25">
      <c r="A97" s="21" t="s">
        <v>5192</v>
      </c>
      <c r="B97" s="22" t="s">
        <v>5193</v>
      </c>
      <c r="C97" s="2">
        <v>1</v>
      </c>
      <c r="D97" s="23">
        <v>26.05</v>
      </c>
      <c r="E97" s="3">
        <v>26.05</v>
      </c>
      <c r="F97" s="2" t="s">
        <v>4615</v>
      </c>
      <c r="G97" s="22"/>
      <c r="H97" s="24" t="s">
        <v>19324</v>
      </c>
      <c r="I97" s="22" t="s">
        <v>19309</v>
      </c>
      <c r="J97" s="22" t="s">
        <v>19708</v>
      </c>
      <c r="K97" s="22" t="s">
        <v>19754</v>
      </c>
      <c r="L97" s="22"/>
      <c r="M97" s="22"/>
      <c r="N97" s="25" t="str">
        <f>HYPERLINK("http://slimages.macys.com/is/image/MCY/21422917 ")</f>
        <v xml:space="preserve">http://slimages.macys.com/is/image/MCY/21422917 </v>
      </c>
    </row>
    <row r="98" spans="1:14" ht="24.75" x14ac:dyDescent="0.25">
      <c r="A98" s="21" t="s">
        <v>5639</v>
      </c>
      <c r="B98" s="22" t="s">
        <v>5640</v>
      </c>
      <c r="C98" s="2">
        <v>1</v>
      </c>
      <c r="D98" s="23">
        <v>18.989999999999998</v>
      </c>
      <c r="E98" s="3">
        <v>18.989999999999998</v>
      </c>
      <c r="F98" s="2" t="s">
        <v>19813</v>
      </c>
      <c r="G98" s="22" t="s">
        <v>19814</v>
      </c>
      <c r="H98" s="24" t="s">
        <v>19339</v>
      </c>
      <c r="I98" s="22" t="s">
        <v>19309</v>
      </c>
      <c r="J98" s="22" t="s">
        <v>19815</v>
      </c>
      <c r="K98" s="22" t="s">
        <v>19816</v>
      </c>
      <c r="L98" s="22"/>
      <c r="M98" s="22"/>
      <c r="N98" s="25" t="str">
        <f>HYPERLINK("http://slimages.macys.com/is/image/MCY/20549863 ")</f>
        <v xml:space="preserve">http://slimages.macys.com/is/image/MCY/20549863 </v>
      </c>
    </row>
    <row r="99" spans="1:14" x14ac:dyDescent="0.25">
      <c r="A99" s="21" t="s">
        <v>13007</v>
      </c>
      <c r="B99" s="22" t="s">
        <v>13008</v>
      </c>
      <c r="C99" s="2">
        <v>1</v>
      </c>
      <c r="D99" s="23">
        <v>23.29</v>
      </c>
      <c r="E99" s="3">
        <v>23.29</v>
      </c>
      <c r="F99" s="2" t="s">
        <v>17890</v>
      </c>
      <c r="G99" s="22" t="s">
        <v>19879</v>
      </c>
      <c r="H99" s="24" t="s">
        <v>19324</v>
      </c>
      <c r="I99" s="22" t="s">
        <v>19309</v>
      </c>
      <c r="J99" s="22" t="s">
        <v>19708</v>
      </c>
      <c r="K99" s="22" t="s">
        <v>19709</v>
      </c>
      <c r="L99" s="22"/>
      <c r="M99" s="22"/>
      <c r="N99" s="25" t="str">
        <f>HYPERLINK("http://slimages.macys.com/is/image/MCY/22407537 ")</f>
        <v xml:space="preserve">http://slimages.macys.com/is/image/MCY/22407537 </v>
      </c>
    </row>
    <row r="100" spans="1:14" ht="24.75" x14ac:dyDescent="0.25">
      <c r="A100" s="21" t="s">
        <v>1830</v>
      </c>
      <c r="B100" s="22" t="s">
        <v>1831</v>
      </c>
      <c r="C100" s="2">
        <v>1</v>
      </c>
      <c r="D100" s="23">
        <v>24.99</v>
      </c>
      <c r="E100" s="3">
        <v>24.99</v>
      </c>
      <c r="F100" s="2" t="s">
        <v>1832</v>
      </c>
      <c r="G100" s="22" t="s">
        <v>19351</v>
      </c>
      <c r="H100" s="24" t="s">
        <v>19907</v>
      </c>
      <c r="I100" s="22" t="s">
        <v>19309</v>
      </c>
      <c r="J100" s="22" t="s">
        <v>19454</v>
      </c>
      <c r="K100" s="22" t="s">
        <v>19524</v>
      </c>
      <c r="L100" s="22"/>
      <c r="M100" s="22"/>
      <c r="N100" s="25" t="str">
        <f>HYPERLINK("http://slimages.macys.com/is/image/MCY/21708647 ")</f>
        <v xml:space="preserve">http://slimages.macys.com/is/image/MCY/21708647 </v>
      </c>
    </row>
    <row r="101" spans="1:14" ht="24.75" x14ac:dyDescent="0.25">
      <c r="A101" s="21" t="s">
        <v>1833</v>
      </c>
      <c r="B101" s="22" t="s">
        <v>1834</v>
      </c>
      <c r="C101" s="2">
        <v>1</v>
      </c>
      <c r="D101" s="23">
        <v>24.99</v>
      </c>
      <c r="E101" s="3">
        <v>24.99</v>
      </c>
      <c r="F101" s="2" t="s">
        <v>7439</v>
      </c>
      <c r="G101" s="22"/>
      <c r="H101" s="24" t="s">
        <v>19316</v>
      </c>
      <c r="I101" s="22" t="s">
        <v>19309</v>
      </c>
      <c r="J101" s="22" t="s">
        <v>19519</v>
      </c>
      <c r="K101" s="22" t="s">
        <v>19834</v>
      </c>
      <c r="L101" s="22"/>
      <c r="M101" s="22"/>
      <c r="N101" s="25" t="str">
        <f>HYPERLINK("http://slimages.macys.com/is/image/MCY/20950702 ")</f>
        <v xml:space="preserve">http://slimages.macys.com/is/image/MCY/20950702 </v>
      </c>
    </row>
    <row r="102" spans="1:14" ht="24.75" x14ac:dyDescent="0.25">
      <c r="A102" s="21" t="s">
        <v>7419</v>
      </c>
      <c r="B102" s="22" t="s">
        <v>7420</v>
      </c>
      <c r="C102" s="2">
        <v>1</v>
      </c>
      <c r="D102" s="23">
        <v>18.989999999999998</v>
      </c>
      <c r="E102" s="3">
        <v>18.989999999999998</v>
      </c>
      <c r="F102" s="2" t="s">
        <v>19825</v>
      </c>
      <c r="G102" s="22" t="s">
        <v>19315</v>
      </c>
      <c r="H102" s="24" t="s">
        <v>19352</v>
      </c>
      <c r="I102" s="22" t="s">
        <v>19309</v>
      </c>
      <c r="J102" s="22" t="s">
        <v>19447</v>
      </c>
      <c r="K102" s="22" t="s">
        <v>19533</v>
      </c>
      <c r="L102" s="22"/>
      <c r="M102" s="22"/>
      <c r="N102" s="25" t="str">
        <f>HYPERLINK("http://slimages.macys.com/is/image/MCY/20930967 ")</f>
        <v xml:space="preserve">http://slimages.macys.com/is/image/MCY/20930967 </v>
      </c>
    </row>
    <row r="103" spans="1:14" ht="24.75" x14ac:dyDescent="0.25">
      <c r="A103" s="21" t="s">
        <v>1835</v>
      </c>
      <c r="B103" s="22" t="s">
        <v>1836</v>
      </c>
      <c r="C103" s="2">
        <v>1</v>
      </c>
      <c r="D103" s="23">
        <v>21.99</v>
      </c>
      <c r="E103" s="3">
        <v>21.99</v>
      </c>
      <c r="F103" s="2" t="s">
        <v>1837</v>
      </c>
      <c r="G103" s="22" t="s">
        <v>19342</v>
      </c>
      <c r="H103" s="24" t="s">
        <v>19334</v>
      </c>
      <c r="I103" s="22" t="s">
        <v>19309</v>
      </c>
      <c r="J103" s="22" t="s">
        <v>19595</v>
      </c>
      <c r="K103" s="22" t="s">
        <v>17917</v>
      </c>
      <c r="L103" s="22"/>
      <c r="M103" s="22"/>
      <c r="N103" s="25" t="str">
        <f>HYPERLINK("http://slimages.macys.com/is/image/MCY/21201600 ")</f>
        <v xml:space="preserve">http://slimages.macys.com/is/image/MCY/21201600 </v>
      </c>
    </row>
    <row r="104" spans="1:14" x14ac:dyDescent="0.25">
      <c r="A104" s="21" t="s">
        <v>19866</v>
      </c>
      <c r="B104" s="22" t="s">
        <v>19867</v>
      </c>
      <c r="C104" s="2">
        <v>1</v>
      </c>
      <c r="D104" s="23">
        <v>19.989999999999998</v>
      </c>
      <c r="E104" s="3">
        <v>19.989999999999998</v>
      </c>
      <c r="F104" s="2" t="s">
        <v>19860</v>
      </c>
      <c r="G104" s="22" t="s">
        <v>19307</v>
      </c>
      <c r="H104" s="24" t="s">
        <v>19395</v>
      </c>
      <c r="I104" s="22" t="s">
        <v>19309</v>
      </c>
      <c r="J104" s="22" t="s">
        <v>19310</v>
      </c>
      <c r="K104" s="22" t="s">
        <v>19433</v>
      </c>
      <c r="L104" s="22"/>
      <c r="M104" s="22"/>
      <c r="N104" s="25" t="str">
        <f>HYPERLINK("http://slimages.macys.com/is/image/MCY/21964983 ")</f>
        <v xml:space="preserve">http://slimages.macys.com/is/image/MCY/21964983 </v>
      </c>
    </row>
    <row r="105" spans="1:14" ht="24.75" x14ac:dyDescent="0.25">
      <c r="A105" s="21" t="s">
        <v>1838</v>
      </c>
      <c r="B105" s="22" t="s">
        <v>1839</v>
      </c>
      <c r="C105" s="2">
        <v>1</v>
      </c>
      <c r="D105" s="23">
        <v>10.99</v>
      </c>
      <c r="E105" s="3">
        <v>10.99</v>
      </c>
      <c r="F105" s="2" t="s">
        <v>1840</v>
      </c>
      <c r="G105" s="22" t="s">
        <v>19351</v>
      </c>
      <c r="H105" s="24" t="s">
        <v>19352</v>
      </c>
      <c r="I105" s="22" t="s">
        <v>19309</v>
      </c>
      <c r="J105" s="22" t="s">
        <v>19353</v>
      </c>
      <c r="K105" s="22" t="s">
        <v>19354</v>
      </c>
      <c r="L105" s="22"/>
      <c r="M105" s="22"/>
      <c r="N105" s="25" t="str">
        <f>HYPERLINK("http://slimages.macys.com/is/image/MCY/22400730 ")</f>
        <v xml:space="preserve">http://slimages.macys.com/is/image/MCY/22400730 </v>
      </c>
    </row>
    <row r="106" spans="1:14" ht="24.75" x14ac:dyDescent="0.25">
      <c r="A106" s="21" t="s">
        <v>11933</v>
      </c>
      <c r="B106" s="22" t="s">
        <v>13025</v>
      </c>
      <c r="C106" s="2">
        <v>1</v>
      </c>
      <c r="D106" s="23">
        <v>18.329999999999998</v>
      </c>
      <c r="E106" s="3">
        <v>18.329999999999998</v>
      </c>
      <c r="F106" s="2" t="s">
        <v>17951</v>
      </c>
      <c r="G106" s="22" t="s">
        <v>19342</v>
      </c>
      <c r="H106" s="24" t="s">
        <v>19392</v>
      </c>
      <c r="I106" s="22" t="s">
        <v>19309</v>
      </c>
      <c r="J106" s="22" t="s">
        <v>19514</v>
      </c>
      <c r="K106" s="22" t="s">
        <v>17948</v>
      </c>
      <c r="L106" s="22"/>
      <c r="M106" s="22"/>
      <c r="N106" s="25" t="str">
        <f>HYPERLINK("http://slimages.macys.com/is/image/MCY/21701118 ")</f>
        <v xml:space="preserve">http://slimages.macys.com/is/image/MCY/21701118 </v>
      </c>
    </row>
    <row r="107" spans="1:14" ht="24.75" x14ac:dyDescent="0.25">
      <c r="A107" s="21" t="s">
        <v>11937</v>
      </c>
      <c r="B107" s="22" t="s">
        <v>11938</v>
      </c>
      <c r="C107" s="2">
        <v>1</v>
      </c>
      <c r="D107" s="23">
        <v>18.329999999999998</v>
      </c>
      <c r="E107" s="3">
        <v>18.329999999999998</v>
      </c>
      <c r="F107" s="2" t="s">
        <v>11936</v>
      </c>
      <c r="G107" s="22" t="s">
        <v>19342</v>
      </c>
      <c r="H107" s="24" t="s">
        <v>19334</v>
      </c>
      <c r="I107" s="22" t="s">
        <v>19309</v>
      </c>
      <c r="J107" s="22" t="s">
        <v>19514</v>
      </c>
      <c r="K107" s="22" t="s">
        <v>17948</v>
      </c>
      <c r="L107" s="22"/>
      <c r="M107" s="22"/>
      <c r="N107" s="25" t="str">
        <f>HYPERLINK("http://slimages.macys.com/is/image/MCY/21701090 ")</f>
        <v xml:space="preserve">http://slimages.macys.com/is/image/MCY/21701090 </v>
      </c>
    </row>
    <row r="108" spans="1:14" x14ac:dyDescent="0.25">
      <c r="A108" s="21" t="s">
        <v>1841</v>
      </c>
      <c r="B108" s="22" t="s">
        <v>1842</v>
      </c>
      <c r="C108" s="2">
        <v>1</v>
      </c>
      <c r="D108" s="23">
        <v>18.329999999999998</v>
      </c>
      <c r="E108" s="3">
        <v>18.329999999999998</v>
      </c>
      <c r="F108" s="2" t="s">
        <v>17947</v>
      </c>
      <c r="G108" s="22" t="s">
        <v>19342</v>
      </c>
      <c r="H108" s="24" t="s">
        <v>19432</v>
      </c>
      <c r="I108" s="22" t="s">
        <v>19309</v>
      </c>
      <c r="J108" s="22" t="s">
        <v>19514</v>
      </c>
      <c r="K108" s="22" t="s">
        <v>17948</v>
      </c>
      <c r="L108" s="22"/>
      <c r="M108" s="22"/>
      <c r="N108" s="25" t="str">
        <f>HYPERLINK("http://slimages.macys.com/is/image/MCY/21701103 ")</f>
        <v xml:space="preserve">http://slimages.macys.com/is/image/MCY/21701103 </v>
      </c>
    </row>
    <row r="109" spans="1:14" x14ac:dyDescent="0.25">
      <c r="A109" s="21" t="s">
        <v>15285</v>
      </c>
      <c r="B109" s="22" t="s">
        <v>15286</v>
      </c>
      <c r="C109" s="2">
        <v>2</v>
      </c>
      <c r="D109" s="23">
        <v>18.329999999999998</v>
      </c>
      <c r="E109" s="3">
        <v>36.659999999999997</v>
      </c>
      <c r="F109" s="2" t="s">
        <v>15287</v>
      </c>
      <c r="G109" s="22" t="s">
        <v>19342</v>
      </c>
      <c r="H109" s="24" t="s">
        <v>19361</v>
      </c>
      <c r="I109" s="22" t="s">
        <v>19309</v>
      </c>
      <c r="J109" s="22" t="s">
        <v>19514</v>
      </c>
      <c r="K109" s="22" t="s">
        <v>17948</v>
      </c>
      <c r="L109" s="22"/>
      <c r="M109" s="22"/>
      <c r="N109" s="25" t="str">
        <f>HYPERLINK("http://slimages.macys.com/is/image/MCY/21701099 ")</f>
        <v xml:space="preserve">http://slimages.macys.com/is/image/MCY/21701099 </v>
      </c>
    </row>
    <row r="110" spans="1:14" x14ac:dyDescent="0.25">
      <c r="A110" s="21" t="s">
        <v>1843</v>
      </c>
      <c r="B110" s="22" t="s">
        <v>1844</v>
      </c>
      <c r="C110" s="2">
        <v>1</v>
      </c>
      <c r="D110" s="23">
        <v>18.329999999999998</v>
      </c>
      <c r="E110" s="3">
        <v>18.329999999999998</v>
      </c>
      <c r="F110" s="2" t="s">
        <v>17947</v>
      </c>
      <c r="G110" s="22" t="s">
        <v>19342</v>
      </c>
      <c r="H110" s="24" t="s">
        <v>19361</v>
      </c>
      <c r="I110" s="22" t="s">
        <v>19309</v>
      </c>
      <c r="J110" s="22" t="s">
        <v>19514</v>
      </c>
      <c r="K110" s="22" t="s">
        <v>17948</v>
      </c>
      <c r="L110" s="22"/>
      <c r="M110" s="22"/>
      <c r="N110" s="25" t="str">
        <f>HYPERLINK("http://slimages.macys.com/is/image/MCY/21701103 ")</f>
        <v xml:space="preserve">http://slimages.macys.com/is/image/MCY/21701103 </v>
      </c>
    </row>
    <row r="111" spans="1:14" x14ac:dyDescent="0.25">
      <c r="A111" s="21" t="s">
        <v>17945</v>
      </c>
      <c r="B111" s="22" t="s">
        <v>17946</v>
      </c>
      <c r="C111" s="2">
        <v>1</v>
      </c>
      <c r="D111" s="23">
        <v>18.329999999999998</v>
      </c>
      <c r="E111" s="3">
        <v>18.329999999999998</v>
      </c>
      <c r="F111" s="2" t="s">
        <v>17947</v>
      </c>
      <c r="G111" s="22" t="s">
        <v>19342</v>
      </c>
      <c r="H111" s="24" t="s">
        <v>19542</v>
      </c>
      <c r="I111" s="22" t="s">
        <v>19309</v>
      </c>
      <c r="J111" s="22" t="s">
        <v>19514</v>
      </c>
      <c r="K111" s="22" t="s">
        <v>17948</v>
      </c>
      <c r="L111" s="22"/>
      <c r="M111" s="22"/>
      <c r="N111" s="25" t="str">
        <f>HYPERLINK("http://slimages.macys.com/is/image/MCY/21701103 ")</f>
        <v xml:space="preserve">http://slimages.macys.com/is/image/MCY/21701103 </v>
      </c>
    </row>
    <row r="112" spans="1:14" ht="24.75" x14ac:dyDescent="0.25">
      <c r="A112" s="21" t="s">
        <v>4316</v>
      </c>
      <c r="B112" s="22" t="s">
        <v>4317</v>
      </c>
      <c r="C112" s="2">
        <v>1</v>
      </c>
      <c r="D112" s="23">
        <v>19.989999999999998</v>
      </c>
      <c r="E112" s="3">
        <v>19.989999999999998</v>
      </c>
      <c r="F112" s="2" t="s">
        <v>6665</v>
      </c>
      <c r="G112" s="22" t="s">
        <v>19467</v>
      </c>
      <c r="H112" s="24"/>
      <c r="I112" s="22" t="s">
        <v>19309</v>
      </c>
      <c r="J112" s="22" t="s">
        <v>19573</v>
      </c>
      <c r="K112" s="22" t="s">
        <v>19574</v>
      </c>
      <c r="L112" s="22"/>
      <c r="M112" s="22"/>
      <c r="N112" s="25" t="str">
        <f>HYPERLINK("http://slimages.macys.com/is/image/MCY/20757706 ")</f>
        <v xml:space="preserve">http://slimages.macys.com/is/image/MCY/20757706 </v>
      </c>
    </row>
    <row r="113" spans="1:14" ht="24.75" x14ac:dyDescent="0.25">
      <c r="A113" s="21" t="s">
        <v>10467</v>
      </c>
      <c r="B113" s="22" t="s">
        <v>10468</v>
      </c>
      <c r="C113" s="2">
        <v>1</v>
      </c>
      <c r="D113" s="23">
        <v>19.989999999999998</v>
      </c>
      <c r="E113" s="3">
        <v>19.989999999999998</v>
      </c>
      <c r="F113" s="2" t="s">
        <v>10469</v>
      </c>
      <c r="G113" s="22" t="s">
        <v>19585</v>
      </c>
      <c r="H113" s="24"/>
      <c r="I113" s="22" t="s">
        <v>19309</v>
      </c>
      <c r="J113" s="22" t="s">
        <v>19573</v>
      </c>
      <c r="K113" s="22" t="s">
        <v>19574</v>
      </c>
      <c r="L113" s="22"/>
      <c r="M113" s="22"/>
      <c r="N113" s="25" t="str">
        <f>HYPERLINK("http://slimages.macys.com/is/image/MCY/20757681 ")</f>
        <v xml:space="preserve">http://slimages.macys.com/is/image/MCY/20757681 </v>
      </c>
    </row>
    <row r="114" spans="1:14" ht="24.75" x14ac:dyDescent="0.25">
      <c r="A114" s="21" t="s">
        <v>1845</v>
      </c>
      <c r="B114" s="22" t="s">
        <v>1846</v>
      </c>
      <c r="C114" s="2">
        <v>1</v>
      </c>
      <c r="D114" s="23">
        <v>19.989999999999998</v>
      </c>
      <c r="E114" s="3">
        <v>19.989999999999998</v>
      </c>
      <c r="F114" s="2">
        <v>10014157800</v>
      </c>
      <c r="G114" s="22" t="s">
        <v>19467</v>
      </c>
      <c r="H114" s="24"/>
      <c r="I114" s="22" t="s">
        <v>19309</v>
      </c>
      <c r="J114" s="22" t="s">
        <v>19573</v>
      </c>
      <c r="K114" s="22" t="s">
        <v>19574</v>
      </c>
      <c r="L114" s="22"/>
      <c r="M114" s="22"/>
      <c r="N114" s="25" t="str">
        <f>HYPERLINK("http://slimages.macys.com/is/image/MCY/20757731 ")</f>
        <v xml:space="preserve">http://slimages.macys.com/is/image/MCY/20757731 </v>
      </c>
    </row>
    <row r="115" spans="1:14" ht="24.75" x14ac:dyDescent="0.25">
      <c r="A115" s="21" t="s">
        <v>1847</v>
      </c>
      <c r="B115" s="22" t="s">
        <v>1848</v>
      </c>
      <c r="C115" s="2">
        <v>1</v>
      </c>
      <c r="D115" s="23">
        <v>21.99</v>
      </c>
      <c r="E115" s="3">
        <v>21.99</v>
      </c>
      <c r="F115" s="2" t="s">
        <v>1849</v>
      </c>
      <c r="G115" s="22" t="s">
        <v>19674</v>
      </c>
      <c r="H115" s="24" t="s">
        <v>19797</v>
      </c>
      <c r="I115" s="22" t="s">
        <v>19309</v>
      </c>
      <c r="J115" s="22" t="s">
        <v>19353</v>
      </c>
      <c r="K115" s="22" t="s">
        <v>19354</v>
      </c>
      <c r="L115" s="22"/>
      <c r="M115" s="22"/>
      <c r="N115" s="25" t="str">
        <f>HYPERLINK("http://slimages.macys.com/is/image/MCY/1734180 ")</f>
        <v xml:space="preserve">http://slimages.macys.com/is/image/MCY/1734180 </v>
      </c>
    </row>
    <row r="116" spans="1:14" ht="24.75" x14ac:dyDescent="0.25">
      <c r="A116" s="21" t="s">
        <v>15309</v>
      </c>
      <c r="B116" s="22" t="s">
        <v>15310</v>
      </c>
      <c r="C116" s="2">
        <v>1</v>
      </c>
      <c r="D116" s="23">
        <v>18.989999999999998</v>
      </c>
      <c r="E116" s="3">
        <v>18.989999999999998</v>
      </c>
      <c r="F116" s="2" t="s">
        <v>15302</v>
      </c>
      <c r="G116" s="22" t="s">
        <v>19315</v>
      </c>
      <c r="H116" s="24" t="s">
        <v>19352</v>
      </c>
      <c r="I116" s="22" t="s">
        <v>19309</v>
      </c>
      <c r="J116" s="22" t="s">
        <v>19815</v>
      </c>
      <c r="K116" s="22" t="s">
        <v>19816</v>
      </c>
      <c r="L116" s="22"/>
      <c r="M116" s="22"/>
      <c r="N116" s="25" t="str">
        <f>HYPERLINK("http://slimages.macys.com/is/image/MCY/1107473 ")</f>
        <v xml:space="preserve">http://slimages.macys.com/is/image/MCY/1107473 </v>
      </c>
    </row>
    <row r="117" spans="1:14" ht="24.75" x14ac:dyDescent="0.25">
      <c r="A117" s="21" t="s">
        <v>11957</v>
      </c>
      <c r="B117" s="22" t="s">
        <v>11958</v>
      </c>
      <c r="C117" s="2">
        <v>1</v>
      </c>
      <c r="D117" s="23">
        <v>16.989999999999998</v>
      </c>
      <c r="E117" s="3">
        <v>16.989999999999998</v>
      </c>
      <c r="F117" s="2" t="s">
        <v>13031</v>
      </c>
      <c r="G117" s="22" t="s">
        <v>19351</v>
      </c>
      <c r="H117" s="24" t="s">
        <v>19770</v>
      </c>
      <c r="I117" s="22" t="s">
        <v>19309</v>
      </c>
      <c r="J117" s="22" t="s">
        <v>19573</v>
      </c>
      <c r="K117" s="22" t="s">
        <v>19574</v>
      </c>
      <c r="L117" s="22"/>
      <c r="M117" s="22"/>
      <c r="N117" s="25" t="str">
        <f>HYPERLINK("http://slimages.macys.com/is/image/MCY/1679024 ")</f>
        <v xml:space="preserve">http://slimages.macys.com/is/image/MCY/1679024 </v>
      </c>
    </row>
    <row r="118" spans="1:14" ht="24.75" x14ac:dyDescent="0.25">
      <c r="A118" s="21" t="s">
        <v>1850</v>
      </c>
      <c r="B118" s="22" t="s">
        <v>1851</v>
      </c>
      <c r="C118" s="2">
        <v>1</v>
      </c>
      <c r="D118" s="23">
        <v>16.989999999999998</v>
      </c>
      <c r="E118" s="3">
        <v>16.989999999999998</v>
      </c>
      <c r="F118" s="2" t="s">
        <v>13031</v>
      </c>
      <c r="G118" s="22" t="s">
        <v>19351</v>
      </c>
      <c r="H118" s="24" t="s">
        <v>19384</v>
      </c>
      <c r="I118" s="22" t="s">
        <v>19309</v>
      </c>
      <c r="J118" s="22" t="s">
        <v>19573</v>
      </c>
      <c r="K118" s="22" t="s">
        <v>19574</v>
      </c>
      <c r="L118" s="22"/>
      <c r="M118" s="22"/>
      <c r="N118" s="25" t="str">
        <f>HYPERLINK("http://slimages.macys.com/is/image/MCY/1679025 ")</f>
        <v xml:space="preserve">http://slimages.macys.com/is/image/MCY/1679025 </v>
      </c>
    </row>
    <row r="119" spans="1:14" ht="24.75" x14ac:dyDescent="0.25">
      <c r="A119" s="21" t="s">
        <v>11530</v>
      </c>
      <c r="B119" s="22" t="s">
        <v>11531</v>
      </c>
      <c r="C119" s="2">
        <v>1</v>
      </c>
      <c r="D119" s="23">
        <v>16.989999999999998</v>
      </c>
      <c r="E119" s="3">
        <v>16.989999999999998</v>
      </c>
      <c r="F119" s="2">
        <v>10015239400</v>
      </c>
      <c r="G119" s="22" t="s">
        <v>19351</v>
      </c>
      <c r="H119" s="24"/>
      <c r="I119" s="22" t="s">
        <v>19309</v>
      </c>
      <c r="J119" s="22" t="s">
        <v>19573</v>
      </c>
      <c r="K119" s="22" t="s">
        <v>19574</v>
      </c>
      <c r="L119" s="22"/>
      <c r="M119" s="22"/>
      <c r="N119" s="25" t="str">
        <f>HYPERLINK("http://slimages.macys.com/is/image/MCY/1712799 ")</f>
        <v xml:space="preserve">http://slimages.macys.com/is/image/MCY/1712799 </v>
      </c>
    </row>
    <row r="120" spans="1:14" ht="24.75" x14ac:dyDescent="0.25">
      <c r="A120" s="21" t="s">
        <v>1852</v>
      </c>
      <c r="B120" s="22" t="s">
        <v>1853</v>
      </c>
      <c r="C120" s="2">
        <v>1</v>
      </c>
      <c r="D120" s="23">
        <v>16.989999999999998</v>
      </c>
      <c r="E120" s="3">
        <v>16.989999999999998</v>
      </c>
      <c r="F120" s="2">
        <v>10015239300</v>
      </c>
      <c r="G120" s="22" t="s">
        <v>19315</v>
      </c>
      <c r="H120" s="24" t="s">
        <v>19384</v>
      </c>
      <c r="I120" s="22" t="s">
        <v>19309</v>
      </c>
      <c r="J120" s="22" t="s">
        <v>19573</v>
      </c>
      <c r="K120" s="22" t="s">
        <v>19574</v>
      </c>
      <c r="L120" s="22"/>
      <c r="M120" s="22"/>
      <c r="N120" s="25" t="str">
        <f>HYPERLINK("http://slimages.macys.com/is/image/MCY/1699968 ")</f>
        <v xml:space="preserve">http://slimages.macys.com/is/image/MCY/1699968 </v>
      </c>
    </row>
    <row r="121" spans="1:14" x14ac:dyDescent="0.25">
      <c r="A121" s="21" t="s">
        <v>1854</v>
      </c>
      <c r="B121" s="22" t="s">
        <v>1855</v>
      </c>
      <c r="C121" s="2">
        <v>1</v>
      </c>
      <c r="D121" s="23">
        <v>22.99</v>
      </c>
      <c r="E121" s="3">
        <v>22.99</v>
      </c>
      <c r="F121" s="2" t="s">
        <v>1856</v>
      </c>
      <c r="G121" s="22" t="s">
        <v>19342</v>
      </c>
      <c r="H121" s="24" t="s">
        <v>19997</v>
      </c>
      <c r="I121" s="22" t="s">
        <v>19309</v>
      </c>
      <c r="J121" s="22" t="s">
        <v>19696</v>
      </c>
      <c r="K121" s="22" t="s">
        <v>19697</v>
      </c>
      <c r="L121" s="22"/>
      <c r="M121" s="22"/>
      <c r="N121" s="25" t="str">
        <f>HYPERLINK("http://slimages.macys.com/is/image/MCY/20662516 ")</f>
        <v xml:space="preserve">http://slimages.macys.com/is/image/MCY/20662516 </v>
      </c>
    </row>
    <row r="122" spans="1:14" ht="24.75" x14ac:dyDescent="0.25">
      <c r="A122" s="21" t="s">
        <v>1857</v>
      </c>
      <c r="B122" s="22" t="s">
        <v>1858</v>
      </c>
      <c r="C122" s="2">
        <v>1</v>
      </c>
      <c r="D122" s="23">
        <v>19.11</v>
      </c>
      <c r="E122" s="3">
        <v>19.11</v>
      </c>
      <c r="F122" s="2" t="s">
        <v>1859</v>
      </c>
      <c r="G122" s="22" t="s">
        <v>19404</v>
      </c>
      <c r="H122" s="24" t="s">
        <v>19478</v>
      </c>
      <c r="I122" s="22" t="s">
        <v>19309</v>
      </c>
      <c r="J122" s="22" t="s">
        <v>19602</v>
      </c>
      <c r="K122" s="22" t="s">
        <v>20041</v>
      </c>
      <c r="L122" s="22"/>
      <c r="M122" s="22"/>
      <c r="N122" s="25" t="str">
        <f>HYPERLINK("http://slimages.macys.com/is/image/MCY/22406165 ")</f>
        <v xml:space="preserve">http://slimages.macys.com/is/image/MCY/22406165 </v>
      </c>
    </row>
    <row r="123" spans="1:14" ht="24.75" x14ac:dyDescent="0.25">
      <c r="A123" s="21" t="s">
        <v>13032</v>
      </c>
      <c r="B123" s="22" t="s">
        <v>13033</v>
      </c>
      <c r="C123" s="2">
        <v>2</v>
      </c>
      <c r="D123" s="23">
        <v>18.989999999999998</v>
      </c>
      <c r="E123" s="3">
        <v>37.979999999999997</v>
      </c>
      <c r="F123" s="2">
        <v>10015242300</v>
      </c>
      <c r="G123" s="22" t="s">
        <v>19518</v>
      </c>
      <c r="H123" s="24" t="s">
        <v>19384</v>
      </c>
      <c r="I123" s="22" t="s">
        <v>19309</v>
      </c>
      <c r="J123" s="22" t="s">
        <v>19573</v>
      </c>
      <c r="K123" s="22" t="s">
        <v>19574</v>
      </c>
      <c r="L123" s="22"/>
      <c r="M123" s="22"/>
      <c r="N123" s="25" t="str">
        <f t="shared" ref="N123:N131" si="0">HYPERLINK("http://slimages.macys.com/is/image/MCY/1322715 ")</f>
        <v xml:space="preserve">http://slimages.macys.com/is/image/MCY/1322715 </v>
      </c>
    </row>
    <row r="124" spans="1:14" ht="24.75" x14ac:dyDescent="0.25">
      <c r="A124" s="21" t="s">
        <v>19919</v>
      </c>
      <c r="B124" s="22" t="s">
        <v>19920</v>
      </c>
      <c r="C124" s="2">
        <v>2</v>
      </c>
      <c r="D124" s="23">
        <v>18.989999999999998</v>
      </c>
      <c r="E124" s="3">
        <v>37.979999999999997</v>
      </c>
      <c r="F124" s="2">
        <v>10015242300</v>
      </c>
      <c r="G124" s="22" t="s">
        <v>19518</v>
      </c>
      <c r="H124" s="24"/>
      <c r="I124" s="22" t="s">
        <v>19309</v>
      </c>
      <c r="J124" s="22" t="s">
        <v>19573</v>
      </c>
      <c r="K124" s="22" t="s">
        <v>19574</v>
      </c>
      <c r="L124" s="22"/>
      <c r="M124" s="22"/>
      <c r="N124" s="25" t="str">
        <f t="shared" si="0"/>
        <v xml:space="preserve">http://slimages.macys.com/is/image/MCY/1322715 </v>
      </c>
    </row>
    <row r="125" spans="1:14" ht="24.75" x14ac:dyDescent="0.25">
      <c r="A125" s="21" t="s">
        <v>19925</v>
      </c>
      <c r="B125" s="22" t="s">
        <v>19926</v>
      </c>
      <c r="C125" s="2">
        <v>2</v>
      </c>
      <c r="D125" s="23">
        <v>18.989999999999998</v>
      </c>
      <c r="E125" s="3">
        <v>37.979999999999997</v>
      </c>
      <c r="F125" s="2" t="s">
        <v>19914</v>
      </c>
      <c r="G125" s="22" t="s">
        <v>19713</v>
      </c>
      <c r="H125" s="24" t="s">
        <v>19538</v>
      </c>
      <c r="I125" s="22" t="s">
        <v>19309</v>
      </c>
      <c r="J125" s="22" t="s">
        <v>19573</v>
      </c>
      <c r="K125" s="22" t="s">
        <v>19574</v>
      </c>
      <c r="L125" s="22"/>
      <c r="M125" s="22"/>
      <c r="N125" s="25" t="str">
        <f t="shared" si="0"/>
        <v xml:space="preserve">http://slimages.macys.com/is/image/MCY/1322715 </v>
      </c>
    </row>
    <row r="126" spans="1:14" ht="24.75" x14ac:dyDescent="0.25">
      <c r="A126" s="21" t="s">
        <v>19915</v>
      </c>
      <c r="B126" s="22" t="s">
        <v>19916</v>
      </c>
      <c r="C126" s="2">
        <v>2</v>
      </c>
      <c r="D126" s="23">
        <v>18.989999999999998</v>
      </c>
      <c r="E126" s="3">
        <v>37.979999999999997</v>
      </c>
      <c r="F126" s="2" t="s">
        <v>19914</v>
      </c>
      <c r="G126" s="22" t="s">
        <v>19713</v>
      </c>
      <c r="H126" s="24"/>
      <c r="I126" s="22" t="s">
        <v>19309</v>
      </c>
      <c r="J126" s="22" t="s">
        <v>19573</v>
      </c>
      <c r="K126" s="22" t="s">
        <v>19574</v>
      </c>
      <c r="L126" s="22"/>
      <c r="M126" s="22"/>
      <c r="N126" s="25" t="str">
        <f t="shared" si="0"/>
        <v xml:space="preserve">http://slimages.macys.com/is/image/MCY/1322715 </v>
      </c>
    </row>
    <row r="127" spans="1:14" ht="24.75" x14ac:dyDescent="0.25">
      <c r="A127" s="21" t="s">
        <v>19912</v>
      </c>
      <c r="B127" s="22" t="s">
        <v>19913</v>
      </c>
      <c r="C127" s="2">
        <v>1</v>
      </c>
      <c r="D127" s="23">
        <v>18.989999999999998</v>
      </c>
      <c r="E127" s="3">
        <v>18.989999999999998</v>
      </c>
      <c r="F127" s="2" t="s">
        <v>19914</v>
      </c>
      <c r="G127" s="22" t="s">
        <v>19713</v>
      </c>
      <c r="H127" s="24" t="s">
        <v>19384</v>
      </c>
      <c r="I127" s="22" t="s">
        <v>19309</v>
      </c>
      <c r="J127" s="22" t="s">
        <v>19573</v>
      </c>
      <c r="K127" s="22" t="s">
        <v>19574</v>
      </c>
      <c r="L127" s="22"/>
      <c r="M127" s="22"/>
      <c r="N127" s="25" t="str">
        <f t="shared" si="0"/>
        <v xml:space="preserve">http://slimages.macys.com/is/image/MCY/1322715 </v>
      </c>
    </row>
    <row r="128" spans="1:14" ht="24.75" x14ac:dyDescent="0.25">
      <c r="A128" s="21" t="s">
        <v>19921</v>
      </c>
      <c r="B128" s="22" t="s">
        <v>19922</v>
      </c>
      <c r="C128" s="2">
        <v>2</v>
      </c>
      <c r="D128" s="23">
        <v>18.989999999999998</v>
      </c>
      <c r="E128" s="3">
        <v>37.979999999999997</v>
      </c>
      <c r="F128" s="2">
        <v>10015242300</v>
      </c>
      <c r="G128" s="22" t="s">
        <v>19518</v>
      </c>
      <c r="H128" s="24" t="s">
        <v>19538</v>
      </c>
      <c r="I128" s="22" t="s">
        <v>19309</v>
      </c>
      <c r="J128" s="22" t="s">
        <v>19573</v>
      </c>
      <c r="K128" s="22" t="s">
        <v>19574</v>
      </c>
      <c r="L128" s="22"/>
      <c r="M128" s="22"/>
      <c r="N128" s="25" t="str">
        <f t="shared" si="0"/>
        <v xml:space="preserve">http://slimages.macys.com/is/image/MCY/1322715 </v>
      </c>
    </row>
    <row r="129" spans="1:14" ht="24.75" x14ac:dyDescent="0.25">
      <c r="A129" s="21" t="s">
        <v>19917</v>
      </c>
      <c r="B129" s="22" t="s">
        <v>19918</v>
      </c>
      <c r="C129" s="2">
        <v>2</v>
      </c>
      <c r="D129" s="23">
        <v>18.989999999999998</v>
      </c>
      <c r="E129" s="3">
        <v>37.979999999999997</v>
      </c>
      <c r="F129" s="2">
        <v>10015242200</v>
      </c>
      <c r="G129" s="22" t="s">
        <v>19315</v>
      </c>
      <c r="H129" s="24"/>
      <c r="I129" s="22" t="s">
        <v>19309</v>
      </c>
      <c r="J129" s="22" t="s">
        <v>19573</v>
      </c>
      <c r="K129" s="22" t="s">
        <v>19574</v>
      </c>
      <c r="L129" s="22"/>
      <c r="M129" s="22"/>
      <c r="N129" s="25" t="str">
        <f t="shared" si="0"/>
        <v xml:space="preserve">http://slimages.macys.com/is/image/MCY/1322715 </v>
      </c>
    </row>
    <row r="130" spans="1:14" ht="24.75" x14ac:dyDescent="0.25">
      <c r="A130" s="21" t="s">
        <v>19927</v>
      </c>
      <c r="B130" s="22" t="s">
        <v>19928</v>
      </c>
      <c r="C130" s="2">
        <v>1</v>
      </c>
      <c r="D130" s="23">
        <v>18.989999999999998</v>
      </c>
      <c r="E130" s="3">
        <v>18.989999999999998</v>
      </c>
      <c r="F130" s="2">
        <v>10015242200</v>
      </c>
      <c r="G130" s="22" t="s">
        <v>19315</v>
      </c>
      <c r="H130" s="24" t="s">
        <v>19384</v>
      </c>
      <c r="I130" s="22" t="s">
        <v>19309</v>
      </c>
      <c r="J130" s="22" t="s">
        <v>19573</v>
      </c>
      <c r="K130" s="22" t="s">
        <v>19574</v>
      </c>
      <c r="L130" s="22"/>
      <c r="M130" s="22"/>
      <c r="N130" s="25" t="str">
        <f t="shared" si="0"/>
        <v xml:space="preserve">http://slimages.macys.com/is/image/MCY/1322715 </v>
      </c>
    </row>
    <row r="131" spans="1:14" ht="24.75" x14ac:dyDescent="0.25">
      <c r="A131" s="21" t="s">
        <v>17969</v>
      </c>
      <c r="B131" s="22" t="s">
        <v>17970</v>
      </c>
      <c r="C131" s="2">
        <v>1</v>
      </c>
      <c r="D131" s="23">
        <v>18.989999999999998</v>
      </c>
      <c r="E131" s="3">
        <v>18.989999999999998</v>
      </c>
      <c r="F131" s="2">
        <v>10015242200</v>
      </c>
      <c r="G131" s="22" t="s">
        <v>19315</v>
      </c>
      <c r="H131" s="24" t="s">
        <v>19538</v>
      </c>
      <c r="I131" s="22" t="s">
        <v>19309</v>
      </c>
      <c r="J131" s="22" t="s">
        <v>19573</v>
      </c>
      <c r="K131" s="22" t="s">
        <v>19574</v>
      </c>
      <c r="L131" s="22"/>
      <c r="M131" s="22"/>
      <c r="N131" s="25" t="str">
        <f t="shared" si="0"/>
        <v xml:space="preserve">http://slimages.macys.com/is/image/MCY/1322715 </v>
      </c>
    </row>
    <row r="132" spans="1:14" ht="24.75" x14ac:dyDescent="0.25">
      <c r="A132" s="21" t="s">
        <v>1860</v>
      </c>
      <c r="B132" s="22" t="s">
        <v>1861</v>
      </c>
      <c r="C132" s="2">
        <v>1</v>
      </c>
      <c r="D132" s="23">
        <v>24.99</v>
      </c>
      <c r="E132" s="3">
        <v>24.99</v>
      </c>
      <c r="F132" s="2" t="s">
        <v>15335</v>
      </c>
      <c r="G132" s="22" t="s">
        <v>19338</v>
      </c>
      <c r="H132" s="24" t="s">
        <v>19392</v>
      </c>
      <c r="I132" s="22" t="s">
        <v>19309</v>
      </c>
      <c r="J132" s="22" t="s">
        <v>19454</v>
      </c>
      <c r="K132" s="22" t="s">
        <v>19524</v>
      </c>
      <c r="L132" s="22"/>
      <c r="M132" s="22"/>
      <c r="N132" s="25" t="str">
        <f>HYPERLINK("http://slimages.macys.com/is/image/MCY/1473054 ")</f>
        <v xml:space="preserve">http://slimages.macys.com/is/image/MCY/1473054 </v>
      </c>
    </row>
    <row r="133" spans="1:14" x14ac:dyDescent="0.25">
      <c r="A133" s="21" t="s">
        <v>4345</v>
      </c>
      <c r="B133" s="22" t="s">
        <v>4346</v>
      </c>
      <c r="C133" s="2">
        <v>1</v>
      </c>
      <c r="D133" s="23">
        <v>17.100000000000001</v>
      </c>
      <c r="E133" s="3">
        <v>17.100000000000001</v>
      </c>
      <c r="F133" s="2" t="s">
        <v>7470</v>
      </c>
      <c r="G133" s="22"/>
      <c r="H133" s="24" t="s">
        <v>20159</v>
      </c>
      <c r="I133" s="22" t="s">
        <v>19309</v>
      </c>
      <c r="J133" s="22" t="s">
        <v>19708</v>
      </c>
      <c r="K133" s="22" t="s">
        <v>19709</v>
      </c>
      <c r="L133" s="22"/>
      <c r="M133" s="22"/>
      <c r="N133" s="25" t="str">
        <f>HYPERLINK("http://slimages.macys.com/is/image/MCY/19060422 ")</f>
        <v xml:space="preserve">http://slimages.macys.com/is/image/MCY/19060422 </v>
      </c>
    </row>
    <row r="134" spans="1:14" x14ac:dyDescent="0.25">
      <c r="A134" s="21" t="s">
        <v>1862</v>
      </c>
      <c r="B134" s="22" t="s">
        <v>1863</v>
      </c>
      <c r="C134" s="2">
        <v>1</v>
      </c>
      <c r="D134" s="23">
        <v>17.100000000000001</v>
      </c>
      <c r="E134" s="3">
        <v>17.100000000000001</v>
      </c>
      <c r="F134" s="2" t="s">
        <v>1864</v>
      </c>
      <c r="G134" s="22"/>
      <c r="H134" s="24" t="s">
        <v>19416</v>
      </c>
      <c r="I134" s="22" t="s">
        <v>19309</v>
      </c>
      <c r="J134" s="22" t="s">
        <v>19708</v>
      </c>
      <c r="K134" s="22" t="s">
        <v>19709</v>
      </c>
      <c r="L134" s="22"/>
      <c r="M134" s="22"/>
      <c r="N134" s="25" t="str">
        <f>HYPERLINK("http://slimages.macys.com/is/image/MCY/17249092 ")</f>
        <v xml:space="preserve">http://slimages.macys.com/is/image/MCY/17249092 </v>
      </c>
    </row>
    <row r="135" spans="1:14" ht="24.75" x14ac:dyDescent="0.25">
      <c r="A135" s="21" t="s">
        <v>1865</v>
      </c>
      <c r="B135" s="22" t="s">
        <v>1866</v>
      </c>
      <c r="C135" s="2">
        <v>1</v>
      </c>
      <c r="D135" s="23">
        <v>17.989999999999998</v>
      </c>
      <c r="E135" s="3">
        <v>17.989999999999998</v>
      </c>
      <c r="F135" s="2" t="s">
        <v>6678</v>
      </c>
      <c r="G135" s="22"/>
      <c r="H135" s="24" t="s">
        <v>19364</v>
      </c>
      <c r="I135" s="22" t="s">
        <v>19309</v>
      </c>
      <c r="J135" s="22" t="s">
        <v>19565</v>
      </c>
      <c r="K135" s="22" t="s">
        <v>6679</v>
      </c>
      <c r="L135" s="22" t="s">
        <v>19319</v>
      </c>
      <c r="M135" s="22" t="s">
        <v>19764</v>
      </c>
      <c r="N135" s="25" t="str">
        <f>HYPERLINK("http://slimages.macys.com/is/image/MCY/14538837 ")</f>
        <v xml:space="preserve">http://slimages.macys.com/is/image/MCY/14538837 </v>
      </c>
    </row>
    <row r="136" spans="1:14" ht="24.75" x14ac:dyDescent="0.25">
      <c r="A136" s="21" t="s">
        <v>1867</v>
      </c>
      <c r="B136" s="22" t="s">
        <v>1868</v>
      </c>
      <c r="C136" s="2">
        <v>1</v>
      </c>
      <c r="D136" s="23">
        <v>15.99</v>
      </c>
      <c r="E136" s="3">
        <v>15.99</v>
      </c>
      <c r="F136" s="2" t="s">
        <v>18010</v>
      </c>
      <c r="G136" s="22" t="s">
        <v>19477</v>
      </c>
      <c r="H136" s="24" t="s">
        <v>19770</v>
      </c>
      <c r="I136" s="22" t="s">
        <v>19309</v>
      </c>
      <c r="J136" s="22" t="s">
        <v>19573</v>
      </c>
      <c r="K136" s="22" t="s">
        <v>19574</v>
      </c>
      <c r="L136" s="22"/>
      <c r="M136" s="22"/>
      <c r="N136" s="25" t="str">
        <f>HYPERLINK("http://slimages.macys.com/is/image/MCY/1312560 ")</f>
        <v xml:space="preserve">http://slimages.macys.com/is/image/MCY/1312560 </v>
      </c>
    </row>
    <row r="137" spans="1:14" ht="24.75" x14ac:dyDescent="0.25">
      <c r="A137" s="21" t="s">
        <v>15914</v>
      </c>
      <c r="B137" s="22" t="s">
        <v>15915</v>
      </c>
      <c r="C137" s="2">
        <v>1</v>
      </c>
      <c r="D137" s="23">
        <v>15.99</v>
      </c>
      <c r="E137" s="3">
        <v>15.99</v>
      </c>
      <c r="F137" s="2" t="s">
        <v>15916</v>
      </c>
      <c r="G137" s="22" t="s">
        <v>19670</v>
      </c>
      <c r="H137" s="24" t="s">
        <v>19770</v>
      </c>
      <c r="I137" s="22" t="s">
        <v>19309</v>
      </c>
      <c r="J137" s="22" t="s">
        <v>19573</v>
      </c>
      <c r="K137" s="22" t="s">
        <v>19574</v>
      </c>
      <c r="L137" s="22"/>
      <c r="M137" s="22"/>
      <c r="N137" s="25" t="str">
        <f>HYPERLINK("http://slimages.macys.com/is/image/MCY/20757735 ")</f>
        <v xml:space="preserve">http://slimages.macys.com/is/image/MCY/20757735 </v>
      </c>
    </row>
    <row r="138" spans="1:14" ht="24.75" x14ac:dyDescent="0.25">
      <c r="A138" s="21" t="s">
        <v>18022</v>
      </c>
      <c r="B138" s="22" t="s">
        <v>18023</v>
      </c>
      <c r="C138" s="2">
        <v>1</v>
      </c>
      <c r="D138" s="23">
        <v>21.99</v>
      </c>
      <c r="E138" s="3">
        <v>21.99</v>
      </c>
      <c r="F138" s="2" t="s">
        <v>18024</v>
      </c>
      <c r="G138" s="22" t="s">
        <v>19342</v>
      </c>
      <c r="H138" s="24"/>
      <c r="I138" s="22" t="s">
        <v>19309</v>
      </c>
      <c r="J138" s="22" t="s">
        <v>19696</v>
      </c>
      <c r="K138" s="22" t="s">
        <v>19965</v>
      </c>
      <c r="L138" s="22"/>
      <c r="M138" s="22"/>
      <c r="N138" s="25" t="str">
        <f>HYPERLINK("http://slimages.macys.com/is/image/MCY/21708519 ")</f>
        <v xml:space="preserve">http://slimages.macys.com/is/image/MCY/21708519 </v>
      </c>
    </row>
    <row r="139" spans="1:14" ht="24.75" x14ac:dyDescent="0.25">
      <c r="A139" s="21" t="s">
        <v>1869</v>
      </c>
      <c r="B139" s="22" t="s">
        <v>1870</v>
      </c>
      <c r="C139" s="2">
        <v>1</v>
      </c>
      <c r="D139" s="23">
        <v>19.989999999999998</v>
      </c>
      <c r="E139" s="3">
        <v>19.989999999999998</v>
      </c>
      <c r="F139" s="2" t="s">
        <v>10484</v>
      </c>
      <c r="G139" s="22" t="s">
        <v>19431</v>
      </c>
      <c r="H139" s="24"/>
      <c r="I139" s="22" t="s">
        <v>19309</v>
      </c>
      <c r="J139" s="22" t="s">
        <v>19573</v>
      </c>
      <c r="K139" s="22" t="s">
        <v>19574</v>
      </c>
      <c r="L139" s="22"/>
      <c r="M139" s="22"/>
      <c r="N139" s="25" t="str">
        <f>HYPERLINK("http://slimages.macys.com/is/image/MCY/20757745 ")</f>
        <v xml:space="preserve">http://slimages.macys.com/is/image/MCY/20757745 </v>
      </c>
    </row>
    <row r="140" spans="1:14" x14ac:dyDescent="0.25">
      <c r="A140" s="21" t="s">
        <v>1871</v>
      </c>
      <c r="B140" s="22" t="s">
        <v>1872</v>
      </c>
      <c r="C140" s="2">
        <v>1</v>
      </c>
      <c r="D140" s="23">
        <v>19.989999999999998</v>
      </c>
      <c r="E140" s="3">
        <v>19.989999999999998</v>
      </c>
      <c r="F140" s="2" t="s">
        <v>1873</v>
      </c>
      <c r="G140" s="22" t="s">
        <v>19333</v>
      </c>
      <c r="H140" s="24"/>
      <c r="I140" s="22" t="s">
        <v>19309</v>
      </c>
      <c r="J140" s="22" t="s">
        <v>19696</v>
      </c>
      <c r="K140" s="22" t="s">
        <v>15978</v>
      </c>
      <c r="L140" s="22"/>
      <c r="M140" s="22"/>
      <c r="N140" s="25" t="str">
        <f>HYPERLINK("http://slimages.macys.com/is/image/MCY/20291053 ")</f>
        <v xml:space="preserve">http://slimages.macys.com/is/image/MCY/20291053 </v>
      </c>
    </row>
    <row r="141" spans="1:14" x14ac:dyDescent="0.25">
      <c r="A141" s="21" t="s">
        <v>15370</v>
      </c>
      <c r="B141" s="22" t="s">
        <v>15371</v>
      </c>
      <c r="C141" s="2">
        <v>2</v>
      </c>
      <c r="D141" s="23">
        <v>16.989999999999998</v>
      </c>
      <c r="E141" s="3">
        <v>33.979999999999997</v>
      </c>
      <c r="F141" s="2" t="s">
        <v>20002</v>
      </c>
      <c r="G141" s="22" t="s">
        <v>19315</v>
      </c>
      <c r="H141" s="24" t="s">
        <v>19352</v>
      </c>
      <c r="I141" s="22" t="s">
        <v>19309</v>
      </c>
      <c r="J141" s="22" t="s">
        <v>19849</v>
      </c>
      <c r="K141" s="22" t="s">
        <v>19850</v>
      </c>
      <c r="L141" s="22"/>
      <c r="M141" s="22"/>
      <c r="N141" s="25" t="str">
        <f>HYPERLINK("http://slimages.macys.com/is/image/MCY/20549392 ")</f>
        <v xml:space="preserve">http://slimages.macys.com/is/image/MCY/20549392 </v>
      </c>
    </row>
    <row r="142" spans="1:14" x14ac:dyDescent="0.25">
      <c r="A142" s="21" t="s">
        <v>18055</v>
      </c>
      <c r="B142" s="22" t="s">
        <v>18056</v>
      </c>
      <c r="C142" s="2">
        <v>1</v>
      </c>
      <c r="D142" s="23">
        <v>16.989999999999998</v>
      </c>
      <c r="E142" s="3">
        <v>16.989999999999998</v>
      </c>
      <c r="F142" s="2" t="s">
        <v>20002</v>
      </c>
      <c r="G142" s="22" t="s">
        <v>19315</v>
      </c>
      <c r="H142" s="24" t="s">
        <v>19797</v>
      </c>
      <c r="I142" s="22" t="s">
        <v>19309</v>
      </c>
      <c r="J142" s="22" t="s">
        <v>19849</v>
      </c>
      <c r="K142" s="22" t="s">
        <v>19850</v>
      </c>
      <c r="L142" s="22"/>
      <c r="M142" s="22"/>
      <c r="N142" s="25" t="str">
        <f>HYPERLINK("http://slimages.macys.com/is/image/MCY/20549392 ")</f>
        <v xml:space="preserve">http://slimages.macys.com/is/image/MCY/20549392 </v>
      </c>
    </row>
    <row r="143" spans="1:14" x14ac:dyDescent="0.25">
      <c r="A143" s="21" t="s">
        <v>20003</v>
      </c>
      <c r="B143" s="22" t="s">
        <v>20004</v>
      </c>
      <c r="C143" s="2">
        <v>1</v>
      </c>
      <c r="D143" s="23">
        <v>16.989999999999998</v>
      </c>
      <c r="E143" s="3">
        <v>16.989999999999998</v>
      </c>
      <c r="F143" s="2" t="s">
        <v>20002</v>
      </c>
      <c r="G143" s="22" t="s">
        <v>19674</v>
      </c>
      <c r="H143" s="24" t="s">
        <v>19364</v>
      </c>
      <c r="I143" s="22" t="s">
        <v>19309</v>
      </c>
      <c r="J143" s="22" t="s">
        <v>19849</v>
      </c>
      <c r="K143" s="22" t="s">
        <v>19850</v>
      </c>
      <c r="L143" s="22"/>
      <c r="M143" s="22"/>
      <c r="N143" s="25" t="str">
        <f>HYPERLINK("http://slimages.macys.com/is/image/MCY/20549392 ")</f>
        <v xml:space="preserve">http://slimages.macys.com/is/image/MCY/20549392 </v>
      </c>
    </row>
    <row r="144" spans="1:14" x14ac:dyDescent="0.25">
      <c r="A144" s="21" t="s">
        <v>6694</v>
      </c>
      <c r="B144" s="22" t="s">
        <v>6695</v>
      </c>
      <c r="C144" s="2">
        <v>1</v>
      </c>
      <c r="D144" s="23">
        <v>24.99</v>
      </c>
      <c r="E144" s="3">
        <v>24.99</v>
      </c>
      <c r="F144" s="2" t="s">
        <v>6696</v>
      </c>
      <c r="G144" s="22" t="s">
        <v>19467</v>
      </c>
      <c r="H144" s="24" t="s">
        <v>19352</v>
      </c>
      <c r="I144" s="22" t="s">
        <v>19309</v>
      </c>
      <c r="J144" s="22" t="s">
        <v>19849</v>
      </c>
      <c r="K144" s="22" t="s">
        <v>19850</v>
      </c>
      <c r="L144" s="22"/>
      <c r="M144" s="22"/>
      <c r="N144" s="25" t="str">
        <f>HYPERLINK("http://slimages.macys.com/is/image/MCY/20786259 ")</f>
        <v xml:space="preserve">http://slimages.macys.com/is/image/MCY/20786259 </v>
      </c>
    </row>
    <row r="145" spans="1:14" ht="24.75" x14ac:dyDescent="0.25">
      <c r="A145" s="21" t="s">
        <v>1874</v>
      </c>
      <c r="B145" s="22" t="s">
        <v>1875</v>
      </c>
      <c r="C145" s="2">
        <v>1</v>
      </c>
      <c r="D145" s="23">
        <v>15.99</v>
      </c>
      <c r="E145" s="3">
        <v>15.99</v>
      </c>
      <c r="F145" s="2" t="s">
        <v>2575</v>
      </c>
      <c r="G145" s="22" t="s">
        <v>19315</v>
      </c>
      <c r="H145" s="24" t="s">
        <v>19364</v>
      </c>
      <c r="I145" s="22" t="s">
        <v>19309</v>
      </c>
      <c r="J145" s="22" t="s">
        <v>19310</v>
      </c>
      <c r="K145" s="22" t="s">
        <v>19529</v>
      </c>
      <c r="L145" s="22"/>
      <c r="M145" s="22"/>
      <c r="N145" s="25" t="str">
        <f>HYPERLINK("http://slimages.macys.com/is/image/MCY/21333577 ")</f>
        <v xml:space="preserve">http://slimages.macys.com/is/image/MCY/21333577 </v>
      </c>
    </row>
    <row r="146" spans="1:14" x14ac:dyDescent="0.25">
      <c r="A146" s="21" t="s">
        <v>1876</v>
      </c>
      <c r="B146" s="22" t="s">
        <v>1877</v>
      </c>
      <c r="C146" s="2">
        <v>1</v>
      </c>
      <c r="D146" s="23">
        <v>24</v>
      </c>
      <c r="E146" s="3">
        <v>24</v>
      </c>
      <c r="F146" s="2" t="s">
        <v>11569</v>
      </c>
      <c r="G146" s="22" t="s">
        <v>19674</v>
      </c>
      <c r="H146" s="24" t="s">
        <v>19770</v>
      </c>
      <c r="I146" s="22" t="s">
        <v>19309</v>
      </c>
      <c r="J146" s="22" t="s">
        <v>19417</v>
      </c>
      <c r="K146" s="22" t="s">
        <v>20110</v>
      </c>
      <c r="L146" s="22"/>
      <c r="M146" s="22"/>
      <c r="N146" s="25" t="str">
        <f>HYPERLINK("http://slimages.macys.com/is/image/MCY/22296729 ")</f>
        <v xml:space="preserve">http://slimages.macys.com/is/image/MCY/22296729 </v>
      </c>
    </row>
    <row r="147" spans="1:14" x14ac:dyDescent="0.25">
      <c r="A147" s="21" t="s">
        <v>15967</v>
      </c>
      <c r="B147" s="22" t="s">
        <v>15968</v>
      </c>
      <c r="C147" s="2">
        <v>1</v>
      </c>
      <c r="D147" s="23">
        <v>16.989999999999998</v>
      </c>
      <c r="E147" s="3">
        <v>16.989999999999998</v>
      </c>
      <c r="F147" s="2" t="s">
        <v>18085</v>
      </c>
      <c r="G147" s="22" t="s">
        <v>19315</v>
      </c>
      <c r="H147" s="24" t="s">
        <v>19339</v>
      </c>
      <c r="I147" s="22" t="s">
        <v>19309</v>
      </c>
      <c r="J147" s="22" t="s">
        <v>19849</v>
      </c>
      <c r="K147" s="22" t="s">
        <v>19850</v>
      </c>
      <c r="L147" s="22"/>
      <c r="M147" s="22"/>
      <c r="N147" s="25" t="str">
        <f>HYPERLINK("http://slimages.macys.com/is/image/MCY/21840264 ")</f>
        <v xml:space="preserve">http://slimages.macys.com/is/image/MCY/21840264 </v>
      </c>
    </row>
    <row r="148" spans="1:14" x14ac:dyDescent="0.25">
      <c r="A148" s="21" t="s">
        <v>9509</v>
      </c>
      <c r="B148" s="22" t="s">
        <v>9510</v>
      </c>
      <c r="C148" s="2">
        <v>1</v>
      </c>
      <c r="D148" s="23">
        <v>18.989999999999998</v>
      </c>
      <c r="E148" s="3">
        <v>18.989999999999998</v>
      </c>
      <c r="F148" s="2" t="s">
        <v>9511</v>
      </c>
      <c r="G148" s="22" t="s">
        <v>19333</v>
      </c>
      <c r="H148" s="24"/>
      <c r="I148" s="22" t="s">
        <v>19309</v>
      </c>
      <c r="J148" s="22" t="s">
        <v>19696</v>
      </c>
      <c r="K148" s="22" t="s">
        <v>18094</v>
      </c>
      <c r="L148" s="22"/>
      <c r="M148" s="22"/>
      <c r="N148" s="25" t="str">
        <f>HYPERLINK("http://slimages.macys.com/is/image/MCY/21408593 ")</f>
        <v xml:space="preserve">http://slimages.macys.com/is/image/MCY/21408593 </v>
      </c>
    </row>
    <row r="149" spans="1:14" ht="24.75" x14ac:dyDescent="0.25">
      <c r="A149" s="21" t="s">
        <v>1878</v>
      </c>
      <c r="B149" s="22" t="s">
        <v>1879</v>
      </c>
      <c r="C149" s="2">
        <v>1</v>
      </c>
      <c r="D149" s="23">
        <v>13.99</v>
      </c>
      <c r="E149" s="3">
        <v>13.99</v>
      </c>
      <c r="F149" s="2" t="s">
        <v>1880</v>
      </c>
      <c r="G149" s="22" t="s">
        <v>18073</v>
      </c>
      <c r="H149" s="24" t="s">
        <v>19364</v>
      </c>
      <c r="I149" s="22" t="s">
        <v>19309</v>
      </c>
      <c r="J149" s="22" t="s">
        <v>19447</v>
      </c>
      <c r="K149" s="22" t="s">
        <v>19873</v>
      </c>
      <c r="L149" s="22"/>
      <c r="M149" s="22"/>
      <c r="N149" s="25" t="str">
        <f>HYPERLINK("http://slimages.macys.com/is/image/MCY/21279956 ")</f>
        <v xml:space="preserve">http://slimages.macys.com/is/image/MCY/21279956 </v>
      </c>
    </row>
    <row r="150" spans="1:14" ht="24.75" x14ac:dyDescent="0.25">
      <c r="A150" s="21" t="s">
        <v>1881</v>
      </c>
      <c r="B150" s="22" t="s">
        <v>1882</v>
      </c>
      <c r="C150" s="2">
        <v>1</v>
      </c>
      <c r="D150" s="23">
        <v>13.99</v>
      </c>
      <c r="E150" s="3">
        <v>13.99</v>
      </c>
      <c r="F150" s="2" t="s">
        <v>12047</v>
      </c>
      <c r="G150" s="22" t="s">
        <v>18073</v>
      </c>
      <c r="H150" s="24" t="s">
        <v>19797</v>
      </c>
      <c r="I150" s="22" t="s">
        <v>19309</v>
      </c>
      <c r="J150" s="22" t="s">
        <v>19447</v>
      </c>
      <c r="K150" s="22" t="s">
        <v>19873</v>
      </c>
      <c r="L150" s="22"/>
      <c r="M150" s="22"/>
      <c r="N150" s="25" t="str">
        <f>HYPERLINK("http://slimages.macys.com/is/image/MCY/21279961 ")</f>
        <v xml:space="preserve">http://slimages.macys.com/is/image/MCY/21279961 </v>
      </c>
    </row>
    <row r="151" spans="1:14" x14ac:dyDescent="0.25">
      <c r="A151" s="21" t="s">
        <v>1883</v>
      </c>
      <c r="B151" s="22" t="s">
        <v>1884</v>
      </c>
      <c r="C151" s="2">
        <v>1</v>
      </c>
      <c r="D151" s="23">
        <v>16.989999999999998</v>
      </c>
      <c r="E151" s="3">
        <v>16.989999999999998</v>
      </c>
      <c r="F151" s="2" t="s">
        <v>1885</v>
      </c>
      <c r="G151" s="22" t="s">
        <v>19415</v>
      </c>
      <c r="H151" s="24" t="s">
        <v>19395</v>
      </c>
      <c r="I151" s="22" t="s">
        <v>19309</v>
      </c>
      <c r="J151" s="22" t="s">
        <v>19310</v>
      </c>
      <c r="K151" s="22" t="s">
        <v>19433</v>
      </c>
      <c r="L151" s="22"/>
      <c r="M151" s="22"/>
      <c r="N151" s="25" t="str">
        <f>HYPERLINK("http://slimages.macys.com/is/image/MCY/21806547 ")</f>
        <v xml:space="preserve">http://slimages.macys.com/is/image/MCY/21806547 </v>
      </c>
    </row>
    <row r="152" spans="1:14" x14ac:dyDescent="0.25">
      <c r="A152" s="21" t="s">
        <v>1886</v>
      </c>
      <c r="B152" s="22" t="s">
        <v>1887</v>
      </c>
      <c r="C152" s="2">
        <v>1</v>
      </c>
      <c r="D152" s="23">
        <v>44.5</v>
      </c>
      <c r="E152" s="3">
        <v>44.5</v>
      </c>
      <c r="F152" s="2">
        <v>100147724</v>
      </c>
      <c r="G152" s="22" t="s">
        <v>19357</v>
      </c>
      <c r="H152" s="24" t="s">
        <v>15565</v>
      </c>
      <c r="I152" s="22" t="s">
        <v>19309</v>
      </c>
      <c r="J152" s="22" t="s">
        <v>17328</v>
      </c>
      <c r="K152" s="22" t="s">
        <v>8845</v>
      </c>
      <c r="L152" s="22"/>
      <c r="M152" s="22"/>
      <c r="N152" s="25" t="str">
        <f>HYPERLINK("http://slimages.macys.com/is/image/MCY/20989271 ")</f>
        <v xml:space="preserve">http://slimages.macys.com/is/image/MCY/20989271 </v>
      </c>
    </row>
    <row r="153" spans="1:14" x14ac:dyDescent="0.25">
      <c r="A153" s="21" t="s">
        <v>8846</v>
      </c>
      <c r="B153" s="22" t="s">
        <v>8847</v>
      </c>
      <c r="C153" s="2">
        <v>1</v>
      </c>
      <c r="D153" s="23">
        <v>44.5</v>
      </c>
      <c r="E153" s="3">
        <v>44.5</v>
      </c>
      <c r="F153" s="2">
        <v>100147724</v>
      </c>
      <c r="G153" s="22" t="s">
        <v>19357</v>
      </c>
      <c r="H153" s="24" t="s">
        <v>13630</v>
      </c>
      <c r="I153" s="22" t="s">
        <v>19309</v>
      </c>
      <c r="J153" s="22" t="s">
        <v>17328</v>
      </c>
      <c r="K153" s="22" t="s">
        <v>8845</v>
      </c>
      <c r="L153" s="22"/>
      <c r="M153" s="22"/>
      <c r="N153" s="25" t="str">
        <f>HYPERLINK("http://slimages.macys.com/is/image/MCY/20989265 ")</f>
        <v xml:space="preserve">http://slimages.macys.com/is/image/MCY/20989265 </v>
      </c>
    </row>
    <row r="154" spans="1:14" x14ac:dyDescent="0.25">
      <c r="A154" s="21" t="s">
        <v>1888</v>
      </c>
      <c r="B154" s="22" t="s">
        <v>1889</v>
      </c>
      <c r="C154" s="2">
        <v>1</v>
      </c>
      <c r="D154" s="23">
        <v>15.3</v>
      </c>
      <c r="E154" s="3">
        <v>15.3</v>
      </c>
      <c r="F154" s="2" t="s">
        <v>1890</v>
      </c>
      <c r="G154" s="22"/>
      <c r="H154" s="24" t="s">
        <v>20159</v>
      </c>
      <c r="I154" s="22" t="s">
        <v>19309</v>
      </c>
      <c r="J154" s="22" t="s">
        <v>19708</v>
      </c>
      <c r="K154" s="22" t="s">
        <v>19709</v>
      </c>
      <c r="L154" s="22"/>
      <c r="M154" s="22"/>
      <c r="N154" s="25" t="str">
        <f>HYPERLINK("http://slimages.macys.com/is/image/MCY/21410154 ")</f>
        <v xml:space="preserve">http://slimages.macys.com/is/image/MCY/21410154 </v>
      </c>
    </row>
    <row r="155" spans="1:14" x14ac:dyDescent="0.25">
      <c r="A155" s="21" t="s">
        <v>1891</v>
      </c>
      <c r="B155" s="22" t="s">
        <v>1892</v>
      </c>
      <c r="C155" s="2">
        <v>1</v>
      </c>
      <c r="D155" s="23">
        <v>21.99</v>
      </c>
      <c r="E155" s="3">
        <v>21.99</v>
      </c>
      <c r="F155" s="2" t="s">
        <v>18126</v>
      </c>
      <c r="G155" s="22" t="s">
        <v>19674</v>
      </c>
      <c r="H155" s="24" t="s">
        <v>19339</v>
      </c>
      <c r="I155" s="22" t="s">
        <v>19309</v>
      </c>
      <c r="J155" s="22" t="s">
        <v>19849</v>
      </c>
      <c r="K155" s="22" t="s">
        <v>19850</v>
      </c>
      <c r="L155" s="22"/>
      <c r="M155" s="22"/>
      <c r="N155" s="25" t="str">
        <f>HYPERLINK("http://slimages.macys.com/is/image/MCY/975791 ")</f>
        <v xml:space="preserve">http://slimages.macys.com/is/image/MCY/975791 </v>
      </c>
    </row>
    <row r="156" spans="1:14" ht="24.75" x14ac:dyDescent="0.25">
      <c r="A156" s="21" t="s">
        <v>1893</v>
      </c>
      <c r="B156" s="22" t="s">
        <v>1894</v>
      </c>
      <c r="C156" s="2">
        <v>1</v>
      </c>
      <c r="D156" s="23">
        <v>14</v>
      </c>
      <c r="E156" s="3">
        <v>14</v>
      </c>
      <c r="F156" s="2" t="s">
        <v>1895</v>
      </c>
      <c r="G156" s="22" t="s">
        <v>19351</v>
      </c>
      <c r="H156" s="24" t="s">
        <v>10522</v>
      </c>
      <c r="I156" s="22" t="s">
        <v>19309</v>
      </c>
      <c r="J156" s="22" t="s">
        <v>19317</v>
      </c>
      <c r="K156" s="22" t="s">
        <v>16124</v>
      </c>
      <c r="L156" s="22" t="s">
        <v>19319</v>
      </c>
      <c r="M156" s="22" t="s">
        <v>5770</v>
      </c>
      <c r="N156" s="25" t="str">
        <f>HYPERLINK("http://slimages.macys.com/is/image/MCY/13914401 ")</f>
        <v xml:space="preserve">http://slimages.macys.com/is/image/MCY/13914401 </v>
      </c>
    </row>
    <row r="157" spans="1:14" ht="24.75" x14ac:dyDescent="0.25">
      <c r="A157" s="21" t="s">
        <v>6771</v>
      </c>
      <c r="B157" s="22" t="s">
        <v>6772</v>
      </c>
      <c r="C157" s="2">
        <v>1</v>
      </c>
      <c r="D157" s="23">
        <v>16.989999999999998</v>
      </c>
      <c r="E157" s="3">
        <v>16.989999999999998</v>
      </c>
      <c r="F157" s="2" t="s">
        <v>6768</v>
      </c>
      <c r="G157" s="22" t="s">
        <v>19422</v>
      </c>
      <c r="H157" s="24" t="s">
        <v>11751</v>
      </c>
      <c r="I157" s="22" t="s">
        <v>19309</v>
      </c>
      <c r="J157" s="22" t="s">
        <v>20076</v>
      </c>
      <c r="K157" s="22" t="s">
        <v>12029</v>
      </c>
      <c r="L157" s="22"/>
      <c r="M157" s="22"/>
      <c r="N157" s="25" t="str">
        <f>HYPERLINK("http://slimages.macys.com/is/image/MCY/21446029 ")</f>
        <v xml:space="preserve">http://slimages.macys.com/is/image/MCY/21446029 </v>
      </c>
    </row>
    <row r="158" spans="1:14" ht="24.75" x14ac:dyDescent="0.25">
      <c r="A158" s="21" t="s">
        <v>1896</v>
      </c>
      <c r="B158" s="22" t="s">
        <v>1897</v>
      </c>
      <c r="C158" s="2">
        <v>1</v>
      </c>
      <c r="D158" s="23">
        <v>16.72</v>
      </c>
      <c r="E158" s="3">
        <v>16.72</v>
      </c>
      <c r="F158" s="2" t="s">
        <v>20113</v>
      </c>
      <c r="G158" s="22"/>
      <c r="H158" s="24"/>
      <c r="I158" s="22" t="s">
        <v>19309</v>
      </c>
      <c r="J158" s="22" t="s">
        <v>19602</v>
      </c>
      <c r="K158" s="22" t="s">
        <v>20041</v>
      </c>
      <c r="L158" s="22"/>
      <c r="M158" s="22"/>
      <c r="N158" s="25" t="str">
        <f>HYPERLINK("http://slimages.macys.com/is/image/MCY/21421190 ")</f>
        <v xml:space="preserve">http://slimages.macys.com/is/image/MCY/21421190 </v>
      </c>
    </row>
    <row r="159" spans="1:14" ht="24.75" x14ac:dyDescent="0.25">
      <c r="A159" s="21" t="s">
        <v>1898</v>
      </c>
      <c r="B159" s="22" t="s">
        <v>1899</v>
      </c>
      <c r="C159" s="2">
        <v>1</v>
      </c>
      <c r="D159" s="23">
        <v>16.989999999999998</v>
      </c>
      <c r="E159" s="3">
        <v>16.989999999999998</v>
      </c>
      <c r="F159" s="2" t="s">
        <v>1900</v>
      </c>
      <c r="G159" s="22" t="s">
        <v>19513</v>
      </c>
      <c r="H159" s="24" t="s">
        <v>20135</v>
      </c>
      <c r="I159" s="22" t="s">
        <v>19309</v>
      </c>
      <c r="J159" s="22" t="s">
        <v>19573</v>
      </c>
      <c r="K159" s="22" t="s">
        <v>19574</v>
      </c>
      <c r="L159" s="22"/>
      <c r="M159" s="22"/>
      <c r="N159" s="25" t="str">
        <f>HYPERLINK("http://slimages.macys.com/is/image/MCY/20385734 ")</f>
        <v xml:space="preserve">http://slimages.macys.com/is/image/MCY/20385734 </v>
      </c>
    </row>
    <row r="160" spans="1:14" x14ac:dyDescent="0.25">
      <c r="A160" s="21" t="s">
        <v>13088</v>
      </c>
      <c r="B160" s="22" t="s">
        <v>13089</v>
      </c>
      <c r="C160" s="2">
        <v>3</v>
      </c>
      <c r="D160" s="23">
        <v>18.77</v>
      </c>
      <c r="E160" s="3">
        <v>56.31</v>
      </c>
      <c r="F160" s="2" t="s">
        <v>20119</v>
      </c>
      <c r="G160" s="22"/>
      <c r="H160" s="24" t="s">
        <v>19324</v>
      </c>
      <c r="I160" s="22" t="s">
        <v>19309</v>
      </c>
      <c r="J160" s="22" t="s">
        <v>19708</v>
      </c>
      <c r="K160" s="22" t="s">
        <v>19709</v>
      </c>
      <c r="L160" s="22"/>
      <c r="M160" s="22"/>
      <c r="N160" s="25" t="str">
        <f>HYPERLINK("http://slimages.macys.com/is/image/MCY/22405750 ")</f>
        <v xml:space="preserve">http://slimages.macys.com/is/image/MCY/22405750 </v>
      </c>
    </row>
    <row r="161" spans="1:14" ht="24.75" x14ac:dyDescent="0.25">
      <c r="A161" s="21" t="s">
        <v>10529</v>
      </c>
      <c r="B161" s="22" t="s">
        <v>10530</v>
      </c>
      <c r="C161" s="2">
        <v>1</v>
      </c>
      <c r="D161" s="23">
        <v>14.99</v>
      </c>
      <c r="E161" s="3">
        <v>14.99</v>
      </c>
      <c r="F161" s="2" t="s">
        <v>13092</v>
      </c>
      <c r="G161" s="22" t="s">
        <v>19674</v>
      </c>
      <c r="H161" s="24" t="s">
        <v>19770</v>
      </c>
      <c r="I161" s="22" t="s">
        <v>19309</v>
      </c>
      <c r="J161" s="22" t="s">
        <v>19573</v>
      </c>
      <c r="K161" s="22" t="s">
        <v>20256</v>
      </c>
      <c r="L161" s="22" t="s">
        <v>19319</v>
      </c>
      <c r="M161" s="22" t="s">
        <v>19358</v>
      </c>
      <c r="N161" s="25" t="str">
        <f>HYPERLINK("http://slimages.macys.com/is/image/MCY/3931288 ")</f>
        <v xml:space="preserve">http://slimages.macys.com/is/image/MCY/3931288 </v>
      </c>
    </row>
    <row r="162" spans="1:14" ht="24.75" x14ac:dyDescent="0.25">
      <c r="A162" s="21" t="s">
        <v>1901</v>
      </c>
      <c r="B162" s="22" t="s">
        <v>1902</v>
      </c>
      <c r="C162" s="2">
        <v>1</v>
      </c>
      <c r="D162" s="23">
        <v>14.99</v>
      </c>
      <c r="E162" s="3">
        <v>14.99</v>
      </c>
      <c r="F162" s="2" t="s">
        <v>1903</v>
      </c>
      <c r="G162" s="22" t="s">
        <v>19674</v>
      </c>
      <c r="H162" s="24" t="s">
        <v>18168</v>
      </c>
      <c r="I162" s="22" t="s">
        <v>19309</v>
      </c>
      <c r="J162" s="22" t="s">
        <v>19573</v>
      </c>
      <c r="K162" s="22" t="s">
        <v>20256</v>
      </c>
      <c r="L162" s="22" t="s">
        <v>19319</v>
      </c>
      <c r="M162" s="22" t="s">
        <v>19358</v>
      </c>
      <c r="N162" s="25" t="str">
        <f>HYPERLINK("http://slimages.macys.com/is/image/MCY/3931287 ")</f>
        <v xml:space="preserve">http://slimages.macys.com/is/image/MCY/3931287 </v>
      </c>
    </row>
    <row r="163" spans="1:14" ht="24.75" x14ac:dyDescent="0.25">
      <c r="A163" s="21" t="s">
        <v>2646</v>
      </c>
      <c r="B163" s="22" t="s">
        <v>2647</v>
      </c>
      <c r="C163" s="2">
        <v>1</v>
      </c>
      <c r="D163" s="23">
        <v>14.67</v>
      </c>
      <c r="E163" s="3">
        <v>14.67</v>
      </c>
      <c r="F163" s="2" t="s">
        <v>7568</v>
      </c>
      <c r="G163" s="22"/>
      <c r="H163" s="24" t="s">
        <v>19770</v>
      </c>
      <c r="I163" s="22" t="s">
        <v>19309</v>
      </c>
      <c r="J163" s="22" t="s">
        <v>19708</v>
      </c>
      <c r="K163" s="22" t="s">
        <v>19709</v>
      </c>
      <c r="L163" s="22"/>
      <c r="M163" s="22"/>
      <c r="N163" s="25" t="str">
        <f>HYPERLINK("http://slimages.macys.com/is/image/MCY/19060606 ")</f>
        <v xml:space="preserve">http://slimages.macys.com/is/image/MCY/19060606 </v>
      </c>
    </row>
    <row r="164" spans="1:14" ht="24.75" x14ac:dyDescent="0.25">
      <c r="A164" s="21" t="s">
        <v>2656</v>
      </c>
      <c r="B164" s="22" t="s">
        <v>2657</v>
      </c>
      <c r="C164" s="2">
        <v>1</v>
      </c>
      <c r="D164" s="23">
        <v>14.99</v>
      </c>
      <c r="E164" s="3">
        <v>14.99</v>
      </c>
      <c r="F164" s="2" t="s">
        <v>2653</v>
      </c>
      <c r="G164" s="22" t="s">
        <v>19383</v>
      </c>
      <c r="H164" s="24" t="s">
        <v>12028</v>
      </c>
      <c r="I164" s="22" t="s">
        <v>19309</v>
      </c>
      <c r="J164" s="22" t="s">
        <v>20076</v>
      </c>
      <c r="K164" s="22" t="s">
        <v>12029</v>
      </c>
      <c r="L164" s="22"/>
      <c r="M164" s="22"/>
      <c r="N164" s="25" t="str">
        <f>HYPERLINK("http://slimages.macys.com/is/image/MCY/21408301 ")</f>
        <v xml:space="preserve">http://slimages.macys.com/is/image/MCY/21408301 </v>
      </c>
    </row>
    <row r="165" spans="1:14" ht="24.75" x14ac:dyDescent="0.25">
      <c r="A165" s="21" t="s">
        <v>18169</v>
      </c>
      <c r="B165" s="22" t="s">
        <v>18170</v>
      </c>
      <c r="C165" s="2">
        <v>1</v>
      </c>
      <c r="D165" s="23">
        <v>15.99</v>
      </c>
      <c r="E165" s="3">
        <v>15.99</v>
      </c>
      <c r="F165" s="2" t="s">
        <v>18171</v>
      </c>
      <c r="G165" s="22" t="s">
        <v>19404</v>
      </c>
      <c r="H165" s="24" t="s">
        <v>19308</v>
      </c>
      <c r="I165" s="22" t="s">
        <v>19309</v>
      </c>
      <c r="J165" s="22" t="s">
        <v>19815</v>
      </c>
      <c r="K165" s="22" t="s">
        <v>19816</v>
      </c>
      <c r="L165" s="22"/>
      <c r="M165" s="22"/>
      <c r="N165" s="25" t="str">
        <f>HYPERLINK("http://slimages.macys.com/is/image/MCY/21278828 ")</f>
        <v xml:space="preserve">http://slimages.macys.com/is/image/MCY/21278828 </v>
      </c>
    </row>
    <row r="166" spans="1:14" ht="24.75" x14ac:dyDescent="0.25">
      <c r="A166" s="21" t="s">
        <v>5805</v>
      </c>
      <c r="B166" s="22" t="s">
        <v>5788</v>
      </c>
      <c r="C166" s="2">
        <v>1</v>
      </c>
      <c r="D166" s="23">
        <v>21.99</v>
      </c>
      <c r="E166" s="3">
        <v>21.99</v>
      </c>
      <c r="F166" s="2" t="s">
        <v>11007</v>
      </c>
      <c r="G166" s="22" t="s">
        <v>19333</v>
      </c>
      <c r="H166" s="24" t="s">
        <v>19339</v>
      </c>
      <c r="I166" s="22" t="s">
        <v>19309</v>
      </c>
      <c r="J166" s="22" t="s">
        <v>19353</v>
      </c>
      <c r="K166" s="22" t="s">
        <v>19524</v>
      </c>
      <c r="L166" s="22"/>
      <c r="M166" s="22"/>
      <c r="N166" s="25" t="str">
        <f>HYPERLINK("http://slimages.macys.com/is/image/MCY/20440803 ")</f>
        <v xml:space="preserve">http://slimages.macys.com/is/image/MCY/20440803 </v>
      </c>
    </row>
    <row r="167" spans="1:14" ht="24.75" x14ac:dyDescent="0.25">
      <c r="A167" s="21" t="s">
        <v>1904</v>
      </c>
      <c r="B167" s="22" t="s">
        <v>1905</v>
      </c>
      <c r="C167" s="2">
        <v>1</v>
      </c>
      <c r="D167" s="23">
        <v>14.99</v>
      </c>
      <c r="E167" s="3">
        <v>14.99</v>
      </c>
      <c r="F167" s="2" t="s">
        <v>1906</v>
      </c>
      <c r="G167" s="22" t="s">
        <v>20306</v>
      </c>
      <c r="H167" s="24" t="s">
        <v>19542</v>
      </c>
      <c r="I167" s="22" t="s">
        <v>19309</v>
      </c>
      <c r="J167" s="22" t="s">
        <v>19447</v>
      </c>
      <c r="K167" s="22" t="s">
        <v>19463</v>
      </c>
      <c r="L167" s="22"/>
      <c r="M167" s="22"/>
      <c r="N167" s="25" t="str">
        <f>HYPERLINK("http://slimages.macys.com/is/image/MCY/21716763 ")</f>
        <v xml:space="preserve">http://slimages.macys.com/is/image/MCY/21716763 </v>
      </c>
    </row>
    <row r="168" spans="1:14" ht="24.75" x14ac:dyDescent="0.25">
      <c r="A168" s="21" t="s">
        <v>10554</v>
      </c>
      <c r="B168" s="22" t="s">
        <v>10555</v>
      </c>
      <c r="C168" s="2">
        <v>1</v>
      </c>
      <c r="D168" s="23">
        <v>17.87</v>
      </c>
      <c r="E168" s="3">
        <v>17.87</v>
      </c>
      <c r="F168" s="2" t="s">
        <v>20182</v>
      </c>
      <c r="G168" s="22"/>
      <c r="H168" s="24" t="s">
        <v>19324</v>
      </c>
      <c r="I168" s="22" t="s">
        <v>19309</v>
      </c>
      <c r="J168" s="22" t="s">
        <v>19708</v>
      </c>
      <c r="K168" s="22" t="s">
        <v>19709</v>
      </c>
      <c r="L168" s="22"/>
      <c r="M168" s="22"/>
      <c r="N168" s="25" t="str">
        <f>HYPERLINK("http://slimages.macys.com/is/image/MCY/22405971 ")</f>
        <v xml:space="preserve">http://slimages.macys.com/is/image/MCY/22405971 </v>
      </c>
    </row>
    <row r="169" spans="1:14" x14ac:dyDescent="0.25">
      <c r="A169" s="21" t="s">
        <v>20180</v>
      </c>
      <c r="B169" s="22" t="s">
        <v>20181</v>
      </c>
      <c r="C169" s="2">
        <v>1</v>
      </c>
      <c r="D169" s="23">
        <v>17.87</v>
      </c>
      <c r="E169" s="3">
        <v>17.87</v>
      </c>
      <c r="F169" s="2" t="s">
        <v>20182</v>
      </c>
      <c r="G169" s="22"/>
      <c r="H169" s="24" t="s">
        <v>20159</v>
      </c>
      <c r="I169" s="22" t="s">
        <v>19309</v>
      </c>
      <c r="J169" s="22" t="s">
        <v>19708</v>
      </c>
      <c r="K169" s="22" t="s">
        <v>19709</v>
      </c>
      <c r="L169" s="22"/>
      <c r="M169" s="22"/>
      <c r="N169" s="25" t="str">
        <f>HYPERLINK("http://slimages.macys.com/is/image/MCY/22405971 ")</f>
        <v xml:space="preserve">http://slimages.macys.com/is/image/MCY/22405971 </v>
      </c>
    </row>
    <row r="170" spans="1:14" x14ac:dyDescent="0.25">
      <c r="A170" s="21" t="s">
        <v>13139</v>
      </c>
      <c r="B170" s="22" t="s">
        <v>13140</v>
      </c>
      <c r="C170" s="2">
        <v>1</v>
      </c>
      <c r="D170" s="23">
        <v>17.87</v>
      </c>
      <c r="E170" s="3">
        <v>17.87</v>
      </c>
      <c r="F170" s="2" t="s">
        <v>20182</v>
      </c>
      <c r="G170" s="22"/>
      <c r="H170" s="24" t="s">
        <v>19770</v>
      </c>
      <c r="I170" s="22" t="s">
        <v>19309</v>
      </c>
      <c r="J170" s="22" t="s">
        <v>19708</v>
      </c>
      <c r="K170" s="22" t="s">
        <v>19709</v>
      </c>
      <c r="L170" s="22"/>
      <c r="M170" s="22"/>
      <c r="N170" s="25" t="str">
        <f>HYPERLINK("http://slimages.macys.com/is/image/MCY/22405971 ")</f>
        <v xml:space="preserve">http://slimages.macys.com/is/image/MCY/22405971 </v>
      </c>
    </row>
    <row r="171" spans="1:14" x14ac:dyDescent="0.25">
      <c r="A171" s="21" t="s">
        <v>6784</v>
      </c>
      <c r="B171" s="22" t="s">
        <v>6785</v>
      </c>
      <c r="C171" s="2">
        <v>1</v>
      </c>
      <c r="D171" s="23">
        <v>17.87</v>
      </c>
      <c r="E171" s="3">
        <v>17.87</v>
      </c>
      <c r="F171" s="2" t="s">
        <v>20182</v>
      </c>
      <c r="G171" s="22"/>
      <c r="H171" s="24" t="s">
        <v>19367</v>
      </c>
      <c r="I171" s="22" t="s">
        <v>19309</v>
      </c>
      <c r="J171" s="22" t="s">
        <v>19708</v>
      </c>
      <c r="K171" s="22" t="s">
        <v>19709</v>
      </c>
      <c r="L171" s="22"/>
      <c r="M171" s="22"/>
      <c r="N171" s="25" t="str">
        <f>HYPERLINK("http://slimages.macys.com/is/image/MCY/22405971 ")</f>
        <v xml:space="preserve">http://slimages.macys.com/is/image/MCY/22405971 </v>
      </c>
    </row>
    <row r="172" spans="1:14" x14ac:dyDescent="0.25">
      <c r="A172" s="21" t="s">
        <v>20185</v>
      </c>
      <c r="B172" s="22" t="s">
        <v>20186</v>
      </c>
      <c r="C172" s="2">
        <v>1</v>
      </c>
      <c r="D172" s="23">
        <v>17.87</v>
      </c>
      <c r="E172" s="3">
        <v>17.87</v>
      </c>
      <c r="F172" s="2" t="s">
        <v>20173</v>
      </c>
      <c r="G172" s="22"/>
      <c r="H172" s="24" t="s">
        <v>19367</v>
      </c>
      <c r="I172" s="22" t="s">
        <v>19309</v>
      </c>
      <c r="J172" s="22" t="s">
        <v>19708</v>
      </c>
      <c r="K172" s="22" t="s">
        <v>19709</v>
      </c>
      <c r="L172" s="22"/>
      <c r="M172" s="22"/>
      <c r="N172" s="25" t="str">
        <f>HYPERLINK("http://slimages.macys.com/is/image/MCY/22405672 ")</f>
        <v xml:space="preserve">http://slimages.macys.com/is/image/MCY/22405672 </v>
      </c>
    </row>
    <row r="173" spans="1:14" x14ac:dyDescent="0.25">
      <c r="A173" s="21" t="s">
        <v>20187</v>
      </c>
      <c r="B173" s="22" t="s">
        <v>20188</v>
      </c>
      <c r="C173" s="2">
        <v>1</v>
      </c>
      <c r="D173" s="23">
        <v>17.87</v>
      </c>
      <c r="E173" s="3">
        <v>17.87</v>
      </c>
      <c r="F173" s="2" t="s">
        <v>20176</v>
      </c>
      <c r="G173" s="22"/>
      <c r="H173" s="24" t="s">
        <v>19770</v>
      </c>
      <c r="I173" s="22" t="s">
        <v>19309</v>
      </c>
      <c r="J173" s="22" t="s">
        <v>19708</v>
      </c>
      <c r="K173" s="22" t="s">
        <v>19709</v>
      </c>
      <c r="L173" s="22"/>
      <c r="M173" s="22"/>
      <c r="N173" s="25" t="str">
        <f>HYPERLINK("http://slimages.macys.com/is/image/MCY/22405968 ")</f>
        <v xml:space="preserve">http://slimages.macys.com/is/image/MCY/22405968 </v>
      </c>
    </row>
    <row r="174" spans="1:14" x14ac:dyDescent="0.25">
      <c r="A174" s="21" t="s">
        <v>20174</v>
      </c>
      <c r="B174" s="22" t="s">
        <v>20175</v>
      </c>
      <c r="C174" s="2">
        <v>1</v>
      </c>
      <c r="D174" s="23">
        <v>17.87</v>
      </c>
      <c r="E174" s="3">
        <v>17.87</v>
      </c>
      <c r="F174" s="2" t="s">
        <v>20176</v>
      </c>
      <c r="G174" s="22"/>
      <c r="H174" s="24" t="s">
        <v>20159</v>
      </c>
      <c r="I174" s="22" t="s">
        <v>19309</v>
      </c>
      <c r="J174" s="22" t="s">
        <v>19708</v>
      </c>
      <c r="K174" s="22" t="s">
        <v>19709</v>
      </c>
      <c r="L174" s="22"/>
      <c r="M174" s="22"/>
      <c r="N174" s="25" t="str">
        <f>HYPERLINK("http://slimages.macys.com/is/image/MCY/22405968 ")</f>
        <v xml:space="preserve">http://slimages.macys.com/is/image/MCY/22405968 </v>
      </c>
    </row>
    <row r="175" spans="1:14" x14ac:dyDescent="0.25">
      <c r="A175" s="21" t="s">
        <v>13131</v>
      </c>
      <c r="B175" s="22" t="s">
        <v>13132</v>
      </c>
      <c r="C175" s="2">
        <v>1</v>
      </c>
      <c r="D175" s="23">
        <v>17.87</v>
      </c>
      <c r="E175" s="3">
        <v>17.87</v>
      </c>
      <c r="F175" s="2" t="s">
        <v>20176</v>
      </c>
      <c r="G175" s="22"/>
      <c r="H175" s="24" t="s">
        <v>19367</v>
      </c>
      <c r="I175" s="22" t="s">
        <v>19309</v>
      </c>
      <c r="J175" s="22" t="s">
        <v>19708</v>
      </c>
      <c r="K175" s="22" t="s">
        <v>19709</v>
      </c>
      <c r="L175" s="22"/>
      <c r="M175" s="22"/>
      <c r="N175" s="25" t="str">
        <f>HYPERLINK("http://slimages.macys.com/is/image/MCY/22405968 ")</f>
        <v xml:space="preserve">http://slimages.macys.com/is/image/MCY/22405968 </v>
      </c>
    </row>
    <row r="176" spans="1:14" x14ac:dyDescent="0.25">
      <c r="A176" s="21" t="s">
        <v>1907</v>
      </c>
      <c r="B176" s="22" t="s">
        <v>15474</v>
      </c>
      <c r="C176" s="2">
        <v>1</v>
      </c>
      <c r="D176" s="23">
        <v>17.87</v>
      </c>
      <c r="E176" s="3">
        <v>17.87</v>
      </c>
      <c r="F176" s="2" t="s">
        <v>12105</v>
      </c>
      <c r="G176" s="22"/>
      <c r="H176" s="24" t="s">
        <v>20159</v>
      </c>
      <c r="I176" s="22" t="s">
        <v>19309</v>
      </c>
      <c r="J176" s="22" t="s">
        <v>19708</v>
      </c>
      <c r="K176" s="22" t="s">
        <v>19709</v>
      </c>
      <c r="L176" s="22"/>
      <c r="M176" s="22"/>
      <c r="N176" s="25" t="str">
        <f>HYPERLINK("http://slimages.macys.com/is/image/MCY/22405692 ")</f>
        <v xml:space="preserve">http://slimages.macys.com/is/image/MCY/22405692 </v>
      </c>
    </row>
    <row r="177" spans="1:14" ht="24.75" x14ac:dyDescent="0.25">
      <c r="A177" s="21" t="s">
        <v>1908</v>
      </c>
      <c r="B177" s="22" t="s">
        <v>1909</v>
      </c>
      <c r="C177" s="2">
        <v>1</v>
      </c>
      <c r="D177" s="23">
        <v>17.75</v>
      </c>
      <c r="E177" s="3">
        <v>17.75</v>
      </c>
      <c r="F177" s="2" t="s">
        <v>1910</v>
      </c>
      <c r="G177" s="22"/>
      <c r="H177" s="24" t="s">
        <v>19324</v>
      </c>
      <c r="I177" s="22" t="s">
        <v>19309</v>
      </c>
      <c r="J177" s="22" t="s">
        <v>19708</v>
      </c>
      <c r="K177" s="22" t="s">
        <v>19709</v>
      </c>
      <c r="L177" s="22"/>
      <c r="M177" s="22"/>
      <c r="N177" s="25" t="str">
        <f>HYPERLINK("http://slimages.macys.com/is/image/MCY/21426430 ")</f>
        <v xml:space="preserve">http://slimages.macys.com/is/image/MCY/21426430 </v>
      </c>
    </row>
    <row r="178" spans="1:14" x14ac:dyDescent="0.25">
      <c r="A178" s="21" t="s">
        <v>1911</v>
      </c>
      <c r="B178" s="22" t="s">
        <v>1912</v>
      </c>
      <c r="C178" s="2">
        <v>1</v>
      </c>
      <c r="D178" s="23">
        <v>17.75</v>
      </c>
      <c r="E178" s="3">
        <v>17.75</v>
      </c>
      <c r="F178" s="2" t="s">
        <v>1913</v>
      </c>
      <c r="G178" s="22"/>
      <c r="H178" s="24" t="s">
        <v>20159</v>
      </c>
      <c r="I178" s="22" t="s">
        <v>19309</v>
      </c>
      <c r="J178" s="22" t="s">
        <v>19708</v>
      </c>
      <c r="K178" s="22" t="s">
        <v>19709</v>
      </c>
      <c r="L178" s="22"/>
      <c r="M178" s="22"/>
      <c r="N178" s="25" t="str">
        <f>HYPERLINK("http://slimages.macys.com/is/image/MCY/21414310 ")</f>
        <v xml:space="preserve">http://slimages.macys.com/is/image/MCY/21414310 </v>
      </c>
    </row>
    <row r="179" spans="1:14" ht="24.75" x14ac:dyDescent="0.25">
      <c r="A179" s="21" t="s">
        <v>12127</v>
      </c>
      <c r="B179" s="22" t="s">
        <v>12128</v>
      </c>
      <c r="C179" s="2">
        <v>1</v>
      </c>
      <c r="D179" s="23">
        <v>15.99</v>
      </c>
      <c r="E179" s="3">
        <v>15.99</v>
      </c>
      <c r="F179" s="2" t="s">
        <v>18196</v>
      </c>
      <c r="G179" s="22" t="s">
        <v>19333</v>
      </c>
      <c r="H179" s="24" t="s">
        <v>19392</v>
      </c>
      <c r="I179" s="22" t="s">
        <v>19309</v>
      </c>
      <c r="J179" s="22" t="s">
        <v>19491</v>
      </c>
      <c r="K179" s="22" t="s">
        <v>18197</v>
      </c>
      <c r="L179" s="22"/>
      <c r="M179" s="22"/>
      <c r="N179" s="25" t="str">
        <f>HYPERLINK("http://slimages.macys.com/is/image/MCY/21541845 ")</f>
        <v xml:space="preserve">http://slimages.macys.com/is/image/MCY/21541845 </v>
      </c>
    </row>
    <row r="180" spans="1:14" ht="24.75" x14ac:dyDescent="0.25">
      <c r="A180" s="21" t="s">
        <v>11673</v>
      </c>
      <c r="B180" s="22" t="s">
        <v>11674</v>
      </c>
      <c r="C180" s="2">
        <v>1</v>
      </c>
      <c r="D180" s="23">
        <v>15.99</v>
      </c>
      <c r="E180" s="3">
        <v>15.99</v>
      </c>
      <c r="F180" s="2" t="s">
        <v>18196</v>
      </c>
      <c r="G180" s="22" t="s">
        <v>19333</v>
      </c>
      <c r="H180" s="24" t="s">
        <v>19334</v>
      </c>
      <c r="I180" s="22" t="s">
        <v>19309</v>
      </c>
      <c r="J180" s="22" t="s">
        <v>19491</v>
      </c>
      <c r="K180" s="22" t="s">
        <v>18197</v>
      </c>
      <c r="L180" s="22"/>
      <c r="M180" s="22"/>
      <c r="N180" s="25" t="str">
        <f>HYPERLINK("http://slimages.macys.com/is/image/MCY/21541845 ")</f>
        <v xml:space="preserve">http://slimages.macys.com/is/image/MCY/21541845 </v>
      </c>
    </row>
    <row r="181" spans="1:14" x14ac:dyDescent="0.25">
      <c r="A181" s="21" t="s">
        <v>15486</v>
      </c>
      <c r="B181" s="22" t="s">
        <v>15487</v>
      </c>
      <c r="C181" s="2">
        <v>1</v>
      </c>
      <c r="D181" s="23">
        <v>14.99</v>
      </c>
      <c r="E181" s="3">
        <v>14.99</v>
      </c>
      <c r="F181" s="2" t="s">
        <v>15483</v>
      </c>
      <c r="G181" s="22" t="s">
        <v>19674</v>
      </c>
      <c r="H181" s="24" t="s">
        <v>20135</v>
      </c>
      <c r="I181" s="22" t="s">
        <v>19309</v>
      </c>
      <c r="J181" s="22" t="s">
        <v>19849</v>
      </c>
      <c r="K181" s="22" t="s">
        <v>19850</v>
      </c>
      <c r="L181" s="22"/>
      <c r="M181" s="22"/>
      <c r="N181" s="25" t="str">
        <f>HYPERLINK("http://slimages.macys.com/is/image/MCY/20549351 ")</f>
        <v xml:space="preserve">http://slimages.macys.com/is/image/MCY/20549351 </v>
      </c>
    </row>
    <row r="182" spans="1:14" x14ac:dyDescent="0.25">
      <c r="A182" s="21" t="s">
        <v>1914</v>
      </c>
      <c r="B182" s="22" t="s">
        <v>1915</v>
      </c>
      <c r="C182" s="2">
        <v>2</v>
      </c>
      <c r="D182" s="23">
        <v>14.99</v>
      </c>
      <c r="E182" s="3">
        <v>29.98</v>
      </c>
      <c r="F182" s="2" t="s">
        <v>15483</v>
      </c>
      <c r="G182" s="22" t="s">
        <v>19674</v>
      </c>
      <c r="H182" s="24" t="s">
        <v>19542</v>
      </c>
      <c r="I182" s="22" t="s">
        <v>19309</v>
      </c>
      <c r="J182" s="22" t="s">
        <v>19849</v>
      </c>
      <c r="K182" s="22" t="s">
        <v>19850</v>
      </c>
      <c r="L182" s="22"/>
      <c r="M182" s="22"/>
      <c r="N182" s="25" t="str">
        <f>HYPERLINK("http://slimages.macys.com/is/image/MCY/20549351 ")</f>
        <v xml:space="preserve">http://slimages.macys.com/is/image/MCY/20549351 </v>
      </c>
    </row>
    <row r="183" spans="1:14" ht="24.75" x14ac:dyDescent="0.25">
      <c r="A183" s="21" t="s">
        <v>1916</v>
      </c>
      <c r="B183" s="22" t="s">
        <v>1917</v>
      </c>
      <c r="C183" s="2">
        <v>1</v>
      </c>
      <c r="D183" s="23">
        <v>16.989999999999998</v>
      </c>
      <c r="E183" s="3">
        <v>16.989999999999998</v>
      </c>
      <c r="F183" s="2" t="s">
        <v>15490</v>
      </c>
      <c r="G183" s="22" t="s">
        <v>19315</v>
      </c>
      <c r="H183" s="24" t="s">
        <v>20135</v>
      </c>
      <c r="I183" s="22" t="s">
        <v>19309</v>
      </c>
      <c r="J183" s="22" t="s">
        <v>19815</v>
      </c>
      <c r="K183" s="22" t="s">
        <v>19816</v>
      </c>
      <c r="L183" s="22"/>
      <c r="M183" s="22"/>
      <c r="N183" s="25" t="str">
        <f>HYPERLINK("http://slimages.macys.com/is/image/MCY/20549879 ")</f>
        <v xml:space="preserve">http://slimages.macys.com/is/image/MCY/20549879 </v>
      </c>
    </row>
    <row r="184" spans="1:14" ht="24.75" x14ac:dyDescent="0.25">
      <c r="A184" s="21" t="s">
        <v>1918</v>
      </c>
      <c r="B184" s="22" t="s">
        <v>1919</v>
      </c>
      <c r="C184" s="2">
        <v>1</v>
      </c>
      <c r="D184" s="23">
        <v>16.989999999999998</v>
      </c>
      <c r="E184" s="3">
        <v>16.989999999999998</v>
      </c>
      <c r="F184" s="2" t="s">
        <v>13666</v>
      </c>
      <c r="G184" s="22" t="s">
        <v>19315</v>
      </c>
      <c r="H184" s="24" t="s">
        <v>19542</v>
      </c>
      <c r="I184" s="22" t="s">
        <v>19309</v>
      </c>
      <c r="J184" s="22" t="s">
        <v>19815</v>
      </c>
      <c r="K184" s="22" t="s">
        <v>19816</v>
      </c>
      <c r="L184" s="22"/>
      <c r="M184" s="22"/>
      <c r="N184" s="25" t="str">
        <f>HYPERLINK("http://slimages.macys.com/is/image/MCY/20549853 ")</f>
        <v xml:space="preserve">http://slimages.macys.com/is/image/MCY/20549853 </v>
      </c>
    </row>
    <row r="185" spans="1:14" ht="24.75" x14ac:dyDescent="0.25">
      <c r="A185" s="21" t="s">
        <v>1920</v>
      </c>
      <c r="B185" s="22" t="s">
        <v>1921</v>
      </c>
      <c r="C185" s="2">
        <v>1</v>
      </c>
      <c r="D185" s="23">
        <v>16.989999999999998</v>
      </c>
      <c r="E185" s="3">
        <v>16.989999999999998</v>
      </c>
      <c r="F185" s="2" t="s">
        <v>13666</v>
      </c>
      <c r="G185" s="22" t="s">
        <v>19814</v>
      </c>
      <c r="H185" s="24" t="s">
        <v>19392</v>
      </c>
      <c r="I185" s="22" t="s">
        <v>19309</v>
      </c>
      <c r="J185" s="22" t="s">
        <v>19815</v>
      </c>
      <c r="K185" s="22" t="s">
        <v>19816</v>
      </c>
      <c r="L185" s="22"/>
      <c r="M185" s="22"/>
      <c r="N185" s="25" t="str">
        <f>HYPERLINK("http://slimages.macys.com/is/image/MCY/20549853 ")</f>
        <v xml:space="preserve">http://slimages.macys.com/is/image/MCY/20549853 </v>
      </c>
    </row>
    <row r="186" spans="1:14" ht="24.75" x14ac:dyDescent="0.25">
      <c r="A186" s="21" t="s">
        <v>1922</v>
      </c>
      <c r="B186" s="22" t="s">
        <v>1923</v>
      </c>
      <c r="C186" s="2">
        <v>3</v>
      </c>
      <c r="D186" s="23">
        <v>16.989999999999998</v>
      </c>
      <c r="E186" s="3">
        <v>50.97</v>
      </c>
      <c r="F186" s="2" t="s">
        <v>13666</v>
      </c>
      <c r="G186" s="22" t="s">
        <v>19315</v>
      </c>
      <c r="H186" s="24" t="s">
        <v>19361</v>
      </c>
      <c r="I186" s="22" t="s">
        <v>19309</v>
      </c>
      <c r="J186" s="22" t="s">
        <v>19815</v>
      </c>
      <c r="K186" s="22" t="s">
        <v>19816</v>
      </c>
      <c r="L186" s="22"/>
      <c r="M186" s="22"/>
      <c r="N186" s="25" t="str">
        <f>HYPERLINK("http://slimages.macys.com/is/image/MCY/20549853 ")</f>
        <v xml:space="preserve">http://slimages.macys.com/is/image/MCY/20549853 </v>
      </c>
    </row>
    <row r="187" spans="1:14" x14ac:dyDescent="0.25">
      <c r="A187" s="21" t="s">
        <v>1924</v>
      </c>
      <c r="B187" s="22" t="s">
        <v>1925</v>
      </c>
      <c r="C187" s="2">
        <v>1</v>
      </c>
      <c r="D187" s="23">
        <v>13.77</v>
      </c>
      <c r="E187" s="3">
        <v>13.77</v>
      </c>
      <c r="F187" s="2" t="s">
        <v>1926</v>
      </c>
      <c r="G187" s="22"/>
      <c r="H187" s="24" t="s">
        <v>19330</v>
      </c>
      <c r="I187" s="22" t="s">
        <v>19309</v>
      </c>
      <c r="J187" s="22" t="s">
        <v>19708</v>
      </c>
      <c r="K187" s="22" t="s">
        <v>19709</v>
      </c>
      <c r="L187" s="22"/>
      <c r="M187" s="22"/>
      <c r="N187" s="25" t="str">
        <f>HYPERLINK("http://slimages.macys.com/is/image/MCY/21183992 ")</f>
        <v xml:space="preserve">http://slimages.macys.com/is/image/MCY/21183992 </v>
      </c>
    </row>
    <row r="188" spans="1:14" x14ac:dyDescent="0.25">
      <c r="A188" s="21" t="s">
        <v>1927</v>
      </c>
      <c r="B188" s="22" t="s">
        <v>1928</v>
      </c>
      <c r="C188" s="2">
        <v>1</v>
      </c>
      <c r="D188" s="23">
        <v>13.77</v>
      </c>
      <c r="E188" s="3">
        <v>13.77</v>
      </c>
      <c r="F188" s="2" t="s">
        <v>1929</v>
      </c>
      <c r="G188" s="22"/>
      <c r="H188" s="24" t="s">
        <v>20152</v>
      </c>
      <c r="I188" s="22" t="s">
        <v>19309</v>
      </c>
      <c r="J188" s="22" t="s">
        <v>19708</v>
      </c>
      <c r="K188" s="22" t="s">
        <v>19709</v>
      </c>
      <c r="L188" s="22"/>
      <c r="M188" s="22"/>
      <c r="N188" s="25" t="str">
        <f>HYPERLINK("http://slimages.macys.com/is/image/MCY/21183975 ")</f>
        <v xml:space="preserve">http://slimages.macys.com/is/image/MCY/21183975 </v>
      </c>
    </row>
    <row r="189" spans="1:14" x14ac:dyDescent="0.25">
      <c r="A189" s="21" t="s">
        <v>1930</v>
      </c>
      <c r="B189" s="22" t="s">
        <v>1931</v>
      </c>
      <c r="C189" s="2">
        <v>1</v>
      </c>
      <c r="D189" s="23">
        <v>18</v>
      </c>
      <c r="E189" s="3">
        <v>18</v>
      </c>
      <c r="F189" s="2" t="s">
        <v>1932</v>
      </c>
      <c r="G189" s="22" t="s">
        <v>19351</v>
      </c>
      <c r="H189" s="24" t="s">
        <v>19432</v>
      </c>
      <c r="I189" s="22" t="s">
        <v>19309</v>
      </c>
      <c r="J189" s="22" t="s">
        <v>19559</v>
      </c>
      <c r="K189" s="22" t="s">
        <v>12872</v>
      </c>
      <c r="L189" s="22"/>
      <c r="M189" s="22"/>
      <c r="N189" s="25" t="str">
        <f>HYPERLINK("http://slimages.macys.com/is/image/MCY/21467191 ")</f>
        <v xml:space="preserve">http://slimages.macys.com/is/image/MCY/21467191 </v>
      </c>
    </row>
    <row r="190" spans="1:14" ht="24.75" x14ac:dyDescent="0.25">
      <c r="A190" s="21" t="s">
        <v>4751</v>
      </c>
      <c r="B190" s="22" t="s">
        <v>4752</v>
      </c>
      <c r="C190" s="2">
        <v>2</v>
      </c>
      <c r="D190" s="23">
        <v>17.989999999999998</v>
      </c>
      <c r="E190" s="3">
        <v>35.979999999999997</v>
      </c>
      <c r="F190" s="2" t="s">
        <v>4753</v>
      </c>
      <c r="G190" s="22" t="s">
        <v>19342</v>
      </c>
      <c r="H190" s="24" t="s">
        <v>19334</v>
      </c>
      <c r="I190" s="22" t="s">
        <v>19309</v>
      </c>
      <c r="J190" s="22" t="s">
        <v>19696</v>
      </c>
      <c r="K190" s="22" t="s">
        <v>19965</v>
      </c>
      <c r="L190" s="22"/>
      <c r="M190" s="22"/>
      <c r="N190" s="25" t="str">
        <f>HYPERLINK("http://slimages.macys.com/is/image/MCY/20662565 ")</f>
        <v xml:space="preserve">http://slimages.macys.com/is/image/MCY/20662565 </v>
      </c>
    </row>
    <row r="191" spans="1:14" ht="24.75" x14ac:dyDescent="0.25">
      <c r="A191" s="21" t="s">
        <v>18225</v>
      </c>
      <c r="B191" s="22" t="s">
        <v>18226</v>
      </c>
      <c r="C191" s="2">
        <v>1</v>
      </c>
      <c r="D191" s="23">
        <v>15.99</v>
      </c>
      <c r="E191" s="3">
        <v>15.99</v>
      </c>
      <c r="F191" s="2" t="s">
        <v>18227</v>
      </c>
      <c r="G191" s="22" t="s">
        <v>19670</v>
      </c>
      <c r="H191" s="24" t="s">
        <v>19797</v>
      </c>
      <c r="I191" s="22" t="s">
        <v>19309</v>
      </c>
      <c r="J191" s="22" t="s">
        <v>19849</v>
      </c>
      <c r="K191" s="22" t="s">
        <v>19850</v>
      </c>
      <c r="L191" s="22"/>
      <c r="M191" s="22"/>
      <c r="N191" s="25" t="str">
        <f>HYPERLINK("http://slimages.macys.com/is/image/MCY/1553370 ")</f>
        <v xml:space="preserve">http://slimages.macys.com/is/image/MCY/1553370 </v>
      </c>
    </row>
    <row r="192" spans="1:14" x14ac:dyDescent="0.25">
      <c r="A192" s="21" t="s">
        <v>16103</v>
      </c>
      <c r="B192" s="22" t="s">
        <v>16104</v>
      </c>
      <c r="C192" s="2">
        <v>1</v>
      </c>
      <c r="D192" s="23">
        <v>15.99</v>
      </c>
      <c r="E192" s="3">
        <v>15.99</v>
      </c>
      <c r="F192" s="2" t="s">
        <v>18227</v>
      </c>
      <c r="G192" s="22" t="s">
        <v>19670</v>
      </c>
      <c r="H192" s="24" t="s">
        <v>19339</v>
      </c>
      <c r="I192" s="22" t="s">
        <v>19309</v>
      </c>
      <c r="J192" s="22" t="s">
        <v>19849</v>
      </c>
      <c r="K192" s="22" t="s">
        <v>19850</v>
      </c>
      <c r="L192" s="22"/>
      <c r="M192" s="22"/>
      <c r="N192" s="25" t="str">
        <f>HYPERLINK("http://slimages.macys.com/is/image/MCY/1553370 ")</f>
        <v xml:space="preserve">http://slimages.macys.com/is/image/MCY/1553370 </v>
      </c>
    </row>
    <row r="193" spans="1:14" x14ac:dyDescent="0.25">
      <c r="A193" s="21" t="s">
        <v>1933</v>
      </c>
      <c r="B193" s="22" t="s">
        <v>1934</v>
      </c>
      <c r="C193" s="2">
        <v>1</v>
      </c>
      <c r="D193" s="23">
        <v>16.72</v>
      </c>
      <c r="E193" s="3">
        <v>16.72</v>
      </c>
      <c r="F193" s="2" t="s">
        <v>12159</v>
      </c>
      <c r="G193" s="22"/>
      <c r="H193" s="24" t="s">
        <v>20152</v>
      </c>
      <c r="I193" s="22" t="s">
        <v>19309</v>
      </c>
      <c r="J193" s="22" t="s">
        <v>19708</v>
      </c>
      <c r="K193" s="22" t="s">
        <v>19709</v>
      </c>
      <c r="L193" s="22"/>
      <c r="M193" s="22"/>
      <c r="N193" s="25" t="str">
        <f>HYPERLINK("http://slimages.macys.com/is/image/MCY/21409050 ")</f>
        <v xml:space="preserve">http://slimages.macys.com/is/image/MCY/21409050 </v>
      </c>
    </row>
    <row r="194" spans="1:14" ht="24.75" x14ac:dyDescent="0.25">
      <c r="A194" s="21" t="s">
        <v>5849</v>
      </c>
      <c r="B194" s="22" t="s">
        <v>5850</v>
      </c>
      <c r="C194" s="2">
        <v>2</v>
      </c>
      <c r="D194" s="23">
        <v>15.99</v>
      </c>
      <c r="E194" s="3">
        <v>31.98</v>
      </c>
      <c r="F194" s="2" t="s">
        <v>6815</v>
      </c>
      <c r="G194" s="22" t="s">
        <v>18439</v>
      </c>
      <c r="H194" s="24" t="s">
        <v>19364</v>
      </c>
      <c r="I194" s="22" t="s">
        <v>19309</v>
      </c>
      <c r="J194" s="22" t="s">
        <v>19454</v>
      </c>
      <c r="K194" s="22" t="s">
        <v>18654</v>
      </c>
      <c r="L194" s="22"/>
      <c r="M194" s="22"/>
      <c r="N194" s="25" t="str">
        <f>HYPERLINK("http://slimages.macys.com/is/image/MCY/21708498 ")</f>
        <v xml:space="preserve">http://slimages.macys.com/is/image/MCY/21708498 </v>
      </c>
    </row>
    <row r="195" spans="1:14" ht="24.75" x14ac:dyDescent="0.25">
      <c r="A195" s="21" t="s">
        <v>1935</v>
      </c>
      <c r="B195" s="22" t="s">
        <v>1936</v>
      </c>
      <c r="C195" s="2">
        <v>1</v>
      </c>
      <c r="D195" s="23">
        <v>15.99</v>
      </c>
      <c r="E195" s="3">
        <v>15.99</v>
      </c>
      <c r="F195" s="2" t="s">
        <v>6815</v>
      </c>
      <c r="G195" s="22" t="s">
        <v>18439</v>
      </c>
      <c r="H195" s="24" t="s">
        <v>19339</v>
      </c>
      <c r="I195" s="22" t="s">
        <v>19309</v>
      </c>
      <c r="J195" s="22" t="s">
        <v>19454</v>
      </c>
      <c r="K195" s="22" t="s">
        <v>18654</v>
      </c>
      <c r="L195" s="22"/>
      <c r="M195" s="22"/>
      <c r="N195" s="25" t="str">
        <f>HYPERLINK("http://slimages.macys.com/is/image/MCY/21708498 ")</f>
        <v xml:space="preserve">http://slimages.macys.com/is/image/MCY/21708498 </v>
      </c>
    </row>
    <row r="196" spans="1:14" ht="24.75" x14ac:dyDescent="0.25">
      <c r="A196" s="21" t="s">
        <v>1937</v>
      </c>
      <c r="B196" s="22" t="s">
        <v>1938</v>
      </c>
      <c r="C196" s="2">
        <v>1</v>
      </c>
      <c r="D196" s="23">
        <v>15.99</v>
      </c>
      <c r="E196" s="3">
        <v>15.99</v>
      </c>
      <c r="F196" s="2" t="s">
        <v>6815</v>
      </c>
      <c r="G196" s="22" t="s">
        <v>20145</v>
      </c>
      <c r="H196" s="24" t="s">
        <v>19352</v>
      </c>
      <c r="I196" s="22" t="s">
        <v>19309</v>
      </c>
      <c r="J196" s="22" t="s">
        <v>19454</v>
      </c>
      <c r="K196" s="22" t="s">
        <v>18654</v>
      </c>
      <c r="L196" s="22"/>
      <c r="M196" s="22"/>
      <c r="N196" s="25" t="str">
        <f>HYPERLINK("http://slimages.macys.com/is/image/MCY/21708498 ")</f>
        <v xml:space="preserve">http://slimages.macys.com/is/image/MCY/21708498 </v>
      </c>
    </row>
    <row r="197" spans="1:14" ht="24.75" x14ac:dyDescent="0.25">
      <c r="A197" s="21" t="s">
        <v>1939</v>
      </c>
      <c r="B197" s="22" t="s">
        <v>1940</v>
      </c>
      <c r="C197" s="2">
        <v>2</v>
      </c>
      <c r="D197" s="23">
        <v>15.99</v>
      </c>
      <c r="E197" s="3">
        <v>31.98</v>
      </c>
      <c r="F197" s="2" t="s">
        <v>6815</v>
      </c>
      <c r="G197" s="22" t="s">
        <v>20145</v>
      </c>
      <c r="H197" s="24" t="s">
        <v>19308</v>
      </c>
      <c r="I197" s="22" t="s">
        <v>19309</v>
      </c>
      <c r="J197" s="22" t="s">
        <v>19454</v>
      </c>
      <c r="K197" s="22" t="s">
        <v>18654</v>
      </c>
      <c r="L197" s="22"/>
      <c r="M197" s="22"/>
      <c r="N197" s="25" t="str">
        <f>HYPERLINK("http://slimages.macys.com/is/image/MCY/21708498 ")</f>
        <v xml:space="preserve">http://slimages.macys.com/is/image/MCY/21708498 </v>
      </c>
    </row>
    <row r="198" spans="1:14" ht="24.75" x14ac:dyDescent="0.25">
      <c r="A198" s="21" t="s">
        <v>1941</v>
      </c>
      <c r="B198" s="22" t="s">
        <v>1942</v>
      </c>
      <c r="C198" s="2">
        <v>1</v>
      </c>
      <c r="D198" s="23">
        <v>14.63</v>
      </c>
      <c r="E198" s="3">
        <v>14.63</v>
      </c>
      <c r="F198" s="2" t="s">
        <v>1943</v>
      </c>
      <c r="G198" s="22"/>
      <c r="H198" s="24" t="s">
        <v>19361</v>
      </c>
      <c r="I198" s="22" t="s">
        <v>19309</v>
      </c>
      <c r="J198" s="22" t="s">
        <v>19602</v>
      </c>
      <c r="K198" s="22" t="s">
        <v>20041</v>
      </c>
      <c r="L198" s="22"/>
      <c r="M198" s="22"/>
      <c r="N198" s="25" t="str">
        <f>HYPERLINK("http://slimages.macys.com/is/image/MCY/19973752 ")</f>
        <v xml:space="preserve">http://slimages.macys.com/is/image/MCY/19973752 </v>
      </c>
    </row>
    <row r="199" spans="1:14" ht="24.75" x14ac:dyDescent="0.25">
      <c r="A199" s="21" t="s">
        <v>2714</v>
      </c>
      <c r="B199" s="22" t="s">
        <v>2715</v>
      </c>
      <c r="C199" s="2">
        <v>1</v>
      </c>
      <c r="D199" s="23">
        <v>12.99</v>
      </c>
      <c r="E199" s="3">
        <v>12.99</v>
      </c>
      <c r="F199" s="2" t="s">
        <v>20249</v>
      </c>
      <c r="G199" s="22" t="s">
        <v>19338</v>
      </c>
      <c r="H199" s="24"/>
      <c r="I199" s="22" t="s">
        <v>19309</v>
      </c>
      <c r="J199" s="22" t="s">
        <v>20076</v>
      </c>
      <c r="K199" s="22" t="s">
        <v>20250</v>
      </c>
      <c r="L199" s="22" t="s">
        <v>19319</v>
      </c>
      <c r="M199" s="22" t="s">
        <v>20251</v>
      </c>
      <c r="N199" s="25" t="str">
        <f>HYPERLINK("http://slimages.macys.com/is/image/MCY/9336625 ")</f>
        <v xml:space="preserve">http://slimages.macys.com/is/image/MCY/9336625 </v>
      </c>
    </row>
    <row r="200" spans="1:14" ht="24.75" x14ac:dyDescent="0.25">
      <c r="A200" s="21" t="s">
        <v>2718</v>
      </c>
      <c r="B200" s="22" t="s">
        <v>2719</v>
      </c>
      <c r="C200" s="2">
        <v>1</v>
      </c>
      <c r="D200" s="23">
        <v>12.99</v>
      </c>
      <c r="E200" s="3">
        <v>12.99</v>
      </c>
      <c r="F200" s="2">
        <v>5133</v>
      </c>
      <c r="G200" s="22" t="s">
        <v>19333</v>
      </c>
      <c r="H200" s="24"/>
      <c r="I200" s="22" t="s">
        <v>19309</v>
      </c>
      <c r="J200" s="22" t="s">
        <v>20076</v>
      </c>
      <c r="K200" s="22" t="s">
        <v>20250</v>
      </c>
      <c r="L200" s="22" t="s">
        <v>19319</v>
      </c>
      <c r="M200" s="22" t="s">
        <v>19689</v>
      </c>
      <c r="N200" s="25" t="str">
        <f>HYPERLINK("http://slimages.macys.com/is/image/MCY/17906319 ")</f>
        <v xml:space="preserve">http://slimages.macys.com/is/image/MCY/17906319 </v>
      </c>
    </row>
    <row r="201" spans="1:14" ht="24.75" x14ac:dyDescent="0.25">
      <c r="A201" s="21" t="s">
        <v>1944</v>
      </c>
      <c r="B201" s="22" t="s">
        <v>1945</v>
      </c>
      <c r="C201" s="2">
        <v>6</v>
      </c>
      <c r="D201" s="23">
        <v>30</v>
      </c>
      <c r="E201" s="3">
        <v>180</v>
      </c>
      <c r="F201" s="2" t="s">
        <v>4772</v>
      </c>
      <c r="G201" s="22" t="s">
        <v>19594</v>
      </c>
      <c r="H201" s="24" t="s">
        <v>19330</v>
      </c>
      <c r="I201" s="22" t="s">
        <v>19309</v>
      </c>
      <c r="J201" s="22" t="s">
        <v>19417</v>
      </c>
      <c r="K201" s="22" t="s">
        <v>18317</v>
      </c>
      <c r="L201" s="22"/>
      <c r="M201" s="22"/>
      <c r="N201" s="25" t="str">
        <f>HYPERLINK("http://slimages.macys.com/is/image/MCY/21615012 ")</f>
        <v xml:space="preserve">http://slimages.macys.com/is/image/MCY/21615012 </v>
      </c>
    </row>
    <row r="202" spans="1:14" ht="24.75" x14ac:dyDescent="0.25">
      <c r="A202" s="21" t="s">
        <v>13729</v>
      </c>
      <c r="B202" s="22" t="s">
        <v>13730</v>
      </c>
      <c r="C202" s="2">
        <v>1</v>
      </c>
      <c r="D202" s="23">
        <v>12.99</v>
      </c>
      <c r="E202" s="3">
        <v>12.99</v>
      </c>
      <c r="F202" s="2">
        <v>5133</v>
      </c>
      <c r="G202" s="22" t="s">
        <v>19333</v>
      </c>
      <c r="H202" s="24"/>
      <c r="I202" s="22" t="s">
        <v>19309</v>
      </c>
      <c r="J202" s="22" t="s">
        <v>20076</v>
      </c>
      <c r="K202" s="22" t="s">
        <v>20250</v>
      </c>
      <c r="L202" s="22" t="s">
        <v>19319</v>
      </c>
      <c r="M202" s="22" t="s">
        <v>19689</v>
      </c>
      <c r="N202" s="25" t="str">
        <f>HYPERLINK("http://slimages.macys.com/is/image/MCY/17906319 ")</f>
        <v xml:space="preserve">http://slimages.macys.com/is/image/MCY/17906319 </v>
      </c>
    </row>
    <row r="203" spans="1:14" ht="24.75" x14ac:dyDescent="0.25">
      <c r="A203" s="21" t="s">
        <v>1946</v>
      </c>
      <c r="B203" s="22" t="s">
        <v>1947</v>
      </c>
      <c r="C203" s="2">
        <v>1</v>
      </c>
      <c r="D203" s="23">
        <v>13.99</v>
      </c>
      <c r="E203" s="3">
        <v>13.99</v>
      </c>
      <c r="F203" s="2" t="s">
        <v>1948</v>
      </c>
      <c r="G203" s="22" t="s">
        <v>19338</v>
      </c>
      <c r="H203" s="24" t="s">
        <v>19542</v>
      </c>
      <c r="I203" s="22" t="s">
        <v>19309</v>
      </c>
      <c r="J203" s="22" t="s">
        <v>19447</v>
      </c>
      <c r="K203" s="22" t="s">
        <v>19463</v>
      </c>
      <c r="L203" s="22"/>
      <c r="M203" s="22"/>
      <c r="N203" s="25" t="str">
        <f>HYPERLINK("http://slimages.macys.com/is/image/MCY/21168336 ")</f>
        <v xml:space="preserve">http://slimages.macys.com/is/image/MCY/21168336 </v>
      </c>
    </row>
    <row r="204" spans="1:14" ht="24.75" x14ac:dyDescent="0.25">
      <c r="A204" s="21" t="s">
        <v>13739</v>
      </c>
      <c r="B204" s="22" t="s">
        <v>13740</v>
      </c>
      <c r="C204" s="2">
        <v>1</v>
      </c>
      <c r="D204" s="23">
        <v>11.99</v>
      </c>
      <c r="E204" s="3">
        <v>11.99</v>
      </c>
      <c r="F204" s="2">
        <v>100007433</v>
      </c>
      <c r="G204" s="22" t="s">
        <v>19338</v>
      </c>
      <c r="H204" s="24" t="s">
        <v>19384</v>
      </c>
      <c r="I204" s="22" t="s">
        <v>19309</v>
      </c>
      <c r="J204" s="22" t="s">
        <v>19573</v>
      </c>
      <c r="K204" s="22" t="s">
        <v>20256</v>
      </c>
      <c r="L204" s="22" t="s">
        <v>19319</v>
      </c>
      <c r="M204" s="22" t="s">
        <v>20257</v>
      </c>
      <c r="N204" s="25" t="str">
        <f>HYPERLINK("http://slimages.macys.com/is/image/MCY/9157891 ")</f>
        <v xml:space="preserve">http://slimages.macys.com/is/image/MCY/9157891 </v>
      </c>
    </row>
    <row r="205" spans="1:14" ht="24.75" x14ac:dyDescent="0.25">
      <c r="A205" s="21" t="s">
        <v>1949</v>
      </c>
      <c r="B205" s="22" t="s">
        <v>1950</v>
      </c>
      <c r="C205" s="2">
        <v>1</v>
      </c>
      <c r="D205" s="23">
        <v>14.12</v>
      </c>
      <c r="E205" s="3">
        <v>14.12</v>
      </c>
      <c r="F205" s="2" t="s">
        <v>5868</v>
      </c>
      <c r="G205" s="22"/>
      <c r="H205" s="24" t="s">
        <v>19392</v>
      </c>
      <c r="I205" s="22" t="s">
        <v>19309</v>
      </c>
      <c r="J205" s="22" t="s">
        <v>19602</v>
      </c>
      <c r="K205" s="22" t="s">
        <v>20041</v>
      </c>
      <c r="L205" s="22"/>
      <c r="M205" s="22"/>
      <c r="N205" s="25" t="str">
        <f>HYPERLINK("http://slimages.macys.com/is/image/MCY/20529028 ")</f>
        <v xml:space="preserve">http://slimages.macys.com/is/image/MCY/20529028 </v>
      </c>
    </row>
    <row r="206" spans="1:14" ht="24.75" x14ac:dyDescent="0.25">
      <c r="A206" s="21" t="s">
        <v>1951</v>
      </c>
      <c r="B206" s="22" t="s">
        <v>1952</v>
      </c>
      <c r="C206" s="2">
        <v>1</v>
      </c>
      <c r="D206" s="23">
        <v>14.99</v>
      </c>
      <c r="E206" s="3">
        <v>14.99</v>
      </c>
      <c r="F206" s="2" t="s">
        <v>11727</v>
      </c>
      <c r="G206" s="22" t="s">
        <v>19315</v>
      </c>
      <c r="H206" s="24" t="s">
        <v>19392</v>
      </c>
      <c r="I206" s="22" t="s">
        <v>19309</v>
      </c>
      <c r="J206" s="22" t="s">
        <v>19815</v>
      </c>
      <c r="K206" s="22" t="s">
        <v>19816</v>
      </c>
      <c r="L206" s="22"/>
      <c r="M206" s="22"/>
      <c r="N206" s="25" t="str">
        <f>HYPERLINK("http://slimages.macys.com/is/image/MCY/1107146 ")</f>
        <v xml:space="preserve">http://slimages.macys.com/is/image/MCY/1107146 </v>
      </c>
    </row>
    <row r="207" spans="1:14" ht="24.75" x14ac:dyDescent="0.25">
      <c r="A207" s="21" t="s">
        <v>20312</v>
      </c>
      <c r="B207" s="22" t="s">
        <v>19916</v>
      </c>
      <c r="C207" s="2">
        <v>1</v>
      </c>
      <c r="D207" s="23">
        <v>16.989999999999998</v>
      </c>
      <c r="E207" s="3">
        <v>16.989999999999998</v>
      </c>
      <c r="F207" s="2" t="s">
        <v>20311</v>
      </c>
      <c r="G207" s="22" t="s">
        <v>19713</v>
      </c>
      <c r="H207" s="24"/>
      <c r="I207" s="22" t="s">
        <v>19309</v>
      </c>
      <c r="J207" s="22" t="s">
        <v>19573</v>
      </c>
      <c r="K207" s="22" t="s">
        <v>19574</v>
      </c>
      <c r="L207" s="22"/>
      <c r="M207" s="22"/>
      <c r="N207" s="25" t="str">
        <f>HYPERLINK("http://slimages.macys.com/is/image/MCY/1597998 ")</f>
        <v xml:space="preserve">http://slimages.macys.com/is/image/MCY/1597998 </v>
      </c>
    </row>
    <row r="208" spans="1:14" ht="24.75" x14ac:dyDescent="0.25">
      <c r="A208" s="21" t="s">
        <v>1953</v>
      </c>
      <c r="B208" s="22" t="s">
        <v>1954</v>
      </c>
      <c r="C208" s="2">
        <v>1</v>
      </c>
      <c r="D208" s="23">
        <v>14.99</v>
      </c>
      <c r="E208" s="3">
        <v>14.99</v>
      </c>
      <c r="F208" s="2" t="s">
        <v>11727</v>
      </c>
      <c r="G208" s="22" t="s">
        <v>19315</v>
      </c>
      <c r="H208" s="24" t="s">
        <v>19432</v>
      </c>
      <c r="I208" s="22" t="s">
        <v>19309</v>
      </c>
      <c r="J208" s="22" t="s">
        <v>19815</v>
      </c>
      <c r="K208" s="22" t="s">
        <v>19816</v>
      </c>
      <c r="L208" s="22"/>
      <c r="M208" s="22"/>
      <c r="N208" s="25" t="str">
        <f>HYPERLINK("http://slimages.macys.com/is/image/MCY/1107146 ")</f>
        <v xml:space="preserve">http://slimages.macys.com/is/image/MCY/1107146 </v>
      </c>
    </row>
    <row r="209" spans="1:14" ht="24.75" x14ac:dyDescent="0.25">
      <c r="A209" s="21" t="s">
        <v>20317</v>
      </c>
      <c r="B209" s="22" t="s">
        <v>20318</v>
      </c>
      <c r="C209" s="2">
        <v>1</v>
      </c>
      <c r="D209" s="23">
        <v>14.99</v>
      </c>
      <c r="E209" s="3">
        <v>14.99</v>
      </c>
      <c r="F209" s="2" t="s">
        <v>20319</v>
      </c>
      <c r="G209" s="22" t="s">
        <v>19357</v>
      </c>
      <c r="H209" s="24"/>
      <c r="I209" s="22" t="s">
        <v>19309</v>
      </c>
      <c r="J209" s="22" t="s">
        <v>19317</v>
      </c>
      <c r="K209" s="22" t="s">
        <v>20320</v>
      </c>
      <c r="L209" s="22"/>
      <c r="M209" s="22"/>
      <c r="N209" s="25" t="str">
        <f>HYPERLINK("http://slimages.macys.com/is/image/MCY/21201810 ")</f>
        <v xml:space="preserve">http://slimages.macys.com/is/image/MCY/21201810 </v>
      </c>
    </row>
    <row r="210" spans="1:14" ht="24.75" x14ac:dyDescent="0.25">
      <c r="A210" s="21" t="s">
        <v>1955</v>
      </c>
      <c r="B210" s="22" t="s">
        <v>1956</v>
      </c>
      <c r="C210" s="2">
        <v>2</v>
      </c>
      <c r="D210" s="23">
        <v>11.99</v>
      </c>
      <c r="E210" s="3">
        <v>23.98</v>
      </c>
      <c r="F210" s="2" t="s">
        <v>2763</v>
      </c>
      <c r="G210" s="22" t="s">
        <v>19357</v>
      </c>
      <c r="H210" s="24" t="s">
        <v>19538</v>
      </c>
      <c r="I210" s="22" t="s">
        <v>19309</v>
      </c>
      <c r="J210" s="22" t="s">
        <v>19573</v>
      </c>
      <c r="K210" s="22" t="s">
        <v>20256</v>
      </c>
      <c r="L210" s="22" t="s">
        <v>19319</v>
      </c>
      <c r="M210" s="22" t="s">
        <v>19358</v>
      </c>
      <c r="N210" s="25" t="str">
        <f>HYPERLINK("http://slimages.macys.com/is/image/MCY/8018014 ")</f>
        <v xml:space="preserve">http://slimages.macys.com/is/image/MCY/8018014 </v>
      </c>
    </row>
    <row r="211" spans="1:14" ht="24.75" x14ac:dyDescent="0.25">
      <c r="A211" s="21" t="s">
        <v>2761</v>
      </c>
      <c r="B211" s="22" t="s">
        <v>2762</v>
      </c>
      <c r="C211" s="2">
        <v>1</v>
      </c>
      <c r="D211" s="23">
        <v>11.99</v>
      </c>
      <c r="E211" s="3">
        <v>11.99</v>
      </c>
      <c r="F211" s="2" t="s">
        <v>2763</v>
      </c>
      <c r="G211" s="22" t="s">
        <v>19357</v>
      </c>
      <c r="H211" s="24" t="s">
        <v>19770</v>
      </c>
      <c r="I211" s="22" t="s">
        <v>19309</v>
      </c>
      <c r="J211" s="22" t="s">
        <v>19573</v>
      </c>
      <c r="K211" s="22" t="s">
        <v>20256</v>
      </c>
      <c r="L211" s="22" t="s">
        <v>19319</v>
      </c>
      <c r="M211" s="22" t="s">
        <v>19358</v>
      </c>
      <c r="N211" s="25" t="str">
        <f>HYPERLINK("http://slimages.macys.com/is/image/MCY/8018014 ")</f>
        <v xml:space="preserve">http://slimages.macys.com/is/image/MCY/8018014 </v>
      </c>
    </row>
    <row r="212" spans="1:14" ht="24.75" x14ac:dyDescent="0.25">
      <c r="A212" s="21" t="s">
        <v>1957</v>
      </c>
      <c r="B212" s="22" t="s">
        <v>1958</v>
      </c>
      <c r="C212" s="2">
        <v>2</v>
      </c>
      <c r="D212" s="23">
        <v>11.99</v>
      </c>
      <c r="E212" s="3">
        <v>23.98</v>
      </c>
      <c r="F212" s="2" t="s">
        <v>2763</v>
      </c>
      <c r="G212" s="22" t="s">
        <v>19357</v>
      </c>
      <c r="H212" s="24"/>
      <c r="I212" s="22" t="s">
        <v>19309</v>
      </c>
      <c r="J212" s="22" t="s">
        <v>19573</v>
      </c>
      <c r="K212" s="22" t="s">
        <v>20256</v>
      </c>
      <c r="L212" s="22" t="s">
        <v>19319</v>
      </c>
      <c r="M212" s="22" t="s">
        <v>19358</v>
      </c>
      <c r="N212" s="25" t="str">
        <f>HYPERLINK("http://slimages.macys.com/is/image/MCY/8018014 ")</f>
        <v xml:space="preserve">http://slimages.macys.com/is/image/MCY/8018014 </v>
      </c>
    </row>
    <row r="213" spans="1:14" x14ac:dyDescent="0.25">
      <c r="A213" s="21" t="s">
        <v>1959</v>
      </c>
      <c r="B213" s="22" t="s">
        <v>1960</v>
      </c>
      <c r="C213" s="2">
        <v>1</v>
      </c>
      <c r="D213" s="23">
        <v>15.13</v>
      </c>
      <c r="E213" s="3">
        <v>15.13</v>
      </c>
      <c r="F213" s="2" t="s">
        <v>13793</v>
      </c>
      <c r="G213" s="22"/>
      <c r="H213" s="24" t="s">
        <v>19330</v>
      </c>
      <c r="I213" s="22" t="s">
        <v>19309</v>
      </c>
      <c r="J213" s="22" t="s">
        <v>19708</v>
      </c>
      <c r="K213" s="22" t="s">
        <v>19709</v>
      </c>
      <c r="L213" s="22"/>
      <c r="M213" s="22"/>
      <c r="N213" s="25" t="str">
        <f>HYPERLINK("http://slimages.macys.com/is/image/MCY/21752166 ")</f>
        <v xml:space="preserve">http://slimages.macys.com/is/image/MCY/21752166 </v>
      </c>
    </row>
    <row r="214" spans="1:14" ht="24.75" x14ac:dyDescent="0.25">
      <c r="A214" s="21" t="s">
        <v>1961</v>
      </c>
      <c r="B214" s="22" t="s">
        <v>1962</v>
      </c>
      <c r="C214" s="2">
        <v>1</v>
      </c>
      <c r="D214" s="23">
        <v>12.99</v>
      </c>
      <c r="E214" s="3">
        <v>12.99</v>
      </c>
      <c r="F214" s="2" t="s">
        <v>6854</v>
      </c>
      <c r="G214" s="22" t="s">
        <v>19618</v>
      </c>
      <c r="H214" s="24"/>
      <c r="I214" s="22" t="s">
        <v>19309</v>
      </c>
      <c r="J214" s="22" t="s">
        <v>20076</v>
      </c>
      <c r="K214" s="22" t="s">
        <v>12199</v>
      </c>
      <c r="L214" s="22"/>
      <c r="M214" s="22"/>
      <c r="N214" s="25" t="str">
        <f>HYPERLINK("http://slimages.macys.com/is/image/MCY/21347190 ")</f>
        <v xml:space="preserve">http://slimages.macys.com/is/image/MCY/21347190 </v>
      </c>
    </row>
    <row r="215" spans="1:14" x14ac:dyDescent="0.25">
      <c r="A215" s="21" t="s">
        <v>1963</v>
      </c>
      <c r="B215" s="22" t="s">
        <v>1964</v>
      </c>
      <c r="C215" s="2">
        <v>1</v>
      </c>
      <c r="D215" s="23">
        <v>15.13</v>
      </c>
      <c r="E215" s="3">
        <v>15.13</v>
      </c>
      <c r="F215" s="2" t="s">
        <v>5912</v>
      </c>
      <c r="G215" s="22" t="s">
        <v>19594</v>
      </c>
      <c r="H215" s="24" t="s">
        <v>19324</v>
      </c>
      <c r="I215" s="22" t="s">
        <v>19309</v>
      </c>
      <c r="J215" s="22" t="s">
        <v>19708</v>
      </c>
      <c r="K215" s="22" t="s">
        <v>19709</v>
      </c>
      <c r="L215" s="22"/>
      <c r="M215" s="22"/>
      <c r="N215" s="25" t="str">
        <f>HYPERLINK("http://slimages.macys.com/is/image/MCY/21758271 ")</f>
        <v xml:space="preserve">http://slimages.macys.com/is/image/MCY/21758271 </v>
      </c>
    </row>
    <row r="216" spans="1:14" x14ac:dyDescent="0.25">
      <c r="A216" s="21" t="s">
        <v>5906</v>
      </c>
      <c r="B216" s="22" t="s">
        <v>5907</v>
      </c>
      <c r="C216" s="2">
        <v>1</v>
      </c>
      <c r="D216" s="23">
        <v>15.13</v>
      </c>
      <c r="E216" s="3">
        <v>15.13</v>
      </c>
      <c r="F216" s="2" t="s">
        <v>5905</v>
      </c>
      <c r="G216" s="22" t="s">
        <v>19338</v>
      </c>
      <c r="H216" s="24" t="s">
        <v>19324</v>
      </c>
      <c r="I216" s="22" t="s">
        <v>19309</v>
      </c>
      <c r="J216" s="22" t="s">
        <v>19708</v>
      </c>
      <c r="K216" s="22" t="s">
        <v>19709</v>
      </c>
      <c r="L216" s="22"/>
      <c r="M216" s="22"/>
      <c r="N216" s="25" t="str">
        <f>HYPERLINK("http://slimages.macys.com/is/image/MCY/21414189 ")</f>
        <v xml:space="preserve">http://slimages.macys.com/is/image/MCY/21414189 </v>
      </c>
    </row>
    <row r="217" spans="1:14" x14ac:dyDescent="0.25">
      <c r="A217" s="21" t="s">
        <v>13791</v>
      </c>
      <c r="B217" s="22" t="s">
        <v>13792</v>
      </c>
      <c r="C217" s="2">
        <v>1</v>
      </c>
      <c r="D217" s="23">
        <v>15.13</v>
      </c>
      <c r="E217" s="3">
        <v>15.13</v>
      </c>
      <c r="F217" s="2" t="s">
        <v>13793</v>
      </c>
      <c r="G217" s="22"/>
      <c r="H217" s="24" t="s">
        <v>20159</v>
      </c>
      <c r="I217" s="22" t="s">
        <v>19309</v>
      </c>
      <c r="J217" s="22" t="s">
        <v>19708</v>
      </c>
      <c r="K217" s="22" t="s">
        <v>19709</v>
      </c>
      <c r="L217" s="22"/>
      <c r="M217" s="22"/>
      <c r="N217" s="25" t="str">
        <f>HYPERLINK("http://slimages.macys.com/is/image/MCY/21752166 ")</f>
        <v xml:space="preserve">http://slimages.macys.com/is/image/MCY/21752166 </v>
      </c>
    </row>
    <row r="218" spans="1:14" x14ac:dyDescent="0.25">
      <c r="A218" s="21" t="s">
        <v>12207</v>
      </c>
      <c r="B218" s="22" t="s">
        <v>12208</v>
      </c>
      <c r="C218" s="2">
        <v>1</v>
      </c>
      <c r="D218" s="23">
        <v>15.13</v>
      </c>
      <c r="E218" s="3">
        <v>15.13</v>
      </c>
      <c r="F218" s="2" t="s">
        <v>13793</v>
      </c>
      <c r="G218" s="22"/>
      <c r="H218" s="24" t="s">
        <v>19770</v>
      </c>
      <c r="I218" s="22" t="s">
        <v>19309</v>
      </c>
      <c r="J218" s="22" t="s">
        <v>19708</v>
      </c>
      <c r="K218" s="22" t="s">
        <v>19709</v>
      </c>
      <c r="L218" s="22"/>
      <c r="M218" s="22"/>
      <c r="N218" s="25" t="str">
        <f>HYPERLINK("http://slimages.macys.com/is/image/MCY/21752166 ")</f>
        <v xml:space="preserve">http://slimages.macys.com/is/image/MCY/21752166 </v>
      </c>
    </row>
    <row r="219" spans="1:14" x14ac:dyDescent="0.25">
      <c r="A219" s="21" t="s">
        <v>5898</v>
      </c>
      <c r="B219" s="22" t="s">
        <v>5899</v>
      </c>
      <c r="C219" s="2">
        <v>1</v>
      </c>
      <c r="D219" s="23">
        <v>15.13</v>
      </c>
      <c r="E219" s="3">
        <v>15.13</v>
      </c>
      <c r="F219" s="2" t="s">
        <v>13793</v>
      </c>
      <c r="G219" s="22"/>
      <c r="H219" s="24" t="s">
        <v>19367</v>
      </c>
      <c r="I219" s="22" t="s">
        <v>19309</v>
      </c>
      <c r="J219" s="22" t="s">
        <v>19708</v>
      </c>
      <c r="K219" s="22" t="s">
        <v>19709</v>
      </c>
      <c r="L219" s="22"/>
      <c r="M219" s="22"/>
      <c r="N219" s="25" t="str">
        <f>HYPERLINK("http://slimages.macys.com/is/image/MCY/21752166 ")</f>
        <v xml:space="preserve">http://slimages.macys.com/is/image/MCY/21752166 </v>
      </c>
    </row>
    <row r="220" spans="1:14" ht="24.75" x14ac:dyDescent="0.25">
      <c r="A220" s="21" t="s">
        <v>1965</v>
      </c>
      <c r="B220" s="22" t="s">
        <v>1966</v>
      </c>
      <c r="C220" s="2">
        <v>1</v>
      </c>
      <c r="D220" s="23">
        <v>15.99</v>
      </c>
      <c r="E220" s="3">
        <v>15.99</v>
      </c>
      <c r="F220" s="2" t="s">
        <v>1967</v>
      </c>
      <c r="G220" s="22" t="s">
        <v>19431</v>
      </c>
      <c r="H220" s="24" t="s">
        <v>19384</v>
      </c>
      <c r="I220" s="22" t="s">
        <v>19309</v>
      </c>
      <c r="J220" s="22" t="s">
        <v>19573</v>
      </c>
      <c r="K220" s="22" t="s">
        <v>19574</v>
      </c>
      <c r="L220" s="22"/>
      <c r="M220" s="22"/>
      <c r="N220" s="25" t="str">
        <f>HYPERLINK("http://slimages.macys.com/is/image/MCY/19042456 ")</f>
        <v xml:space="preserve">http://slimages.macys.com/is/image/MCY/19042456 </v>
      </c>
    </row>
    <row r="221" spans="1:14" x14ac:dyDescent="0.25">
      <c r="A221" s="21" t="s">
        <v>12214</v>
      </c>
      <c r="B221" s="22" t="s">
        <v>12215</v>
      </c>
      <c r="C221" s="2">
        <v>1</v>
      </c>
      <c r="D221" s="23">
        <v>14.93</v>
      </c>
      <c r="E221" s="3">
        <v>14.93</v>
      </c>
      <c r="F221" s="2" t="s">
        <v>13207</v>
      </c>
      <c r="G221" s="22" t="s">
        <v>19338</v>
      </c>
      <c r="H221" s="24" t="s">
        <v>19367</v>
      </c>
      <c r="I221" s="22" t="s">
        <v>19309</v>
      </c>
      <c r="J221" s="22" t="s">
        <v>19708</v>
      </c>
      <c r="K221" s="22" t="s">
        <v>19709</v>
      </c>
      <c r="L221" s="22"/>
      <c r="M221" s="22"/>
      <c r="N221" s="25" t="str">
        <f>HYPERLINK("http://slimages.macys.com/is/image/MCY/22596065 ")</f>
        <v xml:space="preserve">http://slimages.macys.com/is/image/MCY/22596065 </v>
      </c>
    </row>
    <row r="222" spans="1:14" x14ac:dyDescent="0.25">
      <c r="A222" s="21" t="s">
        <v>5921</v>
      </c>
      <c r="B222" s="22" t="s">
        <v>5922</v>
      </c>
      <c r="C222" s="2">
        <v>1</v>
      </c>
      <c r="D222" s="23">
        <v>14.93</v>
      </c>
      <c r="E222" s="3">
        <v>14.93</v>
      </c>
      <c r="F222" s="2" t="s">
        <v>18373</v>
      </c>
      <c r="G222" s="22" t="s">
        <v>19333</v>
      </c>
      <c r="H222" s="24" t="s">
        <v>19770</v>
      </c>
      <c r="I222" s="22" t="s">
        <v>19309</v>
      </c>
      <c r="J222" s="22" t="s">
        <v>19708</v>
      </c>
      <c r="K222" s="22" t="s">
        <v>19709</v>
      </c>
      <c r="L222" s="22"/>
      <c r="M222" s="22"/>
      <c r="N222" s="25" t="str">
        <f>HYPERLINK("http://slimages.macys.com/is/image/MCY/22596466 ")</f>
        <v xml:space="preserve">http://slimages.macys.com/is/image/MCY/22596466 </v>
      </c>
    </row>
    <row r="223" spans="1:14" x14ac:dyDescent="0.25">
      <c r="A223" s="21" t="s">
        <v>1968</v>
      </c>
      <c r="B223" s="22" t="s">
        <v>1969</v>
      </c>
      <c r="C223" s="2">
        <v>1</v>
      </c>
      <c r="D223" s="23">
        <v>14.93</v>
      </c>
      <c r="E223" s="3">
        <v>14.93</v>
      </c>
      <c r="F223" s="2" t="s">
        <v>18373</v>
      </c>
      <c r="G223" s="22" t="s">
        <v>19333</v>
      </c>
      <c r="H223" s="24" t="s">
        <v>19330</v>
      </c>
      <c r="I223" s="22" t="s">
        <v>19309</v>
      </c>
      <c r="J223" s="22" t="s">
        <v>19708</v>
      </c>
      <c r="K223" s="22" t="s">
        <v>19709</v>
      </c>
      <c r="L223" s="22"/>
      <c r="M223" s="22"/>
      <c r="N223" s="25" t="str">
        <f>HYPERLINK("http://slimages.macys.com/is/image/MCY/22596466 ")</f>
        <v xml:space="preserve">http://slimages.macys.com/is/image/MCY/22596466 </v>
      </c>
    </row>
    <row r="224" spans="1:14" x14ac:dyDescent="0.25">
      <c r="A224" s="21" t="s">
        <v>1970</v>
      </c>
      <c r="B224" s="22" t="s">
        <v>1971</v>
      </c>
      <c r="C224" s="2">
        <v>2</v>
      </c>
      <c r="D224" s="23">
        <v>14.93</v>
      </c>
      <c r="E224" s="3">
        <v>29.86</v>
      </c>
      <c r="F224" s="2" t="s">
        <v>13207</v>
      </c>
      <c r="G224" s="22" t="s">
        <v>19338</v>
      </c>
      <c r="H224" s="24" t="s">
        <v>20152</v>
      </c>
      <c r="I224" s="22" t="s">
        <v>19309</v>
      </c>
      <c r="J224" s="22" t="s">
        <v>19708</v>
      </c>
      <c r="K224" s="22" t="s">
        <v>19709</v>
      </c>
      <c r="L224" s="22"/>
      <c r="M224" s="22"/>
      <c r="N224" s="25" t="str">
        <f>HYPERLINK("http://slimages.macys.com/is/image/MCY/22596065 ")</f>
        <v xml:space="preserve">http://slimages.macys.com/is/image/MCY/22596065 </v>
      </c>
    </row>
    <row r="225" spans="1:14" ht="24.75" x14ac:dyDescent="0.25">
      <c r="A225" s="21" t="s">
        <v>18388</v>
      </c>
      <c r="B225" s="22" t="s">
        <v>18389</v>
      </c>
      <c r="C225" s="2">
        <v>1</v>
      </c>
      <c r="D225" s="23">
        <v>16.989999999999998</v>
      </c>
      <c r="E225" s="3">
        <v>16.989999999999998</v>
      </c>
      <c r="F225" s="2" t="s">
        <v>18376</v>
      </c>
      <c r="G225" s="22" t="s">
        <v>19670</v>
      </c>
      <c r="H225" s="24" t="s">
        <v>19324</v>
      </c>
      <c r="I225" s="22" t="s">
        <v>19309</v>
      </c>
      <c r="J225" s="22" t="s">
        <v>19573</v>
      </c>
      <c r="K225" s="22" t="s">
        <v>19574</v>
      </c>
      <c r="L225" s="22"/>
      <c r="M225" s="22"/>
      <c r="N225" s="25" t="str">
        <f>HYPERLINK("http://slimages.macys.com/is/image/MCY/1516070 ")</f>
        <v xml:space="preserve">http://slimages.macys.com/is/image/MCY/1516070 </v>
      </c>
    </row>
    <row r="226" spans="1:14" ht="24.75" x14ac:dyDescent="0.25">
      <c r="A226" s="21" t="s">
        <v>13802</v>
      </c>
      <c r="B226" s="22" t="s">
        <v>13803</v>
      </c>
      <c r="C226" s="2">
        <v>1</v>
      </c>
      <c r="D226" s="23">
        <v>11.79</v>
      </c>
      <c r="E226" s="3">
        <v>11.79</v>
      </c>
      <c r="F226" s="2" t="s">
        <v>13804</v>
      </c>
      <c r="G226" s="22"/>
      <c r="H226" s="24" t="s">
        <v>19770</v>
      </c>
      <c r="I226" s="22" t="s">
        <v>19309</v>
      </c>
      <c r="J226" s="22" t="s">
        <v>19708</v>
      </c>
      <c r="K226" s="22" t="s">
        <v>19709</v>
      </c>
      <c r="L226" s="22"/>
      <c r="M226" s="22"/>
      <c r="N226" s="25" t="str">
        <f>HYPERLINK("http://slimages.macys.com/is/image/MCY/19063832 ")</f>
        <v xml:space="preserve">http://slimages.macys.com/is/image/MCY/19063832 </v>
      </c>
    </row>
    <row r="227" spans="1:14" ht="24.75" x14ac:dyDescent="0.25">
      <c r="A227" s="21" t="s">
        <v>18327</v>
      </c>
      <c r="B227" s="22" t="s">
        <v>18328</v>
      </c>
      <c r="C227" s="2">
        <v>1</v>
      </c>
      <c r="D227" s="23">
        <v>11.79</v>
      </c>
      <c r="E227" s="3">
        <v>11.79</v>
      </c>
      <c r="F227" s="2" t="s">
        <v>18329</v>
      </c>
      <c r="G227" s="22"/>
      <c r="H227" s="24" t="s">
        <v>19367</v>
      </c>
      <c r="I227" s="22" t="s">
        <v>19309</v>
      </c>
      <c r="J227" s="22" t="s">
        <v>19708</v>
      </c>
      <c r="K227" s="22" t="s">
        <v>19709</v>
      </c>
      <c r="L227" s="22"/>
      <c r="M227" s="22"/>
      <c r="N227" s="25" t="str">
        <f>HYPERLINK("http://slimages.macys.com/is/image/MCY/19063341 ")</f>
        <v xml:space="preserve">http://slimages.macys.com/is/image/MCY/19063341 </v>
      </c>
    </row>
    <row r="228" spans="1:14" x14ac:dyDescent="0.25">
      <c r="A228" s="21" t="s">
        <v>1972</v>
      </c>
      <c r="B228" s="22" t="s">
        <v>1973</v>
      </c>
      <c r="C228" s="2">
        <v>1</v>
      </c>
      <c r="D228" s="23">
        <v>11.79</v>
      </c>
      <c r="E228" s="3">
        <v>11.79</v>
      </c>
      <c r="F228" s="2" t="s">
        <v>1974</v>
      </c>
      <c r="G228" s="22" t="s">
        <v>19342</v>
      </c>
      <c r="H228" s="24" t="s">
        <v>20152</v>
      </c>
      <c r="I228" s="22" t="s">
        <v>19309</v>
      </c>
      <c r="J228" s="22" t="s">
        <v>19708</v>
      </c>
      <c r="K228" s="22" t="s">
        <v>19709</v>
      </c>
      <c r="L228" s="22"/>
      <c r="M228" s="22"/>
      <c r="N228" s="25" t="str">
        <f>HYPERLINK("http://slimages.macys.com/is/image/MCY/19066668 ")</f>
        <v xml:space="preserve">http://slimages.macys.com/is/image/MCY/19066668 </v>
      </c>
    </row>
    <row r="229" spans="1:14" ht="24.75" x14ac:dyDescent="0.25">
      <c r="A229" s="21" t="s">
        <v>1975</v>
      </c>
      <c r="B229" s="22" t="s">
        <v>1976</v>
      </c>
      <c r="C229" s="2">
        <v>1</v>
      </c>
      <c r="D229" s="23">
        <v>11.99</v>
      </c>
      <c r="E229" s="3">
        <v>11.99</v>
      </c>
      <c r="F229" s="2" t="s">
        <v>1977</v>
      </c>
      <c r="G229" s="22" t="s">
        <v>19357</v>
      </c>
      <c r="H229" s="24" t="s">
        <v>18168</v>
      </c>
      <c r="I229" s="22" t="s">
        <v>19309</v>
      </c>
      <c r="J229" s="22" t="s">
        <v>19573</v>
      </c>
      <c r="K229" s="22" t="s">
        <v>20256</v>
      </c>
      <c r="L229" s="22" t="s">
        <v>19319</v>
      </c>
      <c r="M229" s="22" t="s">
        <v>19358</v>
      </c>
      <c r="N229" s="25" t="str">
        <f>HYPERLINK("http://slimages.macys.com/is/image/MCY/8018015 ")</f>
        <v xml:space="preserve">http://slimages.macys.com/is/image/MCY/8018015 </v>
      </c>
    </row>
    <row r="230" spans="1:14" ht="24.75" x14ac:dyDescent="0.25">
      <c r="A230" s="21" t="s">
        <v>4801</v>
      </c>
      <c r="B230" s="22" t="s">
        <v>4802</v>
      </c>
      <c r="C230" s="2">
        <v>1</v>
      </c>
      <c r="D230" s="23">
        <v>22.5</v>
      </c>
      <c r="E230" s="3">
        <v>22.5</v>
      </c>
      <c r="F230" s="2" t="s">
        <v>18338</v>
      </c>
      <c r="G230" s="22" t="s">
        <v>19351</v>
      </c>
      <c r="H230" s="24" t="s">
        <v>19432</v>
      </c>
      <c r="I230" s="22" t="s">
        <v>19309</v>
      </c>
      <c r="J230" s="22" t="s">
        <v>19688</v>
      </c>
      <c r="K230" s="22" t="s">
        <v>19614</v>
      </c>
      <c r="L230" s="22"/>
      <c r="M230" s="22"/>
      <c r="N230" s="25" t="str">
        <f>HYPERLINK("http://slimages.macys.com/is/image/MCY/21035864 ")</f>
        <v xml:space="preserve">http://slimages.macys.com/is/image/MCY/21035864 </v>
      </c>
    </row>
    <row r="231" spans="1:14" ht="24.75" x14ac:dyDescent="0.25">
      <c r="A231" s="21" t="s">
        <v>1978</v>
      </c>
      <c r="B231" s="22" t="s">
        <v>1979</v>
      </c>
      <c r="C231" s="2">
        <v>1</v>
      </c>
      <c r="D231" s="23">
        <v>13.99</v>
      </c>
      <c r="E231" s="3">
        <v>13.99</v>
      </c>
      <c r="F231" s="2" t="s">
        <v>18729</v>
      </c>
      <c r="G231" s="22" t="s">
        <v>19906</v>
      </c>
      <c r="H231" s="24" t="s">
        <v>19538</v>
      </c>
      <c r="I231" s="22" t="s">
        <v>19309</v>
      </c>
      <c r="J231" s="22" t="s">
        <v>19573</v>
      </c>
      <c r="K231" s="22" t="s">
        <v>19574</v>
      </c>
      <c r="L231" s="22"/>
      <c r="M231" s="22"/>
      <c r="N231" s="25" t="str">
        <f>HYPERLINK("http://slimages.macys.com/is/image/MCY/1956290 ")</f>
        <v xml:space="preserve">http://slimages.macys.com/is/image/MCY/1956290 </v>
      </c>
    </row>
    <row r="232" spans="1:14" ht="24.75" x14ac:dyDescent="0.25">
      <c r="A232" s="21" t="s">
        <v>1980</v>
      </c>
      <c r="B232" s="22" t="s">
        <v>1981</v>
      </c>
      <c r="C232" s="2">
        <v>1</v>
      </c>
      <c r="D232" s="23">
        <v>9.99</v>
      </c>
      <c r="E232" s="3">
        <v>9.99</v>
      </c>
      <c r="F232" s="2" t="s">
        <v>2827</v>
      </c>
      <c r="G232" s="22" t="s">
        <v>19585</v>
      </c>
      <c r="H232" s="24" t="s">
        <v>19308</v>
      </c>
      <c r="I232" s="22" t="s">
        <v>19309</v>
      </c>
      <c r="J232" s="22" t="s">
        <v>19310</v>
      </c>
      <c r="K232" s="22" t="s">
        <v>19873</v>
      </c>
      <c r="L232" s="22"/>
      <c r="M232" s="22"/>
      <c r="N232" s="25" t="str">
        <f>HYPERLINK("http://slimages.macys.com/is/image/MCY/21551467 ")</f>
        <v xml:space="preserve">http://slimages.macys.com/is/image/MCY/21551467 </v>
      </c>
    </row>
    <row r="233" spans="1:14" ht="24.75" x14ac:dyDescent="0.25">
      <c r="A233" s="21" t="s">
        <v>1982</v>
      </c>
      <c r="B233" s="22" t="s">
        <v>1983</v>
      </c>
      <c r="C233" s="2">
        <v>1</v>
      </c>
      <c r="D233" s="23">
        <v>30</v>
      </c>
      <c r="E233" s="3">
        <v>30</v>
      </c>
      <c r="F233" s="2" t="s">
        <v>1984</v>
      </c>
      <c r="G233" s="22" t="s">
        <v>19357</v>
      </c>
      <c r="H233" s="24" t="s">
        <v>19538</v>
      </c>
      <c r="I233" s="22" t="s">
        <v>19309</v>
      </c>
      <c r="J233" s="22" t="s">
        <v>19417</v>
      </c>
      <c r="K233" s="22" t="s">
        <v>18317</v>
      </c>
      <c r="L233" s="22"/>
      <c r="M233" s="22"/>
      <c r="N233" s="25" t="str">
        <f>HYPERLINK("http://slimages.macys.com/is/image/MCY/21614851 ")</f>
        <v xml:space="preserve">http://slimages.macys.com/is/image/MCY/21614851 </v>
      </c>
    </row>
    <row r="234" spans="1:14" x14ac:dyDescent="0.25">
      <c r="A234" s="21" t="s">
        <v>16489</v>
      </c>
      <c r="B234" s="22" t="s">
        <v>16490</v>
      </c>
      <c r="C234" s="2">
        <v>2</v>
      </c>
      <c r="D234" s="23">
        <v>15.99</v>
      </c>
      <c r="E234" s="3">
        <v>31.98</v>
      </c>
      <c r="F234" s="2" t="s">
        <v>18451</v>
      </c>
      <c r="G234" s="22" t="s">
        <v>19315</v>
      </c>
      <c r="H234" s="24" t="s">
        <v>19339</v>
      </c>
      <c r="I234" s="22" t="s">
        <v>19309</v>
      </c>
      <c r="J234" s="22" t="s">
        <v>19849</v>
      </c>
      <c r="K234" s="22" t="s">
        <v>19850</v>
      </c>
      <c r="L234" s="22"/>
      <c r="M234" s="22"/>
      <c r="N234" s="25" t="str">
        <f>HYPERLINK("http://slimages.macys.com/is/image/MCY/21373795 ")</f>
        <v xml:space="preserve">http://slimages.macys.com/is/image/MCY/21373795 </v>
      </c>
    </row>
    <row r="235" spans="1:14" ht="24.75" x14ac:dyDescent="0.25">
      <c r="A235" s="21" t="s">
        <v>2830</v>
      </c>
      <c r="B235" s="22" t="s">
        <v>2831</v>
      </c>
      <c r="C235" s="2">
        <v>1</v>
      </c>
      <c r="D235" s="23">
        <v>15.99</v>
      </c>
      <c r="E235" s="3">
        <v>15.99</v>
      </c>
      <c r="F235" s="2" t="s">
        <v>18451</v>
      </c>
      <c r="G235" s="22" t="s">
        <v>19315</v>
      </c>
      <c r="H235" s="24" t="s">
        <v>19797</v>
      </c>
      <c r="I235" s="22" t="s">
        <v>19309</v>
      </c>
      <c r="J235" s="22" t="s">
        <v>19849</v>
      </c>
      <c r="K235" s="22" t="s">
        <v>19850</v>
      </c>
      <c r="L235" s="22"/>
      <c r="M235" s="22"/>
      <c r="N235" s="25" t="str">
        <f>HYPERLINK("http://slimages.macys.com/is/image/MCY/1414815 ")</f>
        <v xml:space="preserve">http://slimages.macys.com/is/image/MCY/1414815 </v>
      </c>
    </row>
    <row r="236" spans="1:14" x14ac:dyDescent="0.25">
      <c r="A236" s="21" t="s">
        <v>2832</v>
      </c>
      <c r="B236" s="22" t="s">
        <v>2833</v>
      </c>
      <c r="C236" s="2">
        <v>1</v>
      </c>
      <c r="D236" s="23">
        <v>15</v>
      </c>
      <c r="E236" s="3">
        <v>15</v>
      </c>
      <c r="F236" s="2" t="s">
        <v>2834</v>
      </c>
      <c r="G236" s="22"/>
      <c r="H236" s="24" t="s">
        <v>19324</v>
      </c>
      <c r="I236" s="22" t="s">
        <v>19309</v>
      </c>
      <c r="J236" s="22" t="s">
        <v>19708</v>
      </c>
      <c r="K236" s="22" t="s">
        <v>19754</v>
      </c>
      <c r="L236" s="22"/>
      <c r="M236" s="22"/>
      <c r="N236" s="25" t="str">
        <f>HYPERLINK("http://slimages.macys.com/is/image/MCY/23058216 ")</f>
        <v xml:space="preserve">http://slimages.macys.com/is/image/MCY/23058216 </v>
      </c>
    </row>
    <row r="237" spans="1:14" ht="24.75" x14ac:dyDescent="0.25">
      <c r="A237" s="21" t="s">
        <v>13240</v>
      </c>
      <c r="B237" s="22" t="s">
        <v>13241</v>
      </c>
      <c r="C237" s="2">
        <v>1</v>
      </c>
      <c r="D237" s="23">
        <v>12.35</v>
      </c>
      <c r="E237" s="3">
        <v>12.35</v>
      </c>
      <c r="F237" s="2" t="s">
        <v>18454</v>
      </c>
      <c r="G237" s="22"/>
      <c r="H237" s="24" t="s">
        <v>19345</v>
      </c>
      <c r="I237" s="22" t="s">
        <v>19309</v>
      </c>
      <c r="J237" s="22" t="s">
        <v>19602</v>
      </c>
      <c r="K237" s="22" t="s">
        <v>19603</v>
      </c>
      <c r="L237" s="22"/>
      <c r="M237" s="22"/>
      <c r="N237" s="25" t="str">
        <f>HYPERLINK("http://slimages.macys.com/is/image/MCY/22405799 ")</f>
        <v xml:space="preserve">http://slimages.macys.com/is/image/MCY/22405799 </v>
      </c>
    </row>
    <row r="238" spans="1:14" x14ac:dyDescent="0.25">
      <c r="A238" s="21" t="s">
        <v>13824</v>
      </c>
      <c r="B238" s="22" t="s">
        <v>13825</v>
      </c>
      <c r="C238" s="2">
        <v>1</v>
      </c>
      <c r="D238" s="23">
        <v>16.989999999999998</v>
      </c>
      <c r="E238" s="3">
        <v>16.989999999999998</v>
      </c>
      <c r="F238" s="2" t="s">
        <v>18465</v>
      </c>
      <c r="G238" s="22" t="s">
        <v>19431</v>
      </c>
      <c r="H238" s="24" t="s">
        <v>20135</v>
      </c>
      <c r="I238" s="22" t="s">
        <v>19309</v>
      </c>
      <c r="J238" s="22" t="s">
        <v>19849</v>
      </c>
      <c r="K238" s="22" t="s">
        <v>19850</v>
      </c>
      <c r="L238" s="22"/>
      <c r="M238" s="22"/>
      <c r="N238" s="25" t="str">
        <f>HYPERLINK("http://slimages.macys.com/is/image/MCY/20751991 ")</f>
        <v xml:space="preserve">http://slimages.macys.com/is/image/MCY/20751991 </v>
      </c>
    </row>
    <row r="239" spans="1:14" x14ac:dyDescent="0.25">
      <c r="A239" s="21" t="s">
        <v>1985</v>
      </c>
      <c r="B239" s="22" t="s">
        <v>12439</v>
      </c>
      <c r="C239" s="2">
        <v>1</v>
      </c>
      <c r="D239" s="23">
        <v>16.989999999999998</v>
      </c>
      <c r="E239" s="3">
        <v>16.989999999999998</v>
      </c>
      <c r="F239" s="2" t="s">
        <v>18465</v>
      </c>
      <c r="G239" s="22" t="s">
        <v>19431</v>
      </c>
      <c r="H239" s="24" t="s">
        <v>19377</v>
      </c>
      <c r="I239" s="22" t="s">
        <v>19309</v>
      </c>
      <c r="J239" s="22" t="s">
        <v>19849</v>
      </c>
      <c r="K239" s="22" t="s">
        <v>19850</v>
      </c>
      <c r="L239" s="22"/>
      <c r="M239" s="22"/>
      <c r="N239" s="25" t="str">
        <f>HYPERLINK("http://slimages.macys.com/is/image/MCY/20751991 ")</f>
        <v xml:space="preserve">http://slimages.macys.com/is/image/MCY/20751991 </v>
      </c>
    </row>
    <row r="240" spans="1:14" x14ac:dyDescent="0.25">
      <c r="A240" s="21" t="s">
        <v>1986</v>
      </c>
      <c r="B240" s="22" t="s">
        <v>1987</v>
      </c>
      <c r="C240" s="2">
        <v>1</v>
      </c>
      <c r="D240" s="23">
        <v>13.68</v>
      </c>
      <c r="E240" s="3">
        <v>13.68</v>
      </c>
      <c r="F240" s="2" t="s">
        <v>7688</v>
      </c>
      <c r="G240" s="22"/>
      <c r="H240" s="24" t="s">
        <v>19770</v>
      </c>
      <c r="I240" s="22" t="s">
        <v>19309</v>
      </c>
      <c r="J240" s="22" t="s">
        <v>19708</v>
      </c>
      <c r="K240" s="22" t="s">
        <v>19709</v>
      </c>
      <c r="L240" s="22"/>
      <c r="M240" s="22"/>
      <c r="N240" s="25" t="str">
        <f>HYPERLINK("http://slimages.macys.com/is/image/MCY/22405578 ")</f>
        <v xml:space="preserve">http://slimages.macys.com/is/image/MCY/22405578 </v>
      </c>
    </row>
    <row r="241" spans="1:14" x14ac:dyDescent="0.25">
      <c r="A241" s="21" t="s">
        <v>12300</v>
      </c>
      <c r="B241" s="22" t="s">
        <v>12301</v>
      </c>
      <c r="C241" s="2">
        <v>1</v>
      </c>
      <c r="D241" s="23">
        <v>13.77</v>
      </c>
      <c r="E241" s="3">
        <v>13.77</v>
      </c>
      <c r="F241" s="2" t="s">
        <v>16507</v>
      </c>
      <c r="G241" s="22" t="s">
        <v>19323</v>
      </c>
      <c r="H241" s="24" t="s">
        <v>19330</v>
      </c>
      <c r="I241" s="22" t="s">
        <v>19309</v>
      </c>
      <c r="J241" s="22" t="s">
        <v>19708</v>
      </c>
      <c r="K241" s="22" t="s">
        <v>19709</v>
      </c>
      <c r="L241" s="22"/>
      <c r="M241" s="22"/>
      <c r="N241" s="25" t="str">
        <f>HYPERLINK("http://slimages.macys.com/is/image/MCY/21758683 ")</f>
        <v xml:space="preserve">http://slimages.macys.com/is/image/MCY/21758683 </v>
      </c>
    </row>
    <row r="242" spans="1:14" x14ac:dyDescent="0.25">
      <c r="A242" s="21" t="s">
        <v>10699</v>
      </c>
      <c r="B242" s="22" t="s">
        <v>10700</v>
      </c>
      <c r="C242" s="2">
        <v>1</v>
      </c>
      <c r="D242" s="23">
        <v>13.68</v>
      </c>
      <c r="E242" s="3">
        <v>13.68</v>
      </c>
      <c r="F242" s="2" t="s">
        <v>10238</v>
      </c>
      <c r="G242" s="22" t="s">
        <v>19594</v>
      </c>
      <c r="H242" s="24" t="s">
        <v>19330</v>
      </c>
      <c r="I242" s="22" t="s">
        <v>19309</v>
      </c>
      <c r="J242" s="22" t="s">
        <v>19708</v>
      </c>
      <c r="K242" s="22" t="s">
        <v>19709</v>
      </c>
      <c r="L242" s="22"/>
      <c r="M242" s="22"/>
      <c r="N242" s="25" t="str">
        <f>HYPERLINK("http://slimages.macys.com/is/image/MCY/22405516 ")</f>
        <v xml:space="preserve">http://slimages.macys.com/is/image/MCY/22405516 </v>
      </c>
    </row>
    <row r="243" spans="1:14" x14ac:dyDescent="0.25">
      <c r="A243" s="21" t="s">
        <v>1988</v>
      </c>
      <c r="B243" s="22" t="s">
        <v>1989</v>
      </c>
      <c r="C243" s="2">
        <v>1</v>
      </c>
      <c r="D243" s="23">
        <v>8.99</v>
      </c>
      <c r="E243" s="3">
        <v>8.99</v>
      </c>
      <c r="F243" s="2" t="s">
        <v>9597</v>
      </c>
      <c r="G243" s="22" t="s">
        <v>19351</v>
      </c>
      <c r="H243" s="24" t="s">
        <v>19364</v>
      </c>
      <c r="I243" s="22" t="s">
        <v>19309</v>
      </c>
      <c r="J243" s="22" t="s">
        <v>19310</v>
      </c>
      <c r="K243" s="22" t="s">
        <v>19873</v>
      </c>
      <c r="L243" s="22"/>
      <c r="M243" s="22"/>
      <c r="N243" s="25" t="str">
        <f>HYPERLINK("http://slimages.macys.com/is/image/MCY/19705841 ")</f>
        <v xml:space="preserve">http://slimages.macys.com/is/image/MCY/19705841 </v>
      </c>
    </row>
    <row r="244" spans="1:14" x14ac:dyDescent="0.25">
      <c r="A244" s="21" t="s">
        <v>1990</v>
      </c>
      <c r="B244" s="22" t="s">
        <v>1991</v>
      </c>
      <c r="C244" s="2">
        <v>2</v>
      </c>
      <c r="D244" s="23">
        <v>8.99</v>
      </c>
      <c r="E244" s="3">
        <v>17.98</v>
      </c>
      <c r="F244" s="2" t="s">
        <v>5960</v>
      </c>
      <c r="G244" s="22" t="s">
        <v>19618</v>
      </c>
      <c r="H244" s="24" t="s">
        <v>19364</v>
      </c>
      <c r="I244" s="22" t="s">
        <v>19309</v>
      </c>
      <c r="J244" s="22" t="s">
        <v>19310</v>
      </c>
      <c r="K244" s="22" t="s">
        <v>19873</v>
      </c>
      <c r="L244" s="22"/>
      <c r="M244" s="22"/>
      <c r="N244" s="25" t="str">
        <f>HYPERLINK("http://slimages.macys.com/is/image/MCY/19503985 ")</f>
        <v xml:space="preserve">http://slimages.macys.com/is/image/MCY/19503985 </v>
      </c>
    </row>
    <row r="245" spans="1:14" x14ac:dyDescent="0.25">
      <c r="A245" s="21" t="s">
        <v>1992</v>
      </c>
      <c r="B245" s="22" t="s">
        <v>1993</v>
      </c>
      <c r="C245" s="2">
        <v>1</v>
      </c>
      <c r="D245" s="23">
        <v>8.99</v>
      </c>
      <c r="E245" s="3">
        <v>8.99</v>
      </c>
      <c r="F245" s="2" t="s">
        <v>5960</v>
      </c>
      <c r="G245" s="22" t="s">
        <v>19315</v>
      </c>
      <c r="H245" s="24" t="s">
        <v>19352</v>
      </c>
      <c r="I245" s="22" t="s">
        <v>19309</v>
      </c>
      <c r="J245" s="22" t="s">
        <v>19310</v>
      </c>
      <c r="K245" s="22" t="s">
        <v>19873</v>
      </c>
      <c r="L245" s="22"/>
      <c r="M245" s="22"/>
      <c r="N245" s="25" t="str">
        <f>HYPERLINK("http://slimages.macys.com/is/image/MCY/19503985 ")</f>
        <v xml:space="preserve">http://slimages.macys.com/is/image/MCY/19503985 </v>
      </c>
    </row>
    <row r="246" spans="1:14" x14ac:dyDescent="0.25">
      <c r="A246" s="21" t="s">
        <v>1994</v>
      </c>
      <c r="B246" s="22" t="s">
        <v>1995</v>
      </c>
      <c r="C246" s="2">
        <v>2</v>
      </c>
      <c r="D246" s="23">
        <v>8.99</v>
      </c>
      <c r="E246" s="3">
        <v>17.98</v>
      </c>
      <c r="F246" s="2" t="s">
        <v>5960</v>
      </c>
      <c r="G246" s="22" t="s">
        <v>19618</v>
      </c>
      <c r="H246" s="24" t="s">
        <v>19352</v>
      </c>
      <c r="I246" s="22" t="s">
        <v>19309</v>
      </c>
      <c r="J246" s="22" t="s">
        <v>19310</v>
      </c>
      <c r="K246" s="22" t="s">
        <v>19873</v>
      </c>
      <c r="L246" s="22"/>
      <c r="M246" s="22"/>
      <c r="N246" s="25" t="str">
        <f>HYPERLINK("http://slimages.macys.com/is/image/MCY/19503985 ")</f>
        <v xml:space="preserve">http://slimages.macys.com/is/image/MCY/19503985 </v>
      </c>
    </row>
    <row r="247" spans="1:14" x14ac:dyDescent="0.25">
      <c r="A247" s="21" t="s">
        <v>1996</v>
      </c>
      <c r="B247" s="22" t="s">
        <v>1997</v>
      </c>
      <c r="C247" s="2">
        <v>1</v>
      </c>
      <c r="D247" s="23">
        <v>8.99</v>
      </c>
      <c r="E247" s="3">
        <v>8.99</v>
      </c>
      <c r="F247" s="2" t="s">
        <v>5960</v>
      </c>
      <c r="G247" s="22" t="s">
        <v>19315</v>
      </c>
      <c r="H247" s="24" t="s">
        <v>19364</v>
      </c>
      <c r="I247" s="22" t="s">
        <v>19309</v>
      </c>
      <c r="J247" s="22" t="s">
        <v>19310</v>
      </c>
      <c r="K247" s="22" t="s">
        <v>19873</v>
      </c>
      <c r="L247" s="22"/>
      <c r="M247" s="22"/>
      <c r="N247" s="25" t="str">
        <f>HYPERLINK("http://slimages.macys.com/is/image/MCY/19503985 ")</f>
        <v xml:space="preserve">http://slimages.macys.com/is/image/MCY/19503985 </v>
      </c>
    </row>
    <row r="248" spans="1:14" ht="24.75" x14ac:dyDescent="0.25">
      <c r="A248" s="21" t="s">
        <v>16629</v>
      </c>
      <c r="B248" s="22" t="s">
        <v>16630</v>
      </c>
      <c r="C248" s="2">
        <v>1</v>
      </c>
      <c r="D248" s="23">
        <v>10.99</v>
      </c>
      <c r="E248" s="3">
        <v>10.99</v>
      </c>
      <c r="F248" s="2" t="s">
        <v>16624</v>
      </c>
      <c r="G248" s="22" t="s">
        <v>19674</v>
      </c>
      <c r="H248" s="24" t="s">
        <v>19352</v>
      </c>
      <c r="I248" s="22" t="s">
        <v>19309</v>
      </c>
      <c r="J248" s="22" t="s">
        <v>19849</v>
      </c>
      <c r="K248" s="22" t="s">
        <v>19850</v>
      </c>
      <c r="L248" s="22"/>
      <c r="M248" s="22"/>
      <c r="N248" s="25" t="str">
        <f>HYPERLINK("http://slimages.macys.com/is/image/MCY/1650136 ")</f>
        <v xml:space="preserve">http://slimages.macys.com/is/image/MCY/1650136 </v>
      </c>
    </row>
    <row r="249" spans="1:14" ht="24.75" x14ac:dyDescent="0.25">
      <c r="A249" s="21" t="s">
        <v>18511</v>
      </c>
      <c r="B249" s="22" t="s">
        <v>18512</v>
      </c>
      <c r="C249" s="2">
        <v>1</v>
      </c>
      <c r="D249" s="23">
        <v>9.8000000000000007</v>
      </c>
      <c r="E249" s="3">
        <v>9.8000000000000007</v>
      </c>
      <c r="F249" s="2" t="s">
        <v>18513</v>
      </c>
      <c r="G249" s="22" t="s">
        <v>19351</v>
      </c>
      <c r="H249" s="24" t="s">
        <v>19364</v>
      </c>
      <c r="I249" s="22" t="s">
        <v>19309</v>
      </c>
      <c r="J249" s="22" t="s">
        <v>19565</v>
      </c>
      <c r="K249" s="22" t="s">
        <v>18514</v>
      </c>
      <c r="L249" s="22"/>
      <c r="M249" s="22"/>
      <c r="N249" s="25" t="str">
        <f>HYPERLINK("http://slimages.macys.com/is/image/MCY/21532824 ")</f>
        <v xml:space="preserve">http://slimages.macys.com/is/image/MCY/21532824 </v>
      </c>
    </row>
    <row r="250" spans="1:14" ht="24.75" x14ac:dyDescent="0.25">
      <c r="A250" s="21" t="s">
        <v>1998</v>
      </c>
      <c r="B250" s="22" t="s">
        <v>1999</v>
      </c>
      <c r="C250" s="2">
        <v>1</v>
      </c>
      <c r="D250" s="23">
        <v>9.8000000000000007</v>
      </c>
      <c r="E250" s="3">
        <v>9.8000000000000007</v>
      </c>
      <c r="F250" s="2" t="s">
        <v>4819</v>
      </c>
      <c r="G250" s="22" t="s">
        <v>19315</v>
      </c>
      <c r="H250" s="24" t="s">
        <v>19308</v>
      </c>
      <c r="I250" s="22" t="s">
        <v>19309</v>
      </c>
      <c r="J250" s="22" t="s">
        <v>19565</v>
      </c>
      <c r="K250" s="22" t="s">
        <v>18514</v>
      </c>
      <c r="L250" s="22"/>
      <c r="M250" s="22"/>
      <c r="N250" s="25" t="str">
        <f>HYPERLINK("http://slimages.macys.com/is/image/MCY/21532809 ")</f>
        <v xml:space="preserve">http://slimages.macys.com/is/image/MCY/21532809 </v>
      </c>
    </row>
    <row r="251" spans="1:14" ht="24.75" x14ac:dyDescent="0.25">
      <c r="A251" s="21" t="s">
        <v>13849</v>
      </c>
      <c r="B251" s="22" t="s">
        <v>13850</v>
      </c>
      <c r="C251" s="2">
        <v>2</v>
      </c>
      <c r="D251" s="23">
        <v>14.99</v>
      </c>
      <c r="E251" s="3">
        <v>29.98</v>
      </c>
      <c r="F251" s="2" t="s">
        <v>18501</v>
      </c>
      <c r="G251" s="22" t="s">
        <v>19323</v>
      </c>
      <c r="H251" s="24" t="s">
        <v>19797</v>
      </c>
      <c r="I251" s="22" t="s">
        <v>19309</v>
      </c>
      <c r="J251" s="22" t="s">
        <v>19595</v>
      </c>
      <c r="K251" s="22" t="s">
        <v>18498</v>
      </c>
      <c r="L251" s="22"/>
      <c r="M251" s="22"/>
      <c r="N251" s="25" t="str">
        <f>HYPERLINK("http://slimages.macys.com/is/image/MCY/21365889 ")</f>
        <v xml:space="preserve">http://slimages.macys.com/is/image/MCY/21365889 </v>
      </c>
    </row>
    <row r="252" spans="1:14" ht="24.75" x14ac:dyDescent="0.25">
      <c r="A252" s="21" t="s">
        <v>18508</v>
      </c>
      <c r="B252" s="22" t="s">
        <v>18495</v>
      </c>
      <c r="C252" s="2">
        <v>1</v>
      </c>
      <c r="D252" s="23">
        <v>14.99</v>
      </c>
      <c r="E252" s="3">
        <v>14.99</v>
      </c>
      <c r="F252" s="2" t="s">
        <v>18501</v>
      </c>
      <c r="G252" s="22" t="s">
        <v>19323</v>
      </c>
      <c r="H252" s="24" t="s">
        <v>18497</v>
      </c>
      <c r="I252" s="22" t="s">
        <v>19309</v>
      </c>
      <c r="J252" s="22" t="s">
        <v>19595</v>
      </c>
      <c r="K252" s="22" t="s">
        <v>18498</v>
      </c>
      <c r="L252" s="22"/>
      <c r="M252" s="22"/>
      <c r="N252" s="25" t="str">
        <f>HYPERLINK("http://slimages.macys.com/is/image/MCY/21365889 ")</f>
        <v xml:space="preserve">http://slimages.macys.com/is/image/MCY/21365889 </v>
      </c>
    </row>
    <row r="253" spans="1:14" ht="24.75" x14ac:dyDescent="0.25">
      <c r="A253" s="21" t="s">
        <v>18505</v>
      </c>
      <c r="B253" s="22" t="s">
        <v>18506</v>
      </c>
      <c r="C253" s="2">
        <v>1</v>
      </c>
      <c r="D253" s="23">
        <v>14.99</v>
      </c>
      <c r="E253" s="3">
        <v>14.99</v>
      </c>
      <c r="F253" s="2" t="s">
        <v>18501</v>
      </c>
      <c r="G253" s="22" t="s">
        <v>19323</v>
      </c>
      <c r="H253" s="24" t="s">
        <v>18507</v>
      </c>
      <c r="I253" s="22" t="s">
        <v>19309</v>
      </c>
      <c r="J253" s="22" t="s">
        <v>19595</v>
      </c>
      <c r="K253" s="22" t="s">
        <v>18498</v>
      </c>
      <c r="L253" s="22"/>
      <c r="M253" s="22"/>
      <c r="N253" s="25" t="str">
        <f>HYPERLINK("http://slimages.macys.com/is/image/MCY/21365889 ")</f>
        <v xml:space="preserve">http://slimages.macys.com/is/image/MCY/21365889 </v>
      </c>
    </row>
    <row r="254" spans="1:14" ht="24.75" x14ac:dyDescent="0.25">
      <c r="A254" s="21" t="s">
        <v>13251</v>
      </c>
      <c r="B254" s="22" t="s">
        <v>13252</v>
      </c>
      <c r="C254" s="2">
        <v>1</v>
      </c>
      <c r="D254" s="23">
        <v>14.99</v>
      </c>
      <c r="E254" s="3">
        <v>14.99</v>
      </c>
      <c r="F254" s="2" t="s">
        <v>18501</v>
      </c>
      <c r="G254" s="22" t="s">
        <v>19431</v>
      </c>
      <c r="H254" s="24" t="s">
        <v>18497</v>
      </c>
      <c r="I254" s="22" t="s">
        <v>19309</v>
      </c>
      <c r="J254" s="22" t="s">
        <v>19595</v>
      </c>
      <c r="K254" s="22" t="s">
        <v>18498</v>
      </c>
      <c r="L254" s="22"/>
      <c r="M254" s="22"/>
      <c r="N254" s="25" t="str">
        <f>HYPERLINK("http://slimages.macys.com/is/image/MCY/21365889 ")</f>
        <v xml:space="preserve">http://slimages.macys.com/is/image/MCY/21365889 </v>
      </c>
    </row>
    <row r="255" spans="1:14" x14ac:dyDescent="0.25">
      <c r="A255" s="21" t="s">
        <v>2000</v>
      </c>
      <c r="B255" s="22" t="s">
        <v>2001</v>
      </c>
      <c r="C255" s="2">
        <v>1</v>
      </c>
      <c r="D255" s="23">
        <v>12.99</v>
      </c>
      <c r="E255" s="3">
        <v>12.99</v>
      </c>
      <c r="F255" s="2" t="s">
        <v>5968</v>
      </c>
      <c r="G255" s="22" t="s">
        <v>19467</v>
      </c>
      <c r="H255" s="24" t="s">
        <v>19361</v>
      </c>
      <c r="I255" s="22" t="s">
        <v>19309</v>
      </c>
      <c r="J255" s="22" t="s">
        <v>19849</v>
      </c>
      <c r="K255" s="22" t="s">
        <v>19850</v>
      </c>
      <c r="L255" s="22"/>
      <c r="M255" s="22"/>
      <c r="N255" s="25" t="str">
        <f>HYPERLINK("http://slimages.macys.com/is/image/MCY/21270289 ")</f>
        <v xml:space="preserve">http://slimages.macys.com/is/image/MCY/21270289 </v>
      </c>
    </row>
    <row r="256" spans="1:14" ht="24.75" x14ac:dyDescent="0.25">
      <c r="A256" s="21" t="s">
        <v>18522</v>
      </c>
      <c r="B256" s="22" t="s">
        <v>18523</v>
      </c>
      <c r="C256" s="2">
        <v>1</v>
      </c>
      <c r="D256" s="23">
        <v>11.91</v>
      </c>
      <c r="E256" s="3">
        <v>11.91</v>
      </c>
      <c r="F256" s="2" t="s">
        <v>18524</v>
      </c>
      <c r="G256" s="22"/>
      <c r="H256" s="24" t="s">
        <v>19334</v>
      </c>
      <c r="I256" s="22" t="s">
        <v>19309</v>
      </c>
      <c r="J256" s="22" t="s">
        <v>19602</v>
      </c>
      <c r="K256" s="22" t="s">
        <v>20041</v>
      </c>
      <c r="L256" s="22"/>
      <c r="M256" s="22"/>
      <c r="N256" s="25" t="str">
        <f>HYPERLINK("http://slimages.macys.com/is/image/MCY/21420574 ")</f>
        <v xml:space="preserve">http://slimages.macys.com/is/image/MCY/21420574 </v>
      </c>
    </row>
    <row r="257" spans="1:14" ht="24.75" x14ac:dyDescent="0.25">
      <c r="A257" s="21" t="s">
        <v>2869</v>
      </c>
      <c r="B257" s="22" t="s">
        <v>2870</v>
      </c>
      <c r="C257" s="2">
        <v>1</v>
      </c>
      <c r="D257" s="23">
        <v>12.99</v>
      </c>
      <c r="E257" s="3">
        <v>12.99</v>
      </c>
      <c r="F257" s="2" t="s">
        <v>18533</v>
      </c>
      <c r="G257" s="22" t="s">
        <v>19585</v>
      </c>
      <c r="H257" s="24"/>
      <c r="I257" s="22" t="s">
        <v>19309</v>
      </c>
      <c r="J257" s="22" t="s">
        <v>19573</v>
      </c>
      <c r="K257" s="22" t="s">
        <v>19574</v>
      </c>
      <c r="L257" s="22"/>
      <c r="M257" s="22"/>
      <c r="N257" s="25" t="str">
        <f>HYPERLINK("http://slimages.macys.com/is/image/MCY/19977913 ")</f>
        <v xml:space="preserve">http://slimages.macys.com/is/image/MCY/19977913 </v>
      </c>
    </row>
    <row r="258" spans="1:14" ht="24.75" x14ac:dyDescent="0.25">
      <c r="A258" s="21" t="s">
        <v>2002</v>
      </c>
      <c r="B258" s="22" t="s">
        <v>2003</v>
      </c>
      <c r="C258" s="2">
        <v>1</v>
      </c>
      <c r="D258" s="23">
        <v>11.99</v>
      </c>
      <c r="E258" s="3">
        <v>11.99</v>
      </c>
      <c r="F258" s="2" t="s">
        <v>16530</v>
      </c>
      <c r="G258" s="22" t="s">
        <v>19814</v>
      </c>
      <c r="H258" s="24" t="s">
        <v>19377</v>
      </c>
      <c r="I258" s="22" t="s">
        <v>19309</v>
      </c>
      <c r="J258" s="22" t="s">
        <v>19908</v>
      </c>
      <c r="K258" s="22" t="s">
        <v>19524</v>
      </c>
      <c r="L258" s="22"/>
      <c r="M258" s="22"/>
      <c r="N258" s="25" t="str">
        <f>HYPERLINK("http://slimages.macys.com/is/image/MCY/21569943 ")</f>
        <v xml:space="preserve">http://slimages.macys.com/is/image/MCY/21569943 </v>
      </c>
    </row>
    <row r="259" spans="1:14" ht="24.75" x14ac:dyDescent="0.25">
      <c r="A259" s="21" t="s">
        <v>2004</v>
      </c>
      <c r="B259" s="22" t="s">
        <v>2005</v>
      </c>
      <c r="C259" s="2">
        <v>1</v>
      </c>
      <c r="D259" s="23">
        <v>10.99</v>
      </c>
      <c r="E259" s="3">
        <v>10.99</v>
      </c>
      <c r="F259" s="2" t="s">
        <v>8940</v>
      </c>
      <c r="G259" s="22" t="s">
        <v>19660</v>
      </c>
      <c r="H259" s="24" t="s">
        <v>19364</v>
      </c>
      <c r="I259" s="22" t="s">
        <v>19309</v>
      </c>
      <c r="J259" s="22" t="s">
        <v>19565</v>
      </c>
      <c r="K259" s="22" t="s">
        <v>18548</v>
      </c>
      <c r="L259" s="22"/>
      <c r="M259" s="22"/>
      <c r="N259" s="25" t="str">
        <f>HYPERLINK("http://slimages.macys.com/is/image/MCY/22251693 ")</f>
        <v xml:space="preserve">http://slimages.macys.com/is/image/MCY/22251693 </v>
      </c>
    </row>
    <row r="260" spans="1:14" ht="24.75" x14ac:dyDescent="0.25">
      <c r="A260" s="21" t="s">
        <v>2006</v>
      </c>
      <c r="B260" s="22" t="s">
        <v>2007</v>
      </c>
      <c r="C260" s="2">
        <v>1</v>
      </c>
      <c r="D260" s="23">
        <v>10.99</v>
      </c>
      <c r="E260" s="3">
        <v>10.99</v>
      </c>
      <c r="F260" s="2" t="s">
        <v>8940</v>
      </c>
      <c r="G260" s="22" t="s">
        <v>19660</v>
      </c>
      <c r="H260" s="24" t="s">
        <v>19308</v>
      </c>
      <c r="I260" s="22" t="s">
        <v>19309</v>
      </c>
      <c r="J260" s="22" t="s">
        <v>19565</v>
      </c>
      <c r="K260" s="22" t="s">
        <v>18548</v>
      </c>
      <c r="L260" s="22"/>
      <c r="M260" s="22"/>
      <c r="N260" s="25" t="str">
        <f>HYPERLINK("http://slimages.macys.com/is/image/MCY/22251693 ")</f>
        <v xml:space="preserve">http://slimages.macys.com/is/image/MCY/22251693 </v>
      </c>
    </row>
    <row r="261" spans="1:14" ht="24.75" x14ac:dyDescent="0.25">
      <c r="A261" s="21" t="s">
        <v>7708</v>
      </c>
      <c r="B261" s="22" t="s">
        <v>7709</v>
      </c>
      <c r="C261" s="2">
        <v>2</v>
      </c>
      <c r="D261" s="23">
        <v>10.99</v>
      </c>
      <c r="E261" s="3">
        <v>21.98</v>
      </c>
      <c r="F261" s="2" t="s">
        <v>8940</v>
      </c>
      <c r="G261" s="22" t="s">
        <v>19660</v>
      </c>
      <c r="H261" s="24" t="s">
        <v>19339</v>
      </c>
      <c r="I261" s="22" t="s">
        <v>19309</v>
      </c>
      <c r="J261" s="22" t="s">
        <v>19565</v>
      </c>
      <c r="K261" s="22" t="s">
        <v>18548</v>
      </c>
      <c r="L261" s="22"/>
      <c r="M261" s="22"/>
      <c r="N261" s="25" t="str">
        <f>HYPERLINK("http://slimages.macys.com/is/image/MCY/22251693 ")</f>
        <v xml:space="preserve">http://slimages.macys.com/is/image/MCY/22251693 </v>
      </c>
    </row>
    <row r="262" spans="1:14" ht="24.75" x14ac:dyDescent="0.25">
      <c r="A262" s="21" t="s">
        <v>16533</v>
      </c>
      <c r="B262" s="22" t="s">
        <v>16534</v>
      </c>
      <c r="C262" s="2">
        <v>1</v>
      </c>
      <c r="D262" s="23">
        <v>13.99</v>
      </c>
      <c r="E262" s="3">
        <v>13.99</v>
      </c>
      <c r="F262" s="2" t="s">
        <v>18551</v>
      </c>
      <c r="G262" s="22" t="s">
        <v>19467</v>
      </c>
      <c r="H262" s="24" t="s">
        <v>19416</v>
      </c>
      <c r="I262" s="22" t="s">
        <v>19309</v>
      </c>
      <c r="J262" s="22" t="s">
        <v>19573</v>
      </c>
      <c r="K262" s="22" t="s">
        <v>19574</v>
      </c>
      <c r="L262" s="22"/>
      <c r="M262" s="22"/>
      <c r="N262" s="25" t="str">
        <f>HYPERLINK("http://slimages.macys.com/is/image/MCY/1619637 ")</f>
        <v xml:space="preserve">http://slimages.macys.com/is/image/MCY/1619637 </v>
      </c>
    </row>
    <row r="263" spans="1:14" ht="24.75" x14ac:dyDescent="0.25">
      <c r="A263" s="21" t="s">
        <v>2008</v>
      </c>
      <c r="B263" s="22" t="s">
        <v>2009</v>
      </c>
      <c r="C263" s="2">
        <v>1</v>
      </c>
      <c r="D263" s="23">
        <v>11.99</v>
      </c>
      <c r="E263" s="3">
        <v>11.99</v>
      </c>
      <c r="F263" s="2" t="s">
        <v>7723</v>
      </c>
      <c r="G263" s="22" t="s">
        <v>19333</v>
      </c>
      <c r="H263" s="24" t="s">
        <v>19339</v>
      </c>
      <c r="I263" s="22" t="s">
        <v>19309</v>
      </c>
      <c r="J263" s="22" t="s">
        <v>19454</v>
      </c>
      <c r="K263" s="22" t="s">
        <v>18654</v>
      </c>
      <c r="L263" s="22"/>
      <c r="M263" s="22"/>
      <c r="N263" s="25" t="str">
        <f>HYPERLINK("http://slimages.macys.com/is/image/MCY/1666375 ")</f>
        <v xml:space="preserve">http://slimages.macys.com/is/image/MCY/1666375 </v>
      </c>
    </row>
    <row r="264" spans="1:14" ht="24.75" x14ac:dyDescent="0.25">
      <c r="A264" s="21" t="s">
        <v>16544</v>
      </c>
      <c r="B264" s="22" t="s">
        <v>16545</v>
      </c>
      <c r="C264" s="2">
        <v>1</v>
      </c>
      <c r="D264" s="23">
        <v>11.35</v>
      </c>
      <c r="E264" s="3">
        <v>11.35</v>
      </c>
      <c r="F264" s="2" t="s">
        <v>18587</v>
      </c>
      <c r="G264" s="22"/>
      <c r="H264" s="24"/>
      <c r="I264" s="22" t="s">
        <v>19309</v>
      </c>
      <c r="J264" s="22" t="s">
        <v>19602</v>
      </c>
      <c r="K264" s="22" t="s">
        <v>20041</v>
      </c>
      <c r="L264" s="22"/>
      <c r="M264" s="22"/>
      <c r="N264" s="25" t="str">
        <f>HYPERLINK("http://slimages.macys.com/is/image/MCY/22406119 ")</f>
        <v xml:space="preserve">http://slimages.macys.com/is/image/MCY/22406119 </v>
      </c>
    </row>
    <row r="265" spans="1:14" x14ac:dyDescent="0.25">
      <c r="A265" s="21" t="s">
        <v>2010</v>
      </c>
      <c r="B265" s="22" t="s">
        <v>2011</v>
      </c>
      <c r="C265" s="2">
        <v>1</v>
      </c>
      <c r="D265" s="23">
        <v>8.99</v>
      </c>
      <c r="E265" s="3">
        <v>8.99</v>
      </c>
      <c r="F265" s="2" t="s">
        <v>9912</v>
      </c>
      <c r="G265" s="22" t="s">
        <v>19333</v>
      </c>
      <c r="H265" s="24" t="s">
        <v>19339</v>
      </c>
      <c r="I265" s="22" t="s">
        <v>19309</v>
      </c>
      <c r="J265" s="22" t="s">
        <v>19310</v>
      </c>
      <c r="K265" s="22" t="s">
        <v>19873</v>
      </c>
      <c r="L265" s="22"/>
      <c r="M265" s="22"/>
      <c r="N265" s="25" t="str">
        <f>HYPERLINK("http://slimages.macys.com/is/image/MCY/21176781 ")</f>
        <v xml:space="preserve">http://slimages.macys.com/is/image/MCY/21176781 </v>
      </c>
    </row>
    <row r="266" spans="1:14" x14ac:dyDescent="0.25">
      <c r="A266" s="21" t="s">
        <v>2895</v>
      </c>
      <c r="B266" s="22" t="s">
        <v>2896</v>
      </c>
      <c r="C266" s="2">
        <v>2</v>
      </c>
      <c r="D266" s="23">
        <v>7.99</v>
      </c>
      <c r="E266" s="3">
        <v>15.98</v>
      </c>
      <c r="F266" s="2" t="s">
        <v>16552</v>
      </c>
      <c r="G266" s="22" t="s">
        <v>19315</v>
      </c>
      <c r="H266" s="24" t="s">
        <v>19339</v>
      </c>
      <c r="I266" s="22" t="s">
        <v>19309</v>
      </c>
      <c r="J266" s="22" t="s">
        <v>19310</v>
      </c>
      <c r="K266" s="22" t="s">
        <v>19873</v>
      </c>
      <c r="L266" s="22"/>
      <c r="M266" s="22"/>
      <c r="N266" s="25" t="str">
        <f>HYPERLINK("http://slimages.macys.com/is/image/MCY/20389870 ")</f>
        <v xml:space="preserve">http://slimages.macys.com/is/image/MCY/20389870 </v>
      </c>
    </row>
    <row r="267" spans="1:14" ht="24.75" x14ac:dyDescent="0.25">
      <c r="A267" s="21" t="s">
        <v>2012</v>
      </c>
      <c r="B267" s="22" t="s">
        <v>2013</v>
      </c>
      <c r="C267" s="2">
        <v>1</v>
      </c>
      <c r="D267" s="23">
        <v>7.99</v>
      </c>
      <c r="E267" s="3">
        <v>7.99</v>
      </c>
      <c r="F267" s="2" t="s">
        <v>9912</v>
      </c>
      <c r="G267" s="22" t="s">
        <v>18429</v>
      </c>
      <c r="H267" s="24" t="s">
        <v>19352</v>
      </c>
      <c r="I267" s="22" t="s">
        <v>19309</v>
      </c>
      <c r="J267" s="22" t="s">
        <v>19310</v>
      </c>
      <c r="K267" s="22" t="s">
        <v>19873</v>
      </c>
      <c r="L267" s="22"/>
      <c r="M267" s="22"/>
      <c r="N267" s="25" t="str">
        <f>HYPERLINK("http://slimages.macys.com/is/image/MCY/21176781 ")</f>
        <v xml:space="preserve">http://slimages.macys.com/is/image/MCY/21176781 </v>
      </c>
    </row>
    <row r="268" spans="1:14" x14ac:dyDescent="0.25">
      <c r="A268" s="21" t="s">
        <v>16563</v>
      </c>
      <c r="B268" s="22" t="s">
        <v>16564</v>
      </c>
      <c r="C268" s="2">
        <v>1</v>
      </c>
      <c r="D268" s="23">
        <v>7.99</v>
      </c>
      <c r="E268" s="3">
        <v>7.99</v>
      </c>
      <c r="F268" s="2" t="s">
        <v>16552</v>
      </c>
      <c r="G268" s="22" t="s">
        <v>19315</v>
      </c>
      <c r="H268" s="24" t="s">
        <v>19364</v>
      </c>
      <c r="I268" s="22" t="s">
        <v>19309</v>
      </c>
      <c r="J268" s="22" t="s">
        <v>19310</v>
      </c>
      <c r="K268" s="22" t="s">
        <v>19873</v>
      </c>
      <c r="L268" s="22"/>
      <c r="M268" s="22"/>
      <c r="N268" s="25" t="str">
        <f>HYPERLINK("http://slimages.macys.com/is/image/MCY/20390271 ")</f>
        <v xml:space="preserve">http://slimages.macys.com/is/image/MCY/20390271 </v>
      </c>
    </row>
    <row r="269" spans="1:14" ht="24.75" x14ac:dyDescent="0.25">
      <c r="A269" s="21" t="s">
        <v>2014</v>
      </c>
      <c r="B269" s="22" t="s">
        <v>2015</v>
      </c>
      <c r="C269" s="2">
        <v>1</v>
      </c>
      <c r="D269" s="23">
        <v>8.99</v>
      </c>
      <c r="E269" s="3">
        <v>8.99</v>
      </c>
      <c r="F269" s="2" t="s">
        <v>6899</v>
      </c>
      <c r="G269" s="22" t="s">
        <v>13313</v>
      </c>
      <c r="H269" s="24" t="s">
        <v>19364</v>
      </c>
      <c r="I269" s="22" t="s">
        <v>19309</v>
      </c>
      <c r="J269" s="22" t="s">
        <v>19447</v>
      </c>
      <c r="K269" s="22" t="s">
        <v>19873</v>
      </c>
      <c r="L269" s="22"/>
      <c r="M269" s="22"/>
      <c r="N269" s="25" t="str">
        <f>HYPERLINK("http://slimages.macys.com/is/image/MCY/21465720 ")</f>
        <v xml:space="preserve">http://slimages.macys.com/is/image/MCY/21465720 </v>
      </c>
    </row>
    <row r="270" spans="1:14" ht="24.75" x14ac:dyDescent="0.25">
      <c r="A270" s="21" t="s">
        <v>2016</v>
      </c>
      <c r="B270" s="22" t="s">
        <v>2017</v>
      </c>
      <c r="C270" s="2">
        <v>14</v>
      </c>
      <c r="D270" s="23">
        <v>11.99</v>
      </c>
      <c r="E270" s="3">
        <v>167.86</v>
      </c>
      <c r="F270" s="2" t="s">
        <v>18611</v>
      </c>
      <c r="G270" s="22" t="s">
        <v>19431</v>
      </c>
      <c r="H270" s="24"/>
      <c r="I270" s="22" t="s">
        <v>19309</v>
      </c>
      <c r="J270" s="22" t="s">
        <v>19573</v>
      </c>
      <c r="K270" s="22" t="s">
        <v>19574</v>
      </c>
      <c r="L270" s="22"/>
      <c r="M270" s="22"/>
      <c r="N270" s="25" t="str">
        <f>HYPERLINK("http://slimages.macys.com/is/image/MCY/21361512 ")</f>
        <v xml:space="preserve">http://slimages.macys.com/is/image/MCY/21361512 </v>
      </c>
    </row>
    <row r="271" spans="1:14" x14ac:dyDescent="0.25">
      <c r="A271" s="21" t="s">
        <v>2897</v>
      </c>
      <c r="B271" s="22" t="s">
        <v>2898</v>
      </c>
      <c r="C271" s="2">
        <v>1</v>
      </c>
      <c r="D271" s="23">
        <v>8.99</v>
      </c>
      <c r="E271" s="3">
        <v>8.99</v>
      </c>
      <c r="F271" s="2" t="s">
        <v>18605</v>
      </c>
      <c r="G271" s="22" t="s">
        <v>19422</v>
      </c>
      <c r="H271" s="24" t="s">
        <v>19395</v>
      </c>
      <c r="I271" s="22" t="s">
        <v>19309</v>
      </c>
      <c r="J271" s="22" t="s">
        <v>19514</v>
      </c>
      <c r="K271" s="22" t="s">
        <v>18514</v>
      </c>
      <c r="L271" s="22" t="s">
        <v>19319</v>
      </c>
      <c r="M271" s="22" t="s">
        <v>19435</v>
      </c>
      <c r="N271" s="25" t="str">
        <f>HYPERLINK("http://slimages.macys.com/is/image/MCY/9995089 ")</f>
        <v xml:space="preserve">http://slimages.macys.com/is/image/MCY/9995089 </v>
      </c>
    </row>
    <row r="272" spans="1:14" ht="24.75" x14ac:dyDescent="0.25">
      <c r="A272" s="21" t="s">
        <v>2018</v>
      </c>
      <c r="B272" s="22" t="s">
        <v>2019</v>
      </c>
      <c r="C272" s="2">
        <v>1</v>
      </c>
      <c r="D272" s="23">
        <v>8.99</v>
      </c>
      <c r="E272" s="3">
        <v>8.99</v>
      </c>
      <c r="F272" s="2" t="s">
        <v>16637</v>
      </c>
      <c r="G272" s="22" t="s">
        <v>19763</v>
      </c>
      <c r="H272" s="24" t="s">
        <v>19364</v>
      </c>
      <c r="I272" s="22" t="s">
        <v>19309</v>
      </c>
      <c r="J272" s="22" t="s">
        <v>19815</v>
      </c>
      <c r="K272" s="22" t="s">
        <v>19816</v>
      </c>
      <c r="L272" s="22"/>
      <c r="M272" s="22"/>
      <c r="N272" s="25" t="str">
        <f>HYPERLINK("http://slimages.macys.com/is/image/MCY/21769912 ")</f>
        <v xml:space="preserve">http://slimages.macys.com/is/image/MCY/21769912 </v>
      </c>
    </row>
    <row r="273" spans="1:14" ht="24.75" x14ac:dyDescent="0.25">
      <c r="A273" s="21" t="s">
        <v>13908</v>
      </c>
      <c r="B273" s="22" t="s">
        <v>13909</v>
      </c>
      <c r="C273" s="2">
        <v>1</v>
      </c>
      <c r="D273" s="23">
        <v>8.99</v>
      </c>
      <c r="E273" s="3">
        <v>8.99</v>
      </c>
      <c r="F273" s="2" t="s">
        <v>16637</v>
      </c>
      <c r="G273" s="22" t="s">
        <v>19404</v>
      </c>
      <c r="H273" s="24" t="s">
        <v>19352</v>
      </c>
      <c r="I273" s="22" t="s">
        <v>19309</v>
      </c>
      <c r="J273" s="22" t="s">
        <v>19815</v>
      </c>
      <c r="K273" s="22" t="s">
        <v>19816</v>
      </c>
      <c r="L273" s="22"/>
      <c r="M273" s="22"/>
      <c r="N273" s="25" t="str">
        <f>HYPERLINK("http://slimages.macys.com/is/image/MCY/21769912 ")</f>
        <v xml:space="preserve">http://slimages.macys.com/is/image/MCY/21769912 </v>
      </c>
    </row>
    <row r="274" spans="1:14" ht="24.75" x14ac:dyDescent="0.25">
      <c r="A274" s="21" t="s">
        <v>2020</v>
      </c>
      <c r="B274" s="22" t="s">
        <v>2021</v>
      </c>
      <c r="C274" s="2">
        <v>2</v>
      </c>
      <c r="D274" s="23">
        <v>8.99</v>
      </c>
      <c r="E274" s="3">
        <v>17.98</v>
      </c>
      <c r="F274" s="2" t="s">
        <v>16637</v>
      </c>
      <c r="G274" s="22" t="s">
        <v>19518</v>
      </c>
      <c r="H274" s="24" t="s">
        <v>19308</v>
      </c>
      <c r="I274" s="22" t="s">
        <v>19309</v>
      </c>
      <c r="J274" s="22" t="s">
        <v>19815</v>
      </c>
      <c r="K274" s="22" t="s">
        <v>19816</v>
      </c>
      <c r="L274" s="22"/>
      <c r="M274" s="22"/>
      <c r="N274" s="25" t="str">
        <f>HYPERLINK("http://slimages.macys.com/is/image/MCY/21769912 ")</f>
        <v xml:space="preserve">http://slimages.macys.com/is/image/MCY/21769912 </v>
      </c>
    </row>
    <row r="275" spans="1:14" ht="24.75" x14ac:dyDescent="0.25">
      <c r="A275" s="21" t="s">
        <v>2022</v>
      </c>
      <c r="B275" s="22" t="s">
        <v>2023</v>
      </c>
      <c r="C275" s="2">
        <v>1</v>
      </c>
      <c r="D275" s="23">
        <v>8.99</v>
      </c>
      <c r="E275" s="3">
        <v>8.99</v>
      </c>
      <c r="F275" s="2" t="s">
        <v>16637</v>
      </c>
      <c r="G275" s="22" t="s">
        <v>19518</v>
      </c>
      <c r="H275" s="24" t="s">
        <v>19352</v>
      </c>
      <c r="I275" s="22" t="s">
        <v>19309</v>
      </c>
      <c r="J275" s="22" t="s">
        <v>19815</v>
      </c>
      <c r="K275" s="22" t="s">
        <v>19816</v>
      </c>
      <c r="L275" s="22"/>
      <c r="M275" s="22"/>
      <c r="N275" s="25" t="str">
        <f>HYPERLINK("http://slimages.macys.com/is/image/MCY/21769912 ")</f>
        <v xml:space="preserve">http://slimages.macys.com/is/image/MCY/21769912 </v>
      </c>
    </row>
    <row r="276" spans="1:14" ht="24.75" x14ac:dyDescent="0.25">
      <c r="A276" s="21" t="s">
        <v>2024</v>
      </c>
      <c r="B276" s="22" t="s">
        <v>2025</v>
      </c>
      <c r="C276" s="2">
        <v>2</v>
      </c>
      <c r="D276" s="23">
        <v>8.99</v>
      </c>
      <c r="E276" s="3">
        <v>17.98</v>
      </c>
      <c r="F276" s="2" t="s">
        <v>16637</v>
      </c>
      <c r="G276" s="22" t="s">
        <v>19518</v>
      </c>
      <c r="H276" s="24" t="s">
        <v>19364</v>
      </c>
      <c r="I276" s="22" t="s">
        <v>19309</v>
      </c>
      <c r="J276" s="22" t="s">
        <v>19815</v>
      </c>
      <c r="K276" s="22" t="s">
        <v>19816</v>
      </c>
      <c r="L276" s="22"/>
      <c r="M276" s="22"/>
      <c r="N276" s="25" t="str">
        <f>HYPERLINK("http://slimages.macys.com/is/image/MCY/21769912 ")</f>
        <v xml:space="preserve">http://slimages.macys.com/is/image/MCY/21769912 </v>
      </c>
    </row>
    <row r="277" spans="1:14" ht="24.75" x14ac:dyDescent="0.25">
      <c r="A277" s="21" t="s">
        <v>2026</v>
      </c>
      <c r="B277" s="22" t="s">
        <v>2027</v>
      </c>
      <c r="C277" s="2">
        <v>1</v>
      </c>
      <c r="D277" s="23">
        <v>8.99</v>
      </c>
      <c r="E277" s="3">
        <v>8.99</v>
      </c>
      <c r="F277" s="2" t="s">
        <v>18622</v>
      </c>
      <c r="G277" s="22" t="s">
        <v>19315</v>
      </c>
      <c r="H277" s="24" t="s">
        <v>19432</v>
      </c>
      <c r="I277" s="22" t="s">
        <v>19309</v>
      </c>
      <c r="J277" s="22" t="s">
        <v>19815</v>
      </c>
      <c r="K277" s="22" t="s">
        <v>19816</v>
      </c>
      <c r="L277" s="22"/>
      <c r="M277" s="22"/>
      <c r="N277" s="25" t="str">
        <f>HYPERLINK("http://slimages.macys.com/is/image/MCY/20531081 ")</f>
        <v xml:space="preserve">http://slimages.macys.com/is/image/MCY/20531081 </v>
      </c>
    </row>
    <row r="278" spans="1:14" ht="24.75" x14ac:dyDescent="0.25">
      <c r="A278" s="21" t="s">
        <v>2028</v>
      </c>
      <c r="B278" s="22" t="s">
        <v>2029</v>
      </c>
      <c r="C278" s="2">
        <v>1</v>
      </c>
      <c r="D278" s="23">
        <v>8.99</v>
      </c>
      <c r="E278" s="3">
        <v>8.99</v>
      </c>
      <c r="F278" s="2" t="s">
        <v>18622</v>
      </c>
      <c r="G278" s="22" t="s">
        <v>19467</v>
      </c>
      <c r="H278" s="24" t="s">
        <v>19907</v>
      </c>
      <c r="I278" s="22" t="s">
        <v>19309</v>
      </c>
      <c r="J278" s="22" t="s">
        <v>19815</v>
      </c>
      <c r="K278" s="22" t="s">
        <v>19816</v>
      </c>
      <c r="L278" s="22"/>
      <c r="M278" s="22"/>
      <c r="N278" s="25" t="str">
        <f>HYPERLINK("http://slimages.macys.com/is/image/MCY/20531081 ")</f>
        <v xml:space="preserve">http://slimages.macys.com/is/image/MCY/20531081 </v>
      </c>
    </row>
    <row r="279" spans="1:14" ht="24.75" x14ac:dyDescent="0.25">
      <c r="A279" s="21" t="s">
        <v>2030</v>
      </c>
      <c r="B279" s="22" t="s">
        <v>2031</v>
      </c>
      <c r="C279" s="2">
        <v>1</v>
      </c>
      <c r="D279" s="23">
        <v>8.99</v>
      </c>
      <c r="E279" s="3">
        <v>8.99</v>
      </c>
      <c r="F279" s="2" t="s">
        <v>18622</v>
      </c>
      <c r="G279" s="22" t="s">
        <v>19315</v>
      </c>
      <c r="H279" s="24" t="s">
        <v>19542</v>
      </c>
      <c r="I279" s="22" t="s">
        <v>19309</v>
      </c>
      <c r="J279" s="22" t="s">
        <v>19815</v>
      </c>
      <c r="K279" s="22" t="s">
        <v>19816</v>
      </c>
      <c r="L279" s="22"/>
      <c r="M279" s="22"/>
      <c r="N279" s="25" t="str">
        <f>HYPERLINK("http://slimages.macys.com/is/image/MCY/20531081 ")</f>
        <v xml:space="preserve">http://slimages.macys.com/is/image/MCY/20531081 </v>
      </c>
    </row>
    <row r="280" spans="1:14" ht="24.75" x14ac:dyDescent="0.25">
      <c r="A280" s="21" t="s">
        <v>2032</v>
      </c>
      <c r="B280" s="22" t="s">
        <v>2033</v>
      </c>
      <c r="C280" s="2">
        <v>1</v>
      </c>
      <c r="D280" s="23">
        <v>13.99</v>
      </c>
      <c r="E280" s="3">
        <v>13.99</v>
      </c>
      <c r="F280" s="2" t="s">
        <v>16593</v>
      </c>
      <c r="G280" s="22" t="s">
        <v>18429</v>
      </c>
      <c r="H280" s="24" t="s">
        <v>19339</v>
      </c>
      <c r="I280" s="22" t="s">
        <v>19309</v>
      </c>
      <c r="J280" s="22" t="s">
        <v>19815</v>
      </c>
      <c r="K280" s="22" t="s">
        <v>19816</v>
      </c>
      <c r="L280" s="22"/>
      <c r="M280" s="22"/>
      <c r="N280" s="25" t="str">
        <f t="shared" ref="N280:N285" si="1">HYPERLINK("http://slimages.macys.com/is/image/MCY/21188139 ")</f>
        <v xml:space="preserve">http://slimages.macys.com/is/image/MCY/21188139 </v>
      </c>
    </row>
    <row r="281" spans="1:14" ht="24.75" x14ac:dyDescent="0.25">
      <c r="A281" s="21" t="s">
        <v>12346</v>
      </c>
      <c r="B281" s="22" t="s">
        <v>12347</v>
      </c>
      <c r="C281" s="2">
        <v>2</v>
      </c>
      <c r="D281" s="23">
        <v>13.99</v>
      </c>
      <c r="E281" s="3">
        <v>27.98</v>
      </c>
      <c r="F281" s="2" t="s">
        <v>16593</v>
      </c>
      <c r="G281" s="22" t="s">
        <v>19814</v>
      </c>
      <c r="H281" s="24" t="s">
        <v>19364</v>
      </c>
      <c r="I281" s="22" t="s">
        <v>19309</v>
      </c>
      <c r="J281" s="22" t="s">
        <v>19815</v>
      </c>
      <c r="K281" s="22" t="s">
        <v>19816</v>
      </c>
      <c r="L281" s="22"/>
      <c r="M281" s="22"/>
      <c r="N281" s="25" t="str">
        <f t="shared" si="1"/>
        <v xml:space="preserve">http://slimages.macys.com/is/image/MCY/21188139 </v>
      </c>
    </row>
    <row r="282" spans="1:14" ht="24.75" x14ac:dyDescent="0.25">
      <c r="A282" s="21" t="s">
        <v>13888</v>
      </c>
      <c r="B282" s="22" t="s">
        <v>13889</v>
      </c>
      <c r="C282" s="2">
        <v>4</v>
      </c>
      <c r="D282" s="23">
        <v>13.99</v>
      </c>
      <c r="E282" s="3">
        <v>55.96</v>
      </c>
      <c r="F282" s="2" t="s">
        <v>16593</v>
      </c>
      <c r="G282" s="22" t="s">
        <v>19315</v>
      </c>
      <c r="H282" s="24" t="s">
        <v>19364</v>
      </c>
      <c r="I282" s="22" t="s">
        <v>19309</v>
      </c>
      <c r="J282" s="22" t="s">
        <v>19815</v>
      </c>
      <c r="K282" s="22" t="s">
        <v>19816</v>
      </c>
      <c r="L282" s="22"/>
      <c r="M282" s="22"/>
      <c r="N282" s="25" t="str">
        <f t="shared" si="1"/>
        <v xml:space="preserve">http://slimages.macys.com/is/image/MCY/21188139 </v>
      </c>
    </row>
    <row r="283" spans="1:14" ht="24.75" x14ac:dyDescent="0.25">
      <c r="A283" s="21" t="s">
        <v>2034</v>
      </c>
      <c r="B283" s="22" t="s">
        <v>2035</v>
      </c>
      <c r="C283" s="2">
        <v>1</v>
      </c>
      <c r="D283" s="23">
        <v>13.99</v>
      </c>
      <c r="E283" s="3">
        <v>13.99</v>
      </c>
      <c r="F283" s="2" t="s">
        <v>16593</v>
      </c>
      <c r="G283" s="22" t="s">
        <v>19814</v>
      </c>
      <c r="H283" s="24" t="s">
        <v>19352</v>
      </c>
      <c r="I283" s="22" t="s">
        <v>19309</v>
      </c>
      <c r="J283" s="22" t="s">
        <v>19815</v>
      </c>
      <c r="K283" s="22" t="s">
        <v>19816</v>
      </c>
      <c r="L283" s="22"/>
      <c r="M283" s="22"/>
      <c r="N283" s="25" t="str">
        <f t="shared" si="1"/>
        <v xml:space="preserve">http://slimages.macys.com/is/image/MCY/21188139 </v>
      </c>
    </row>
    <row r="284" spans="1:14" ht="24.75" x14ac:dyDescent="0.25">
      <c r="A284" s="21" t="s">
        <v>8978</v>
      </c>
      <c r="B284" s="22" t="s">
        <v>8979</v>
      </c>
      <c r="C284" s="2">
        <v>1</v>
      </c>
      <c r="D284" s="23">
        <v>13.99</v>
      </c>
      <c r="E284" s="3">
        <v>13.99</v>
      </c>
      <c r="F284" s="2" t="s">
        <v>16593</v>
      </c>
      <c r="G284" s="22" t="s">
        <v>18429</v>
      </c>
      <c r="H284" s="24" t="s">
        <v>19352</v>
      </c>
      <c r="I284" s="22" t="s">
        <v>19309</v>
      </c>
      <c r="J284" s="22" t="s">
        <v>19815</v>
      </c>
      <c r="K284" s="22" t="s">
        <v>19816</v>
      </c>
      <c r="L284" s="22"/>
      <c r="M284" s="22"/>
      <c r="N284" s="25" t="str">
        <f t="shared" si="1"/>
        <v xml:space="preserve">http://slimages.macys.com/is/image/MCY/21188139 </v>
      </c>
    </row>
    <row r="285" spans="1:14" ht="24.75" x14ac:dyDescent="0.25">
      <c r="A285" s="21" t="s">
        <v>2036</v>
      </c>
      <c r="B285" s="22" t="s">
        <v>2037</v>
      </c>
      <c r="C285" s="2">
        <v>1</v>
      </c>
      <c r="D285" s="23">
        <v>13.99</v>
      </c>
      <c r="E285" s="3">
        <v>13.99</v>
      </c>
      <c r="F285" s="2" t="s">
        <v>16593</v>
      </c>
      <c r="G285" s="22" t="s">
        <v>19315</v>
      </c>
      <c r="H285" s="24" t="s">
        <v>19352</v>
      </c>
      <c r="I285" s="22" t="s">
        <v>19309</v>
      </c>
      <c r="J285" s="22" t="s">
        <v>19815</v>
      </c>
      <c r="K285" s="22" t="s">
        <v>19816</v>
      </c>
      <c r="L285" s="22"/>
      <c r="M285" s="22"/>
      <c r="N285" s="25" t="str">
        <f t="shared" si="1"/>
        <v xml:space="preserve">http://slimages.macys.com/is/image/MCY/21188139 </v>
      </c>
    </row>
    <row r="286" spans="1:14" x14ac:dyDescent="0.25">
      <c r="A286" s="21" t="s">
        <v>13275</v>
      </c>
      <c r="B286" s="22" t="s">
        <v>13276</v>
      </c>
      <c r="C286" s="2">
        <v>1</v>
      </c>
      <c r="D286" s="23">
        <v>13.27</v>
      </c>
      <c r="E286" s="3">
        <v>13.27</v>
      </c>
      <c r="F286" s="2" t="s">
        <v>13897</v>
      </c>
      <c r="G286" s="22"/>
      <c r="H286" s="24" t="s">
        <v>19324</v>
      </c>
      <c r="I286" s="22" t="s">
        <v>19309</v>
      </c>
      <c r="J286" s="22" t="s">
        <v>19708</v>
      </c>
      <c r="K286" s="22" t="s">
        <v>19754</v>
      </c>
      <c r="L286" s="22"/>
      <c r="M286" s="22"/>
      <c r="N286" s="25" t="str">
        <f>HYPERLINK("http://slimages.macys.com/is/image/MCY/21414718 ")</f>
        <v xml:space="preserve">http://slimages.macys.com/is/image/MCY/21414718 </v>
      </c>
    </row>
    <row r="287" spans="1:14" x14ac:dyDescent="0.25">
      <c r="A287" s="21" t="s">
        <v>2038</v>
      </c>
      <c r="B287" s="22" t="s">
        <v>2039</v>
      </c>
      <c r="C287" s="2">
        <v>1</v>
      </c>
      <c r="D287" s="23">
        <v>13.27</v>
      </c>
      <c r="E287" s="3">
        <v>13.27</v>
      </c>
      <c r="F287" s="2" t="s">
        <v>16303</v>
      </c>
      <c r="G287" s="22"/>
      <c r="H287" s="24" t="s">
        <v>19324</v>
      </c>
      <c r="I287" s="22" t="s">
        <v>19309</v>
      </c>
      <c r="J287" s="22" t="s">
        <v>19708</v>
      </c>
      <c r="K287" s="22" t="s">
        <v>19754</v>
      </c>
      <c r="L287" s="22"/>
      <c r="M287" s="22"/>
      <c r="N287" s="25" t="str">
        <f>HYPERLINK("http://slimages.macys.com/is/image/MCY/22118338 ")</f>
        <v xml:space="preserve">http://slimages.macys.com/is/image/MCY/22118338 </v>
      </c>
    </row>
    <row r="288" spans="1:14" ht="24.75" x14ac:dyDescent="0.25">
      <c r="A288" s="21" t="s">
        <v>2040</v>
      </c>
      <c r="B288" s="22" t="s">
        <v>2041</v>
      </c>
      <c r="C288" s="2">
        <v>1</v>
      </c>
      <c r="D288" s="23">
        <v>13.27</v>
      </c>
      <c r="E288" s="3">
        <v>13.27</v>
      </c>
      <c r="F288" s="2" t="s">
        <v>2042</v>
      </c>
      <c r="G288" s="22"/>
      <c r="H288" s="24" t="s">
        <v>19330</v>
      </c>
      <c r="I288" s="22" t="s">
        <v>19309</v>
      </c>
      <c r="J288" s="22" t="s">
        <v>19708</v>
      </c>
      <c r="K288" s="22" t="s">
        <v>19754</v>
      </c>
      <c r="L288" s="22"/>
      <c r="M288" s="22"/>
      <c r="N288" s="25" t="str">
        <f>HYPERLINK("http://slimages.macys.com/is/image/MCY/21414723 ")</f>
        <v xml:space="preserve">http://slimages.macys.com/is/image/MCY/21414723 </v>
      </c>
    </row>
    <row r="289" spans="1:14" x14ac:dyDescent="0.25">
      <c r="A289" s="21" t="s">
        <v>2043</v>
      </c>
      <c r="B289" s="22" t="s">
        <v>2044</v>
      </c>
      <c r="C289" s="2">
        <v>1</v>
      </c>
      <c r="D289" s="23">
        <v>9.74</v>
      </c>
      <c r="E289" s="3">
        <v>9.74</v>
      </c>
      <c r="F289" s="2" t="s">
        <v>2045</v>
      </c>
      <c r="G289" s="22"/>
      <c r="H289" s="24" t="s">
        <v>19367</v>
      </c>
      <c r="I289" s="22" t="s">
        <v>19309</v>
      </c>
      <c r="J289" s="22" t="s">
        <v>19708</v>
      </c>
      <c r="K289" s="22" t="s">
        <v>19709</v>
      </c>
      <c r="L289" s="22"/>
      <c r="M289" s="22"/>
      <c r="N289" s="25" t="str">
        <f>HYPERLINK("http://slimages.macys.com/is/image/MCY/22595960 ")</f>
        <v xml:space="preserve">http://slimages.macys.com/is/image/MCY/22595960 </v>
      </c>
    </row>
    <row r="290" spans="1:14" ht="24.75" x14ac:dyDescent="0.25">
      <c r="A290" s="21" t="s">
        <v>2046</v>
      </c>
      <c r="B290" s="22" t="s">
        <v>2047</v>
      </c>
      <c r="C290" s="2">
        <v>1</v>
      </c>
      <c r="D290" s="23">
        <v>10.91</v>
      </c>
      <c r="E290" s="3">
        <v>10.91</v>
      </c>
      <c r="F290" s="2" t="s">
        <v>2048</v>
      </c>
      <c r="G290" s="22"/>
      <c r="H290" s="24"/>
      <c r="I290" s="22" t="s">
        <v>19309</v>
      </c>
      <c r="J290" s="22" t="s">
        <v>19602</v>
      </c>
      <c r="K290" s="22" t="s">
        <v>19603</v>
      </c>
      <c r="L290" s="22"/>
      <c r="M290" s="22"/>
      <c r="N290" s="25" t="str">
        <f>HYPERLINK("http://slimages.macys.com/is/image/MCY/21421177 ")</f>
        <v xml:space="preserve">http://slimages.macys.com/is/image/MCY/21421177 </v>
      </c>
    </row>
    <row r="291" spans="1:14" x14ac:dyDescent="0.25">
      <c r="A291" s="21" t="s">
        <v>2049</v>
      </c>
      <c r="B291" s="22" t="s">
        <v>2050</v>
      </c>
      <c r="C291" s="2">
        <v>1</v>
      </c>
      <c r="D291" s="23">
        <v>26</v>
      </c>
      <c r="E291" s="3">
        <v>26</v>
      </c>
      <c r="F291" s="2" t="s">
        <v>2051</v>
      </c>
      <c r="G291" s="22" t="s">
        <v>19333</v>
      </c>
      <c r="H291" s="24" t="s">
        <v>19324</v>
      </c>
      <c r="I291" s="22" t="s">
        <v>19309</v>
      </c>
      <c r="J291" s="22" t="s">
        <v>19417</v>
      </c>
      <c r="K291" s="22" t="s">
        <v>18317</v>
      </c>
      <c r="L291" s="22"/>
      <c r="M291" s="22"/>
      <c r="N291" s="25" t="str">
        <f>HYPERLINK("http://slimages.macys.com/is/image/MCY/21615001 ")</f>
        <v xml:space="preserve">http://slimages.macys.com/is/image/MCY/21615001 </v>
      </c>
    </row>
    <row r="292" spans="1:14" ht="24.75" x14ac:dyDescent="0.25">
      <c r="A292" s="21" t="s">
        <v>2052</v>
      </c>
      <c r="B292" s="22" t="s">
        <v>2053</v>
      </c>
      <c r="C292" s="2">
        <v>1</v>
      </c>
      <c r="D292" s="23">
        <v>13.99</v>
      </c>
      <c r="E292" s="3">
        <v>13.99</v>
      </c>
      <c r="F292" s="2" t="s">
        <v>18669</v>
      </c>
      <c r="G292" s="22" t="s">
        <v>19315</v>
      </c>
      <c r="H292" s="24" t="s">
        <v>19432</v>
      </c>
      <c r="I292" s="22" t="s">
        <v>19309</v>
      </c>
      <c r="J292" s="22" t="s">
        <v>19815</v>
      </c>
      <c r="K292" s="22" t="s">
        <v>19816</v>
      </c>
      <c r="L292" s="22"/>
      <c r="M292" s="22"/>
      <c r="N292" s="25" t="str">
        <f>HYPERLINK("http://slimages.macys.com/is/image/MCY/20817076 ")</f>
        <v xml:space="preserve">http://slimages.macys.com/is/image/MCY/20817076 </v>
      </c>
    </row>
    <row r="293" spans="1:14" ht="24.75" x14ac:dyDescent="0.25">
      <c r="A293" s="21" t="s">
        <v>2054</v>
      </c>
      <c r="B293" s="22" t="s">
        <v>2055</v>
      </c>
      <c r="C293" s="2">
        <v>1</v>
      </c>
      <c r="D293" s="23">
        <v>13.99</v>
      </c>
      <c r="E293" s="3">
        <v>13.99</v>
      </c>
      <c r="F293" s="2" t="s">
        <v>18669</v>
      </c>
      <c r="G293" s="22" t="s">
        <v>19513</v>
      </c>
      <c r="H293" s="24" t="s">
        <v>20135</v>
      </c>
      <c r="I293" s="22" t="s">
        <v>19309</v>
      </c>
      <c r="J293" s="22" t="s">
        <v>19815</v>
      </c>
      <c r="K293" s="22" t="s">
        <v>19816</v>
      </c>
      <c r="L293" s="22"/>
      <c r="M293" s="22"/>
      <c r="N293" s="25" t="str">
        <f>HYPERLINK("http://slimages.macys.com/is/image/MCY/20817076 ")</f>
        <v xml:space="preserve">http://slimages.macys.com/is/image/MCY/20817076 </v>
      </c>
    </row>
    <row r="294" spans="1:14" ht="24.75" x14ac:dyDescent="0.25">
      <c r="A294" s="21" t="s">
        <v>2056</v>
      </c>
      <c r="B294" s="22" t="s">
        <v>2057</v>
      </c>
      <c r="C294" s="2">
        <v>1</v>
      </c>
      <c r="D294" s="23">
        <v>13.99</v>
      </c>
      <c r="E294" s="3">
        <v>13.99</v>
      </c>
      <c r="F294" s="2" t="s">
        <v>18669</v>
      </c>
      <c r="G294" s="22" t="s">
        <v>19315</v>
      </c>
      <c r="H294" s="24" t="s">
        <v>19907</v>
      </c>
      <c r="I294" s="22" t="s">
        <v>19309</v>
      </c>
      <c r="J294" s="22" t="s">
        <v>19815</v>
      </c>
      <c r="K294" s="22" t="s">
        <v>19816</v>
      </c>
      <c r="L294" s="22"/>
      <c r="M294" s="22"/>
      <c r="N294" s="25" t="str">
        <f>HYPERLINK("http://slimages.macys.com/is/image/MCY/20817076 ")</f>
        <v xml:space="preserve">http://slimages.macys.com/is/image/MCY/20817076 </v>
      </c>
    </row>
    <row r="295" spans="1:14" ht="24.75" x14ac:dyDescent="0.25">
      <c r="A295" s="21" t="s">
        <v>2058</v>
      </c>
      <c r="B295" s="22" t="s">
        <v>2059</v>
      </c>
      <c r="C295" s="2">
        <v>1</v>
      </c>
      <c r="D295" s="23">
        <v>13.99</v>
      </c>
      <c r="E295" s="3">
        <v>13.99</v>
      </c>
      <c r="F295" s="2" t="s">
        <v>18669</v>
      </c>
      <c r="G295" s="22" t="s">
        <v>19814</v>
      </c>
      <c r="H295" s="24" t="s">
        <v>20135</v>
      </c>
      <c r="I295" s="22" t="s">
        <v>19309</v>
      </c>
      <c r="J295" s="22" t="s">
        <v>19815</v>
      </c>
      <c r="K295" s="22" t="s">
        <v>19816</v>
      </c>
      <c r="L295" s="22"/>
      <c r="M295" s="22"/>
      <c r="N295" s="25" t="str">
        <f>HYPERLINK("http://slimages.macys.com/is/image/MCY/20817076 ")</f>
        <v xml:space="preserve">http://slimages.macys.com/is/image/MCY/20817076 </v>
      </c>
    </row>
    <row r="296" spans="1:14" ht="24.75" x14ac:dyDescent="0.25">
      <c r="A296" s="21" t="s">
        <v>2060</v>
      </c>
      <c r="B296" s="22" t="s">
        <v>2061</v>
      </c>
      <c r="C296" s="2">
        <v>2</v>
      </c>
      <c r="D296" s="23">
        <v>13.99</v>
      </c>
      <c r="E296" s="3">
        <v>27.98</v>
      </c>
      <c r="F296" s="2" t="s">
        <v>18669</v>
      </c>
      <c r="G296" s="22" t="s">
        <v>19814</v>
      </c>
      <c r="H296" s="24" t="s">
        <v>19542</v>
      </c>
      <c r="I296" s="22" t="s">
        <v>19309</v>
      </c>
      <c r="J296" s="22" t="s">
        <v>19815</v>
      </c>
      <c r="K296" s="22" t="s">
        <v>19816</v>
      </c>
      <c r="L296" s="22"/>
      <c r="M296" s="22"/>
      <c r="N296" s="25" t="str">
        <f>HYPERLINK("http://slimages.macys.com/is/image/MCY/20817076 ")</f>
        <v xml:space="preserve">http://slimages.macys.com/is/image/MCY/20817076 </v>
      </c>
    </row>
    <row r="297" spans="1:14" ht="24.75" x14ac:dyDescent="0.25">
      <c r="A297" s="21" t="s">
        <v>2062</v>
      </c>
      <c r="B297" s="22" t="s">
        <v>2063</v>
      </c>
      <c r="C297" s="2">
        <v>1</v>
      </c>
      <c r="D297" s="23">
        <v>7.99</v>
      </c>
      <c r="E297" s="3">
        <v>7.99</v>
      </c>
      <c r="F297" s="2" t="s">
        <v>2064</v>
      </c>
      <c r="G297" s="22" t="s">
        <v>19315</v>
      </c>
      <c r="H297" s="24" t="s">
        <v>19339</v>
      </c>
      <c r="I297" s="22" t="s">
        <v>19309</v>
      </c>
      <c r="J297" s="22" t="s">
        <v>19447</v>
      </c>
      <c r="K297" s="22" t="s">
        <v>19873</v>
      </c>
      <c r="L297" s="22"/>
      <c r="M297" s="22"/>
      <c r="N297" s="25" t="str">
        <f>HYPERLINK("http://slimages.macys.com/is/image/MCY/19575716 ")</f>
        <v xml:space="preserve">http://slimages.macys.com/is/image/MCY/19575716 </v>
      </c>
    </row>
    <row r="298" spans="1:14" x14ac:dyDescent="0.25">
      <c r="A298" s="21" t="s">
        <v>6023</v>
      </c>
      <c r="B298" s="22" t="s">
        <v>6024</v>
      </c>
      <c r="C298" s="2">
        <v>1</v>
      </c>
      <c r="D298" s="23">
        <v>12.99</v>
      </c>
      <c r="E298" s="3">
        <v>12.99</v>
      </c>
      <c r="F298" s="2" t="s">
        <v>12374</v>
      </c>
      <c r="G298" s="22" t="s">
        <v>19674</v>
      </c>
      <c r="H298" s="24" t="s">
        <v>20089</v>
      </c>
      <c r="I298" s="22" t="s">
        <v>19309</v>
      </c>
      <c r="J298" s="22" t="s">
        <v>19849</v>
      </c>
      <c r="K298" s="22" t="s">
        <v>19850</v>
      </c>
      <c r="L298" s="22"/>
      <c r="M298" s="22"/>
      <c r="N298" s="25" t="str">
        <f>HYPERLINK("http://slimages.macys.com/is/image/MCY/21270325 ")</f>
        <v xml:space="preserve">http://slimages.macys.com/is/image/MCY/21270325 </v>
      </c>
    </row>
    <row r="299" spans="1:14" ht="24.75" x14ac:dyDescent="0.25">
      <c r="A299" s="21" t="s">
        <v>12380</v>
      </c>
      <c r="B299" s="22" t="s">
        <v>12381</v>
      </c>
      <c r="C299" s="2">
        <v>1</v>
      </c>
      <c r="D299" s="23">
        <v>9.99</v>
      </c>
      <c r="E299" s="3">
        <v>9.99</v>
      </c>
      <c r="F299" s="2">
        <v>10015240800</v>
      </c>
      <c r="G299" s="22" t="s">
        <v>19351</v>
      </c>
      <c r="H299" s="24" t="s">
        <v>19538</v>
      </c>
      <c r="I299" s="22" t="s">
        <v>19309</v>
      </c>
      <c r="J299" s="22" t="s">
        <v>19573</v>
      </c>
      <c r="K299" s="22" t="s">
        <v>19574</v>
      </c>
      <c r="L299" s="22"/>
      <c r="M299" s="22"/>
      <c r="N299" s="25" t="str">
        <f>HYPERLINK("http://slimages.macys.com/is/image/MCY/2023449 ")</f>
        <v xml:space="preserve">http://slimages.macys.com/is/image/MCY/2023449 </v>
      </c>
    </row>
    <row r="300" spans="1:14" ht="24.75" x14ac:dyDescent="0.25">
      <c r="A300" s="21" t="s">
        <v>18673</v>
      </c>
      <c r="B300" s="22" t="s">
        <v>18674</v>
      </c>
      <c r="C300" s="2">
        <v>1</v>
      </c>
      <c r="D300" s="23">
        <v>9.99</v>
      </c>
      <c r="E300" s="3">
        <v>9.99</v>
      </c>
      <c r="F300" s="2">
        <v>10015240700</v>
      </c>
      <c r="G300" s="22" t="s">
        <v>19315</v>
      </c>
      <c r="H300" s="24"/>
      <c r="I300" s="22" t="s">
        <v>19309</v>
      </c>
      <c r="J300" s="22" t="s">
        <v>19573</v>
      </c>
      <c r="K300" s="22" t="s">
        <v>19574</v>
      </c>
      <c r="L300" s="22"/>
      <c r="M300" s="22"/>
      <c r="N300" s="25" t="str">
        <f>HYPERLINK("http://slimages.macys.com/is/image/MCY/2023449 ")</f>
        <v xml:space="preserve">http://slimages.macys.com/is/image/MCY/2023449 </v>
      </c>
    </row>
    <row r="301" spans="1:14" ht="24.75" x14ac:dyDescent="0.25">
      <c r="A301" s="21" t="s">
        <v>18675</v>
      </c>
      <c r="B301" s="22" t="s">
        <v>18676</v>
      </c>
      <c r="C301" s="2">
        <v>1</v>
      </c>
      <c r="D301" s="23">
        <v>9.99</v>
      </c>
      <c r="E301" s="3">
        <v>9.99</v>
      </c>
      <c r="F301" s="2">
        <v>10015240800</v>
      </c>
      <c r="G301" s="22" t="s">
        <v>19351</v>
      </c>
      <c r="H301" s="24"/>
      <c r="I301" s="22" t="s">
        <v>19309</v>
      </c>
      <c r="J301" s="22" t="s">
        <v>19573</v>
      </c>
      <c r="K301" s="22" t="s">
        <v>19574</v>
      </c>
      <c r="L301" s="22"/>
      <c r="M301" s="22"/>
      <c r="N301" s="25" t="str">
        <f>HYPERLINK("http://slimages.macys.com/is/image/MCY/2023449 ")</f>
        <v xml:space="preserve">http://slimages.macys.com/is/image/MCY/2023449 </v>
      </c>
    </row>
    <row r="302" spans="1:14" ht="24.75" x14ac:dyDescent="0.25">
      <c r="A302" s="21" t="s">
        <v>18687</v>
      </c>
      <c r="B302" s="22" t="s">
        <v>18688</v>
      </c>
      <c r="C302" s="2">
        <v>3</v>
      </c>
      <c r="D302" s="23">
        <v>9.99</v>
      </c>
      <c r="E302" s="3">
        <v>29.97</v>
      </c>
      <c r="F302" s="2" t="s">
        <v>18689</v>
      </c>
      <c r="G302" s="22" t="s">
        <v>19351</v>
      </c>
      <c r="H302" s="24"/>
      <c r="I302" s="22" t="s">
        <v>19309</v>
      </c>
      <c r="J302" s="22" t="s">
        <v>19573</v>
      </c>
      <c r="K302" s="22" t="s">
        <v>19574</v>
      </c>
      <c r="L302" s="22"/>
      <c r="M302" s="22"/>
      <c r="N302" s="25" t="str">
        <f>HYPERLINK("http://slimages.macys.com/is/image/MCY/1699968 ")</f>
        <v xml:space="preserve">http://slimages.macys.com/is/image/MCY/1699968 </v>
      </c>
    </row>
    <row r="303" spans="1:14" ht="24.75" x14ac:dyDescent="0.25">
      <c r="A303" s="21" t="s">
        <v>2065</v>
      </c>
      <c r="B303" s="22" t="s">
        <v>2066</v>
      </c>
      <c r="C303" s="2">
        <v>1</v>
      </c>
      <c r="D303" s="23">
        <v>9.99</v>
      </c>
      <c r="E303" s="3">
        <v>9.99</v>
      </c>
      <c r="F303" s="2" t="s">
        <v>18689</v>
      </c>
      <c r="G303" s="22" t="s">
        <v>19351</v>
      </c>
      <c r="H303" s="24" t="s">
        <v>19324</v>
      </c>
      <c r="I303" s="22" t="s">
        <v>19309</v>
      </c>
      <c r="J303" s="22" t="s">
        <v>19573</v>
      </c>
      <c r="K303" s="22" t="s">
        <v>19574</v>
      </c>
      <c r="L303" s="22"/>
      <c r="M303" s="22"/>
      <c r="N303" s="25" t="str">
        <f>HYPERLINK("http://slimages.macys.com/is/image/MCY/1679025 ")</f>
        <v xml:space="preserve">http://slimages.macys.com/is/image/MCY/1679025 </v>
      </c>
    </row>
    <row r="304" spans="1:14" ht="24.75" x14ac:dyDescent="0.25">
      <c r="A304" s="21" t="s">
        <v>7752</v>
      </c>
      <c r="B304" s="22" t="s">
        <v>7753</v>
      </c>
      <c r="C304" s="2">
        <v>1</v>
      </c>
      <c r="D304" s="23">
        <v>11.99</v>
      </c>
      <c r="E304" s="3">
        <v>11.99</v>
      </c>
      <c r="F304" s="2" t="s">
        <v>18699</v>
      </c>
      <c r="G304" s="22" t="s">
        <v>19906</v>
      </c>
      <c r="H304" s="24" t="s">
        <v>19339</v>
      </c>
      <c r="I304" s="22" t="s">
        <v>19309</v>
      </c>
      <c r="J304" s="22" t="s">
        <v>19454</v>
      </c>
      <c r="K304" s="22" t="s">
        <v>18654</v>
      </c>
      <c r="L304" s="22"/>
      <c r="M304" s="22"/>
      <c r="N304" s="25" t="str">
        <f>HYPERLINK("http://slimages.macys.com/is/image/MCY/22163513 ")</f>
        <v xml:space="preserve">http://slimages.macys.com/is/image/MCY/22163513 </v>
      </c>
    </row>
    <row r="305" spans="1:14" ht="24.75" x14ac:dyDescent="0.25">
      <c r="A305" s="21" t="s">
        <v>2067</v>
      </c>
      <c r="B305" s="22" t="s">
        <v>2068</v>
      </c>
      <c r="C305" s="2">
        <v>1</v>
      </c>
      <c r="D305" s="23">
        <v>10.41</v>
      </c>
      <c r="E305" s="3">
        <v>10.41</v>
      </c>
      <c r="F305" s="2" t="s">
        <v>2069</v>
      </c>
      <c r="G305" s="22"/>
      <c r="H305" s="24" t="s">
        <v>19334</v>
      </c>
      <c r="I305" s="22" t="s">
        <v>19309</v>
      </c>
      <c r="J305" s="22" t="s">
        <v>19602</v>
      </c>
      <c r="K305" s="22" t="s">
        <v>20041</v>
      </c>
      <c r="L305" s="22"/>
      <c r="M305" s="22"/>
      <c r="N305" s="25" t="str">
        <f>HYPERLINK("http://slimages.macys.com/is/image/MCY/21723875 ")</f>
        <v xml:space="preserve">http://slimages.macys.com/is/image/MCY/21723875 </v>
      </c>
    </row>
    <row r="306" spans="1:14" ht="24.75" x14ac:dyDescent="0.25">
      <c r="A306" s="21" t="s">
        <v>13307</v>
      </c>
      <c r="B306" s="22" t="s">
        <v>13308</v>
      </c>
      <c r="C306" s="2">
        <v>1</v>
      </c>
      <c r="D306" s="23">
        <v>10.99</v>
      </c>
      <c r="E306" s="3">
        <v>10.99</v>
      </c>
      <c r="F306" s="2" t="s">
        <v>13309</v>
      </c>
      <c r="G306" s="22" t="s">
        <v>19513</v>
      </c>
      <c r="H306" s="24" t="s">
        <v>19330</v>
      </c>
      <c r="I306" s="22" t="s">
        <v>19309</v>
      </c>
      <c r="J306" s="22" t="s">
        <v>19573</v>
      </c>
      <c r="K306" s="22" t="s">
        <v>19574</v>
      </c>
      <c r="L306" s="22"/>
      <c r="M306" s="22"/>
      <c r="N306" s="25" t="str">
        <f>HYPERLINK("http://slimages.macys.com/is/image/MCY/21731816 ")</f>
        <v xml:space="preserve">http://slimages.macys.com/is/image/MCY/21731816 </v>
      </c>
    </row>
    <row r="307" spans="1:14" ht="24.75" x14ac:dyDescent="0.25">
      <c r="A307" s="21" t="s">
        <v>2070</v>
      </c>
      <c r="B307" s="22" t="s">
        <v>2071</v>
      </c>
      <c r="C307" s="2">
        <v>1</v>
      </c>
      <c r="D307" s="23">
        <v>10.99</v>
      </c>
      <c r="E307" s="3">
        <v>10.99</v>
      </c>
      <c r="F307" s="2" t="s">
        <v>13309</v>
      </c>
      <c r="G307" s="22" t="s">
        <v>19513</v>
      </c>
      <c r="H307" s="24" t="s">
        <v>19324</v>
      </c>
      <c r="I307" s="22" t="s">
        <v>19309</v>
      </c>
      <c r="J307" s="22" t="s">
        <v>19573</v>
      </c>
      <c r="K307" s="22" t="s">
        <v>19574</v>
      </c>
      <c r="L307" s="22"/>
      <c r="M307" s="22"/>
      <c r="N307" s="25" t="str">
        <f>HYPERLINK("http://slimages.macys.com/is/image/MCY/21731816 ")</f>
        <v xml:space="preserve">http://slimages.macys.com/is/image/MCY/21731816 </v>
      </c>
    </row>
    <row r="308" spans="1:14" ht="24.75" x14ac:dyDescent="0.25">
      <c r="A308" s="21" t="s">
        <v>2072</v>
      </c>
      <c r="B308" s="22" t="s">
        <v>2073</v>
      </c>
      <c r="C308" s="2">
        <v>3</v>
      </c>
      <c r="D308" s="23">
        <v>10.99</v>
      </c>
      <c r="E308" s="3">
        <v>32.97</v>
      </c>
      <c r="F308" s="2" t="s">
        <v>13309</v>
      </c>
      <c r="G308" s="22" t="s">
        <v>19513</v>
      </c>
      <c r="H308" s="24"/>
      <c r="I308" s="22" t="s">
        <v>19309</v>
      </c>
      <c r="J308" s="22" t="s">
        <v>19573</v>
      </c>
      <c r="K308" s="22" t="s">
        <v>19574</v>
      </c>
      <c r="L308" s="22"/>
      <c r="M308" s="22"/>
      <c r="N308" s="25" t="str">
        <f>HYPERLINK("http://slimages.macys.com/is/image/MCY/21731816 ")</f>
        <v xml:space="preserve">http://slimages.macys.com/is/image/MCY/21731816 </v>
      </c>
    </row>
    <row r="309" spans="1:14" ht="24.75" x14ac:dyDescent="0.25">
      <c r="A309" s="21" t="s">
        <v>2074</v>
      </c>
      <c r="B309" s="22" t="s">
        <v>2075</v>
      </c>
      <c r="C309" s="2">
        <v>1</v>
      </c>
      <c r="D309" s="23">
        <v>10.99</v>
      </c>
      <c r="E309" s="3">
        <v>10.99</v>
      </c>
      <c r="F309" s="2" t="s">
        <v>13309</v>
      </c>
      <c r="G309" s="22" t="s">
        <v>19513</v>
      </c>
      <c r="H309" s="24" t="s">
        <v>19538</v>
      </c>
      <c r="I309" s="22" t="s">
        <v>19309</v>
      </c>
      <c r="J309" s="22" t="s">
        <v>19573</v>
      </c>
      <c r="K309" s="22" t="s">
        <v>19574</v>
      </c>
      <c r="L309" s="22"/>
      <c r="M309" s="22"/>
      <c r="N309" s="25" t="str">
        <f>HYPERLINK("http://slimages.macys.com/is/image/MCY/21731816 ")</f>
        <v xml:space="preserve">http://slimages.macys.com/is/image/MCY/21731816 </v>
      </c>
    </row>
    <row r="310" spans="1:14" x14ac:dyDescent="0.25">
      <c r="A310" s="21" t="s">
        <v>4854</v>
      </c>
      <c r="B310" s="22" t="s">
        <v>4855</v>
      </c>
      <c r="C310" s="2">
        <v>1</v>
      </c>
      <c r="D310" s="23">
        <v>9.99</v>
      </c>
      <c r="E310" s="3">
        <v>9.99</v>
      </c>
      <c r="F310" s="2" t="s">
        <v>16396</v>
      </c>
      <c r="G310" s="22" t="s">
        <v>19670</v>
      </c>
      <c r="H310" s="24" t="s">
        <v>19377</v>
      </c>
      <c r="I310" s="22" t="s">
        <v>19309</v>
      </c>
      <c r="J310" s="22" t="s">
        <v>19849</v>
      </c>
      <c r="K310" s="22" t="s">
        <v>19850</v>
      </c>
      <c r="L310" s="22"/>
      <c r="M310" s="22"/>
      <c r="N310" s="25" t="str">
        <f>HYPERLINK("http://slimages.macys.com/is/image/MCY/19068331 ")</f>
        <v xml:space="preserve">http://slimages.macys.com/is/image/MCY/19068331 </v>
      </c>
    </row>
    <row r="311" spans="1:14" ht="24.75" x14ac:dyDescent="0.25">
      <c r="A311" s="21" t="s">
        <v>2076</v>
      </c>
      <c r="B311" s="22" t="s">
        <v>2077</v>
      </c>
      <c r="C311" s="2">
        <v>1</v>
      </c>
      <c r="D311" s="23">
        <v>7.99</v>
      </c>
      <c r="E311" s="3">
        <v>7.99</v>
      </c>
      <c r="F311" s="2" t="s">
        <v>18723</v>
      </c>
      <c r="G311" s="22" t="s">
        <v>19670</v>
      </c>
      <c r="H311" s="24" t="s">
        <v>19345</v>
      </c>
      <c r="I311" s="22" t="s">
        <v>19309</v>
      </c>
      <c r="J311" s="22" t="s">
        <v>19447</v>
      </c>
      <c r="K311" s="22" t="s">
        <v>20146</v>
      </c>
      <c r="L311" s="22"/>
      <c r="M311" s="22"/>
      <c r="N311" s="25" t="str">
        <f>HYPERLINK("http://slimages.macys.com/is/image/MCY/21161776 ")</f>
        <v xml:space="preserve">http://slimages.macys.com/is/image/MCY/21161776 </v>
      </c>
    </row>
    <row r="312" spans="1:14" x14ac:dyDescent="0.25">
      <c r="A312" s="21" t="s">
        <v>2078</v>
      </c>
      <c r="B312" s="22" t="s">
        <v>2079</v>
      </c>
      <c r="C312" s="2">
        <v>1</v>
      </c>
      <c r="D312" s="23">
        <v>6.99</v>
      </c>
      <c r="E312" s="3">
        <v>6.99</v>
      </c>
      <c r="F312" s="2" t="s">
        <v>9970</v>
      </c>
      <c r="G312" s="22" t="s">
        <v>19801</v>
      </c>
      <c r="H312" s="24" t="s">
        <v>19345</v>
      </c>
      <c r="I312" s="22" t="s">
        <v>19309</v>
      </c>
      <c r="J312" s="22" t="s">
        <v>19310</v>
      </c>
      <c r="K312" s="22" t="s">
        <v>19468</v>
      </c>
      <c r="L312" s="22"/>
      <c r="M312" s="22"/>
      <c r="N312" s="25" t="str">
        <f>HYPERLINK("http://slimages.macys.com/is/image/MCY/21184212 ")</f>
        <v xml:space="preserve">http://slimages.macys.com/is/image/MCY/21184212 </v>
      </c>
    </row>
    <row r="313" spans="1:14" x14ac:dyDescent="0.25">
      <c r="A313" s="21" t="s">
        <v>9968</v>
      </c>
      <c r="B313" s="22" t="s">
        <v>9969</v>
      </c>
      <c r="C313" s="2">
        <v>1</v>
      </c>
      <c r="D313" s="23">
        <v>6.99</v>
      </c>
      <c r="E313" s="3">
        <v>6.99</v>
      </c>
      <c r="F313" s="2" t="s">
        <v>9970</v>
      </c>
      <c r="G313" s="22" t="s">
        <v>19801</v>
      </c>
      <c r="H313" s="24" t="s">
        <v>19334</v>
      </c>
      <c r="I313" s="22" t="s">
        <v>19309</v>
      </c>
      <c r="J313" s="22" t="s">
        <v>19310</v>
      </c>
      <c r="K313" s="22" t="s">
        <v>19468</v>
      </c>
      <c r="L313" s="22"/>
      <c r="M313" s="22"/>
      <c r="N313" s="25" t="str">
        <f>HYPERLINK("http://slimages.macys.com/is/image/MCY/21184212 ")</f>
        <v xml:space="preserve">http://slimages.macys.com/is/image/MCY/21184212 </v>
      </c>
    </row>
    <row r="314" spans="1:14" ht="24.75" x14ac:dyDescent="0.25">
      <c r="A314" s="21" t="s">
        <v>6938</v>
      </c>
      <c r="B314" s="22" t="s">
        <v>6939</v>
      </c>
      <c r="C314" s="2">
        <v>1</v>
      </c>
      <c r="D314" s="23">
        <v>10.99</v>
      </c>
      <c r="E314" s="3">
        <v>10.99</v>
      </c>
      <c r="F314" s="2" t="s">
        <v>13319</v>
      </c>
      <c r="G314" s="22" t="s">
        <v>19333</v>
      </c>
      <c r="H314" s="24" t="s">
        <v>19352</v>
      </c>
      <c r="I314" s="22" t="s">
        <v>19309</v>
      </c>
      <c r="J314" s="22" t="s">
        <v>19353</v>
      </c>
      <c r="K314" s="22" t="s">
        <v>19524</v>
      </c>
      <c r="L314" s="22"/>
      <c r="M314" s="22"/>
      <c r="N314" s="25" t="str">
        <f>HYPERLINK("http://slimages.macys.com/is/image/MCY/21083368 ")</f>
        <v xml:space="preserve">http://slimages.macys.com/is/image/MCY/21083368 </v>
      </c>
    </row>
    <row r="315" spans="1:14" ht="24.75" x14ac:dyDescent="0.25">
      <c r="A315" s="21" t="s">
        <v>2080</v>
      </c>
      <c r="B315" s="22" t="s">
        <v>2081</v>
      </c>
      <c r="C315" s="2">
        <v>6</v>
      </c>
      <c r="D315" s="23">
        <v>24</v>
      </c>
      <c r="E315" s="3">
        <v>144</v>
      </c>
      <c r="F315" s="2" t="s">
        <v>3914</v>
      </c>
      <c r="G315" s="22" t="s">
        <v>19635</v>
      </c>
      <c r="H315" s="24" t="s">
        <v>19384</v>
      </c>
      <c r="I315" s="22" t="s">
        <v>19309</v>
      </c>
      <c r="J315" s="22" t="s">
        <v>19417</v>
      </c>
      <c r="K315" s="22" t="s">
        <v>18317</v>
      </c>
      <c r="L315" s="22"/>
      <c r="M315" s="22"/>
      <c r="N315" s="25" t="str">
        <f>HYPERLINK("http://slimages.macys.com/is/image/MCY/21614878 ")</f>
        <v xml:space="preserve">http://slimages.macys.com/is/image/MCY/21614878 </v>
      </c>
    </row>
    <row r="316" spans="1:14" ht="24.75" x14ac:dyDescent="0.25">
      <c r="A316" s="21" t="s">
        <v>2082</v>
      </c>
      <c r="B316" s="22" t="s">
        <v>2083</v>
      </c>
      <c r="C316" s="2">
        <v>6</v>
      </c>
      <c r="D316" s="23">
        <v>24</v>
      </c>
      <c r="E316" s="3">
        <v>144</v>
      </c>
      <c r="F316" s="2" t="s">
        <v>16699</v>
      </c>
      <c r="G316" s="22" t="s">
        <v>19422</v>
      </c>
      <c r="H316" s="24" t="s">
        <v>19538</v>
      </c>
      <c r="I316" s="22" t="s">
        <v>19309</v>
      </c>
      <c r="J316" s="22" t="s">
        <v>19417</v>
      </c>
      <c r="K316" s="22" t="s">
        <v>18317</v>
      </c>
      <c r="L316" s="22"/>
      <c r="M316" s="22"/>
      <c r="N316" s="25" t="str">
        <f>HYPERLINK("http://slimages.macys.com/is/image/MCY/21614878 ")</f>
        <v xml:space="preserve">http://slimages.macys.com/is/image/MCY/21614878 </v>
      </c>
    </row>
    <row r="317" spans="1:14" ht="24.75" x14ac:dyDescent="0.25">
      <c r="A317" s="21" t="s">
        <v>13320</v>
      </c>
      <c r="B317" s="22" t="s">
        <v>13321</v>
      </c>
      <c r="C317" s="2">
        <v>1</v>
      </c>
      <c r="D317" s="23">
        <v>13.99</v>
      </c>
      <c r="E317" s="3">
        <v>13.99</v>
      </c>
      <c r="F317" s="2" t="s">
        <v>18729</v>
      </c>
      <c r="G317" s="22" t="s">
        <v>19415</v>
      </c>
      <c r="H317" s="24" t="s">
        <v>19538</v>
      </c>
      <c r="I317" s="22" t="s">
        <v>19309</v>
      </c>
      <c r="J317" s="22" t="s">
        <v>19573</v>
      </c>
      <c r="K317" s="22" t="s">
        <v>19574</v>
      </c>
      <c r="L317" s="22"/>
      <c r="M317" s="22"/>
      <c r="N317" s="25" t="str">
        <f>HYPERLINK("http://slimages.macys.com/is/image/MCY/1956290 ")</f>
        <v xml:space="preserve">http://slimages.macys.com/is/image/MCY/1956290 </v>
      </c>
    </row>
    <row r="318" spans="1:14" ht="24.75" x14ac:dyDescent="0.25">
      <c r="A318" s="21" t="s">
        <v>16705</v>
      </c>
      <c r="B318" s="22" t="s">
        <v>16706</v>
      </c>
      <c r="C318" s="2">
        <v>1</v>
      </c>
      <c r="D318" s="23">
        <v>13.99</v>
      </c>
      <c r="E318" s="3">
        <v>13.99</v>
      </c>
      <c r="F318" s="2" t="s">
        <v>18729</v>
      </c>
      <c r="G318" s="22" t="s">
        <v>19415</v>
      </c>
      <c r="H318" s="24"/>
      <c r="I318" s="22" t="s">
        <v>19309</v>
      </c>
      <c r="J318" s="22" t="s">
        <v>19573</v>
      </c>
      <c r="K318" s="22" t="s">
        <v>19574</v>
      </c>
      <c r="L318" s="22"/>
      <c r="M318" s="22"/>
      <c r="N318" s="25" t="str">
        <f>HYPERLINK("http://slimages.macys.com/is/image/MCY/1956290 ")</f>
        <v xml:space="preserve">http://slimages.macys.com/is/image/MCY/1956290 </v>
      </c>
    </row>
    <row r="319" spans="1:14" ht="24.75" x14ac:dyDescent="0.25">
      <c r="A319" s="21" t="s">
        <v>18733</v>
      </c>
      <c r="B319" s="22" t="s">
        <v>18734</v>
      </c>
      <c r="C319" s="2">
        <v>2</v>
      </c>
      <c r="D319" s="23">
        <v>9.99</v>
      </c>
      <c r="E319" s="3">
        <v>19.98</v>
      </c>
      <c r="F319" s="2" t="s">
        <v>18735</v>
      </c>
      <c r="G319" s="22" t="s">
        <v>19431</v>
      </c>
      <c r="H319" s="24" t="s">
        <v>19364</v>
      </c>
      <c r="I319" s="22" t="s">
        <v>19309</v>
      </c>
      <c r="J319" s="22" t="s">
        <v>19815</v>
      </c>
      <c r="K319" s="22" t="s">
        <v>19816</v>
      </c>
      <c r="L319" s="22"/>
      <c r="M319" s="22"/>
      <c r="N319" s="25" t="str">
        <f>HYPERLINK("http://slimages.macys.com/is/image/MCY/1968633 ")</f>
        <v xml:space="preserve">http://slimages.macys.com/is/image/MCY/1968633 </v>
      </c>
    </row>
    <row r="320" spans="1:14" ht="24.75" x14ac:dyDescent="0.25">
      <c r="A320" s="21" t="s">
        <v>13330</v>
      </c>
      <c r="B320" s="22" t="s">
        <v>13331</v>
      </c>
      <c r="C320" s="2">
        <v>1</v>
      </c>
      <c r="D320" s="23">
        <v>10.99</v>
      </c>
      <c r="E320" s="3">
        <v>10.99</v>
      </c>
      <c r="F320" s="2" t="s">
        <v>18763</v>
      </c>
      <c r="G320" s="22" t="s">
        <v>18764</v>
      </c>
      <c r="H320" s="24" t="s">
        <v>19330</v>
      </c>
      <c r="I320" s="22" t="s">
        <v>19309</v>
      </c>
      <c r="J320" s="22" t="s">
        <v>19573</v>
      </c>
      <c r="K320" s="22" t="s">
        <v>19574</v>
      </c>
      <c r="L320" s="22"/>
      <c r="M320" s="22"/>
      <c r="N320" s="25" t="str">
        <f>HYPERLINK("http://slimages.macys.com/is/image/MCY/17720840 ")</f>
        <v xml:space="preserve">http://slimages.macys.com/is/image/MCY/17720840 </v>
      </c>
    </row>
    <row r="321" spans="1:14" ht="24.75" x14ac:dyDescent="0.25">
      <c r="A321" s="21" t="s">
        <v>13334</v>
      </c>
      <c r="B321" s="22" t="s">
        <v>13335</v>
      </c>
      <c r="C321" s="2">
        <v>1</v>
      </c>
      <c r="D321" s="23">
        <v>10.99</v>
      </c>
      <c r="E321" s="3">
        <v>10.99</v>
      </c>
      <c r="F321" s="2" t="s">
        <v>18763</v>
      </c>
      <c r="G321" s="22" t="s">
        <v>18764</v>
      </c>
      <c r="H321" s="24" t="s">
        <v>19384</v>
      </c>
      <c r="I321" s="22" t="s">
        <v>19309</v>
      </c>
      <c r="J321" s="22" t="s">
        <v>19573</v>
      </c>
      <c r="K321" s="22" t="s">
        <v>19574</v>
      </c>
      <c r="L321" s="22"/>
      <c r="M321" s="22"/>
      <c r="N321" s="25" t="str">
        <f>HYPERLINK("http://slimages.macys.com/is/image/MCY/17720840 ")</f>
        <v xml:space="preserve">http://slimages.macys.com/is/image/MCY/17720840 </v>
      </c>
    </row>
    <row r="322" spans="1:14" ht="24.75" x14ac:dyDescent="0.25">
      <c r="A322" s="21" t="s">
        <v>18771</v>
      </c>
      <c r="B322" s="22" t="s">
        <v>18772</v>
      </c>
      <c r="C322" s="2">
        <v>1</v>
      </c>
      <c r="D322" s="23">
        <v>9.99</v>
      </c>
      <c r="E322" s="3">
        <v>9.99</v>
      </c>
      <c r="F322" s="2" t="s">
        <v>18773</v>
      </c>
      <c r="G322" s="22" t="s">
        <v>19422</v>
      </c>
      <c r="H322" s="24" t="s">
        <v>19538</v>
      </c>
      <c r="I322" s="22" t="s">
        <v>19309</v>
      </c>
      <c r="J322" s="22" t="s">
        <v>19573</v>
      </c>
      <c r="K322" s="22" t="s">
        <v>19574</v>
      </c>
      <c r="L322" s="22"/>
      <c r="M322" s="22"/>
      <c r="N322" s="25" t="str">
        <f>HYPERLINK("http://slimages.macys.com/is/image/MCY/1322715 ")</f>
        <v xml:space="preserve">http://slimages.macys.com/is/image/MCY/1322715 </v>
      </c>
    </row>
    <row r="323" spans="1:14" ht="24.75" x14ac:dyDescent="0.25">
      <c r="A323" s="21" t="s">
        <v>18776</v>
      </c>
      <c r="B323" s="22" t="s">
        <v>18777</v>
      </c>
      <c r="C323" s="2">
        <v>1</v>
      </c>
      <c r="D323" s="23">
        <v>9.99</v>
      </c>
      <c r="E323" s="3">
        <v>9.99</v>
      </c>
      <c r="F323" s="2" t="s">
        <v>18773</v>
      </c>
      <c r="G323" s="22" t="s">
        <v>19422</v>
      </c>
      <c r="H323" s="24"/>
      <c r="I323" s="22" t="s">
        <v>19309</v>
      </c>
      <c r="J323" s="22" t="s">
        <v>19573</v>
      </c>
      <c r="K323" s="22" t="s">
        <v>19574</v>
      </c>
      <c r="L323" s="22"/>
      <c r="M323" s="22"/>
      <c r="N323" s="25" t="str">
        <f>HYPERLINK("http://slimages.macys.com/is/image/MCY/1322715 ")</f>
        <v xml:space="preserve">http://slimages.macys.com/is/image/MCY/1322715 </v>
      </c>
    </row>
    <row r="324" spans="1:14" ht="24.75" x14ac:dyDescent="0.25">
      <c r="A324" s="21" t="s">
        <v>18778</v>
      </c>
      <c r="B324" s="22" t="s">
        <v>18779</v>
      </c>
      <c r="C324" s="2">
        <v>1</v>
      </c>
      <c r="D324" s="23">
        <v>9.99</v>
      </c>
      <c r="E324" s="3">
        <v>9.99</v>
      </c>
      <c r="F324" s="2" t="s">
        <v>18773</v>
      </c>
      <c r="G324" s="22" t="s">
        <v>19422</v>
      </c>
      <c r="H324" s="24" t="s">
        <v>19384</v>
      </c>
      <c r="I324" s="22" t="s">
        <v>19309</v>
      </c>
      <c r="J324" s="22" t="s">
        <v>19573</v>
      </c>
      <c r="K324" s="22" t="s">
        <v>19574</v>
      </c>
      <c r="L324" s="22"/>
      <c r="M324" s="22"/>
      <c r="N324" s="25" t="str">
        <f>HYPERLINK("http://slimages.macys.com/is/image/MCY/1322715 ")</f>
        <v xml:space="preserve">http://slimages.macys.com/is/image/MCY/1322715 </v>
      </c>
    </row>
    <row r="325" spans="1:14" ht="24.75" x14ac:dyDescent="0.25">
      <c r="A325" s="21" t="s">
        <v>13349</v>
      </c>
      <c r="B325" s="22" t="s">
        <v>13350</v>
      </c>
      <c r="C325" s="2">
        <v>1</v>
      </c>
      <c r="D325" s="23">
        <v>10.99</v>
      </c>
      <c r="E325" s="3">
        <v>10.99</v>
      </c>
      <c r="F325" s="2" t="s">
        <v>18795</v>
      </c>
      <c r="G325" s="22" t="s">
        <v>19713</v>
      </c>
      <c r="H325" s="24" t="s">
        <v>19538</v>
      </c>
      <c r="I325" s="22" t="s">
        <v>19309</v>
      </c>
      <c r="J325" s="22" t="s">
        <v>19573</v>
      </c>
      <c r="K325" s="22" t="s">
        <v>19574</v>
      </c>
      <c r="L325" s="22"/>
      <c r="M325" s="22"/>
      <c r="N325" s="25" t="str">
        <f>HYPERLINK("http://slimages.macys.com/is/image/MCY/1660803 ")</f>
        <v xml:space="preserve">http://slimages.macys.com/is/image/MCY/1660803 </v>
      </c>
    </row>
    <row r="326" spans="1:14" ht="24.75" x14ac:dyDescent="0.25">
      <c r="A326" s="21" t="s">
        <v>2084</v>
      </c>
      <c r="B326" s="22" t="s">
        <v>2085</v>
      </c>
      <c r="C326" s="2">
        <v>1</v>
      </c>
      <c r="D326" s="23">
        <v>9.99</v>
      </c>
      <c r="E326" s="3">
        <v>9.99</v>
      </c>
      <c r="F326" s="2" t="s">
        <v>6964</v>
      </c>
      <c r="G326" s="22" t="s">
        <v>19351</v>
      </c>
      <c r="H326" s="24" t="s">
        <v>19345</v>
      </c>
      <c r="I326" s="22" t="s">
        <v>19309</v>
      </c>
      <c r="J326" s="22" t="s">
        <v>19595</v>
      </c>
      <c r="K326" s="22" t="s">
        <v>19596</v>
      </c>
      <c r="L326" s="22"/>
      <c r="M326" s="22"/>
      <c r="N326" s="25" t="str">
        <f>HYPERLINK("http://slimages.macys.com/is/image/MCY/21056936 ")</f>
        <v xml:space="preserve">http://slimages.macys.com/is/image/MCY/21056936 </v>
      </c>
    </row>
    <row r="327" spans="1:14" ht="24.75" x14ac:dyDescent="0.25">
      <c r="A327" s="21" t="s">
        <v>18798</v>
      </c>
      <c r="B327" s="22" t="s">
        <v>18799</v>
      </c>
      <c r="C327" s="2">
        <v>1</v>
      </c>
      <c r="D327" s="23">
        <v>10.99</v>
      </c>
      <c r="E327" s="3">
        <v>10.99</v>
      </c>
      <c r="F327" s="2" t="s">
        <v>18795</v>
      </c>
      <c r="G327" s="22" t="s">
        <v>19713</v>
      </c>
      <c r="H327" s="24"/>
      <c r="I327" s="22" t="s">
        <v>19309</v>
      </c>
      <c r="J327" s="22" t="s">
        <v>19573</v>
      </c>
      <c r="K327" s="22" t="s">
        <v>19574</v>
      </c>
      <c r="L327" s="22"/>
      <c r="M327" s="22"/>
      <c r="N327" s="25" t="str">
        <f>HYPERLINK("http://slimages.macys.com/is/image/MCY/1663589 ")</f>
        <v xml:space="preserve">http://slimages.macys.com/is/image/MCY/1663589 </v>
      </c>
    </row>
    <row r="328" spans="1:14" ht="24.75" x14ac:dyDescent="0.25">
      <c r="A328" s="21" t="s">
        <v>2086</v>
      </c>
      <c r="B328" s="22" t="s">
        <v>2087</v>
      </c>
      <c r="C328" s="2">
        <v>1</v>
      </c>
      <c r="D328" s="23">
        <v>10.99</v>
      </c>
      <c r="E328" s="3">
        <v>10.99</v>
      </c>
      <c r="F328" s="2" t="s">
        <v>18795</v>
      </c>
      <c r="G328" s="22" t="s">
        <v>19713</v>
      </c>
      <c r="H328" s="24" t="s">
        <v>19384</v>
      </c>
      <c r="I328" s="22" t="s">
        <v>19309</v>
      </c>
      <c r="J328" s="22" t="s">
        <v>19573</v>
      </c>
      <c r="K328" s="22" t="s">
        <v>19574</v>
      </c>
      <c r="L328" s="22"/>
      <c r="M328" s="22"/>
      <c r="N328" s="25" t="str">
        <f>HYPERLINK("http://slimages.macys.com/is/image/MCY/1660803 ")</f>
        <v xml:space="preserve">http://slimages.macys.com/is/image/MCY/1660803 </v>
      </c>
    </row>
    <row r="329" spans="1:14" ht="24.75" x14ac:dyDescent="0.25">
      <c r="A329" s="21" t="s">
        <v>2088</v>
      </c>
      <c r="B329" s="22" t="s">
        <v>2089</v>
      </c>
      <c r="C329" s="2">
        <v>1</v>
      </c>
      <c r="D329" s="23">
        <v>8.89</v>
      </c>
      <c r="E329" s="3">
        <v>8.89</v>
      </c>
      <c r="F329" s="2" t="s">
        <v>16388</v>
      </c>
      <c r="G329" s="22" t="s">
        <v>19630</v>
      </c>
      <c r="H329" s="24" t="s">
        <v>19364</v>
      </c>
      <c r="I329" s="22" t="s">
        <v>19309</v>
      </c>
      <c r="J329" s="22" t="s">
        <v>19565</v>
      </c>
      <c r="K329" s="22" t="s">
        <v>18514</v>
      </c>
      <c r="L329" s="22"/>
      <c r="M329" s="22"/>
      <c r="N329" s="25" t="str">
        <f>HYPERLINK("http://slimages.macys.com/is/image/MCY/21149762 ")</f>
        <v xml:space="preserve">http://slimages.macys.com/is/image/MCY/21149762 </v>
      </c>
    </row>
    <row r="330" spans="1:14" ht="24.75" x14ac:dyDescent="0.25">
      <c r="A330" s="21" t="s">
        <v>12459</v>
      </c>
      <c r="B330" s="22" t="s">
        <v>12460</v>
      </c>
      <c r="C330" s="2">
        <v>1</v>
      </c>
      <c r="D330" s="23">
        <v>10.99</v>
      </c>
      <c r="E330" s="3">
        <v>10.99</v>
      </c>
      <c r="F330" s="2" t="s">
        <v>18795</v>
      </c>
      <c r="G330" s="22" t="s">
        <v>19713</v>
      </c>
      <c r="H330" s="24" t="s">
        <v>19324</v>
      </c>
      <c r="I330" s="22" t="s">
        <v>19309</v>
      </c>
      <c r="J330" s="22" t="s">
        <v>19573</v>
      </c>
      <c r="K330" s="22" t="s">
        <v>19574</v>
      </c>
      <c r="L330" s="22"/>
      <c r="M330" s="22"/>
      <c r="N330" s="25" t="str">
        <f>HYPERLINK("http://slimages.macys.com/is/image/MCY/1660803 ")</f>
        <v xml:space="preserve">http://slimages.macys.com/is/image/MCY/1660803 </v>
      </c>
    </row>
    <row r="331" spans="1:14" ht="24.75" x14ac:dyDescent="0.25">
      <c r="A331" s="21" t="s">
        <v>18793</v>
      </c>
      <c r="B331" s="22" t="s">
        <v>18794</v>
      </c>
      <c r="C331" s="2">
        <v>1</v>
      </c>
      <c r="D331" s="23">
        <v>10.99</v>
      </c>
      <c r="E331" s="3">
        <v>10.99</v>
      </c>
      <c r="F331" s="2" t="s">
        <v>18795</v>
      </c>
      <c r="G331" s="22" t="s">
        <v>19713</v>
      </c>
      <c r="H331" s="24" t="s">
        <v>19330</v>
      </c>
      <c r="I331" s="22" t="s">
        <v>19309</v>
      </c>
      <c r="J331" s="22" t="s">
        <v>19573</v>
      </c>
      <c r="K331" s="22" t="s">
        <v>19574</v>
      </c>
      <c r="L331" s="22"/>
      <c r="M331" s="22"/>
      <c r="N331" s="25" t="str">
        <f>HYPERLINK("http://slimages.macys.com/is/image/MCY/1660803 ")</f>
        <v xml:space="preserve">http://slimages.macys.com/is/image/MCY/1660803 </v>
      </c>
    </row>
    <row r="332" spans="1:14" ht="24.75" x14ac:dyDescent="0.25">
      <c r="A332" s="21" t="s">
        <v>2090</v>
      </c>
      <c r="B332" s="22" t="s">
        <v>2091</v>
      </c>
      <c r="C332" s="2">
        <v>1</v>
      </c>
      <c r="D332" s="23">
        <v>8.89</v>
      </c>
      <c r="E332" s="3">
        <v>8.89</v>
      </c>
      <c r="F332" s="2" t="s">
        <v>2092</v>
      </c>
      <c r="G332" s="22" t="s">
        <v>19763</v>
      </c>
      <c r="H332" s="24" t="s">
        <v>19364</v>
      </c>
      <c r="I332" s="22" t="s">
        <v>19309</v>
      </c>
      <c r="J332" s="22" t="s">
        <v>19565</v>
      </c>
      <c r="K332" s="22" t="s">
        <v>18514</v>
      </c>
      <c r="L332" s="22"/>
      <c r="M332" s="22"/>
      <c r="N332" s="25" t="str">
        <f>HYPERLINK("http://slimages.macys.com/is/image/MCY/21621978 ")</f>
        <v xml:space="preserve">http://slimages.macys.com/is/image/MCY/21621978 </v>
      </c>
    </row>
    <row r="333" spans="1:14" ht="24.75" x14ac:dyDescent="0.25">
      <c r="A333" s="21" t="s">
        <v>2093</v>
      </c>
      <c r="B333" s="22" t="s">
        <v>2094</v>
      </c>
      <c r="C333" s="2">
        <v>1</v>
      </c>
      <c r="D333" s="23">
        <v>10.99</v>
      </c>
      <c r="E333" s="3">
        <v>10.99</v>
      </c>
      <c r="F333" s="2" t="s">
        <v>2095</v>
      </c>
      <c r="G333" s="22" t="s">
        <v>19618</v>
      </c>
      <c r="H333" s="24"/>
      <c r="I333" s="22" t="s">
        <v>19309</v>
      </c>
      <c r="J333" s="22" t="s">
        <v>19573</v>
      </c>
      <c r="K333" s="22" t="s">
        <v>19574</v>
      </c>
      <c r="L333" s="22"/>
      <c r="M333" s="22"/>
      <c r="N333" s="25" t="str">
        <f>HYPERLINK("http://slimages.macys.com/is/image/MCY/20757846 ")</f>
        <v xml:space="preserve">http://slimages.macys.com/is/image/MCY/20757846 </v>
      </c>
    </row>
    <row r="334" spans="1:14" ht="24.75" x14ac:dyDescent="0.25">
      <c r="A334" s="21" t="s">
        <v>2096</v>
      </c>
      <c r="B334" s="22" t="s">
        <v>2097</v>
      </c>
      <c r="C334" s="2">
        <v>1</v>
      </c>
      <c r="D334" s="23">
        <v>10.99</v>
      </c>
      <c r="E334" s="3">
        <v>10.99</v>
      </c>
      <c r="F334" s="2" t="s">
        <v>2095</v>
      </c>
      <c r="G334" s="22" t="s">
        <v>19618</v>
      </c>
      <c r="H334" s="24" t="s">
        <v>19384</v>
      </c>
      <c r="I334" s="22" t="s">
        <v>19309</v>
      </c>
      <c r="J334" s="22" t="s">
        <v>19573</v>
      </c>
      <c r="K334" s="22" t="s">
        <v>19574</v>
      </c>
      <c r="L334" s="22"/>
      <c r="M334" s="22"/>
      <c r="N334" s="25" t="str">
        <f>HYPERLINK("http://slimages.macys.com/is/image/MCY/20757846 ")</f>
        <v xml:space="preserve">http://slimages.macys.com/is/image/MCY/20757846 </v>
      </c>
    </row>
    <row r="335" spans="1:14" ht="24.75" x14ac:dyDescent="0.25">
      <c r="A335" s="21" t="s">
        <v>14004</v>
      </c>
      <c r="B335" s="22" t="s">
        <v>14005</v>
      </c>
      <c r="C335" s="2">
        <v>1</v>
      </c>
      <c r="D335" s="23">
        <v>11.99</v>
      </c>
      <c r="E335" s="3">
        <v>11.99</v>
      </c>
      <c r="F335" s="2" t="s">
        <v>14006</v>
      </c>
      <c r="G335" s="22" t="s">
        <v>19431</v>
      </c>
      <c r="H335" s="24" t="s">
        <v>20135</v>
      </c>
      <c r="I335" s="22" t="s">
        <v>19309</v>
      </c>
      <c r="J335" s="22" t="s">
        <v>19815</v>
      </c>
      <c r="K335" s="22" t="s">
        <v>19816</v>
      </c>
      <c r="L335" s="22"/>
      <c r="M335" s="22"/>
      <c r="N335" s="25" t="str">
        <f>HYPERLINK("http://slimages.macys.com/is/image/MCY/21341654 ")</f>
        <v xml:space="preserve">http://slimages.macys.com/is/image/MCY/21341654 </v>
      </c>
    </row>
    <row r="336" spans="1:14" ht="24.75" x14ac:dyDescent="0.25">
      <c r="A336" s="21" t="s">
        <v>7809</v>
      </c>
      <c r="B336" s="22" t="s">
        <v>7810</v>
      </c>
      <c r="C336" s="2">
        <v>1</v>
      </c>
      <c r="D336" s="23">
        <v>11.99</v>
      </c>
      <c r="E336" s="3">
        <v>11.99</v>
      </c>
      <c r="F336" s="2" t="s">
        <v>14006</v>
      </c>
      <c r="G336" s="22" t="s">
        <v>19431</v>
      </c>
      <c r="H336" s="24" t="s">
        <v>19907</v>
      </c>
      <c r="I336" s="22" t="s">
        <v>19309</v>
      </c>
      <c r="J336" s="22" t="s">
        <v>19815</v>
      </c>
      <c r="K336" s="22" t="s">
        <v>19816</v>
      </c>
      <c r="L336" s="22"/>
      <c r="M336" s="22"/>
      <c r="N336" s="25" t="str">
        <f>HYPERLINK("http://slimages.macys.com/is/image/MCY/21341654 ")</f>
        <v xml:space="preserve">http://slimages.macys.com/is/image/MCY/21341654 </v>
      </c>
    </row>
    <row r="337" spans="1:14" ht="24.75" x14ac:dyDescent="0.25">
      <c r="A337" s="21" t="s">
        <v>7802</v>
      </c>
      <c r="B337" s="22" t="s">
        <v>7803</v>
      </c>
      <c r="C337" s="2">
        <v>1</v>
      </c>
      <c r="D337" s="23">
        <v>11.99</v>
      </c>
      <c r="E337" s="3">
        <v>11.99</v>
      </c>
      <c r="F337" s="2" t="s">
        <v>14006</v>
      </c>
      <c r="G337" s="22" t="s">
        <v>19431</v>
      </c>
      <c r="H337" s="24" t="s">
        <v>19542</v>
      </c>
      <c r="I337" s="22" t="s">
        <v>19309</v>
      </c>
      <c r="J337" s="22" t="s">
        <v>19815</v>
      </c>
      <c r="K337" s="22" t="s">
        <v>19816</v>
      </c>
      <c r="L337" s="22"/>
      <c r="M337" s="22"/>
      <c r="N337" s="25" t="str">
        <f>HYPERLINK("http://slimages.macys.com/is/image/MCY/21341654 ")</f>
        <v xml:space="preserve">http://slimages.macys.com/is/image/MCY/21341654 </v>
      </c>
    </row>
    <row r="338" spans="1:14" ht="24.75" x14ac:dyDescent="0.25">
      <c r="A338" s="21" t="s">
        <v>7804</v>
      </c>
      <c r="B338" s="22" t="s">
        <v>14011</v>
      </c>
      <c r="C338" s="2">
        <v>1</v>
      </c>
      <c r="D338" s="23">
        <v>7.99</v>
      </c>
      <c r="E338" s="3">
        <v>7.99</v>
      </c>
      <c r="F338" s="2" t="s">
        <v>14012</v>
      </c>
      <c r="G338" s="22" t="s">
        <v>19431</v>
      </c>
      <c r="H338" s="24" t="s">
        <v>20135</v>
      </c>
      <c r="I338" s="22" t="s">
        <v>19309</v>
      </c>
      <c r="J338" s="22" t="s">
        <v>19815</v>
      </c>
      <c r="K338" s="22" t="s">
        <v>19816</v>
      </c>
      <c r="L338" s="22"/>
      <c r="M338" s="22"/>
      <c r="N338" s="25" t="str">
        <f>HYPERLINK("http://slimages.macys.com/is/image/MCY/20752798 ")</f>
        <v xml:space="preserve">http://slimages.macys.com/is/image/MCY/20752798 </v>
      </c>
    </row>
    <row r="339" spans="1:14" ht="24.75" x14ac:dyDescent="0.25">
      <c r="A339" s="21" t="s">
        <v>7805</v>
      </c>
      <c r="B339" s="22" t="s">
        <v>7806</v>
      </c>
      <c r="C339" s="2">
        <v>1</v>
      </c>
      <c r="D339" s="23">
        <v>11.99</v>
      </c>
      <c r="E339" s="3">
        <v>11.99</v>
      </c>
      <c r="F339" s="2" t="s">
        <v>14006</v>
      </c>
      <c r="G339" s="22" t="s">
        <v>19431</v>
      </c>
      <c r="H339" s="24" t="s">
        <v>19432</v>
      </c>
      <c r="I339" s="22" t="s">
        <v>19309</v>
      </c>
      <c r="J339" s="22" t="s">
        <v>19815</v>
      </c>
      <c r="K339" s="22" t="s">
        <v>19816</v>
      </c>
      <c r="L339" s="22"/>
      <c r="M339" s="22"/>
      <c r="N339" s="25" t="str">
        <f>HYPERLINK("http://slimages.macys.com/is/image/MCY/21341654 ")</f>
        <v xml:space="preserve">http://slimages.macys.com/is/image/MCY/21341654 </v>
      </c>
    </row>
    <row r="340" spans="1:14" ht="24.75" x14ac:dyDescent="0.25">
      <c r="A340" s="21" t="s">
        <v>2098</v>
      </c>
      <c r="B340" s="22" t="s">
        <v>2099</v>
      </c>
      <c r="C340" s="2">
        <v>1</v>
      </c>
      <c r="D340" s="23">
        <v>7.99</v>
      </c>
      <c r="E340" s="3">
        <v>7.99</v>
      </c>
      <c r="F340" s="2" t="s">
        <v>14012</v>
      </c>
      <c r="G340" s="22" t="s">
        <v>19763</v>
      </c>
      <c r="H340" s="24" t="s">
        <v>19392</v>
      </c>
      <c r="I340" s="22" t="s">
        <v>19309</v>
      </c>
      <c r="J340" s="22" t="s">
        <v>19815</v>
      </c>
      <c r="K340" s="22" t="s">
        <v>19816</v>
      </c>
      <c r="L340" s="22"/>
      <c r="M340" s="22"/>
      <c r="N340" s="25" t="str">
        <f>HYPERLINK("http://slimages.macys.com/is/image/MCY/20752798 ")</f>
        <v xml:space="preserve">http://slimages.macys.com/is/image/MCY/20752798 </v>
      </c>
    </row>
    <row r="341" spans="1:14" ht="24.75" x14ac:dyDescent="0.25">
      <c r="A341" s="21" t="s">
        <v>7813</v>
      </c>
      <c r="B341" s="22" t="s">
        <v>7814</v>
      </c>
      <c r="C341" s="2">
        <v>1</v>
      </c>
      <c r="D341" s="23">
        <v>11.99</v>
      </c>
      <c r="E341" s="3">
        <v>11.99</v>
      </c>
      <c r="F341" s="2" t="s">
        <v>14006</v>
      </c>
      <c r="G341" s="22" t="s">
        <v>19431</v>
      </c>
      <c r="H341" s="24" t="s">
        <v>19361</v>
      </c>
      <c r="I341" s="22" t="s">
        <v>19309</v>
      </c>
      <c r="J341" s="22" t="s">
        <v>19815</v>
      </c>
      <c r="K341" s="22" t="s">
        <v>19816</v>
      </c>
      <c r="L341" s="22"/>
      <c r="M341" s="22"/>
      <c r="N341" s="25" t="str">
        <f>HYPERLINK("http://slimages.macys.com/is/image/MCY/21341654 ")</f>
        <v xml:space="preserve">http://slimages.macys.com/is/image/MCY/21341654 </v>
      </c>
    </row>
    <row r="342" spans="1:14" ht="24.75" x14ac:dyDescent="0.25">
      <c r="A342" s="21" t="s">
        <v>7807</v>
      </c>
      <c r="B342" s="22" t="s">
        <v>7808</v>
      </c>
      <c r="C342" s="2">
        <v>1</v>
      </c>
      <c r="D342" s="23">
        <v>11.99</v>
      </c>
      <c r="E342" s="3">
        <v>11.99</v>
      </c>
      <c r="F342" s="2" t="s">
        <v>14006</v>
      </c>
      <c r="G342" s="22" t="s">
        <v>19431</v>
      </c>
      <c r="H342" s="24" t="s">
        <v>19392</v>
      </c>
      <c r="I342" s="22" t="s">
        <v>19309</v>
      </c>
      <c r="J342" s="22" t="s">
        <v>19815</v>
      </c>
      <c r="K342" s="22" t="s">
        <v>19816</v>
      </c>
      <c r="L342" s="22"/>
      <c r="M342" s="22"/>
      <c r="N342" s="25" t="str">
        <f>HYPERLINK("http://slimages.macys.com/is/image/MCY/21341654 ")</f>
        <v xml:space="preserve">http://slimages.macys.com/is/image/MCY/21341654 </v>
      </c>
    </row>
    <row r="343" spans="1:14" x14ac:dyDescent="0.25">
      <c r="A343" s="21" t="s">
        <v>16838</v>
      </c>
      <c r="B343" s="22" t="s">
        <v>16839</v>
      </c>
      <c r="C343" s="2">
        <v>1</v>
      </c>
      <c r="D343" s="23">
        <v>7.99</v>
      </c>
      <c r="E343" s="3">
        <v>7.99</v>
      </c>
      <c r="F343" s="2" t="s">
        <v>16840</v>
      </c>
      <c r="G343" s="22" t="s">
        <v>19477</v>
      </c>
      <c r="H343" s="24" t="s">
        <v>19361</v>
      </c>
      <c r="I343" s="22" t="s">
        <v>19309</v>
      </c>
      <c r="J343" s="22" t="s">
        <v>19849</v>
      </c>
      <c r="K343" s="22" t="s">
        <v>19850</v>
      </c>
      <c r="L343" s="22"/>
      <c r="M343" s="22"/>
      <c r="N343" s="25" t="str">
        <f>HYPERLINK("http://slimages.macys.com/is/image/MCY/19068277 ")</f>
        <v xml:space="preserve">http://slimages.macys.com/is/image/MCY/19068277 </v>
      </c>
    </row>
    <row r="344" spans="1:14" x14ac:dyDescent="0.25">
      <c r="A344" s="21" t="s">
        <v>2100</v>
      </c>
      <c r="B344" s="22" t="s">
        <v>2101</v>
      </c>
      <c r="C344" s="2">
        <v>1</v>
      </c>
      <c r="D344" s="23">
        <v>7.99</v>
      </c>
      <c r="E344" s="3">
        <v>7.99</v>
      </c>
      <c r="F344" s="2" t="s">
        <v>16840</v>
      </c>
      <c r="G344" s="22" t="s">
        <v>19477</v>
      </c>
      <c r="H344" s="24" t="s">
        <v>19377</v>
      </c>
      <c r="I344" s="22" t="s">
        <v>19309</v>
      </c>
      <c r="J344" s="22" t="s">
        <v>19849</v>
      </c>
      <c r="K344" s="22" t="s">
        <v>19850</v>
      </c>
      <c r="L344" s="22"/>
      <c r="M344" s="22"/>
      <c r="N344" s="25" t="str">
        <f>HYPERLINK("http://slimages.macys.com/is/image/MCY/19068277 ")</f>
        <v xml:space="preserve">http://slimages.macys.com/is/image/MCY/19068277 </v>
      </c>
    </row>
    <row r="345" spans="1:14" x14ac:dyDescent="0.25">
      <c r="A345" s="21" t="s">
        <v>14041</v>
      </c>
      <c r="B345" s="22" t="s">
        <v>14042</v>
      </c>
      <c r="C345" s="2">
        <v>1</v>
      </c>
      <c r="D345" s="23">
        <v>7.99</v>
      </c>
      <c r="E345" s="3">
        <v>7.99</v>
      </c>
      <c r="F345" s="2" t="s">
        <v>16840</v>
      </c>
      <c r="G345" s="22" t="s">
        <v>19674</v>
      </c>
      <c r="H345" s="24" t="s">
        <v>20089</v>
      </c>
      <c r="I345" s="22" t="s">
        <v>19309</v>
      </c>
      <c r="J345" s="22" t="s">
        <v>19849</v>
      </c>
      <c r="K345" s="22" t="s">
        <v>19850</v>
      </c>
      <c r="L345" s="22"/>
      <c r="M345" s="22"/>
      <c r="N345" s="25" t="str">
        <f>HYPERLINK("http://slimages.macys.com/is/image/MCY/1622118 ")</f>
        <v xml:space="preserve">http://slimages.macys.com/is/image/MCY/1622118 </v>
      </c>
    </row>
    <row r="346" spans="1:14" ht="24.75" x14ac:dyDescent="0.25">
      <c r="A346" s="21" t="s">
        <v>2102</v>
      </c>
      <c r="B346" s="22" t="s">
        <v>2103</v>
      </c>
      <c r="C346" s="2">
        <v>1</v>
      </c>
      <c r="D346" s="23">
        <v>13.99</v>
      </c>
      <c r="E346" s="3">
        <v>13.99</v>
      </c>
      <c r="F346" s="2" t="s">
        <v>16432</v>
      </c>
      <c r="G346" s="22" t="s">
        <v>19814</v>
      </c>
      <c r="H346" s="24" t="s">
        <v>19432</v>
      </c>
      <c r="I346" s="22" t="s">
        <v>19309</v>
      </c>
      <c r="J346" s="22" t="s">
        <v>19815</v>
      </c>
      <c r="K346" s="22" t="s">
        <v>19816</v>
      </c>
      <c r="L346" s="22"/>
      <c r="M346" s="22"/>
      <c r="N346" s="25" t="str">
        <f>HYPERLINK("http://slimages.macys.com/is/image/MCY/21278560 ")</f>
        <v xml:space="preserve">http://slimages.macys.com/is/image/MCY/21278560 </v>
      </c>
    </row>
    <row r="347" spans="1:14" ht="24.75" x14ac:dyDescent="0.25">
      <c r="A347" s="21" t="s">
        <v>6991</v>
      </c>
      <c r="B347" s="22" t="s">
        <v>6992</v>
      </c>
      <c r="C347" s="2">
        <v>1</v>
      </c>
      <c r="D347" s="23">
        <v>13.99</v>
      </c>
      <c r="E347" s="3">
        <v>13.99</v>
      </c>
      <c r="F347" s="2" t="s">
        <v>16432</v>
      </c>
      <c r="G347" s="22" t="s">
        <v>19315</v>
      </c>
      <c r="H347" s="24" t="s">
        <v>20135</v>
      </c>
      <c r="I347" s="22" t="s">
        <v>19309</v>
      </c>
      <c r="J347" s="22" t="s">
        <v>19815</v>
      </c>
      <c r="K347" s="22" t="s">
        <v>19816</v>
      </c>
      <c r="L347" s="22"/>
      <c r="M347" s="22"/>
      <c r="N347" s="25" t="str">
        <f>HYPERLINK("http://slimages.macys.com/is/image/MCY/1290400 ")</f>
        <v xml:space="preserve">http://slimages.macys.com/is/image/MCY/1290400 </v>
      </c>
    </row>
    <row r="348" spans="1:14" ht="24.75" x14ac:dyDescent="0.25">
      <c r="A348" s="21" t="s">
        <v>16931</v>
      </c>
      <c r="B348" s="22" t="s">
        <v>16932</v>
      </c>
      <c r="C348" s="2">
        <v>1</v>
      </c>
      <c r="D348" s="23">
        <v>8.99</v>
      </c>
      <c r="E348" s="3">
        <v>8.99</v>
      </c>
      <c r="F348" s="2" t="s">
        <v>18909</v>
      </c>
      <c r="G348" s="22" t="s">
        <v>19518</v>
      </c>
      <c r="H348" s="24" t="s">
        <v>19352</v>
      </c>
      <c r="I348" s="22" t="s">
        <v>19309</v>
      </c>
      <c r="J348" s="22" t="s">
        <v>19815</v>
      </c>
      <c r="K348" s="22" t="s">
        <v>19816</v>
      </c>
      <c r="L348" s="22"/>
      <c r="M348" s="22"/>
      <c r="N348" s="25" t="str">
        <f>HYPERLINK("http://slimages.macys.com/is/image/MCY/21769938 ")</f>
        <v xml:space="preserve">http://slimages.macys.com/is/image/MCY/21769938 </v>
      </c>
    </row>
    <row r="349" spans="1:14" ht="24.75" x14ac:dyDescent="0.25">
      <c r="A349" s="21" t="s">
        <v>2104</v>
      </c>
      <c r="B349" s="22" t="s">
        <v>2105</v>
      </c>
      <c r="C349" s="2">
        <v>1</v>
      </c>
      <c r="D349" s="23">
        <v>10.99</v>
      </c>
      <c r="E349" s="3">
        <v>10.99</v>
      </c>
      <c r="F349" s="2" t="s">
        <v>2106</v>
      </c>
      <c r="G349" s="22" t="s">
        <v>19315</v>
      </c>
      <c r="H349" s="24" t="s">
        <v>19416</v>
      </c>
      <c r="I349" s="22" t="s">
        <v>19309</v>
      </c>
      <c r="J349" s="22" t="s">
        <v>19573</v>
      </c>
      <c r="K349" s="22" t="s">
        <v>19574</v>
      </c>
      <c r="L349" s="22" t="s">
        <v>19319</v>
      </c>
      <c r="M349" s="22" t="s">
        <v>19358</v>
      </c>
      <c r="N349" s="25" t="str">
        <f>HYPERLINK("http://slimages.macys.com/is/image/MCY/8978266 ")</f>
        <v xml:space="preserve">http://slimages.macys.com/is/image/MCY/8978266 </v>
      </c>
    </row>
    <row r="350" spans="1:14" ht="24.75" x14ac:dyDescent="0.25">
      <c r="A350" s="21" t="s">
        <v>18846</v>
      </c>
      <c r="B350" s="22" t="s">
        <v>18847</v>
      </c>
      <c r="C350" s="2">
        <v>2</v>
      </c>
      <c r="D350" s="23">
        <v>7.99</v>
      </c>
      <c r="E350" s="3">
        <v>15.98</v>
      </c>
      <c r="F350" s="2" t="s">
        <v>18848</v>
      </c>
      <c r="G350" s="22" t="s">
        <v>19351</v>
      </c>
      <c r="H350" s="24" t="s">
        <v>19392</v>
      </c>
      <c r="I350" s="22" t="s">
        <v>19309</v>
      </c>
      <c r="J350" s="22" t="s">
        <v>19454</v>
      </c>
      <c r="K350" s="22" t="s">
        <v>19524</v>
      </c>
      <c r="L350" s="22"/>
      <c r="M350" s="22"/>
      <c r="N350" s="25" t="str">
        <f>HYPERLINK("http://slimages.macys.com/is/image/MCY/1726199 ")</f>
        <v xml:space="preserve">http://slimages.macys.com/is/image/MCY/1726199 </v>
      </c>
    </row>
    <row r="351" spans="1:14" ht="24.75" x14ac:dyDescent="0.25">
      <c r="A351" s="21" t="s">
        <v>18854</v>
      </c>
      <c r="B351" s="22" t="s">
        <v>18855</v>
      </c>
      <c r="C351" s="2">
        <v>1</v>
      </c>
      <c r="D351" s="23">
        <v>11.99</v>
      </c>
      <c r="E351" s="3">
        <v>11.99</v>
      </c>
      <c r="F351" s="2" t="s">
        <v>18851</v>
      </c>
      <c r="G351" s="22" t="s">
        <v>19674</v>
      </c>
      <c r="H351" s="24" t="s">
        <v>19797</v>
      </c>
      <c r="I351" s="22" t="s">
        <v>19309</v>
      </c>
      <c r="J351" s="22" t="s">
        <v>19849</v>
      </c>
      <c r="K351" s="22" t="s">
        <v>19850</v>
      </c>
      <c r="L351" s="22"/>
      <c r="M351" s="22"/>
      <c r="N351" s="25" t="str">
        <f>HYPERLINK("http://slimages.macys.com/is/image/MCY/21251022 ")</f>
        <v xml:space="preserve">http://slimages.macys.com/is/image/MCY/21251022 </v>
      </c>
    </row>
    <row r="352" spans="1:14" ht="24.75" x14ac:dyDescent="0.25">
      <c r="A352" s="21" t="s">
        <v>18856</v>
      </c>
      <c r="B352" s="22" t="s">
        <v>18857</v>
      </c>
      <c r="C352" s="2">
        <v>1</v>
      </c>
      <c r="D352" s="23">
        <v>11.99</v>
      </c>
      <c r="E352" s="3">
        <v>11.99</v>
      </c>
      <c r="F352" s="2" t="s">
        <v>18851</v>
      </c>
      <c r="G352" s="22" t="s">
        <v>19674</v>
      </c>
      <c r="H352" s="24" t="s">
        <v>19352</v>
      </c>
      <c r="I352" s="22" t="s">
        <v>19309</v>
      </c>
      <c r="J352" s="22" t="s">
        <v>19849</v>
      </c>
      <c r="K352" s="22" t="s">
        <v>19850</v>
      </c>
      <c r="L352" s="22"/>
      <c r="M352" s="22"/>
      <c r="N352" s="25" t="str">
        <f>HYPERLINK("http://slimages.macys.com/is/image/MCY/21251022 ")</f>
        <v xml:space="preserve">http://slimages.macys.com/is/image/MCY/21251022 </v>
      </c>
    </row>
    <row r="353" spans="1:14" ht="24.75" x14ac:dyDescent="0.25">
      <c r="A353" s="21" t="s">
        <v>18858</v>
      </c>
      <c r="B353" s="22" t="s">
        <v>18859</v>
      </c>
      <c r="C353" s="2">
        <v>1</v>
      </c>
      <c r="D353" s="23">
        <v>7.99</v>
      </c>
      <c r="E353" s="3">
        <v>7.99</v>
      </c>
      <c r="F353" s="2" t="s">
        <v>18860</v>
      </c>
      <c r="G353" s="22" t="s">
        <v>19906</v>
      </c>
      <c r="H353" s="24" t="s">
        <v>19907</v>
      </c>
      <c r="I353" s="22" t="s">
        <v>19309</v>
      </c>
      <c r="J353" s="22" t="s">
        <v>19908</v>
      </c>
      <c r="K353" s="22" t="s">
        <v>19524</v>
      </c>
      <c r="L353" s="22"/>
      <c r="M353" s="22"/>
      <c r="N353" s="25" t="str">
        <f>HYPERLINK("http://slimages.macys.com/is/image/MCY/21727292 ")</f>
        <v xml:space="preserve">http://slimages.macys.com/is/image/MCY/21727292 </v>
      </c>
    </row>
    <row r="354" spans="1:14" ht="24.75" x14ac:dyDescent="0.25">
      <c r="A354" s="21" t="s">
        <v>2107</v>
      </c>
      <c r="B354" s="22" t="s">
        <v>2108</v>
      </c>
      <c r="C354" s="2">
        <v>1</v>
      </c>
      <c r="D354" s="23">
        <v>10.99</v>
      </c>
      <c r="E354" s="3">
        <v>10.99</v>
      </c>
      <c r="F354" s="2" t="s">
        <v>16871</v>
      </c>
      <c r="G354" s="22" t="s">
        <v>18764</v>
      </c>
      <c r="H354" s="24" t="s">
        <v>19324</v>
      </c>
      <c r="I354" s="22" t="s">
        <v>19309</v>
      </c>
      <c r="J354" s="22" t="s">
        <v>19573</v>
      </c>
      <c r="K354" s="22" t="s">
        <v>19574</v>
      </c>
      <c r="L354" s="22"/>
      <c r="M354" s="22"/>
      <c r="N354" s="25" t="str">
        <f>HYPERLINK("http://slimages.macys.com/is/image/MCY/20551075 ")</f>
        <v xml:space="preserve">http://slimages.macys.com/is/image/MCY/20551075 </v>
      </c>
    </row>
    <row r="355" spans="1:14" ht="24.75" x14ac:dyDescent="0.25">
      <c r="A355" s="21" t="s">
        <v>2109</v>
      </c>
      <c r="B355" s="22" t="s">
        <v>2110</v>
      </c>
      <c r="C355" s="2">
        <v>1</v>
      </c>
      <c r="D355" s="23">
        <v>10.99</v>
      </c>
      <c r="E355" s="3">
        <v>10.99</v>
      </c>
      <c r="F355" s="2" t="s">
        <v>3007</v>
      </c>
      <c r="G355" s="22" t="s">
        <v>19422</v>
      </c>
      <c r="H355" s="24" t="s">
        <v>19324</v>
      </c>
      <c r="I355" s="22" t="s">
        <v>19309</v>
      </c>
      <c r="J355" s="22" t="s">
        <v>19573</v>
      </c>
      <c r="K355" s="22" t="s">
        <v>19574</v>
      </c>
      <c r="L355" s="22"/>
      <c r="M355" s="22"/>
      <c r="N355" s="25" t="str">
        <f>HYPERLINK("http://slimages.macys.com/is/image/MCY/18509107 ")</f>
        <v xml:space="preserve">http://slimages.macys.com/is/image/MCY/18509107 </v>
      </c>
    </row>
    <row r="356" spans="1:14" ht="24.75" x14ac:dyDescent="0.25">
      <c r="A356" s="21" t="s">
        <v>2111</v>
      </c>
      <c r="B356" s="22" t="s">
        <v>2112</v>
      </c>
      <c r="C356" s="2">
        <v>2</v>
      </c>
      <c r="D356" s="23">
        <v>6.99</v>
      </c>
      <c r="E356" s="3">
        <v>13.98</v>
      </c>
      <c r="F356" s="2" t="s">
        <v>2113</v>
      </c>
      <c r="G356" s="22" t="s">
        <v>19422</v>
      </c>
      <c r="H356" s="24" t="s">
        <v>19797</v>
      </c>
      <c r="I356" s="22" t="s">
        <v>19309</v>
      </c>
      <c r="J356" s="22" t="s">
        <v>19353</v>
      </c>
      <c r="K356" s="22" t="s">
        <v>19354</v>
      </c>
      <c r="L356" s="22"/>
      <c r="M356" s="22"/>
      <c r="N356" s="25" t="str">
        <f>HYPERLINK("http://slimages.macys.com/is/image/MCY/1734176 ")</f>
        <v xml:space="preserve">http://slimages.macys.com/is/image/MCY/1734176 </v>
      </c>
    </row>
    <row r="357" spans="1:14" x14ac:dyDescent="0.25">
      <c r="A357" s="21" t="s">
        <v>18867</v>
      </c>
      <c r="B357" s="22" t="s">
        <v>18868</v>
      </c>
      <c r="C357" s="2">
        <v>1</v>
      </c>
      <c r="D357" s="23">
        <v>9.99</v>
      </c>
      <c r="E357" s="3">
        <v>9.99</v>
      </c>
      <c r="F357" s="2" t="s">
        <v>18869</v>
      </c>
      <c r="G357" s="22" t="s">
        <v>19351</v>
      </c>
      <c r="H357" s="24" t="s">
        <v>19907</v>
      </c>
      <c r="I357" s="22" t="s">
        <v>19309</v>
      </c>
      <c r="J357" s="22" t="s">
        <v>19849</v>
      </c>
      <c r="K357" s="22" t="s">
        <v>19850</v>
      </c>
      <c r="L357" s="22"/>
      <c r="M357" s="22"/>
      <c r="N357" s="25" t="str">
        <f>HYPERLINK("http://slimages.macys.com/is/image/MCY/21351556 ")</f>
        <v xml:space="preserve">http://slimages.macys.com/is/image/MCY/21351556 </v>
      </c>
    </row>
    <row r="358" spans="1:14" x14ac:dyDescent="0.25">
      <c r="A358" s="21" t="s">
        <v>10043</v>
      </c>
      <c r="B358" s="22" t="s">
        <v>10044</v>
      </c>
      <c r="C358" s="2">
        <v>1</v>
      </c>
      <c r="D358" s="23">
        <v>9.99</v>
      </c>
      <c r="E358" s="3">
        <v>9.99</v>
      </c>
      <c r="F358" s="2" t="s">
        <v>18869</v>
      </c>
      <c r="G358" s="22" t="s">
        <v>19351</v>
      </c>
      <c r="H358" s="24" t="s">
        <v>19377</v>
      </c>
      <c r="I358" s="22" t="s">
        <v>19309</v>
      </c>
      <c r="J358" s="22" t="s">
        <v>19849</v>
      </c>
      <c r="K358" s="22" t="s">
        <v>19850</v>
      </c>
      <c r="L358" s="22"/>
      <c r="M358" s="22"/>
      <c r="N358" s="25" t="str">
        <f>HYPERLINK("http://slimages.macys.com/is/image/MCY/21351556 ")</f>
        <v xml:space="preserve">http://slimages.macys.com/is/image/MCY/21351556 </v>
      </c>
    </row>
    <row r="359" spans="1:14" ht="24.75" x14ac:dyDescent="0.25">
      <c r="A359" s="21" t="s">
        <v>18876</v>
      </c>
      <c r="B359" s="22" t="s">
        <v>18877</v>
      </c>
      <c r="C359" s="2">
        <v>1</v>
      </c>
      <c r="D359" s="23">
        <v>8.41</v>
      </c>
      <c r="E359" s="3">
        <v>8.41</v>
      </c>
      <c r="F359" s="2" t="s">
        <v>18878</v>
      </c>
      <c r="G359" s="22"/>
      <c r="H359" s="24" t="s">
        <v>19345</v>
      </c>
      <c r="I359" s="22" t="s">
        <v>19309</v>
      </c>
      <c r="J359" s="22" t="s">
        <v>19602</v>
      </c>
      <c r="K359" s="22" t="s">
        <v>20041</v>
      </c>
      <c r="L359" s="22"/>
      <c r="M359" s="22"/>
      <c r="N359" s="25" t="str">
        <f>HYPERLINK("http://slimages.macys.com/is/image/MCY/21421589 ")</f>
        <v xml:space="preserve">http://slimages.macys.com/is/image/MCY/21421589 </v>
      </c>
    </row>
    <row r="360" spans="1:14" ht="24.75" x14ac:dyDescent="0.25">
      <c r="A360" s="21" t="s">
        <v>2114</v>
      </c>
      <c r="B360" s="22" t="s">
        <v>2115</v>
      </c>
      <c r="C360" s="2">
        <v>1</v>
      </c>
      <c r="D360" s="23">
        <v>9.99</v>
      </c>
      <c r="E360" s="3">
        <v>9.99</v>
      </c>
      <c r="F360" s="2" t="s">
        <v>18881</v>
      </c>
      <c r="G360" s="22" t="s">
        <v>19422</v>
      </c>
      <c r="H360" s="24" t="s">
        <v>19797</v>
      </c>
      <c r="I360" s="22" t="s">
        <v>19309</v>
      </c>
      <c r="J360" s="22" t="s">
        <v>19353</v>
      </c>
      <c r="K360" s="22" t="s">
        <v>19524</v>
      </c>
      <c r="L360" s="22"/>
      <c r="M360" s="22"/>
      <c r="N360" s="25" t="str">
        <f>HYPERLINK("http://slimages.macys.com/is/image/MCY/1472542 ")</f>
        <v xml:space="preserve">http://slimages.macys.com/is/image/MCY/1472542 </v>
      </c>
    </row>
    <row r="361" spans="1:14" ht="24.75" x14ac:dyDescent="0.25">
      <c r="A361" s="21" t="s">
        <v>14085</v>
      </c>
      <c r="B361" s="22" t="s">
        <v>14086</v>
      </c>
      <c r="C361" s="2">
        <v>2</v>
      </c>
      <c r="D361" s="23">
        <v>9.99</v>
      </c>
      <c r="E361" s="3">
        <v>19.98</v>
      </c>
      <c r="F361" s="2" t="s">
        <v>18881</v>
      </c>
      <c r="G361" s="22" t="s">
        <v>19333</v>
      </c>
      <c r="H361" s="24" t="s">
        <v>19364</v>
      </c>
      <c r="I361" s="22" t="s">
        <v>19309</v>
      </c>
      <c r="J361" s="22" t="s">
        <v>19353</v>
      </c>
      <c r="K361" s="22" t="s">
        <v>19524</v>
      </c>
      <c r="L361" s="22"/>
      <c r="M361" s="22"/>
      <c r="N361" s="25" t="str">
        <f>HYPERLINK("http://slimages.macys.com/is/image/MCY/1484637 ")</f>
        <v xml:space="preserve">http://slimages.macys.com/is/image/MCY/1484637 </v>
      </c>
    </row>
    <row r="362" spans="1:14" x14ac:dyDescent="0.25">
      <c r="A362" s="21" t="s">
        <v>2116</v>
      </c>
      <c r="B362" s="22" t="s">
        <v>2117</v>
      </c>
      <c r="C362" s="2">
        <v>1</v>
      </c>
      <c r="D362" s="23">
        <v>9.44</v>
      </c>
      <c r="E362" s="3">
        <v>9.44</v>
      </c>
      <c r="F362" s="2" t="s">
        <v>2118</v>
      </c>
      <c r="G362" s="22" t="s">
        <v>19404</v>
      </c>
      <c r="H362" s="24" t="s">
        <v>19367</v>
      </c>
      <c r="I362" s="22" t="s">
        <v>19309</v>
      </c>
      <c r="J362" s="22" t="s">
        <v>19708</v>
      </c>
      <c r="K362" s="22" t="s">
        <v>19709</v>
      </c>
      <c r="L362" s="22"/>
      <c r="M362" s="22"/>
      <c r="N362" s="25" t="str">
        <f>HYPERLINK("http://slimages.macys.com/is/image/MCY/21184052 ")</f>
        <v xml:space="preserve">http://slimages.macys.com/is/image/MCY/21184052 </v>
      </c>
    </row>
    <row r="363" spans="1:14" x14ac:dyDescent="0.25">
      <c r="A363" s="21" t="s">
        <v>2119</v>
      </c>
      <c r="B363" s="22" t="s">
        <v>2120</v>
      </c>
      <c r="C363" s="2">
        <v>1</v>
      </c>
      <c r="D363" s="23">
        <v>9.39</v>
      </c>
      <c r="E363" s="3">
        <v>9.39</v>
      </c>
      <c r="F363" s="2" t="s">
        <v>2121</v>
      </c>
      <c r="G363" s="22" t="s">
        <v>19338</v>
      </c>
      <c r="H363" s="24" t="s">
        <v>19324</v>
      </c>
      <c r="I363" s="22" t="s">
        <v>19309</v>
      </c>
      <c r="J363" s="22" t="s">
        <v>19708</v>
      </c>
      <c r="K363" s="22" t="s">
        <v>19709</v>
      </c>
      <c r="L363" s="22"/>
      <c r="M363" s="22"/>
      <c r="N363" s="25" t="str">
        <f>HYPERLINK("http://slimages.macys.com/is/image/MCY/22596356 ")</f>
        <v xml:space="preserve">http://slimages.macys.com/is/image/MCY/22596356 </v>
      </c>
    </row>
    <row r="364" spans="1:14" ht="24.75" x14ac:dyDescent="0.25">
      <c r="A364" s="21" t="s">
        <v>2122</v>
      </c>
      <c r="B364" s="22" t="s">
        <v>2123</v>
      </c>
      <c r="C364" s="2">
        <v>1</v>
      </c>
      <c r="D364" s="23">
        <v>7.99</v>
      </c>
      <c r="E364" s="3">
        <v>7.99</v>
      </c>
      <c r="F364" s="2" t="s">
        <v>16892</v>
      </c>
      <c r="G364" s="22" t="s">
        <v>19315</v>
      </c>
      <c r="H364" s="24" t="s">
        <v>20135</v>
      </c>
      <c r="I364" s="22" t="s">
        <v>19309</v>
      </c>
      <c r="J364" s="22" t="s">
        <v>19815</v>
      </c>
      <c r="K364" s="22" t="s">
        <v>19816</v>
      </c>
      <c r="L364" s="22"/>
      <c r="M364" s="22"/>
      <c r="N364" s="25" t="str">
        <f>HYPERLINK("http://slimages.macys.com/is/image/MCY/21278924 ")</f>
        <v xml:space="preserve">http://slimages.macys.com/is/image/MCY/21278924 </v>
      </c>
    </row>
    <row r="365" spans="1:14" ht="24.75" x14ac:dyDescent="0.25">
      <c r="A365" s="21" t="s">
        <v>2124</v>
      </c>
      <c r="B365" s="22" t="s">
        <v>2125</v>
      </c>
      <c r="C365" s="2">
        <v>1</v>
      </c>
      <c r="D365" s="23">
        <v>6.99</v>
      </c>
      <c r="E365" s="3">
        <v>6.99</v>
      </c>
      <c r="F365" s="2" t="s">
        <v>2126</v>
      </c>
      <c r="G365" s="22" t="s">
        <v>19351</v>
      </c>
      <c r="H365" s="24" t="s">
        <v>19339</v>
      </c>
      <c r="I365" s="22" t="s">
        <v>19309</v>
      </c>
      <c r="J365" s="22" t="s">
        <v>19353</v>
      </c>
      <c r="K365" s="22" t="s">
        <v>19354</v>
      </c>
      <c r="L365" s="22"/>
      <c r="M365" s="22"/>
      <c r="N365" s="25" t="str">
        <f>HYPERLINK("http://slimages.macys.com/is/image/MCY/21563059 ")</f>
        <v xml:space="preserve">http://slimages.macys.com/is/image/MCY/21563059 </v>
      </c>
    </row>
    <row r="366" spans="1:14" x14ac:dyDescent="0.25">
      <c r="A366" s="21" t="s">
        <v>18896</v>
      </c>
      <c r="B366" s="22" t="s">
        <v>18897</v>
      </c>
      <c r="C366" s="2">
        <v>1</v>
      </c>
      <c r="D366" s="23">
        <v>9.99</v>
      </c>
      <c r="E366" s="3">
        <v>9.99</v>
      </c>
      <c r="F366" s="2" t="s">
        <v>18895</v>
      </c>
      <c r="G366" s="22" t="s">
        <v>19462</v>
      </c>
      <c r="H366" s="24" t="s">
        <v>19907</v>
      </c>
      <c r="I366" s="22" t="s">
        <v>19309</v>
      </c>
      <c r="J366" s="22" t="s">
        <v>19849</v>
      </c>
      <c r="K366" s="22" t="s">
        <v>19850</v>
      </c>
      <c r="L366" s="22"/>
      <c r="M366" s="22"/>
      <c r="N366" s="25" t="str">
        <f>HYPERLINK("http://slimages.macys.com/is/image/MCY/21251249 ")</f>
        <v xml:space="preserve">http://slimages.macys.com/is/image/MCY/21251249 </v>
      </c>
    </row>
    <row r="367" spans="1:14" x14ac:dyDescent="0.25">
      <c r="A367" s="21" t="s">
        <v>18898</v>
      </c>
      <c r="B367" s="22" t="s">
        <v>18899</v>
      </c>
      <c r="C367" s="2">
        <v>2</v>
      </c>
      <c r="D367" s="23">
        <v>9.99</v>
      </c>
      <c r="E367" s="3">
        <v>19.98</v>
      </c>
      <c r="F367" s="2" t="s">
        <v>18895</v>
      </c>
      <c r="G367" s="22" t="s">
        <v>19462</v>
      </c>
      <c r="H367" s="24" t="s">
        <v>19377</v>
      </c>
      <c r="I367" s="22" t="s">
        <v>19309</v>
      </c>
      <c r="J367" s="22" t="s">
        <v>19849</v>
      </c>
      <c r="K367" s="22" t="s">
        <v>19850</v>
      </c>
      <c r="L367" s="22"/>
      <c r="M367" s="22"/>
      <c r="N367" s="25" t="str">
        <f>HYPERLINK("http://slimages.macys.com/is/image/MCY/21251249 ")</f>
        <v xml:space="preserve">http://slimages.macys.com/is/image/MCY/21251249 </v>
      </c>
    </row>
    <row r="368" spans="1:14" x14ac:dyDescent="0.25">
      <c r="A368" s="21" t="s">
        <v>18902</v>
      </c>
      <c r="B368" s="22" t="s">
        <v>18903</v>
      </c>
      <c r="C368" s="2">
        <v>2</v>
      </c>
      <c r="D368" s="23">
        <v>9.99</v>
      </c>
      <c r="E368" s="3">
        <v>19.98</v>
      </c>
      <c r="F368" s="2" t="s">
        <v>18895</v>
      </c>
      <c r="G368" s="22" t="s">
        <v>19462</v>
      </c>
      <c r="H368" s="24" t="s">
        <v>20135</v>
      </c>
      <c r="I368" s="22" t="s">
        <v>19309</v>
      </c>
      <c r="J368" s="22" t="s">
        <v>19849</v>
      </c>
      <c r="K368" s="22" t="s">
        <v>19850</v>
      </c>
      <c r="L368" s="22"/>
      <c r="M368" s="22"/>
      <c r="N368" s="25" t="str">
        <f>HYPERLINK("http://slimages.macys.com/is/image/MCY/21251249 ")</f>
        <v xml:space="preserve">http://slimages.macys.com/is/image/MCY/21251249 </v>
      </c>
    </row>
    <row r="369" spans="1:14" x14ac:dyDescent="0.25">
      <c r="A369" s="21" t="s">
        <v>18900</v>
      </c>
      <c r="B369" s="22" t="s">
        <v>18901</v>
      </c>
      <c r="C369" s="2">
        <v>2</v>
      </c>
      <c r="D369" s="23">
        <v>9.99</v>
      </c>
      <c r="E369" s="3">
        <v>19.98</v>
      </c>
      <c r="F369" s="2" t="s">
        <v>18895</v>
      </c>
      <c r="G369" s="22" t="s">
        <v>19462</v>
      </c>
      <c r="H369" s="24" t="s">
        <v>20089</v>
      </c>
      <c r="I369" s="22" t="s">
        <v>19309</v>
      </c>
      <c r="J369" s="22" t="s">
        <v>19849</v>
      </c>
      <c r="K369" s="22" t="s">
        <v>19850</v>
      </c>
      <c r="L369" s="22"/>
      <c r="M369" s="22"/>
      <c r="N369" s="25" t="str">
        <f>HYPERLINK("http://slimages.macys.com/is/image/MCY/21251249 ")</f>
        <v xml:space="preserve">http://slimages.macys.com/is/image/MCY/21251249 </v>
      </c>
    </row>
    <row r="370" spans="1:14" x14ac:dyDescent="0.25">
      <c r="A370" s="21" t="s">
        <v>18893</v>
      </c>
      <c r="B370" s="22" t="s">
        <v>18894</v>
      </c>
      <c r="C370" s="2">
        <v>2</v>
      </c>
      <c r="D370" s="23">
        <v>9.99</v>
      </c>
      <c r="E370" s="3">
        <v>19.98</v>
      </c>
      <c r="F370" s="2" t="s">
        <v>18895</v>
      </c>
      <c r="G370" s="22" t="s">
        <v>19462</v>
      </c>
      <c r="H370" s="24" t="s">
        <v>19361</v>
      </c>
      <c r="I370" s="22" t="s">
        <v>19309</v>
      </c>
      <c r="J370" s="22" t="s">
        <v>19849</v>
      </c>
      <c r="K370" s="22" t="s">
        <v>19850</v>
      </c>
      <c r="L370" s="22"/>
      <c r="M370" s="22"/>
      <c r="N370" s="25" t="str">
        <f>HYPERLINK("http://slimages.macys.com/is/image/MCY/21251249 ")</f>
        <v xml:space="preserve">http://slimages.macys.com/is/image/MCY/21251249 </v>
      </c>
    </row>
    <row r="371" spans="1:14" ht="24.75" x14ac:dyDescent="0.25">
      <c r="A371" s="21" t="s">
        <v>7032</v>
      </c>
      <c r="B371" s="22" t="s">
        <v>7033</v>
      </c>
      <c r="C371" s="2">
        <v>1</v>
      </c>
      <c r="D371" s="23">
        <v>7.99</v>
      </c>
      <c r="E371" s="3">
        <v>7.99</v>
      </c>
      <c r="F371" s="2" t="s">
        <v>10063</v>
      </c>
      <c r="G371" s="22" t="s">
        <v>19338</v>
      </c>
      <c r="H371" s="24" t="s">
        <v>20135</v>
      </c>
      <c r="I371" s="22" t="s">
        <v>19309</v>
      </c>
      <c r="J371" s="22" t="s">
        <v>19908</v>
      </c>
      <c r="K371" s="22" t="s">
        <v>19524</v>
      </c>
      <c r="L371" s="22"/>
      <c r="M371" s="22"/>
      <c r="N371" s="25" t="str">
        <f>HYPERLINK("http://slimages.macys.com/is/image/MCY/21070313 ")</f>
        <v xml:space="preserve">http://slimages.macys.com/is/image/MCY/21070313 </v>
      </c>
    </row>
    <row r="372" spans="1:14" ht="24.75" x14ac:dyDescent="0.25">
      <c r="A372" s="21" t="s">
        <v>13406</v>
      </c>
      <c r="B372" s="22" t="s">
        <v>13407</v>
      </c>
      <c r="C372" s="2">
        <v>1</v>
      </c>
      <c r="D372" s="23">
        <v>8.06</v>
      </c>
      <c r="E372" s="3">
        <v>8.06</v>
      </c>
      <c r="F372" s="2" t="s">
        <v>16923</v>
      </c>
      <c r="G372" s="22" t="s">
        <v>19315</v>
      </c>
      <c r="H372" s="24" t="s">
        <v>19334</v>
      </c>
      <c r="I372" s="22" t="s">
        <v>19309</v>
      </c>
      <c r="J372" s="22" t="s">
        <v>19602</v>
      </c>
      <c r="K372" s="22" t="s">
        <v>20041</v>
      </c>
      <c r="L372" s="22"/>
      <c r="M372" s="22"/>
      <c r="N372" s="25" t="str">
        <f>HYPERLINK("http://slimages.macys.com/is/image/MCY/22406209 ")</f>
        <v xml:space="preserve">http://slimages.macys.com/is/image/MCY/22406209 </v>
      </c>
    </row>
    <row r="373" spans="1:14" ht="24.75" x14ac:dyDescent="0.25">
      <c r="A373" s="21" t="s">
        <v>16924</v>
      </c>
      <c r="B373" s="22" t="s">
        <v>16925</v>
      </c>
      <c r="C373" s="2">
        <v>1</v>
      </c>
      <c r="D373" s="23">
        <v>8.06</v>
      </c>
      <c r="E373" s="3">
        <v>8.06</v>
      </c>
      <c r="F373" s="2" t="s">
        <v>16923</v>
      </c>
      <c r="G373" s="22" t="s">
        <v>19315</v>
      </c>
      <c r="H373" s="24" t="s">
        <v>19345</v>
      </c>
      <c r="I373" s="22" t="s">
        <v>19309</v>
      </c>
      <c r="J373" s="22" t="s">
        <v>19602</v>
      </c>
      <c r="K373" s="22" t="s">
        <v>20041</v>
      </c>
      <c r="L373" s="22"/>
      <c r="M373" s="22"/>
      <c r="N373" s="25" t="str">
        <f>HYPERLINK("http://slimages.macys.com/is/image/MCY/22406209 ")</f>
        <v xml:space="preserve">http://slimages.macys.com/is/image/MCY/22406209 </v>
      </c>
    </row>
    <row r="374" spans="1:14" ht="24.75" x14ac:dyDescent="0.25">
      <c r="A374" s="21" t="s">
        <v>13411</v>
      </c>
      <c r="B374" s="22" t="s">
        <v>13412</v>
      </c>
      <c r="C374" s="2">
        <v>1</v>
      </c>
      <c r="D374" s="23">
        <v>7.99</v>
      </c>
      <c r="E374" s="3">
        <v>7.99</v>
      </c>
      <c r="F374" s="2" t="s">
        <v>13413</v>
      </c>
      <c r="G374" s="22" t="s">
        <v>19467</v>
      </c>
      <c r="H374" s="24" t="s">
        <v>20089</v>
      </c>
      <c r="I374" s="22" t="s">
        <v>19309</v>
      </c>
      <c r="J374" s="22" t="s">
        <v>19573</v>
      </c>
      <c r="K374" s="22" t="s">
        <v>19574</v>
      </c>
      <c r="L374" s="22"/>
      <c r="M374" s="22"/>
      <c r="N374" s="25" t="str">
        <f>HYPERLINK("http://slimages.macys.com/is/image/MCY/21209062 ")</f>
        <v xml:space="preserve">http://slimages.macys.com/is/image/MCY/21209062 </v>
      </c>
    </row>
    <row r="375" spans="1:14" ht="24.75" x14ac:dyDescent="0.25">
      <c r="A375" s="21" t="s">
        <v>2127</v>
      </c>
      <c r="B375" s="22" t="s">
        <v>2128</v>
      </c>
      <c r="C375" s="2">
        <v>1</v>
      </c>
      <c r="D375" s="23">
        <v>7.99</v>
      </c>
      <c r="E375" s="3">
        <v>7.99</v>
      </c>
      <c r="F375" s="2" t="s">
        <v>2129</v>
      </c>
      <c r="G375" s="22" t="s">
        <v>19351</v>
      </c>
      <c r="H375" s="24" t="s">
        <v>19907</v>
      </c>
      <c r="I375" s="22" t="s">
        <v>19309</v>
      </c>
      <c r="J375" s="22" t="s">
        <v>19908</v>
      </c>
      <c r="K375" s="22" t="s">
        <v>19524</v>
      </c>
      <c r="L375" s="22"/>
      <c r="M375" s="22"/>
      <c r="N375" s="25" t="str">
        <f>HYPERLINK("http://slimages.macys.com/is/image/MCY/21070274 ")</f>
        <v xml:space="preserve">http://slimages.macys.com/is/image/MCY/21070274 </v>
      </c>
    </row>
    <row r="376" spans="1:14" ht="24.75" x14ac:dyDescent="0.25">
      <c r="A376" s="21" t="s">
        <v>2130</v>
      </c>
      <c r="B376" s="22" t="s">
        <v>2131</v>
      </c>
      <c r="C376" s="2">
        <v>1</v>
      </c>
      <c r="D376" s="23">
        <v>7.99</v>
      </c>
      <c r="E376" s="3">
        <v>7.99</v>
      </c>
      <c r="F376" s="2" t="s">
        <v>7894</v>
      </c>
      <c r="G376" s="22" t="s">
        <v>19477</v>
      </c>
      <c r="H376" s="24" t="s">
        <v>19907</v>
      </c>
      <c r="I376" s="22" t="s">
        <v>19309</v>
      </c>
      <c r="J376" s="22" t="s">
        <v>19908</v>
      </c>
      <c r="K376" s="22" t="s">
        <v>19524</v>
      </c>
      <c r="L376" s="22"/>
      <c r="M376" s="22"/>
      <c r="N376" s="25" t="str">
        <f>HYPERLINK("http://slimages.macys.com/is/image/MCY/1122580 ")</f>
        <v xml:space="preserve">http://slimages.macys.com/is/image/MCY/1122580 </v>
      </c>
    </row>
    <row r="377" spans="1:14" ht="24.75" x14ac:dyDescent="0.25">
      <c r="A377" s="21" t="s">
        <v>2132</v>
      </c>
      <c r="B377" s="22" t="s">
        <v>2133</v>
      </c>
      <c r="C377" s="2">
        <v>1</v>
      </c>
      <c r="D377" s="23">
        <v>7.99</v>
      </c>
      <c r="E377" s="3">
        <v>7.99</v>
      </c>
      <c r="F377" s="2" t="s">
        <v>14103</v>
      </c>
      <c r="G377" s="22" t="s">
        <v>19415</v>
      </c>
      <c r="H377" s="24" t="s">
        <v>19542</v>
      </c>
      <c r="I377" s="22" t="s">
        <v>19309</v>
      </c>
      <c r="J377" s="22" t="s">
        <v>19454</v>
      </c>
      <c r="K377" s="22" t="s">
        <v>19524</v>
      </c>
      <c r="L377" s="22"/>
      <c r="M377" s="22"/>
      <c r="N377" s="25" t="str">
        <f>HYPERLINK("http://slimages.macys.com/is/image/MCY/21048692 ")</f>
        <v xml:space="preserve">http://slimages.macys.com/is/image/MCY/21048692 </v>
      </c>
    </row>
    <row r="378" spans="1:14" ht="24.75" x14ac:dyDescent="0.25">
      <c r="A378" s="21" t="s">
        <v>14099</v>
      </c>
      <c r="B378" s="22" t="s">
        <v>14100</v>
      </c>
      <c r="C378" s="2">
        <v>1</v>
      </c>
      <c r="D378" s="23">
        <v>7.99</v>
      </c>
      <c r="E378" s="3">
        <v>7.99</v>
      </c>
      <c r="F378" s="2" t="s">
        <v>16961</v>
      </c>
      <c r="G378" s="22" t="s">
        <v>19351</v>
      </c>
      <c r="H378" s="24" t="s">
        <v>19392</v>
      </c>
      <c r="I378" s="22" t="s">
        <v>19309</v>
      </c>
      <c r="J378" s="22" t="s">
        <v>19454</v>
      </c>
      <c r="K378" s="22" t="s">
        <v>19524</v>
      </c>
      <c r="L378" s="22"/>
      <c r="M378" s="22"/>
      <c r="N378" s="25" t="str">
        <f>HYPERLINK("http://slimages.macys.com/is/image/MCY/1415872 ")</f>
        <v xml:space="preserve">http://slimages.macys.com/is/image/MCY/1415872 </v>
      </c>
    </row>
    <row r="379" spans="1:14" ht="24.75" x14ac:dyDescent="0.25">
      <c r="A379" s="21" t="s">
        <v>18967</v>
      </c>
      <c r="B379" s="22" t="s">
        <v>18968</v>
      </c>
      <c r="C379" s="2">
        <v>1</v>
      </c>
      <c r="D379" s="23">
        <v>7.99</v>
      </c>
      <c r="E379" s="3">
        <v>7.99</v>
      </c>
      <c r="F379" s="2" t="s">
        <v>18969</v>
      </c>
      <c r="G379" s="22" t="s">
        <v>18439</v>
      </c>
      <c r="H379" s="24" t="s">
        <v>19361</v>
      </c>
      <c r="I379" s="22" t="s">
        <v>19309</v>
      </c>
      <c r="J379" s="22" t="s">
        <v>19908</v>
      </c>
      <c r="K379" s="22" t="s">
        <v>19524</v>
      </c>
      <c r="L379" s="22"/>
      <c r="M379" s="22"/>
      <c r="N379" s="25" t="str">
        <f>HYPERLINK("http://slimages.macys.com/is/image/MCY/22158981 ")</f>
        <v xml:space="preserve">http://slimages.macys.com/is/image/MCY/22158981 </v>
      </c>
    </row>
    <row r="380" spans="1:14" ht="24.75" x14ac:dyDescent="0.25">
      <c r="A380" s="21" t="s">
        <v>14109</v>
      </c>
      <c r="B380" s="22" t="s">
        <v>14110</v>
      </c>
      <c r="C380" s="2">
        <v>1</v>
      </c>
      <c r="D380" s="23">
        <v>7.99</v>
      </c>
      <c r="E380" s="3">
        <v>7.99</v>
      </c>
      <c r="F380" s="2" t="s">
        <v>16987</v>
      </c>
      <c r="G380" s="22" t="s">
        <v>19351</v>
      </c>
      <c r="H380" s="24" t="s">
        <v>20135</v>
      </c>
      <c r="I380" s="22" t="s">
        <v>19309</v>
      </c>
      <c r="J380" s="22" t="s">
        <v>19908</v>
      </c>
      <c r="K380" s="22" t="s">
        <v>19524</v>
      </c>
      <c r="L380" s="22"/>
      <c r="M380" s="22"/>
      <c r="N380" s="25" t="str">
        <f>HYPERLINK("http://slimages.macys.com/is/image/MCY/1472593 ")</f>
        <v xml:space="preserve">http://slimages.macys.com/is/image/MCY/1472593 </v>
      </c>
    </row>
    <row r="381" spans="1:14" ht="24.75" x14ac:dyDescent="0.25">
      <c r="A381" s="21" t="s">
        <v>2134</v>
      </c>
      <c r="B381" s="22" t="s">
        <v>2135</v>
      </c>
      <c r="C381" s="2">
        <v>1</v>
      </c>
      <c r="D381" s="23">
        <v>7.99</v>
      </c>
      <c r="E381" s="3">
        <v>7.99</v>
      </c>
      <c r="F381" s="2" t="s">
        <v>18975</v>
      </c>
      <c r="G381" s="22" t="s">
        <v>19585</v>
      </c>
      <c r="H381" s="24" t="s">
        <v>20135</v>
      </c>
      <c r="I381" s="22" t="s">
        <v>19309</v>
      </c>
      <c r="J381" s="22" t="s">
        <v>19815</v>
      </c>
      <c r="K381" s="22" t="s">
        <v>19816</v>
      </c>
      <c r="L381" s="22"/>
      <c r="M381" s="22"/>
      <c r="N381" s="25" t="str">
        <f>HYPERLINK("http://slimages.macys.com/is/image/MCY/23423563 ")</f>
        <v xml:space="preserve">http://slimages.macys.com/is/image/MCY/23423563 </v>
      </c>
    </row>
    <row r="382" spans="1:14" ht="24.75" x14ac:dyDescent="0.25">
      <c r="A382" s="21" t="s">
        <v>2136</v>
      </c>
      <c r="B382" s="22" t="s">
        <v>2137</v>
      </c>
      <c r="C382" s="2">
        <v>1</v>
      </c>
      <c r="D382" s="23">
        <v>7.99</v>
      </c>
      <c r="E382" s="3">
        <v>7.99</v>
      </c>
      <c r="F382" s="2" t="s">
        <v>18975</v>
      </c>
      <c r="G382" s="22" t="s">
        <v>19404</v>
      </c>
      <c r="H382" s="24" t="s">
        <v>19361</v>
      </c>
      <c r="I382" s="22" t="s">
        <v>19309</v>
      </c>
      <c r="J382" s="22" t="s">
        <v>19815</v>
      </c>
      <c r="K382" s="22" t="s">
        <v>19816</v>
      </c>
      <c r="L382" s="22"/>
      <c r="M382" s="22"/>
      <c r="N382" s="25" t="str">
        <f>HYPERLINK("http://slimages.macys.com/is/image/MCY/23423563 ")</f>
        <v xml:space="preserve">http://slimages.macys.com/is/image/MCY/23423563 </v>
      </c>
    </row>
    <row r="383" spans="1:14" ht="24.75" x14ac:dyDescent="0.25">
      <c r="A383" s="21" t="s">
        <v>2138</v>
      </c>
      <c r="B383" s="22" t="s">
        <v>2139</v>
      </c>
      <c r="C383" s="2">
        <v>1</v>
      </c>
      <c r="D383" s="23">
        <v>7.99</v>
      </c>
      <c r="E383" s="3">
        <v>7.99</v>
      </c>
      <c r="F383" s="2" t="s">
        <v>2140</v>
      </c>
      <c r="G383" s="22" t="s">
        <v>19674</v>
      </c>
      <c r="H383" s="24" t="s">
        <v>20089</v>
      </c>
      <c r="I383" s="22" t="s">
        <v>19309</v>
      </c>
      <c r="J383" s="22" t="s">
        <v>19573</v>
      </c>
      <c r="K383" s="22" t="s">
        <v>19574</v>
      </c>
      <c r="L383" s="22"/>
      <c r="M383" s="22"/>
      <c r="N383" s="25" t="str">
        <f>HYPERLINK("http://slimages.macys.com/is/image/MCY/20386027 ")</f>
        <v xml:space="preserve">http://slimages.macys.com/is/image/MCY/20386027 </v>
      </c>
    </row>
    <row r="384" spans="1:14" ht="24.75" x14ac:dyDescent="0.25">
      <c r="A384" s="21" t="s">
        <v>2141</v>
      </c>
      <c r="B384" s="22" t="s">
        <v>2142</v>
      </c>
      <c r="C384" s="2">
        <v>1</v>
      </c>
      <c r="D384" s="23">
        <v>8.99</v>
      </c>
      <c r="E384" s="3">
        <v>8.99</v>
      </c>
      <c r="F384" s="2" t="s">
        <v>18984</v>
      </c>
      <c r="G384" s="22" t="s">
        <v>19518</v>
      </c>
      <c r="H384" s="24" t="s">
        <v>19352</v>
      </c>
      <c r="I384" s="22" t="s">
        <v>19309</v>
      </c>
      <c r="J384" s="22" t="s">
        <v>19815</v>
      </c>
      <c r="K384" s="22" t="s">
        <v>19816</v>
      </c>
      <c r="L384" s="22"/>
      <c r="M384" s="22"/>
      <c r="N384" s="25" t="str">
        <f>HYPERLINK("http://slimages.macys.com/is/image/MCY/1520506 ")</f>
        <v xml:space="preserve">http://slimages.macys.com/is/image/MCY/1520506 </v>
      </c>
    </row>
    <row r="385" spans="1:14" ht="24.75" x14ac:dyDescent="0.25">
      <c r="A385" s="21" t="s">
        <v>2143</v>
      </c>
      <c r="B385" s="22" t="s">
        <v>2144</v>
      </c>
      <c r="C385" s="2">
        <v>1</v>
      </c>
      <c r="D385" s="23">
        <v>6.56</v>
      </c>
      <c r="E385" s="3">
        <v>6.56</v>
      </c>
      <c r="F385" s="2" t="s">
        <v>2145</v>
      </c>
      <c r="G385" s="22" t="s">
        <v>19618</v>
      </c>
      <c r="H385" s="24" t="s">
        <v>19308</v>
      </c>
      <c r="I385" s="22" t="s">
        <v>19309</v>
      </c>
      <c r="J385" s="22" t="s">
        <v>19565</v>
      </c>
      <c r="K385" s="22" t="s">
        <v>18514</v>
      </c>
      <c r="L385" s="22"/>
      <c r="M385" s="22"/>
      <c r="N385" s="25" t="str">
        <f>HYPERLINK("http://slimages.macys.com/is/image/MCY/21149754 ")</f>
        <v xml:space="preserve">http://slimages.macys.com/is/image/MCY/21149754 </v>
      </c>
    </row>
    <row r="386" spans="1:14" ht="24.75" x14ac:dyDescent="0.25">
      <c r="A386" s="21" t="s">
        <v>2146</v>
      </c>
      <c r="B386" s="22" t="s">
        <v>2147</v>
      </c>
      <c r="C386" s="2">
        <v>1</v>
      </c>
      <c r="D386" s="23">
        <v>5.89</v>
      </c>
      <c r="E386" s="3">
        <v>5.89</v>
      </c>
      <c r="F386" s="2" t="s">
        <v>2148</v>
      </c>
      <c r="G386" s="22" t="s">
        <v>19513</v>
      </c>
      <c r="H386" s="24" t="s">
        <v>19352</v>
      </c>
      <c r="I386" s="22" t="s">
        <v>19309</v>
      </c>
      <c r="J386" s="22" t="s">
        <v>19565</v>
      </c>
      <c r="K386" s="22" t="s">
        <v>18514</v>
      </c>
      <c r="L386" s="22"/>
      <c r="M386" s="22"/>
      <c r="N386" s="25" t="str">
        <f>HYPERLINK("http://slimages.macys.com/is/image/MCY/20726407 ")</f>
        <v xml:space="preserve">http://slimages.macys.com/is/image/MCY/20726407 </v>
      </c>
    </row>
    <row r="387" spans="1:14" ht="24.75" x14ac:dyDescent="0.25">
      <c r="A387" s="21" t="s">
        <v>2149</v>
      </c>
      <c r="B387" s="22" t="s">
        <v>2150</v>
      </c>
      <c r="C387" s="2">
        <v>1</v>
      </c>
      <c r="D387" s="23">
        <v>6.99</v>
      </c>
      <c r="E387" s="3">
        <v>6.99</v>
      </c>
      <c r="F387" s="2" t="s">
        <v>2151</v>
      </c>
      <c r="G387" s="22" t="s">
        <v>19462</v>
      </c>
      <c r="H387" s="24" t="s">
        <v>19364</v>
      </c>
      <c r="I387" s="22" t="s">
        <v>19309</v>
      </c>
      <c r="J387" s="22" t="s">
        <v>19353</v>
      </c>
      <c r="K387" s="22" t="s">
        <v>19354</v>
      </c>
      <c r="L387" s="22"/>
      <c r="M387" s="22"/>
      <c r="N387" s="25" t="str">
        <f>HYPERLINK("http://slimages.macys.com/is/image/MCY/1367262 ")</f>
        <v xml:space="preserve">http://slimages.macys.com/is/image/MCY/1367262 </v>
      </c>
    </row>
    <row r="388" spans="1:14" ht="24.75" x14ac:dyDescent="0.25">
      <c r="A388" s="21" t="s">
        <v>13444</v>
      </c>
      <c r="B388" s="22" t="s">
        <v>13445</v>
      </c>
      <c r="C388" s="2">
        <v>1</v>
      </c>
      <c r="D388" s="23">
        <v>6.99</v>
      </c>
      <c r="E388" s="3">
        <v>6.99</v>
      </c>
      <c r="F388" s="2" t="s">
        <v>13446</v>
      </c>
      <c r="G388" s="22" t="s">
        <v>19513</v>
      </c>
      <c r="H388" s="24" t="s">
        <v>19538</v>
      </c>
      <c r="I388" s="22" t="s">
        <v>19309</v>
      </c>
      <c r="J388" s="22" t="s">
        <v>19573</v>
      </c>
      <c r="K388" s="22" t="s">
        <v>19574</v>
      </c>
      <c r="L388" s="22"/>
      <c r="M388" s="22"/>
      <c r="N388" s="25" t="str">
        <f>HYPERLINK("http://slimages.macys.com/is/image/MCY/13531635 ")</f>
        <v xml:space="preserve">http://slimages.macys.com/is/image/MCY/13531635 </v>
      </c>
    </row>
    <row r="389" spans="1:14" ht="24.75" x14ac:dyDescent="0.25">
      <c r="A389" s="21" t="s">
        <v>2152</v>
      </c>
      <c r="B389" s="22" t="s">
        <v>2153</v>
      </c>
      <c r="C389" s="2">
        <v>1</v>
      </c>
      <c r="D389" s="23">
        <v>6.99</v>
      </c>
      <c r="E389" s="3">
        <v>6.99</v>
      </c>
      <c r="F389" s="2" t="s">
        <v>2151</v>
      </c>
      <c r="G389" s="22" t="s">
        <v>19462</v>
      </c>
      <c r="H389" s="24" t="s">
        <v>19352</v>
      </c>
      <c r="I389" s="22" t="s">
        <v>19309</v>
      </c>
      <c r="J389" s="22" t="s">
        <v>19353</v>
      </c>
      <c r="K389" s="22" t="s">
        <v>19354</v>
      </c>
      <c r="L389" s="22"/>
      <c r="M389" s="22"/>
      <c r="N389" s="25" t="str">
        <f>HYPERLINK("http://slimages.macys.com/is/image/MCY/1367262 ")</f>
        <v xml:space="preserve">http://slimages.macys.com/is/image/MCY/1367262 </v>
      </c>
    </row>
    <row r="390" spans="1:14" ht="24.75" x14ac:dyDescent="0.25">
      <c r="A390" s="21" t="s">
        <v>2154</v>
      </c>
      <c r="B390" s="22" t="s">
        <v>2155</v>
      </c>
      <c r="C390" s="2">
        <v>1</v>
      </c>
      <c r="D390" s="23">
        <v>7.99</v>
      </c>
      <c r="E390" s="3">
        <v>7.99</v>
      </c>
      <c r="F390" s="2" t="s">
        <v>7102</v>
      </c>
      <c r="G390" s="22" t="s">
        <v>19585</v>
      </c>
      <c r="H390" s="24" t="s">
        <v>19907</v>
      </c>
      <c r="I390" s="22" t="s">
        <v>19309</v>
      </c>
      <c r="J390" s="22" t="s">
        <v>19573</v>
      </c>
      <c r="K390" s="22" t="s">
        <v>19574</v>
      </c>
      <c r="L390" s="22"/>
      <c r="M390" s="22"/>
      <c r="N390" s="25" t="str">
        <f>HYPERLINK("http://slimages.macys.com/is/image/MCY/1122116 ")</f>
        <v xml:space="preserve">http://slimages.macys.com/is/image/MCY/1122116 </v>
      </c>
    </row>
    <row r="391" spans="1:14" ht="24.75" x14ac:dyDescent="0.25">
      <c r="A391" s="21" t="s">
        <v>2156</v>
      </c>
      <c r="B391" s="22" t="s">
        <v>2157</v>
      </c>
      <c r="C391" s="2">
        <v>1</v>
      </c>
      <c r="D391" s="23">
        <v>5.99</v>
      </c>
      <c r="E391" s="3">
        <v>5.99</v>
      </c>
      <c r="F391" s="2" t="s">
        <v>19043</v>
      </c>
      <c r="G391" s="22" t="s">
        <v>19415</v>
      </c>
      <c r="H391" s="24" t="s">
        <v>19416</v>
      </c>
      <c r="I391" s="22" t="s">
        <v>19309</v>
      </c>
      <c r="J391" s="22" t="s">
        <v>19573</v>
      </c>
      <c r="K391" s="22" t="s">
        <v>19574</v>
      </c>
      <c r="L391" s="22"/>
      <c r="M391" s="22"/>
      <c r="N391" s="25" t="str">
        <f>HYPERLINK("http://slimages.macys.com/is/image/MCY/21209612 ")</f>
        <v xml:space="preserve">http://slimages.macys.com/is/image/MCY/21209612 </v>
      </c>
    </row>
    <row r="392" spans="1:14" ht="24.75" x14ac:dyDescent="0.25">
      <c r="A392" s="21" t="s">
        <v>19044</v>
      </c>
      <c r="B392" s="22" t="s">
        <v>19045</v>
      </c>
      <c r="C392" s="2">
        <v>1</v>
      </c>
      <c r="D392" s="23">
        <v>5.99</v>
      </c>
      <c r="E392" s="3">
        <v>5.99</v>
      </c>
      <c r="F392" s="2" t="s">
        <v>19043</v>
      </c>
      <c r="G392" s="22" t="s">
        <v>19415</v>
      </c>
      <c r="H392" s="24" t="s">
        <v>19384</v>
      </c>
      <c r="I392" s="22" t="s">
        <v>19309</v>
      </c>
      <c r="J392" s="22" t="s">
        <v>19573</v>
      </c>
      <c r="K392" s="22" t="s">
        <v>19574</v>
      </c>
      <c r="L392" s="22"/>
      <c r="M392" s="22"/>
      <c r="N392" s="25" t="str">
        <f>HYPERLINK("http://slimages.macys.com/is/image/MCY/21209612 ")</f>
        <v xml:space="preserve">http://slimages.macys.com/is/image/MCY/21209612 </v>
      </c>
    </row>
    <row r="393" spans="1:14" ht="24.75" x14ac:dyDescent="0.25">
      <c r="A393" s="21" t="s">
        <v>14185</v>
      </c>
      <c r="B393" s="22" t="s">
        <v>14186</v>
      </c>
      <c r="C393" s="2">
        <v>1</v>
      </c>
      <c r="D393" s="23">
        <v>5.99</v>
      </c>
      <c r="E393" s="3">
        <v>5.99</v>
      </c>
      <c r="F393" s="2" t="s">
        <v>19043</v>
      </c>
      <c r="G393" s="22" t="s">
        <v>19415</v>
      </c>
      <c r="H393" s="24" t="s">
        <v>19330</v>
      </c>
      <c r="I393" s="22" t="s">
        <v>19309</v>
      </c>
      <c r="J393" s="22" t="s">
        <v>19573</v>
      </c>
      <c r="K393" s="22" t="s">
        <v>19574</v>
      </c>
      <c r="L393" s="22"/>
      <c r="M393" s="22"/>
      <c r="N393" s="25" t="str">
        <f>HYPERLINK("http://slimages.macys.com/is/image/MCY/21209612 ")</f>
        <v xml:space="preserve">http://slimages.macys.com/is/image/MCY/21209612 </v>
      </c>
    </row>
    <row r="394" spans="1:14" ht="24.75" x14ac:dyDescent="0.25">
      <c r="A394" s="21" t="s">
        <v>17076</v>
      </c>
      <c r="B394" s="22" t="s">
        <v>17077</v>
      </c>
      <c r="C394" s="2">
        <v>1</v>
      </c>
      <c r="D394" s="23">
        <v>5.99</v>
      </c>
      <c r="E394" s="3">
        <v>5.99</v>
      </c>
      <c r="F394" s="2" t="s">
        <v>19043</v>
      </c>
      <c r="G394" s="22" t="s">
        <v>19415</v>
      </c>
      <c r="H394" s="24" t="s">
        <v>19324</v>
      </c>
      <c r="I394" s="22" t="s">
        <v>19309</v>
      </c>
      <c r="J394" s="22" t="s">
        <v>19573</v>
      </c>
      <c r="K394" s="22" t="s">
        <v>19574</v>
      </c>
      <c r="L394" s="22"/>
      <c r="M394" s="22"/>
      <c r="N394" s="25" t="str">
        <f>HYPERLINK("http://slimages.macys.com/is/image/MCY/21209612 ")</f>
        <v xml:space="preserve">http://slimages.macys.com/is/image/MCY/21209612 </v>
      </c>
    </row>
    <row r="395" spans="1:14" ht="24.75" x14ac:dyDescent="0.25">
      <c r="A395" s="21" t="s">
        <v>2158</v>
      </c>
      <c r="B395" s="22" t="s">
        <v>2159</v>
      </c>
      <c r="C395" s="2">
        <v>1</v>
      </c>
      <c r="D395" s="23">
        <v>6.99</v>
      </c>
      <c r="E395" s="3">
        <v>6.99</v>
      </c>
      <c r="F395" s="2" t="s">
        <v>19072</v>
      </c>
      <c r="G395" s="22" t="s">
        <v>19415</v>
      </c>
      <c r="H395" s="24" t="s">
        <v>19352</v>
      </c>
      <c r="I395" s="22" t="s">
        <v>19309</v>
      </c>
      <c r="J395" s="22" t="s">
        <v>19353</v>
      </c>
      <c r="K395" s="22" t="s">
        <v>19354</v>
      </c>
      <c r="L395" s="22"/>
      <c r="M395" s="22"/>
      <c r="N395" s="25" t="str">
        <f>HYPERLINK("http://slimages.macys.com/is/image/MCY/20737632 ")</f>
        <v xml:space="preserve">http://slimages.macys.com/is/image/MCY/20737632 </v>
      </c>
    </row>
    <row r="396" spans="1:14" ht="24.75" x14ac:dyDescent="0.25">
      <c r="A396" s="21" t="s">
        <v>2160</v>
      </c>
      <c r="B396" s="22" t="s">
        <v>2161</v>
      </c>
      <c r="C396" s="2">
        <v>1</v>
      </c>
      <c r="D396" s="23">
        <v>5.99</v>
      </c>
      <c r="E396" s="3">
        <v>5.99</v>
      </c>
      <c r="F396" s="2" t="s">
        <v>14752</v>
      </c>
      <c r="G396" s="22" t="s">
        <v>19713</v>
      </c>
      <c r="H396" s="24" t="s">
        <v>19330</v>
      </c>
      <c r="I396" s="22" t="s">
        <v>19309</v>
      </c>
      <c r="J396" s="22" t="s">
        <v>19573</v>
      </c>
      <c r="K396" s="22" t="s">
        <v>19574</v>
      </c>
      <c r="L396" s="22"/>
      <c r="M396" s="22"/>
      <c r="N396" s="25" t="str">
        <f>HYPERLINK("http://slimages.macys.com/is/image/MCY/21730849 ")</f>
        <v xml:space="preserve">http://slimages.macys.com/is/image/MCY/21730849 </v>
      </c>
    </row>
    <row r="397" spans="1:14" ht="24.75" x14ac:dyDescent="0.25">
      <c r="A397" s="21" t="s">
        <v>14750</v>
      </c>
      <c r="B397" s="22" t="s">
        <v>14751</v>
      </c>
      <c r="C397" s="2">
        <v>1</v>
      </c>
      <c r="D397" s="23">
        <v>5.99</v>
      </c>
      <c r="E397" s="3">
        <v>5.99</v>
      </c>
      <c r="F397" s="2" t="s">
        <v>14752</v>
      </c>
      <c r="G397" s="22" t="s">
        <v>19713</v>
      </c>
      <c r="H397" s="24" t="s">
        <v>19384</v>
      </c>
      <c r="I397" s="22" t="s">
        <v>19309</v>
      </c>
      <c r="J397" s="22" t="s">
        <v>19573</v>
      </c>
      <c r="K397" s="22" t="s">
        <v>19574</v>
      </c>
      <c r="L397" s="22"/>
      <c r="M397" s="22"/>
      <c r="N397" s="25" t="str">
        <f>HYPERLINK("http://slimages.macys.com/is/image/MCY/21730849 ")</f>
        <v xml:space="preserve">http://slimages.macys.com/is/image/MCY/21730849 </v>
      </c>
    </row>
    <row r="398" spans="1:14" ht="24.75" x14ac:dyDescent="0.25">
      <c r="A398" s="21" t="s">
        <v>14225</v>
      </c>
      <c r="B398" s="22" t="s">
        <v>14226</v>
      </c>
      <c r="C398" s="2">
        <v>1</v>
      </c>
      <c r="D398" s="23">
        <v>7.99</v>
      </c>
      <c r="E398" s="3">
        <v>7.99</v>
      </c>
      <c r="F398" s="2" t="s">
        <v>17100</v>
      </c>
      <c r="G398" s="22" t="s">
        <v>19814</v>
      </c>
      <c r="H398" s="24" t="s">
        <v>19432</v>
      </c>
      <c r="I398" s="22" t="s">
        <v>19309</v>
      </c>
      <c r="J398" s="22" t="s">
        <v>19815</v>
      </c>
      <c r="K398" s="22" t="s">
        <v>19816</v>
      </c>
      <c r="L398" s="22"/>
      <c r="M398" s="22"/>
      <c r="N398" s="25" t="str">
        <f>HYPERLINK("http://slimages.macys.com/is/image/MCY/21188057 ")</f>
        <v xml:space="preserve">http://slimages.macys.com/is/image/MCY/21188057 </v>
      </c>
    </row>
    <row r="399" spans="1:14" ht="24.75" x14ac:dyDescent="0.25">
      <c r="A399" s="21" t="s">
        <v>13461</v>
      </c>
      <c r="B399" s="22" t="s">
        <v>13462</v>
      </c>
      <c r="C399" s="2">
        <v>1</v>
      </c>
      <c r="D399" s="23">
        <v>6.99</v>
      </c>
      <c r="E399" s="3">
        <v>6.99</v>
      </c>
      <c r="F399" s="2" t="s">
        <v>13460</v>
      </c>
      <c r="G399" s="22" t="s">
        <v>19906</v>
      </c>
      <c r="H399" s="24" t="s">
        <v>19364</v>
      </c>
      <c r="I399" s="22" t="s">
        <v>19309</v>
      </c>
      <c r="J399" s="22" t="s">
        <v>19454</v>
      </c>
      <c r="K399" s="22" t="s">
        <v>19354</v>
      </c>
      <c r="L399" s="22"/>
      <c r="M399" s="22"/>
      <c r="N399" s="25" t="str">
        <f>HYPERLINK("http://slimages.macys.com/is/image/MCY/20708515 ")</f>
        <v xml:space="preserve">http://slimages.macys.com/is/image/MCY/20708515 </v>
      </c>
    </row>
    <row r="400" spans="1:14" ht="24.75" x14ac:dyDescent="0.25">
      <c r="A400" s="21" t="s">
        <v>14753</v>
      </c>
      <c r="B400" s="22" t="s">
        <v>14754</v>
      </c>
      <c r="C400" s="2">
        <v>1</v>
      </c>
      <c r="D400" s="23">
        <v>5.99</v>
      </c>
      <c r="E400" s="3">
        <v>5.99</v>
      </c>
      <c r="F400" s="2" t="s">
        <v>14755</v>
      </c>
      <c r="G400" s="22" t="s">
        <v>19674</v>
      </c>
      <c r="H400" s="24" t="s">
        <v>19538</v>
      </c>
      <c r="I400" s="22" t="s">
        <v>19309</v>
      </c>
      <c r="J400" s="22" t="s">
        <v>19573</v>
      </c>
      <c r="K400" s="22" t="s">
        <v>19574</v>
      </c>
      <c r="L400" s="22"/>
      <c r="M400" s="22"/>
      <c r="N400" s="25" t="str">
        <f>HYPERLINK("http://slimages.macys.com/is/image/MCY/21970161 ")</f>
        <v xml:space="preserve">http://slimages.macys.com/is/image/MCY/21970161 </v>
      </c>
    </row>
    <row r="401" spans="1:14" ht="24.75" x14ac:dyDescent="0.25">
      <c r="A401" s="21" t="s">
        <v>2162</v>
      </c>
      <c r="B401" s="22" t="s">
        <v>2163</v>
      </c>
      <c r="C401" s="2">
        <v>1</v>
      </c>
      <c r="D401" s="23">
        <v>5.99</v>
      </c>
      <c r="E401" s="3">
        <v>5.99</v>
      </c>
      <c r="F401" s="2" t="s">
        <v>14755</v>
      </c>
      <c r="G401" s="22" t="s">
        <v>19674</v>
      </c>
      <c r="H401" s="24" t="s">
        <v>19384</v>
      </c>
      <c r="I401" s="22" t="s">
        <v>19309</v>
      </c>
      <c r="J401" s="22" t="s">
        <v>19573</v>
      </c>
      <c r="K401" s="22" t="s">
        <v>19574</v>
      </c>
      <c r="L401" s="22"/>
      <c r="M401" s="22"/>
      <c r="N401" s="25" t="str">
        <f>HYPERLINK("http://slimages.macys.com/is/image/MCY/21970161 ")</f>
        <v xml:space="preserve">http://slimages.macys.com/is/image/MCY/21970161 </v>
      </c>
    </row>
    <row r="402" spans="1:14" ht="24.75" x14ac:dyDescent="0.25">
      <c r="A402" s="21" t="s">
        <v>17116</v>
      </c>
      <c r="B402" s="22" t="s">
        <v>17117</v>
      </c>
      <c r="C402" s="2">
        <v>1</v>
      </c>
      <c r="D402" s="23">
        <v>5.99</v>
      </c>
      <c r="E402" s="3">
        <v>5.99</v>
      </c>
      <c r="F402" s="2" t="s">
        <v>17113</v>
      </c>
      <c r="G402" s="22" t="s">
        <v>19618</v>
      </c>
      <c r="H402" s="24" t="s">
        <v>19538</v>
      </c>
      <c r="I402" s="22" t="s">
        <v>19309</v>
      </c>
      <c r="J402" s="22" t="s">
        <v>19573</v>
      </c>
      <c r="K402" s="22" t="s">
        <v>19574</v>
      </c>
      <c r="L402" s="22"/>
      <c r="M402" s="22"/>
      <c r="N402" s="25" t="str">
        <f>HYPERLINK("http://slimages.macys.com/is/image/MCY/21209585 ")</f>
        <v xml:space="preserve">http://slimages.macys.com/is/image/MCY/21209585 </v>
      </c>
    </row>
    <row r="403" spans="1:14" x14ac:dyDescent="0.25">
      <c r="A403" s="21" t="s">
        <v>19094</v>
      </c>
      <c r="B403" s="22" t="s">
        <v>19095</v>
      </c>
      <c r="C403" s="2">
        <v>1</v>
      </c>
      <c r="D403" s="23">
        <v>5.99</v>
      </c>
      <c r="E403" s="3">
        <v>5.99</v>
      </c>
      <c r="F403" s="2" t="s">
        <v>19096</v>
      </c>
      <c r="G403" s="22" t="s">
        <v>19513</v>
      </c>
      <c r="H403" s="24" t="s">
        <v>19542</v>
      </c>
      <c r="I403" s="22" t="s">
        <v>19309</v>
      </c>
      <c r="J403" s="22" t="s">
        <v>19514</v>
      </c>
      <c r="K403" s="22" t="s">
        <v>18514</v>
      </c>
      <c r="L403" s="22" t="s">
        <v>19319</v>
      </c>
      <c r="M403" s="22" t="s">
        <v>19435</v>
      </c>
      <c r="N403" s="25" t="str">
        <f>HYPERLINK("http://slimages.macys.com/is/image/MCY/9337988 ")</f>
        <v xml:space="preserve">http://slimages.macys.com/is/image/MCY/9337988 </v>
      </c>
    </row>
    <row r="404" spans="1:14" x14ac:dyDescent="0.25">
      <c r="A404" s="21" t="s">
        <v>19097</v>
      </c>
      <c r="B404" s="22" t="s">
        <v>19098</v>
      </c>
      <c r="C404" s="2">
        <v>1</v>
      </c>
      <c r="D404" s="23">
        <v>5.99</v>
      </c>
      <c r="E404" s="3">
        <v>5.99</v>
      </c>
      <c r="F404" s="2" t="s">
        <v>19096</v>
      </c>
      <c r="G404" s="22" t="s">
        <v>19513</v>
      </c>
      <c r="H404" s="24" t="s">
        <v>19432</v>
      </c>
      <c r="I404" s="22" t="s">
        <v>19309</v>
      </c>
      <c r="J404" s="22" t="s">
        <v>19514</v>
      </c>
      <c r="K404" s="22" t="s">
        <v>18514</v>
      </c>
      <c r="L404" s="22" t="s">
        <v>19319</v>
      </c>
      <c r="M404" s="22" t="s">
        <v>19435</v>
      </c>
      <c r="N404" s="25" t="str">
        <f>HYPERLINK("http://slimages.macys.com/is/image/MCY/9337988 ")</f>
        <v xml:space="preserve">http://slimages.macys.com/is/image/MCY/9337988 </v>
      </c>
    </row>
    <row r="405" spans="1:14" ht="24.75" x14ac:dyDescent="0.25">
      <c r="A405" s="21" t="s">
        <v>19107</v>
      </c>
      <c r="B405" s="22" t="s">
        <v>19108</v>
      </c>
      <c r="C405" s="2">
        <v>2</v>
      </c>
      <c r="D405" s="23">
        <v>5.99</v>
      </c>
      <c r="E405" s="3">
        <v>11.98</v>
      </c>
      <c r="F405" s="2" t="s">
        <v>19109</v>
      </c>
      <c r="G405" s="22" t="s">
        <v>19670</v>
      </c>
      <c r="H405" s="24" t="s">
        <v>19384</v>
      </c>
      <c r="I405" s="22" t="s">
        <v>19309</v>
      </c>
      <c r="J405" s="22" t="s">
        <v>19573</v>
      </c>
      <c r="K405" s="22" t="s">
        <v>19574</v>
      </c>
      <c r="L405" s="22"/>
      <c r="M405" s="22"/>
      <c r="N405" s="25" t="str">
        <f>HYPERLINK("http://slimages.macys.com/is/image/MCY/1734374 ")</f>
        <v xml:space="preserve">http://slimages.macys.com/is/image/MCY/1734374 </v>
      </c>
    </row>
    <row r="406" spans="1:14" ht="24.75" x14ac:dyDescent="0.25">
      <c r="A406" s="21" t="s">
        <v>19119</v>
      </c>
      <c r="B406" s="22" t="s">
        <v>19120</v>
      </c>
      <c r="C406" s="2">
        <v>1</v>
      </c>
      <c r="D406" s="23">
        <v>5.99</v>
      </c>
      <c r="E406" s="3">
        <v>5.99</v>
      </c>
      <c r="F406" s="2" t="s">
        <v>19109</v>
      </c>
      <c r="G406" s="22" t="s">
        <v>19670</v>
      </c>
      <c r="H406" s="24" t="s">
        <v>19416</v>
      </c>
      <c r="I406" s="22" t="s">
        <v>19309</v>
      </c>
      <c r="J406" s="22" t="s">
        <v>19573</v>
      </c>
      <c r="K406" s="22" t="s">
        <v>19574</v>
      </c>
      <c r="L406" s="22"/>
      <c r="M406" s="22"/>
      <c r="N406" s="25" t="str">
        <f>HYPERLINK("http://slimages.macys.com/is/image/MCY/1734374 ")</f>
        <v xml:space="preserve">http://slimages.macys.com/is/image/MCY/1734374 </v>
      </c>
    </row>
    <row r="407" spans="1:14" ht="24.75" x14ac:dyDescent="0.25">
      <c r="A407" s="21" t="s">
        <v>19112</v>
      </c>
      <c r="B407" s="22" t="s">
        <v>19113</v>
      </c>
      <c r="C407" s="2">
        <v>1</v>
      </c>
      <c r="D407" s="23">
        <v>5.99</v>
      </c>
      <c r="E407" s="3">
        <v>5.99</v>
      </c>
      <c r="F407" s="2" t="s">
        <v>19109</v>
      </c>
      <c r="G407" s="22" t="s">
        <v>19670</v>
      </c>
      <c r="H407" s="24" t="s">
        <v>19324</v>
      </c>
      <c r="I407" s="22" t="s">
        <v>19309</v>
      </c>
      <c r="J407" s="22" t="s">
        <v>19573</v>
      </c>
      <c r="K407" s="22" t="s">
        <v>19574</v>
      </c>
      <c r="L407" s="22"/>
      <c r="M407" s="22"/>
      <c r="N407" s="25" t="str">
        <f>HYPERLINK("http://slimages.macys.com/is/image/MCY/21209381 ")</f>
        <v xml:space="preserve">http://slimages.macys.com/is/image/MCY/21209381 </v>
      </c>
    </row>
    <row r="408" spans="1:14" ht="24.75" x14ac:dyDescent="0.25">
      <c r="A408" s="21" t="s">
        <v>19110</v>
      </c>
      <c r="B408" s="22" t="s">
        <v>19111</v>
      </c>
      <c r="C408" s="2">
        <v>1</v>
      </c>
      <c r="D408" s="23">
        <v>5.99</v>
      </c>
      <c r="E408" s="3">
        <v>5.99</v>
      </c>
      <c r="F408" s="2" t="s">
        <v>19109</v>
      </c>
      <c r="G408" s="22" t="s">
        <v>19674</v>
      </c>
      <c r="H408" s="24" t="s">
        <v>19538</v>
      </c>
      <c r="I408" s="22" t="s">
        <v>19309</v>
      </c>
      <c r="J408" s="22" t="s">
        <v>19573</v>
      </c>
      <c r="K408" s="22" t="s">
        <v>19574</v>
      </c>
      <c r="L408" s="22"/>
      <c r="M408" s="22"/>
      <c r="N408" s="25" t="str">
        <f>HYPERLINK("http://slimages.macys.com/is/image/MCY/1734374 ")</f>
        <v xml:space="preserve">http://slimages.macys.com/is/image/MCY/1734374 </v>
      </c>
    </row>
    <row r="409" spans="1:14" ht="24.75" x14ac:dyDescent="0.25">
      <c r="A409" s="21" t="s">
        <v>19121</v>
      </c>
      <c r="B409" s="22" t="s">
        <v>19122</v>
      </c>
      <c r="C409" s="2">
        <v>2</v>
      </c>
      <c r="D409" s="23">
        <v>5.99</v>
      </c>
      <c r="E409" s="3">
        <v>11.98</v>
      </c>
      <c r="F409" s="2" t="s">
        <v>19109</v>
      </c>
      <c r="G409" s="22" t="s">
        <v>19670</v>
      </c>
      <c r="H409" s="24" t="s">
        <v>19330</v>
      </c>
      <c r="I409" s="22" t="s">
        <v>19309</v>
      </c>
      <c r="J409" s="22" t="s">
        <v>19573</v>
      </c>
      <c r="K409" s="22" t="s">
        <v>19574</v>
      </c>
      <c r="L409" s="22"/>
      <c r="M409" s="22"/>
      <c r="N409" s="25" t="str">
        <f>HYPERLINK("http://slimages.macys.com/is/image/MCY/1734374 ")</f>
        <v xml:space="preserve">http://slimages.macys.com/is/image/MCY/1734374 </v>
      </c>
    </row>
    <row r="410" spans="1:14" ht="24.75" x14ac:dyDescent="0.25">
      <c r="A410" s="21" t="s">
        <v>10110</v>
      </c>
      <c r="B410" s="22" t="s">
        <v>10111</v>
      </c>
      <c r="C410" s="2">
        <v>1</v>
      </c>
      <c r="D410" s="23">
        <v>5.99</v>
      </c>
      <c r="E410" s="3">
        <v>5.99</v>
      </c>
      <c r="F410" s="2" t="s">
        <v>19129</v>
      </c>
      <c r="G410" s="22" t="s">
        <v>19467</v>
      </c>
      <c r="H410" s="24" t="s">
        <v>19330</v>
      </c>
      <c r="I410" s="22" t="s">
        <v>19309</v>
      </c>
      <c r="J410" s="22" t="s">
        <v>19573</v>
      </c>
      <c r="K410" s="22" t="s">
        <v>19574</v>
      </c>
      <c r="L410" s="22"/>
      <c r="M410" s="22"/>
      <c r="N410" s="25" t="str">
        <f>HYPERLINK("http://slimages.macys.com/is/image/MCY/1905756 ")</f>
        <v xml:space="preserve">http://slimages.macys.com/is/image/MCY/1905756 </v>
      </c>
    </row>
    <row r="411" spans="1:14" ht="24.75" x14ac:dyDescent="0.25">
      <c r="A411" s="21" t="s">
        <v>2164</v>
      </c>
      <c r="B411" s="22" t="s">
        <v>2165</v>
      </c>
      <c r="C411" s="2">
        <v>1</v>
      </c>
      <c r="D411" s="23">
        <v>5.99</v>
      </c>
      <c r="E411" s="3">
        <v>5.99</v>
      </c>
      <c r="F411" s="2" t="s">
        <v>14264</v>
      </c>
      <c r="G411" s="22" t="s">
        <v>19315</v>
      </c>
      <c r="H411" s="24" t="s">
        <v>19432</v>
      </c>
      <c r="I411" s="22" t="s">
        <v>19309</v>
      </c>
      <c r="J411" s="22" t="s">
        <v>19454</v>
      </c>
      <c r="K411" s="22" t="s">
        <v>19524</v>
      </c>
      <c r="L411" s="22"/>
      <c r="M411" s="22"/>
      <c r="N411" s="25" t="str">
        <f>HYPERLINK("http://slimages.macys.com/is/image/MCY/19239496 ")</f>
        <v xml:space="preserve">http://slimages.macys.com/is/image/MCY/19239496 </v>
      </c>
    </row>
    <row r="412" spans="1:14" ht="24.75" x14ac:dyDescent="0.25">
      <c r="A412" s="21" t="s">
        <v>14795</v>
      </c>
      <c r="B412" s="22" t="s">
        <v>14796</v>
      </c>
      <c r="C412" s="2">
        <v>1</v>
      </c>
      <c r="D412" s="23">
        <v>5.99</v>
      </c>
      <c r="E412" s="3">
        <v>5.99</v>
      </c>
      <c r="F412" s="2" t="s">
        <v>19129</v>
      </c>
      <c r="G412" s="22" t="s">
        <v>19467</v>
      </c>
      <c r="H412" s="24" t="s">
        <v>19416</v>
      </c>
      <c r="I412" s="22" t="s">
        <v>19309</v>
      </c>
      <c r="J412" s="22" t="s">
        <v>19573</v>
      </c>
      <c r="K412" s="22" t="s">
        <v>19574</v>
      </c>
      <c r="L412" s="22"/>
      <c r="M412" s="22"/>
      <c r="N412" s="25" t="str">
        <f>HYPERLINK("http://slimages.macys.com/is/image/MCY/1905756 ")</f>
        <v xml:space="preserve">http://slimages.macys.com/is/image/MCY/1905756 </v>
      </c>
    </row>
    <row r="413" spans="1:14" ht="24.75" x14ac:dyDescent="0.25">
      <c r="A413" s="21" t="s">
        <v>2166</v>
      </c>
      <c r="B413" s="22" t="s">
        <v>2167</v>
      </c>
      <c r="C413" s="2">
        <v>1</v>
      </c>
      <c r="D413" s="23">
        <v>5.99</v>
      </c>
      <c r="E413" s="3">
        <v>5.99</v>
      </c>
      <c r="F413" s="2" t="s">
        <v>12613</v>
      </c>
      <c r="G413" s="22" t="s">
        <v>19674</v>
      </c>
      <c r="H413" s="24" t="s">
        <v>19330</v>
      </c>
      <c r="I413" s="22" t="s">
        <v>19309</v>
      </c>
      <c r="J413" s="22" t="s">
        <v>19573</v>
      </c>
      <c r="K413" s="22" t="s">
        <v>19574</v>
      </c>
      <c r="L413" s="22"/>
      <c r="M413" s="22"/>
      <c r="N413" s="25" t="str">
        <f>HYPERLINK("http://slimages.macys.com/is/image/MCY/1124650 ")</f>
        <v xml:space="preserve">http://slimages.macys.com/is/image/MCY/1124650 </v>
      </c>
    </row>
    <row r="414" spans="1:14" ht="24.75" x14ac:dyDescent="0.25">
      <c r="A414" s="21" t="s">
        <v>2168</v>
      </c>
      <c r="B414" s="22" t="s">
        <v>2169</v>
      </c>
      <c r="C414" s="2">
        <v>1</v>
      </c>
      <c r="D414" s="23">
        <v>5.99</v>
      </c>
      <c r="E414" s="3">
        <v>5.99</v>
      </c>
      <c r="F414" s="2" t="s">
        <v>4412</v>
      </c>
      <c r="G414" s="22" t="s">
        <v>19618</v>
      </c>
      <c r="H414" s="24" t="s">
        <v>19324</v>
      </c>
      <c r="I414" s="22" t="s">
        <v>19309</v>
      </c>
      <c r="J414" s="22" t="s">
        <v>19573</v>
      </c>
      <c r="K414" s="22" t="s">
        <v>19574</v>
      </c>
      <c r="L414" s="22"/>
      <c r="M414" s="22"/>
      <c r="N414" s="25" t="str">
        <f>HYPERLINK("http://slimages.macys.com/is/image/MCY/21361711 ")</f>
        <v xml:space="preserve">http://slimages.macys.com/is/image/MCY/21361711 </v>
      </c>
    </row>
    <row r="415" spans="1:14" ht="24.75" x14ac:dyDescent="0.25">
      <c r="A415" s="21" t="s">
        <v>14805</v>
      </c>
      <c r="B415" s="22" t="s">
        <v>14806</v>
      </c>
      <c r="C415" s="2">
        <v>1</v>
      </c>
      <c r="D415" s="23">
        <v>5.99</v>
      </c>
      <c r="E415" s="3">
        <v>5.99</v>
      </c>
      <c r="F415" s="2" t="s">
        <v>17147</v>
      </c>
      <c r="G415" s="22" t="s">
        <v>19431</v>
      </c>
      <c r="H415" s="24" t="s">
        <v>19416</v>
      </c>
      <c r="I415" s="22" t="s">
        <v>19309</v>
      </c>
      <c r="J415" s="22" t="s">
        <v>19573</v>
      </c>
      <c r="K415" s="22" t="s">
        <v>19574</v>
      </c>
      <c r="L415" s="22"/>
      <c r="M415" s="22"/>
      <c r="N415" s="25" t="str">
        <f>HYPERLINK("http://slimages.macys.com/is/image/MCY/21209149 ")</f>
        <v xml:space="preserve">http://slimages.macys.com/is/image/MCY/21209149 </v>
      </c>
    </row>
    <row r="416" spans="1:14" ht="24.75" x14ac:dyDescent="0.25">
      <c r="A416" s="21" t="s">
        <v>2170</v>
      </c>
      <c r="B416" s="22" t="s">
        <v>2171</v>
      </c>
      <c r="C416" s="2">
        <v>1</v>
      </c>
      <c r="D416" s="23">
        <v>6.99</v>
      </c>
      <c r="E416" s="3">
        <v>6.99</v>
      </c>
      <c r="F416" s="2">
        <v>10013626200</v>
      </c>
      <c r="G416" s="22" t="s">
        <v>19585</v>
      </c>
      <c r="H416" s="24"/>
      <c r="I416" s="22" t="s">
        <v>19309</v>
      </c>
      <c r="J416" s="22" t="s">
        <v>19573</v>
      </c>
      <c r="K416" s="22" t="s">
        <v>19574</v>
      </c>
      <c r="L416" s="22"/>
      <c r="M416" s="22"/>
      <c r="N416" s="25" t="str">
        <f>HYPERLINK("http://slimages.macys.com/is/image/MCY/20143242 ")</f>
        <v xml:space="preserve">http://slimages.macys.com/is/image/MCY/20143242 </v>
      </c>
    </row>
    <row r="417" spans="1:14" ht="24.75" x14ac:dyDescent="0.25">
      <c r="A417" s="21" t="s">
        <v>2172</v>
      </c>
      <c r="B417" s="22" t="s">
        <v>2173</v>
      </c>
      <c r="C417" s="2">
        <v>1</v>
      </c>
      <c r="D417" s="23">
        <v>5.99</v>
      </c>
      <c r="E417" s="3">
        <v>5.99</v>
      </c>
      <c r="F417" s="2" t="s">
        <v>19164</v>
      </c>
      <c r="G417" s="22" t="s">
        <v>19351</v>
      </c>
      <c r="H417" s="24" t="s">
        <v>19538</v>
      </c>
      <c r="I417" s="22" t="s">
        <v>19309</v>
      </c>
      <c r="J417" s="22" t="s">
        <v>19573</v>
      </c>
      <c r="K417" s="22" t="s">
        <v>19574</v>
      </c>
      <c r="L417" s="22"/>
      <c r="M417" s="22"/>
      <c r="N417" s="25" t="str">
        <f>HYPERLINK("http://slimages.macys.com/is/image/MCY/21970095 ")</f>
        <v xml:space="preserve">http://slimages.macys.com/is/image/MCY/21970095 </v>
      </c>
    </row>
    <row r="418" spans="1:14" ht="24.75" x14ac:dyDescent="0.25">
      <c r="A418" s="21" t="s">
        <v>13481</v>
      </c>
      <c r="B418" s="22" t="s">
        <v>13482</v>
      </c>
      <c r="C418" s="2">
        <v>18</v>
      </c>
      <c r="D418" s="23">
        <v>7.99</v>
      </c>
      <c r="E418" s="3">
        <v>143.82</v>
      </c>
      <c r="F418" s="2" t="s">
        <v>13483</v>
      </c>
      <c r="G418" s="22" t="s">
        <v>19415</v>
      </c>
      <c r="H418" s="24" t="s">
        <v>20089</v>
      </c>
      <c r="I418" s="22" t="s">
        <v>19309</v>
      </c>
      <c r="J418" s="22" t="s">
        <v>19573</v>
      </c>
      <c r="K418" s="22" t="s">
        <v>19574</v>
      </c>
      <c r="L418" s="22"/>
      <c r="M418" s="22"/>
      <c r="N418" s="25" t="str">
        <f>HYPERLINK("http://slimages.macys.com/is/image/MCY/22078179 ")</f>
        <v xml:space="preserve">http://slimages.macys.com/is/image/MCY/22078179 </v>
      </c>
    </row>
    <row r="419" spans="1:14" ht="24.75" x14ac:dyDescent="0.25">
      <c r="A419" s="21" t="s">
        <v>2174</v>
      </c>
      <c r="B419" s="22" t="s">
        <v>2175</v>
      </c>
      <c r="C419" s="2">
        <v>1</v>
      </c>
      <c r="D419" s="23">
        <v>5.99</v>
      </c>
      <c r="E419" s="3">
        <v>5.99</v>
      </c>
      <c r="F419" s="2" t="s">
        <v>2176</v>
      </c>
      <c r="G419" s="22" t="s">
        <v>19422</v>
      </c>
      <c r="H419" s="24" t="s">
        <v>19324</v>
      </c>
      <c r="I419" s="22" t="s">
        <v>19309</v>
      </c>
      <c r="J419" s="22" t="s">
        <v>19573</v>
      </c>
      <c r="K419" s="22" t="s">
        <v>19574</v>
      </c>
      <c r="L419" s="22"/>
      <c r="M419" s="22"/>
      <c r="N419" s="25" t="str">
        <f>HYPERLINK("http://slimages.macys.com/is/image/MCY/21209291 ")</f>
        <v xml:space="preserve">http://slimages.macys.com/is/image/MCY/21209291 </v>
      </c>
    </row>
    <row r="420" spans="1:14" ht="24.75" x14ac:dyDescent="0.25">
      <c r="A420" s="21" t="s">
        <v>19168</v>
      </c>
      <c r="B420" s="22" t="s">
        <v>19169</v>
      </c>
      <c r="C420" s="2">
        <v>1</v>
      </c>
      <c r="D420" s="23">
        <v>5.99</v>
      </c>
      <c r="E420" s="3">
        <v>5.99</v>
      </c>
      <c r="F420" s="2" t="s">
        <v>19170</v>
      </c>
      <c r="G420" s="22" t="s">
        <v>19906</v>
      </c>
      <c r="H420" s="24" t="s">
        <v>19330</v>
      </c>
      <c r="I420" s="22" t="s">
        <v>19309</v>
      </c>
      <c r="J420" s="22" t="s">
        <v>19573</v>
      </c>
      <c r="K420" s="22" t="s">
        <v>19574</v>
      </c>
      <c r="L420" s="22"/>
      <c r="M420" s="22"/>
      <c r="N420" s="25" t="str">
        <f>HYPERLINK("http://slimages.macys.com/is/image/MCY/21361119 ")</f>
        <v xml:space="preserve">http://slimages.macys.com/is/image/MCY/21361119 </v>
      </c>
    </row>
    <row r="421" spans="1:14" ht="24.75" x14ac:dyDescent="0.25">
      <c r="A421" s="21" t="s">
        <v>19165</v>
      </c>
      <c r="B421" s="22" t="s">
        <v>19166</v>
      </c>
      <c r="C421" s="2">
        <v>1</v>
      </c>
      <c r="D421" s="23">
        <v>5.99</v>
      </c>
      <c r="E421" s="3">
        <v>5.99</v>
      </c>
      <c r="F421" s="2" t="s">
        <v>19167</v>
      </c>
      <c r="G421" s="22" t="s">
        <v>19618</v>
      </c>
      <c r="H421" s="24" t="s">
        <v>19538</v>
      </c>
      <c r="I421" s="22" t="s">
        <v>19309</v>
      </c>
      <c r="J421" s="22" t="s">
        <v>19573</v>
      </c>
      <c r="K421" s="22" t="s">
        <v>19574</v>
      </c>
      <c r="L421" s="22"/>
      <c r="M421" s="22"/>
      <c r="N421" s="25" t="str">
        <f>HYPERLINK("http://slimages.macys.com/is/image/MCY/20736377 ")</f>
        <v xml:space="preserve">http://slimages.macys.com/is/image/MCY/20736377 </v>
      </c>
    </row>
    <row r="422" spans="1:14" ht="24.75" x14ac:dyDescent="0.25">
      <c r="A422" s="21" t="s">
        <v>19174</v>
      </c>
      <c r="B422" s="22" t="s">
        <v>19175</v>
      </c>
      <c r="C422" s="2">
        <v>1</v>
      </c>
      <c r="D422" s="23">
        <v>5.99</v>
      </c>
      <c r="E422" s="3">
        <v>5.99</v>
      </c>
      <c r="F422" s="2" t="s">
        <v>19167</v>
      </c>
      <c r="G422" s="22" t="s">
        <v>19618</v>
      </c>
      <c r="H422" s="24" t="s">
        <v>19416</v>
      </c>
      <c r="I422" s="22" t="s">
        <v>19309</v>
      </c>
      <c r="J422" s="22" t="s">
        <v>19573</v>
      </c>
      <c r="K422" s="22" t="s">
        <v>19574</v>
      </c>
      <c r="L422" s="22"/>
      <c r="M422" s="22"/>
      <c r="N422" s="25" t="str">
        <f>HYPERLINK("http://slimages.macys.com/is/image/MCY/20736377 ")</f>
        <v xml:space="preserve">http://slimages.macys.com/is/image/MCY/20736377 </v>
      </c>
    </row>
    <row r="423" spans="1:14" ht="24.75" x14ac:dyDescent="0.25">
      <c r="A423" s="21" t="s">
        <v>6295</v>
      </c>
      <c r="B423" s="22" t="s">
        <v>6296</v>
      </c>
      <c r="C423" s="2">
        <v>2</v>
      </c>
      <c r="D423" s="23">
        <v>5.99</v>
      </c>
      <c r="E423" s="3">
        <v>11.98</v>
      </c>
      <c r="F423" s="2" t="s">
        <v>19167</v>
      </c>
      <c r="G423" s="22" t="s">
        <v>19618</v>
      </c>
      <c r="H423" s="24" t="s">
        <v>19330</v>
      </c>
      <c r="I423" s="22" t="s">
        <v>19309</v>
      </c>
      <c r="J423" s="22" t="s">
        <v>19573</v>
      </c>
      <c r="K423" s="22" t="s">
        <v>19574</v>
      </c>
      <c r="L423" s="22"/>
      <c r="M423" s="22"/>
      <c r="N423" s="25" t="str">
        <f>HYPERLINK("http://slimages.macys.com/is/image/MCY/20736377 ")</f>
        <v xml:space="preserve">http://slimages.macys.com/is/image/MCY/20736377 </v>
      </c>
    </row>
    <row r="424" spans="1:14" ht="24.75" x14ac:dyDescent="0.25">
      <c r="A424" s="21" t="s">
        <v>19181</v>
      </c>
      <c r="B424" s="22" t="s">
        <v>19182</v>
      </c>
      <c r="C424" s="2">
        <v>1</v>
      </c>
      <c r="D424" s="23">
        <v>5.99</v>
      </c>
      <c r="E424" s="3">
        <v>5.99</v>
      </c>
      <c r="F424" s="2" t="s">
        <v>19180</v>
      </c>
      <c r="G424" s="22" t="s">
        <v>19477</v>
      </c>
      <c r="H424" s="24" t="s">
        <v>19416</v>
      </c>
      <c r="I424" s="22" t="s">
        <v>19309</v>
      </c>
      <c r="J424" s="22" t="s">
        <v>19573</v>
      </c>
      <c r="K424" s="22" t="s">
        <v>19574</v>
      </c>
      <c r="L424" s="22"/>
      <c r="M424" s="22"/>
      <c r="N424" s="25" t="str">
        <f>HYPERLINK("http://slimages.macys.com/is/image/MCY/1521972 ")</f>
        <v xml:space="preserve">http://slimages.macys.com/is/image/MCY/1521972 </v>
      </c>
    </row>
    <row r="425" spans="1:14" ht="24.75" x14ac:dyDescent="0.25">
      <c r="A425" s="21" t="s">
        <v>19185</v>
      </c>
      <c r="B425" s="22" t="s">
        <v>19186</v>
      </c>
      <c r="C425" s="2">
        <v>1</v>
      </c>
      <c r="D425" s="23">
        <v>5.99</v>
      </c>
      <c r="E425" s="3">
        <v>5.99</v>
      </c>
      <c r="F425" s="2" t="s">
        <v>19180</v>
      </c>
      <c r="G425" s="22" t="s">
        <v>19477</v>
      </c>
      <c r="H425" s="24" t="s">
        <v>19538</v>
      </c>
      <c r="I425" s="22" t="s">
        <v>19309</v>
      </c>
      <c r="J425" s="22" t="s">
        <v>19573</v>
      </c>
      <c r="K425" s="22" t="s">
        <v>19574</v>
      </c>
      <c r="L425" s="22"/>
      <c r="M425" s="22"/>
      <c r="N425" s="25" t="str">
        <f>HYPERLINK("http://slimages.macys.com/is/image/MCY/1521974 ")</f>
        <v xml:space="preserve">http://slimages.macys.com/is/image/MCY/1521974 </v>
      </c>
    </row>
    <row r="426" spans="1:14" ht="24.75" x14ac:dyDescent="0.25">
      <c r="A426" s="21" t="s">
        <v>17186</v>
      </c>
      <c r="B426" s="22" t="s">
        <v>17187</v>
      </c>
      <c r="C426" s="2">
        <v>1</v>
      </c>
      <c r="D426" s="23">
        <v>5.99</v>
      </c>
      <c r="E426" s="3">
        <v>5.99</v>
      </c>
      <c r="F426" s="2" t="s">
        <v>19180</v>
      </c>
      <c r="G426" s="22" t="s">
        <v>19477</v>
      </c>
      <c r="H426" s="24" t="s">
        <v>19330</v>
      </c>
      <c r="I426" s="22" t="s">
        <v>19309</v>
      </c>
      <c r="J426" s="22" t="s">
        <v>19573</v>
      </c>
      <c r="K426" s="22" t="s">
        <v>19574</v>
      </c>
      <c r="L426" s="22"/>
      <c r="M426" s="22"/>
      <c r="N426" s="25" t="str">
        <f>HYPERLINK("http://slimages.macys.com/is/image/MCY/1521972 ")</f>
        <v xml:space="preserve">http://slimages.macys.com/is/image/MCY/1521972 </v>
      </c>
    </row>
    <row r="427" spans="1:14" ht="24.75" x14ac:dyDescent="0.25">
      <c r="A427" s="21" t="s">
        <v>19183</v>
      </c>
      <c r="B427" s="22" t="s">
        <v>19184</v>
      </c>
      <c r="C427" s="2">
        <v>1</v>
      </c>
      <c r="D427" s="23">
        <v>5.99</v>
      </c>
      <c r="E427" s="3">
        <v>5.99</v>
      </c>
      <c r="F427" s="2" t="s">
        <v>19180</v>
      </c>
      <c r="G427" s="22" t="s">
        <v>19477</v>
      </c>
      <c r="H427" s="24" t="s">
        <v>19324</v>
      </c>
      <c r="I427" s="22" t="s">
        <v>19309</v>
      </c>
      <c r="J427" s="22" t="s">
        <v>19573</v>
      </c>
      <c r="K427" s="22" t="s">
        <v>19574</v>
      </c>
      <c r="L427" s="22"/>
      <c r="M427" s="22"/>
      <c r="N427" s="25" t="str">
        <f>HYPERLINK("http://slimages.macys.com/is/image/MCY/1521974 ")</f>
        <v xml:space="preserve">http://slimages.macys.com/is/image/MCY/1521974 </v>
      </c>
    </row>
    <row r="428" spans="1:14" ht="24.75" x14ac:dyDescent="0.25">
      <c r="A428" s="21" t="s">
        <v>19178</v>
      </c>
      <c r="B428" s="22" t="s">
        <v>19179</v>
      </c>
      <c r="C428" s="2">
        <v>1</v>
      </c>
      <c r="D428" s="23">
        <v>5.99</v>
      </c>
      <c r="E428" s="3">
        <v>5.99</v>
      </c>
      <c r="F428" s="2" t="s">
        <v>19180</v>
      </c>
      <c r="G428" s="22" t="s">
        <v>19477</v>
      </c>
      <c r="H428" s="24" t="s">
        <v>19384</v>
      </c>
      <c r="I428" s="22" t="s">
        <v>19309</v>
      </c>
      <c r="J428" s="22" t="s">
        <v>19573</v>
      </c>
      <c r="K428" s="22" t="s">
        <v>19574</v>
      </c>
      <c r="L428" s="22"/>
      <c r="M428" s="22"/>
      <c r="N428" s="25" t="str">
        <f>HYPERLINK("http://slimages.macys.com/is/image/MCY/1521974 ")</f>
        <v xml:space="preserve">http://slimages.macys.com/is/image/MCY/1521974 </v>
      </c>
    </row>
    <row r="429" spans="1:14" ht="24.75" x14ac:dyDescent="0.25">
      <c r="A429" s="21" t="s">
        <v>13493</v>
      </c>
      <c r="B429" s="22" t="s">
        <v>13494</v>
      </c>
      <c r="C429" s="2">
        <v>1</v>
      </c>
      <c r="D429" s="23">
        <v>5.99</v>
      </c>
      <c r="E429" s="3">
        <v>5.99</v>
      </c>
      <c r="F429" s="2" t="s">
        <v>19198</v>
      </c>
      <c r="G429" s="22" t="s">
        <v>18821</v>
      </c>
      <c r="H429" s="24" t="s">
        <v>19324</v>
      </c>
      <c r="I429" s="22" t="s">
        <v>19309</v>
      </c>
      <c r="J429" s="22" t="s">
        <v>19573</v>
      </c>
      <c r="K429" s="22" t="s">
        <v>19574</v>
      </c>
      <c r="L429" s="22"/>
      <c r="M429" s="22"/>
      <c r="N429" s="25" t="str">
        <f>HYPERLINK("http://slimages.macys.com/is/image/MCY/1521972 ")</f>
        <v xml:space="preserve">http://slimages.macys.com/is/image/MCY/1521972 </v>
      </c>
    </row>
    <row r="430" spans="1:14" ht="24.75" x14ac:dyDescent="0.25">
      <c r="A430" s="21" t="s">
        <v>13495</v>
      </c>
      <c r="B430" s="22" t="s">
        <v>13496</v>
      </c>
      <c r="C430" s="2">
        <v>1</v>
      </c>
      <c r="D430" s="23">
        <v>5.99</v>
      </c>
      <c r="E430" s="3">
        <v>5.99</v>
      </c>
      <c r="F430" s="2" t="s">
        <v>19204</v>
      </c>
      <c r="G430" s="22" t="s">
        <v>19431</v>
      </c>
      <c r="H430" s="24" t="s">
        <v>19330</v>
      </c>
      <c r="I430" s="22" t="s">
        <v>19309</v>
      </c>
      <c r="J430" s="22" t="s">
        <v>19573</v>
      </c>
      <c r="K430" s="22" t="s">
        <v>19574</v>
      </c>
      <c r="L430" s="22"/>
      <c r="M430" s="22"/>
      <c r="N430" s="25" t="str">
        <f>HYPERLINK("http://slimages.macys.com/is/image/MCY/1537013 ")</f>
        <v xml:space="preserve">http://slimages.macys.com/is/image/MCY/1537013 </v>
      </c>
    </row>
    <row r="431" spans="1:14" ht="24.75" x14ac:dyDescent="0.25">
      <c r="A431" s="21" t="s">
        <v>14886</v>
      </c>
      <c r="B431" s="22" t="s">
        <v>14887</v>
      </c>
      <c r="C431" s="2">
        <v>1</v>
      </c>
      <c r="D431" s="23">
        <v>5.99</v>
      </c>
      <c r="E431" s="3">
        <v>5.99</v>
      </c>
      <c r="F431" s="2" t="s">
        <v>19204</v>
      </c>
      <c r="G431" s="22" t="s">
        <v>19431</v>
      </c>
      <c r="H431" s="24" t="s">
        <v>19416</v>
      </c>
      <c r="I431" s="22" t="s">
        <v>19309</v>
      </c>
      <c r="J431" s="22" t="s">
        <v>19573</v>
      </c>
      <c r="K431" s="22" t="s">
        <v>19574</v>
      </c>
      <c r="L431" s="22"/>
      <c r="M431" s="22"/>
      <c r="N431" s="25" t="str">
        <f>HYPERLINK("http://slimages.macys.com/is/image/MCY/1537013 ")</f>
        <v xml:space="preserve">http://slimages.macys.com/is/image/MCY/1537013 </v>
      </c>
    </row>
    <row r="432" spans="1:14" ht="24.75" x14ac:dyDescent="0.25">
      <c r="A432" s="21" t="s">
        <v>2177</v>
      </c>
      <c r="B432" s="22" t="s">
        <v>2178</v>
      </c>
      <c r="C432" s="2">
        <v>1</v>
      </c>
      <c r="D432" s="23">
        <v>6.99</v>
      </c>
      <c r="E432" s="3">
        <v>6.99</v>
      </c>
      <c r="F432" s="2" t="s">
        <v>2179</v>
      </c>
      <c r="G432" s="22" t="s">
        <v>19674</v>
      </c>
      <c r="H432" s="24" t="s">
        <v>19538</v>
      </c>
      <c r="I432" s="22" t="s">
        <v>19309</v>
      </c>
      <c r="J432" s="22" t="s">
        <v>19573</v>
      </c>
      <c r="K432" s="22" t="s">
        <v>19574</v>
      </c>
      <c r="L432" s="22"/>
      <c r="M432" s="22"/>
      <c r="N432" s="25" t="str">
        <f>HYPERLINK("http://slimages.macys.com/is/image/MCY/20436495 ")</f>
        <v xml:space="preserve">http://slimages.macys.com/is/image/MCY/20436495 </v>
      </c>
    </row>
    <row r="433" spans="1:14" ht="24.75" x14ac:dyDescent="0.25">
      <c r="A433" s="21" t="s">
        <v>13503</v>
      </c>
      <c r="B433" s="22" t="s">
        <v>13504</v>
      </c>
      <c r="C433" s="2">
        <v>1</v>
      </c>
      <c r="D433" s="23">
        <v>6.99</v>
      </c>
      <c r="E433" s="3">
        <v>6.99</v>
      </c>
      <c r="F433" s="2" t="s">
        <v>19217</v>
      </c>
      <c r="G433" s="22" t="s">
        <v>19906</v>
      </c>
      <c r="H433" s="24" t="s">
        <v>19432</v>
      </c>
      <c r="I433" s="22" t="s">
        <v>19309</v>
      </c>
      <c r="J433" s="22" t="s">
        <v>19454</v>
      </c>
      <c r="K433" s="22" t="s">
        <v>19354</v>
      </c>
      <c r="L433" s="22"/>
      <c r="M433" s="22"/>
      <c r="N433" s="25" t="str">
        <f>HYPERLINK("http://slimages.macys.com/is/image/MCY/20708515 ")</f>
        <v xml:space="preserve">http://slimages.macys.com/is/image/MCY/20708515 </v>
      </c>
    </row>
    <row r="434" spans="1:14" ht="24.75" x14ac:dyDescent="0.25">
      <c r="A434" s="21" t="s">
        <v>19218</v>
      </c>
      <c r="B434" s="22" t="s">
        <v>19219</v>
      </c>
      <c r="C434" s="2">
        <v>1</v>
      </c>
      <c r="D434" s="23">
        <v>5.99</v>
      </c>
      <c r="E434" s="3">
        <v>5.99</v>
      </c>
      <c r="F434" s="2" t="s">
        <v>19214</v>
      </c>
      <c r="G434" s="22" t="s">
        <v>19674</v>
      </c>
      <c r="H434" s="24" t="s">
        <v>19416</v>
      </c>
      <c r="I434" s="22" t="s">
        <v>19309</v>
      </c>
      <c r="J434" s="22" t="s">
        <v>19573</v>
      </c>
      <c r="K434" s="22" t="s">
        <v>19574</v>
      </c>
      <c r="L434" s="22"/>
      <c r="M434" s="22"/>
      <c r="N434" s="25" t="str">
        <f>HYPERLINK("http://slimages.macys.com/is/image/MCY/1554658 ")</f>
        <v xml:space="preserve">http://slimages.macys.com/is/image/MCY/1554658 </v>
      </c>
    </row>
    <row r="435" spans="1:14" ht="24.75" x14ac:dyDescent="0.25">
      <c r="A435" s="21" t="s">
        <v>17196</v>
      </c>
      <c r="B435" s="22" t="s">
        <v>17197</v>
      </c>
      <c r="C435" s="2">
        <v>3</v>
      </c>
      <c r="D435" s="23">
        <v>5.99</v>
      </c>
      <c r="E435" s="3">
        <v>17.97</v>
      </c>
      <c r="F435" s="2" t="s">
        <v>17198</v>
      </c>
      <c r="G435" s="22" t="s">
        <v>19467</v>
      </c>
      <c r="H435" s="24" t="s">
        <v>19330</v>
      </c>
      <c r="I435" s="22" t="s">
        <v>19309</v>
      </c>
      <c r="J435" s="22" t="s">
        <v>19573</v>
      </c>
      <c r="K435" s="22" t="s">
        <v>19574</v>
      </c>
      <c r="L435" s="22"/>
      <c r="M435" s="22"/>
      <c r="N435" s="25" t="str">
        <f>HYPERLINK("http://slimages.macys.com/is/image/MCY/21209066 ")</f>
        <v xml:space="preserve">http://slimages.macys.com/is/image/MCY/21209066 </v>
      </c>
    </row>
    <row r="436" spans="1:14" ht="24.75" x14ac:dyDescent="0.25">
      <c r="A436" s="21" t="s">
        <v>12660</v>
      </c>
      <c r="B436" s="22" t="s">
        <v>10721</v>
      </c>
      <c r="C436" s="2">
        <v>1</v>
      </c>
      <c r="D436" s="23">
        <v>5.99</v>
      </c>
      <c r="E436" s="3">
        <v>5.99</v>
      </c>
      <c r="F436" s="2" t="s">
        <v>10722</v>
      </c>
      <c r="G436" s="22" t="s">
        <v>19674</v>
      </c>
      <c r="H436" s="24" t="s">
        <v>19330</v>
      </c>
      <c r="I436" s="22" t="s">
        <v>19309</v>
      </c>
      <c r="J436" s="22" t="s">
        <v>19573</v>
      </c>
      <c r="K436" s="22" t="s">
        <v>19574</v>
      </c>
      <c r="L436" s="22"/>
      <c r="M436" s="22"/>
      <c r="N436" s="25" t="str">
        <f>HYPERLINK("http://slimages.macys.com/is/image/MCY/1126196 ")</f>
        <v xml:space="preserve">http://slimages.macys.com/is/image/MCY/1126196 </v>
      </c>
    </row>
    <row r="437" spans="1:14" ht="24.75" x14ac:dyDescent="0.25">
      <c r="A437" s="21" t="s">
        <v>14905</v>
      </c>
      <c r="B437" s="22" t="s">
        <v>14906</v>
      </c>
      <c r="C437" s="2">
        <v>1</v>
      </c>
      <c r="D437" s="23">
        <v>5.99</v>
      </c>
      <c r="E437" s="3">
        <v>5.99</v>
      </c>
      <c r="F437" s="2" t="s">
        <v>19224</v>
      </c>
      <c r="G437" s="22" t="s">
        <v>18821</v>
      </c>
      <c r="H437" s="24" t="s">
        <v>19324</v>
      </c>
      <c r="I437" s="22" t="s">
        <v>19309</v>
      </c>
      <c r="J437" s="22" t="s">
        <v>19573</v>
      </c>
      <c r="K437" s="22" t="s">
        <v>19574</v>
      </c>
      <c r="L437" s="22"/>
      <c r="M437" s="22"/>
      <c r="N437" s="25" t="str">
        <f>HYPERLINK("http://slimages.macys.com/is/image/MCY/21905230 ")</f>
        <v xml:space="preserve">http://slimages.macys.com/is/image/MCY/21905230 </v>
      </c>
    </row>
    <row r="438" spans="1:14" ht="24.75" x14ac:dyDescent="0.25">
      <c r="A438" s="21" t="s">
        <v>13507</v>
      </c>
      <c r="B438" s="22" t="s">
        <v>13508</v>
      </c>
      <c r="C438" s="2">
        <v>1</v>
      </c>
      <c r="D438" s="23">
        <v>5.99</v>
      </c>
      <c r="E438" s="3">
        <v>5.99</v>
      </c>
      <c r="F438" s="2" t="s">
        <v>13509</v>
      </c>
      <c r="G438" s="22" t="s">
        <v>19415</v>
      </c>
      <c r="H438" s="24" t="s">
        <v>19324</v>
      </c>
      <c r="I438" s="22" t="s">
        <v>19309</v>
      </c>
      <c r="J438" s="22" t="s">
        <v>19573</v>
      </c>
      <c r="K438" s="22" t="s">
        <v>19574</v>
      </c>
      <c r="L438" s="22"/>
      <c r="M438" s="22"/>
      <c r="N438" s="25" t="str">
        <f>HYPERLINK("http://slimages.macys.com/is/image/MCY/21088469 ")</f>
        <v xml:space="preserve">http://slimages.macys.com/is/image/MCY/21088469 </v>
      </c>
    </row>
    <row r="439" spans="1:14" ht="24.75" x14ac:dyDescent="0.25">
      <c r="A439" s="21" t="s">
        <v>19233</v>
      </c>
      <c r="B439" s="22" t="s">
        <v>19234</v>
      </c>
      <c r="C439" s="2">
        <v>1</v>
      </c>
      <c r="D439" s="23">
        <v>5.99</v>
      </c>
      <c r="E439" s="3">
        <v>5.99</v>
      </c>
      <c r="F439" s="2" t="s">
        <v>19232</v>
      </c>
      <c r="G439" s="22" t="s">
        <v>19467</v>
      </c>
      <c r="H439" s="24" t="s">
        <v>19384</v>
      </c>
      <c r="I439" s="22" t="s">
        <v>19309</v>
      </c>
      <c r="J439" s="22" t="s">
        <v>19573</v>
      </c>
      <c r="K439" s="22" t="s">
        <v>19574</v>
      </c>
      <c r="L439" s="22"/>
      <c r="M439" s="22"/>
      <c r="N439" s="25" t="str">
        <f>HYPERLINK("http://slimages.macys.com/is/image/MCY/21209505 ")</f>
        <v xml:space="preserve">http://slimages.macys.com/is/image/MCY/21209505 </v>
      </c>
    </row>
    <row r="440" spans="1:14" ht="24.75" x14ac:dyDescent="0.25">
      <c r="A440" s="21" t="s">
        <v>2180</v>
      </c>
      <c r="B440" s="22" t="s">
        <v>2181</v>
      </c>
      <c r="C440" s="2">
        <v>1</v>
      </c>
      <c r="D440" s="23">
        <v>6.99</v>
      </c>
      <c r="E440" s="3">
        <v>6.99</v>
      </c>
      <c r="F440" s="2" t="s">
        <v>2182</v>
      </c>
      <c r="G440" s="22" t="s">
        <v>19674</v>
      </c>
      <c r="H440" s="24" t="s">
        <v>19330</v>
      </c>
      <c r="I440" s="22" t="s">
        <v>19309</v>
      </c>
      <c r="J440" s="22" t="s">
        <v>19573</v>
      </c>
      <c r="K440" s="22" t="s">
        <v>19574</v>
      </c>
      <c r="L440" s="22"/>
      <c r="M440" s="22"/>
      <c r="N440" s="25" t="str">
        <f>HYPERLINK("http://slimages.macys.com/is/image/MCY/19977421 ")</f>
        <v xml:space="preserve">http://slimages.macys.com/is/image/MCY/19977421 </v>
      </c>
    </row>
    <row r="441" spans="1:14" ht="24.75" x14ac:dyDescent="0.25">
      <c r="A441" s="21" t="s">
        <v>2183</v>
      </c>
      <c r="B441" s="22" t="s">
        <v>2184</v>
      </c>
      <c r="C441" s="2">
        <v>1</v>
      </c>
      <c r="D441" s="23">
        <v>5.99</v>
      </c>
      <c r="E441" s="3">
        <v>5.99</v>
      </c>
      <c r="F441" s="2" t="s">
        <v>9724</v>
      </c>
      <c r="G441" s="22" t="s">
        <v>19415</v>
      </c>
      <c r="H441" s="24" t="s">
        <v>19330</v>
      </c>
      <c r="I441" s="22" t="s">
        <v>19309</v>
      </c>
      <c r="J441" s="22" t="s">
        <v>19573</v>
      </c>
      <c r="K441" s="22" t="s">
        <v>19574</v>
      </c>
      <c r="L441" s="22"/>
      <c r="M441" s="22"/>
      <c r="N441" s="25" t="str">
        <f>HYPERLINK("http://slimages.macys.com/is/image/MCY/21371500 ")</f>
        <v xml:space="preserve">http://slimages.macys.com/is/image/MCY/21371500 </v>
      </c>
    </row>
    <row r="442" spans="1:14" ht="24.75" x14ac:dyDescent="0.25">
      <c r="A442" s="21" t="s">
        <v>19259</v>
      </c>
      <c r="B442" s="22" t="s">
        <v>19260</v>
      </c>
      <c r="C442" s="2">
        <v>1</v>
      </c>
      <c r="D442" s="23">
        <v>5.99</v>
      </c>
      <c r="E442" s="3">
        <v>5.99</v>
      </c>
      <c r="F442" s="2" t="s">
        <v>19261</v>
      </c>
      <c r="G442" s="22" t="s">
        <v>19674</v>
      </c>
      <c r="H442" s="24" t="s">
        <v>19324</v>
      </c>
      <c r="I442" s="22" t="s">
        <v>19309</v>
      </c>
      <c r="J442" s="22" t="s">
        <v>19573</v>
      </c>
      <c r="K442" s="22" t="s">
        <v>19574</v>
      </c>
      <c r="L442" s="22"/>
      <c r="M442" s="22"/>
      <c r="N442" s="25" t="str">
        <f>HYPERLINK("http://slimages.macys.com/is/image/MCY/21209261 ")</f>
        <v xml:space="preserve">http://slimages.macys.com/is/image/MCY/21209261 </v>
      </c>
    </row>
    <row r="443" spans="1:14" ht="24.75" x14ac:dyDescent="0.25">
      <c r="A443" s="21" t="s">
        <v>14934</v>
      </c>
      <c r="B443" s="22" t="s">
        <v>14935</v>
      </c>
      <c r="C443" s="2">
        <v>1</v>
      </c>
      <c r="D443" s="23">
        <v>5.99</v>
      </c>
      <c r="E443" s="3">
        <v>5.99</v>
      </c>
      <c r="F443" s="2" t="s">
        <v>17229</v>
      </c>
      <c r="G443" s="22" t="s">
        <v>19351</v>
      </c>
      <c r="H443" s="24" t="s">
        <v>19384</v>
      </c>
      <c r="I443" s="22" t="s">
        <v>19309</v>
      </c>
      <c r="J443" s="22" t="s">
        <v>19573</v>
      </c>
      <c r="K443" s="22" t="s">
        <v>19574</v>
      </c>
      <c r="L443" s="22"/>
      <c r="M443" s="22"/>
      <c r="N443" s="25" t="str">
        <f>HYPERLINK("http://slimages.macys.com/is/image/MCY/21361199 ")</f>
        <v xml:space="preserve">http://slimages.macys.com/is/image/MCY/21361199 </v>
      </c>
    </row>
    <row r="444" spans="1:14" ht="24.75" x14ac:dyDescent="0.25">
      <c r="A444" s="21" t="s">
        <v>17227</v>
      </c>
      <c r="B444" s="22" t="s">
        <v>17228</v>
      </c>
      <c r="C444" s="2">
        <v>1</v>
      </c>
      <c r="D444" s="23">
        <v>5.99</v>
      </c>
      <c r="E444" s="3">
        <v>5.99</v>
      </c>
      <c r="F444" s="2" t="s">
        <v>17229</v>
      </c>
      <c r="G444" s="22" t="s">
        <v>19351</v>
      </c>
      <c r="H444" s="24" t="s">
        <v>19416</v>
      </c>
      <c r="I444" s="22" t="s">
        <v>19309</v>
      </c>
      <c r="J444" s="22" t="s">
        <v>19573</v>
      </c>
      <c r="K444" s="22" t="s">
        <v>19574</v>
      </c>
      <c r="L444" s="22"/>
      <c r="M444" s="22"/>
      <c r="N444" s="25" t="str">
        <f>HYPERLINK("http://slimages.macys.com/is/image/MCY/21361199 ")</f>
        <v xml:space="preserve">http://slimages.macys.com/is/image/MCY/21361199 </v>
      </c>
    </row>
    <row r="445" spans="1:14" ht="24.75" x14ac:dyDescent="0.25">
      <c r="A445" s="21" t="s">
        <v>3338</v>
      </c>
      <c r="B445" s="22" t="s">
        <v>3339</v>
      </c>
      <c r="C445" s="2">
        <v>1</v>
      </c>
      <c r="D445" s="23">
        <v>6.99</v>
      </c>
      <c r="E445" s="3">
        <v>6.99</v>
      </c>
      <c r="F445" s="2" t="s">
        <v>14317</v>
      </c>
      <c r="G445" s="22" t="s">
        <v>19351</v>
      </c>
      <c r="H445" s="24" t="s">
        <v>19538</v>
      </c>
      <c r="I445" s="22" t="s">
        <v>19309</v>
      </c>
      <c r="J445" s="22" t="s">
        <v>19573</v>
      </c>
      <c r="K445" s="22" t="s">
        <v>19574</v>
      </c>
      <c r="L445" s="22"/>
      <c r="M445" s="22"/>
      <c r="N445" s="25" t="str">
        <f>HYPERLINK("http://slimages.macys.com/is/image/MCY/19977362 ")</f>
        <v xml:space="preserve">http://slimages.macys.com/is/image/MCY/19977362 </v>
      </c>
    </row>
    <row r="446" spans="1:14" ht="24.75" x14ac:dyDescent="0.25">
      <c r="A446" s="21" t="s">
        <v>17248</v>
      </c>
      <c r="B446" s="22" t="s">
        <v>17249</v>
      </c>
      <c r="C446" s="2">
        <v>1</v>
      </c>
      <c r="D446" s="23">
        <v>5.99</v>
      </c>
      <c r="E446" s="3">
        <v>5.99</v>
      </c>
      <c r="F446" s="2" t="s">
        <v>17240</v>
      </c>
      <c r="G446" s="22" t="s">
        <v>19315</v>
      </c>
      <c r="H446" s="24" t="s">
        <v>19324</v>
      </c>
      <c r="I446" s="22" t="s">
        <v>19309</v>
      </c>
      <c r="J446" s="22" t="s">
        <v>19573</v>
      </c>
      <c r="K446" s="22" t="s">
        <v>19574</v>
      </c>
      <c r="L446" s="22"/>
      <c r="M446" s="22"/>
      <c r="N446" s="25" t="str">
        <f>HYPERLINK("http://slimages.macys.com/is/image/MCY/1521976 ")</f>
        <v xml:space="preserve">http://slimages.macys.com/is/image/MCY/1521976 </v>
      </c>
    </row>
    <row r="447" spans="1:14" ht="24.75" x14ac:dyDescent="0.25">
      <c r="A447" s="21" t="s">
        <v>2185</v>
      </c>
      <c r="B447" s="22" t="s">
        <v>2186</v>
      </c>
      <c r="C447" s="2">
        <v>1</v>
      </c>
      <c r="D447" s="23">
        <v>5.99</v>
      </c>
      <c r="E447" s="3">
        <v>5.99</v>
      </c>
      <c r="F447" s="2" t="s">
        <v>2187</v>
      </c>
      <c r="G447" s="22" t="s">
        <v>19351</v>
      </c>
      <c r="H447" s="24" t="s">
        <v>19324</v>
      </c>
      <c r="I447" s="22" t="s">
        <v>19309</v>
      </c>
      <c r="J447" s="22" t="s">
        <v>19573</v>
      </c>
      <c r="K447" s="22" t="s">
        <v>19574</v>
      </c>
      <c r="L447" s="22"/>
      <c r="M447" s="22"/>
      <c r="N447" s="25" t="str">
        <f>HYPERLINK("http://slimages.macys.com/is/image/MCY/17663550 ")</f>
        <v xml:space="preserve">http://slimages.macys.com/is/image/MCY/17663550 </v>
      </c>
    </row>
    <row r="448" spans="1:14" ht="24.75" x14ac:dyDescent="0.25">
      <c r="A448" s="21" t="s">
        <v>19268</v>
      </c>
      <c r="B448" s="22" t="s">
        <v>19269</v>
      </c>
      <c r="C448" s="2">
        <v>1</v>
      </c>
      <c r="D448" s="23">
        <v>5.99</v>
      </c>
      <c r="E448" s="3">
        <v>5.99</v>
      </c>
      <c r="F448" s="2" t="s">
        <v>19270</v>
      </c>
      <c r="G448" s="22" t="s">
        <v>19351</v>
      </c>
      <c r="H448" s="24" t="s">
        <v>19384</v>
      </c>
      <c r="I448" s="22" t="s">
        <v>19309</v>
      </c>
      <c r="J448" s="22" t="s">
        <v>19573</v>
      </c>
      <c r="K448" s="22" t="s">
        <v>19574</v>
      </c>
      <c r="L448" s="22"/>
      <c r="M448" s="22"/>
      <c r="N448" s="25" t="str">
        <f>HYPERLINK("http://slimages.macys.com/is/image/MCY/20839696 ")</f>
        <v xml:space="preserve">http://slimages.macys.com/is/image/MCY/20839696 </v>
      </c>
    </row>
    <row r="449" spans="1:14" ht="24.75" x14ac:dyDescent="0.25">
      <c r="A449" s="21" t="s">
        <v>14335</v>
      </c>
      <c r="B449" s="22" t="s">
        <v>14336</v>
      </c>
      <c r="C449" s="2">
        <v>1</v>
      </c>
      <c r="D449" s="23">
        <v>5.99</v>
      </c>
      <c r="E449" s="3">
        <v>5.99</v>
      </c>
      <c r="F449" s="2" t="s">
        <v>14334</v>
      </c>
      <c r="G449" s="22" t="s">
        <v>19422</v>
      </c>
      <c r="H449" s="24" t="s">
        <v>19384</v>
      </c>
      <c r="I449" s="22" t="s">
        <v>19309</v>
      </c>
      <c r="J449" s="22" t="s">
        <v>19573</v>
      </c>
      <c r="K449" s="22" t="s">
        <v>19574</v>
      </c>
      <c r="L449" s="22"/>
      <c r="M449" s="22"/>
      <c r="N449" s="25" t="str">
        <f>HYPERLINK("http://slimages.macys.com/is/image/MCY/1491821 ")</f>
        <v xml:space="preserve">http://slimages.macys.com/is/image/MCY/1491821 </v>
      </c>
    </row>
    <row r="450" spans="1:14" ht="24.75" x14ac:dyDescent="0.25">
      <c r="A450" s="21" t="s">
        <v>14332</v>
      </c>
      <c r="B450" s="22" t="s">
        <v>14333</v>
      </c>
      <c r="C450" s="2">
        <v>1</v>
      </c>
      <c r="D450" s="23">
        <v>5.99</v>
      </c>
      <c r="E450" s="3">
        <v>5.99</v>
      </c>
      <c r="F450" s="2" t="s">
        <v>14334</v>
      </c>
      <c r="G450" s="22" t="s">
        <v>19422</v>
      </c>
      <c r="H450" s="24" t="s">
        <v>19324</v>
      </c>
      <c r="I450" s="22" t="s">
        <v>19309</v>
      </c>
      <c r="J450" s="22" t="s">
        <v>19573</v>
      </c>
      <c r="K450" s="22" t="s">
        <v>19574</v>
      </c>
      <c r="L450" s="22"/>
      <c r="M450" s="22"/>
      <c r="N450" s="25" t="str">
        <f>HYPERLINK("http://slimages.macys.com/is/image/MCY/1491821 ")</f>
        <v xml:space="preserve">http://slimages.macys.com/is/image/MCY/1491821 </v>
      </c>
    </row>
    <row r="451" spans="1:14" ht="24.75" x14ac:dyDescent="0.25">
      <c r="A451" s="21" t="s">
        <v>17387</v>
      </c>
      <c r="B451" s="22" t="s">
        <v>17388</v>
      </c>
      <c r="C451" s="2">
        <v>1</v>
      </c>
      <c r="D451" s="23">
        <v>5.99</v>
      </c>
      <c r="E451" s="3">
        <v>5.99</v>
      </c>
      <c r="F451" s="2" t="s">
        <v>17384</v>
      </c>
      <c r="G451" s="22" t="s">
        <v>18439</v>
      </c>
      <c r="H451" s="24" t="s">
        <v>19538</v>
      </c>
      <c r="I451" s="22" t="s">
        <v>19309</v>
      </c>
      <c r="J451" s="22" t="s">
        <v>19573</v>
      </c>
      <c r="K451" s="22" t="s">
        <v>19574</v>
      </c>
      <c r="L451" s="22"/>
      <c r="M451" s="22"/>
      <c r="N451" s="25" t="str">
        <f>HYPERLINK("http://slimages.macys.com/is/image/MCY/1905756 ")</f>
        <v xml:space="preserve">http://slimages.macys.com/is/image/MCY/1905756 </v>
      </c>
    </row>
    <row r="452" spans="1:14" ht="24.75" x14ac:dyDescent="0.25">
      <c r="A452" s="21" t="s">
        <v>13516</v>
      </c>
      <c r="B452" s="22" t="s">
        <v>13517</v>
      </c>
      <c r="C452" s="2">
        <v>1</v>
      </c>
      <c r="D452" s="23">
        <v>5.99</v>
      </c>
      <c r="E452" s="3">
        <v>5.99</v>
      </c>
      <c r="F452" s="2" t="s">
        <v>17268</v>
      </c>
      <c r="G452" s="22" t="s">
        <v>18764</v>
      </c>
      <c r="H452" s="24" t="s">
        <v>19324</v>
      </c>
      <c r="I452" s="22" t="s">
        <v>19309</v>
      </c>
      <c r="J452" s="22" t="s">
        <v>19573</v>
      </c>
      <c r="K452" s="22" t="s">
        <v>19574</v>
      </c>
      <c r="L452" s="22"/>
      <c r="M452" s="22"/>
      <c r="N452" s="25" t="str">
        <f>HYPERLINK("http://slimages.macys.com/is/image/MCY/21088470 ")</f>
        <v xml:space="preserve">http://slimages.macys.com/is/image/MCY/21088470 </v>
      </c>
    </row>
    <row r="453" spans="1:14" ht="24.75" x14ac:dyDescent="0.25">
      <c r="A453" s="21" t="s">
        <v>2188</v>
      </c>
      <c r="B453" s="22" t="s">
        <v>2189</v>
      </c>
      <c r="C453" s="2">
        <v>1</v>
      </c>
      <c r="D453" s="23">
        <v>5.99</v>
      </c>
      <c r="E453" s="3">
        <v>5.99</v>
      </c>
      <c r="F453" s="2" t="s">
        <v>2190</v>
      </c>
      <c r="G453" s="22" t="s">
        <v>18439</v>
      </c>
      <c r="H453" s="24" t="s">
        <v>19416</v>
      </c>
      <c r="I453" s="22" t="s">
        <v>19309</v>
      </c>
      <c r="J453" s="22" t="s">
        <v>19573</v>
      </c>
      <c r="K453" s="22" t="s">
        <v>19574</v>
      </c>
      <c r="L453" s="22"/>
      <c r="M453" s="22"/>
      <c r="N453" s="25" t="str">
        <f>HYPERLINK("http://slimages.macys.com/is/image/MCY/19977743 ")</f>
        <v xml:space="preserve">http://slimages.macys.com/is/image/MCY/19977743 </v>
      </c>
    </row>
    <row r="454" spans="1:14" ht="24.75" x14ac:dyDescent="0.25">
      <c r="A454" s="21" t="s">
        <v>2191</v>
      </c>
      <c r="B454" s="22" t="s">
        <v>2192</v>
      </c>
      <c r="C454" s="2">
        <v>1</v>
      </c>
      <c r="D454" s="23">
        <v>5.99</v>
      </c>
      <c r="E454" s="3">
        <v>5.99</v>
      </c>
      <c r="F454" s="2" t="s">
        <v>13522</v>
      </c>
      <c r="G454" s="22" t="s">
        <v>19763</v>
      </c>
      <c r="H454" s="24" t="s">
        <v>19416</v>
      </c>
      <c r="I454" s="22" t="s">
        <v>19309</v>
      </c>
      <c r="J454" s="22" t="s">
        <v>19573</v>
      </c>
      <c r="K454" s="22" t="s">
        <v>19574</v>
      </c>
      <c r="L454" s="22"/>
      <c r="M454" s="22"/>
      <c r="N454" s="25" t="str">
        <f>HYPERLINK("http://slimages.macys.com/is/image/MCY/19521011 ")</f>
        <v xml:space="preserve">http://slimages.macys.com/is/image/MCY/19521011 </v>
      </c>
    </row>
    <row r="455" spans="1:14" ht="24.75" x14ac:dyDescent="0.25">
      <c r="A455" s="21" t="s">
        <v>2193</v>
      </c>
      <c r="B455" s="22" t="s">
        <v>2194</v>
      </c>
      <c r="C455" s="2">
        <v>2</v>
      </c>
      <c r="D455" s="23">
        <v>5.99</v>
      </c>
      <c r="E455" s="3">
        <v>11.98</v>
      </c>
      <c r="F455" s="2" t="s">
        <v>13537</v>
      </c>
      <c r="G455" s="22" t="s">
        <v>19713</v>
      </c>
      <c r="H455" s="24" t="s">
        <v>19384</v>
      </c>
      <c r="I455" s="22" t="s">
        <v>19309</v>
      </c>
      <c r="J455" s="22" t="s">
        <v>19573</v>
      </c>
      <c r="K455" s="22" t="s">
        <v>19574</v>
      </c>
      <c r="L455" s="22"/>
      <c r="M455" s="22"/>
      <c r="N455" s="25" t="str">
        <f>HYPERLINK("http://slimages.macys.com/is/image/MCY/17663506 ")</f>
        <v xml:space="preserve">http://slimages.macys.com/is/image/MCY/17663506 </v>
      </c>
    </row>
    <row r="456" spans="1:14" ht="24.75" x14ac:dyDescent="0.25">
      <c r="A456" s="21" t="s">
        <v>2195</v>
      </c>
      <c r="B456" s="22" t="s">
        <v>2196</v>
      </c>
      <c r="C456" s="2">
        <v>18</v>
      </c>
      <c r="D456" s="23">
        <v>5.99</v>
      </c>
      <c r="E456" s="3">
        <v>107.82</v>
      </c>
      <c r="F456" s="2" t="s">
        <v>15004</v>
      </c>
      <c r="G456" s="22" t="s">
        <v>19351</v>
      </c>
      <c r="H456" s="24" t="s">
        <v>19416</v>
      </c>
      <c r="I456" s="22" t="s">
        <v>19309</v>
      </c>
      <c r="J456" s="22" t="s">
        <v>19573</v>
      </c>
      <c r="K456" s="22" t="s">
        <v>19574</v>
      </c>
      <c r="L456" s="22"/>
      <c r="M456" s="22"/>
      <c r="N456" s="25" t="str">
        <f>HYPERLINK("http://slimages.macys.com/is/image/MCY/1537013 ")</f>
        <v xml:space="preserve">http://slimages.macys.com/is/image/MCY/1537013 </v>
      </c>
    </row>
    <row r="457" spans="1:14" ht="24.75" x14ac:dyDescent="0.25">
      <c r="A457" s="21" t="s">
        <v>17294</v>
      </c>
      <c r="B457" s="22" t="s">
        <v>17295</v>
      </c>
      <c r="C457" s="2">
        <v>1</v>
      </c>
      <c r="D457" s="23">
        <v>5.99</v>
      </c>
      <c r="E457" s="3">
        <v>5.99</v>
      </c>
      <c r="F457" s="2" t="s">
        <v>17449</v>
      </c>
      <c r="G457" s="22" t="s">
        <v>19415</v>
      </c>
      <c r="H457" s="24" t="s">
        <v>19384</v>
      </c>
      <c r="I457" s="22" t="s">
        <v>19309</v>
      </c>
      <c r="J457" s="22" t="s">
        <v>19573</v>
      </c>
      <c r="K457" s="22" t="s">
        <v>19574</v>
      </c>
      <c r="L457" s="22"/>
      <c r="M457" s="22"/>
      <c r="N457" s="25" t="str">
        <f>HYPERLINK("http://slimages.macys.com/is/image/MCY/21209295 ")</f>
        <v xml:space="preserve">http://slimages.macys.com/is/image/MCY/21209295 </v>
      </c>
    </row>
    <row r="458" spans="1:14" ht="24.75" x14ac:dyDescent="0.25">
      <c r="A458" s="21" t="s">
        <v>17464</v>
      </c>
      <c r="B458" s="22" t="s">
        <v>17465</v>
      </c>
      <c r="C458" s="2">
        <v>1</v>
      </c>
      <c r="D458" s="23">
        <v>4.99</v>
      </c>
      <c r="E458" s="3">
        <v>4.99</v>
      </c>
      <c r="F458" s="2" t="s">
        <v>17463</v>
      </c>
      <c r="G458" s="22" t="s">
        <v>19323</v>
      </c>
      <c r="H458" s="24" t="s">
        <v>19339</v>
      </c>
      <c r="I458" s="22" t="s">
        <v>19309</v>
      </c>
      <c r="J458" s="22" t="s">
        <v>20076</v>
      </c>
      <c r="K458" s="22" t="s">
        <v>20077</v>
      </c>
      <c r="L458" s="22" t="s">
        <v>19319</v>
      </c>
      <c r="M458" s="22" t="s">
        <v>19209</v>
      </c>
      <c r="N458" s="25" t="str">
        <f>HYPERLINK("http://slimages.macys.com/is/image/MCY/9378229 ")</f>
        <v xml:space="preserve">http://slimages.macys.com/is/image/MCY/9378229 </v>
      </c>
    </row>
    <row r="459" spans="1:14" ht="24.75" x14ac:dyDescent="0.25">
      <c r="A459" s="21" t="s">
        <v>2197</v>
      </c>
      <c r="B459" s="22" t="s">
        <v>2198</v>
      </c>
      <c r="C459" s="2">
        <v>1</v>
      </c>
      <c r="D459" s="23">
        <v>33.99</v>
      </c>
      <c r="E459" s="3">
        <v>33.99</v>
      </c>
      <c r="F459" s="2" t="s">
        <v>6363</v>
      </c>
      <c r="G459" s="22"/>
      <c r="H459" s="24" t="s">
        <v>19324</v>
      </c>
      <c r="I459" s="22" t="s">
        <v>19309</v>
      </c>
      <c r="J459" s="22" t="s">
        <v>19385</v>
      </c>
      <c r="K459" s="22" t="s">
        <v>19487</v>
      </c>
      <c r="L459" s="22"/>
      <c r="M459" s="22"/>
      <c r="N459" s="25"/>
    </row>
    <row r="460" spans="1:14" ht="24.75" x14ac:dyDescent="0.25">
      <c r="A460" s="21" t="s">
        <v>2199</v>
      </c>
      <c r="B460" s="22" t="s">
        <v>2200</v>
      </c>
      <c r="C460" s="2">
        <v>1</v>
      </c>
      <c r="D460" s="23">
        <v>29.5</v>
      </c>
      <c r="E460" s="3">
        <v>29.5</v>
      </c>
      <c r="F460" s="2">
        <v>320853792004</v>
      </c>
      <c r="G460" s="22" t="s">
        <v>19357</v>
      </c>
      <c r="H460" s="24" t="s">
        <v>20159</v>
      </c>
      <c r="I460" s="22" t="s">
        <v>19309</v>
      </c>
      <c r="J460" s="22" t="s">
        <v>19325</v>
      </c>
      <c r="K460" s="22" t="s">
        <v>19326</v>
      </c>
      <c r="L460" s="22"/>
      <c r="M460" s="22"/>
      <c r="N460" s="25"/>
    </row>
    <row r="461" spans="1:14" ht="24.75" x14ac:dyDescent="0.25">
      <c r="A461" s="21" t="s">
        <v>13544</v>
      </c>
      <c r="B461" s="22" t="s">
        <v>13545</v>
      </c>
      <c r="C461" s="2">
        <v>1</v>
      </c>
      <c r="D461" s="23">
        <v>34.99</v>
      </c>
      <c r="E461" s="3">
        <v>34.99</v>
      </c>
      <c r="F461" s="2" t="s">
        <v>17478</v>
      </c>
      <c r="G461" s="22" t="s">
        <v>19333</v>
      </c>
      <c r="H461" s="24" t="s">
        <v>19416</v>
      </c>
      <c r="I461" s="22" t="s">
        <v>19309</v>
      </c>
      <c r="J461" s="22" t="s">
        <v>19385</v>
      </c>
      <c r="K461" s="22" t="s">
        <v>19487</v>
      </c>
      <c r="L461" s="22"/>
      <c r="M461" s="22"/>
      <c r="N461" s="25"/>
    </row>
    <row r="462" spans="1:14" ht="24.75" x14ac:dyDescent="0.25">
      <c r="A462" s="21" t="s">
        <v>2201</v>
      </c>
      <c r="B462" s="22" t="s">
        <v>2202</v>
      </c>
      <c r="C462" s="2">
        <v>1</v>
      </c>
      <c r="D462" s="23">
        <v>22.99</v>
      </c>
      <c r="E462" s="3">
        <v>22.99</v>
      </c>
      <c r="F462" s="2" t="s">
        <v>13561</v>
      </c>
      <c r="G462" s="22" t="s">
        <v>19477</v>
      </c>
      <c r="H462" s="24" t="s">
        <v>19367</v>
      </c>
      <c r="I462" s="22" t="s">
        <v>19309</v>
      </c>
      <c r="J462" s="22" t="s">
        <v>19385</v>
      </c>
      <c r="K462" s="22" t="s">
        <v>19463</v>
      </c>
      <c r="L462" s="22"/>
      <c r="M462" s="22"/>
      <c r="N462" s="25"/>
    </row>
    <row r="463" spans="1:14" x14ac:dyDescent="0.25">
      <c r="A463" s="21" t="s">
        <v>2203</v>
      </c>
      <c r="B463" s="22" t="s">
        <v>2204</v>
      </c>
      <c r="C463" s="2">
        <v>1</v>
      </c>
      <c r="D463" s="23">
        <v>25.44</v>
      </c>
      <c r="E463" s="3">
        <v>25.44</v>
      </c>
      <c r="F463" s="2" t="s">
        <v>19707</v>
      </c>
      <c r="G463" s="22" t="s">
        <v>19323</v>
      </c>
      <c r="H463" s="24" t="s">
        <v>19416</v>
      </c>
      <c r="I463" s="22" t="s">
        <v>19309</v>
      </c>
      <c r="J463" s="22" t="s">
        <v>19708</v>
      </c>
      <c r="K463" s="22" t="s">
        <v>19709</v>
      </c>
      <c r="L463" s="22"/>
      <c r="M463" s="22"/>
      <c r="N463" s="25"/>
    </row>
    <row r="464" spans="1:14" x14ac:dyDescent="0.25">
      <c r="A464" s="21" t="s">
        <v>2205</v>
      </c>
      <c r="B464" s="22" t="s">
        <v>2206</v>
      </c>
      <c r="C464" s="2">
        <v>1</v>
      </c>
      <c r="D464" s="23">
        <v>28</v>
      </c>
      <c r="E464" s="3">
        <v>28</v>
      </c>
      <c r="F464" s="2" t="s">
        <v>2207</v>
      </c>
      <c r="G464" s="22" t="s">
        <v>19383</v>
      </c>
      <c r="H464" s="24" t="s">
        <v>20159</v>
      </c>
      <c r="I464" s="22" t="s">
        <v>19309</v>
      </c>
      <c r="J464" s="22" t="s">
        <v>19417</v>
      </c>
      <c r="K464" s="22" t="s">
        <v>19418</v>
      </c>
      <c r="L464" s="22"/>
      <c r="M464" s="22"/>
      <c r="N464" s="25"/>
    </row>
    <row r="465" spans="1:14" ht="24.75" x14ac:dyDescent="0.25">
      <c r="A465" s="21" t="s">
        <v>2208</v>
      </c>
      <c r="B465" s="22" t="s">
        <v>2209</v>
      </c>
      <c r="C465" s="2">
        <v>1</v>
      </c>
      <c r="D465" s="23">
        <v>30</v>
      </c>
      <c r="E465" s="3">
        <v>30</v>
      </c>
      <c r="F465" s="2">
        <v>89380</v>
      </c>
      <c r="G465" s="22" t="s">
        <v>18644</v>
      </c>
      <c r="H465" s="24" t="s">
        <v>19367</v>
      </c>
      <c r="I465" s="22" t="s">
        <v>19309</v>
      </c>
      <c r="J465" s="22" t="s">
        <v>19417</v>
      </c>
      <c r="K465" s="22" t="s">
        <v>12032</v>
      </c>
      <c r="L465" s="22"/>
      <c r="M465" s="22"/>
      <c r="N465" s="25"/>
    </row>
    <row r="466" spans="1:14" x14ac:dyDescent="0.25">
      <c r="A466" s="21" t="s">
        <v>2210</v>
      </c>
      <c r="B466" s="22" t="s">
        <v>2211</v>
      </c>
      <c r="C466" s="2">
        <v>2</v>
      </c>
      <c r="D466" s="23">
        <v>26.05</v>
      </c>
      <c r="E466" s="3">
        <v>52.1</v>
      </c>
      <c r="F466" s="2" t="s">
        <v>19757</v>
      </c>
      <c r="G466" s="22"/>
      <c r="H466" s="24" t="s">
        <v>19416</v>
      </c>
      <c r="I466" s="22" t="s">
        <v>19309</v>
      </c>
      <c r="J466" s="22" t="s">
        <v>19708</v>
      </c>
      <c r="K466" s="22" t="s">
        <v>19754</v>
      </c>
      <c r="L466" s="22"/>
      <c r="M466" s="22"/>
      <c r="N466" s="25"/>
    </row>
    <row r="467" spans="1:14" ht="24.75" x14ac:dyDescent="0.25">
      <c r="A467" s="21" t="s">
        <v>2212</v>
      </c>
      <c r="B467" s="22" t="s">
        <v>2213</v>
      </c>
      <c r="C467" s="2">
        <v>1</v>
      </c>
      <c r="D467" s="23">
        <v>21.43</v>
      </c>
      <c r="E467" s="3">
        <v>21.43</v>
      </c>
      <c r="F467" s="2" t="s">
        <v>2214</v>
      </c>
      <c r="G467" s="22"/>
      <c r="H467" s="24" t="s">
        <v>19392</v>
      </c>
      <c r="I467" s="22" t="s">
        <v>19309</v>
      </c>
      <c r="J467" s="22" t="s">
        <v>19602</v>
      </c>
      <c r="K467" s="22" t="s">
        <v>19603</v>
      </c>
      <c r="L467" s="22"/>
      <c r="M467" s="22"/>
      <c r="N467" s="25"/>
    </row>
    <row r="468" spans="1:14" ht="24.75" x14ac:dyDescent="0.25">
      <c r="A468" s="21" t="s">
        <v>2215</v>
      </c>
      <c r="B468" s="22" t="s">
        <v>2216</v>
      </c>
      <c r="C468" s="2">
        <v>1</v>
      </c>
      <c r="D468" s="23">
        <v>21.43</v>
      </c>
      <c r="E468" s="3">
        <v>21.43</v>
      </c>
      <c r="F468" s="2" t="s">
        <v>2217</v>
      </c>
      <c r="G468" s="22"/>
      <c r="H468" s="24" t="s">
        <v>19392</v>
      </c>
      <c r="I468" s="22" t="s">
        <v>19309</v>
      </c>
      <c r="J468" s="22" t="s">
        <v>19602</v>
      </c>
      <c r="K468" s="22" t="s">
        <v>19603</v>
      </c>
      <c r="L468" s="22"/>
      <c r="M468" s="22"/>
      <c r="N468" s="25"/>
    </row>
    <row r="469" spans="1:14" ht="24.75" x14ac:dyDescent="0.25">
      <c r="A469" s="21" t="s">
        <v>2218</v>
      </c>
      <c r="B469" s="22" t="s">
        <v>2219</v>
      </c>
      <c r="C469" s="2">
        <v>1</v>
      </c>
      <c r="D469" s="23">
        <v>20.62</v>
      </c>
      <c r="E469" s="3">
        <v>20.62</v>
      </c>
      <c r="F469" s="2" t="s">
        <v>2220</v>
      </c>
      <c r="G469" s="22"/>
      <c r="H469" s="24"/>
      <c r="I469" s="22" t="s">
        <v>19309</v>
      </c>
      <c r="J469" s="22" t="s">
        <v>19602</v>
      </c>
      <c r="K469" s="22" t="s">
        <v>20041</v>
      </c>
      <c r="L469" s="22"/>
      <c r="M469" s="22"/>
      <c r="N469" s="25"/>
    </row>
    <row r="470" spans="1:14" ht="24.75" x14ac:dyDescent="0.25">
      <c r="A470" s="21" t="s">
        <v>10813</v>
      </c>
      <c r="B470" s="22" t="s">
        <v>10814</v>
      </c>
      <c r="C470" s="2">
        <v>1</v>
      </c>
      <c r="D470" s="23">
        <v>16.72</v>
      </c>
      <c r="E470" s="3">
        <v>16.72</v>
      </c>
      <c r="F470" s="2" t="s">
        <v>10815</v>
      </c>
      <c r="G470" s="22"/>
      <c r="H470" s="24"/>
      <c r="I470" s="22" t="s">
        <v>19309</v>
      </c>
      <c r="J470" s="22" t="s">
        <v>19602</v>
      </c>
      <c r="K470" s="22" t="s">
        <v>20041</v>
      </c>
      <c r="L470" s="22"/>
      <c r="M470" s="22"/>
      <c r="N470" s="25"/>
    </row>
    <row r="471" spans="1:14" x14ac:dyDescent="0.25">
      <c r="A471" s="21" t="s">
        <v>2221</v>
      </c>
      <c r="B471" s="22" t="s">
        <v>2222</v>
      </c>
      <c r="C471" s="2">
        <v>1</v>
      </c>
      <c r="D471" s="23">
        <v>15</v>
      </c>
      <c r="E471" s="3">
        <v>15</v>
      </c>
      <c r="F471" s="2" t="s">
        <v>2223</v>
      </c>
      <c r="G471" s="22" t="s">
        <v>19315</v>
      </c>
      <c r="H471" s="24" t="s">
        <v>19345</v>
      </c>
      <c r="I471" s="22" t="s">
        <v>19309</v>
      </c>
      <c r="J471" s="22" t="s">
        <v>19559</v>
      </c>
      <c r="K471" s="22" t="s">
        <v>19560</v>
      </c>
      <c r="L471" s="22"/>
      <c r="M471" s="22"/>
      <c r="N471" s="25"/>
    </row>
    <row r="472" spans="1:14" x14ac:dyDescent="0.25">
      <c r="A472" s="21" t="s">
        <v>2224</v>
      </c>
      <c r="B472" s="22" t="s">
        <v>2225</v>
      </c>
      <c r="C472" s="2">
        <v>1</v>
      </c>
      <c r="D472" s="23">
        <v>15.13</v>
      </c>
      <c r="E472" s="3">
        <v>15.13</v>
      </c>
      <c r="F472" s="2" t="s">
        <v>13191</v>
      </c>
      <c r="G472" s="22" t="s">
        <v>19357</v>
      </c>
      <c r="H472" s="24" t="s">
        <v>19367</v>
      </c>
      <c r="I472" s="22" t="s">
        <v>19309</v>
      </c>
      <c r="J472" s="22" t="s">
        <v>19708</v>
      </c>
      <c r="K472" s="22" t="s">
        <v>19709</v>
      </c>
      <c r="L472" s="22"/>
      <c r="M472" s="22"/>
      <c r="N472" s="25"/>
    </row>
    <row r="473" spans="1:14" ht="24.75" x14ac:dyDescent="0.25">
      <c r="A473" s="21" t="s">
        <v>2226</v>
      </c>
      <c r="B473" s="22" t="s">
        <v>2227</v>
      </c>
      <c r="C473" s="2">
        <v>1</v>
      </c>
      <c r="D473" s="23">
        <v>23.99</v>
      </c>
      <c r="E473" s="3">
        <v>23.99</v>
      </c>
      <c r="F473" s="2" t="s">
        <v>2228</v>
      </c>
      <c r="G473" s="22" t="s">
        <v>19342</v>
      </c>
      <c r="H473" s="24"/>
      <c r="I473" s="22" t="s">
        <v>19309</v>
      </c>
      <c r="J473" s="22" t="s">
        <v>19491</v>
      </c>
      <c r="K473" s="22" t="s">
        <v>19546</v>
      </c>
      <c r="L473" s="22"/>
      <c r="M473" s="22"/>
      <c r="N473" s="25"/>
    </row>
    <row r="474" spans="1:14" ht="24.75" x14ac:dyDescent="0.25">
      <c r="A474" s="21" t="s">
        <v>9377</v>
      </c>
      <c r="B474" s="22" t="s">
        <v>9378</v>
      </c>
      <c r="C474" s="2">
        <v>1</v>
      </c>
      <c r="D474" s="23">
        <v>11.55</v>
      </c>
      <c r="E474" s="3">
        <v>11.55</v>
      </c>
      <c r="F474" s="2" t="s">
        <v>17372</v>
      </c>
      <c r="G474" s="22" t="s">
        <v>19618</v>
      </c>
      <c r="H474" s="24" t="s">
        <v>19364</v>
      </c>
      <c r="I474" s="22" t="s">
        <v>19309</v>
      </c>
      <c r="J474" s="22" t="s">
        <v>19565</v>
      </c>
      <c r="K474" s="22" t="s">
        <v>18548</v>
      </c>
      <c r="L474" s="22"/>
      <c r="M474" s="22"/>
      <c r="N474" s="25"/>
    </row>
    <row r="475" spans="1:14" ht="24.75" x14ac:dyDescent="0.25">
      <c r="A475" s="21" t="s">
        <v>2229</v>
      </c>
      <c r="B475" s="22" t="s">
        <v>2230</v>
      </c>
      <c r="C475" s="2">
        <v>1</v>
      </c>
      <c r="D475" s="23">
        <v>12.01</v>
      </c>
      <c r="E475" s="3">
        <v>12.01</v>
      </c>
      <c r="F475" s="2" t="s">
        <v>2231</v>
      </c>
      <c r="G475" s="22" t="s">
        <v>18644</v>
      </c>
      <c r="H475" s="24" t="s">
        <v>19478</v>
      </c>
      <c r="I475" s="22" t="s">
        <v>19309</v>
      </c>
      <c r="J475" s="22" t="s">
        <v>19602</v>
      </c>
      <c r="K475" s="22" t="s">
        <v>20041</v>
      </c>
      <c r="L475" s="22"/>
      <c r="M475" s="22"/>
      <c r="N475" s="25"/>
    </row>
    <row r="476" spans="1:14" ht="24.75" x14ac:dyDescent="0.25">
      <c r="A476" s="21" t="s">
        <v>2232</v>
      </c>
      <c r="B476" s="22" t="s">
        <v>2233</v>
      </c>
      <c r="C476" s="2">
        <v>1</v>
      </c>
      <c r="D476" s="23">
        <v>8.41</v>
      </c>
      <c r="E476" s="3">
        <v>8.41</v>
      </c>
      <c r="F476" s="2" t="s">
        <v>18875</v>
      </c>
      <c r="G476" s="22"/>
      <c r="H476" s="24" t="s">
        <v>19392</v>
      </c>
      <c r="I476" s="22" t="s">
        <v>19309</v>
      </c>
      <c r="J476" s="22" t="s">
        <v>19602</v>
      </c>
      <c r="K476" s="22" t="s">
        <v>20041</v>
      </c>
      <c r="L476" s="22"/>
      <c r="M476" s="22"/>
      <c r="N476" s="25"/>
    </row>
  </sheetData>
  <phoneticPr fontId="0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0"/>
  <sheetViews>
    <sheetView workbookViewId="0">
      <selection activeCell="C17" sqref="C17"/>
    </sheetView>
  </sheetViews>
  <sheetFormatPr defaultRowHeight="15" x14ac:dyDescent="0.25"/>
  <cols>
    <col min="1" max="1" width="14.42578125" customWidth="1"/>
    <col min="2" max="2" width="55.42578125" customWidth="1"/>
    <col min="3" max="4" width="15" customWidth="1"/>
    <col min="5" max="5" width="10.85546875" customWidth="1"/>
    <col min="6" max="6" width="13.5703125" customWidth="1"/>
    <col min="7" max="8" width="11.42578125" customWidth="1"/>
    <col min="9" max="9" width="10.85546875" customWidth="1"/>
    <col min="10" max="10" width="12.140625" customWidth="1"/>
    <col min="11" max="11" width="36.5703125" bestFit="1" customWidth="1"/>
    <col min="12" max="13" width="20.5703125" customWidth="1"/>
    <col min="14" max="14" width="64.42578125" customWidth="1"/>
  </cols>
  <sheetData>
    <row r="1" spans="1:14" ht="36" x14ac:dyDescent="0.25">
      <c r="A1" s="1" t="s">
        <v>19291</v>
      </c>
      <c r="B1" s="1" t="s">
        <v>19292</v>
      </c>
      <c r="C1" s="1" t="s">
        <v>19293</v>
      </c>
      <c r="D1" s="1" t="s">
        <v>19284</v>
      </c>
      <c r="E1" s="1" t="s">
        <v>19294</v>
      </c>
      <c r="F1" s="1" t="s">
        <v>19295</v>
      </c>
      <c r="G1" s="1" t="s">
        <v>19296</v>
      </c>
      <c r="H1" s="1" t="s">
        <v>19297</v>
      </c>
      <c r="I1" s="1" t="s">
        <v>19298</v>
      </c>
      <c r="J1" s="1" t="s">
        <v>19299</v>
      </c>
      <c r="K1" s="1" t="s">
        <v>19300</v>
      </c>
      <c r="L1" s="1" t="s">
        <v>19301</v>
      </c>
      <c r="M1" s="1" t="s">
        <v>19302</v>
      </c>
      <c r="N1" s="1" t="s">
        <v>19303</v>
      </c>
    </row>
    <row r="2" spans="1:14" ht="24.75" x14ac:dyDescent="0.25">
      <c r="A2" s="21" t="s">
        <v>11234</v>
      </c>
      <c r="B2" s="22" t="s">
        <v>11235</v>
      </c>
      <c r="C2" s="2">
        <v>1</v>
      </c>
      <c r="D2" s="23">
        <v>89.99</v>
      </c>
      <c r="E2" s="3">
        <v>89.99</v>
      </c>
      <c r="F2" s="2">
        <v>1954571</v>
      </c>
      <c r="G2" s="22" t="s">
        <v>19307</v>
      </c>
      <c r="H2" s="24" t="s">
        <v>19364</v>
      </c>
      <c r="I2" s="22" t="s">
        <v>19309</v>
      </c>
      <c r="J2" s="22" t="s">
        <v>15506</v>
      </c>
      <c r="K2" s="22" t="s">
        <v>15507</v>
      </c>
      <c r="L2" s="22"/>
      <c r="M2" s="22"/>
      <c r="N2" s="25" t="str">
        <f>HYPERLINK("http://slimages.macys.com/is/image/MCY/19739268 ")</f>
        <v xml:space="preserve">http://slimages.macys.com/is/image/MCY/19739268 </v>
      </c>
    </row>
    <row r="3" spans="1:14" ht="24.75" x14ac:dyDescent="0.25">
      <c r="A3" s="21" t="s">
        <v>2234</v>
      </c>
      <c r="B3" s="22" t="s">
        <v>2235</v>
      </c>
      <c r="C3" s="2">
        <v>1</v>
      </c>
      <c r="D3" s="23">
        <v>90</v>
      </c>
      <c r="E3" s="3">
        <v>90</v>
      </c>
      <c r="F3" s="2" t="s">
        <v>2236</v>
      </c>
      <c r="G3" s="22" t="s">
        <v>19351</v>
      </c>
      <c r="H3" s="24" t="s">
        <v>19478</v>
      </c>
      <c r="I3" s="22" t="s">
        <v>19309</v>
      </c>
      <c r="J3" s="22" t="s">
        <v>12174</v>
      </c>
      <c r="K3" s="22" t="s">
        <v>2237</v>
      </c>
      <c r="L3" s="22"/>
      <c r="M3" s="22"/>
      <c r="N3" s="25" t="str">
        <f>HYPERLINK("http://slimages.macys.com/is/image/MCY/21254607 ")</f>
        <v xml:space="preserve">http://slimages.macys.com/is/image/MCY/21254607 </v>
      </c>
    </row>
    <row r="4" spans="1:14" ht="36.75" x14ac:dyDescent="0.25">
      <c r="A4" s="21" t="s">
        <v>10838</v>
      </c>
      <c r="B4" s="22" t="s">
        <v>10839</v>
      </c>
      <c r="C4" s="2">
        <v>1</v>
      </c>
      <c r="D4" s="23">
        <v>65</v>
      </c>
      <c r="E4" s="3">
        <v>65</v>
      </c>
      <c r="F4" s="2">
        <v>310874033001</v>
      </c>
      <c r="G4" s="22" t="s">
        <v>19323</v>
      </c>
      <c r="H4" s="24" t="s">
        <v>20159</v>
      </c>
      <c r="I4" s="22" t="s">
        <v>19309</v>
      </c>
      <c r="J4" s="22" t="s">
        <v>19325</v>
      </c>
      <c r="K4" s="22" t="s">
        <v>19326</v>
      </c>
      <c r="L4" s="22" t="s">
        <v>19319</v>
      </c>
      <c r="M4" s="22" t="s">
        <v>19327</v>
      </c>
      <c r="N4" s="25" t="str">
        <f>HYPERLINK("http://images.bloomingdales.com/is/image/BLM/12239490 ")</f>
        <v xml:space="preserve">http://images.bloomingdales.com/is/image/BLM/12239490 </v>
      </c>
    </row>
    <row r="5" spans="1:14" x14ac:dyDescent="0.25">
      <c r="A5" s="21" t="s">
        <v>2238</v>
      </c>
      <c r="B5" s="22" t="s">
        <v>2239</v>
      </c>
      <c r="C5" s="2">
        <v>1</v>
      </c>
      <c r="D5" s="23">
        <v>54</v>
      </c>
      <c r="E5" s="3">
        <v>54</v>
      </c>
      <c r="F5" s="2" t="s">
        <v>2240</v>
      </c>
      <c r="G5" s="22" t="s">
        <v>19315</v>
      </c>
      <c r="H5" s="24" t="s">
        <v>19501</v>
      </c>
      <c r="I5" s="22" t="s">
        <v>19309</v>
      </c>
      <c r="J5" s="22" t="s">
        <v>17328</v>
      </c>
      <c r="K5" s="22" t="s">
        <v>2241</v>
      </c>
      <c r="L5" s="22"/>
      <c r="M5" s="22"/>
      <c r="N5" s="25" t="str">
        <f>HYPERLINK("http://slimages.macys.com/is/image/MCY/19796726 ")</f>
        <v xml:space="preserve">http://slimages.macys.com/is/image/MCY/19796726 </v>
      </c>
    </row>
    <row r="6" spans="1:14" ht="24.75" x14ac:dyDescent="0.25">
      <c r="A6" s="21" t="s">
        <v>2242</v>
      </c>
      <c r="B6" s="22" t="s">
        <v>2243</v>
      </c>
      <c r="C6" s="2">
        <v>1</v>
      </c>
      <c r="D6" s="23">
        <v>55</v>
      </c>
      <c r="E6" s="3">
        <v>55</v>
      </c>
      <c r="F6" s="2" t="s">
        <v>6378</v>
      </c>
      <c r="G6" s="22" t="s">
        <v>19351</v>
      </c>
      <c r="H6" s="24" t="s">
        <v>8844</v>
      </c>
      <c r="I6" s="22" t="s">
        <v>19309</v>
      </c>
      <c r="J6" s="22" t="s">
        <v>17328</v>
      </c>
      <c r="K6" s="22" t="s">
        <v>10252</v>
      </c>
      <c r="L6" s="22" t="s">
        <v>19319</v>
      </c>
      <c r="M6" s="22" t="s">
        <v>6379</v>
      </c>
      <c r="N6" s="25" t="str">
        <f>HYPERLINK("http://slimages.macys.com/is/image/MCY/2037925 ")</f>
        <v xml:space="preserve">http://slimages.macys.com/is/image/MCY/2037925 </v>
      </c>
    </row>
    <row r="7" spans="1:14" ht="24.75" x14ac:dyDescent="0.25">
      <c r="A7" s="21" t="s">
        <v>2244</v>
      </c>
      <c r="B7" s="22" t="s">
        <v>2245</v>
      </c>
      <c r="C7" s="2">
        <v>1</v>
      </c>
      <c r="D7" s="23">
        <v>55</v>
      </c>
      <c r="E7" s="3">
        <v>55</v>
      </c>
      <c r="F7" s="2">
        <v>310874234001</v>
      </c>
      <c r="G7" s="22" t="s">
        <v>19342</v>
      </c>
      <c r="H7" s="24" t="s">
        <v>20159</v>
      </c>
      <c r="I7" s="22" t="s">
        <v>19309</v>
      </c>
      <c r="J7" s="22" t="s">
        <v>19325</v>
      </c>
      <c r="K7" s="22" t="s">
        <v>19326</v>
      </c>
      <c r="L7" s="22"/>
      <c r="M7" s="22"/>
      <c r="N7" s="25" t="str">
        <f>HYPERLINK("http://slimages.macys.com/is/image/MCY/21965470 ")</f>
        <v xml:space="preserve">http://slimages.macys.com/is/image/MCY/21965470 </v>
      </c>
    </row>
    <row r="8" spans="1:14" ht="24.75" x14ac:dyDescent="0.25">
      <c r="A8" s="21" t="s">
        <v>2246</v>
      </c>
      <c r="B8" s="22" t="s">
        <v>2247</v>
      </c>
      <c r="C8" s="2">
        <v>1</v>
      </c>
      <c r="D8" s="23">
        <v>49.5</v>
      </c>
      <c r="E8" s="3">
        <v>49.5</v>
      </c>
      <c r="F8" s="2">
        <v>322850934001</v>
      </c>
      <c r="G8" s="22" t="s">
        <v>19333</v>
      </c>
      <c r="H8" s="24" t="s">
        <v>19361</v>
      </c>
      <c r="I8" s="22" t="s">
        <v>19309</v>
      </c>
      <c r="J8" s="22" t="s">
        <v>19335</v>
      </c>
      <c r="K8" s="22" t="s">
        <v>19326</v>
      </c>
      <c r="L8" s="22"/>
      <c r="M8" s="22"/>
      <c r="N8" s="25" t="str">
        <f>HYPERLINK("http://slimages.macys.com/is/image/MCY/20542440 ")</f>
        <v xml:space="preserve">http://slimages.macys.com/is/image/MCY/20542440 </v>
      </c>
    </row>
    <row r="9" spans="1:14" ht="24.75" x14ac:dyDescent="0.25">
      <c r="A9" s="21" t="s">
        <v>2248</v>
      </c>
      <c r="B9" s="22" t="s">
        <v>2249</v>
      </c>
      <c r="C9" s="2">
        <v>1</v>
      </c>
      <c r="D9" s="23">
        <v>49.5</v>
      </c>
      <c r="E9" s="3">
        <v>49.5</v>
      </c>
      <c r="F9" s="2">
        <v>310873355001</v>
      </c>
      <c r="G9" s="22" t="s">
        <v>19323</v>
      </c>
      <c r="H9" s="24" t="s">
        <v>19367</v>
      </c>
      <c r="I9" s="22" t="s">
        <v>19309</v>
      </c>
      <c r="J9" s="22" t="s">
        <v>19325</v>
      </c>
      <c r="K9" s="22" t="s">
        <v>19326</v>
      </c>
      <c r="L9" s="22"/>
      <c r="M9" s="22"/>
      <c r="N9" s="25" t="str">
        <f>HYPERLINK("http://slimages.macys.com/is/image/MCY/22118860 ")</f>
        <v xml:space="preserve">http://slimages.macys.com/is/image/MCY/22118860 </v>
      </c>
    </row>
    <row r="10" spans="1:14" ht="24.75" x14ac:dyDescent="0.25">
      <c r="A10" s="21" t="s">
        <v>2250</v>
      </c>
      <c r="B10" s="22" t="s">
        <v>2251</v>
      </c>
      <c r="C10" s="2">
        <v>5</v>
      </c>
      <c r="D10" s="23">
        <v>49.5</v>
      </c>
      <c r="E10" s="3">
        <v>247.5</v>
      </c>
      <c r="F10" s="2">
        <v>320850753001</v>
      </c>
      <c r="G10" s="22" t="s">
        <v>19333</v>
      </c>
      <c r="H10" s="24" t="s">
        <v>19770</v>
      </c>
      <c r="I10" s="22" t="s">
        <v>19309</v>
      </c>
      <c r="J10" s="22" t="s">
        <v>19325</v>
      </c>
      <c r="K10" s="22" t="s">
        <v>19326</v>
      </c>
      <c r="L10" s="22" t="s">
        <v>17554</v>
      </c>
      <c r="M10" s="22" t="s">
        <v>19358</v>
      </c>
      <c r="N10" s="25" t="str">
        <f>HYPERLINK("http://images.bloomingdales.com/is/image/BLM/11630876 ")</f>
        <v xml:space="preserve">http://images.bloomingdales.com/is/image/BLM/11630876 </v>
      </c>
    </row>
    <row r="11" spans="1:14" ht="24.75" x14ac:dyDescent="0.25">
      <c r="A11" s="21" t="s">
        <v>2252</v>
      </c>
      <c r="B11" s="22" t="s">
        <v>2253</v>
      </c>
      <c r="C11" s="2">
        <v>1</v>
      </c>
      <c r="D11" s="23">
        <v>45</v>
      </c>
      <c r="E11" s="3">
        <v>45</v>
      </c>
      <c r="F11" s="2">
        <v>310870514001</v>
      </c>
      <c r="G11" s="22" t="s">
        <v>19323</v>
      </c>
      <c r="H11" s="24" t="s">
        <v>19324</v>
      </c>
      <c r="I11" s="22" t="s">
        <v>19309</v>
      </c>
      <c r="J11" s="22" t="s">
        <v>19325</v>
      </c>
      <c r="K11" s="22" t="s">
        <v>19326</v>
      </c>
      <c r="L11" s="22" t="s">
        <v>15055</v>
      </c>
      <c r="M11" s="22" t="s">
        <v>17531</v>
      </c>
      <c r="N11" s="25" t="str">
        <f>HYPERLINK("http://images.bloomingdales.com/is/image/BLM/12239387 ")</f>
        <v xml:space="preserve">http://images.bloomingdales.com/is/image/BLM/12239387 </v>
      </c>
    </row>
    <row r="12" spans="1:14" ht="36.75" x14ac:dyDescent="0.25">
      <c r="A12" s="21" t="s">
        <v>2254</v>
      </c>
      <c r="B12" s="22" t="s">
        <v>2255</v>
      </c>
      <c r="C12" s="2">
        <v>1</v>
      </c>
      <c r="D12" s="23">
        <v>60.99</v>
      </c>
      <c r="E12" s="3">
        <v>60.99</v>
      </c>
      <c r="F12" s="2" t="s">
        <v>15064</v>
      </c>
      <c r="G12" s="22" t="s">
        <v>19404</v>
      </c>
      <c r="H12" s="24" t="s">
        <v>19316</v>
      </c>
      <c r="I12" s="22" t="s">
        <v>19309</v>
      </c>
      <c r="J12" s="22" t="s">
        <v>19400</v>
      </c>
      <c r="K12" s="22" t="s">
        <v>19423</v>
      </c>
      <c r="L12" s="22" t="s">
        <v>19319</v>
      </c>
      <c r="M12" s="22" t="s">
        <v>15065</v>
      </c>
      <c r="N12" s="25" t="str">
        <f>HYPERLINK("http://slimages.macys.com/is/image/MCY/16056469 ")</f>
        <v xml:space="preserve">http://slimages.macys.com/is/image/MCY/16056469 </v>
      </c>
    </row>
    <row r="13" spans="1:14" ht="24.75" x14ac:dyDescent="0.25">
      <c r="A13" s="21" t="s">
        <v>2256</v>
      </c>
      <c r="B13" s="22" t="s">
        <v>2257</v>
      </c>
      <c r="C13" s="2">
        <v>1</v>
      </c>
      <c r="D13" s="23">
        <v>39.5</v>
      </c>
      <c r="E13" s="3">
        <v>39.5</v>
      </c>
      <c r="F13" s="2">
        <v>323853904004</v>
      </c>
      <c r="G13" s="22" t="s">
        <v>19879</v>
      </c>
      <c r="H13" s="24" t="s">
        <v>19364</v>
      </c>
      <c r="I13" s="22" t="s">
        <v>19309</v>
      </c>
      <c r="J13" s="22" t="s">
        <v>19335</v>
      </c>
      <c r="K13" s="22" t="s">
        <v>19326</v>
      </c>
      <c r="L13" s="22" t="s">
        <v>17530</v>
      </c>
      <c r="M13" s="22" t="s">
        <v>17531</v>
      </c>
      <c r="N13" s="25" t="str">
        <f>HYPERLINK("http://images.bloomingdales.com/is/image/BLM/11734050 ")</f>
        <v xml:space="preserve">http://images.bloomingdales.com/is/image/BLM/11734050 </v>
      </c>
    </row>
    <row r="14" spans="1:14" ht="24.75" x14ac:dyDescent="0.25">
      <c r="A14" s="21" t="s">
        <v>2258</v>
      </c>
      <c r="B14" s="22" t="s">
        <v>2259</v>
      </c>
      <c r="C14" s="2">
        <v>1</v>
      </c>
      <c r="D14" s="23">
        <v>39.5</v>
      </c>
      <c r="E14" s="3">
        <v>39.5</v>
      </c>
      <c r="F14" s="2">
        <v>310833416004</v>
      </c>
      <c r="G14" s="22" t="s">
        <v>19333</v>
      </c>
      <c r="H14" s="24" t="s">
        <v>19367</v>
      </c>
      <c r="I14" s="22" t="s">
        <v>19309</v>
      </c>
      <c r="J14" s="22" t="s">
        <v>19325</v>
      </c>
      <c r="K14" s="22" t="s">
        <v>19326</v>
      </c>
      <c r="L14" s="22"/>
      <c r="M14" s="22"/>
      <c r="N14" s="25" t="str">
        <f>HYPERLINK("http://slimages.macys.com/is/image/MCY/18467891 ")</f>
        <v xml:space="preserve">http://slimages.macys.com/is/image/MCY/18467891 </v>
      </c>
    </row>
    <row r="15" spans="1:14" ht="24.75" x14ac:dyDescent="0.25">
      <c r="A15" s="21" t="s">
        <v>2260</v>
      </c>
      <c r="B15" s="22" t="s">
        <v>2261</v>
      </c>
      <c r="C15" s="2">
        <v>1</v>
      </c>
      <c r="D15" s="23">
        <v>39.5</v>
      </c>
      <c r="E15" s="3">
        <v>39.5</v>
      </c>
      <c r="F15" s="2">
        <v>310748792006</v>
      </c>
      <c r="G15" s="22" t="s">
        <v>19323</v>
      </c>
      <c r="H15" s="24" t="s">
        <v>19367</v>
      </c>
      <c r="I15" s="22" t="s">
        <v>19309</v>
      </c>
      <c r="J15" s="22" t="s">
        <v>19325</v>
      </c>
      <c r="K15" s="22" t="s">
        <v>19326</v>
      </c>
      <c r="L15" s="22"/>
      <c r="M15" s="22"/>
      <c r="N15" s="25" t="str">
        <f>HYPERLINK("http://slimages.macys.com/is/image/MCY/20009314 ")</f>
        <v xml:space="preserve">http://slimages.macys.com/is/image/MCY/20009314 </v>
      </c>
    </row>
    <row r="16" spans="1:14" ht="24.75" x14ac:dyDescent="0.25">
      <c r="A16" s="21" t="s">
        <v>17552</v>
      </c>
      <c r="B16" s="22" t="s">
        <v>17553</v>
      </c>
      <c r="C16" s="2">
        <v>1</v>
      </c>
      <c r="D16" s="23">
        <v>39.5</v>
      </c>
      <c r="E16" s="3">
        <v>39.5</v>
      </c>
      <c r="F16" s="2">
        <v>310833416004</v>
      </c>
      <c r="G16" s="22" t="s">
        <v>19333</v>
      </c>
      <c r="H16" s="24" t="s">
        <v>19770</v>
      </c>
      <c r="I16" s="22" t="s">
        <v>19309</v>
      </c>
      <c r="J16" s="22" t="s">
        <v>19325</v>
      </c>
      <c r="K16" s="22" t="s">
        <v>19326</v>
      </c>
      <c r="L16" s="22" t="s">
        <v>17554</v>
      </c>
      <c r="M16" s="22" t="s">
        <v>17531</v>
      </c>
      <c r="N16" s="25" t="str">
        <f>HYPERLINK("http://images.bloomingdales.com/is/image/BLM/11278831 ")</f>
        <v xml:space="preserve">http://images.bloomingdales.com/is/image/BLM/11278831 </v>
      </c>
    </row>
    <row r="17" spans="1:14" ht="24.75" x14ac:dyDescent="0.25">
      <c r="A17" s="21" t="s">
        <v>2262</v>
      </c>
      <c r="B17" s="22" t="s">
        <v>2263</v>
      </c>
      <c r="C17" s="2">
        <v>1</v>
      </c>
      <c r="D17" s="23">
        <v>35</v>
      </c>
      <c r="E17" s="3">
        <v>35</v>
      </c>
      <c r="F17" s="2">
        <v>321806003012</v>
      </c>
      <c r="G17" s="22" t="s">
        <v>19338</v>
      </c>
      <c r="H17" s="24" t="s">
        <v>19334</v>
      </c>
      <c r="I17" s="22" t="s">
        <v>19309</v>
      </c>
      <c r="J17" s="22" t="s">
        <v>19335</v>
      </c>
      <c r="K17" s="22" t="s">
        <v>19326</v>
      </c>
      <c r="L17" s="22"/>
      <c r="M17" s="22"/>
      <c r="N17" s="25" t="str">
        <f>HYPERLINK("http://slimages.macys.com/is/image/MCY/17944657 ")</f>
        <v xml:space="preserve">http://slimages.macys.com/is/image/MCY/17944657 </v>
      </c>
    </row>
    <row r="18" spans="1:14" ht="24.75" x14ac:dyDescent="0.25">
      <c r="A18" s="21" t="s">
        <v>2264</v>
      </c>
      <c r="B18" s="22" t="s">
        <v>2265</v>
      </c>
      <c r="C18" s="2">
        <v>4</v>
      </c>
      <c r="D18" s="23">
        <v>35</v>
      </c>
      <c r="E18" s="3">
        <v>140</v>
      </c>
      <c r="F18" s="2">
        <v>320785259003</v>
      </c>
      <c r="G18" s="22" t="s">
        <v>19333</v>
      </c>
      <c r="H18" s="24" t="s">
        <v>19330</v>
      </c>
      <c r="I18" s="22" t="s">
        <v>19309</v>
      </c>
      <c r="J18" s="22" t="s">
        <v>19325</v>
      </c>
      <c r="K18" s="22" t="s">
        <v>19326</v>
      </c>
      <c r="L18" s="22"/>
      <c r="M18" s="22"/>
      <c r="N18" s="25" t="str">
        <f>HYPERLINK("http://slimages.macys.com/is/image/MCY/16776882 ")</f>
        <v xml:space="preserve">http://slimages.macys.com/is/image/MCY/16776882 </v>
      </c>
    </row>
    <row r="19" spans="1:14" ht="24.75" x14ac:dyDescent="0.25">
      <c r="A19" s="21" t="s">
        <v>2266</v>
      </c>
      <c r="B19" s="22" t="s">
        <v>2267</v>
      </c>
      <c r="C19" s="2">
        <v>1</v>
      </c>
      <c r="D19" s="23">
        <v>32.99</v>
      </c>
      <c r="E19" s="3">
        <v>32.99</v>
      </c>
      <c r="F19" s="2" t="s">
        <v>2268</v>
      </c>
      <c r="G19" s="22" t="s">
        <v>19528</v>
      </c>
      <c r="H19" s="24" t="s">
        <v>19324</v>
      </c>
      <c r="I19" s="22" t="s">
        <v>19309</v>
      </c>
      <c r="J19" s="22" t="s">
        <v>19491</v>
      </c>
      <c r="K19" s="22" t="s">
        <v>12872</v>
      </c>
      <c r="L19" s="22"/>
      <c r="M19" s="22"/>
      <c r="N19" s="25" t="str">
        <f>HYPERLINK("http://slimages.macys.com/is/image/MCY/21436301 ")</f>
        <v xml:space="preserve">http://slimages.macys.com/is/image/MCY/21436301 </v>
      </c>
    </row>
    <row r="20" spans="1:14" ht="24.75" x14ac:dyDescent="0.25">
      <c r="A20" s="21" t="s">
        <v>2269</v>
      </c>
      <c r="B20" s="22" t="s">
        <v>2270</v>
      </c>
      <c r="C20" s="2">
        <v>1</v>
      </c>
      <c r="D20" s="23">
        <v>34.99</v>
      </c>
      <c r="E20" s="3">
        <v>34.99</v>
      </c>
      <c r="F20" s="2" t="s">
        <v>2271</v>
      </c>
      <c r="G20" s="22" t="s">
        <v>18073</v>
      </c>
      <c r="H20" s="24" t="s">
        <v>19330</v>
      </c>
      <c r="I20" s="22" t="s">
        <v>19309</v>
      </c>
      <c r="J20" s="22" t="s">
        <v>19385</v>
      </c>
      <c r="K20" s="22" t="s">
        <v>2272</v>
      </c>
      <c r="L20" s="22"/>
      <c r="M20" s="22"/>
      <c r="N20" s="25" t="str">
        <f>HYPERLINK("http://slimages.macys.com/is/image/MCY/19597894 ")</f>
        <v xml:space="preserve">http://slimages.macys.com/is/image/MCY/19597894 </v>
      </c>
    </row>
    <row r="21" spans="1:14" ht="24.75" x14ac:dyDescent="0.25">
      <c r="A21" s="21" t="s">
        <v>8672</v>
      </c>
      <c r="B21" s="22" t="s">
        <v>8673</v>
      </c>
      <c r="C21" s="2">
        <v>1</v>
      </c>
      <c r="D21" s="23">
        <v>39.99</v>
      </c>
      <c r="E21" s="3">
        <v>39.99</v>
      </c>
      <c r="F21" s="2" t="s">
        <v>8674</v>
      </c>
      <c r="G21" s="22" t="s">
        <v>19383</v>
      </c>
      <c r="H21" s="24" t="s">
        <v>19538</v>
      </c>
      <c r="I21" s="22" t="s">
        <v>19309</v>
      </c>
      <c r="J21" s="22" t="s">
        <v>19385</v>
      </c>
      <c r="K21" s="22" t="s">
        <v>19386</v>
      </c>
      <c r="L21" s="22"/>
      <c r="M21" s="22"/>
      <c r="N21" s="25" t="str">
        <f>HYPERLINK("http://slimages.macys.com/is/image/MCY/21000291 ")</f>
        <v xml:space="preserve">http://slimages.macys.com/is/image/MCY/21000291 </v>
      </c>
    </row>
    <row r="22" spans="1:14" ht="24.75" x14ac:dyDescent="0.25">
      <c r="A22" s="21" t="s">
        <v>9392</v>
      </c>
      <c r="B22" s="22" t="s">
        <v>9393</v>
      </c>
      <c r="C22" s="2">
        <v>1</v>
      </c>
      <c r="D22" s="23">
        <v>29.99</v>
      </c>
      <c r="E22" s="3">
        <v>29.99</v>
      </c>
      <c r="F22" s="2">
        <v>1574733</v>
      </c>
      <c r="G22" s="22" t="s">
        <v>19307</v>
      </c>
      <c r="H22" s="24"/>
      <c r="I22" s="22" t="s">
        <v>19309</v>
      </c>
      <c r="J22" s="22" t="s">
        <v>15506</v>
      </c>
      <c r="K22" s="22" t="s">
        <v>13612</v>
      </c>
      <c r="L22" s="22"/>
      <c r="M22" s="22"/>
      <c r="N22" s="25" t="str">
        <f>HYPERLINK("http://slimages.macys.com/is/image/MCY/19900738 ")</f>
        <v xml:space="preserve">http://slimages.macys.com/is/image/MCY/19900738 </v>
      </c>
    </row>
    <row r="23" spans="1:14" ht="24.75" x14ac:dyDescent="0.25">
      <c r="A23" s="21" t="s">
        <v>2273</v>
      </c>
      <c r="B23" s="22" t="s">
        <v>2274</v>
      </c>
      <c r="C23" s="2">
        <v>1</v>
      </c>
      <c r="D23" s="23">
        <v>32.5</v>
      </c>
      <c r="E23" s="3">
        <v>32.5</v>
      </c>
      <c r="F23" s="2">
        <v>320850723001</v>
      </c>
      <c r="G23" s="22" t="s">
        <v>19333</v>
      </c>
      <c r="H23" s="24" t="s">
        <v>19770</v>
      </c>
      <c r="I23" s="22" t="s">
        <v>19309</v>
      </c>
      <c r="J23" s="22" t="s">
        <v>19325</v>
      </c>
      <c r="K23" s="22" t="s">
        <v>19326</v>
      </c>
      <c r="L23" s="22" t="s">
        <v>17554</v>
      </c>
      <c r="M23" s="22" t="s">
        <v>19358</v>
      </c>
      <c r="N23" s="25" t="str">
        <f>HYPERLINK("http://images.bloomingdales.com/is/image/BLM/11734277 ")</f>
        <v xml:space="preserve">http://images.bloomingdales.com/is/image/BLM/11734277 </v>
      </c>
    </row>
    <row r="24" spans="1:14" x14ac:dyDescent="0.25">
      <c r="A24" s="21" t="s">
        <v>2275</v>
      </c>
      <c r="B24" s="22" t="s">
        <v>2276</v>
      </c>
      <c r="C24" s="2">
        <v>1</v>
      </c>
      <c r="D24" s="23">
        <v>29</v>
      </c>
      <c r="E24" s="3">
        <v>29</v>
      </c>
      <c r="F24" s="2" t="s">
        <v>6462</v>
      </c>
      <c r="G24" s="22" t="s">
        <v>19801</v>
      </c>
      <c r="H24" s="24" t="s">
        <v>19339</v>
      </c>
      <c r="I24" s="22" t="s">
        <v>19309</v>
      </c>
      <c r="J24" s="22" t="s">
        <v>19310</v>
      </c>
      <c r="K24" s="22" t="s">
        <v>19311</v>
      </c>
      <c r="L24" s="22"/>
      <c r="M24" s="22"/>
      <c r="N24" s="25" t="str">
        <f>HYPERLINK("http://slimages.macys.com/is/image/MCY/18249513 ")</f>
        <v xml:space="preserve">http://slimages.macys.com/is/image/MCY/18249513 </v>
      </c>
    </row>
    <row r="25" spans="1:14" ht="24.75" x14ac:dyDescent="0.25">
      <c r="A25" s="21" t="s">
        <v>2277</v>
      </c>
      <c r="B25" s="22" t="s">
        <v>2278</v>
      </c>
      <c r="C25" s="2">
        <v>1</v>
      </c>
      <c r="D25" s="23">
        <v>29.99</v>
      </c>
      <c r="E25" s="3">
        <v>29.99</v>
      </c>
      <c r="F25" s="2" t="s">
        <v>13653</v>
      </c>
      <c r="G25" s="22" t="s">
        <v>19431</v>
      </c>
      <c r="H25" s="24" t="s">
        <v>19324</v>
      </c>
      <c r="I25" s="22" t="s">
        <v>19309</v>
      </c>
      <c r="J25" s="22" t="s">
        <v>19491</v>
      </c>
      <c r="K25" s="22" t="s">
        <v>15106</v>
      </c>
      <c r="L25" s="22"/>
      <c r="M25" s="22"/>
      <c r="N25" s="25" t="str">
        <f>HYPERLINK("http://slimages.macys.com/is/image/MCY/21313209 ")</f>
        <v xml:space="preserve">http://slimages.macys.com/is/image/MCY/21313209 </v>
      </c>
    </row>
    <row r="26" spans="1:14" ht="24.75" x14ac:dyDescent="0.25">
      <c r="A26" s="21" t="s">
        <v>11350</v>
      </c>
      <c r="B26" s="22" t="s">
        <v>11351</v>
      </c>
      <c r="C26" s="2">
        <v>1</v>
      </c>
      <c r="D26" s="23">
        <v>30.99</v>
      </c>
      <c r="E26" s="3">
        <v>30.99</v>
      </c>
      <c r="F26" s="2" t="s">
        <v>11352</v>
      </c>
      <c r="G26" s="22" t="s">
        <v>19528</v>
      </c>
      <c r="H26" s="24" t="s">
        <v>19334</v>
      </c>
      <c r="I26" s="22" t="s">
        <v>19309</v>
      </c>
      <c r="J26" s="22" t="s">
        <v>19310</v>
      </c>
      <c r="K26" s="22" t="s">
        <v>19433</v>
      </c>
      <c r="L26" s="22"/>
      <c r="M26" s="22"/>
      <c r="N26" s="25" t="str">
        <f>HYPERLINK("http://slimages.macys.com/is/image/MCY/19687768 ")</f>
        <v xml:space="preserve">http://slimages.macys.com/is/image/MCY/19687768 </v>
      </c>
    </row>
    <row r="27" spans="1:14" ht="24.75" x14ac:dyDescent="0.25">
      <c r="A27" s="21" t="s">
        <v>2279</v>
      </c>
      <c r="B27" s="22" t="s">
        <v>2280</v>
      </c>
      <c r="C27" s="2">
        <v>1</v>
      </c>
      <c r="D27" s="23">
        <v>30.99</v>
      </c>
      <c r="E27" s="3">
        <v>30.99</v>
      </c>
      <c r="F27" s="2" t="s">
        <v>9398</v>
      </c>
      <c r="G27" s="22" t="s">
        <v>19333</v>
      </c>
      <c r="H27" s="24" t="s">
        <v>19339</v>
      </c>
      <c r="I27" s="22" t="s">
        <v>19309</v>
      </c>
      <c r="J27" s="22" t="s">
        <v>19447</v>
      </c>
      <c r="K27" s="22" t="s">
        <v>19533</v>
      </c>
      <c r="L27" s="22"/>
      <c r="M27" s="22"/>
      <c r="N27" s="25" t="str">
        <f>HYPERLINK("http://slimages.macys.com/is/image/MCY/20783926 ")</f>
        <v xml:space="preserve">http://slimages.macys.com/is/image/MCY/20783926 </v>
      </c>
    </row>
    <row r="28" spans="1:14" ht="24.75" x14ac:dyDescent="0.25">
      <c r="A28" s="21" t="s">
        <v>2281</v>
      </c>
      <c r="B28" s="22" t="s">
        <v>2282</v>
      </c>
      <c r="C28" s="2">
        <v>1</v>
      </c>
      <c r="D28" s="23">
        <v>30.99</v>
      </c>
      <c r="E28" s="3">
        <v>30.99</v>
      </c>
      <c r="F28" s="2" t="s">
        <v>9398</v>
      </c>
      <c r="G28" s="22" t="s">
        <v>19333</v>
      </c>
      <c r="H28" s="24" t="s">
        <v>19364</v>
      </c>
      <c r="I28" s="22" t="s">
        <v>19309</v>
      </c>
      <c r="J28" s="22" t="s">
        <v>19447</v>
      </c>
      <c r="K28" s="22" t="s">
        <v>19533</v>
      </c>
      <c r="L28" s="22"/>
      <c r="M28" s="22"/>
      <c r="N28" s="25" t="str">
        <f>HYPERLINK("http://slimages.macys.com/is/image/MCY/20783926 ")</f>
        <v xml:space="preserve">http://slimages.macys.com/is/image/MCY/20783926 </v>
      </c>
    </row>
    <row r="29" spans="1:14" x14ac:dyDescent="0.25">
      <c r="A29" s="21" t="s">
        <v>2283</v>
      </c>
      <c r="B29" s="22" t="s">
        <v>2284</v>
      </c>
      <c r="C29" s="2">
        <v>1</v>
      </c>
      <c r="D29" s="23">
        <v>30.99</v>
      </c>
      <c r="E29" s="3">
        <v>30.99</v>
      </c>
      <c r="F29" s="2" t="s">
        <v>11355</v>
      </c>
      <c r="G29" s="22" t="s">
        <v>19315</v>
      </c>
      <c r="H29" s="24" t="s">
        <v>19432</v>
      </c>
      <c r="I29" s="22" t="s">
        <v>19309</v>
      </c>
      <c r="J29" s="22" t="s">
        <v>19310</v>
      </c>
      <c r="K29" s="22" t="s">
        <v>19433</v>
      </c>
      <c r="L29" s="22"/>
      <c r="M29" s="22"/>
      <c r="N29" s="25" t="str">
        <f>HYPERLINK("http://slimages.macys.com/is/image/MCY/19689501 ")</f>
        <v xml:space="preserve">http://slimages.macys.com/is/image/MCY/19689501 </v>
      </c>
    </row>
    <row r="30" spans="1:14" ht="24.75" x14ac:dyDescent="0.25">
      <c r="A30" s="21" t="s">
        <v>2285</v>
      </c>
      <c r="B30" s="22" t="s">
        <v>2286</v>
      </c>
      <c r="C30" s="2">
        <v>1</v>
      </c>
      <c r="D30" s="23">
        <v>30.99</v>
      </c>
      <c r="E30" s="3">
        <v>30.99</v>
      </c>
      <c r="F30" s="2" t="s">
        <v>9398</v>
      </c>
      <c r="G30" s="22" t="s">
        <v>19333</v>
      </c>
      <c r="H30" s="24" t="s">
        <v>19352</v>
      </c>
      <c r="I30" s="22" t="s">
        <v>19309</v>
      </c>
      <c r="J30" s="22" t="s">
        <v>19447</v>
      </c>
      <c r="K30" s="22" t="s">
        <v>19533</v>
      </c>
      <c r="L30" s="22"/>
      <c r="M30" s="22"/>
      <c r="N30" s="25" t="str">
        <f>HYPERLINK("http://slimages.macys.com/is/image/MCY/20783926 ")</f>
        <v xml:space="preserve">http://slimages.macys.com/is/image/MCY/20783926 </v>
      </c>
    </row>
    <row r="31" spans="1:14" x14ac:dyDescent="0.25">
      <c r="A31" s="21" t="s">
        <v>2287</v>
      </c>
      <c r="B31" s="22" t="s">
        <v>2288</v>
      </c>
      <c r="C31" s="2">
        <v>1</v>
      </c>
      <c r="D31" s="23">
        <v>38</v>
      </c>
      <c r="E31" s="3">
        <v>38</v>
      </c>
      <c r="F31" s="2" t="s">
        <v>2289</v>
      </c>
      <c r="G31" s="22" t="s">
        <v>19315</v>
      </c>
      <c r="H31" s="24" t="s">
        <v>19542</v>
      </c>
      <c r="I31" s="22" t="s">
        <v>19309</v>
      </c>
      <c r="J31" s="22" t="s">
        <v>19559</v>
      </c>
      <c r="K31" s="22" t="s">
        <v>12872</v>
      </c>
      <c r="L31" s="22"/>
      <c r="M31" s="22"/>
      <c r="N31" s="25" t="str">
        <f>HYPERLINK("http://slimages.macys.com/is/image/MCY/22174711 ")</f>
        <v xml:space="preserve">http://slimages.macys.com/is/image/MCY/22174711 </v>
      </c>
    </row>
    <row r="32" spans="1:14" ht="24.75" x14ac:dyDescent="0.25">
      <c r="A32" s="21" t="s">
        <v>2290</v>
      </c>
      <c r="B32" s="22" t="s">
        <v>2291</v>
      </c>
      <c r="C32" s="2">
        <v>1</v>
      </c>
      <c r="D32" s="23">
        <v>29.99</v>
      </c>
      <c r="E32" s="3">
        <v>29.99</v>
      </c>
      <c r="F32" s="2" t="s">
        <v>5142</v>
      </c>
      <c r="G32" s="22" t="s">
        <v>19660</v>
      </c>
      <c r="H32" s="24" t="s">
        <v>19330</v>
      </c>
      <c r="I32" s="22" t="s">
        <v>19309</v>
      </c>
      <c r="J32" s="22" t="s">
        <v>19491</v>
      </c>
      <c r="K32" s="22" t="s">
        <v>15106</v>
      </c>
      <c r="L32" s="22"/>
      <c r="M32" s="22"/>
      <c r="N32" s="25" t="str">
        <f>HYPERLINK("http://slimages.macys.com/is/image/MCY/21313215 ")</f>
        <v xml:space="preserve">http://slimages.macys.com/is/image/MCY/21313215 </v>
      </c>
    </row>
    <row r="33" spans="1:14" ht="24.75" x14ac:dyDescent="0.25">
      <c r="A33" s="21" t="s">
        <v>2292</v>
      </c>
      <c r="B33" s="22" t="s">
        <v>2293</v>
      </c>
      <c r="C33" s="2">
        <v>4</v>
      </c>
      <c r="D33" s="23">
        <v>36</v>
      </c>
      <c r="E33" s="3">
        <v>144</v>
      </c>
      <c r="F33" s="2" t="s">
        <v>9404</v>
      </c>
      <c r="G33" s="22" t="s">
        <v>19404</v>
      </c>
      <c r="H33" s="24" t="s">
        <v>19330</v>
      </c>
      <c r="I33" s="22" t="s">
        <v>19309</v>
      </c>
      <c r="J33" s="22" t="s">
        <v>19417</v>
      </c>
      <c r="K33" s="22" t="s">
        <v>19854</v>
      </c>
      <c r="L33" s="22"/>
      <c r="M33" s="22"/>
      <c r="N33" s="25" t="str">
        <f>HYPERLINK("http://slimages.macys.com/is/image/MCY/21363431 ")</f>
        <v xml:space="preserve">http://slimages.macys.com/is/image/MCY/21363431 </v>
      </c>
    </row>
    <row r="34" spans="1:14" ht="24.75" x14ac:dyDescent="0.25">
      <c r="A34" s="21" t="s">
        <v>2294</v>
      </c>
      <c r="B34" s="22" t="s">
        <v>2295</v>
      </c>
      <c r="C34" s="2">
        <v>1</v>
      </c>
      <c r="D34" s="23">
        <v>28.99</v>
      </c>
      <c r="E34" s="3">
        <v>28.99</v>
      </c>
      <c r="F34" s="2" t="s">
        <v>2296</v>
      </c>
      <c r="G34" s="22" t="s">
        <v>19670</v>
      </c>
      <c r="H34" s="24" t="s">
        <v>19395</v>
      </c>
      <c r="I34" s="22" t="s">
        <v>19309</v>
      </c>
      <c r="J34" s="22" t="s">
        <v>19447</v>
      </c>
      <c r="K34" s="22" t="s">
        <v>19463</v>
      </c>
      <c r="L34" s="22"/>
      <c r="M34" s="22"/>
      <c r="N34" s="25" t="str">
        <f>HYPERLINK("http://slimages.macys.com/is/image/MCY/21842698 ")</f>
        <v xml:space="preserve">http://slimages.macys.com/is/image/MCY/21842698 </v>
      </c>
    </row>
    <row r="35" spans="1:14" ht="24.75" x14ac:dyDescent="0.25">
      <c r="A35" s="21" t="s">
        <v>2297</v>
      </c>
      <c r="B35" s="22" t="s">
        <v>2298</v>
      </c>
      <c r="C35" s="2">
        <v>1</v>
      </c>
      <c r="D35" s="23">
        <v>28.99</v>
      </c>
      <c r="E35" s="3">
        <v>28.99</v>
      </c>
      <c r="F35" s="2" t="s">
        <v>2296</v>
      </c>
      <c r="G35" s="22" t="s">
        <v>19670</v>
      </c>
      <c r="H35" s="24" t="s">
        <v>19542</v>
      </c>
      <c r="I35" s="22" t="s">
        <v>19309</v>
      </c>
      <c r="J35" s="22" t="s">
        <v>19447</v>
      </c>
      <c r="K35" s="22" t="s">
        <v>19463</v>
      </c>
      <c r="L35" s="22"/>
      <c r="M35" s="22"/>
      <c r="N35" s="25" t="str">
        <f>HYPERLINK("http://slimages.macys.com/is/image/MCY/21842698 ")</f>
        <v xml:space="preserve">http://slimages.macys.com/is/image/MCY/21842698 </v>
      </c>
    </row>
    <row r="36" spans="1:14" ht="24.75" x14ac:dyDescent="0.25">
      <c r="A36" s="21" t="s">
        <v>2299</v>
      </c>
      <c r="B36" s="22" t="s">
        <v>2300</v>
      </c>
      <c r="C36" s="2">
        <v>1</v>
      </c>
      <c r="D36" s="23">
        <v>29.99</v>
      </c>
      <c r="E36" s="3">
        <v>29.99</v>
      </c>
      <c r="F36" s="2" t="s">
        <v>2301</v>
      </c>
      <c r="G36" s="22" t="s">
        <v>20306</v>
      </c>
      <c r="H36" s="24" t="s">
        <v>19377</v>
      </c>
      <c r="I36" s="22" t="s">
        <v>19309</v>
      </c>
      <c r="J36" s="22" t="s">
        <v>19447</v>
      </c>
      <c r="K36" s="22" t="s">
        <v>19463</v>
      </c>
      <c r="L36" s="22"/>
      <c r="M36" s="22"/>
      <c r="N36" s="25" t="str">
        <f>HYPERLINK("http://slimages.macys.com/is/image/MCY/21685576 ")</f>
        <v xml:space="preserve">http://slimages.macys.com/is/image/MCY/21685576 </v>
      </c>
    </row>
    <row r="37" spans="1:14" ht="24.75" x14ac:dyDescent="0.25">
      <c r="A37" s="21" t="s">
        <v>2302</v>
      </c>
      <c r="B37" s="22" t="s">
        <v>2303</v>
      </c>
      <c r="C37" s="2">
        <v>1</v>
      </c>
      <c r="D37" s="23">
        <v>34.99</v>
      </c>
      <c r="E37" s="3">
        <v>34.99</v>
      </c>
      <c r="F37" s="2" t="s">
        <v>2304</v>
      </c>
      <c r="G37" s="22" t="s">
        <v>19351</v>
      </c>
      <c r="H37" s="24" t="s">
        <v>20135</v>
      </c>
      <c r="I37" s="22" t="s">
        <v>19309</v>
      </c>
      <c r="J37" s="22" t="s">
        <v>19908</v>
      </c>
      <c r="K37" s="22" t="s">
        <v>19524</v>
      </c>
      <c r="L37" s="22"/>
      <c r="M37" s="22"/>
      <c r="N37" s="25" t="str">
        <f>HYPERLINK("http://slimages.macys.com/is/image/MCY/20819675 ")</f>
        <v xml:space="preserve">http://slimages.macys.com/is/image/MCY/20819675 </v>
      </c>
    </row>
    <row r="38" spans="1:14" ht="24.75" x14ac:dyDescent="0.25">
      <c r="A38" s="21" t="s">
        <v>2305</v>
      </c>
      <c r="B38" s="22" t="s">
        <v>2306</v>
      </c>
      <c r="C38" s="2">
        <v>1</v>
      </c>
      <c r="D38" s="23">
        <v>29.99</v>
      </c>
      <c r="E38" s="3">
        <v>29.99</v>
      </c>
      <c r="F38" s="2" t="s">
        <v>2307</v>
      </c>
      <c r="G38" s="22" t="s">
        <v>19467</v>
      </c>
      <c r="H38" s="24" t="s">
        <v>19416</v>
      </c>
      <c r="I38" s="22" t="s">
        <v>19309</v>
      </c>
      <c r="J38" s="22" t="s">
        <v>19491</v>
      </c>
      <c r="K38" s="22" t="s">
        <v>15106</v>
      </c>
      <c r="L38" s="22"/>
      <c r="M38" s="22"/>
      <c r="N38" s="25" t="str">
        <f>HYPERLINK("http://slimages.macys.com/is/image/MCY/18608962 ")</f>
        <v xml:space="preserve">http://slimages.macys.com/is/image/MCY/18608962 </v>
      </c>
    </row>
    <row r="39" spans="1:14" ht="24.75" x14ac:dyDescent="0.25">
      <c r="A39" s="21" t="s">
        <v>2308</v>
      </c>
      <c r="B39" s="22" t="s">
        <v>2309</v>
      </c>
      <c r="C39" s="2">
        <v>1</v>
      </c>
      <c r="D39" s="23">
        <v>39.99</v>
      </c>
      <c r="E39" s="3">
        <v>39.99</v>
      </c>
      <c r="F39" s="2" t="s">
        <v>2310</v>
      </c>
      <c r="G39" s="22" t="s">
        <v>19763</v>
      </c>
      <c r="H39" s="24" t="s">
        <v>19538</v>
      </c>
      <c r="I39" s="22" t="s">
        <v>19309</v>
      </c>
      <c r="J39" s="22" t="s">
        <v>19573</v>
      </c>
      <c r="K39" s="22" t="s">
        <v>19574</v>
      </c>
      <c r="L39" s="22"/>
      <c r="M39" s="22"/>
      <c r="N39" s="25" t="str">
        <f>HYPERLINK("http://slimages.macys.com/is/image/MCY/1694458 ")</f>
        <v xml:space="preserve">http://slimages.macys.com/is/image/MCY/1694458 </v>
      </c>
    </row>
    <row r="40" spans="1:14" ht="36.75" x14ac:dyDescent="0.25">
      <c r="A40" s="21" t="s">
        <v>2311</v>
      </c>
      <c r="B40" s="22" t="s">
        <v>2312</v>
      </c>
      <c r="C40" s="2">
        <v>2</v>
      </c>
      <c r="D40" s="23">
        <v>24.99</v>
      </c>
      <c r="E40" s="3">
        <v>49.98</v>
      </c>
      <c r="F40" s="2" t="s">
        <v>8204</v>
      </c>
      <c r="G40" s="22" t="s">
        <v>19383</v>
      </c>
      <c r="H40" s="24" t="s">
        <v>19330</v>
      </c>
      <c r="I40" s="22" t="s">
        <v>19309</v>
      </c>
      <c r="J40" s="22" t="s">
        <v>19385</v>
      </c>
      <c r="K40" s="22" t="s">
        <v>19458</v>
      </c>
      <c r="L40" s="22" t="s">
        <v>19319</v>
      </c>
      <c r="M40" s="22" t="s">
        <v>8205</v>
      </c>
      <c r="N40" s="25" t="str">
        <f>HYPERLINK("http://slimages.macys.com/is/image/MCY/10022456 ")</f>
        <v xml:space="preserve">http://slimages.macys.com/is/image/MCY/10022456 </v>
      </c>
    </row>
    <row r="41" spans="1:14" ht="36.75" x14ac:dyDescent="0.25">
      <c r="A41" s="21" t="s">
        <v>8719</v>
      </c>
      <c r="B41" s="22" t="s">
        <v>8720</v>
      </c>
      <c r="C41" s="2">
        <v>1</v>
      </c>
      <c r="D41" s="23">
        <v>24.99</v>
      </c>
      <c r="E41" s="3">
        <v>24.99</v>
      </c>
      <c r="F41" s="2" t="s">
        <v>8204</v>
      </c>
      <c r="G41" s="22" t="s">
        <v>19383</v>
      </c>
      <c r="H41" s="24" t="s">
        <v>20152</v>
      </c>
      <c r="I41" s="22" t="s">
        <v>19309</v>
      </c>
      <c r="J41" s="22" t="s">
        <v>19385</v>
      </c>
      <c r="K41" s="22" t="s">
        <v>19458</v>
      </c>
      <c r="L41" s="22" t="s">
        <v>19319</v>
      </c>
      <c r="M41" s="22" t="s">
        <v>8205</v>
      </c>
      <c r="N41" s="25" t="str">
        <f>HYPERLINK("http://slimages.macys.com/is/image/MCY/10022456 ")</f>
        <v xml:space="preserve">http://slimages.macys.com/is/image/MCY/10022456 </v>
      </c>
    </row>
    <row r="42" spans="1:14" ht="24.75" x14ac:dyDescent="0.25">
      <c r="A42" s="21" t="s">
        <v>2313</v>
      </c>
      <c r="B42" s="22" t="s">
        <v>2314</v>
      </c>
      <c r="C42" s="2">
        <v>1</v>
      </c>
      <c r="D42" s="23">
        <v>30.99</v>
      </c>
      <c r="E42" s="3">
        <v>30.99</v>
      </c>
      <c r="F42" s="2" t="s">
        <v>2315</v>
      </c>
      <c r="G42" s="22" t="s">
        <v>19415</v>
      </c>
      <c r="H42" s="24" t="s">
        <v>19538</v>
      </c>
      <c r="I42" s="22" t="s">
        <v>19309</v>
      </c>
      <c r="J42" s="22" t="s">
        <v>19385</v>
      </c>
      <c r="K42" s="22" t="s">
        <v>19487</v>
      </c>
      <c r="L42" s="22"/>
      <c r="M42" s="22"/>
      <c r="N42" s="25" t="str">
        <f>HYPERLINK("http://slimages.macys.com/is/image/MCY/21008201 ")</f>
        <v xml:space="preserve">http://slimages.macys.com/is/image/MCY/21008201 </v>
      </c>
    </row>
    <row r="43" spans="1:14" ht="24.75" x14ac:dyDescent="0.25">
      <c r="A43" s="21" t="s">
        <v>2316</v>
      </c>
      <c r="B43" s="22" t="s">
        <v>2317</v>
      </c>
      <c r="C43" s="2">
        <v>1</v>
      </c>
      <c r="D43" s="23">
        <v>27.99</v>
      </c>
      <c r="E43" s="3">
        <v>27.99</v>
      </c>
      <c r="F43" s="2" t="s">
        <v>2318</v>
      </c>
      <c r="G43" s="22" t="s">
        <v>19528</v>
      </c>
      <c r="H43" s="24" t="s">
        <v>19352</v>
      </c>
      <c r="I43" s="22" t="s">
        <v>19309</v>
      </c>
      <c r="J43" s="22" t="s">
        <v>19310</v>
      </c>
      <c r="K43" s="22" t="s">
        <v>19932</v>
      </c>
      <c r="L43" s="22"/>
      <c r="M43" s="22"/>
      <c r="N43" s="25" t="str">
        <f>HYPERLINK("http://slimages.macys.com/is/image/MCY/21862140 ")</f>
        <v xml:space="preserve">http://slimages.macys.com/is/image/MCY/21862140 </v>
      </c>
    </row>
    <row r="44" spans="1:14" ht="36.75" x14ac:dyDescent="0.25">
      <c r="A44" s="21" t="s">
        <v>8202</v>
      </c>
      <c r="B44" s="22" t="s">
        <v>8203</v>
      </c>
      <c r="C44" s="2">
        <v>1</v>
      </c>
      <c r="D44" s="23">
        <v>24.99</v>
      </c>
      <c r="E44" s="3">
        <v>24.99</v>
      </c>
      <c r="F44" s="2" t="s">
        <v>8204</v>
      </c>
      <c r="G44" s="22" t="s">
        <v>19383</v>
      </c>
      <c r="H44" s="24" t="s">
        <v>19416</v>
      </c>
      <c r="I44" s="22" t="s">
        <v>19309</v>
      </c>
      <c r="J44" s="22" t="s">
        <v>19385</v>
      </c>
      <c r="K44" s="22" t="s">
        <v>19458</v>
      </c>
      <c r="L44" s="22" t="s">
        <v>19319</v>
      </c>
      <c r="M44" s="22" t="s">
        <v>8205</v>
      </c>
      <c r="N44" s="25" t="str">
        <f>HYPERLINK("http://slimages.macys.com/is/image/MCY/10022456 ")</f>
        <v xml:space="preserve">http://slimages.macys.com/is/image/MCY/10022456 </v>
      </c>
    </row>
    <row r="45" spans="1:14" ht="24.75" x14ac:dyDescent="0.25">
      <c r="A45" s="21" t="s">
        <v>7319</v>
      </c>
      <c r="B45" s="22" t="s">
        <v>7320</v>
      </c>
      <c r="C45" s="2">
        <v>1</v>
      </c>
      <c r="D45" s="23">
        <v>40</v>
      </c>
      <c r="E45" s="3">
        <v>40</v>
      </c>
      <c r="F45" s="2" t="s">
        <v>7321</v>
      </c>
      <c r="G45" s="22" t="s">
        <v>19763</v>
      </c>
      <c r="H45" s="24" t="s">
        <v>19334</v>
      </c>
      <c r="I45" s="22" t="s">
        <v>19309</v>
      </c>
      <c r="J45" s="22" t="s">
        <v>19310</v>
      </c>
      <c r="K45" s="22" t="s">
        <v>15570</v>
      </c>
      <c r="L45" s="22"/>
      <c r="M45" s="22"/>
      <c r="N45" s="25" t="str">
        <f>HYPERLINK("http://slimages.macys.com/is/image/MCY/19684866 ")</f>
        <v xml:space="preserve">http://slimages.macys.com/is/image/MCY/19684866 </v>
      </c>
    </row>
    <row r="46" spans="1:14" x14ac:dyDescent="0.25">
      <c r="A46" s="21" t="s">
        <v>8716</v>
      </c>
      <c r="B46" s="22" t="s">
        <v>8717</v>
      </c>
      <c r="C46" s="2">
        <v>1</v>
      </c>
      <c r="D46" s="23">
        <v>29.99</v>
      </c>
      <c r="E46" s="3">
        <v>29.99</v>
      </c>
      <c r="F46" s="2" t="s">
        <v>8718</v>
      </c>
      <c r="G46" s="22" t="s">
        <v>19338</v>
      </c>
      <c r="H46" s="24" t="s">
        <v>12224</v>
      </c>
      <c r="I46" s="22" t="s">
        <v>19309</v>
      </c>
      <c r="J46" s="22" t="s">
        <v>19417</v>
      </c>
      <c r="K46" s="22" t="s">
        <v>17976</v>
      </c>
      <c r="L46" s="22"/>
      <c r="M46" s="22"/>
      <c r="N46" s="25" t="str">
        <f>HYPERLINK("http://slimages.macys.com/is/image/MCY/18676002 ")</f>
        <v xml:space="preserve">http://slimages.macys.com/is/image/MCY/18676002 </v>
      </c>
    </row>
    <row r="47" spans="1:14" ht="24.75" x14ac:dyDescent="0.25">
      <c r="A47" s="21" t="s">
        <v>2319</v>
      </c>
      <c r="B47" s="22" t="s">
        <v>2320</v>
      </c>
      <c r="C47" s="2">
        <v>1</v>
      </c>
      <c r="D47" s="23">
        <v>35.99</v>
      </c>
      <c r="E47" s="3">
        <v>35.99</v>
      </c>
      <c r="F47" s="2" t="s">
        <v>2321</v>
      </c>
      <c r="G47" s="22" t="s">
        <v>19307</v>
      </c>
      <c r="H47" s="24"/>
      <c r="I47" s="22" t="s">
        <v>19309</v>
      </c>
      <c r="J47" s="22" t="s">
        <v>19447</v>
      </c>
      <c r="K47" s="22" t="s">
        <v>19533</v>
      </c>
      <c r="L47" s="22"/>
      <c r="M47" s="22"/>
      <c r="N47" s="25" t="str">
        <f>HYPERLINK("http://slimages.macys.com/is/image/MCY/20038496 ")</f>
        <v xml:space="preserve">http://slimages.macys.com/is/image/MCY/20038496 </v>
      </c>
    </row>
    <row r="48" spans="1:14" ht="24.75" x14ac:dyDescent="0.25">
      <c r="A48" s="21" t="s">
        <v>2322</v>
      </c>
      <c r="B48" s="22" t="s">
        <v>2323</v>
      </c>
      <c r="C48" s="2">
        <v>1</v>
      </c>
      <c r="D48" s="23">
        <v>29.99</v>
      </c>
      <c r="E48" s="3">
        <v>29.99</v>
      </c>
      <c r="F48" s="2" t="s">
        <v>2324</v>
      </c>
      <c r="G48" s="22" t="s">
        <v>19333</v>
      </c>
      <c r="H48" s="24" t="s">
        <v>19334</v>
      </c>
      <c r="I48" s="22" t="s">
        <v>19309</v>
      </c>
      <c r="J48" s="22" t="s">
        <v>19519</v>
      </c>
      <c r="K48" s="22" t="s">
        <v>17725</v>
      </c>
      <c r="L48" s="22"/>
      <c r="M48" s="22"/>
      <c r="N48" s="25" t="str">
        <f>HYPERLINK("http://slimages.macys.com/is/image/MCY/21141715 ")</f>
        <v xml:space="preserve">http://slimages.macys.com/is/image/MCY/21141715 </v>
      </c>
    </row>
    <row r="49" spans="1:14" ht="24.75" x14ac:dyDescent="0.25">
      <c r="A49" s="21" t="s">
        <v>2325</v>
      </c>
      <c r="B49" s="22" t="s">
        <v>2326</v>
      </c>
      <c r="C49" s="2">
        <v>2</v>
      </c>
      <c r="D49" s="23">
        <v>24.99</v>
      </c>
      <c r="E49" s="3">
        <v>49.98</v>
      </c>
      <c r="F49" s="2">
        <v>1833191</v>
      </c>
      <c r="G49" s="22" t="s">
        <v>19528</v>
      </c>
      <c r="H49" s="24" t="s">
        <v>19352</v>
      </c>
      <c r="I49" s="22" t="s">
        <v>19309</v>
      </c>
      <c r="J49" s="22" t="s">
        <v>15506</v>
      </c>
      <c r="K49" s="22" t="s">
        <v>13612</v>
      </c>
      <c r="L49" s="22"/>
      <c r="M49" s="22"/>
      <c r="N49" s="25" t="str">
        <f>HYPERLINK("http://slimages.macys.com/is/image/MCY/18539766 ")</f>
        <v xml:space="preserve">http://slimages.macys.com/is/image/MCY/18539766 </v>
      </c>
    </row>
    <row r="50" spans="1:14" ht="24.75" x14ac:dyDescent="0.25">
      <c r="A50" s="21" t="s">
        <v>2327</v>
      </c>
      <c r="B50" s="22" t="s">
        <v>2328</v>
      </c>
      <c r="C50" s="2">
        <v>1</v>
      </c>
      <c r="D50" s="23">
        <v>28.99</v>
      </c>
      <c r="E50" s="3">
        <v>28.99</v>
      </c>
      <c r="F50" s="2" t="s">
        <v>19523</v>
      </c>
      <c r="G50" s="22" t="s">
        <v>19333</v>
      </c>
      <c r="H50" s="24" t="s">
        <v>19399</v>
      </c>
      <c r="I50" s="22" t="s">
        <v>19309</v>
      </c>
      <c r="J50" s="22" t="s">
        <v>19353</v>
      </c>
      <c r="K50" s="22" t="s">
        <v>19524</v>
      </c>
      <c r="L50" s="22"/>
      <c r="M50" s="22"/>
      <c r="N50" s="25" t="str">
        <f>HYPERLINK("http://slimages.macys.com/is/image/MCY/21275466 ")</f>
        <v xml:space="preserve">http://slimages.macys.com/is/image/MCY/21275466 </v>
      </c>
    </row>
    <row r="51" spans="1:14" x14ac:dyDescent="0.25">
      <c r="A51" s="21" t="s">
        <v>2329</v>
      </c>
      <c r="B51" s="22" t="s">
        <v>2330</v>
      </c>
      <c r="C51" s="2">
        <v>1</v>
      </c>
      <c r="D51" s="23">
        <v>49</v>
      </c>
      <c r="E51" s="3">
        <v>49</v>
      </c>
      <c r="F51" s="2" t="s">
        <v>2331</v>
      </c>
      <c r="G51" s="22" t="s">
        <v>19338</v>
      </c>
      <c r="H51" s="24" t="s">
        <v>10251</v>
      </c>
      <c r="I51" s="22" t="s">
        <v>19309</v>
      </c>
      <c r="J51" s="22" t="s">
        <v>17328</v>
      </c>
      <c r="K51" s="22" t="s">
        <v>15551</v>
      </c>
      <c r="L51" s="22"/>
      <c r="M51" s="22"/>
      <c r="N51" s="25" t="str">
        <f>HYPERLINK("http://slimages.macys.com/is/image/MCY/19548667 ")</f>
        <v xml:space="preserve">http://slimages.macys.com/is/image/MCY/19548667 </v>
      </c>
    </row>
    <row r="52" spans="1:14" x14ac:dyDescent="0.25">
      <c r="A52" s="21" t="s">
        <v>19567</v>
      </c>
      <c r="B52" s="22" t="s">
        <v>19568</v>
      </c>
      <c r="C52" s="2">
        <v>1</v>
      </c>
      <c r="D52" s="23">
        <v>25.99</v>
      </c>
      <c r="E52" s="3">
        <v>25.99</v>
      </c>
      <c r="F52" s="2" t="s">
        <v>19569</v>
      </c>
      <c r="G52" s="22" t="s">
        <v>19333</v>
      </c>
      <c r="H52" s="24" t="s">
        <v>19395</v>
      </c>
      <c r="I52" s="22" t="s">
        <v>19309</v>
      </c>
      <c r="J52" s="22" t="s">
        <v>19310</v>
      </c>
      <c r="K52" s="22" t="s">
        <v>19433</v>
      </c>
      <c r="L52" s="22"/>
      <c r="M52" s="22"/>
      <c r="N52" s="25" t="str">
        <f>HYPERLINK("http://slimages.macys.com/is/image/MCY/21964510 ")</f>
        <v xml:space="preserve">http://slimages.macys.com/is/image/MCY/21964510 </v>
      </c>
    </row>
    <row r="53" spans="1:14" ht="24.75" x14ac:dyDescent="0.25">
      <c r="A53" s="21" t="s">
        <v>8206</v>
      </c>
      <c r="B53" s="22" t="s">
        <v>8207</v>
      </c>
      <c r="C53" s="2">
        <v>1</v>
      </c>
      <c r="D53" s="23">
        <v>29.99</v>
      </c>
      <c r="E53" s="3">
        <v>29.99</v>
      </c>
      <c r="F53" s="2" t="s">
        <v>8208</v>
      </c>
      <c r="G53" s="22" t="s">
        <v>19351</v>
      </c>
      <c r="H53" s="24" t="s">
        <v>19384</v>
      </c>
      <c r="I53" s="22" t="s">
        <v>19309</v>
      </c>
      <c r="J53" s="22" t="s">
        <v>19385</v>
      </c>
      <c r="K53" s="22" t="s">
        <v>19386</v>
      </c>
      <c r="L53" s="22"/>
      <c r="M53" s="22"/>
      <c r="N53" s="25" t="str">
        <f>HYPERLINK("http://slimages.macys.com/is/image/MCY/20756395 ")</f>
        <v xml:space="preserve">http://slimages.macys.com/is/image/MCY/20756395 </v>
      </c>
    </row>
    <row r="54" spans="1:14" ht="24.75" x14ac:dyDescent="0.25">
      <c r="A54" s="21" t="s">
        <v>2332</v>
      </c>
      <c r="B54" s="22" t="s">
        <v>2333</v>
      </c>
      <c r="C54" s="2">
        <v>1</v>
      </c>
      <c r="D54" s="23">
        <v>24.99</v>
      </c>
      <c r="E54" s="3">
        <v>24.99</v>
      </c>
      <c r="F54" s="2" t="s">
        <v>19609</v>
      </c>
      <c r="G54" s="22" t="s">
        <v>19342</v>
      </c>
      <c r="H54" s="24" t="s">
        <v>19330</v>
      </c>
      <c r="I54" s="22" t="s">
        <v>19309</v>
      </c>
      <c r="J54" s="22" t="s">
        <v>19491</v>
      </c>
      <c r="K54" s="22" t="s">
        <v>19554</v>
      </c>
      <c r="L54" s="22"/>
      <c r="M54" s="22"/>
      <c r="N54" s="25" t="str">
        <f>HYPERLINK("http://slimages.macys.com/is/image/MCY/21483061 ")</f>
        <v xml:space="preserve">http://slimages.macys.com/is/image/MCY/21483061 </v>
      </c>
    </row>
    <row r="55" spans="1:14" ht="24.75" x14ac:dyDescent="0.25">
      <c r="A55" s="21" t="s">
        <v>15635</v>
      </c>
      <c r="B55" s="22" t="s">
        <v>15636</v>
      </c>
      <c r="C55" s="2">
        <v>2</v>
      </c>
      <c r="D55" s="23">
        <v>24.99</v>
      </c>
      <c r="E55" s="3">
        <v>49.98</v>
      </c>
      <c r="F55" s="2" t="s">
        <v>15632</v>
      </c>
      <c r="G55" s="22" t="s">
        <v>19342</v>
      </c>
      <c r="H55" s="24" t="s">
        <v>19330</v>
      </c>
      <c r="I55" s="22" t="s">
        <v>19309</v>
      </c>
      <c r="J55" s="22" t="s">
        <v>19491</v>
      </c>
      <c r="K55" s="22" t="s">
        <v>19554</v>
      </c>
      <c r="L55" s="22"/>
      <c r="M55" s="22"/>
      <c r="N55" s="25" t="str">
        <f>HYPERLINK("http://slimages.macys.com/is/image/MCY/21779045 ")</f>
        <v xml:space="preserve">http://slimages.macys.com/is/image/MCY/21779045 </v>
      </c>
    </row>
    <row r="56" spans="1:14" x14ac:dyDescent="0.25">
      <c r="A56" s="21" t="s">
        <v>2334</v>
      </c>
      <c r="B56" s="22" t="s">
        <v>2335</v>
      </c>
      <c r="C56" s="2">
        <v>1</v>
      </c>
      <c r="D56" s="23">
        <v>30.99</v>
      </c>
      <c r="E56" s="3">
        <v>30.99</v>
      </c>
      <c r="F56" s="2">
        <v>2131</v>
      </c>
      <c r="G56" s="22" t="s">
        <v>18073</v>
      </c>
      <c r="H56" s="24" t="s">
        <v>19364</v>
      </c>
      <c r="I56" s="22" t="s">
        <v>19309</v>
      </c>
      <c r="J56" s="22" t="s">
        <v>19696</v>
      </c>
      <c r="K56" s="22" t="s">
        <v>15660</v>
      </c>
      <c r="L56" s="22"/>
      <c r="M56" s="22"/>
      <c r="N56" s="25" t="str">
        <f>HYPERLINK("http://slimages.macys.com/is/image/MCY/21408371 ")</f>
        <v xml:space="preserve">http://slimages.macys.com/is/image/MCY/21408371 </v>
      </c>
    </row>
    <row r="57" spans="1:14" ht="24.75" x14ac:dyDescent="0.25">
      <c r="A57" s="21" t="s">
        <v>2336</v>
      </c>
      <c r="B57" s="22" t="s">
        <v>2337</v>
      </c>
      <c r="C57" s="2">
        <v>1</v>
      </c>
      <c r="D57" s="23">
        <v>36</v>
      </c>
      <c r="E57" s="3">
        <v>36</v>
      </c>
      <c r="F57" s="2" t="s">
        <v>2338</v>
      </c>
      <c r="G57" s="22" t="s">
        <v>15203</v>
      </c>
      <c r="H57" s="24" t="s">
        <v>20159</v>
      </c>
      <c r="I57" s="22" t="s">
        <v>19309</v>
      </c>
      <c r="J57" s="22" t="s">
        <v>19417</v>
      </c>
      <c r="K57" s="22" t="s">
        <v>6448</v>
      </c>
      <c r="L57" s="22"/>
      <c r="M57" s="22"/>
      <c r="N57" s="25" t="str">
        <f>HYPERLINK("http://slimages.macys.com/is/image/MCY/21810775 ")</f>
        <v xml:space="preserve">http://slimages.macys.com/is/image/MCY/21810775 </v>
      </c>
    </row>
    <row r="58" spans="1:14" x14ac:dyDescent="0.25">
      <c r="A58" s="21" t="s">
        <v>2339</v>
      </c>
      <c r="B58" s="22" t="s">
        <v>2340</v>
      </c>
      <c r="C58" s="2">
        <v>9</v>
      </c>
      <c r="D58" s="23">
        <v>29.99</v>
      </c>
      <c r="E58" s="3">
        <v>269.91000000000003</v>
      </c>
      <c r="F58" s="2" t="s">
        <v>2341</v>
      </c>
      <c r="G58" s="22" t="s">
        <v>19342</v>
      </c>
      <c r="H58" s="24" t="s">
        <v>19542</v>
      </c>
      <c r="I58" s="22" t="s">
        <v>19309</v>
      </c>
      <c r="J58" s="22" t="s">
        <v>19696</v>
      </c>
      <c r="K58" s="22" t="s">
        <v>19697</v>
      </c>
      <c r="L58" s="22"/>
      <c r="M58" s="22"/>
      <c r="N58" s="25" t="str">
        <f>HYPERLINK("http://slimages.macys.com/is/image/MCY/21159606 ")</f>
        <v xml:space="preserve">http://slimages.macys.com/is/image/MCY/21159606 </v>
      </c>
    </row>
    <row r="59" spans="1:14" ht="24.75" x14ac:dyDescent="0.25">
      <c r="A59" s="21" t="s">
        <v>19615</v>
      </c>
      <c r="B59" s="22" t="s">
        <v>19616</v>
      </c>
      <c r="C59" s="2">
        <v>1</v>
      </c>
      <c r="D59" s="23">
        <v>37.5</v>
      </c>
      <c r="E59" s="3">
        <v>37.5</v>
      </c>
      <c r="F59" s="2" t="s">
        <v>19617</v>
      </c>
      <c r="G59" s="22" t="s">
        <v>19618</v>
      </c>
      <c r="H59" s="24"/>
      <c r="I59" s="22" t="s">
        <v>19309</v>
      </c>
      <c r="J59" s="22" t="s">
        <v>19613</v>
      </c>
      <c r="K59" s="22" t="s">
        <v>19614</v>
      </c>
      <c r="L59" s="22"/>
      <c r="M59" s="22"/>
      <c r="N59" s="25" t="str">
        <f>HYPERLINK("http://slimages.macys.com/is/image/MCY/21035813 ")</f>
        <v xml:space="preserve">http://slimages.macys.com/is/image/MCY/21035813 </v>
      </c>
    </row>
    <row r="60" spans="1:14" ht="24.75" x14ac:dyDescent="0.25">
      <c r="A60" s="21" t="s">
        <v>2342</v>
      </c>
      <c r="B60" s="22" t="s">
        <v>2343</v>
      </c>
      <c r="C60" s="2">
        <v>1</v>
      </c>
      <c r="D60" s="23">
        <v>21.99</v>
      </c>
      <c r="E60" s="3">
        <v>21.99</v>
      </c>
      <c r="F60" s="2" t="s">
        <v>2344</v>
      </c>
      <c r="G60" s="22" t="s">
        <v>19630</v>
      </c>
      <c r="H60" s="24" t="s">
        <v>19367</v>
      </c>
      <c r="I60" s="22" t="s">
        <v>19309</v>
      </c>
      <c r="J60" s="22" t="s">
        <v>19491</v>
      </c>
      <c r="K60" s="22" t="s">
        <v>19631</v>
      </c>
      <c r="L60" s="22"/>
      <c r="M60" s="22"/>
      <c r="N60" s="25" t="str">
        <f>HYPERLINK("http://slimages.macys.com/is/image/MCY/22142041 ")</f>
        <v xml:space="preserve">http://slimages.macys.com/is/image/MCY/22142041 </v>
      </c>
    </row>
    <row r="61" spans="1:14" ht="24.75" x14ac:dyDescent="0.25">
      <c r="A61" s="21" t="s">
        <v>4180</v>
      </c>
      <c r="B61" s="22" t="s">
        <v>4181</v>
      </c>
      <c r="C61" s="2">
        <v>1</v>
      </c>
      <c r="D61" s="23">
        <v>23.99</v>
      </c>
      <c r="E61" s="3">
        <v>23.99</v>
      </c>
      <c r="F61" s="2" t="s">
        <v>5539</v>
      </c>
      <c r="G61" s="22" t="s">
        <v>19674</v>
      </c>
      <c r="H61" s="24" t="s">
        <v>19377</v>
      </c>
      <c r="I61" s="22" t="s">
        <v>19309</v>
      </c>
      <c r="J61" s="22" t="s">
        <v>19447</v>
      </c>
      <c r="K61" s="22" t="s">
        <v>19463</v>
      </c>
      <c r="L61" s="22"/>
      <c r="M61" s="22"/>
      <c r="N61" s="25" t="str">
        <f>HYPERLINK("http://slimages.macys.com/is/image/MCY/21681606 ")</f>
        <v xml:space="preserve">http://slimages.macys.com/is/image/MCY/21681606 </v>
      </c>
    </row>
    <row r="62" spans="1:14" x14ac:dyDescent="0.25">
      <c r="A62" s="21" t="s">
        <v>2345</v>
      </c>
      <c r="B62" s="22" t="s">
        <v>2346</v>
      </c>
      <c r="C62" s="2">
        <v>1</v>
      </c>
      <c r="D62" s="23">
        <v>27.99</v>
      </c>
      <c r="E62" s="3">
        <v>27.99</v>
      </c>
      <c r="F62" s="2">
        <v>1134</v>
      </c>
      <c r="G62" s="22" t="s">
        <v>19404</v>
      </c>
      <c r="H62" s="24"/>
      <c r="I62" s="22" t="s">
        <v>19309</v>
      </c>
      <c r="J62" s="22" t="s">
        <v>19696</v>
      </c>
      <c r="K62" s="22" t="s">
        <v>8212</v>
      </c>
      <c r="L62" s="22"/>
      <c r="M62" s="22"/>
      <c r="N62" s="25" t="str">
        <f>HYPERLINK("http://slimages.macys.com/is/image/MCY/20586557 ")</f>
        <v xml:space="preserve">http://slimages.macys.com/is/image/MCY/20586557 </v>
      </c>
    </row>
    <row r="63" spans="1:14" ht="24.75" x14ac:dyDescent="0.25">
      <c r="A63" s="21" t="s">
        <v>15674</v>
      </c>
      <c r="B63" s="22" t="s">
        <v>15675</v>
      </c>
      <c r="C63" s="2">
        <v>1</v>
      </c>
      <c r="D63" s="23">
        <v>32.99</v>
      </c>
      <c r="E63" s="3">
        <v>32.99</v>
      </c>
      <c r="F63" s="2" t="s">
        <v>15676</v>
      </c>
      <c r="G63" s="22" t="s">
        <v>19351</v>
      </c>
      <c r="H63" s="24" t="s">
        <v>19797</v>
      </c>
      <c r="I63" s="22" t="s">
        <v>19309</v>
      </c>
      <c r="J63" s="22" t="s">
        <v>19595</v>
      </c>
      <c r="K63" s="22" t="s">
        <v>19423</v>
      </c>
      <c r="L63" s="22"/>
      <c r="M63" s="22"/>
      <c r="N63" s="25" t="str">
        <f>HYPERLINK("http://slimages.macys.com/is/image/MCY/21398450 ")</f>
        <v xml:space="preserve">http://slimages.macys.com/is/image/MCY/21398450 </v>
      </c>
    </row>
    <row r="64" spans="1:14" ht="24.75" x14ac:dyDescent="0.25">
      <c r="A64" s="21" t="s">
        <v>2347</v>
      </c>
      <c r="B64" s="22" t="s">
        <v>2348</v>
      </c>
      <c r="C64" s="2">
        <v>3</v>
      </c>
      <c r="D64" s="23">
        <v>29.99</v>
      </c>
      <c r="E64" s="3">
        <v>89.97</v>
      </c>
      <c r="F64" s="2" t="s">
        <v>2349</v>
      </c>
      <c r="G64" s="22" t="s">
        <v>19635</v>
      </c>
      <c r="H64" s="24" t="s">
        <v>19361</v>
      </c>
      <c r="I64" s="22" t="s">
        <v>19309</v>
      </c>
      <c r="J64" s="22" t="s">
        <v>19378</v>
      </c>
      <c r="K64" s="22" t="s">
        <v>19386</v>
      </c>
      <c r="L64" s="22"/>
      <c r="M64" s="22"/>
      <c r="N64" s="25" t="str">
        <f>HYPERLINK("http://slimages.macys.com/is/image/MCY/18798101 ")</f>
        <v xml:space="preserve">http://slimages.macys.com/is/image/MCY/18798101 </v>
      </c>
    </row>
    <row r="65" spans="1:14" ht="24.75" x14ac:dyDescent="0.25">
      <c r="A65" s="21" t="s">
        <v>2350</v>
      </c>
      <c r="B65" s="22" t="s">
        <v>2351</v>
      </c>
      <c r="C65" s="2">
        <v>1</v>
      </c>
      <c r="D65" s="23">
        <v>32.99</v>
      </c>
      <c r="E65" s="3">
        <v>32.99</v>
      </c>
      <c r="F65" s="2" t="s">
        <v>15202</v>
      </c>
      <c r="G65" s="22" t="s">
        <v>15203</v>
      </c>
      <c r="H65" s="24" t="s">
        <v>19352</v>
      </c>
      <c r="I65" s="22" t="s">
        <v>19309</v>
      </c>
      <c r="J65" s="22" t="s">
        <v>19595</v>
      </c>
      <c r="K65" s="22" t="s">
        <v>19423</v>
      </c>
      <c r="L65" s="22"/>
      <c r="M65" s="22"/>
      <c r="N65" s="25" t="str">
        <f>HYPERLINK("http://slimages.macys.com/is/image/MCY/21398445 ")</f>
        <v xml:space="preserve">http://slimages.macys.com/is/image/MCY/21398445 </v>
      </c>
    </row>
    <row r="66" spans="1:14" x14ac:dyDescent="0.25">
      <c r="A66" s="21" t="s">
        <v>2352</v>
      </c>
      <c r="B66" s="22" t="s">
        <v>2353</v>
      </c>
      <c r="C66" s="2">
        <v>1</v>
      </c>
      <c r="D66" s="23">
        <v>19.22</v>
      </c>
      <c r="E66" s="3">
        <v>19.22</v>
      </c>
      <c r="F66" s="2" t="s">
        <v>2354</v>
      </c>
      <c r="G66" s="22" t="s">
        <v>19594</v>
      </c>
      <c r="H66" s="24" t="s">
        <v>18530</v>
      </c>
      <c r="I66" s="22" t="s">
        <v>19309</v>
      </c>
      <c r="J66" s="22" t="s">
        <v>19514</v>
      </c>
      <c r="K66" s="22" t="s">
        <v>18514</v>
      </c>
      <c r="L66" s="22"/>
      <c r="M66" s="22"/>
      <c r="N66" s="25" t="str">
        <f>HYPERLINK("http://slimages.macys.com/is/image/MCY/21374446 ")</f>
        <v xml:space="preserve">http://slimages.macys.com/is/image/MCY/21374446 </v>
      </c>
    </row>
    <row r="67" spans="1:14" x14ac:dyDescent="0.25">
      <c r="A67" s="21" t="s">
        <v>2355</v>
      </c>
      <c r="B67" s="22" t="s">
        <v>2356</v>
      </c>
      <c r="C67" s="2">
        <v>1</v>
      </c>
      <c r="D67" s="23">
        <v>26.5</v>
      </c>
      <c r="E67" s="3">
        <v>26.5</v>
      </c>
      <c r="F67" s="2" t="s">
        <v>2357</v>
      </c>
      <c r="G67" s="22" t="s">
        <v>19342</v>
      </c>
      <c r="H67" s="24" t="s">
        <v>19395</v>
      </c>
      <c r="I67" s="22" t="s">
        <v>19309</v>
      </c>
      <c r="J67" s="22" t="s">
        <v>19514</v>
      </c>
      <c r="K67" s="22" t="s">
        <v>19546</v>
      </c>
      <c r="L67" s="22"/>
      <c r="M67" s="22"/>
      <c r="N67" s="25" t="str">
        <f>HYPERLINK("http://slimages.macys.com/is/image/MCY/20953352 ")</f>
        <v xml:space="preserve">http://slimages.macys.com/is/image/MCY/20953352 </v>
      </c>
    </row>
    <row r="68" spans="1:14" ht="24.75" x14ac:dyDescent="0.25">
      <c r="A68" s="21" t="s">
        <v>2358</v>
      </c>
      <c r="B68" s="22" t="s">
        <v>2359</v>
      </c>
      <c r="C68" s="2">
        <v>1</v>
      </c>
      <c r="D68" s="23">
        <v>28.99</v>
      </c>
      <c r="E68" s="3">
        <v>28.99</v>
      </c>
      <c r="F68" s="2" t="s">
        <v>17743</v>
      </c>
      <c r="G68" s="22" t="s">
        <v>19333</v>
      </c>
      <c r="H68" s="24"/>
      <c r="I68" s="22" t="s">
        <v>19309</v>
      </c>
      <c r="J68" s="22" t="s">
        <v>19353</v>
      </c>
      <c r="K68" s="22" t="s">
        <v>19524</v>
      </c>
      <c r="L68" s="22"/>
      <c r="M68" s="22"/>
      <c r="N68" s="25" t="str">
        <f>HYPERLINK("http://slimages.macys.com/is/image/MCY/1472588 ")</f>
        <v xml:space="preserve">http://slimages.macys.com/is/image/MCY/1472588 </v>
      </c>
    </row>
    <row r="69" spans="1:14" ht="24.75" x14ac:dyDescent="0.25">
      <c r="A69" s="21" t="s">
        <v>5548</v>
      </c>
      <c r="B69" s="22" t="s">
        <v>5549</v>
      </c>
      <c r="C69" s="2">
        <v>1</v>
      </c>
      <c r="D69" s="23">
        <v>30.99</v>
      </c>
      <c r="E69" s="3">
        <v>30.99</v>
      </c>
      <c r="F69" s="2" t="s">
        <v>19651</v>
      </c>
      <c r="G69" s="22" t="s">
        <v>19351</v>
      </c>
      <c r="H69" s="24" t="s">
        <v>19364</v>
      </c>
      <c r="I69" s="22" t="s">
        <v>19309</v>
      </c>
      <c r="J69" s="22" t="s">
        <v>19353</v>
      </c>
      <c r="K69" s="22" t="s">
        <v>19524</v>
      </c>
      <c r="L69" s="22"/>
      <c r="M69" s="22"/>
      <c r="N69" s="25" t="str">
        <f>HYPERLINK("http://slimages.macys.com/is/image/MCY/1352878 ")</f>
        <v xml:space="preserve">http://slimages.macys.com/is/image/MCY/1352878 </v>
      </c>
    </row>
    <row r="70" spans="1:14" ht="24.75" x14ac:dyDescent="0.25">
      <c r="A70" s="21" t="s">
        <v>2360</v>
      </c>
      <c r="B70" s="22" t="s">
        <v>2361</v>
      </c>
      <c r="C70" s="2">
        <v>1</v>
      </c>
      <c r="D70" s="23">
        <v>18</v>
      </c>
      <c r="E70" s="3">
        <v>18</v>
      </c>
      <c r="F70" s="2" t="s">
        <v>2362</v>
      </c>
      <c r="G70" s="22" t="s">
        <v>17567</v>
      </c>
      <c r="H70" s="24" t="s">
        <v>19478</v>
      </c>
      <c r="I70" s="22" t="s">
        <v>19309</v>
      </c>
      <c r="J70" s="22" t="s">
        <v>19317</v>
      </c>
      <c r="K70" s="22" t="s">
        <v>16124</v>
      </c>
      <c r="L70" s="22" t="s">
        <v>19319</v>
      </c>
      <c r="M70" s="22" t="s">
        <v>12712</v>
      </c>
      <c r="N70" s="25" t="str">
        <f>HYPERLINK("http://slimages.macys.com/is/image/MCY/13303385 ")</f>
        <v xml:space="preserve">http://slimages.macys.com/is/image/MCY/13303385 </v>
      </c>
    </row>
    <row r="71" spans="1:14" ht="24.75" x14ac:dyDescent="0.25">
      <c r="A71" s="21" t="s">
        <v>8217</v>
      </c>
      <c r="B71" s="22" t="s">
        <v>8218</v>
      </c>
      <c r="C71" s="2">
        <v>1</v>
      </c>
      <c r="D71" s="23">
        <v>24.99</v>
      </c>
      <c r="E71" s="3">
        <v>24.99</v>
      </c>
      <c r="F71" s="2" t="s">
        <v>10882</v>
      </c>
      <c r="G71" s="22" t="s">
        <v>19323</v>
      </c>
      <c r="H71" s="24" t="s">
        <v>19384</v>
      </c>
      <c r="I71" s="22" t="s">
        <v>19309</v>
      </c>
      <c r="J71" s="22" t="s">
        <v>19385</v>
      </c>
      <c r="K71" s="22" t="s">
        <v>19386</v>
      </c>
      <c r="L71" s="22"/>
      <c r="M71" s="22"/>
      <c r="N71" s="25" t="str">
        <f>HYPERLINK("http://slimages.macys.com/is/image/MCY/21820640 ")</f>
        <v xml:space="preserve">http://slimages.macys.com/is/image/MCY/21820640 </v>
      </c>
    </row>
    <row r="72" spans="1:14" x14ac:dyDescent="0.25">
      <c r="A72" s="21" t="s">
        <v>2363</v>
      </c>
      <c r="B72" s="22" t="s">
        <v>2364</v>
      </c>
      <c r="C72" s="2">
        <v>54</v>
      </c>
      <c r="D72" s="23">
        <v>27.99</v>
      </c>
      <c r="E72" s="3">
        <v>1511.46</v>
      </c>
      <c r="F72" s="2" t="s">
        <v>17777</v>
      </c>
      <c r="G72" s="22" t="s">
        <v>19342</v>
      </c>
      <c r="H72" s="24" t="s">
        <v>19392</v>
      </c>
      <c r="I72" s="22" t="s">
        <v>19309</v>
      </c>
      <c r="J72" s="22" t="s">
        <v>19696</v>
      </c>
      <c r="K72" s="22" t="s">
        <v>19697</v>
      </c>
      <c r="L72" s="22"/>
      <c r="M72" s="22"/>
      <c r="N72" s="25" t="str">
        <f>HYPERLINK("http://slimages.macys.com/is/image/MCY/21364964 ")</f>
        <v xml:space="preserve">http://slimages.macys.com/is/image/MCY/21364964 </v>
      </c>
    </row>
    <row r="73" spans="1:14" x14ac:dyDescent="0.25">
      <c r="A73" s="21" t="s">
        <v>8027</v>
      </c>
      <c r="B73" s="22" t="s">
        <v>8028</v>
      </c>
      <c r="C73" s="2">
        <v>12</v>
      </c>
      <c r="D73" s="23">
        <v>27.99</v>
      </c>
      <c r="E73" s="3">
        <v>335.88</v>
      </c>
      <c r="F73" s="2" t="s">
        <v>9821</v>
      </c>
      <c r="G73" s="22" t="s">
        <v>19342</v>
      </c>
      <c r="H73" s="24" t="s">
        <v>19334</v>
      </c>
      <c r="I73" s="22" t="s">
        <v>19309</v>
      </c>
      <c r="J73" s="22" t="s">
        <v>19696</v>
      </c>
      <c r="K73" s="22" t="s">
        <v>19697</v>
      </c>
      <c r="L73" s="22"/>
      <c r="M73" s="22"/>
      <c r="N73" s="25" t="str">
        <f>HYPERLINK("http://slimages.macys.com/is/image/MCY/21355165 ")</f>
        <v xml:space="preserve">http://slimages.macys.com/is/image/MCY/21355165 </v>
      </c>
    </row>
    <row r="74" spans="1:14" ht="24.75" x14ac:dyDescent="0.25">
      <c r="A74" s="21" t="s">
        <v>15722</v>
      </c>
      <c r="B74" s="22" t="s">
        <v>15723</v>
      </c>
      <c r="C74" s="2">
        <v>1</v>
      </c>
      <c r="D74" s="23">
        <v>29.99</v>
      </c>
      <c r="E74" s="3">
        <v>29.99</v>
      </c>
      <c r="F74" s="2" t="s">
        <v>15724</v>
      </c>
      <c r="G74" s="22" t="s">
        <v>19342</v>
      </c>
      <c r="H74" s="24" t="s">
        <v>19330</v>
      </c>
      <c r="I74" s="22" t="s">
        <v>19309</v>
      </c>
      <c r="J74" s="22" t="s">
        <v>19491</v>
      </c>
      <c r="K74" s="22" t="s">
        <v>15725</v>
      </c>
      <c r="L74" s="22"/>
      <c r="M74" s="22"/>
      <c r="N74" s="25" t="str">
        <f>HYPERLINK("http://slimages.macys.com/is/image/MCY/21176916 ")</f>
        <v xml:space="preserve">http://slimages.macys.com/is/image/MCY/21176916 </v>
      </c>
    </row>
    <row r="75" spans="1:14" ht="24.75" x14ac:dyDescent="0.25">
      <c r="A75" s="21" t="s">
        <v>5596</v>
      </c>
      <c r="B75" s="22" t="s">
        <v>5597</v>
      </c>
      <c r="C75" s="2">
        <v>1</v>
      </c>
      <c r="D75" s="23">
        <v>26.99</v>
      </c>
      <c r="E75" s="3">
        <v>26.99</v>
      </c>
      <c r="F75" s="2" t="s">
        <v>5593</v>
      </c>
      <c r="G75" s="22" t="s">
        <v>19351</v>
      </c>
      <c r="H75" s="24"/>
      <c r="I75" s="22" t="s">
        <v>19309</v>
      </c>
      <c r="J75" s="22" t="s">
        <v>19519</v>
      </c>
      <c r="K75" s="22" t="s">
        <v>5590</v>
      </c>
      <c r="L75" s="22"/>
      <c r="M75" s="22"/>
      <c r="N75" s="25" t="str">
        <f>HYPERLINK("http://slimages.macys.com/is/image/MCY/21552343 ")</f>
        <v xml:space="preserve">http://slimages.macys.com/is/image/MCY/21552343 </v>
      </c>
    </row>
    <row r="76" spans="1:14" x14ac:dyDescent="0.25">
      <c r="A76" s="21" t="s">
        <v>2365</v>
      </c>
      <c r="B76" s="22" t="s">
        <v>2366</v>
      </c>
      <c r="C76" s="2">
        <v>1</v>
      </c>
      <c r="D76" s="23">
        <v>26.99</v>
      </c>
      <c r="E76" s="3">
        <v>26.99</v>
      </c>
      <c r="F76" s="2" t="s">
        <v>2367</v>
      </c>
      <c r="G76" s="22" t="s">
        <v>19342</v>
      </c>
      <c r="H76" s="24" t="s">
        <v>19542</v>
      </c>
      <c r="I76" s="22" t="s">
        <v>19309</v>
      </c>
      <c r="J76" s="22" t="s">
        <v>19696</v>
      </c>
      <c r="K76" s="22" t="s">
        <v>19697</v>
      </c>
      <c r="L76" s="22"/>
      <c r="M76" s="22"/>
      <c r="N76" s="25" t="str">
        <f>HYPERLINK("http://slimages.macys.com/is/image/MCY/21355151 ")</f>
        <v xml:space="preserve">http://slimages.macys.com/is/image/MCY/21355151 </v>
      </c>
    </row>
    <row r="77" spans="1:14" ht="24.75" x14ac:dyDescent="0.25">
      <c r="A77" s="21" t="s">
        <v>2368</v>
      </c>
      <c r="B77" s="22" t="s">
        <v>2369</v>
      </c>
      <c r="C77" s="2">
        <v>1</v>
      </c>
      <c r="D77" s="23">
        <v>24.99</v>
      </c>
      <c r="E77" s="3">
        <v>24.99</v>
      </c>
      <c r="F77" s="2" t="s">
        <v>2370</v>
      </c>
      <c r="G77" s="22" t="s">
        <v>19342</v>
      </c>
      <c r="H77" s="24" t="s">
        <v>19538</v>
      </c>
      <c r="I77" s="22" t="s">
        <v>19309</v>
      </c>
      <c r="J77" s="22" t="s">
        <v>19385</v>
      </c>
      <c r="K77" s="22" t="s">
        <v>19729</v>
      </c>
      <c r="L77" s="22"/>
      <c r="M77" s="22"/>
      <c r="N77" s="25" t="str">
        <f>HYPERLINK("http://slimages.macys.com/is/image/MCY/19969635 ")</f>
        <v xml:space="preserve">http://slimages.macys.com/is/image/MCY/19969635 </v>
      </c>
    </row>
    <row r="78" spans="1:14" ht="24.75" x14ac:dyDescent="0.25">
      <c r="A78" s="21" t="s">
        <v>2371</v>
      </c>
      <c r="B78" s="22" t="s">
        <v>2372</v>
      </c>
      <c r="C78" s="2">
        <v>1</v>
      </c>
      <c r="D78" s="23">
        <v>26.99</v>
      </c>
      <c r="E78" s="3">
        <v>26.99</v>
      </c>
      <c r="F78" s="2" t="s">
        <v>2373</v>
      </c>
      <c r="G78" s="22" t="s">
        <v>19794</v>
      </c>
      <c r="H78" s="24" t="s">
        <v>19334</v>
      </c>
      <c r="I78" s="22" t="s">
        <v>19309</v>
      </c>
      <c r="J78" s="22" t="s">
        <v>19519</v>
      </c>
      <c r="K78" s="22" t="s">
        <v>2374</v>
      </c>
      <c r="L78" s="22"/>
      <c r="M78" s="22"/>
      <c r="N78" s="25" t="str">
        <f>HYPERLINK("http://slimages.macys.com/is/image/MCY/21306565 ")</f>
        <v xml:space="preserve">http://slimages.macys.com/is/image/MCY/21306565 </v>
      </c>
    </row>
    <row r="79" spans="1:14" x14ac:dyDescent="0.25">
      <c r="A79" s="21" t="s">
        <v>2375</v>
      </c>
      <c r="B79" s="22" t="s">
        <v>2376</v>
      </c>
      <c r="C79" s="2">
        <v>1</v>
      </c>
      <c r="D79" s="23">
        <v>26.99</v>
      </c>
      <c r="E79" s="3">
        <v>26.99</v>
      </c>
      <c r="F79" s="2" t="s">
        <v>2377</v>
      </c>
      <c r="G79" s="22" t="s">
        <v>19342</v>
      </c>
      <c r="H79" s="24" t="s">
        <v>19478</v>
      </c>
      <c r="I79" s="22" t="s">
        <v>19309</v>
      </c>
      <c r="J79" s="22" t="s">
        <v>19696</v>
      </c>
      <c r="K79" s="22" t="s">
        <v>19965</v>
      </c>
      <c r="L79" s="22"/>
      <c r="M79" s="22"/>
      <c r="N79" s="25" t="str">
        <f>HYPERLINK("http://slimages.macys.com/is/image/MCY/21689632 ")</f>
        <v xml:space="preserve">http://slimages.macys.com/is/image/MCY/21689632 </v>
      </c>
    </row>
    <row r="80" spans="1:14" ht="24.75" x14ac:dyDescent="0.25">
      <c r="A80" s="21" t="s">
        <v>2378</v>
      </c>
      <c r="B80" s="22" t="s">
        <v>2379</v>
      </c>
      <c r="C80" s="2">
        <v>7</v>
      </c>
      <c r="D80" s="23">
        <v>42.99</v>
      </c>
      <c r="E80" s="3">
        <v>300.93</v>
      </c>
      <c r="F80" s="2" t="s">
        <v>2380</v>
      </c>
      <c r="G80" s="22" t="s">
        <v>19674</v>
      </c>
      <c r="H80" s="24" t="s">
        <v>19501</v>
      </c>
      <c r="I80" s="22" t="s">
        <v>19309</v>
      </c>
      <c r="J80" s="22" t="s">
        <v>19400</v>
      </c>
      <c r="K80" s="22" t="s">
        <v>2381</v>
      </c>
      <c r="L80" s="22"/>
      <c r="M80" s="22"/>
      <c r="N80" s="25" t="str">
        <f>HYPERLINK("http://slimages.macys.com/is/image/MCY/19232881 ")</f>
        <v xml:space="preserve">http://slimages.macys.com/is/image/MCY/19232881 </v>
      </c>
    </row>
    <row r="81" spans="1:14" x14ac:dyDescent="0.25">
      <c r="A81" s="21" t="s">
        <v>2382</v>
      </c>
      <c r="B81" s="22" t="s">
        <v>2383</v>
      </c>
      <c r="C81" s="2">
        <v>1</v>
      </c>
      <c r="D81" s="23">
        <v>18.989999999999998</v>
      </c>
      <c r="E81" s="3">
        <v>18.989999999999998</v>
      </c>
      <c r="F81" s="2" t="s">
        <v>19704</v>
      </c>
      <c r="G81" s="22" t="s">
        <v>19338</v>
      </c>
      <c r="H81" s="24" t="s">
        <v>19395</v>
      </c>
      <c r="I81" s="22" t="s">
        <v>19309</v>
      </c>
      <c r="J81" s="22" t="s">
        <v>19310</v>
      </c>
      <c r="K81" s="22" t="s">
        <v>19468</v>
      </c>
      <c r="L81" s="22"/>
      <c r="M81" s="22"/>
      <c r="N81" s="25" t="str">
        <f>HYPERLINK("http://slimages.macys.com/is/image/MCY/19944395 ")</f>
        <v xml:space="preserve">http://slimages.macys.com/is/image/MCY/19944395 </v>
      </c>
    </row>
    <row r="82" spans="1:14" ht="24.75" x14ac:dyDescent="0.25">
      <c r="A82" s="21" t="s">
        <v>2384</v>
      </c>
      <c r="B82" s="22" t="s">
        <v>2385</v>
      </c>
      <c r="C82" s="2">
        <v>3</v>
      </c>
      <c r="D82" s="23">
        <v>21.99</v>
      </c>
      <c r="E82" s="3">
        <v>65.97</v>
      </c>
      <c r="F82" s="2" t="s">
        <v>2386</v>
      </c>
      <c r="G82" s="22"/>
      <c r="H82" s="24" t="s">
        <v>19308</v>
      </c>
      <c r="I82" s="22" t="s">
        <v>19309</v>
      </c>
      <c r="J82" s="22" t="s">
        <v>19454</v>
      </c>
      <c r="K82" s="22" t="s">
        <v>18654</v>
      </c>
      <c r="L82" s="22"/>
      <c r="M82" s="22"/>
      <c r="N82" s="25" t="str">
        <f t="shared" ref="N82:N87" si="0">HYPERLINK("http://slimages.macys.com/is/image/MCY/19550406 ")</f>
        <v xml:space="preserve">http://slimages.macys.com/is/image/MCY/19550406 </v>
      </c>
    </row>
    <row r="83" spans="1:14" ht="24.75" x14ac:dyDescent="0.25">
      <c r="A83" s="21" t="s">
        <v>2387</v>
      </c>
      <c r="B83" s="22" t="s">
        <v>2388</v>
      </c>
      <c r="C83" s="2">
        <v>3</v>
      </c>
      <c r="D83" s="23">
        <v>21.99</v>
      </c>
      <c r="E83" s="3">
        <v>65.97</v>
      </c>
      <c r="F83" s="2" t="s">
        <v>2389</v>
      </c>
      <c r="G83" s="22"/>
      <c r="H83" s="24" t="s">
        <v>19364</v>
      </c>
      <c r="I83" s="22" t="s">
        <v>19309</v>
      </c>
      <c r="J83" s="22" t="s">
        <v>19454</v>
      </c>
      <c r="K83" s="22" t="s">
        <v>18654</v>
      </c>
      <c r="L83" s="22"/>
      <c r="M83" s="22"/>
      <c r="N83" s="25" t="str">
        <f t="shared" si="0"/>
        <v xml:space="preserve">http://slimages.macys.com/is/image/MCY/19550406 </v>
      </c>
    </row>
    <row r="84" spans="1:14" ht="24.75" x14ac:dyDescent="0.25">
      <c r="A84" s="21" t="s">
        <v>2390</v>
      </c>
      <c r="B84" s="22" t="s">
        <v>2391</v>
      </c>
      <c r="C84" s="2">
        <v>2</v>
      </c>
      <c r="D84" s="23">
        <v>21.99</v>
      </c>
      <c r="E84" s="3">
        <v>43.98</v>
      </c>
      <c r="F84" s="2" t="s">
        <v>2386</v>
      </c>
      <c r="G84" s="22"/>
      <c r="H84" s="24" t="s">
        <v>19339</v>
      </c>
      <c r="I84" s="22" t="s">
        <v>19309</v>
      </c>
      <c r="J84" s="22" t="s">
        <v>19454</v>
      </c>
      <c r="K84" s="22" t="s">
        <v>18654</v>
      </c>
      <c r="L84" s="22"/>
      <c r="M84" s="22"/>
      <c r="N84" s="25" t="str">
        <f t="shared" si="0"/>
        <v xml:space="preserve">http://slimages.macys.com/is/image/MCY/19550406 </v>
      </c>
    </row>
    <row r="85" spans="1:14" ht="24.75" x14ac:dyDescent="0.25">
      <c r="A85" s="21" t="s">
        <v>2392</v>
      </c>
      <c r="B85" s="22" t="s">
        <v>2393</v>
      </c>
      <c r="C85" s="2">
        <v>6</v>
      </c>
      <c r="D85" s="23">
        <v>21.99</v>
      </c>
      <c r="E85" s="3">
        <v>131.94</v>
      </c>
      <c r="F85" s="2" t="s">
        <v>2386</v>
      </c>
      <c r="G85" s="22"/>
      <c r="H85" s="24" t="s">
        <v>19352</v>
      </c>
      <c r="I85" s="22" t="s">
        <v>19309</v>
      </c>
      <c r="J85" s="22" t="s">
        <v>19454</v>
      </c>
      <c r="K85" s="22" t="s">
        <v>18654</v>
      </c>
      <c r="L85" s="22"/>
      <c r="M85" s="22"/>
      <c r="N85" s="25" t="str">
        <f t="shared" si="0"/>
        <v xml:space="preserve">http://slimages.macys.com/is/image/MCY/19550406 </v>
      </c>
    </row>
    <row r="86" spans="1:14" ht="24.75" x14ac:dyDescent="0.25">
      <c r="A86" s="21" t="s">
        <v>2394</v>
      </c>
      <c r="B86" s="22" t="s">
        <v>2395</v>
      </c>
      <c r="C86" s="2">
        <v>4</v>
      </c>
      <c r="D86" s="23">
        <v>21.99</v>
      </c>
      <c r="E86" s="3">
        <v>87.96</v>
      </c>
      <c r="F86" s="2" t="s">
        <v>2389</v>
      </c>
      <c r="G86" s="22"/>
      <c r="H86" s="24" t="s">
        <v>19352</v>
      </c>
      <c r="I86" s="22" t="s">
        <v>19309</v>
      </c>
      <c r="J86" s="22" t="s">
        <v>19454</v>
      </c>
      <c r="K86" s="22" t="s">
        <v>18654</v>
      </c>
      <c r="L86" s="22"/>
      <c r="M86" s="22"/>
      <c r="N86" s="25" t="str">
        <f t="shared" si="0"/>
        <v xml:space="preserve">http://slimages.macys.com/is/image/MCY/19550406 </v>
      </c>
    </row>
    <row r="87" spans="1:14" ht="24.75" x14ac:dyDescent="0.25">
      <c r="A87" s="21" t="s">
        <v>2396</v>
      </c>
      <c r="B87" s="22" t="s">
        <v>2397</v>
      </c>
      <c r="C87" s="2">
        <v>1</v>
      </c>
      <c r="D87" s="23">
        <v>21.99</v>
      </c>
      <c r="E87" s="3">
        <v>21.99</v>
      </c>
      <c r="F87" s="2" t="s">
        <v>2389</v>
      </c>
      <c r="G87" s="22"/>
      <c r="H87" s="24" t="s">
        <v>19308</v>
      </c>
      <c r="I87" s="22" t="s">
        <v>19309</v>
      </c>
      <c r="J87" s="22" t="s">
        <v>19454</v>
      </c>
      <c r="K87" s="22" t="s">
        <v>18654</v>
      </c>
      <c r="L87" s="22"/>
      <c r="M87" s="22"/>
      <c r="N87" s="25" t="str">
        <f t="shared" si="0"/>
        <v xml:space="preserve">http://slimages.macys.com/is/image/MCY/19550406 </v>
      </c>
    </row>
    <row r="88" spans="1:14" x14ac:dyDescent="0.25">
      <c r="A88" s="21" t="s">
        <v>4596</v>
      </c>
      <c r="B88" s="22" t="s">
        <v>4597</v>
      </c>
      <c r="C88" s="2">
        <v>9</v>
      </c>
      <c r="D88" s="23">
        <v>20.58</v>
      </c>
      <c r="E88" s="3">
        <v>185.22</v>
      </c>
      <c r="F88" s="2" t="s">
        <v>8036</v>
      </c>
      <c r="G88" s="22" t="s">
        <v>19342</v>
      </c>
      <c r="H88" s="24" t="s">
        <v>19432</v>
      </c>
      <c r="I88" s="22" t="s">
        <v>19309</v>
      </c>
      <c r="J88" s="22" t="s">
        <v>19514</v>
      </c>
      <c r="K88" s="22" t="s">
        <v>10909</v>
      </c>
      <c r="L88" s="22"/>
      <c r="M88" s="22"/>
      <c r="N88" s="25" t="str">
        <f>HYPERLINK("http://slimages.macys.com/is/image/MCY/21192202 ")</f>
        <v xml:space="preserve">http://slimages.macys.com/is/image/MCY/21192202 </v>
      </c>
    </row>
    <row r="89" spans="1:14" ht="24.75" x14ac:dyDescent="0.25">
      <c r="A89" s="21" t="s">
        <v>12961</v>
      </c>
      <c r="B89" s="22" t="s">
        <v>12962</v>
      </c>
      <c r="C89" s="2">
        <v>1</v>
      </c>
      <c r="D89" s="23">
        <v>24.99</v>
      </c>
      <c r="E89" s="3">
        <v>24.99</v>
      </c>
      <c r="F89" s="2" t="s">
        <v>17821</v>
      </c>
      <c r="G89" s="22" t="s">
        <v>19713</v>
      </c>
      <c r="H89" s="24" t="s">
        <v>19330</v>
      </c>
      <c r="I89" s="22" t="s">
        <v>19309</v>
      </c>
      <c r="J89" s="22" t="s">
        <v>19573</v>
      </c>
      <c r="K89" s="22" t="s">
        <v>19574</v>
      </c>
      <c r="L89" s="22"/>
      <c r="M89" s="22"/>
      <c r="N89" s="25" t="str">
        <f>HYPERLINK("http://slimages.macys.com/is/image/MCY/1679020 ")</f>
        <v xml:space="preserve">http://slimages.macys.com/is/image/MCY/1679020 </v>
      </c>
    </row>
    <row r="90" spans="1:14" ht="24.75" x14ac:dyDescent="0.25">
      <c r="A90" s="21" t="s">
        <v>15231</v>
      </c>
      <c r="B90" s="22" t="s">
        <v>15232</v>
      </c>
      <c r="C90" s="2">
        <v>1</v>
      </c>
      <c r="D90" s="23">
        <v>24.99</v>
      </c>
      <c r="E90" s="3">
        <v>24.99</v>
      </c>
      <c r="F90" s="2" t="s">
        <v>17821</v>
      </c>
      <c r="G90" s="22" t="s">
        <v>19713</v>
      </c>
      <c r="H90" s="24"/>
      <c r="I90" s="22" t="s">
        <v>19309</v>
      </c>
      <c r="J90" s="22" t="s">
        <v>19573</v>
      </c>
      <c r="K90" s="22" t="s">
        <v>19574</v>
      </c>
      <c r="L90" s="22"/>
      <c r="M90" s="22"/>
      <c r="N90" s="25" t="str">
        <f>HYPERLINK("http://slimages.macys.com/is/image/MCY/1679020 ")</f>
        <v xml:space="preserve">http://slimages.macys.com/is/image/MCY/1679020 </v>
      </c>
    </row>
    <row r="91" spans="1:14" ht="24.75" x14ac:dyDescent="0.25">
      <c r="A91" s="21" t="s">
        <v>12959</v>
      </c>
      <c r="B91" s="22" t="s">
        <v>12960</v>
      </c>
      <c r="C91" s="2">
        <v>1</v>
      </c>
      <c r="D91" s="23">
        <v>24.99</v>
      </c>
      <c r="E91" s="3">
        <v>24.99</v>
      </c>
      <c r="F91" s="2" t="s">
        <v>17821</v>
      </c>
      <c r="G91" s="22" t="s">
        <v>19713</v>
      </c>
      <c r="H91" s="24" t="s">
        <v>19324</v>
      </c>
      <c r="I91" s="22" t="s">
        <v>19309</v>
      </c>
      <c r="J91" s="22" t="s">
        <v>19573</v>
      </c>
      <c r="K91" s="22" t="s">
        <v>19574</v>
      </c>
      <c r="L91" s="22"/>
      <c r="M91" s="22"/>
      <c r="N91" s="25" t="str">
        <f>HYPERLINK("http://slimages.macys.com/is/image/MCY/1679019 ")</f>
        <v xml:space="preserve">http://slimages.macys.com/is/image/MCY/1679019 </v>
      </c>
    </row>
    <row r="92" spans="1:14" ht="24.75" x14ac:dyDescent="0.25">
      <c r="A92" s="21" t="s">
        <v>2398</v>
      </c>
      <c r="B92" s="22" t="s">
        <v>2399</v>
      </c>
      <c r="C92" s="2">
        <v>1</v>
      </c>
      <c r="D92" s="23">
        <v>37.5</v>
      </c>
      <c r="E92" s="3">
        <v>37.5</v>
      </c>
      <c r="F92" s="2" t="s">
        <v>2400</v>
      </c>
      <c r="G92" s="22" t="s">
        <v>18361</v>
      </c>
      <c r="H92" s="24"/>
      <c r="I92" s="22" t="s">
        <v>19309</v>
      </c>
      <c r="J92" s="22" t="s">
        <v>15149</v>
      </c>
      <c r="K92" s="22" t="s">
        <v>19546</v>
      </c>
      <c r="L92" s="22"/>
      <c r="M92" s="22"/>
      <c r="N92" s="25" t="str">
        <f>HYPERLINK("http://slimages.macys.com/is/image/MCY/21168539 ")</f>
        <v xml:space="preserve">http://slimages.macys.com/is/image/MCY/21168539 </v>
      </c>
    </row>
    <row r="93" spans="1:14" ht="24.75" x14ac:dyDescent="0.25">
      <c r="A93" s="21" t="s">
        <v>2401</v>
      </c>
      <c r="B93" s="22" t="s">
        <v>2402</v>
      </c>
      <c r="C93" s="2">
        <v>1</v>
      </c>
      <c r="D93" s="23">
        <v>23.99</v>
      </c>
      <c r="E93" s="3">
        <v>23.99</v>
      </c>
      <c r="F93" s="2" t="s">
        <v>19722</v>
      </c>
      <c r="G93" s="22" t="s">
        <v>19518</v>
      </c>
      <c r="H93" s="24" t="s">
        <v>19384</v>
      </c>
      <c r="I93" s="22" t="s">
        <v>19309</v>
      </c>
      <c r="J93" s="22" t="s">
        <v>19573</v>
      </c>
      <c r="K93" s="22" t="s">
        <v>19574</v>
      </c>
      <c r="L93" s="22"/>
      <c r="M93" s="22"/>
      <c r="N93" s="25" t="str">
        <f>HYPERLINK("http://slimages.macys.com/is/image/MCY/20142439 ")</f>
        <v xml:space="preserve">http://slimages.macys.com/is/image/MCY/20142439 </v>
      </c>
    </row>
    <row r="94" spans="1:14" ht="24.75" x14ac:dyDescent="0.25">
      <c r="A94" s="21" t="s">
        <v>2403</v>
      </c>
      <c r="B94" s="22" t="s">
        <v>2404</v>
      </c>
      <c r="C94" s="2">
        <v>1</v>
      </c>
      <c r="D94" s="23">
        <v>24.99</v>
      </c>
      <c r="E94" s="3">
        <v>24.99</v>
      </c>
      <c r="F94" s="2" t="s">
        <v>2405</v>
      </c>
      <c r="G94" s="22" t="s">
        <v>19342</v>
      </c>
      <c r="H94" s="24" t="s">
        <v>19324</v>
      </c>
      <c r="I94" s="22" t="s">
        <v>19309</v>
      </c>
      <c r="J94" s="22" t="s">
        <v>19491</v>
      </c>
      <c r="K94" s="22" t="s">
        <v>19554</v>
      </c>
      <c r="L94" s="22"/>
      <c r="M94" s="22"/>
      <c r="N94" s="25" t="str">
        <f>HYPERLINK("http://slimages.macys.com/is/image/MCY/21243475 ")</f>
        <v xml:space="preserve">http://slimages.macys.com/is/image/MCY/21243475 </v>
      </c>
    </row>
    <row r="95" spans="1:14" ht="24.75" x14ac:dyDescent="0.25">
      <c r="A95" s="21" t="s">
        <v>15781</v>
      </c>
      <c r="B95" s="22" t="s">
        <v>15782</v>
      </c>
      <c r="C95" s="2">
        <v>1</v>
      </c>
      <c r="D95" s="23">
        <v>24.99</v>
      </c>
      <c r="E95" s="3">
        <v>24.99</v>
      </c>
      <c r="F95" s="2" t="s">
        <v>15783</v>
      </c>
      <c r="G95" s="22" t="s">
        <v>19342</v>
      </c>
      <c r="H95" s="24" t="s">
        <v>19324</v>
      </c>
      <c r="I95" s="22" t="s">
        <v>19309</v>
      </c>
      <c r="J95" s="22" t="s">
        <v>19491</v>
      </c>
      <c r="K95" s="22" t="s">
        <v>19554</v>
      </c>
      <c r="L95" s="22"/>
      <c r="M95" s="22"/>
      <c r="N95" s="25" t="str">
        <f>HYPERLINK("http://slimages.macys.com/is/image/MCY/21243477 ")</f>
        <v xml:space="preserve">http://slimages.macys.com/is/image/MCY/21243477 </v>
      </c>
    </row>
    <row r="96" spans="1:14" ht="24.75" x14ac:dyDescent="0.25">
      <c r="A96" s="21" t="s">
        <v>3784</v>
      </c>
      <c r="B96" s="22" t="s">
        <v>3785</v>
      </c>
      <c r="C96" s="2">
        <v>1</v>
      </c>
      <c r="D96" s="23">
        <v>23.99</v>
      </c>
      <c r="E96" s="3">
        <v>23.99</v>
      </c>
      <c r="F96" s="2" t="s">
        <v>9449</v>
      </c>
      <c r="G96" s="22" t="s">
        <v>19342</v>
      </c>
      <c r="H96" s="24" t="s">
        <v>19324</v>
      </c>
      <c r="I96" s="22" t="s">
        <v>19309</v>
      </c>
      <c r="J96" s="22" t="s">
        <v>19491</v>
      </c>
      <c r="K96" s="22" t="s">
        <v>19554</v>
      </c>
      <c r="L96" s="22"/>
      <c r="M96" s="22"/>
      <c r="N96" s="25" t="str">
        <f>HYPERLINK("http://slimages.macys.com/is/image/MCY/20389914 ")</f>
        <v xml:space="preserve">http://slimages.macys.com/is/image/MCY/20389914 </v>
      </c>
    </row>
    <row r="97" spans="1:14" ht="24.75" x14ac:dyDescent="0.25">
      <c r="A97" s="21" t="s">
        <v>2406</v>
      </c>
      <c r="B97" s="22" t="s">
        <v>2407</v>
      </c>
      <c r="C97" s="2">
        <v>1</v>
      </c>
      <c r="D97" s="23">
        <v>24.99</v>
      </c>
      <c r="E97" s="3">
        <v>24.99</v>
      </c>
      <c r="F97" s="2" t="s">
        <v>15759</v>
      </c>
      <c r="G97" s="22" t="s">
        <v>19342</v>
      </c>
      <c r="H97" s="24" t="s">
        <v>19330</v>
      </c>
      <c r="I97" s="22" t="s">
        <v>19309</v>
      </c>
      <c r="J97" s="22" t="s">
        <v>19385</v>
      </c>
      <c r="K97" s="22" t="s">
        <v>19729</v>
      </c>
      <c r="L97" s="22"/>
      <c r="M97" s="22"/>
      <c r="N97" s="25" t="str">
        <f>HYPERLINK("http://slimages.macys.com/is/image/MCY/21221564 ")</f>
        <v xml:space="preserve">http://slimages.macys.com/is/image/MCY/21221564 </v>
      </c>
    </row>
    <row r="98" spans="1:14" ht="24.75" x14ac:dyDescent="0.25">
      <c r="A98" s="21" t="s">
        <v>2408</v>
      </c>
      <c r="B98" s="22" t="s">
        <v>2409</v>
      </c>
      <c r="C98" s="2">
        <v>1</v>
      </c>
      <c r="D98" s="23">
        <v>24.99</v>
      </c>
      <c r="E98" s="3">
        <v>24.99</v>
      </c>
      <c r="F98" s="2" t="s">
        <v>2410</v>
      </c>
      <c r="G98" s="22" t="s">
        <v>19342</v>
      </c>
      <c r="H98" s="24" t="s">
        <v>19416</v>
      </c>
      <c r="I98" s="22" t="s">
        <v>19309</v>
      </c>
      <c r="J98" s="22" t="s">
        <v>19491</v>
      </c>
      <c r="K98" s="22" t="s">
        <v>19554</v>
      </c>
      <c r="L98" s="22"/>
      <c r="M98" s="22"/>
      <c r="N98" s="25" t="str">
        <f>HYPERLINK("http://slimages.macys.com/is/image/MCY/21483066 ")</f>
        <v xml:space="preserve">http://slimages.macys.com/is/image/MCY/21483066 </v>
      </c>
    </row>
    <row r="99" spans="1:14" ht="24.75" x14ac:dyDescent="0.25">
      <c r="A99" s="21" t="s">
        <v>2411</v>
      </c>
      <c r="B99" s="22" t="s">
        <v>2412</v>
      </c>
      <c r="C99" s="2">
        <v>1</v>
      </c>
      <c r="D99" s="23">
        <v>24.99</v>
      </c>
      <c r="E99" s="3">
        <v>24.99</v>
      </c>
      <c r="F99" s="2" t="s">
        <v>15768</v>
      </c>
      <c r="G99" s="22" t="s">
        <v>19342</v>
      </c>
      <c r="H99" s="24" t="s">
        <v>19330</v>
      </c>
      <c r="I99" s="22" t="s">
        <v>19309</v>
      </c>
      <c r="J99" s="22" t="s">
        <v>19385</v>
      </c>
      <c r="K99" s="22" t="s">
        <v>19729</v>
      </c>
      <c r="L99" s="22"/>
      <c r="M99" s="22"/>
      <c r="N99" s="25" t="str">
        <f>HYPERLINK("http://slimages.macys.com/is/image/MCY/21506898 ")</f>
        <v xml:space="preserve">http://slimages.macys.com/is/image/MCY/21506898 </v>
      </c>
    </row>
    <row r="100" spans="1:14" ht="24.75" x14ac:dyDescent="0.25">
      <c r="A100" s="21" t="s">
        <v>19743</v>
      </c>
      <c r="B100" s="22" t="s">
        <v>19744</v>
      </c>
      <c r="C100" s="2">
        <v>1</v>
      </c>
      <c r="D100" s="23">
        <v>24.99</v>
      </c>
      <c r="E100" s="3">
        <v>24.99</v>
      </c>
      <c r="F100" s="2" t="s">
        <v>19728</v>
      </c>
      <c r="G100" s="22" t="s">
        <v>19342</v>
      </c>
      <c r="H100" s="24" t="s">
        <v>19330</v>
      </c>
      <c r="I100" s="22" t="s">
        <v>19309</v>
      </c>
      <c r="J100" s="22" t="s">
        <v>19385</v>
      </c>
      <c r="K100" s="22" t="s">
        <v>19729</v>
      </c>
      <c r="L100" s="22"/>
      <c r="M100" s="22"/>
      <c r="N100" s="25" t="str">
        <f>HYPERLINK("http://slimages.macys.com/is/image/MCY/21773792 ")</f>
        <v xml:space="preserve">http://slimages.macys.com/is/image/MCY/21773792 </v>
      </c>
    </row>
    <row r="101" spans="1:14" ht="24.75" x14ac:dyDescent="0.25">
      <c r="A101" s="21" t="s">
        <v>15760</v>
      </c>
      <c r="B101" s="22" t="s">
        <v>15761</v>
      </c>
      <c r="C101" s="2">
        <v>1</v>
      </c>
      <c r="D101" s="23">
        <v>24.99</v>
      </c>
      <c r="E101" s="3">
        <v>24.99</v>
      </c>
      <c r="F101" s="2" t="s">
        <v>15762</v>
      </c>
      <c r="G101" s="22" t="s">
        <v>19342</v>
      </c>
      <c r="H101" s="24" t="s">
        <v>19324</v>
      </c>
      <c r="I101" s="22" t="s">
        <v>19309</v>
      </c>
      <c r="J101" s="22" t="s">
        <v>19385</v>
      </c>
      <c r="K101" s="22" t="s">
        <v>19729</v>
      </c>
      <c r="L101" s="22"/>
      <c r="M101" s="22"/>
      <c r="N101" s="25" t="str">
        <f>HYPERLINK("http://slimages.macys.com/is/image/MCY/21091518 ")</f>
        <v xml:space="preserve">http://slimages.macys.com/is/image/MCY/21091518 </v>
      </c>
    </row>
    <row r="102" spans="1:14" ht="24.75" x14ac:dyDescent="0.25">
      <c r="A102" s="21" t="s">
        <v>2413</v>
      </c>
      <c r="B102" s="22" t="s">
        <v>2414</v>
      </c>
      <c r="C102" s="2">
        <v>1</v>
      </c>
      <c r="D102" s="23">
        <v>24.99</v>
      </c>
      <c r="E102" s="3">
        <v>24.99</v>
      </c>
      <c r="F102" s="2" t="s">
        <v>2415</v>
      </c>
      <c r="G102" s="22" t="s">
        <v>19794</v>
      </c>
      <c r="H102" s="24" t="s">
        <v>19330</v>
      </c>
      <c r="I102" s="22" t="s">
        <v>19309</v>
      </c>
      <c r="J102" s="22" t="s">
        <v>19385</v>
      </c>
      <c r="K102" s="22" t="s">
        <v>17835</v>
      </c>
      <c r="L102" s="22"/>
      <c r="M102" s="22"/>
      <c r="N102" s="25" t="str">
        <f>HYPERLINK("http://slimages.macys.com/is/image/MCY/21191140 ")</f>
        <v xml:space="preserve">http://slimages.macys.com/is/image/MCY/21191140 </v>
      </c>
    </row>
    <row r="103" spans="1:14" ht="24.75" x14ac:dyDescent="0.25">
      <c r="A103" s="21" t="s">
        <v>2416</v>
      </c>
      <c r="B103" s="22" t="s">
        <v>2417</v>
      </c>
      <c r="C103" s="2">
        <v>1</v>
      </c>
      <c r="D103" s="23">
        <v>22.99</v>
      </c>
      <c r="E103" s="3">
        <v>22.99</v>
      </c>
      <c r="F103" s="2" t="s">
        <v>2418</v>
      </c>
      <c r="G103" s="22" t="s">
        <v>19462</v>
      </c>
      <c r="H103" s="24" t="s">
        <v>19330</v>
      </c>
      <c r="I103" s="22" t="s">
        <v>19309</v>
      </c>
      <c r="J103" s="22" t="s">
        <v>19385</v>
      </c>
      <c r="K103" s="22" t="s">
        <v>19463</v>
      </c>
      <c r="L103" s="22"/>
      <c r="M103" s="22"/>
      <c r="N103" s="25" t="str">
        <f>HYPERLINK("http://slimages.macys.com/is/image/MCY/21474431 ")</f>
        <v xml:space="preserve">http://slimages.macys.com/is/image/MCY/21474431 </v>
      </c>
    </row>
    <row r="104" spans="1:14" ht="24.75" x14ac:dyDescent="0.25">
      <c r="A104" s="21" t="s">
        <v>2419</v>
      </c>
      <c r="B104" s="22" t="s">
        <v>2420</v>
      </c>
      <c r="C104" s="2">
        <v>2</v>
      </c>
      <c r="D104" s="23">
        <v>21.41</v>
      </c>
      <c r="E104" s="3">
        <v>42.82</v>
      </c>
      <c r="F104" s="2" t="s">
        <v>2421</v>
      </c>
      <c r="G104" s="22"/>
      <c r="H104" s="24" t="s">
        <v>19345</v>
      </c>
      <c r="I104" s="22" t="s">
        <v>19309</v>
      </c>
      <c r="J104" s="22" t="s">
        <v>19602</v>
      </c>
      <c r="K104" s="22" t="s">
        <v>19603</v>
      </c>
      <c r="L104" s="22"/>
      <c r="M104" s="22"/>
      <c r="N104" s="25" t="str">
        <f>HYPERLINK("http://slimages.macys.com/is/image/MCY/21723232 ")</f>
        <v xml:space="preserve">http://slimages.macys.com/is/image/MCY/21723232 </v>
      </c>
    </row>
    <row r="105" spans="1:14" ht="24.75" x14ac:dyDescent="0.25">
      <c r="A105" s="21" t="s">
        <v>2422</v>
      </c>
      <c r="B105" s="22" t="s">
        <v>2423</v>
      </c>
      <c r="C105" s="2">
        <v>1</v>
      </c>
      <c r="D105" s="23">
        <v>21.43</v>
      </c>
      <c r="E105" s="3">
        <v>21.43</v>
      </c>
      <c r="F105" s="2" t="s">
        <v>2424</v>
      </c>
      <c r="G105" s="22"/>
      <c r="H105" s="24" t="s">
        <v>19334</v>
      </c>
      <c r="I105" s="22" t="s">
        <v>19309</v>
      </c>
      <c r="J105" s="22" t="s">
        <v>19602</v>
      </c>
      <c r="K105" s="22" t="s">
        <v>19603</v>
      </c>
      <c r="L105" s="22"/>
      <c r="M105" s="22"/>
      <c r="N105" s="25" t="str">
        <f>HYPERLINK("http://slimages.macys.com/is/image/MCY/21421847 ")</f>
        <v xml:space="preserve">http://slimages.macys.com/is/image/MCY/21421847 </v>
      </c>
    </row>
    <row r="106" spans="1:14" ht="24.75" x14ac:dyDescent="0.25">
      <c r="A106" s="21" t="s">
        <v>10912</v>
      </c>
      <c r="B106" s="22" t="s">
        <v>10913</v>
      </c>
      <c r="C106" s="2">
        <v>1</v>
      </c>
      <c r="D106" s="23">
        <v>21.41</v>
      </c>
      <c r="E106" s="3">
        <v>21.41</v>
      </c>
      <c r="F106" s="2" t="s">
        <v>17838</v>
      </c>
      <c r="G106" s="22"/>
      <c r="H106" s="24" t="s">
        <v>19392</v>
      </c>
      <c r="I106" s="22" t="s">
        <v>19309</v>
      </c>
      <c r="J106" s="22" t="s">
        <v>19602</v>
      </c>
      <c r="K106" s="22" t="s">
        <v>19603</v>
      </c>
      <c r="L106" s="22"/>
      <c r="M106" s="22"/>
      <c r="N106" s="25" t="str">
        <f>HYPERLINK("http://slimages.macys.com/is/image/MCY/21723232 ")</f>
        <v xml:space="preserve">http://slimages.macys.com/is/image/MCY/21723232 </v>
      </c>
    </row>
    <row r="107" spans="1:14" ht="24.75" x14ac:dyDescent="0.25">
      <c r="A107" s="21" t="s">
        <v>2425</v>
      </c>
      <c r="B107" s="22" t="s">
        <v>2426</v>
      </c>
      <c r="C107" s="2">
        <v>1</v>
      </c>
      <c r="D107" s="23">
        <v>21.41</v>
      </c>
      <c r="E107" s="3">
        <v>21.41</v>
      </c>
      <c r="F107" s="2" t="s">
        <v>12976</v>
      </c>
      <c r="G107" s="22"/>
      <c r="H107" s="24" t="s">
        <v>19334</v>
      </c>
      <c r="I107" s="22" t="s">
        <v>19309</v>
      </c>
      <c r="J107" s="22" t="s">
        <v>19602</v>
      </c>
      <c r="K107" s="22" t="s">
        <v>19603</v>
      </c>
      <c r="L107" s="22"/>
      <c r="M107" s="22"/>
      <c r="N107" s="25" t="str">
        <f>HYPERLINK("http://slimages.macys.com/is/image/MCY/21723232 ")</f>
        <v xml:space="preserve">http://slimages.macys.com/is/image/MCY/21723232 </v>
      </c>
    </row>
    <row r="108" spans="1:14" ht="24.75" x14ac:dyDescent="0.25">
      <c r="A108" s="21" t="s">
        <v>2427</v>
      </c>
      <c r="B108" s="22" t="s">
        <v>2428</v>
      </c>
      <c r="C108" s="2">
        <v>1</v>
      </c>
      <c r="D108" s="23">
        <v>21.43</v>
      </c>
      <c r="E108" s="3">
        <v>21.43</v>
      </c>
      <c r="F108" s="2" t="s">
        <v>2429</v>
      </c>
      <c r="G108" s="22"/>
      <c r="H108" s="24" t="s">
        <v>19334</v>
      </c>
      <c r="I108" s="22" t="s">
        <v>19309</v>
      </c>
      <c r="J108" s="22" t="s">
        <v>19602</v>
      </c>
      <c r="K108" s="22" t="s">
        <v>19603</v>
      </c>
      <c r="L108" s="22"/>
      <c r="M108" s="22"/>
      <c r="N108" s="25" t="str">
        <f>HYPERLINK("http://slimages.macys.com/is/image/MCY/21421847 ")</f>
        <v xml:space="preserve">http://slimages.macys.com/is/image/MCY/21421847 </v>
      </c>
    </row>
    <row r="109" spans="1:14" x14ac:dyDescent="0.25">
      <c r="A109" s="21" t="s">
        <v>19751</v>
      </c>
      <c r="B109" s="22" t="s">
        <v>19752</v>
      </c>
      <c r="C109" s="2">
        <v>1</v>
      </c>
      <c r="D109" s="23">
        <v>26.05</v>
      </c>
      <c r="E109" s="3">
        <v>26.05</v>
      </c>
      <c r="F109" s="2" t="s">
        <v>19753</v>
      </c>
      <c r="G109" s="22"/>
      <c r="H109" s="24" t="s">
        <v>19324</v>
      </c>
      <c r="I109" s="22" t="s">
        <v>19309</v>
      </c>
      <c r="J109" s="22" t="s">
        <v>19708</v>
      </c>
      <c r="K109" s="22" t="s">
        <v>19754</v>
      </c>
      <c r="L109" s="22"/>
      <c r="M109" s="22"/>
      <c r="N109" s="25" t="str">
        <f>HYPERLINK("http://slimages.macys.com/is/image/MCY/21758335 ")</f>
        <v xml:space="preserve">http://slimages.macys.com/is/image/MCY/21758335 </v>
      </c>
    </row>
    <row r="110" spans="1:14" x14ac:dyDescent="0.25">
      <c r="A110" s="21" t="s">
        <v>2430</v>
      </c>
      <c r="B110" s="22" t="s">
        <v>2431</v>
      </c>
      <c r="C110" s="2">
        <v>1</v>
      </c>
      <c r="D110" s="23">
        <v>25.89</v>
      </c>
      <c r="E110" s="3">
        <v>25.89</v>
      </c>
      <c r="F110" s="2" t="s">
        <v>2432</v>
      </c>
      <c r="G110" s="22"/>
      <c r="H110" s="24" t="s">
        <v>20152</v>
      </c>
      <c r="I110" s="22" t="s">
        <v>19309</v>
      </c>
      <c r="J110" s="22" t="s">
        <v>19708</v>
      </c>
      <c r="K110" s="22" t="s">
        <v>19754</v>
      </c>
      <c r="L110" s="22"/>
      <c r="M110" s="22"/>
      <c r="N110" s="25" t="str">
        <f>HYPERLINK("http://slimages.macys.com/is/image/MCY/22595708 ")</f>
        <v xml:space="preserve">http://slimages.macys.com/is/image/MCY/22595708 </v>
      </c>
    </row>
    <row r="111" spans="1:14" ht="24.75" x14ac:dyDescent="0.25">
      <c r="A111" s="21" t="s">
        <v>15253</v>
      </c>
      <c r="B111" s="22" t="s">
        <v>15254</v>
      </c>
      <c r="C111" s="2">
        <v>1</v>
      </c>
      <c r="D111" s="23">
        <v>16.989999999999998</v>
      </c>
      <c r="E111" s="3">
        <v>16.989999999999998</v>
      </c>
      <c r="F111" s="2" t="s">
        <v>15255</v>
      </c>
      <c r="G111" s="22" t="s">
        <v>19467</v>
      </c>
      <c r="H111" s="24" t="s">
        <v>19542</v>
      </c>
      <c r="I111" s="22" t="s">
        <v>19309</v>
      </c>
      <c r="J111" s="22" t="s">
        <v>19447</v>
      </c>
      <c r="K111" s="22" t="s">
        <v>20146</v>
      </c>
      <c r="L111" s="22"/>
      <c r="M111" s="22"/>
      <c r="N111" s="25" t="str">
        <f>HYPERLINK("http://slimages.macys.com/is/image/MCY/20676941 ")</f>
        <v xml:space="preserve">http://slimages.macys.com/is/image/MCY/20676941 </v>
      </c>
    </row>
    <row r="112" spans="1:14" ht="24.75" x14ac:dyDescent="0.25">
      <c r="A112" s="21" t="s">
        <v>2433</v>
      </c>
      <c r="B112" s="22" t="s">
        <v>2434</v>
      </c>
      <c r="C112" s="2">
        <v>1</v>
      </c>
      <c r="D112" s="23">
        <v>16.989999999999998</v>
      </c>
      <c r="E112" s="3">
        <v>16.989999999999998</v>
      </c>
      <c r="F112" s="2" t="s">
        <v>15255</v>
      </c>
      <c r="G112" s="22" t="s">
        <v>19467</v>
      </c>
      <c r="H112" s="24" t="s">
        <v>19361</v>
      </c>
      <c r="I112" s="22" t="s">
        <v>19309</v>
      </c>
      <c r="J112" s="22" t="s">
        <v>19447</v>
      </c>
      <c r="K112" s="22" t="s">
        <v>20146</v>
      </c>
      <c r="L112" s="22"/>
      <c r="M112" s="22"/>
      <c r="N112" s="25" t="str">
        <f>HYPERLINK("http://slimages.macys.com/is/image/MCY/20676941 ")</f>
        <v xml:space="preserve">http://slimages.macys.com/is/image/MCY/20676941 </v>
      </c>
    </row>
    <row r="113" spans="1:14" ht="24.75" x14ac:dyDescent="0.25">
      <c r="A113" s="21" t="s">
        <v>17862</v>
      </c>
      <c r="B113" s="22" t="s">
        <v>17863</v>
      </c>
      <c r="C113" s="2">
        <v>1</v>
      </c>
      <c r="D113" s="23">
        <v>19.989999999999998</v>
      </c>
      <c r="E113" s="3">
        <v>19.989999999999998</v>
      </c>
      <c r="F113" s="2" t="s">
        <v>19767</v>
      </c>
      <c r="G113" s="22" t="s">
        <v>19467</v>
      </c>
      <c r="H113" s="24" t="s">
        <v>19538</v>
      </c>
      <c r="I113" s="22" t="s">
        <v>19309</v>
      </c>
      <c r="J113" s="22" t="s">
        <v>19573</v>
      </c>
      <c r="K113" s="22" t="s">
        <v>19574</v>
      </c>
      <c r="L113" s="22"/>
      <c r="M113" s="22"/>
      <c r="N113" s="25" t="str">
        <f>HYPERLINK("http://slimages.macys.com/is/image/MCY/1646350 ")</f>
        <v xml:space="preserve">http://slimages.macys.com/is/image/MCY/1646350 </v>
      </c>
    </row>
    <row r="114" spans="1:14" ht="24.75" x14ac:dyDescent="0.25">
      <c r="A114" s="21" t="s">
        <v>2435</v>
      </c>
      <c r="B114" s="22" t="s">
        <v>2436</v>
      </c>
      <c r="C114" s="2">
        <v>1</v>
      </c>
      <c r="D114" s="23">
        <v>21.99</v>
      </c>
      <c r="E114" s="3">
        <v>21.99</v>
      </c>
      <c r="F114" s="2" t="s">
        <v>2437</v>
      </c>
      <c r="G114" s="22"/>
      <c r="H114" s="24" t="s">
        <v>19308</v>
      </c>
      <c r="I114" s="22" t="s">
        <v>19309</v>
      </c>
      <c r="J114" s="22" t="s">
        <v>19454</v>
      </c>
      <c r="K114" s="22" t="s">
        <v>18654</v>
      </c>
      <c r="L114" s="22"/>
      <c r="M114" s="22"/>
      <c r="N114" s="25" t="str">
        <f t="shared" ref="N114:N121" si="1">HYPERLINK("http://slimages.macys.com/is/image/MCY/19550286 ")</f>
        <v xml:space="preserve">http://slimages.macys.com/is/image/MCY/19550286 </v>
      </c>
    </row>
    <row r="115" spans="1:14" ht="24.75" x14ac:dyDescent="0.25">
      <c r="A115" s="21" t="s">
        <v>2438</v>
      </c>
      <c r="B115" s="22" t="s">
        <v>2439</v>
      </c>
      <c r="C115" s="2">
        <v>4</v>
      </c>
      <c r="D115" s="23">
        <v>21.99</v>
      </c>
      <c r="E115" s="3">
        <v>87.96</v>
      </c>
      <c r="F115" s="2" t="s">
        <v>2440</v>
      </c>
      <c r="G115" s="22"/>
      <c r="H115" s="24" t="s">
        <v>19352</v>
      </c>
      <c r="I115" s="22" t="s">
        <v>19309</v>
      </c>
      <c r="J115" s="22" t="s">
        <v>19454</v>
      </c>
      <c r="K115" s="22" t="s">
        <v>18654</v>
      </c>
      <c r="L115" s="22"/>
      <c r="M115" s="22"/>
      <c r="N115" s="25" t="str">
        <f t="shared" si="1"/>
        <v xml:space="preserve">http://slimages.macys.com/is/image/MCY/19550286 </v>
      </c>
    </row>
    <row r="116" spans="1:14" ht="24.75" x14ac:dyDescent="0.25">
      <c r="A116" s="21" t="s">
        <v>2441</v>
      </c>
      <c r="B116" s="22" t="s">
        <v>2442</v>
      </c>
      <c r="C116" s="2">
        <v>2</v>
      </c>
      <c r="D116" s="23">
        <v>21.99</v>
      </c>
      <c r="E116" s="3">
        <v>43.98</v>
      </c>
      <c r="F116" s="2" t="s">
        <v>2437</v>
      </c>
      <c r="G116" s="22"/>
      <c r="H116" s="24" t="s">
        <v>19364</v>
      </c>
      <c r="I116" s="22" t="s">
        <v>19309</v>
      </c>
      <c r="J116" s="22" t="s">
        <v>19454</v>
      </c>
      <c r="K116" s="22" t="s">
        <v>18654</v>
      </c>
      <c r="L116" s="22"/>
      <c r="M116" s="22"/>
      <c r="N116" s="25" t="str">
        <f t="shared" si="1"/>
        <v xml:space="preserve">http://slimages.macys.com/is/image/MCY/19550286 </v>
      </c>
    </row>
    <row r="117" spans="1:14" ht="24.75" x14ac:dyDescent="0.25">
      <c r="A117" s="21" t="s">
        <v>2443</v>
      </c>
      <c r="B117" s="22" t="s">
        <v>2444</v>
      </c>
      <c r="C117" s="2">
        <v>2</v>
      </c>
      <c r="D117" s="23">
        <v>21.99</v>
      </c>
      <c r="E117" s="3">
        <v>43.98</v>
      </c>
      <c r="F117" s="2" t="s">
        <v>2440</v>
      </c>
      <c r="G117" s="22"/>
      <c r="H117" s="24" t="s">
        <v>19339</v>
      </c>
      <c r="I117" s="22" t="s">
        <v>19309</v>
      </c>
      <c r="J117" s="22" t="s">
        <v>19454</v>
      </c>
      <c r="K117" s="22" t="s">
        <v>18654</v>
      </c>
      <c r="L117" s="22"/>
      <c r="M117" s="22"/>
      <c r="N117" s="25" t="str">
        <f t="shared" si="1"/>
        <v xml:space="preserve">http://slimages.macys.com/is/image/MCY/19550286 </v>
      </c>
    </row>
    <row r="118" spans="1:14" ht="24.75" x14ac:dyDescent="0.25">
      <c r="A118" s="21" t="s">
        <v>2445</v>
      </c>
      <c r="B118" s="22" t="s">
        <v>2446</v>
      </c>
      <c r="C118" s="2">
        <v>2</v>
      </c>
      <c r="D118" s="23">
        <v>21.99</v>
      </c>
      <c r="E118" s="3">
        <v>43.98</v>
      </c>
      <c r="F118" s="2" t="s">
        <v>2440</v>
      </c>
      <c r="G118" s="22"/>
      <c r="H118" s="24" t="s">
        <v>19364</v>
      </c>
      <c r="I118" s="22" t="s">
        <v>19309</v>
      </c>
      <c r="J118" s="22" t="s">
        <v>19454</v>
      </c>
      <c r="K118" s="22" t="s">
        <v>18654</v>
      </c>
      <c r="L118" s="22"/>
      <c r="M118" s="22"/>
      <c r="N118" s="25" t="str">
        <f t="shared" si="1"/>
        <v xml:space="preserve">http://slimages.macys.com/is/image/MCY/19550286 </v>
      </c>
    </row>
    <row r="119" spans="1:14" ht="24.75" x14ac:dyDescent="0.25">
      <c r="A119" s="21" t="s">
        <v>2447</v>
      </c>
      <c r="B119" s="22" t="s">
        <v>2448</v>
      </c>
      <c r="C119" s="2">
        <v>2</v>
      </c>
      <c r="D119" s="23">
        <v>21.99</v>
      </c>
      <c r="E119" s="3">
        <v>43.98</v>
      </c>
      <c r="F119" s="2" t="s">
        <v>2440</v>
      </c>
      <c r="G119" s="22"/>
      <c r="H119" s="24" t="s">
        <v>19308</v>
      </c>
      <c r="I119" s="22" t="s">
        <v>19309</v>
      </c>
      <c r="J119" s="22" t="s">
        <v>19454</v>
      </c>
      <c r="K119" s="22" t="s">
        <v>18654</v>
      </c>
      <c r="L119" s="22"/>
      <c r="M119" s="22"/>
      <c r="N119" s="25" t="str">
        <f t="shared" si="1"/>
        <v xml:space="preserve">http://slimages.macys.com/is/image/MCY/19550286 </v>
      </c>
    </row>
    <row r="120" spans="1:14" ht="24.75" x14ac:dyDescent="0.25">
      <c r="A120" s="21" t="s">
        <v>2449</v>
      </c>
      <c r="B120" s="22" t="s">
        <v>2450</v>
      </c>
      <c r="C120" s="2">
        <v>2</v>
      </c>
      <c r="D120" s="23">
        <v>21.99</v>
      </c>
      <c r="E120" s="3">
        <v>43.98</v>
      </c>
      <c r="F120" s="2" t="s">
        <v>2437</v>
      </c>
      <c r="G120" s="22"/>
      <c r="H120" s="24" t="s">
        <v>19339</v>
      </c>
      <c r="I120" s="22" t="s">
        <v>19309</v>
      </c>
      <c r="J120" s="22" t="s">
        <v>19454</v>
      </c>
      <c r="K120" s="22" t="s">
        <v>18654</v>
      </c>
      <c r="L120" s="22"/>
      <c r="M120" s="22"/>
      <c r="N120" s="25" t="str">
        <f t="shared" si="1"/>
        <v xml:space="preserve">http://slimages.macys.com/is/image/MCY/19550286 </v>
      </c>
    </row>
    <row r="121" spans="1:14" ht="24.75" x14ac:dyDescent="0.25">
      <c r="A121" s="21" t="s">
        <v>2451</v>
      </c>
      <c r="B121" s="22" t="s">
        <v>2452</v>
      </c>
      <c r="C121" s="2">
        <v>4</v>
      </c>
      <c r="D121" s="23">
        <v>21.99</v>
      </c>
      <c r="E121" s="3">
        <v>87.96</v>
      </c>
      <c r="F121" s="2" t="s">
        <v>2437</v>
      </c>
      <c r="G121" s="22"/>
      <c r="H121" s="24" t="s">
        <v>19352</v>
      </c>
      <c r="I121" s="22" t="s">
        <v>19309</v>
      </c>
      <c r="J121" s="22" t="s">
        <v>19454</v>
      </c>
      <c r="K121" s="22" t="s">
        <v>18654</v>
      </c>
      <c r="L121" s="22"/>
      <c r="M121" s="22"/>
      <c r="N121" s="25" t="str">
        <f t="shared" si="1"/>
        <v xml:space="preserve">http://slimages.macys.com/is/image/MCY/19550286 </v>
      </c>
    </row>
    <row r="122" spans="1:14" ht="24.75" x14ac:dyDescent="0.25">
      <c r="A122" s="21" t="s">
        <v>2453</v>
      </c>
      <c r="B122" s="22" t="s">
        <v>2454</v>
      </c>
      <c r="C122" s="2">
        <v>1</v>
      </c>
      <c r="D122" s="23">
        <v>22.99</v>
      </c>
      <c r="E122" s="3">
        <v>22.99</v>
      </c>
      <c r="F122" s="2" t="s">
        <v>6626</v>
      </c>
      <c r="G122" s="22" t="s">
        <v>19618</v>
      </c>
      <c r="H122" s="24" t="s">
        <v>19416</v>
      </c>
      <c r="I122" s="22" t="s">
        <v>19309</v>
      </c>
      <c r="J122" s="22" t="s">
        <v>19573</v>
      </c>
      <c r="K122" s="22" t="s">
        <v>19574</v>
      </c>
      <c r="L122" s="22"/>
      <c r="M122" s="22"/>
      <c r="N122" s="25" t="str">
        <f>HYPERLINK("http://slimages.macys.com/is/image/MCY/20757554 ")</f>
        <v xml:space="preserve">http://slimages.macys.com/is/image/MCY/20757554 </v>
      </c>
    </row>
    <row r="123" spans="1:14" ht="24.75" x14ac:dyDescent="0.25">
      <c r="A123" s="21" t="s">
        <v>2455</v>
      </c>
      <c r="B123" s="22" t="s">
        <v>2456</v>
      </c>
      <c r="C123" s="2">
        <v>1</v>
      </c>
      <c r="D123" s="23">
        <v>25.99</v>
      </c>
      <c r="E123" s="3">
        <v>25.99</v>
      </c>
      <c r="F123" s="2" t="s">
        <v>17873</v>
      </c>
      <c r="G123" s="22" t="s">
        <v>19431</v>
      </c>
      <c r="H123" s="24" t="s">
        <v>17879</v>
      </c>
      <c r="I123" s="22" t="s">
        <v>19309</v>
      </c>
      <c r="J123" s="22" t="s">
        <v>19595</v>
      </c>
      <c r="K123" s="22" t="s">
        <v>18498</v>
      </c>
      <c r="L123" s="22"/>
      <c r="M123" s="22"/>
      <c r="N123" s="25" t="str">
        <f>HYPERLINK("http://slimages.macys.com/is/image/MCY/21365806 ")</f>
        <v xml:space="preserve">http://slimages.macys.com/is/image/MCY/21365806 </v>
      </c>
    </row>
    <row r="124" spans="1:14" ht="24.75" x14ac:dyDescent="0.25">
      <c r="A124" s="21" t="s">
        <v>2457</v>
      </c>
      <c r="B124" s="22" t="s">
        <v>2458</v>
      </c>
      <c r="C124" s="2">
        <v>1</v>
      </c>
      <c r="D124" s="23">
        <v>22.99</v>
      </c>
      <c r="E124" s="3">
        <v>22.99</v>
      </c>
      <c r="F124" s="2" t="s">
        <v>6626</v>
      </c>
      <c r="G124" s="22" t="s">
        <v>19618</v>
      </c>
      <c r="H124" s="24" t="s">
        <v>19330</v>
      </c>
      <c r="I124" s="22" t="s">
        <v>19309</v>
      </c>
      <c r="J124" s="22" t="s">
        <v>19573</v>
      </c>
      <c r="K124" s="22" t="s">
        <v>19574</v>
      </c>
      <c r="L124" s="22"/>
      <c r="M124" s="22"/>
      <c r="N124" s="25" t="str">
        <f>HYPERLINK("http://slimages.macys.com/is/image/MCY/20757554 ")</f>
        <v xml:space="preserve">http://slimages.macys.com/is/image/MCY/20757554 </v>
      </c>
    </row>
    <row r="125" spans="1:14" ht="24.75" x14ac:dyDescent="0.25">
      <c r="A125" s="21" t="s">
        <v>17871</v>
      </c>
      <c r="B125" s="22" t="s">
        <v>2459</v>
      </c>
      <c r="C125" s="2">
        <v>1</v>
      </c>
      <c r="D125" s="23">
        <v>25.99</v>
      </c>
      <c r="E125" s="3">
        <v>25.99</v>
      </c>
      <c r="F125" s="2" t="s">
        <v>17873</v>
      </c>
      <c r="G125" s="22" t="s">
        <v>19431</v>
      </c>
      <c r="H125" s="24" t="s">
        <v>17874</v>
      </c>
      <c r="I125" s="22" t="s">
        <v>19309</v>
      </c>
      <c r="J125" s="22" t="s">
        <v>19595</v>
      </c>
      <c r="K125" s="22" t="s">
        <v>18498</v>
      </c>
      <c r="L125" s="22"/>
      <c r="M125" s="22"/>
      <c r="N125" s="25" t="str">
        <f>HYPERLINK("http://slimages.macys.com/is/image/MCY/21365806 ")</f>
        <v xml:space="preserve">http://slimages.macys.com/is/image/MCY/21365806 </v>
      </c>
    </row>
    <row r="126" spans="1:14" ht="24.75" x14ac:dyDescent="0.25">
      <c r="A126" s="21" t="s">
        <v>2460</v>
      </c>
      <c r="B126" s="22" t="s">
        <v>2461</v>
      </c>
      <c r="C126" s="2">
        <v>1</v>
      </c>
      <c r="D126" s="23">
        <v>20.3</v>
      </c>
      <c r="E126" s="3">
        <v>20.3</v>
      </c>
      <c r="F126" s="2" t="s">
        <v>2462</v>
      </c>
      <c r="G126" s="22" t="s">
        <v>19467</v>
      </c>
      <c r="H126" s="24" t="s">
        <v>19432</v>
      </c>
      <c r="I126" s="22" t="s">
        <v>19309</v>
      </c>
      <c r="J126" s="22" t="s">
        <v>19602</v>
      </c>
      <c r="K126" s="22" t="s">
        <v>20041</v>
      </c>
      <c r="L126" s="22"/>
      <c r="M126" s="22"/>
      <c r="N126" s="25" t="str">
        <f>HYPERLINK("http://slimages.macys.com/is/image/MCY/22405944 ")</f>
        <v xml:space="preserve">http://slimages.macys.com/is/image/MCY/22405944 </v>
      </c>
    </row>
    <row r="127" spans="1:14" x14ac:dyDescent="0.25">
      <c r="A127" s="21" t="s">
        <v>2463</v>
      </c>
      <c r="B127" s="22" t="s">
        <v>7693</v>
      </c>
      <c r="C127" s="2">
        <v>1</v>
      </c>
      <c r="D127" s="23">
        <v>34</v>
      </c>
      <c r="E127" s="3">
        <v>34</v>
      </c>
      <c r="F127" s="2" t="s">
        <v>2464</v>
      </c>
      <c r="G127" s="22"/>
      <c r="H127" s="24" t="s">
        <v>19324</v>
      </c>
      <c r="I127" s="22" t="s">
        <v>19309</v>
      </c>
      <c r="J127" s="22" t="s">
        <v>19708</v>
      </c>
      <c r="K127" s="22" t="s">
        <v>19709</v>
      </c>
      <c r="L127" s="22"/>
      <c r="M127" s="22"/>
      <c r="N127" s="25" t="str">
        <f>HYPERLINK("http://slimages.macys.com/is/image/MCY/21726001 ")</f>
        <v xml:space="preserve">http://slimages.macys.com/is/image/MCY/21726001 </v>
      </c>
    </row>
    <row r="128" spans="1:14" ht="24.75" x14ac:dyDescent="0.25">
      <c r="A128" s="21" t="s">
        <v>2465</v>
      </c>
      <c r="B128" s="22" t="s">
        <v>2466</v>
      </c>
      <c r="C128" s="2">
        <v>1</v>
      </c>
      <c r="D128" s="23">
        <v>18.989999999999998</v>
      </c>
      <c r="E128" s="3">
        <v>18.989999999999998</v>
      </c>
      <c r="F128" s="2" t="s">
        <v>3794</v>
      </c>
      <c r="G128" s="22" t="s">
        <v>19315</v>
      </c>
      <c r="H128" s="24" t="s">
        <v>19364</v>
      </c>
      <c r="I128" s="22" t="s">
        <v>19309</v>
      </c>
      <c r="J128" s="22" t="s">
        <v>19447</v>
      </c>
      <c r="K128" s="22" t="s">
        <v>19533</v>
      </c>
      <c r="L128" s="22"/>
      <c r="M128" s="22"/>
      <c r="N128" s="25" t="str">
        <f>HYPERLINK("http://slimages.macys.com/is/image/MCY/20789832 ")</f>
        <v xml:space="preserve">http://slimages.macys.com/is/image/MCY/20789832 </v>
      </c>
    </row>
    <row r="129" spans="1:14" ht="36.75" x14ac:dyDescent="0.25">
      <c r="A129" s="21" t="s">
        <v>2467</v>
      </c>
      <c r="B129" s="22" t="s">
        <v>2468</v>
      </c>
      <c r="C129" s="2">
        <v>1</v>
      </c>
      <c r="D129" s="23">
        <v>17.989999999999998</v>
      </c>
      <c r="E129" s="3">
        <v>17.989999999999998</v>
      </c>
      <c r="F129" s="2" t="s">
        <v>2469</v>
      </c>
      <c r="G129" s="22" t="s">
        <v>19333</v>
      </c>
      <c r="H129" s="24" t="s">
        <v>17327</v>
      </c>
      <c r="I129" s="22" t="s">
        <v>19309</v>
      </c>
      <c r="J129" s="22" t="s">
        <v>19550</v>
      </c>
      <c r="K129" s="22" t="s">
        <v>15106</v>
      </c>
      <c r="L129" s="22" t="s">
        <v>19319</v>
      </c>
      <c r="M129" s="22" t="s">
        <v>2470</v>
      </c>
      <c r="N129" s="25" t="str">
        <f>HYPERLINK("http://slimages.macys.com/is/image/MCY/13924230 ")</f>
        <v xml:space="preserve">http://slimages.macys.com/is/image/MCY/13924230 </v>
      </c>
    </row>
    <row r="130" spans="1:14" ht="24.75" x14ac:dyDescent="0.25">
      <c r="A130" s="21" t="s">
        <v>2471</v>
      </c>
      <c r="B130" s="22" t="s">
        <v>2472</v>
      </c>
      <c r="C130" s="2">
        <v>1</v>
      </c>
      <c r="D130" s="23">
        <v>21.99</v>
      </c>
      <c r="E130" s="3">
        <v>21.99</v>
      </c>
      <c r="F130" s="2" t="s">
        <v>19830</v>
      </c>
      <c r="G130" s="22" t="s">
        <v>19513</v>
      </c>
      <c r="H130" s="24" t="s">
        <v>19542</v>
      </c>
      <c r="I130" s="22" t="s">
        <v>19309</v>
      </c>
      <c r="J130" s="22" t="s">
        <v>19595</v>
      </c>
      <c r="K130" s="22" t="s">
        <v>19596</v>
      </c>
      <c r="L130" s="22"/>
      <c r="M130" s="22"/>
      <c r="N130" s="25" t="str">
        <f>HYPERLINK("http://slimages.macys.com/is/image/MCY/21623076 ")</f>
        <v xml:space="preserve">http://slimages.macys.com/is/image/MCY/21623076 </v>
      </c>
    </row>
    <row r="131" spans="1:14" ht="24.75" x14ac:dyDescent="0.25">
      <c r="A131" s="21" t="s">
        <v>2473</v>
      </c>
      <c r="B131" s="22" t="s">
        <v>2474</v>
      </c>
      <c r="C131" s="2">
        <v>1</v>
      </c>
      <c r="D131" s="23">
        <v>23.99</v>
      </c>
      <c r="E131" s="3">
        <v>23.99</v>
      </c>
      <c r="F131" s="2" t="s">
        <v>5205</v>
      </c>
      <c r="G131" s="22" t="s">
        <v>19342</v>
      </c>
      <c r="H131" s="24" t="s">
        <v>19330</v>
      </c>
      <c r="I131" s="22" t="s">
        <v>19309</v>
      </c>
      <c r="J131" s="22" t="s">
        <v>19491</v>
      </c>
      <c r="K131" s="22" t="s">
        <v>8781</v>
      </c>
      <c r="L131" s="22"/>
      <c r="M131" s="22"/>
      <c r="N131" s="25" t="str">
        <f>HYPERLINK("http://slimages.macys.com/is/image/MCY/21655043 ")</f>
        <v xml:space="preserve">http://slimages.macys.com/is/image/MCY/21655043 </v>
      </c>
    </row>
    <row r="132" spans="1:14" ht="36.75" x14ac:dyDescent="0.25">
      <c r="A132" s="21" t="s">
        <v>2475</v>
      </c>
      <c r="B132" s="22" t="s">
        <v>2476</v>
      </c>
      <c r="C132" s="2">
        <v>1</v>
      </c>
      <c r="D132" s="23">
        <v>17.989999999999998</v>
      </c>
      <c r="E132" s="3">
        <v>17.989999999999998</v>
      </c>
      <c r="F132" s="2" t="s">
        <v>2469</v>
      </c>
      <c r="G132" s="22" t="s">
        <v>19333</v>
      </c>
      <c r="H132" s="24" t="s">
        <v>17346</v>
      </c>
      <c r="I132" s="22" t="s">
        <v>19309</v>
      </c>
      <c r="J132" s="22" t="s">
        <v>19550</v>
      </c>
      <c r="K132" s="22" t="s">
        <v>15106</v>
      </c>
      <c r="L132" s="22" t="s">
        <v>19319</v>
      </c>
      <c r="M132" s="22" t="s">
        <v>2470</v>
      </c>
      <c r="N132" s="25" t="str">
        <f>HYPERLINK("http://slimages.macys.com/is/image/MCY/13924230 ")</f>
        <v xml:space="preserve">http://slimages.macys.com/is/image/MCY/13924230 </v>
      </c>
    </row>
    <row r="133" spans="1:14" ht="24.75" x14ac:dyDescent="0.25">
      <c r="A133" s="21" t="s">
        <v>8238</v>
      </c>
      <c r="B133" s="22" t="s">
        <v>8239</v>
      </c>
      <c r="C133" s="2">
        <v>1</v>
      </c>
      <c r="D133" s="23">
        <v>24</v>
      </c>
      <c r="E133" s="3">
        <v>24</v>
      </c>
      <c r="F133" s="2" t="s">
        <v>10949</v>
      </c>
      <c r="G133" s="22" t="s">
        <v>19351</v>
      </c>
      <c r="H133" s="24" t="s">
        <v>19367</v>
      </c>
      <c r="I133" s="22" t="s">
        <v>19309</v>
      </c>
      <c r="J133" s="22" t="s">
        <v>19417</v>
      </c>
      <c r="K133" s="22" t="s">
        <v>19854</v>
      </c>
      <c r="L133" s="22"/>
      <c r="M133" s="22"/>
      <c r="N133" s="25" t="str">
        <f>HYPERLINK("http://slimages.macys.com/is/image/MCY/21369853 ")</f>
        <v xml:space="preserve">http://slimages.macys.com/is/image/MCY/21369853 </v>
      </c>
    </row>
    <row r="134" spans="1:14" ht="24.75" x14ac:dyDescent="0.25">
      <c r="A134" s="21" t="s">
        <v>10944</v>
      </c>
      <c r="B134" s="22" t="s">
        <v>10945</v>
      </c>
      <c r="C134" s="2">
        <v>1</v>
      </c>
      <c r="D134" s="23">
        <v>24</v>
      </c>
      <c r="E134" s="3">
        <v>24</v>
      </c>
      <c r="F134" s="2" t="s">
        <v>10946</v>
      </c>
      <c r="G134" s="22" t="s">
        <v>19404</v>
      </c>
      <c r="H134" s="24" t="s">
        <v>19367</v>
      </c>
      <c r="I134" s="22" t="s">
        <v>19309</v>
      </c>
      <c r="J134" s="22" t="s">
        <v>19417</v>
      </c>
      <c r="K134" s="22" t="s">
        <v>19854</v>
      </c>
      <c r="L134" s="22"/>
      <c r="M134" s="22"/>
      <c r="N134" s="25" t="str">
        <f>HYPERLINK("http://slimages.macys.com/is/image/MCY/21362948 ")</f>
        <v xml:space="preserve">http://slimages.macys.com/is/image/MCY/21362948 </v>
      </c>
    </row>
    <row r="135" spans="1:14" ht="24.75" x14ac:dyDescent="0.25">
      <c r="A135" s="21" t="s">
        <v>8421</v>
      </c>
      <c r="B135" s="22" t="s">
        <v>8422</v>
      </c>
      <c r="C135" s="2">
        <v>1</v>
      </c>
      <c r="D135" s="23">
        <v>24</v>
      </c>
      <c r="E135" s="3">
        <v>24</v>
      </c>
      <c r="F135" s="2" t="s">
        <v>10949</v>
      </c>
      <c r="G135" s="22" t="s">
        <v>19351</v>
      </c>
      <c r="H135" s="24" t="s">
        <v>20159</v>
      </c>
      <c r="I135" s="22" t="s">
        <v>19309</v>
      </c>
      <c r="J135" s="22" t="s">
        <v>19417</v>
      </c>
      <c r="K135" s="22" t="s">
        <v>19854</v>
      </c>
      <c r="L135" s="22"/>
      <c r="M135" s="22"/>
      <c r="N135" s="25" t="str">
        <f>HYPERLINK("http://slimages.macys.com/is/image/MCY/21369853 ")</f>
        <v xml:space="preserve">http://slimages.macys.com/is/image/MCY/21369853 </v>
      </c>
    </row>
    <row r="136" spans="1:14" ht="24.75" x14ac:dyDescent="0.25">
      <c r="A136" s="21" t="s">
        <v>17935</v>
      </c>
      <c r="B136" s="22" t="s">
        <v>17936</v>
      </c>
      <c r="C136" s="2">
        <v>1</v>
      </c>
      <c r="D136" s="23">
        <v>22.99</v>
      </c>
      <c r="E136" s="3">
        <v>22.99</v>
      </c>
      <c r="F136" s="2" t="s">
        <v>17937</v>
      </c>
      <c r="G136" s="22" t="s">
        <v>19342</v>
      </c>
      <c r="H136" s="24"/>
      <c r="I136" s="22" t="s">
        <v>19309</v>
      </c>
      <c r="J136" s="22" t="s">
        <v>19385</v>
      </c>
      <c r="K136" s="22" t="s">
        <v>19729</v>
      </c>
      <c r="L136" s="22"/>
      <c r="M136" s="22"/>
      <c r="N136" s="25" t="str">
        <f>HYPERLINK("http://slimages.macys.com/is/image/MCY/21506852 ")</f>
        <v xml:space="preserve">http://slimages.macys.com/is/image/MCY/21506852 </v>
      </c>
    </row>
    <row r="137" spans="1:14" x14ac:dyDescent="0.25">
      <c r="A137" s="21" t="s">
        <v>15883</v>
      </c>
      <c r="B137" s="22" t="s">
        <v>15884</v>
      </c>
      <c r="C137" s="2">
        <v>1</v>
      </c>
      <c r="D137" s="23">
        <v>17.82</v>
      </c>
      <c r="E137" s="3">
        <v>17.82</v>
      </c>
      <c r="F137" s="2" t="s">
        <v>17944</v>
      </c>
      <c r="G137" s="22"/>
      <c r="H137" s="24" t="s">
        <v>20159</v>
      </c>
      <c r="I137" s="22" t="s">
        <v>19309</v>
      </c>
      <c r="J137" s="22" t="s">
        <v>19708</v>
      </c>
      <c r="K137" s="22" t="s">
        <v>19709</v>
      </c>
      <c r="L137" s="22"/>
      <c r="M137" s="22"/>
      <c r="N137" s="25" t="str">
        <f>HYPERLINK("http://slimages.macys.com/is/image/MCY/21410182 ")</f>
        <v xml:space="preserve">http://slimages.macys.com/is/image/MCY/21410182 </v>
      </c>
    </row>
    <row r="138" spans="1:14" ht="24.75" x14ac:dyDescent="0.25">
      <c r="A138" s="21" t="s">
        <v>2477</v>
      </c>
      <c r="B138" s="22" t="s">
        <v>2478</v>
      </c>
      <c r="C138" s="2">
        <v>1</v>
      </c>
      <c r="D138" s="23">
        <v>21.99</v>
      </c>
      <c r="E138" s="3">
        <v>21.99</v>
      </c>
      <c r="F138" s="2" t="s">
        <v>7451</v>
      </c>
      <c r="G138" s="22" t="s">
        <v>19674</v>
      </c>
      <c r="H138" s="24" t="s">
        <v>19797</v>
      </c>
      <c r="I138" s="22" t="s">
        <v>19309</v>
      </c>
      <c r="J138" s="22" t="s">
        <v>19353</v>
      </c>
      <c r="K138" s="22" t="s">
        <v>19524</v>
      </c>
      <c r="L138" s="22"/>
      <c r="M138" s="22"/>
      <c r="N138" s="25" t="str">
        <f>HYPERLINK("http://slimages.macys.com/is/image/MCY/21233429 ")</f>
        <v xml:space="preserve">http://slimages.macys.com/is/image/MCY/21233429 </v>
      </c>
    </row>
    <row r="139" spans="1:14" ht="24.75" x14ac:dyDescent="0.25">
      <c r="A139" s="21" t="s">
        <v>2479</v>
      </c>
      <c r="B139" s="22" t="s">
        <v>2480</v>
      </c>
      <c r="C139" s="2">
        <v>1</v>
      </c>
      <c r="D139" s="23">
        <v>17.989999999999998</v>
      </c>
      <c r="E139" s="3">
        <v>17.989999999999998</v>
      </c>
      <c r="F139" s="2" t="s">
        <v>2481</v>
      </c>
      <c r="G139" s="22"/>
      <c r="H139" s="24" t="s">
        <v>19352</v>
      </c>
      <c r="I139" s="22" t="s">
        <v>19309</v>
      </c>
      <c r="J139" s="22" t="s">
        <v>19447</v>
      </c>
      <c r="K139" s="22" t="s">
        <v>19533</v>
      </c>
      <c r="L139" s="22"/>
      <c r="M139" s="22"/>
      <c r="N139" s="25" t="str">
        <f>HYPERLINK("http://slimages.macys.com/is/image/MCY/19463799 ")</f>
        <v xml:space="preserve">http://slimages.macys.com/is/image/MCY/19463799 </v>
      </c>
    </row>
    <row r="140" spans="1:14" ht="24.75" x14ac:dyDescent="0.25">
      <c r="A140" s="21" t="s">
        <v>2482</v>
      </c>
      <c r="B140" s="22" t="s">
        <v>2483</v>
      </c>
      <c r="C140" s="2">
        <v>2</v>
      </c>
      <c r="D140" s="23">
        <v>21.99</v>
      </c>
      <c r="E140" s="3">
        <v>43.98</v>
      </c>
      <c r="F140" s="2" t="s">
        <v>4644</v>
      </c>
      <c r="G140" s="22" t="s">
        <v>19351</v>
      </c>
      <c r="H140" s="24" t="s">
        <v>19364</v>
      </c>
      <c r="I140" s="22" t="s">
        <v>19309</v>
      </c>
      <c r="J140" s="22" t="s">
        <v>19353</v>
      </c>
      <c r="K140" s="22" t="s">
        <v>19524</v>
      </c>
      <c r="L140" s="22"/>
      <c r="M140" s="22"/>
      <c r="N140" s="25" t="str">
        <f>HYPERLINK("http://slimages.macys.com/is/image/MCY/21233440 ")</f>
        <v xml:space="preserve">http://slimages.macys.com/is/image/MCY/21233440 </v>
      </c>
    </row>
    <row r="141" spans="1:14" x14ac:dyDescent="0.25">
      <c r="A141" s="21" t="s">
        <v>2484</v>
      </c>
      <c r="B141" s="22" t="s">
        <v>2485</v>
      </c>
      <c r="C141" s="2">
        <v>1</v>
      </c>
      <c r="D141" s="23">
        <v>14.99</v>
      </c>
      <c r="E141" s="3">
        <v>14.99</v>
      </c>
      <c r="F141" s="2" t="s">
        <v>10964</v>
      </c>
      <c r="G141" s="22" t="s">
        <v>19801</v>
      </c>
      <c r="H141" s="24" t="s">
        <v>19339</v>
      </c>
      <c r="I141" s="22" t="s">
        <v>19309</v>
      </c>
      <c r="J141" s="22" t="s">
        <v>19310</v>
      </c>
      <c r="K141" s="22" t="s">
        <v>19873</v>
      </c>
      <c r="L141" s="22"/>
      <c r="M141" s="22"/>
      <c r="N141" s="25" t="str">
        <f>HYPERLINK("http://slimages.macys.com/is/image/MCY/19933411 ")</f>
        <v xml:space="preserve">http://slimages.macys.com/is/image/MCY/19933411 </v>
      </c>
    </row>
    <row r="142" spans="1:14" ht="24.75" x14ac:dyDescent="0.25">
      <c r="A142" s="21" t="s">
        <v>15888</v>
      </c>
      <c r="B142" s="22" t="s">
        <v>15889</v>
      </c>
      <c r="C142" s="2">
        <v>2</v>
      </c>
      <c r="D142" s="23">
        <v>19.989999999999998</v>
      </c>
      <c r="E142" s="3">
        <v>39.979999999999997</v>
      </c>
      <c r="F142" s="2" t="s">
        <v>19897</v>
      </c>
      <c r="G142" s="22" t="s">
        <v>19670</v>
      </c>
      <c r="H142" s="24" t="s">
        <v>19538</v>
      </c>
      <c r="I142" s="22" t="s">
        <v>19309</v>
      </c>
      <c r="J142" s="22" t="s">
        <v>19573</v>
      </c>
      <c r="K142" s="22" t="s">
        <v>19574</v>
      </c>
      <c r="L142" s="22"/>
      <c r="M142" s="22"/>
      <c r="N142" s="25" t="str">
        <f>HYPERLINK("http://slimages.macys.com/is/image/MCY/20757750 ")</f>
        <v xml:space="preserve">http://slimages.macys.com/is/image/MCY/20757750 </v>
      </c>
    </row>
    <row r="143" spans="1:14" ht="24.75" x14ac:dyDescent="0.25">
      <c r="A143" s="21" t="s">
        <v>2486</v>
      </c>
      <c r="B143" s="22" t="s">
        <v>2487</v>
      </c>
      <c r="C143" s="2">
        <v>1</v>
      </c>
      <c r="D143" s="23">
        <v>19.989999999999998</v>
      </c>
      <c r="E143" s="3">
        <v>19.989999999999998</v>
      </c>
      <c r="F143" s="2" t="s">
        <v>19897</v>
      </c>
      <c r="G143" s="22" t="s">
        <v>19670</v>
      </c>
      <c r="H143" s="24" t="s">
        <v>19384</v>
      </c>
      <c r="I143" s="22" t="s">
        <v>19309</v>
      </c>
      <c r="J143" s="22" t="s">
        <v>19573</v>
      </c>
      <c r="K143" s="22" t="s">
        <v>19574</v>
      </c>
      <c r="L143" s="22"/>
      <c r="M143" s="22"/>
      <c r="N143" s="25" t="str">
        <f>HYPERLINK("http://slimages.macys.com/is/image/MCY/20757750 ")</f>
        <v xml:space="preserve">http://slimages.macys.com/is/image/MCY/20757750 </v>
      </c>
    </row>
    <row r="144" spans="1:14" ht="24.75" x14ac:dyDescent="0.25">
      <c r="A144" s="21" t="s">
        <v>19898</v>
      </c>
      <c r="B144" s="22" t="s">
        <v>19899</v>
      </c>
      <c r="C144" s="2">
        <v>2</v>
      </c>
      <c r="D144" s="23">
        <v>19.989999999999998</v>
      </c>
      <c r="E144" s="3">
        <v>39.979999999999997</v>
      </c>
      <c r="F144" s="2" t="s">
        <v>19900</v>
      </c>
      <c r="G144" s="22" t="s">
        <v>19467</v>
      </c>
      <c r="H144" s="24"/>
      <c r="I144" s="22" t="s">
        <v>19309</v>
      </c>
      <c r="J144" s="22" t="s">
        <v>19573</v>
      </c>
      <c r="K144" s="22" t="s">
        <v>19574</v>
      </c>
      <c r="L144" s="22"/>
      <c r="M144" s="22"/>
      <c r="N144" s="25" t="str">
        <f>HYPERLINK("http://slimages.macys.com/is/image/MCY/1248248 ")</f>
        <v xml:space="preserve">http://slimages.macys.com/is/image/MCY/1248248 </v>
      </c>
    </row>
    <row r="145" spans="1:14" ht="24.75" x14ac:dyDescent="0.25">
      <c r="A145" s="21" t="s">
        <v>10465</v>
      </c>
      <c r="B145" s="22" t="s">
        <v>10466</v>
      </c>
      <c r="C145" s="2">
        <v>2</v>
      </c>
      <c r="D145" s="23">
        <v>19.989999999999998</v>
      </c>
      <c r="E145" s="3">
        <v>39.979999999999997</v>
      </c>
      <c r="F145" s="2" t="s">
        <v>19900</v>
      </c>
      <c r="G145" s="22" t="s">
        <v>19467</v>
      </c>
      <c r="H145" s="24" t="s">
        <v>19770</v>
      </c>
      <c r="I145" s="22" t="s">
        <v>19309</v>
      </c>
      <c r="J145" s="22" t="s">
        <v>19573</v>
      </c>
      <c r="K145" s="22" t="s">
        <v>19574</v>
      </c>
      <c r="L145" s="22"/>
      <c r="M145" s="22"/>
      <c r="N145" s="25" t="str">
        <f>HYPERLINK("http://slimages.macys.com/is/image/MCY/1248248 ")</f>
        <v xml:space="preserve">http://slimages.macys.com/is/image/MCY/1248248 </v>
      </c>
    </row>
    <row r="146" spans="1:14" ht="24.75" x14ac:dyDescent="0.25">
      <c r="A146" s="21" t="s">
        <v>11949</v>
      </c>
      <c r="B146" s="22" t="s">
        <v>11950</v>
      </c>
      <c r="C146" s="2">
        <v>1</v>
      </c>
      <c r="D146" s="23">
        <v>16.989999999999998</v>
      </c>
      <c r="E146" s="3">
        <v>16.989999999999998</v>
      </c>
      <c r="F146" s="2" t="s">
        <v>19911</v>
      </c>
      <c r="G146" s="22" t="s">
        <v>19422</v>
      </c>
      <c r="H146" s="24"/>
      <c r="I146" s="22" t="s">
        <v>19309</v>
      </c>
      <c r="J146" s="22" t="s">
        <v>19573</v>
      </c>
      <c r="K146" s="22" t="s">
        <v>19574</v>
      </c>
      <c r="L146" s="22"/>
      <c r="M146" s="22"/>
      <c r="N146" s="25" t="str">
        <f>HYPERLINK("http://slimages.macys.com/is/image/MCY/1646328 ")</f>
        <v xml:space="preserve">http://slimages.macys.com/is/image/MCY/1646328 </v>
      </c>
    </row>
    <row r="147" spans="1:14" ht="24.75" x14ac:dyDescent="0.25">
      <c r="A147" s="21" t="s">
        <v>10472</v>
      </c>
      <c r="B147" s="22" t="s">
        <v>10473</v>
      </c>
      <c r="C147" s="2">
        <v>1</v>
      </c>
      <c r="D147" s="23">
        <v>19.989999999999998</v>
      </c>
      <c r="E147" s="3">
        <v>19.989999999999998</v>
      </c>
      <c r="F147" s="2">
        <v>10014158200</v>
      </c>
      <c r="G147" s="22" t="s">
        <v>19351</v>
      </c>
      <c r="H147" s="24" t="s">
        <v>19770</v>
      </c>
      <c r="I147" s="22" t="s">
        <v>19309</v>
      </c>
      <c r="J147" s="22" t="s">
        <v>19573</v>
      </c>
      <c r="K147" s="22" t="s">
        <v>19574</v>
      </c>
      <c r="L147" s="22"/>
      <c r="M147" s="22"/>
      <c r="N147" s="25" t="str">
        <f>HYPERLINK("http://slimages.macys.com/is/image/MCY/20757719 ")</f>
        <v xml:space="preserve">http://slimages.macys.com/is/image/MCY/20757719 </v>
      </c>
    </row>
    <row r="148" spans="1:14" ht="24.75" x14ac:dyDescent="0.25">
      <c r="A148" s="21" t="s">
        <v>13027</v>
      </c>
      <c r="B148" s="22" t="s">
        <v>13028</v>
      </c>
      <c r="C148" s="2">
        <v>1</v>
      </c>
      <c r="D148" s="23">
        <v>16.989999999999998</v>
      </c>
      <c r="E148" s="3">
        <v>16.989999999999998</v>
      </c>
      <c r="F148" s="2">
        <v>10015239400</v>
      </c>
      <c r="G148" s="22" t="s">
        <v>19351</v>
      </c>
      <c r="H148" s="24" t="s">
        <v>19538</v>
      </c>
      <c r="I148" s="22" t="s">
        <v>19309</v>
      </c>
      <c r="J148" s="22" t="s">
        <v>19573</v>
      </c>
      <c r="K148" s="22" t="s">
        <v>19574</v>
      </c>
      <c r="L148" s="22"/>
      <c r="M148" s="22"/>
      <c r="N148" s="25" t="str">
        <f>HYPERLINK("http://slimages.macys.com/is/image/MCY/1712799 ")</f>
        <v xml:space="preserve">http://slimages.macys.com/is/image/MCY/1712799 </v>
      </c>
    </row>
    <row r="149" spans="1:14" ht="24.75" x14ac:dyDescent="0.25">
      <c r="A149" s="21" t="s">
        <v>11959</v>
      </c>
      <c r="B149" s="22" t="s">
        <v>11960</v>
      </c>
      <c r="C149" s="2">
        <v>1</v>
      </c>
      <c r="D149" s="23">
        <v>16.989999999999998</v>
      </c>
      <c r="E149" s="3">
        <v>16.989999999999998</v>
      </c>
      <c r="F149" s="2">
        <v>10015239300</v>
      </c>
      <c r="G149" s="22" t="s">
        <v>19315</v>
      </c>
      <c r="H149" s="24" t="s">
        <v>19538</v>
      </c>
      <c r="I149" s="22" t="s">
        <v>19309</v>
      </c>
      <c r="J149" s="22" t="s">
        <v>19573</v>
      </c>
      <c r="K149" s="22" t="s">
        <v>19574</v>
      </c>
      <c r="L149" s="22"/>
      <c r="M149" s="22"/>
      <c r="N149" s="25" t="str">
        <f>HYPERLINK("http://slimages.macys.com/is/image/MCY/1699968 ")</f>
        <v xml:space="preserve">http://slimages.macys.com/is/image/MCY/1699968 </v>
      </c>
    </row>
    <row r="150" spans="1:14" ht="24.75" x14ac:dyDescent="0.25">
      <c r="A150" s="21" t="s">
        <v>11532</v>
      </c>
      <c r="B150" s="22" t="s">
        <v>11533</v>
      </c>
      <c r="C150" s="2">
        <v>1</v>
      </c>
      <c r="D150" s="23">
        <v>16.989999999999998</v>
      </c>
      <c r="E150" s="3">
        <v>16.989999999999998</v>
      </c>
      <c r="F150" s="2">
        <v>10015239300</v>
      </c>
      <c r="G150" s="22" t="s">
        <v>19315</v>
      </c>
      <c r="H150" s="24"/>
      <c r="I150" s="22" t="s">
        <v>19309</v>
      </c>
      <c r="J150" s="22" t="s">
        <v>19573</v>
      </c>
      <c r="K150" s="22" t="s">
        <v>19574</v>
      </c>
      <c r="L150" s="22"/>
      <c r="M150" s="22"/>
      <c r="N150" s="25" t="str">
        <f>HYPERLINK("http://slimages.macys.com/is/image/MCY/1712799 ")</f>
        <v xml:space="preserve">http://slimages.macys.com/is/image/MCY/1712799 </v>
      </c>
    </row>
    <row r="151" spans="1:14" ht="24.75" x14ac:dyDescent="0.25">
      <c r="A151" s="21" t="s">
        <v>2488</v>
      </c>
      <c r="B151" s="22" t="s">
        <v>2489</v>
      </c>
      <c r="C151" s="2">
        <v>1</v>
      </c>
      <c r="D151" s="23">
        <v>16.989999999999998</v>
      </c>
      <c r="E151" s="3">
        <v>16.989999999999998</v>
      </c>
      <c r="F151" s="2">
        <v>10015239400</v>
      </c>
      <c r="G151" s="22" t="s">
        <v>19351</v>
      </c>
      <c r="H151" s="24" t="s">
        <v>19770</v>
      </c>
      <c r="I151" s="22" t="s">
        <v>19309</v>
      </c>
      <c r="J151" s="22" t="s">
        <v>19573</v>
      </c>
      <c r="K151" s="22" t="s">
        <v>19574</v>
      </c>
      <c r="L151" s="22"/>
      <c r="M151" s="22"/>
      <c r="N151" s="25" t="str">
        <f>HYPERLINK("http://slimages.macys.com/is/image/MCY/1712799 ")</f>
        <v xml:space="preserve">http://slimages.macys.com/is/image/MCY/1712799 </v>
      </c>
    </row>
    <row r="152" spans="1:14" ht="24.75" x14ac:dyDescent="0.25">
      <c r="A152" s="21" t="s">
        <v>17967</v>
      </c>
      <c r="B152" s="22" t="s">
        <v>17968</v>
      </c>
      <c r="C152" s="2">
        <v>1</v>
      </c>
      <c r="D152" s="23">
        <v>18.989999999999998</v>
      </c>
      <c r="E152" s="3">
        <v>18.989999999999998</v>
      </c>
      <c r="F152" s="2" t="s">
        <v>19914</v>
      </c>
      <c r="G152" s="22" t="s">
        <v>19713</v>
      </c>
      <c r="H152" s="24" t="s">
        <v>19770</v>
      </c>
      <c r="I152" s="22" t="s">
        <v>19309</v>
      </c>
      <c r="J152" s="22" t="s">
        <v>19573</v>
      </c>
      <c r="K152" s="22" t="s">
        <v>19574</v>
      </c>
      <c r="L152" s="22"/>
      <c r="M152" s="22"/>
      <c r="N152" s="25" t="str">
        <f>HYPERLINK("http://slimages.macys.com/is/image/MCY/1322715 ")</f>
        <v xml:space="preserve">http://slimages.macys.com/is/image/MCY/1322715 </v>
      </c>
    </row>
    <row r="153" spans="1:14" ht="24.75" x14ac:dyDescent="0.25">
      <c r="A153" s="21" t="s">
        <v>19919</v>
      </c>
      <c r="B153" s="22" t="s">
        <v>19920</v>
      </c>
      <c r="C153" s="2">
        <v>1</v>
      </c>
      <c r="D153" s="23">
        <v>18.989999999999998</v>
      </c>
      <c r="E153" s="3">
        <v>18.989999999999998</v>
      </c>
      <c r="F153" s="2">
        <v>10015242300</v>
      </c>
      <c r="G153" s="22" t="s">
        <v>19518</v>
      </c>
      <c r="H153" s="24"/>
      <c r="I153" s="22" t="s">
        <v>19309</v>
      </c>
      <c r="J153" s="22" t="s">
        <v>19573</v>
      </c>
      <c r="K153" s="22" t="s">
        <v>19574</v>
      </c>
      <c r="L153" s="22"/>
      <c r="M153" s="22"/>
      <c r="N153" s="25" t="str">
        <f>HYPERLINK("http://slimages.macys.com/is/image/MCY/1322715 ")</f>
        <v xml:space="preserve">http://slimages.macys.com/is/image/MCY/1322715 </v>
      </c>
    </row>
    <row r="154" spans="1:14" ht="24.75" x14ac:dyDescent="0.25">
      <c r="A154" s="21" t="s">
        <v>19912</v>
      </c>
      <c r="B154" s="22" t="s">
        <v>19913</v>
      </c>
      <c r="C154" s="2">
        <v>1</v>
      </c>
      <c r="D154" s="23">
        <v>18.989999999999998</v>
      </c>
      <c r="E154" s="3">
        <v>18.989999999999998</v>
      </c>
      <c r="F154" s="2" t="s">
        <v>19914</v>
      </c>
      <c r="G154" s="22" t="s">
        <v>19713</v>
      </c>
      <c r="H154" s="24" t="s">
        <v>19384</v>
      </c>
      <c r="I154" s="22" t="s">
        <v>19309</v>
      </c>
      <c r="J154" s="22" t="s">
        <v>19573</v>
      </c>
      <c r="K154" s="22" t="s">
        <v>19574</v>
      </c>
      <c r="L154" s="22"/>
      <c r="M154" s="22"/>
      <c r="N154" s="25" t="str">
        <f>HYPERLINK("http://slimages.macys.com/is/image/MCY/1322715 ")</f>
        <v xml:space="preserve">http://slimages.macys.com/is/image/MCY/1322715 </v>
      </c>
    </row>
    <row r="155" spans="1:14" ht="24.75" x14ac:dyDescent="0.25">
      <c r="A155" s="21" t="s">
        <v>2490</v>
      </c>
      <c r="B155" s="22" t="s">
        <v>2491</v>
      </c>
      <c r="C155" s="2">
        <v>1</v>
      </c>
      <c r="D155" s="23">
        <v>39.5</v>
      </c>
      <c r="E155" s="3">
        <v>39.5</v>
      </c>
      <c r="F155" s="2" t="s">
        <v>2492</v>
      </c>
      <c r="G155" s="22" t="s">
        <v>19618</v>
      </c>
      <c r="H155" s="24" t="s">
        <v>18139</v>
      </c>
      <c r="I155" s="22" t="s">
        <v>19309</v>
      </c>
      <c r="J155" s="22" t="s">
        <v>20104</v>
      </c>
      <c r="K155" s="22" t="s">
        <v>20105</v>
      </c>
      <c r="L155" s="22"/>
      <c r="M155" s="22"/>
      <c r="N155" s="25" t="str">
        <f>HYPERLINK("http://slimages.macys.com/is/image/MCY/20006186 ")</f>
        <v xml:space="preserve">http://slimages.macys.com/is/image/MCY/20006186 </v>
      </c>
    </row>
    <row r="156" spans="1:14" ht="24.75" x14ac:dyDescent="0.25">
      <c r="A156" s="21" t="s">
        <v>19929</v>
      </c>
      <c r="B156" s="22" t="s">
        <v>19930</v>
      </c>
      <c r="C156" s="2">
        <v>1</v>
      </c>
      <c r="D156" s="23">
        <v>18.989999999999998</v>
      </c>
      <c r="E156" s="3">
        <v>18.989999999999998</v>
      </c>
      <c r="F156" s="2" t="s">
        <v>19931</v>
      </c>
      <c r="G156" s="22" t="s">
        <v>19351</v>
      </c>
      <c r="H156" s="24" t="s">
        <v>19339</v>
      </c>
      <c r="I156" s="22" t="s">
        <v>19309</v>
      </c>
      <c r="J156" s="22" t="s">
        <v>19310</v>
      </c>
      <c r="K156" s="22" t="s">
        <v>19932</v>
      </c>
      <c r="L156" s="22"/>
      <c r="M156" s="22"/>
      <c r="N156" s="25" t="str">
        <f>HYPERLINK("http://slimages.macys.com/is/image/MCY/21605187 ")</f>
        <v xml:space="preserve">http://slimages.macys.com/is/image/MCY/21605187 </v>
      </c>
    </row>
    <row r="157" spans="1:14" ht="24.75" x14ac:dyDescent="0.25">
      <c r="A157" s="21" t="s">
        <v>2493</v>
      </c>
      <c r="B157" s="22" t="s">
        <v>2494</v>
      </c>
      <c r="C157" s="2">
        <v>1</v>
      </c>
      <c r="D157" s="23">
        <v>16.989999999999998</v>
      </c>
      <c r="E157" s="3">
        <v>16.989999999999998</v>
      </c>
      <c r="F157" s="2" t="s">
        <v>2495</v>
      </c>
      <c r="G157" s="22" t="s">
        <v>19357</v>
      </c>
      <c r="H157" s="24" t="s">
        <v>19392</v>
      </c>
      <c r="I157" s="22" t="s">
        <v>19309</v>
      </c>
      <c r="J157" s="22" t="s">
        <v>19447</v>
      </c>
      <c r="K157" s="22" t="s">
        <v>19463</v>
      </c>
      <c r="L157" s="22"/>
      <c r="M157" s="22"/>
      <c r="N157" s="25" t="str">
        <f>HYPERLINK("http://slimages.macys.com/is/image/MCY/21682418 ")</f>
        <v xml:space="preserve">http://slimages.macys.com/is/image/MCY/21682418 </v>
      </c>
    </row>
    <row r="158" spans="1:14" ht="24.75" x14ac:dyDescent="0.25">
      <c r="A158" s="21" t="s">
        <v>2496</v>
      </c>
      <c r="B158" s="22" t="s">
        <v>2497</v>
      </c>
      <c r="C158" s="2">
        <v>1</v>
      </c>
      <c r="D158" s="23">
        <v>16.989999999999998</v>
      </c>
      <c r="E158" s="3">
        <v>16.989999999999998</v>
      </c>
      <c r="F158" s="2" t="s">
        <v>2495</v>
      </c>
      <c r="G158" s="22" t="s">
        <v>19462</v>
      </c>
      <c r="H158" s="24" t="s">
        <v>19361</v>
      </c>
      <c r="I158" s="22" t="s">
        <v>19309</v>
      </c>
      <c r="J158" s="22" t="s">
        <v>19447</v>
      </c>
      <c r="K158" s="22" t="s">
        <v>19463</v>
      </c>
      <c r="L158" s="22"/>
      <c r="M158" s="22"/>
      <c r="N158" s="25" t="str">
        <f>HYPERLINK("http://slimages.macys.com/is/image/MCY/21681338 ")</f>
        <v xml:space="preserve">http://slimages.macys.com/is/image/MCY/21681338 </v>
      </c>
    </row>
    <row r="159" spans="1:14" ht="24.75" x14ac:dyDescent="0.25">
      <c r="A159" s="21" t="s">
        <v>2498</v>
      </c>
      <c r="B159" s="22" t="s">
        <v>2499</v>
      </c>
      <c r="C159" s="2">
        <v>1</v>
      </c>
      <c r="D159" s="23">
        <v>16.989999999999998</v>
      </c>
      <c r="E159" s="3">
        <v>16.989999999999998</v>
      </c>
      <c r="F159" s="2" t="s">
        <v>2495</v>
      </c>
      <c r="G159" s="22" t="s">
        <v>19357</v>
      </c>
      <c r="H159" s="24" t="s">
        <v>19395</v>
      </c>
      <c r="I159" s="22" t="s">
        <v>19309</v>
      </c>
      <c r="J159" s="22" t="s">
        <v>19447</v>
      </c>
      <c r="K159" s="22" t="s">
        <v>19463</v>
      </c>
      <c r="L159" s="22"/>
      <c r="M159" s="22"/>
      <c r="N159" s="25" t="str">
        <f>HYPERLINK("http://slimages.macys.com/is/image/MCY/21681338 ")</f>
        <v xml:space="preserve">http://slimages.macys.com/is/image/MCY/21681338 </v>
      </c>
    </row>
    <row r="160" spans="1:14" ht="24.75" x14ac:dyDescent="0.25">
      <c r="A160" s="21" t="s">
        <v>2500</v>
      </c>
      <c r="B160" s="22" t="s">
        <v>2501</v>
      </c>
      <c r="C160" s="2">
        <v>2</v>
      </c>
      <c r="D160" s="23">
        <v>15.99</v>
      </c>
      <c r="E160" s="3">
        <v>31.98</v>
      </c>
      <c r="F160" s="2" t="s">
        <v>2502</v>
      </c>
      <c r="G160" s="22" t="s">
        <v>19323</v>
      </c>
      <c r="H160" s="24" t="s">
        <v>19542</v>
      </c>
      <c r="I160" s="22" t="s">
        <v>19309</v>
      </c>
      <c r="J160" s="22" t="s">
        <v>19447</v>
      </c>
      <c r="K160" s="22" t="s">
        <v>20146</v>
      </c>
      <c r="L160" s="22"/>
      <c r="M160" s="22"/>
      <c r="N160" s="25" t="str">
        <f>HYPERLINK("http://slimages.macys.com/is/image/MCY/21161724 ")</f>
        <v xml:space="preserve">http://slimages.macys.com/is/image/MCY/21161724 </v>
      </c>
    </row>
    <row r="161" spans="1:14" ht="24.75" x14ac:dyDescent="0.25">
      <c r="A161" s="21" t="s">
        <v>2503</v>
      </c>
      <c r="B161" s="22" t="s">
        <v>2504</v>
      </c>
      <c r="C161" s="2">
        <v>1</v>
      </c>
      <c r="D161" s="23">
        <v>15.99</v>
      </c>
      <c r="E161" s="3">
        <v>15.99</v>
      </c>
      <c r="F161" s="2" t="s">
        <v>2502</v>
      </c>
      <c r="G161" s="22" t="s">
        <v>19323</v>
      </c>
      <c r="H161" s="24" t="s">
        <v>19361</v>
      </c>
      <c r="I161" s="22" t="s">
        <v>19309</v>
      </c>
      <c r="J161" s="22" t="s">
        <v>19447</v>
      </c>
      <c r="K161" s="22" t="s">
        <v>20146</v>
      </c>
      <c r="L161" s="22"/>
      <c r="M161" s="22"/>
      <c r="N161" s="25" t="str">
        <f>HYPERLINK("http://slimages.macys.com/is/image/MCY/21161724 ")</f>
        <v xml:space="preserve">http://slimages.macys.com/is/image/MCY/21161724 </v>
      </c>
    </row>
    <row r="162" spans="1:14" x14ac:dyDescent="0.25">
      <c r="A162" s="21" t="s">
        <v>11975</v>
      </c>
      <c r="B162" s="22" t="s">
        <v>11976</v>
      </c>
      <c r="C162" s="2">
        <v>1</v>
      </c>
      <c r="D162" s="23">
        <v>24.99</v>
      </c>
      <c r="E162" s="3">
        <v>24.99</v>
      </c>
      <c r="F162" s="2" t="s">
        <v>19958</v>
      </c>
      <c r="G162" s="22" t="s">
        <v>19315</v>
      </c>
      <c r="H162" s="24" t="s">
        <v>19352</v>
      </c>
      <c r="I162" s="22" t="s">
        <v>19309</v>
      </c>
      <c r="J162" s="22" t="s">
        <v>19849</v>
      </c>
      <c r="K162" s="22" t="s">
        <v>19850</v>
      </c>
      <c r="L162" s="22"/>
      <c r="M162" s="22"/>
      <c r="N162" s="25" t="str">
        <f>HYPERLINK("http://slimages.macys.com/is/image/MCY/1521136 ")</f>
        <v xml:space="preserve">http://slimages.macys.com/is/image/MCY/1521136 </v>
      </c>
    </row>
    <row r="163" spans="1:14" x14ac:dyDescent="0.25">
      <c r="A163" s="21" t="s">
        <v>4670</v>
      </c>
      <c r="B163" s="22" t="s">
        <v>4671</v>
      </c>
      <c r="C163" s="2">
        <v>5</v>
      </c>
      <c r="D163" s="23">
        <v>21.99</v>
      </c>
      <c r="E163" s="3">
        <v>109.95</v>
      </c>
      <c r="F163" s="2" t="s">
        <v>8070</v>
      </c>
      <c r="G163" s="22" t="s">
        <v>19342</v>
      </c>
      <c r="H163" s="24"/>
      <c r="I163" s="22" t="s">
        <v>19309</v>
      </c>
      <c r="J163" s="22" t="s">
        <v>19696</v>
      </c>
      <c r="K163" s="22" t="s">
        <v>19965</v>
      </c>
      <c r="L163" s="22"/>
      <c r="M163" s="22"/>
      <c r="N163" s="25" t="str">
        <f>HYPERLINK("http://slimages.macys.com/is/image/MCY/21540670 ")</f>
        <v xml:space="preserve">http://slimages.macys.com/is/image/MCY/21540670 </v>
      </c>
    </row>
    <row r="164" spans="1:14" x14ac:dyDescent="0.25">
      <c r="A164" s="21" t="s">
        <v>2505</v>
      </c>
      <c r="B164" s="22" t="s">
        <v>2506</v>
      </c>
      <c r="C164" s="2">
        <v>4</v>
      </c>
      <c r="D164" s="23">
        <v>21.99</v>
      </c>
      <c r="E164" s="3">
        <v>87.96</v>
      </c>
      <c r="F164" s="2" t="s">
        <v>8822</v>
      </c>
      <c r="G164" s="22" t="s">
        <v>19342</v>
      </c>
      <c r="H164" s="24" t="s">
        <v>19395</v>
      </c>
      <c r="I164" s="22" t="s">
        <v>19309</v>
      </c>
      <c r="J164" s="22" t="s">
        <v>19696</v>
      </c>
      <c r="K164" s="22" t="s">
        <v>19965</v>
      </c>
      <c r="L164" s="22"/>
      <c r="M164" s="22"/>
      <c r="N164" s="25" t="str">
        <f>HYPERLINK("http://slimages.macys.com/is/image/MCY/21355975 ")</f>
        <v xml:space="preserve">http://slimages.macys.com/is/image/MCY/21355975 </v>
      </c>
    </row>
    <row r="165" spans="1:14" x14ac:dyDescent="0.25">
      <c r="A165" s="21" t="s">
        <v>9500</v>
      </c>
      <c r="B165" s="22" t="s">
        <v>9501</v>
      </c>
      <c r="C165" s="2">
        <v>11</v>
      </c>
      <c r="D165" s="23">
        <v>21.99</v>
      </c>
      <c r="E165" s="3">
        <v>241.89</v>
      </c>
      <c r="F165" s="2" t="s">
        <v>19964</v>
      </c>
      <c r="G165" s="22" t="s">
        <v>19342</v>
      </c>
      <c r="H165" s="24" t="s">
        <v>19395</v>
      </c>
      <c r="I165" s="22" t="s">
        <v>19309</v>
      </c>
      <c r="J165" s="22" t="s">
        <v>19696</v>
      </c>
      <c r="K165" s="22" t="s">
        <v>19965</v>
      </c>
      <c r="L165" s="22"/>
      <c r="M165" s="22"/>
      <c r="N165" s="25" t="str">
        <f>HYPERLINK("http://slimages.macys.com/is/image/MCY/21355968 ")</f>
        <v xml:space="preserve">http://slimages.macys.com/is/image/MCY/21355968 </v>
      </c>
    </row>
    <row r="166" spans="1:14" x14ac:dyDescent="0.25">
      <c r="A166" s="21" t="s">
        <v>10480</v>
      </c>
      <c r="B166" s="22" t="s">
        <v>10481</v>
      </c>
      <c r="C166" s="2">
        <v>1</v>
      </c>
      <c r="D166" s="23">
        <v>24.5</v>
      </c>
      <c r="E166" s="3">
        <v>24.5</v>
      </c>
      <c r="F166" s="2" t="s">
        <v>19972</v>
      </c>
      <c r="G166" s="22" t="s">
        <v>19477</v>
      </c>
      <c r="H166" s="24" t="s">
        <v>19339</v>
      </c>
      <c r="I166" s="22" t="s">
        <v>19309</v>
      </c>
      <c r="J166" s="22" t="s">
        <v>19849</v>
      </c>
      <c r="K166" s="22" t="s">
        <v>19850</v>
      </c>
      <c r="L166" s="22"/>
      <c r="M166" s="22"/>
      <c r="N166" s="25" t="str">
        <f>HYPERLINK("http://slimages.macys.com/is/image/MCY/20549465 ")</f>
        <v xml:space="preserve">http://slimages.macys.com/is/image/MCY/20549465 </v>
      </c>
    </row>
    <row r="167" spans="1:14" x14ac:dyDescent="0.25">
      <c r="A167" s="21" t="s">
        <v>15355</v>
      </c>
      <c r="B167" s="22" t="s">
        <v>15356</v>
      </c>
      <c r="C167" s="2">
        <v>2</v>
      </c>
      <c r="D167" s="23">
        <v>24.5</v>
      </c>
      <c r="E167" s="3">
        <v>49</v>
      </c>
      <c r="F167" s="2" t="s">
        <v>19972</v>
      </c>
      <c r="G167" s="22" t="s">
        <v>19477</v>
      </c>
      <c r="H167" s="24" t="s">
        <v>19364</v>
      </c>
      <c r="I167" s="22" t="s">
        <v>19309</v>
      </c>
      <c r="J167" s="22" t="s">
        <v>19849</v>
      </c>
      <c r="K167" s="22" t="s">
        <v>19850</v>
      </c>
      <c r="L167" s="22"/>
      <c r="M167" s="22"/>
      <c r="N167" s="25" t="str">
        <f>HYPERLINK("http://slimages.macys.com/is/image/MCY/20549465 ")</f>
        <v xml:space="preserve">http://slimages.macys.com/is/image/MCY/20549465 </v>
      </c>
    </row>
    <row r="168" spans="1:14" x14ac:dyDescent="0.25">
      <c r="A168" s="21" t="s">
        <v>19970</v>
      </c>
      <c r="B168" s="22" t="s">
        <v>19971</v>
      </c>
      <c r="C168" s="2">
        <v>1</v>
      </c>
      <c r="D168" s="23">
        <v>24.5</v>
      </c>
      <c r="E168" s="3">
        <v>24.5</v>
      </c>
      <c r="F168" s="2" t="s">
        <v>19972</v>
      </c>
      <c r="G168" s="22" t="s">
        <v>19477</v>
      </c>
      <c r="H168" s="24" t="s">
        <v>19352</v>
      </c>
      <c r="I168" s="22" t="s">
        <v>19309</v>
      </c>
      <c r="J168" s="22" t="s">
        <v>19849</v>
      </c>
      <c r="K168" s="22" t="s">
        <v>19850</v>
      </c>
      <c r="L168" s="22"/>
      <c r="M168" s="22"/>
      <c r="N168" s="25" t="str">
        <f>HYPERLINK("http://slimages.macys.com/is/image/MCY/20549465 ")</f>
        <v xml:space="preserve">http://slimages.macys.com/is/image/MCY/20549465 </v>
      </c>
    </row>
    <row r="169" spans="1:14" ht="24.75" x14ac:dyDescent="0.25">
      <c r="A169" s="21" t="s">
        <v>2507</v>
      </c>
      <c r="B169" s="22" t="s">
        <v>2508</v>
      </c>
      <c r="C169" s="2">
        <v>1</v>
      </c>
      <c r="D169" s="23">
        <v>16.989999999999998</v>
      </c>
      <c r="E169" s="3">
        <v>16.989999999999998</v>
      </c>
      <c r="F169" s="2" t="s">
        <v>19978</v>
      </c>
      <c r="G169" s="22" t="s">
        <v>19886</v>
      </c>
      <c r="H169" s="24" t="s">
        <v>19392</v>
      </c>
      <c r="I169" s="22" t="s">
        <v>19309</v>
      </c>
      <c r="J169" s="22" t="s">
        <v>19310</v>
      </c>
      <c r="K169" s="22" t="s">
        <v>19440</v>
      </c>
      <c r="L169" s="22"/>
      <c r="M169" s="22"/>
      <c r="N169" s="25" t="str">
        <f>HYPERLINK("http://slimages.macys.com/is/image/MCY/21314289 ")</f>
        <v xml:space="preserve">http://slimages.macys.com/is/image/MCY/21314289 </v>
      </c>
    </row>
    <row r="170" spans="1:14" ht="24.75" x14ac:dyDescent="0.25">
      <c r="A170" s="21" t="s">
        <v>10482</v>
      </c>
      <c r="B170" s="22" t="s">
        <v>10483</v>
      </c>
      <c r="C170" s="2">
        <v>1</v>
      </c>
      <c r="D170" s="23">
        <v>19.989999999999998</v>
      </c>
      <c r="E170" s="3">
        <v>19.989999999999998</v>
      </c>
      <c r="F170" s="2" t="s">
        <v>10484</v>
      </c>
      <c r="G170" s="22" t="s">
        <v>19431</v>
      </c>
      <c r="H170" s="24" t="s">
        <v>19538</v>
      </c>
      <c r="I170" s="22" t="s">
        <v>19309</v>
      </c>
      <c r="J170" s="22" t="s">
        <v>19573</v>
      </c>
      <c r="K170" s="22" t="s">
        <v>19574</v>
      </c>
      <c r="L170" s="22"/>
      <c r="M170" s="22"/>
      <c r="N170" s="25" t="str">
        <f>HYPERLINK("http://slimages.macys.com/is/image/MCY/20757745 ")</f>
        <v xml:space="preserve">http://slimages.macys.com/is/image/MCY/20757745 </v>
      </c>
    </row>
    <row r="171" spans="1:14" ht="24.75" x14ac:dyDescent="0.25">
      <c r="A171" s="21" t="s">
        <v>2509</v>
      </c>
      <c r="B171" s="22" t="s">
        <v>2510</v>
      </c>
      <c r="C171" s="2">
        <v>1</v>
      </c>
      <c r="D171" s="23">
        <v>18.989999999999998</v>
      </c>
      <c r="E171" s="3">
        <v>18.989999999999998</v>
      </c>
      <c r="F171" s="2" t="s">
        <v>19985</v>
      </c>
      <c r="G171" s="22" t="s">
        <v>19618</v>
      </c>
      <c r="H171" s="24" t="s">
        <v>19384</v>
      </c>
      <c r="I171" s="22" t="s">
        <v>19309</v>
      </c>
      <c r="J171" s="22" t="s">
        <v>19573</v>
      </c>
      <c r="K171" s="22" t="s">
        <v>19574</v>
      </c>
      <c r="L171" s="22"/>
      <c r="M171" s="22"/>
      <c r="N171" s="25" t="str">
        <f>HYPERLINK("http://slimages.macys.com/is/image/MCY/20142459 ")</f>
        <v xml:space="preserve">http://slimages.macys.com/is/image/MCY/20142459 </v>
      </c>
    </row>
    <row r="172" spans="1:14" ht="24.75" x14ac:dyDescent="0.25">
      <c r="A172" s="21" t="s">
        <v>2511</v>
      </c>
      <c r="B172" s="22" t="s">
        <v>2512</v>
      </c>
      <c r="C172" s="2">
        <v>1</v>
      </c>
      <c r="D172" s="23">
        <v>17</v>
      </c>
      <c r="E172" s="3">
        <v>17</v>
      </c>
      <c r="F172" s="2" t="s">
        <v>2565</v>
      </c>
      <c r="G172" s="22"/>
      <c r="H172" s="24" t="s">
        <v>19352</v>
      </c>
      <c r="I172" s="22" t="s">
        <v>19309</v>
      </c>
      <c r="J172" s="22" t="s">
        <v>19565</v>
      </c>
      <c r="K172" s="22" t="s">
        <v>6679</v>
      </c>
      <c r="L172" s="22"/>
      <c r="M172" s="22"/>
      <c r="N172" s="25" t="str">
        <f>HYPERLINK("http://slimages.macys.com/is/image/MCY/20346636 ")</f>
        <v xml:space="preserve">http://slimages.macys.com/is/image/MCY/20346636 </v>
      </c>
    </row>
    <row r="173" spans="1:14" x14ac:dyDescent="0.25">
      <c r="A173" s="21" t="s">
        <v>2513</v>
      </c>
      <c r="B173" s="22" t="s">
        <v>2514</v>
      </c>
      <c r="C173" s="2">
        <v>1</v>
      </c>
      <c r="D173" s="23">
        <v>19.989999999999998</v>
      </c>
      <c r="E173" s="3">
        <v>19.989999999999998</v>
      </c>
      <c r="F173" s="2" t="s">
        <v>1873</v>
      </c>
      <c r="G173" s="22" t="s">
        <v>19333</v>
      </c>
      <c r="H173" s="24"/>
      <c r="I173" s="22" t="s">
        <v>19309</v>
      </c>
      <c r="J173" s="22" t="s">
        <v>19696</v>
      </c>
      <c r="K173" s="22" t="s">
        <v>15978</v>
      </c>
      <c r="L173" s="22"/>
      <c r="M173" s="22"/>
      <c r="N173" s="25" t="str">
        <f>HYPERLINK("http://slimages.macys.com/is/image/MCY/20291053 ")</f>
        <v xml:space="preserve">http://slimages.macys.com/is/image/MCY/20291053 </v>
      </c>
    </row>
    <row r="174" spans="1:14" x14ac:dyDescent="0.25">
      <c r="A174" s="21" t="s">
        <v>20011</v>
      </c>
      <c r="B174" s="22" t="s">
        <v>20012</v>
      </c>
      <c r="C174" s="2">
        <v>1</v>
      </c>
      <c r="D174" s="23">
        <v>16.989999999999998</v>
      </c>
      <c r="E174" s="3">
        <v>16.989999999999998</v>
      </c>
      <c r="F174" s="2" t="s">
        <v>20002</v>
      </c>
      <c r="G174" s="22" t="s">
        <v>19477</v>
      </c>
      <c r="H174" s="24" t="s">
        <v>19364</v>
      </c>
      <c r="I174" s="22" t="s">
        <v>19309</v>
      </c>
      <c r="J174" s="22" t="s">
        <v>19849</v>
      </c>
      <c r="K174" s="22" t="s">
        <v>19850</v>
      </c>
      <c r="L174" s="22"/>
      <c r="M174" s="22"/>
      <c r="N174" s="25" t="str">
        <f>HYPERLINK("http://slimages.macys.com/is/image/MCY/20549392 ")</f>
        <v xml:space="preserve">http://slimages.macys.com/is/image/MCY/20549392 </v>
      </c>
    </row>
    <row r="175" spans="1:14" x14ac:dyDescent="0.25">
      <c r="A175" s="21" t="s">
        <v>15370</v>
      </c>
      <c r="B175" s="22" t="s">
        <v>15371</v>
      </c>
      <c r="C175" s="2">
        <v>1</v>
      </c>
      <c r="D175" s="23">
        <v>16.989999999999998</v>
      </c>
      <c r="E175" s="3">
        <v>16.989999999999998</v>
      </c>
      <c r="F175" s="2" t="s">
        <v>20002</v>
      </c>
      <c r="G175" s="22" t="s">
        <v>19315</v>
      </c>
      <c r="H175" s="24" t="s">
        <v>19352</v>
      </c>
      <c r="I175" s="22" t="s">
        <v>19309</v>
      </c>
      <c r="J175" s="22" t="s">
        <v>19849</v>
      </c>
      <c r="K175" s="22" t="s">
        <v>19850</v>
      </c>
      <c r="L175" s="22"/>
      <c r="M175" s="22"/>
      <c r="N175" s="25" t="str">
        <f>HYPERLINK("http://slimages.macys.com/is/image/MCY/20549392 ")</f>
        <v xml:space="preserve">http://slimages.macys.com/is/image/MCY/20549392 </v>
      </c>
    </row>
    <row r="176" spans="1:14" x14ac:dyDescent="0.25">
      <c r="A176" s="21" t="s">
        <v>15372</v>
      </c>
      <c r="B176" s="22" t="s">
        <v>15373</v>
      </c>
      <c r="C176" s="2">
        <v>1</v>
      </c>
      <c r="D176" s="23">
        <v>16.989999999999998</v>
      </c>
      <c r="E176" s="3">
        <v>16.989999999999998</v>
      </c>
      <c r="F176" s="2" t="s">
        <v>20002</v>
      </c>
      <c r="G176" s="22" t="s">
        <v>19477</v>
      </c>
      <c r="H176" s="24" t="s">
        <v>19352</v>
      </c>
      <c r="I176" s="22" t="s">
        <v>19309</v>
      </c>
      <c r="J176" s="22" t="s">
        <v>19849</v>
      </c>
      <c r="K176" s="22" t="s">
        <v>19850</v>
      </c>
      <c r="L176" s="22"/>
      <c r="M176" s="22"/>
      <c r="N176" s="25" t="str">
        <f>HYPERLINK("http://slimages.macys.com/is/image/MCY/20549392 ")</f>
        <v xml:space="preserve">http://slimages.macys.com/is/image/MCY/20549392 </v>
      </c>
    </row>
    <row r="177" spans="1:14" ht="24.75" x14ac:dyDescent="0.25">
      <c r="A177" s="21" t="s">
        <v>2515</v>
      </c>
      <c r="B177" s="22" t="s">
        <v>2516</v>
      </c>
      <c r="C177" s="2">
        <v>1</v>
      </c>
      <c r="D177" s="23">
        <v>28.99</v>
      </c>
      <c r="E177" s="3">
        <v>28.99</v>
      </c>
      <c r="F177" s="2" t="s">
        <v>2517</v>
      </c>
      <c r="G177" s="22" t="s">
        <v>19315</v>
      </c>
      <c r="H177" s="24" t="s">
        <v>11751</v>
      </c>
      <c r="I177" s="22" t="s">
        <v>19309</v>
      </c>
      <c r="J177" s="22" t="s">
        <v>19447</v>
      </c>
      <c r="K177" s="22" t="s">
        <v>18333</v>
      </c>
      <c r="L177" s="22"/>
      <c r="M177" s="22"/>
      <c r="N177" s="25" t="str">
        <f>HYPERLINK("http://slimages.macys.com/is/image/MCY/21541295 ")</f>
        <v xml:space="preserve">http://slimages.macys.com/is/image/MCY/21541295 </v>
      </c>
    </row>
    <row r="178" spans="1:14" x14ac:dyDescent="0.25">
      <c r="A178" s="21" t="s">
        <v>2518</v>
      </c>
      <c r="B178" s="22" t="s">
        <v>2519</v>
      </c>
      <c r="C178" s="2">
        <v>2</v>
      </c>
      <c r="D178" s="23">
        <v>21.99</v>
      </c>
      <c r="E178" s="3">
        <v>43.98</v>
      </c>
      <c r="F178" s="2" t="s">
        <v>2520</v>
      </c>
      <c r="G178" s="22" t="s">
        <v>19342</v>
      </c>
      <c r="H178" s="24" t="s">
        <v>19334</v>
      </c>
      <c r="I178" s="22" t="s">
        <v>19309</v>
      </c>
      <c r="J178" s="22" t="s">
        <v>19696</v>
      </c>
      <c r="K178" s="22" t="s">
        <v>19965</v>
      </c>
      <c r="L178" s="22"/>
      <c r="M178" s="22"/>
      <c r="N178" s="25" t="str">
        <f>HYPERLINK("http://slimages.macys.com/is/image/MCY/21540668 ")</f>
        <v xml:space="preserve">http://slimages.macys.com/is/image/MCY/21540668 </v>
      </c>
    </row>
    <row r="179" spans="1:14" ht="24.75" x14ac:dyDescent="0.25">
      <c r="A179" s="21" t="s">
        <v>2521</v>
      </c>
      <c r="B179" s="22" t="s">
        <v>2522</v>
      </c>
      <c r="C179" s="2">
        <v>2</v>
      </c>
      <c r="D179" s="23">
        <v>20.99</v>
      </c>
      <c r="E179" s="3">
        <v>41.98</v>
      </c>
      <c r="F179" s="2" t="s">
        <v>2523</v>
      </c>
      <c r="G179" s="22" t="s">
        <v>19342</v>
      </c>
      <c r="H179" s="24" t="s">
        <v>19324</v>
      </c>
      <c r="I179" s="22" t="s">
        <v>19309</v>
      </c>
      <c r="J179" s="22" t="s">
        <v>19385</v>
      </c>
      <c r="K179" s="22" t="s">
        <v>18064</v>
      </c>
      <c r="L179" s="22"/>
      <c r="M179" s="22"/>
      <c r="N179" s="25" t="str">
        <f>HYPERLINK("http://slimages.macys.com/is/image/MCY/21775752 ")</f>
        <v xml:space="preserve">http://slimages.macys.com/is/image/MCY/21775752 </v>
      </c>
    </row>
    <row r="180" spans="1:14" ht="24.75" x14ac:dyDescent="0.25">
      <c r="A180" s="21" t="s">
        <v>2524</v>
      </c>
      <c r="B180" s="22" t="s">
        <v>2525</v>
      </c>
      <c r="C180" s="2">
        <v>1</v>
      </c>
      <c r="D180" s="23">
        <v>20.99</v>
      </c>
      <c r="E180" s="3">
        <v>20.99</v>
      </c>
      <c r="F180" s="2" t="s">
        <v>3671</v>
      </c>
      <c r="G180" s="22" t="s">
        <v>19342</v>
      </c>
      <c r="H180" s="24" t="s">
        <v>19416</v>
      </c>
      <c r="I180" s="22" t="s">
        <v>19309</v>
      </c>
      <c r="J180" s="22" t="s">
        <v>19385</v>
      </c>
      <c r="K180" s="22" t="s">
        <v>18064</v>
      </c>
      <c r="L180" s="22"/>
      <c r="M180" s="22"/>
      <c r="N180" s="25" t="str">
        <f>HYPERLINK("http://slimages.macys.com/is/image/MCY/21775800 ")</f>
        <v xml:space="preserve">http://slimages.macys.com/is/image/MCY/21775800 </v>
      </c>
    </row>
    <row r="181" spans="1:14" ht="24.75" x14ac:dyDescent="0.25">
      <c r="A181" s="21" t="s">
        <v>2526</v>
      </c>
      <c r="B181" s="22" t="s">
        <v>2527</v>
      </c>
      <c r="C181" s="2">
        <v>1</v>
      </c>
      <c r="D181" s="23">
        <v>18.989999999999998</v>
      </c>
      <c r="E181" s="3">
        <v>18.989999999999998</v>
      </c>
      <c r="F181" s="2" t="s">
        <v>2528</v>
      </c>
      <c r="G181" s="22" t="s">
        <v>19342</v>
      </c>
      <c r="H181" s="24" t="s">
        <v>19384</v>
      </c>
      <c r="I181" s="22" t="s">
        <v>19309</v>
      </c>
      <c r="J181" s="22" t="s">
        <v>19385</v>
      </c>
      <c r="K181" s="22" t="s">
        <v>11214</v>
      </c>
      <c r="L181" s="22"/>
      <c r="M181" s="22"/>
      <c r="N181" s="25" t="str">
        <f>HYPERLINK("http://slimages.macys.com/is/image/MCY/20849501 ")</f>
        <v xml:space="preserve">http://slimages.macys.com/is/image/MCY/20849501 </v>
      </c>
    </row>
    <row r="182" spans="1:14" x14ac:dyDescent="0.25">
      <c r="A182" s="21" t="s">
        <v>2529</v>
      </c>
      <c r="B182" s="22" t="s">
        <v>2530</v>
      </c>
      <c r="C182" s="2">
        <v>1</v>
      </c>
      <c r="D182" s="23">
        <v>24</v>
      </c>
      <c r="E182" s="3">
        <v>24</v>
      </c>
      <c r="F182" s="2" t="s">
        <v>2531</v>
      </c>
      <c r="G182" s="22" t="s">
        <v>18439</v>
      </c>
      <c r="H182" s="24"/>
      <c r="I182" s="22" t="s">
        <v>19309</v>
      </c>
      <c r="J182" s="22" t="s">
        <v>19417</v>
      </c>
      <c r="K182" s="22" t="s">
        <v>20110</v>
      </c>
      <c r="L182" s="22"/>
      <c r="M182" s="22"/>
      <c r="N182" s="25" t="str">
        <f>HYPERLINK("http://slimages.macys.com/is/image/MCY/22296695 ")</f>
        <v xml:space="preserve">http://slimages.macys.com/is/image/MCY/22296695 </v>
      </c>
    </row>
    <row r="183" spans="1:14" ht="24.75" x14ac:dyDescent="0.25">
      <c r="A183" s="21" t="s">
        <v>2532</v>
      </c>
      <c r="B183" s="22" t="s">
        <v>2533</v>
      </c>
      <c r="C183" s="2">
        <v>1</v>
      </c>
      <c r="D183" s="23">
        <v>21.99</v>
      </c>
      <c r="E183" s="3">
        <v>21.99</v>
      </c>
      <c r="F183" s="2" t="s">
        <v>2534</v>
      </c>
      <c r="G183" s="22" t="s">
        <v>19351</v>
      </c>
      <c r="H183" s="24" t="s">
        <v>19432</v>
      </c>
      <c r="I183" s="22" t="s">
        <v>19309</v>
      </c>
      <c r="J183" s="22" t="s">
        <v>19454</v>
      </c>
      <c r="K183" s="22" t="s">
        <v>19354</v>
      </c>
      <c r="L183" s="22"/>
      <c r="M183" s="22"/>
      <c r="N183" s="25" t="str">
        <f>HYPERLINK("http://slimages.macys.com/is/image/MCY/20708484 ")</f>
        <v xml:space="preserve">http://slimages.macys.com/is/image/MCY/20708484 </v>
      </c>
    </row>
    <row r="184" spans="1:14" x14ac:dyDescent="0.25">
      <c r="A184" s="21" t="s">
        <v>2535</v>
      </c>
      <c r="B184" s="22" t="s">
        <v>2536</v>
      </c>
      <c r="C184" s="2">
        <v>1</v>
      </c>
      <c r="D184" s="23">
        <v>15.84</v>
      </c>
      <c r="E184" s="3">
        <v>15.84</v>
      </c>
      <c r="F184" s="2" t="s">
        <v>13067</v>
      </c>
      <c r="G184" s="22"/>
      <c r="H184" s="24" t="s">
        <v>19416</v>
      </c>
      <c r="I184" s="22" t="s">
        <v>19309</v>
      </c>
      <c r="J184" s="22" t="s">
        <v>19708</v>
      </c>
      <c r="K184" s="22" t="s">
        <v>19709</v>
      </c>
      <c r="L184" s="22"/>
      <c r="M184" s="22"/>
      <c r="N184" s="25" t="str">
        <f>HYPERLINK("http://slimages.macys.com/is/image/MCY/19066992 ")</f>
        <v xml:space="preserve">http://slimages.macys.com/is/image/MCY/19066992 </v>
      </c>
    </row>
    <row r="185" spans="1:14" ht="24.75" x14ac:dyDescent="0.25">
      <c r="A185" s="21" t="s">
        <v>2537</v>
      </c>
      <c r="B185" s="22" t="s">
        <v>2538</v>
      </c>
      <c r="C185" s="2">
        <v>1</v>
      </c>
      <c r="D185" s="23">
        <v>20.99</v>
      </c>
      <c r="E185" s="3">
        <v>20.99</v>
      </c>
      <c r="F185" s="2" t="s">
        <v>2539</v>
      </c>
      <c r="G185" s="22" t="s">
        <v>19422</v>
      </c>
      <c r="H185" s="24" t="s">
        <v>11751</v>
      </c>
      <c r="I185" s="22" t="s">
        <v>19309</v>
      </c>
      <c r="J185" s="22" t="s">
        <v>19447</v>
      </c>
      <c r="K185" s="22" t="s">
        <v>18333</v>
      </c>
      <c r="L185" s="22"/>
      <c r="M185" s="22"/>
      <c r="N185" s="25" t="str">
        <f>HYPERLINK("http://slimages.macys.com/is/image/MCY/21048341 ")</f>
        <v xml:space="preserve">http://slimages.macys.com/is/image/MCY/21048341 </v>
      </c>
    </row>
    <row r="186" spans="1:14" x14ac:dyDescent="0.25">
      <c r="A186" s="21" t="s">
        <v>20061</v>
      </c>
      <c r="B186" s="22" t="s">
        <v>20062</v>
      </c>
      <c r="C186" s="2">
        <v>1</v>
      </c>
      <c r="D186" s="23">
        <v>15.99</v>
      </c>
      <c r="E186" s="3">
        <v>15.99</v>
      </c>
      <c r="F186" s="2" t="s">
        <v>20063</v>
      </c>
      <c r="G186" s="22" t="s">
        <v>19333</v>
      </c>
      <c r="H186" s="24" t="s">
        <v>19542</v>
      </c>
      <c r="I186" s="22" t="s">
        <v>19309</v>
      </c>
      <c r="J186" s="22" t="s">
        <v>19310</v>
      </c>
      <c r="K186" s="22" t="s">
        <v>19440</v>
      </c>
      <c r="L186" s="22"/>
      <c r="M186" s="22"/>
      <c r="N186" s="25" t="str">
        <f>HYPERLINK("http://slimages.macys.com/is/image/MCY/21149116 ")</f>
        <v xml:space="preserve">http://slimages.macys.com/is/image/MCY/21149116 </v>
      </c>
    </row>
    <row r="187" spans="1:14" ht="24.75" x14ac:dyDescent="0.25">
      <c r="A187" s="21" t="s">
        <v>2540</v>
      </c>
      <c r="B187" s="22" t="s">
        <v>2541</v>
      </c>
      <c r="C187" s="2">
        <v>1</v>
      </c>
      <c r="D187" s="23">
        <v>14.99</v>
      </c>
      <c r="E187" s="3">
        <v>14.99</v>
      </c>
      <c r="F187" s="2" t="s">
        <v>6757</v>
      </c>
      <c r="G187" s="22" t="s">
        <v>19323</v>
      </c>
      <c r="H187" s="24" t="s">
        <v>19352</v>
      </c>
      <c r="I187" s="22" t="s">
        <v>19309</v>
      </c>
      <c r="J187" s="22" t="s">
        <v>20076</v>
      </c>
      <c r="K187" s="22" t="s">
        <v>12019</v>
      </c>
      <c r="L187" s="22"/>
      <c r="M187" s="22"/>
      <c r="N187" s="25" t="str">
        <f>HYPERLINK("http://slimages.macys.com/is/image/MCY/21485285 ")</f>
        <v xml:space="preserve">http://slimages.macys.com/is/image/MCY/21485285 </v>
      </c>
    </row>
    <row r="188" spans="1:14" ht="24.75" x14ac:dyDescent="0.25">
      <c r="A188" s="21" t="s">
        <v>2542</v>
      </c>
      <c r="B188" s="22" t="s">
        <v>2543</v>
      </c>
      <c r="C188" s="2">
        <v>2</v>
      </c>
      <c r="D188" s="23">
        <v>20.99</v>
      </c>
      <c r="E188" s="3">
        <v>41.98</v>
      </c>
      <c r="F188" s="2" t="s">
        <v>5742</v>
      </c>
      <c r="G188" s="22" t="s">
        <v>13313</v>
      </c>
      <c r="H188" s="24" t="s">
        <v>19330</v>
      </c>
      <c r="I188" s="22" t="s">
        <v>19309</v>
      </c>
      <c r="J188" s="22" t="s">
        <v>19385</v>
      </c>
      <c r="K188" s="22" t="s">
        <v>19386</v>
      </c>
      <c r="L188" s="22"/>
      <c r="M188" s="22"/>
      <c r="N188" s="25" t="str">
        <f>HYPERLINK("http://slimages.macys.com/is/image/MCY/21313494 ")</f>
        <v xml:space="preserve">http://slimages.macys.com/is/image/MCY/21313494 </v>
      </c>
    </row>
    <row r="189" spans="1:14" x14ac:dyDescent="0.25">
      <c r="A189" s="21" t="s">
        <v>8080</v>
      </c>
      <c r="B189" s="22" t="s">
        <v>8081</v>
      </c>
      <c r="C189" s="2">
        <v>1</v>
      </c>
      <c r="D189" s="23">
        <v>19.989999999999998</v>
      </c>
      <c r="E189" s="3">
        <v>19.989999999999998</v>
      </c>
      <c r="F189" s="2" t="s">
        <v>8079</v>
      </c>
      <c r="G189" s="22" t="s">
        <v>19342</v>
      </c>
      <c r="H189" s="24" t="s">
        <v>19478</v>
      </c>
      <c r="I189" s="22" t="s">
        <v>19309</v>
      </c>
      <c r="J189" s="22" t="s">
        <v>19696</v>
      </c>
      <c r="K189" s="22" t="s">
        <v>19965</v>
      </c>
      <c r="L189" s="22"/>
      <c r="M189" s="22"/>
      <c r="N189" s="25" t="str">
        <f>HYPERLINK("http://slimages.macys.com/is/image/MCY/21689633 ")</f>
        <v xml:space="preserve">http://slimages.macys.com/is/image/MCY/21689633 </v>
      </c>
    </row>
    <row r="190" spans="1:14" x14ac:dyDescent="0.25">
      <c r="A190" s="21" t="s">
        <v>18124</v>
      </c>
      <c r="B190" s="22" t="s">
        <v>18125</v>
      </c>
      <c r="C190" s="2">
        <v>1</v>
      </c>
      <c r="D190" s="23">
        <v>21.99</v>
      </c>
      <c r="E190" s="3">
        <v>21.99</v>
      </c>
      <c r="F190" s="2" t="s">
        <v>18126</v>
      </c>
      <c r="G190" s="22" t="s">
        <v>19674</v>
      </c>
      <c r="H190" s="24" t="s">
        <v>19364</v>
      </c>
      <c r="I190" s="22" t="s">
        <v>19309</v>
      </c>
      <c r="J190" s="22" t="s">
        <v>19849</v>
      </c>
      <c r="K190" s="22" t="s">
        <v>19850</v>
      </c>
      <c r="L190" s="22"/>
      <c r="M190" s="22"/>
      <c r="N190" s="25" t="str">
        <f>HYPERLINK("http://slimages.macys.com/is/image/MCY/975791 ")</f>
        <v xml:space="preserve">http://slimages.macys.com/is/image/MCY/975791 </v>
      </c>
    </row>
    <row r="191" spans="1:14" ht="24.75" x14ac:dyDescent="0.25">
      <c r="A191" s="21" t="s">
        <v>2544</v>
      </c>
      <c r="B191" s="22" t="s">
        <v>2545</v>
      </c>
      <c r="C191" s="2">
        <v>1</v>
      </c>
      <c r="D191" s="23">
        <v>22</v>
      </c>
      <c r="E191" s="3">
        <v>22</v>
      </c>
      <c r="F191" s="2" t="s">
        <v>2546</v>
      </c>
      <c r="G191" s="22" t="s">
        <v>19513</v>
      </c>
      <c r="H191" s="24" t="s">
        <v>19324</v>
      </c>
      <c r="I191" s="22" t="s">
        <v>19309</v>
      </c>
      <c r="J191" s="22" t="s">
        <v>19491</v>
      </c>
      <c r="K191" s="22" t="s">
        <v>17934</v>
      </c>
      <c r="L191" s="22"/>
      <c r="M191" s="22"/>
      <c r="N191" s="25" t="str">
        <f>HYPERLINK("http://slimages.macys.com/is/image/MCY/19589409 ")</f>
        <v xml:space="preserve">http://slimages.macys.com/is/image/MCY/19589409 </v>
      </c>
    </row>
    <row r="192" spans="1:14" ht="24.75" x14ac:dyDescent="0.25">
      <c r="A192" s="21" t="s">
        <v>2547</v>
      </c>
      <c r="B192" s="22" t="s">
        <v>2548</v>
      </c>
      <c r="C192" s="2">
        <v>1</v>
      </c>
      <c r="D192" s="23">
        <v>17.989999999999998</v>
      </c>
      <c r="E192" s="3">
        <v>17.989999999999998</v>
      </c>
      <c r="F192" s="2">
        <v>4350</v>
      </c>
      <c r="G192" s="22" t="s">
        <v>19315</v>
      </c>
      <c r="H192" s="24" t="s">
        <v>19364</v>
      </c>
      <c r="I192" s="22" t="s">
        <v>19309</v>
      </c>
      <c r="J192" s="22" t="s">
        <v>20076</v>
      </c>
      <c r="K192" s="22" t="s">
        <v>20077</v>
      </c>
      <c r="L192" s="22"/>
      <c r="M192" s="22"/>
      <c r="N192" s="25" t="str">
        <f>HYPERLINK("http://slimages.macys.com/is/image/MCY/18821763 ")</f>
        <v xml:space="preserve">http://slimages.macys.com/is/image/MCY/18821763 </v>
      </c>
    </row>
    <row r="193" spans="1:14" ht="24.75" x14ac:dyDescent="0.25">
      <c r="A193" s="21" t="s">
        <v>20092</v>
      </c>
      <c r="B193" s="22" t="s">
        <v>20093</v>
      </c>
      <c r="C193" s="2">
        <v>1</v>
      </c>
      <c r="D193" s="23">
        <v>19.989999999999998</v>
      </c>
      <c r="E193" s="3">
        <v>19.989999999999998</v>
      </c>
      <c r="F193" s="2" t="s">
        <v>20094</v>
      </c>
      <c r="G193" s="22" t="s">
        <v>19415</v>
      </c>
      <c r="H193" s="24" t="s">
        <v>19907</v>
      </c>
      <c r="I193" s="22" t="s">
        <v>19309</v>
      </c>
      <c r="J193" s="22" t="s">
        <v>19908</v>
      </c>
      <c r="K193" s="22" t="s">
        <v>19524</v>
      </c>
      <c r="L193" s="22"/>
      <c r="M193" s="22"/>
      <c r="N193" s="25" t="str">
        <f>HYPERLINK("http://slimages.macys.com/is/image/MCY/21070251 ")</f>
        <v xml:space="preserve">http://slimages.macys.com/is/image/MCY/21070251 </v>
      </c>
    </row>
    <row r="194" spans="1:14" ht="24.75" x14ac:dyDescent="0.25">
      <c r="A194" s="21" t="s">
        <v>4716</v>
      </c>
      <c r="B194" s="22" t="s">
        <v>4717</v>
      </c>
      <c r="C194" s="2">
        <v>12</v>
      </c>
      <c r="D194" s="23">
        <v>20</v>
      </c>
      <c r="E194" s="3">
        <v>240</v>
      </c>
      <c r="F194" s="2" t="s">
        <v>10995</v>
      </c>
      <c r="G194" s="22" t="s">
        <v>19404</v>
      </c>
      <c r="H194" s="24" t="s">
        <v>19367</v>
      </c>
      <c r="I194" s="22" t="s">
        <v>19309</v>
      </c>
      <c r="J194" s="22" t="s">
        <v>19417</v>
      </c>
      <c r="K194" s="22" t="s">
        <v>19854</v>
      </c>
      <c r="L194" s="22"/>
      <c r="M194" s="22"/>
      <c r="N194" s="25" t="str">
        <f>HYPERLINK("http://slimages.macys.com/is/image/MCY/21370155 ")</f>
        <v xml:space="preserve">http://slimages.macys.com/is/image/MCY/21370155 </v>
      </c>
    </row>
    <row r="195" spans="1:14" ht="24.75" x14ac:dyDescent="0.25">
      <c r="A195" s="21" t="s">
        <v>12081</v>
      </c>
      <c r="B195" s="22" t="s">
        <v>12082</v>
      </c>
      <c r="C195" s="2">
        <v>2</v>
      </c>
      <c r="D195" s="23">
        <v>14.99</v>
      </c>
      <c r="E195" s="3">
        <v>29.98</v>
      </c>
      <c r="F195" s="2">
        <v>3151</v>
      </c>
      <c r="G195" s="22" t="s">
        <v>19323</v>
      </c>
      <c r="H195" s="24" t="s">
        <v>19364</v>
      </c>
      <c r="I195" s="22" t="s">
        <v>19309</v>
      </c>
      <c r="J195" s="22" t="s">
        <v>20076</v>
      </c>
      <c r="K195" s="22" t="s">
        <v>12080</v>
      </c>
      <c r="L195" s="22"/>
      <c r="M195" s="22"/>
      <c r="N195" s="25" t="str">
        <f>HYPERLINK("http://slimages.macys.com/is/image/MCY/21816728 ")</f>
        <v xml:space="preserve">http://slimages.macys.com/is/image/MCY/21816728 </v>
      </c>
    </row>
    <row r="196" spans="1:14" x14ac:dyDescent="0.25">
      <c r="A196" s="21" t="s">
        <v>10511</v>
      </c>
      <c r="B196" s="22" t="s">
        <v>10512</v>
      </c>
      <c r="C196" s="2">
        <v>1</v>
      </c>
      <c r="D196" s="23">
        <v>24</v>
      </c>
      <c r="E196" s="3">
        <v>24</v>
      </c>
      <c r="F196" s="2" t="s">
        <v>10513</v>
      </c>
      <c r="G196" s="22" t="s">
        <v>19513</v>
      </c>
      <c r="H196" s="24" t="s">
        <v>19770</v>
      </c>
      <c r="I196" s="22" t="s">
        <v>19309</v>
      </c>
      <c r="J196" s="22" t="s">
        <v>19417</v>
      </c>
      <c r="K196" s="22" t="s">
        <v>20110</v>
      </c>
      <c r="L196" s="22"/>
      <c r="M196" s="22"/>
      <c r="N196" s="25" t="str">
        <f>HYPERLINK("http://slimages.macys.com/is/image/MCY/22527644 ")</f>
        <v xml:space="preserve">http://slimages.macys.com/is/image/MCY/22527644 </v>
      </c>
    </row>
    <row r="197" spans="1:14" ht="24.75" x14ac:dyDescent="0.25">
      <c r="A197" s="21" t="s">
        <v>2549</v>
      </c>
      <c r="B197" s="22" t="s">
        <v>2550</v>
      </c>
      <c r="C197" s="2">
        <v>1</v>
      </c>
      <c r="D197" s="23">
        <v>20</v>
      </c>
      <c r="E197" s="3">
        <v>20</v>
      </c>
      <c r="F197" s="2" t="s">
        <v>2551</v>
      </c>
      <c r="G197" s="22" t="s">
        <v>19422</v>
      </c>
      <c r="H197" s="24" t="s">
        <v>19324</v>
      </c>
      <c r="I197" s="22" t="s">
        <v>19309</v>
      </c>
      <c r="J197" s="22" t="s">
        <v>19417</v>
      </c>
      <c r="K197" s="22" t="s">
        <v>19854</v>
      </c>
      <c r="L197" s="22"/>
      <c r="M197" s="22"/>
      <c r="N197" s="25" t="str">
        <f>HYPERLINK("http://slimages.macys.com/is/image/MCY/21370251 ")</f>
        <v xml:space="preserve">http://slimages.macys.com/is/image/MCY/21370251 </v>
      </c>
    </row>
    <row r="198" spans="1:14" x14ac:dyDescent="0.25">
      <c r="A198" s="21" t="s">
        <v>2552</v>
      </c>
      <c r="B198" s="22" t="s">
        <v>2553</v>
      </c>
      <c r="C198" s="2">
        <v>1</v>
      </c>
      <c r="D198" s="23">
        <v>19</v>
      </c>
      <c r="E198" s="3">
        <v>19</v>
      </c>
      <c r="F198" s="2" t="s">
        <v>16030</v>
      </c>
      <c r="G198" s="22" t="s">
        <v>19431</v>
      </c>
      <c r="H198" s="24" t="s">
        <v>20159</v>
      </c>
      <c r="I198" s="22" t="s">
        <v>19309</v>
      </c>
      <c r="J198" s="22" t="s">
        <v>19708</v>
      </c>
      <c r="K198" s="22" t="s">
        <v>19709</v>
      </c>
      <c r="L198" s="22"/>
      <c r="M198" s="22"/>
      <c r="N198" s="25" t="str">
        <f>HYPERLINK("http://slimages.macys.com/is/image/MCY/21726241 ")</f>
        <v xml:space="preserve">http://slimages.macys.com/is/image/MCY/21726241 </v>
      </c>
    </row>
    <row r="199" spans="1:14" x14ac:dyDescent="0.25">
      <c r="A199" s="21" t="s">
        <v>13086</v>
      </c>
      <c r="B199" s="22" t="s">
        <v>13087</v>
      </c>
      <c r="C199" s="2">
        <v>1</v>
      </c>
      <c r="D199" s="23">
        <v>18.77</v>
      </c>
      <c r="E199" s="3">
        <v>18.77</v>
      </c>
      <c r="F199" s="2" t="s">
        <v>20119</v>
      </c>
      <c r="G199" s="22"/>
      <c r="H199" s="24" t="s">
        <v>19367</v>
      </c>
      <c r="I199" s="22" t="s">
        <v>19309</v>
      </c>
      <c r="J199" s="22" t="s">
        <v>19708</v>
      </c>
      <c r="K199" s="22" t="s">
        <v>19709</v>
      </c>
      <c r="L199" s="22"/>
      <c r="M199" s="22"/>
      <c r="N199" s="25" t="str">
        <f>HYPERLINK("http://slimages.macys.com/is/image/MCY/22405750 ")</f>
        <v xml:space="preserve">http://slimages.macys.com/is/image/MCY/22405750 </v>
      </c>
    </row>
    <row r="200" spans="1:14" ht="24.75" x14ac:dyDescent="0.25">
      <c r="A200" s="21" t="s">
        <v>11634</v>
      </c>
      <c r="B200" s="22" t="s">
        <v>11635</v>
      </c>
      <c r="C200" s="2">
        <v>1</v>
      </c>
      <c r="D200" s="23">
        <v>16.989999999999998</v>
      </c>
      <c r="E200" s="3">
        <v>16.989999999999998</v>
      </c>
      <c r="F200" s="2" t="s">
        <v>20138</v>
      </c>
      <c r="G200" s="22" t="s">
        <v>19323</v>
      </c>
      <c r="H200" s="24" t="s">
        <v>20135</v>
      </c>
      <c r="I200" s="22" t="s">
        <v>19309</v>
      </c>
      <c r="J200" s="22" t="s">
        <v>19908</v>
      </c>
      <c r="K200" s="22" t="s">
        <v>19524</v>
      </c>
      <c r="L200" s="22"/>
      <c r="M200" s="22"/>
      <c r="N200" s="25" t="str">
        <f>HYPERLINK("http://slimages.macys.com/is/image/MCY/21070306 ")</f>
        <v xml:space="preserve">http://slimages.macys.com/is/image/MCY/21070306 </v>
      </c>
    </row>
    <row r="201" spans="1:14" x14ac:dyDescent="0.25">
      <c r="A201" s="21" t="s">
        <v>11645</v>
      </c>
      <c r="B201" s="22" t="s">
        <v>11646</v>
      </c>
      <c r="C201" s="2">
        <v>1</v>
      </c>
      <c r="D201" s="23">
        <v>14.67</v>
      </c>
      <c r="E201" s="3">
        <v>14.67</v>
      </c>
      <c r="F201" s="2" t="s">
        <v>11647</v>
      </c>
      <c r="G201" s="22" t="s">
        <v>19323</v>
      </c>
      <c r="H201" s="24" t="s">
        <v>19770</v>
      </c>
      <c r="I201" s="22" t="s">
        <v>19309</v>
      </c>
      <c r="J201" s="22" t="s">
        <v>19708</v>
      </c>
      <c r="K201" s="22" t="s">
        <v>19709</v>
      </c>
      <c r="L201" s="22"/>
      <c r="M201" s="22"/>
      <c r="N201" s="25" t="str">
        <f>HYPERLINK("http://slimages.macys.com/is/image/MCY/19066933 ")</f>
        <v xml:space="preserve">http://slimages.macys.com/is/image/MCY/19066933 </v>
      </c>
    </row>
    <row r="202" spans="1:14" x14ac:dyDescent="0.25">
      <c r="A202" s="21" t="s">
        <v>2554</v>
      </c>
      <c r="B202" s="22" t="s">
        <v>2555</v>
      </c>
      <c r="C202" s="2">
        <v>1</v>
      </c>
      <c r="D202" s="23">
        <v>14.67</v>
      </c>
      <c r="E202" s="3">
        <v>14.67</v>
      </c>
      <c r="F202" s="2" t="s">
        <v>2556</v>
      </c>
      <c r="G202" s="22"/>
      <c r="H202" s="24" t="s">
        <v>20152</v>
      </c>
      <c r="I202" s="22" t="s">
        <v>19309</v>
      </c>
      <c r="J202" s="22" t="s">
        <v>19708</v>
      </c>
      <c r="K202" s="22" t="s">
        <v>19709</v>
      </c>
      <c r="L202" s="22"/>
      <c r="M202" s="22"/>
      <c r="N202" s="25" t="str">
        <f>HYPERLINK("http://slimages.macys.com/is/image/MCY/19066496 ")</f>
        <v xml:space="preserve">http://slimages.macys.com/is/image/MCY/19066496 </v>
      </c>
    </row>
    <row r="203" spans="1:14" x14ac:dyDescent="0.25">
      <c r="A203" s="21" t="s">
        <v>18162</v>
      </c>
      <c r="B203" s="22" t="s">
        <v>18163</v>
      </c>
      <c r="C203" s="2">
        <v>1</v>
      </c>
      <c r="D203" s="23">
        <v>19.989999999999998</v>
      </c>
      <c r="E203" s="3">
        <v>19.989999999999998</v>
      </c>
      <c r="F203" s="2" t="s">
        <v>18164</v>
      </c>
      <c r="G203" s="22" t="s">
        <v>19670</v>
      </c>
      <c r="H203" s="24" t="s">
        <v>19352</v>
      </c>
      <c r="I203" s="22" t="s">
        <v>19309</v>
      </c>
      <c r="J203" s="22" t="s">
        <v>19849</v>
      </c>
      <c r="K203" s="22" t="s">
        <v>19850</v>
      </c>
      <c r="L203" s="22"/>
      <c r="M203" s="22"/>
      <c r="N203" s="25" t="str">
        <f>HYPERLINK("http://slimages.macys.com/is/image/MCY/20549415 ")</f>
        <v xml:space="preserve">http://slimages.macys.com/is/image/MCY/20549415 </v>
      </c>
    </row>
    <row r="204" spans="1:14" x14ac:dyDescent="0.25">
      <c r="A204" s="21" t="s">
        <v>15457</v>
      </c>
      <c r="B204" s="22" t="s">
        <v>15458</v>
      </c>
      <c r="C204" s="2">
        <v>1</v>
      </c>
      <c r="D204" s="23">
        <v>19.989999999999998</v>
      </c>
      <c r="E204" s="3">
        <v>19.989999999999998</v>
      </c>
      <c r="F204" s="2" t="s">
        <v>18164</v>
      </c>
      <c r="G204" s="22" t="s">
        <v>19670</v>
      </c>
      <c r="H204" s="24" t="s">
        <v>19797</v>
      </c>
      <c r="I204" s="22" t="s">
        <v>19309</v>
      </c>
      <c r="J204" s="22" t="s">
        <v>19849</v>
      </c>
      <c r="K204" s="22" t="s">
        <v>19850</v>
      </c>
      <c r="L204" s="22"/>
      <c r="M204" s="22"/>
      <c r="N204" s="25" t="str">
        <f>HYPERLINK("http://slimages.macys.com/is/image/MCY/20549415 ")</f>
        <v xml:space="preserve">http://slimages.macys.com/is/image/MCY/20549415 </v>
      </c>
    </row>
    <row r="205" spans="1:14" ht="24.75" x14ac:dyDescent="0.25">
      <c r="A205" s="21" t="s">
        <v>2557</v>
      </c>
      <c r="B205" s="22" t="s">
        <v>742</v>
      </c>
      <c r="C205" s="2">
        <v>1</v>
      </c>
      <c r="D205" s="23">
        <v>15</v>
      </c>
      <c r="E205" s="3">
        <v>15</v>
      </c>
      <c r="F205" s="2">
        <v>320876691001</v>
      </c>
      <c r="G205" s="22" t="s">
        <v>19333</v>
      </c>
      <c r="H205" s="24" t="s">
        <v>18168</v>
      </c>
      <c r="I205" s="22" t="s">
        <v>19309</v>
      </c>
      <c r="J205" s="22" t="s">
        <v>19325</v>
      </c>
      <c r="K205" s="22" t="s">
        <v>19326</v>
      </c>
      <c r="L205" s="22"/>
      <c r="M205" s="22"/>
      <c r="N205" s="25" t="str">
        <f>HYPERLINK("http://slimages.macys.com/is/image/MCY/22675356 ")</f>
        <v xml:space="preserve">http://slimages.macys.com/is/image/MCY/22675356 </v>
      </c>
    </row>
    <row r="206" spans="1:14" x14ac:dyDescent="0.25">
      <c r="A206" s="21" t="s">
        <v>5806</v>
      </c>
      <c r="B206" s="22" t="s">
        <v>5807</v>
      </c>
      <c r="C206" s="2">
        <v>1</v>
      </c>
      <c r="D206" s="23">
        <v>14.31</v>
      </c>
      <c r="E206" s="3">
        <v>14.31</v>
      </c>
      <c r="F206" s="2" t="s">
        <v>7573</v>
      </c>
      <c r="G206" s="22" t="s">
        <v>19323</v>
      </c>
      <c r="H206" s="24" t="s">
        <v>20152</v>
      </c>
      <c r="I206" s="22" t="s">
        <v>19309</v>
      </c>
      <c r="J206" s="22" t="s">
        <v>19708</v>
      </c>
      <c r="K206" s="22" t="s">
        <v>19709</v>
      </c>
      <c r="L206" s="22"/>
      <c r="M206" s="22"/>
      <c r="N206" s="25" t="str">
        <f>HYPERLINK("http://slimages.macys.com/is/image/MCY/21409614 ")</f>
        <v xml:space="preserve">http://slimages.macys.com/is/image/MCY/21409614 </v>
      </c>
    </row>
    <row r="207" spans="1:14" ht="24.75" x14ac:dyDescent="0.25">
      <c r="A207" s="21" t="s">
        <v>743</v>
      </c>
      <c r="B207" s="22" t="s">
        <v>744</v>
      </c>
      <c r="C207" s="2">
        <v>1</v>
      </c>
      <c r="D207" s="23">
        <v>12.99</v>
      </c>
      <c r="E207" s="3">
        <v>12.99</v>
      </c>
      <c r="F207" s="2" t="s">
        <v>745</v>
      </c>
      <c r="G207" s="22" t="s">
        <v>19467</v>
      </c>
      <c r="H207" s="24" t="s">
        <v>19542</v>
      </c>
      <c r="I207" s="22" t="s">
        <v>19309</v>
      </c>
      <c r="J207" s="22" t="s">
        <v>19447</v>
      </c>
      <c r="K207" s="22" t="s">
        <v>20146</v>
      </c>
      <c r="L207" s="22"/>
      <c r="M207" s="22"/>
      <c r="N207" s="25" t="str">
        <f>HYPERLINK("http://slimages.macys.com/is/image/MCY/21161775 ")</f>
        <v xml:space="preserve">http://slimages.macys.com/is/image/MCY/21161775 </v>
      </c>
    </row>
    <row r="208" spans="1:14" x14ac:dyDescent="0.25">
      <c r="A208" s="21" t="s">
        <v>746</v>
      </c>
      <c r="B208" s="22" t="s">
        <v>747</v>
      </c>
      <c r="C208" s="2">
        <v>1</v>
      </c>
      <c r="D208" s="23">
        <v>26</v>
      </c>
      <c r="E208" s="3">
        <v>26</v>
      </c>
      <c r="F208" s="2" t="s">
        <v>748</v>
      </c>
      <c r="G208" s="22"/>
      <c r="H208" s="24" t="s">
        <v>20152</v>
      </c>
      <c r="I208" s="22" t="s">
        <v>19309</v>
      </c>
      <c r="J208" s="22" t="s">
        <v>19708</v>
      </c>
      <c r="K208" s="22" t="s">
        <v>19709</v>
      </c>
      <c r="L208" s="22"/>
      <c r="M208" s="22"/>
      <c r="N208" s="25" t="str">
        <f>HYPERLINK("http://slimages.macys.com/is/image/MCY/21726614 ")</f>
        <v xml:space="preserve">http://slimages.macys.com/is/image/MCY/21726614 </v>
      </c>
    </row>
    <row r="209" spans="1:14" ht="24.75" x14ac:dyDescent="0.25">
      <c r="A209" s="21" t="s">
        <v>7576</v>
      </c>
      <c r="B209" s="22" t="s">
        <v>7577</v>
      </c>
      <c r="C209" s="2">
        <v>1</v>
      </c>
      <c r="D209" s="23">
        <v>15.72</v>
      </c>
      <c r="E209" s="3">
        <v>15.72</v>
      </c>
      <c r="F209" s="2" t="s">
        <v>18190</v>
      </c>
      <c r="G209" s="22" t="s">
        <v>19333</v>
      </c>
      <c r="H209" s="24"/>
      <c r="I209" s="22" t="s">
        <v>19309</v>
      </c>
      <c r="J209" s="22" t="s">
        <v>19602</v>
      </c>
      <c r="K209" s="22" t="s">
        <v>20041</v>
      </c>
      <c r="L209" s="22"/>
      <c r="M209" s="22"/>
      <c r="N209" s="25" t="str">
        <f>HYPERLINK("http://slimages.macys.com/is/image/MCY/20529115 ")</f>
        <v xml:space="preserve">http://slimages.macys.com/is/image/MCY/20529115 </v>
      </c>
    </row>
    <row r="210" spans="1:14" ht="24.75" x14ac:dyDescent="0.25">
      <c r="A210" s="21" t="s">
        <v>749</v>
      </c>
      <c r="B210" s="22" t="s">
        <v>750</v>
      </c>
      <c r="C210" s="2">
        <v>2</v>
      </c>
      <c r="D210" s="23">
        <v>15.99</v>
      </c>
      <c r="E210" s="3">
        <v>31.98</v>
      </c>
      <c r="F210" s="2" t="s">
        <v>751</v>
      </c>
      <c r="G210" s="22" t="s">
        <v>19323</v>
      </c>
      <c r="H210" s="24" t="s">
        <v>19330</v>
      </c>
      <c r="I210" s="22" t="s">
        <v>19309</v>
      </c>
      <c r="J210" s="22" t="s">
        <v>19385</v>
      </c>
      <c r="K210" s="22" t="s">
        <v>18197</v>
      </c>
      <c r="L210" s="22"/>
      <c r="M210" s="22"/>
      <c r="N210" s="25" t="str">
        <f>HYPERLINK("http://slimages.macys.com/is/image/MCY/21541850 ")</f>
        <v xml:space="preserve">http://slimages.macys.com/is/image/MCY/21541850 </v>
      </c>
    </row>
    <row r="211" spans="1:14" ht="24.75" x14ac:dyDescent="0.25">
      <c r="A211" s="21" t="s">
        <v>8258</v>
      </c>
      <c r="B211" s="22" t="s">
        <v>8259</v>
      </c>
      <c r="C211" s="2">
        <v>1</v>
      </c>
      <c r="D211" s="23">
        <v>15.99</v>
      </c>
      <c r="E211" s="3">
        <v>15.99</v>
      </c>
      <c r="F211" s="2" t="s">
        <v>9539</v>
      </c>
      <c r="G211" s="22" t="s">
        <v>19333</v>
      </c>
      <c r="H211" s="24" t="s">
        <v>19334</v>
      </c>
      <c r="I211" s="22" t="s">
        <v>19309</v>
      </c>
      <c r="J211" s="22" t="s">
        <v>19519</v>
      </c>
      <c r="K211" s="22" t="s">
        <v>17725</v>
      </c>
      <c r="L211" s="22"/>
      <c r="M211" s="22"/>
      <c r="N211" s="25" t="str">
        <f>HYPERLINK("http://slimages.macys.com/is/image/MCY/21141716 ")</f>
        <v xml:space="preserve">http://slimages.macys.com/is/image/MCY/21141716 </v>
      </c>
    </row>
    <row r="212" spans="1:14" x14ac:dyDescent="0.25">
      <c r="A212" s="21" t="s">
        <v>752</v>
      </c>
      <c r="B212" s="22" t="s">
        <v>753</v>
      </c>
      <c r="C212" s="2">
        <v>1</v>
      </c>
      <c r="D212" s="23">
        <v>17.989999999999998</v>
      </c>
      <c r="E212" s="3">
        <v>17.989999999999998</v>
      </c>
      <c r="F212" s="2" t="s">
        <v>754</v>
      </c>
      <c r="G212" s="22" t="s">
        <v>19342</v>
      </c>
      <c r="H212" s="24" t="s">
        <v>19334</v>
      </c>
      <c r="I212" s="22" t="s">
        <v>19309</v>
      </c>
      <c r="J212" s="22" t="s">
        <v>19696</v>
      </c>
      <c r="K212" s="22" t="s">
        <v>19697</v>
      </c>
      <c r="L212" s="22"/>
      <c r="M212" s="22"/>
      <c r="N212" s="25" t="str">
        <f>HYPERLINK("http://slimages.macys.com/is/image/MCY/21622677 ")</f>
        <v xml:space="preserve">http://slimages.macys.com/is/image/MCY/21622677 </v>
      </c>
    </row>
    <row r="213" spans="1:14" ht="24.75" x14ac:dyDescent="0.25">
      <c r="A213" s="21" t="s">
        <v>755</v>
      </c>
      <c r="B213" s="22" t="s">
        <v>756</v>
      </c>
      <c r="C213" s="2">
        <v>2</v>
      </c>
      <c r="D213" s="23">
        <v>19.989999999999998</v>
      </c>
      <c r="E213" s="3">
        <v>39.979999999999997</v>
      </c>
      <c r="F213" s="2" t="s">
        <v>15046</v>
      </c>
      <c r="G213" s="22" t="s">
        <v>19342</v>
      </c>
      <c r="H213" s="24" t="s">
        <v>19416</v>
      </c>
      <c r="I213" s="22" t="s">
        <v>19309</v>
      </c>
      <c r="J213" s="22" t="s">
        <v>19385</v>
      </c>
      <c r="K213" s="22" t="s">
        <v>15725</v>
      </c>
      <c r="L213" s="22"/>
      <c r="M213" s="22"/>
      <c r="N213" s="25" t="str">
        <f>HYPERLINK("http://slimages.macys.com/is/image/MCY/21398372 ")</f>
        <v xml:space="preserve">http://slimages.macys.com/is/image/MCY/21398372 </v>
      </c>
    </row>
    <row r="214" spans="1:14" ht="24.75" x14ac:dyDescent="0.25">
      <c r="A214" s="21" t="s">
        <v>757</v>
      </c>
      <c r="B214" s="22" t="s">
        <v>758</v>
      </c>
      <c r="C214" s="2">
        <v>1</v>
      </c>
      <c r="D214" s="23">
        <v>32</v>
      </c>
      <c r="E214" s="3">
        <v>32</v>
      </c>
      <c r="F214" s="2" t="s">
        <v>759</v>
      </c>
      <c r="G214" s="22" t="s">
        <v>19422</v>
      </c>
      <c r="H214" s="24"/>
      <c r="I214" s="22" t="s">
        <v>19309</v>
      </c>
      <c r="J214" s="22" t="s">
        <v>19417</v>
      </c>
      <c r="K214" s="22" t="s">
        <v>20110</v>
      </c>
      <c r="L214" s="22"/>
      <c r="M214" s="22"/>
      <c r="N214" s="25" t="str">
        <f>HYPERLINK("http://slimages.macys.com/is/image/MCY/19731750 ")</f>
        <v xml:space="preserve">http://slimages.macys.com/is/image/MCY/19731750 </v>
      </c>
    </row>
    <row r="215" spans="1:14" x14ac:dyDescent="0.25">
      <c r="A215" s="21" t="s">
        <v>760</v>
      </c>
      <c r="B215" s="22" t="s">
        <v>761</v>
      </c>
      <c r="C215" s="2">
        <v>1</v>
      </c>
      <c r="D215" s="23">
        <v>13.77</v>
      </c>
      <c r="E215" s="3">
        <v>13.77</v>
      </c>
      <c r="F215" s="2" t="s">
        <v>20202</v>
      </c>
      <c r="G215" s="22"/>
      <c r="H215" s="24" t="s">
        <v>19324</v>
      </c>
      <c r="I215" s="22" t="s">
        <v>19309</v>
      </c>
      <c r="J215" s="22" t="s">
        <v>19708</v>
      </c>
      <c r="K215" s="22" t="s">
        <v>19709</v>
      </c>
      <c r="L215" s="22"/>
      <c r="M215" s="22"/>
      <c r="N215" s="25" t="str">
        <f>HYPERLINK("http://slimages.macys.com/is/image/MCY/19067056 ")</f>
        <v xml:space="preserve">http://slimages.macys.com/is/image/MCY/19067056 </v>
      </c>
    </row>
    <row r="216" spans="1:14" ht="24.75" x14ac:dyDescent="0.25">
      <c r="A216" s="21" t="s">
        <v>762</v>
      </c>
      <c r="B216" s="22" t="s">
        <v>763</v>
      </c>
      <c r="C216" s="2">
        <v>1</v>
      </c>
      <c r="D216" s="23">
        <v>14</v>
      </c>
      <c r="E216" s="3">
        <v>14</v>
      </c>
      <c r="F216" s="2" t="s">
        <v>764</v>
      </c>
      <c r="G216" s="22" t="s">
        <v>19467</v>
      </c>
      <c r="H216" s="24" t="s">
        <v>19352</v>
      </c>
      <c r="I216" s="22" t="s">
        <v>19309</v>
      </c>
      <c r="J216" s="22" t="s">
        <v>19565</v>
      </c>
      <c r="K216" s="22" t="s">
        <v>13165</v>
      </c>
      <c r="L216" s="22"/>
      <c r="M216" s="22"/>
      <c r="N216" s="25" t="str">
        <f>HYPERLINK("http://slimages.macys.com/is/image/MCY/21560920 ")</f>
        <v xml:space="preserve">http://slimages.macys.com/is/image/MCY/21560920 </v>
      </c>
    </row>
    <row r="217" spans="1:14" x14ac:dyDescent="0.25">
      <c r="A217" s="21" t="s">
        <v>765</v>
      </c>
      <c r="B217" s="22" t="s">
        <v>766</v>
      </c>
      <c r="C217" s="2">
        <v>1</v>
      </c>
      <c r="D217" s="23">
        <v>17.059999999999999</v>
      </c>
      <c r="E217" s="3">
        <v>17.059999999999999</v>
      </c>
      <c r="F217" s="2" t="s">
        <v>8582</v>
      </c>
      <c r="G217" s="22"/>
      <c r="H217" s="24" t="s">
        <v>19367</v>
      </c>
      <c r="I217" s="22" t="s">
        <v>19309</v>
      </c>
      <c r="J217" s="22" t="s">
        <v>19708</v>
      </c>
      <c r="K217" s="22" t="s">
        <v>19709</v>
      </c>
      <c r="L217" s="22"/>
      <c r="M217" s="22"/>
      <c r="N217" s="25" t="str">
        <f>HYPERLINK("http://slimages.macys.com/is/image/MCY/21422976 ")</f>
        <v xml:space="preserve">http://slimages.macys.com/is/image/MCY/21422976 </v>
      </c>
    </row>
    <row r="218" spans="1:14" x14ac:dyDescent="0.25">
      <c r="A218" s="21" t="s">
        <v>767</v>
      </c>
      <c r="B218" s="22" t="s">
        <v>768</v>
      </c>
      <c r="C218" s="2">
        <v>1</v>
      </c>
      <c r="D218" s="23">
        <v>17.059999999999999</v>
      </c>
      <c r="E218" s="3">
        <v>17.059999999999999</v>
      </c>
      <c r="F218" s="2" t="s">
        <v>769</v>
      </c>
      <c r="G218" s="22"/>
      <c r="H218" s="24" t="s">
        <v>19324</v>
      </c>
      <c r="I218" s="22" t="s">
        <v>19309</v>
      </c>
      <c r="J218" s="22" t="s">
        <v>19708</v>
      </c>
      <c r="K218" s="22" t="s">
        <v>19709</v>
      </c>
      <c r="L218" s="22"/>
      <c r="M218" s="22"/>
      <c r="N218" s="25" t="str">
        <f>HYPERLINK("http://slimages.macys.com/is/image/MCY/21427140 ")</f>
        <v xml:space="preserve">http://slimages.macys.com/is/image/MCY/21427140 </v>
      </c>
    </row>
    <row r="219" spans="1:14" x14ac:dyDescent="0.25">
      <c r="A219" s="21" t="s">
        <v>770</v>
      </c>
      <c r="B219" s="22" t="s">
        <v>771</v>
      </c>
      <c r="C219" s="2">
        <v>1</v>
      </c>
      <c r="D219" s="23">
        <v>17.059999999999999</v>
      </c>
      <c r="E219" s="3">
        <v>17.059999999999999</v>
      </c>
      <c r="F219" s="2" t="s">
        <v>9545</v>
      </c>
      <c r="G219" s="22"/>
      <c r="H219" s="24" t="s">
        <v>19330</v>
      </c>
      <c r="I219" s="22" t="s">
        <v>19309</v>
      </c>
      <c r="J219" s="22" t="s">
        <v>19708</v>
      </c>
      <c r="K219" s="22" t="s">
        <v>19709</v>
      </c>
      <c r="L219" s="22"/>
      <c r="M219" s="22"/>
      <c r="N219" s="25" t="str">
        <f>HYPERLINK("http://slimages.macys.com/is/image/MCY/21726580 ")</f>
        <v xml:space="preserve">http://slimages.macys.com/is/image/MCY/21726580 </v>
      </c>
    </row>
    <row r="220" spans="1:14" x14ac:dyDescent="0.25">
      <c r="A220" s="21" t="s">
        <v>8580</v>
      </c>
      <c r="B220" s="22" t="s">
        <v>8581</v>
      </c>
      <c r="C220" s="2">
        <v>14</v>
      </c>
      <c r="D220" s="23">
        <v>17.059999999999999</v>
      </c>
      <c r="E220" s="3">
        <v>238.84</v>
      </c>
      <c r="F220" s="2" t="s">
        <v>8582</v>
      </c>
      <c r="G220" s="22"/>
      <c r="H220" s="24" t="s">
        <v>20159</v>
      </c>
      <c r="I220" s="22" t="s">
        <v>19309</v>
      </c>
      <c r="J220" s="22" t="s">
        <v>19708</v>
      </c>
      <c r="K220" s="22" t="s">
        <v>19709</v>
      </c>
      <c r="L220" s="22"/>
      <c r="M220" s="22"/>
      <c r="N220" s="25" t="str">
        <f>HYPERLINK("http://slimages.macys.com/is/image/MCY/21422976 ")</f>
        <v xml:space="preserve">http://slimages.macys.com/is/image/MCY/21422976 </v>
      </c>
    </row>
    <row r="221" spans="1:14" x14ac:dyDescent="0.25">
      <c r="A221" s="21" t="s">
        <v>772</v>
      </c>
      <c r="B221" s="22" t="s">
        <v>773</v>
      </c>
      <c r="C221" s="2">
        <v>1</v>
      </c>
      <c r="D221" s="23">
        <v>30</v>
      </c>
      <c r="E221" s="3">
        <v>30</v>
      </c>
      <c r="F221" s="2" t="s">
        <v>774</v>
      </c>
      <c r="G221" s="22" t="s">
        <v>18439</v>
      </c>
      <c r="H221" s="24"/>
      <c r="I221" s="22" t="s">
        <v>19309</v>
      </c>
      <c r="J221" s="22" t="s">
        <v>19417</v>
      </c>
      <c r="K221" s="22" t="s">
        <v>20110</v>
      </c>
      <c r="L221" s="22"/>
      <c r="M221" s="22"/>
      <c r="N221" s="25" t="str">
        <f>HYPERLINK("http://slimages.macys.com/is/image/MCY/21400780 ")</f>
        <v xml:space="preserve">http://slimages.macys.com/is/image/MCY/21400780 </v>
      </c>
    </row>
    <row r="222" spans="1:14" ht="24.75" x14ac:dyDescent="0.25">
      <c r="A222" s="21" t="s">
        <v>775</v>
      </c>
      <c r="B222" s="22" t="s">
        <v>776</v>
      </c>
      <c r="C222" s="2">
        <v>1</v>
      </c>
      <c r="D222" s="23">
        <v>14.99</v>
      </c>
      <c r="E222" s="3">
        <v>14.99</v>
      </c>
      <c r="F222" s="2" t="s">
        <v>13710</v>
      </c>
      <c r="G222" s="22" t="s">
        <v>19513</v>
      </c>
      <c r="H222" s="24" t="s">
        <v>19308</v>
      </c>
      <c r="I222" s="22" t="s">
        <v>19309</v>
      </c>
      <c r="J222" s="22" t="s">
        <v>19815</v>
      </c>
      <c r="K222" s="22" t="s">
        <v>19816</v>
      </c>
      <c r="L222" s="22"/>
      <c r="M222" s="22"/>
      <c r="N222" s="25" t="str">
        <f>HYPERLINK("http://slimages.macys.com/is/image/MCY/21278469 ")</f>
        <v xml:space="preserve">http://slimages.macys.com/is/image/MCY/21278469 </v>
      </c>
    </row>
    <row r="223" spans="1:14" x14ac:dyDescent="0.25">
      <c r="A223" s="21" t="s">
        <v>777</v>
      </c>
      <c r="B223" s="22" t="s">
        <v>778</v>
      </c>
      <c r="C223" s="2">
        <v>2</v>
      </c>
      <c r="D223" s="23">
        <v>15.99</v>
      </c>
      <c r="E223" s="3">
        <v>31.98</v>
      </c>
      <c r="F223" s="2" t="s">
        <v>20223</v>
      </c>
      <c r="G223" s="22" t="s">
        <v>19477</v>
      </c>
      <c r="H223" s="24" t="s">
        <v>20089</v>
      </c>
      <c r="I223" s="22" t="s">
        <v>19309</v>
      </c>
      <c r="J223" s="22" t="s">
        <v>19849</v>
      </c>
      <c r="K223" s="22" t="s">
        <v>19850</v>
      </c>
      <c r="L223" s="22"/>
      <c r="M223" s="22"/>
      <c r="N223" s="25" t="str">
        <f>HYPERLINK("http://slimages.macys.com/is/image/MCY/20549380 ")</f>
        <v xml:space="preserve">http://slimages.macys.com/is/image/MCY/20549380 </v>
      </c>
    </row>
    <row r="224" spans="1:14" x14ac:dyDescent="0.25">
      <c r="A224" s="21" t="s">
        <v>20217</v>
      </c>
      <c r="B224" s="22" t="s">
        <v>20218</v>
      </c>
      <c r="C224" s="2">
        <v>1</v>
      </c>
      <c r="D224" s="23">
        <v>22.99</v>
      </c>
      <c r="E224" s="3">
        <v>22.99</v>
      </c>
      <c r="F224" s="2" t="s">
        <v>20219</v>
      </c>
      <c r="G224" s="22" t="s">
        <v>19323</v>
      </c>
      <c r="H224" s="24" t="s">
        <v>19797</v>
      </c>
      <c r="I224" s="22" t="s">
        <v>19309</v>
      </c>
      <c r="J224" s="22" t="s">
        <v>19849</v>
      </c>
      <c r="K224" s="22" t="s">
        <v>20220</v>
      </c>
      <c r="L224" s="22"/>
      <c r="M224" s="22"/>
      <c r="N224" s="25" t="str">
        <f>HYPERLINK("http://slimages.macys.com/is/image/MCY/20008078 ")</f>
        <v xml:space="preserve">http://slimages.macys.com/is/image/MCY/20008078 </v>
      </c>
    </row>
    <row r="225" spans="1:14" x14ac:dyDescent="0.25">
      <c r="A225" s="21" t="s">
        <v>13711</v>
      </c>
      <c r="B225" s="22" t="s">
        <v>13712</v>
      </c>
      <c r="C225" s="2">
        <v>1</v>
      </c>
      <c r="D225" s="23">
        <v>15.99</v>
      </c>
      <c r="E225" s="3">
        <v>15.99</v>
      </c>
      <c r="F225" s="2" t="s">
        <v>20223</v>
      </c>
      <c r="G225" s="22" t="s">
        <v>19477</v>
      </c>
      <c r="H225" s="24" t="s">
        <v>19542</v>
      </c>
      <c r="I225" s="22" t="s">
        <v>19309</v>
      </c>
      <c r="J225" s="22" t="s">
        <v>19849</v>
      </c>
      <c r="K225" s="22" t="s">
        <v>19850</v>
      </c>
      <c r="L225" s="22"/>
      <c r="M225" s="22"/>
      <c r="N225" s="25" t="str">
        <f>HYPERLINK("http://slimages.macys.com/is/image/MCY/1488068 ")</f>
        <v xml:space="preserve">http://slimages.macys.com/is/image/MCY/1488068 </v>
      </c>
    </row>
    <row r="226" spans="1:14" x14ac:dyDescent="0.25">
      <c r="A226" s="21" t="s">
        <v>8583</v>
      </c>
      <c r="B226" s="22" t="s">
        <v>15700</v>
      </c>
      <c r="C226" s="2">
        <v>2</v>
      </c>
      <c r="D226" s="23">
        <v>17.989999999999998</v>
      </c>
      <c r="E226" s="3">
        <v>35.979999999999997</v>
      </c>
      <c r="F226" s="2" t="s">
        <v>16098</v>
      </c>
      <c r="G226" s="22" t="s">
        <v>19342</v>
      </c>
      <c r="H226" s="24" t="s">
        <v>19334</v>
      </c>
      <c r="I226" s="22" t="s">
        <v>19309</v>
      </c>
      <c r="J226" s="22" t="s">
        <v>19696</v>
      </c>
      <c r="K226" s="22" t="s">
        <v>19965</v>
      </c>
      <c r="L226" s="22"/>
      <c r="M226" s="22"/>
      <c r="N226" s="25" t="str">
        <f>HYPERLINK("http://slimages.macys.com/is/image/MCY/20662559 ")</f>
        <v xml:space="preserve">http://slimages.macys.com/is/image/MCY/20662559 </v>
      </c>
    </row>
    <row r="227" spans="1:14" ht="24.75" x14ac:dyDescent="0.25">
      <c r="A227" s="21" t="s">
        <v>779</v>
      </c>
      <c r="B227" s="22" t="s">
        <v>780</v>
      </c>
      <c r="C227" s="2">
        <v>1</v>
      </c>
      <c r="D227" s="23">
        <v>12</v>
      </c>
      <c r="E227" s="3">
        <v>12</v>
      </c>
      <c r="F227" s="2" t="s">
        <v>781</v>
      </c>
      <c r="G227" s="22" t="s">
        <v>19537</v>
      </c>
      <c r="H227" s="24"/>
      <c r="I227" s="22" t="s">
        <v>19309</v>
      </c>
      <c r="J227" s="22" t="s">
        <v>19317</v>
      </c>
      <c r="K227" s="22" t="s">
        <v>16124</v>
      </c>
      <c r="L227" s="22" t="s">
        <v>19319</v>
      </c>
      <c r="M227" s="22" t="s">
        <v>19435</v>
      </c>
      <c r="N227" s="25" t="str">
        <f>HYPERLINK("http://slimages.macys.com/is/image/MCY/12953572 ")</f>
        <v xml:space="preserve">http://slimages.macys.com/is/image/MCY/12953572 </v>
      </c>
    </row>
    <row r="228" spans="1:14" ht="24.75" x14ac:dyDescent="0.25">
      <c r="A228" s="21" t="s">
        <v>782</v>
      </c>
      <c r="B228" s="22" t="s">
        <v>783</v>
      </c>
      <c r="C228" s="2">
        <v>1</v>
      </c>
      <c r="D228" s="23">
        <v>12</v>
      </c>
      <c r="E228" s="3">
        <v>12</v>
      </c>
      <c r="F228" s="2" t="s">
        <v>784</v>
      </c>
      <c r="G228" s="22" t="s">
        <v>19351</v>
      </c>
      <c r="H228" s="24" t="s">
        <v>19478</v>
      </c>
      <c r="I228" s="22" t="s">
        <v>19309</v>
      </c>
      <c r="J228" s="22" t="s">
        <v>19317</v>
      </c>
      <c r="K228" s="22" t="s">
        <v>16124</v>
      </c>
      <c r="L228" s="22" t="s">
        <v>19319</v>
      </c>
      <c r="M228" s="22" t="s">
        <v>19435</v>
      </c>
      <c r="N228" s="25" t="str">
        <f>HYPERLINK("http://slimages.macys.com/is/image/MCY/12953572 ")</f>
        <v xml:space="preserve">http://slimages.macys.com/is/image/MCY/12953572 </v>
      </c>
    </row>
    <row r="229" spans="1:14" ht="24.75" x14ac:dyDescent="0.25">
      <c r="A229" s="21" t="s">
        <v>785</v>
      </c>
      <c r="B229" s="22" t="s">
        <v>786</v>
      </c>
      <c r="C229" s="2">
        <v>4</v>
      </c>
      <c r="D229" s="23">
        <v>16.989999999999998</v>
      </c>
      <c r="E229" s="3">
        <v>67.959999999999994</v>
      </c>
      <c r="F229" s="2" t="s">
        <v>787</v>
      </c>
      <c r="G229" s="22" t="s">
        <v>19323</v>
      </c>
      <c r="H229" s="24" t="s">
        <v>19361</v>
      </c>
      <c r="I229" s="22" t="s">
        <v>19309</v>
      </c>
      <c r="J229" s="22" t="s">
        <v>19908</v>
      </c>
      <c r="K229" s="22" t="s">
        <v>19524</v>
      </c>
      <c r="L229" s="22"/>
      <c r="M229" s="22"/>
      <c r="N229" s="25" t="str">
        <f>HYPERLINK("http://slimages.macys.com/is/image/MCY/19988168 ")</f>
        <v xml:space="preserve">http://slimages.macys.com/is/image/MCY/19988168 </v>
      </c>
    </row>
    <row r="230" spans="1:14" x14ac:dyDescent="0.25">
      <c r="A230" s="21" t="s">
        <v>788</v>
      </c>
      <c r="B230" s="22" t="s">
        <v>789</v>
      </c>
      <c r="C230" s="2">
        <v>1</v>
      </c>
      <c r="D230" s="23">
        <v>21.99</v>
      </c>
      <c r="E230" s="3">
        <v>21.99</v>
      </c>
      <c r="F230" s="2" t="s">
        <v>16118</v>
      </c>
      <c r="G230" s="22" t="s">
        <v>19585</v>
      </c>
      <c r="H230" s="24" t="s">
        <v>19339</v>
      </c>
      <c r="I230" s="22" t="s">
        <v>19309</v>
      </c>
      <c r="J230" s="22" t="s">
        <v>19849</v>
      </c>
      <c r="K230" s="22" t="s">
        <v>19850</v>
      </c>
      <c r="L230" s="22"/>
      <c r="M230" s="22"/>
      <c r="N230" s="25" t="str">
        <f>HYPERLINK("http://slimages.macys.com/is/image/MCY/20411695 ")</f>
        <v xml:space="preserve">http://slimages.macys.com/is/image/MCY/20411695 </v>
      </c>
    </row>
    <row r="231" spans="1:14" ht="24.75" x14ac:dyDescent="0.25">
      <c r="A231" s="21" t="s">
        <v>20252</v>
      </c>
      <c r="B231" s="22" t="s">
        <v>20253</v>
      </c>
      <c r="C231" s="2">
        <v>1</v>
      </c>
      <c r="D231" s="23">
        <v>12.99</v>
      </c>
      <c r="E231" s="3">
        <v>12.99</v>
      </c>
      <c r="F231" s="2" t="s">
        <v>20249</v>
      </c>
      <c r="G231" s="22" t="s">
        <v>19338</v>
      </c>
      <c r="H231" s="24"/>
      <c r="I231" s="22" t="s">
        <v>19309</v>
      </c>
      <c r="J231" s="22" t="s">
        <v>20076</v>
      </c>
      <c r="K231" s="22" t="s">
        <v>20250</v>
      </c>
      <c r="L231" s="22" t="s">
        <v>19319</v>
      </c>
      <c r="M231" s="22" t="s">
        <v>20251</v>
      </c>
      <c r="N231" s="25" t="str">
        <f>HYPERLINK("http://slimages.macys.com/is/image/MCY/9336625 ")</f>
        <v xml:space="preserve">http://slimages.macys.com/is/image/MCY/9336625 </v>
      </c>
    </row>
    <row r="232" spans="1:14" x14ac:dyDescent="0.25">
      <c r="A232" s="21" t="s">
        <v>8092</v>
      </c>
      <c r="B232" s="22" t="s">
        <v>8093</v>
      </c>
      <c r="C232" s="2">
        <v>5</v>
      </c>
      <c r="D232" s="23">
        <v>32</v>
      </c>
      <c r="E232" s="3">
        <v>160</v>
      </c>
      <c r="F232" s="2" t="s">
        <v>11026</v>
      </c>
      <c r="G232" s="22" t="s">
        <v>19351</v>
      </c>
      <c r="H232" s="24"/>
      <c r="I232" s="22" t="s">
        <v>19309</v>
      </c>
      <c r="J232" s="22" t="s">
        <v>19417</v>
      </c>
      <c r="K232" s="22" t="s">
        <v>20110</v>
      </c>
      <c r="L232" s="22"/>
      <c r="M232" s="22"/>
      <c r="N232" s="25" t="str">
        <f>HYPERLINK("http://slimages.macys.com/is/image/MCY/21400712 ")</f>
        <v xml:space="preserve">http://slimages.macys.com/is/image/MCY/21400712 </v>
      </c>
    </row>
    <row r="233" spans="1:14" ht="24.75" x14ac:dyDescent="0.25">
      <c r="A233" s="21" t="s">
        <v>790</v>
      </c>
      <c r="B233" s="22" t="s">
        <v>791</v>
      </c>
      <c r="C233" s="2">
        <v>1</v>
      </c>
      <c r="D233" s="23">
        <v>15.99</v>
      </c>
      <c r="E233" s="3">
        <v>15.99</v>
      </c>
      <c r="F233" s="2" t="s">
        <v>792</v>
      </c>
      <c r="G233" s="22" t="s">
        <v>19415</v>
      </c>
      <c r="H233" s="24" t="s">
        <v>19538</v>
      </c>
      <c r="I233" s="22" t="s">
        <v>19309</v>
      </c>
      <c r="J233" s="22" t="s">
        <v>19573</v>
      </c>
      <c r="K233" s="22" t="s">
        <v>19574</v>
      </c>
      <c r="L233" s="22"/>
      <c r="M233" s="22"/>
      <c r="N233" s="25" t="str">
        <f>HYPERLINK("http://slimages.macys.com/is/image/MCY/20143219 ")</f>
        <v xml:space="preserve">http://slimages.macys.com/is/image/MCY/20143219 </v>
      </c>
    </row>
    <row r="234" spans="1:14" x14ac:dyDescent="0.25">
      <c r="A234" s="21" t="s">
        <v>8586</v>
      </c>
      <c r="B234" s="22" t="s">
        <v>8587</v>
      </c>
      <c r="C234" s="2">
        <v>3</v>
      </c>
      <c r="D234" s="23">
        <v>24</v>
      </c>
      <c r="E234" s="3">
        <v>72</v>
      </c>
      <c r="F234" s="2" t="s">
        <v>11056</v>
      </c>
      <c r="G234" s="22" t="s">
        <v>18439</v>
      </c>
      <c r="H234" s="24" t="s">
        <v>19538</v>
      </c>
      <c r="I234" s="22" t="s">
        <v>19309</v>
      </c>
      <c r="J234" s="22" t="s">
        <v>19417</v>
      </c>
      <c r="K234" s="22" t="s">
        <v>20110</v>
      </c>
      <c r="L234" s="22"/>
      <c r="M234" s="22"/>
      <c r="N234" s="25" t="str">
        <f>HYPERLINK("http://slimages.macys.com/is/image/MCY/21400727 ")</f>
        <v xml:space="preserve">http://slimages.macys.com/is/image/MCY/21400727 </v>
      </c>
    </row>
    <row r="235" spans="1:14" x14ac:dyDescent="0.25">
      <c r="A235" s="21" t="s">
        <v>11057</v>
      </c>
      <c r="B235" s="22" t="s">
        <v>11058</v>
      </c>
      <c r="C235" s="2">
        <v>1</v>
      </c>
      <c r="D235" s="23">
        <v>26</v>
      </c>
      <c r="E235" s="3">
        <v>26</v>
      </c>
      <c r="F235" s="2" t="s">
        <v>11037</v>
      </c>
      <c r="G235" s="22" t="s">
        <v>19513</v>
      </c>
      <c r="H235" s="24" t="s">
        <v>19538</v>
      </c>
      <c r="I235" s="22" t="s">
        <v>19309</v>
      </c>
      <c r="J235" s="22" t="s">
        <v>19417</v>
      </c>
      <c r="K235" s="22" t="s">
        <v>20110</v>
      </c>
      <c r="L235" s="22"/>
      <c r="M235" s="22"/>
      <c r="N235" s="25" t="str">
        <f>HYPERLINK("http://slimages.macys.com/is/image/MCY/21551760 ")</f>
        <v xml:space="preserve">http://slimages.macys.com/is/image/MCY/21551760 </v>
      </c>
    </row>
    <row r="236" spans="1:14" ht="24.75" x14ac:dyDescent="0.25">
      <c r="A236" s="21" t="s">
        <v>793</v>
      </c>
      <c r="B236" s="22" t="s">
        <v>794</v>
      </c>
      <c r="C236" s="2">
        <v>1</v>
      </c>
      <c r="D236" s="23">
        <v>15.99</v>
      </c>
      <c r="E236" s="3">
        <v>15.99</v>
      </c>
      <c r="F236" s="2" t="s">
        <v>3465</v>
      </c>
      <c r="G236" s="22" t="s">
        <v>19351</v>
      </c>
      <c r="H236" s="24" t="s">
        <v>19907</v>
      </c>
      <c r="I236" s="22" t="s">
        <v>19309</v>
      </c>
      <c r="J236" s="22" t="s">
        <v>19573</v>
      </c>
      <c r="K236" s="22" t="s">
        <v>19574</v>
      </c>
      <c r="L236" s="22"/>
      <c r="M236" s="22"/>
      <c r="N236" s="25" t="str">
        <f>HYPERLINK("http://slimages.macys.com/is/image/MCY/21361190 ")</f>
        <v xml:space="preserve">http://slimages.macys.com/is/image/MCY/21361190 </v>
      </c>
    </row>
    <row r="237" spans="1:14" x14ac:dyDescent="0.25">
      <c r="A237" s="21" t="s">
        <v>795</v>
      </c>
      <c r="B237" s="22" t="s">
        <v>796</v>
      </c>
      <c r="C237" s="2">
        <v>1</v>
      </c>
      <c r="D237" s="23">
        <v>13.99</v>
      </c>
      <c r="E237" s="3">
        <v>13.99</v>
      </c>
      <c r="F237" s="2" t="s">
        <v>797</v>
      </c>
      <c r="G237" s="22" t="s">
        <v>19307</v>
      </c>
      <c r="H237" s="24" t="s">
        <v>19542</v>
      </c>
      <c r="I237" s="22" t="s">
        <v>19309</v>
      </c>
      <c r="J237" s="22" t="s">
        <v>19310</v>
      </c>
      <c r="K237" s="22" t="s">
        <v>19433</v>
      </c>
      <c r="L237" s="22"/>
      <c r="M237" s="22"/>
      <c r="N237" s="25" t="str">
        <f>HYPERLINK("http://slimages.macys.com/is/image/MCY/22214385 ")</f>
        <v xml:space="preserve">http://slimages.macys.com/is/image/MCY/22214385 </v>
      </c>
    </row>
    <row r="238" spans="1:14" ht="24.75" x14ac:dyDescent="0.25">
      <c r="A238" s="21" t="s">
        <v>798</v>
      </c>
      <c r="B238" s="22" t="s">
        <v>799</v>
      </c>
      <c r="C238" s="2">
        <v>1</v>
      </c>
      <c r="D238" s="23">
        <v>14.99</v>
      </c>
      <c r="E238" s="3">
        <v>14.99</v>
      </c>
      <c r="F238" s="2" t="s">
        <v>800</v>
      </c>
      <c r="G238" s="22" t="s">
        <v>19333</v>
      </c>
      <c r="H238" s="24" t="s">
        <v>19324</v>
      </c>
      <c r="I238" s="22" t="s">
        <v>19309</v>
      </c>
      <c r="J238" s="22" t="s">
        <v>19491</v>
      </c>
      <c r="K238" s="22" t="s">
        <v>18197</v>
      </c>
      <c r="L238" s="22"/>
      <c r="M238" s="22"/>
      <c r="N238" s="25" t="str">
        <f>HYPERLINK("http://slimages.macys.com/is/image/MCY/19731278 ")</f>
        <v xml:space="preserve">http://slimages.macys.com/is/image/MCY/19731278 </v>
      </c>
    </row>
    <row r="239" spans="1:14" ht="24.75" x14ac:dyDescent="0.25">
      <c r="A239" s="21" t="s">
        <v>801</v>
      </c>
      <c r="B239" s="22" t="s">
        <v>802</v>
      </c>
      <c r="C239" s="2">
        <v>1</v>
      </c>
      <c r="D239" s="23">
        <v>38</v>
      </c>
      <c r="E239" s="3">
        <v>38</v>
      </c>
      <c r="F239" s="2">
        <v>329074</v>
      </c>
      <c r="G239" s="22" t="s">
        <v>19315</v>
      </c>
      <c r="H239" s="24" t="s">
        <v>11850</v>
      </c>
      <c r="I239" s="22" t="s">
        <v>19309</v>
      </c>
      <c r="J239" s="22" t="s">
        <v>17328</v>
      </c>
      <c r="K239" s="22" t="s">
        <v>803</v>
      </c>
      <c r="L239" s="22" t="s">
        <v>19319</v>
      </c>
      <c r="M239" s="22" t="s">
        <v>804</v>
      </c>
      <c r="N239" s="25" t="str">
        <f>HYPERLINK("http://slimages.macys.com/is/image/MCY/10276970 ")</f>
        <v xml:space="preserve">http://slimages.macys.com/is/image/MCY/10276970 </v>
      </c>
    </row>
    <row r="240" spans="1:14" ht="24.75" x14ac:dyDescent="0.25">
      <c r="A240" s="21" t="s">
        <v>805</v>
      </c>
      <c r="B240" s="22" t="s">
        <v>806</v>
      </c>
      <c r="C240" s="2">
        <v>1</v>
      </c>
      <c r="D240" s="23">
        <v>14.99</v>
      </c>
      <c r="E240" s="3">
        <v>14.99</v>
      </c>
      <c r="F240" s="2" t="s">
        <v>11727</v>
      </c>
      <c r="G240" s="22" t="s">
        <v>19814</v>
      </c>
      <c r="H240" s="24" t="s">
        <v>20135</v>
      </c>
      <c r="I240" s="22" t="s">
        <v>19309</v>
      </c>
      <c r="J240" s="22" t="s">
        <v>19815</v>
      </c>
      <c r="K240" s="22" t="s">
        <v>19816</v>
      </c>
      <c r="L240" s="22"/>
      <c r="M240" s="22"/>
      <c r="N240" s="25" t="str">
        <f>HYPERLINK("http://slimages.macys.com/is/image/MCY/20454077 ")</f>
        <v xml:space="preserve">http://slimages.macys.com/is/image/MCY/20454077 </v>
      </c>
    </row>
    <row r="241" spans="1:14" x14ac:dyDescent="0.25">
      <c r="A241" s="21" t="s">
        <v>807</v>
      </c>
      <c r="B241" s="22" t="s">
        <v>808</v>
      </c>
      <c r="C241" s="2">
        <v>1</v>
      </c>
      <c r="D241" s="23">
        <v>24.5</v>
      </c>
      <c r="E241" s="3">
        <v>24.5</v>
      </c>
      <c r="F241" s="2" t="s">
        <v>809</v>
      </c>
      <c r="G241" s="22" t="s">
        <v>19351</v>
      </c>
      <c r="H241" s="24" t="s">
        <v>19395</v>
      </c>
      <c r="I241" s="22" t="s">
        <v>19309</v>
      </c>
      <c r="J241" s="22" t="s">
        <v>19688</v>
      </c>
      <c r="K241" s="22" t="s">
        <v>19614</v>
      </c>
      <c r="L241" s="22"/>
      <c r="M241" s="22"/>
      <c r="N241" s="25" t="str">
        <f>HYPERLINK("http://slimages.macys.com/is/image/MCY/21661177 ")</f>
        <v xml:space="preserve">http://slimages.macys.com/is/image/MCY/21661177 </v>
      </c>
    </row>
    <row r="242" spans="1:14" ht="24.75" x14ac:dyDescent="0.25">
      <c r="A242" s="21" t="s">
        <v>810</v>
      </c>
      <c r="B242" s="22" t="s">
        <v>811</v>
      </c>
      <c r="C242" s="2">
        <v>1</v>
      </c>
      <c r="D242" s="23">
        <v>13.99</v>
      </c>
      <c r="E242" s="3">
        <v>13.99</v>
      </c>
      <c r="F242" s="2" t="s">
        <v>18292</v>
      </c>
      <c r="G242" s="22" t="s">
        <v>19585</v>
      </c>
      <c r="H242" s="24" t="s">
        <v>19324</v>
      </c>
      <c r="I242" s="22" t="s">
        <v>19309</v>
      </c>
      <c r="J242" s="22" t="s">
        <v>19573</v>
      </c>
      <c r="K242" s="22" t="s">
        <v>19574</v>
      </c>
      <c r="L242" s="22"/>
      <c r="M242" s="22"/>
      <c r="N242" s="25" t="str">
        <f>HYPERLINK("http://slimages.macys.com/is/image/MCY/20757449 ")</f>
        <v xml:space="preserve">http://slimages.macys.com/is/image/MCY/20757449 </v>
      </c>
    </row>
    <row r="243" spans="1:14" ht="24.75" x14ac:dyDescent="0.25">
      <c r="A243" s="21" t="s">
        <v>18290</v>
      </c>
      <c r="B243" s="22" t="s">
        <v>18291</v>
      </c>
      <c r="C243" s="2">
        <v>2</v>
      </c>
      <c r="D243" s="23">
        <v>13.99</v>
      </c>
      <c r="E243" s="3">
        <v>27.98</v>
      </c>
      <c r="F243" s="2" t="s">
        <v>18292</v>
      </c>
      <c r="G243" s="22" t="s">
        <v>19585</v>
      </c>
      <c r="H243" s="24" t="s">
        <v>19538</v>
      </c>
      <c r="I243" s="22" t="s">
        <v>19309</v>
      </c>
      <c r="J243" s="22" t="s">
        <v>19573</v>
      </c>
      <c r="K243" s="22" t="s">
        <v>19574</v>
      </c>
      <c r="L243" s="22"/>
      <c r="M243" s="22"/>
      <c r="N243" s="25" t="str">
        <f>HYPERLINK("http://slimages.macys.com/is/image/MCY/20757449 ")</f>
        <v xml:space="preserve">http://slimages.macys.com/is/image/MCY/20757449 </v>
      </c>
    </row>
    <row r="244" spans="1:14" ht="24.75" x14ac:dyDescent="0.25">
      <c r="A244" s="21" t="s">
        <v>812</v>
      </c>
      <c r="B244" s="22" t="s">
        <v>813</v>
      </c>
      <c r="C244" s="2">
        <v>1</v>
      </c>
      <c r="D244" s="23">
        <v>15.99</v>
      </c>
      <c r="E244" s="3">
        <v>15.99</v>
      </c>
      <c r="F244" s="2" t="s">
        <v>13784</v>
      </c>
      <c r="G244" s="22" t="s">
        <v>19415</v>
      </c>
      <c r="H244" s="24" t="s">
        <v>20135</v>
      </c>
      <c r="I244" s="22" t="s">
        <v>19309</v>
      </c>
      <c r="J244" s="22" t="s">
        <v>19573</v>
      </c>
      <c r="K244" s="22" t="s">
        <v>19574</v>
      </c>
      <c r="L244" s="22"/>
      <c r="M244" s="22"/>
      <c r="N244" s="25" t="str">
        <f>HYPERLINK("http://slimages.macys.com/is/image/MCY/1554883 ")</f>
        <v xml:space="preserve">http://slimages.macys.com/is/image/MCY/1554883 </v>
      </c>
    </row>
    <row r="245" spans="1:14" x14ac:dyDescent="0.25">
      <c r="A245" s="21" t="s">
        <v>814</v>
      </c>
      <c r="B245" s="22" t="s">
        <v>815</v>
      </c>
      <c r="C245" s="2">
        <v>1</v>
      </c>
      <c r="D245" s="23">
        <v>15.13</v>
      </c>
      <c r="E245" s="3">
        <v>15.13</v>
      </c>
      <c r="F245" s="2" t="s">
        <v>816</v>
      </c>
      <c r="G245" s="22"/>
      <c r="H245" s="24" t="s">
        <v>20159</v>
      </c>
      <c r="I245" s="22" t="s">
        <v>19309</v>
      </c>
      <c r="J245" s="22" t="s">
        <v>19708</v>
      </c>
      <c r="K245" s="22" t="s">
        <v>19709</v>
      </c>
      <c r="L245" s="22"/>
      <c r="M245" s="22"/>
      <c r="N245" s="25" t="str">
        <f>HYPERLINK("http://slimages.macys.com/is/image/MCY/21752166 ")</f>
        <v xml:space="preserve">http://slimages.macys.com/is/image/MCY/21752166 </v>
      </c>
    </row>
    <row r="246" spans="1:14" x14ac:dyDescent="0.25">
      <c r="A246" s="21" t="s">
        <v>5906</v>
      </c>
      <c r="B246" s="22" t="s">
        <v>5907</v>
      </c>
      <c r="C246" s="2">
        <v>1</v>
      </c>
      <c r="D246" s="23">
        <v>15.13</v>
      </c>
      <c r="E246" s="3">
        <v>15.13</v>
      </c>
      <c r="F246" s="2" t="s">
        <v>5905</v>
      </c>
      <c r="G246" s="22" t="s">
        <v>19338</v>
      </c>
      <c r="H246" s="24" t="s">
        <v>19324</v>
      </c>
      <c r="I246" s="22" t="s">
        <v>19309</v>
      </c>
      <c r="J246" s="22" t="s">
        <v>19708</v>
      </c>
      <c r="K246" s="22" t="s">
        <v>19709</v>
      </c>
      <c r="L246" s="22"/>
      <c r="M246" s="22"/>
      <c r="N246" s="25" t="str">
        <f>HYPERLINK("http://slimages.macys.com/is/image/MCY/21414189 ")</f>
        <v xml:space="preserve">http://slimages.macys.com/is/image/MCY/21414189 </v>
      </c>
    </row>
    <row r="247" spans="1:14" x14ac:dyDescent="0.25">
      <c r="A247" s="21" t="s">
        <v>817</v>
      </c>
      <c r="B247" s="22" t="s">
        <v>818</v>
      </c>
      <c r="C247" s="2">
        <v>1</v>
      </c>
      <c r="D247" s="23">
        <v>15.04</v>
      </c>
      <c r="E247" s="3">
        <v>15.04</v>
      </c>
      <c r="F247" s="2" t="s">
        <v>5902</v>
      </c>
      <c r="G247" s="22" t="s">
        <v>19351</v>
      </c>
      <c r="H247" s="24" t="s">
        <v>19330</v>
      </c>
      <c r="I247" s="22" t="s">
        <v>19309</v>
      </c>
      <c r="J247" s="22" t="s">
        <v>19708</v>
      </c>
      <c r="K247" s="22" t="s">
        <v>19709</v>
      </c>
      <c r="L247" s="22"/>
      <c r="M247" s="22"/>
      <c r="N247" s="25" t="str">
        <f>HYPERLINK("http://slimages.macys.com/is/image/MCY/22596353 ")</f>
        <v xml:space="preserve">http://slimages.macys.com/is/image/MCY/22596353 </v>
      </c>
    </row>
    <row r="248" spans="1:14" x14ac:dyDescent="0.25">
      <c r="A248" s="21" t="s">
        <v>819</v>
      </c>
      <c r="B248" s="22" t="s">
        <v>2713</v>
      </c>
      <c r="C248" s="2">
        <v>1</v>
      </c>
      <c r="D248" s="23">
        <v>21.99</v>
      </c>
      <c r="E248" s="3">
        <v>21.99</v>
      </c>
      <c r="F248" s="2" t="s">
        <v>4793</v>
      </c>
      <c r="G248" s="22" t="s">
        <v>19315</v>
      </c>
      <c r="H248" s="24" t="s">
        <v>19352</v>
      </c>
      <c r="I248" s="22" t="s">
        <v>19309</v>
      </c>
      <c r="J248" s="22" t="s">
        <v>19849</v>
      </c>
      <c r="K248" s="22" t="s">
        <v>19850</v>
      </c>
      <c r="L248" s="22"/>
      <c r="M248" s="22"/>
      <c r="N248" s="25" t="str">
        <f>HYPERLINK("http://slimages.macys.com/is/image/MCY/19975551 ")</f>
        <v xml:space="preserve">http://slimages.macys.com/is/image/MCY/19975551 </v>
      </c>
    </row>
    <row r="249" spans="1:14" ht="24.75" x14ac:dyDescent="0.25">
      <c r="A249" s="21" t="s">
        <v>3864</v>
      </c>
      <c r="B249" s="22" t="s">
        <v>3865</v>
      </c>
      <c r="C249" s="2">
        <v>1</v>
      </c>
      <c r="D249" s="23">
        <v>13.22</v>
      </c>
      <c r="E249" s="3">
        <v>13.22</v>
      </c>
      <c r="F249" s="2" t="s">
        <v>10828</v>
      </c>
      <c r="G249" s="22"/>
      <c r="H249" s="24" t="s">
        <v>19345</v>
      </c>
      <c r="I249" s="22" t="s">
        <v>19309</v>
      </c>
      <c r="J249" s="22" t="s">
        <v>19602</v>
      </c>
      <c r="K249" s="22" t="s">
        <v>20041</v>
      </c>
      <c r="L249" s="22"/>
      <c r="M249" s="22"/>
      <c r="N249" s="25" t="str">
        <f>HYPERLINK("http://slimages.macys.com/is/image/MCY/21422104 ")</f>
        <v xml:space="preserve">http://slimages.macys.com/is/image/MCY/21422104 </v>
      </c>
    </row>
    <row r="250" spans="1:14" x14ac:dyDescent="0.25">
      <c r="A250" s="21" t="s">
        <v>11076</v>
      </c>
      <c r="B250" s="22" t="s">
        <v>11077</v>
      </c>
      <c r="C250" s="2">
        <v>1</v>
      </c>
      <c r="D250" s="23">
        <v>30</v>
      </c>
      <c r="E250" s="3">
        <v>30</v>
      </c>
      <c r="F250" s="2" t="s">
        <v>11078</v>
      </c>
      <c r="G250" s="22" t="s">
        <v>19333</v>
      </c>
      <c r="H250" s="24" t="s">
        <v>19968</v>
      </c>
      <c r="I250" s="22" t="s">
        <v>19309</v>
      </c>
      <c r="J250" s="22" t="s">
        <v>19417</v>
      </c>
      <c r="K250" s="22" t="s">
        <v>18317</v>
      </c>
      <c r="L250" s="22"/>
      <c r="M250" s="22"/>
      <c r="N250" s="25" t="str">
        <f>HYPERLINK("http://slimages.macys.com/is/image/MCY/21614931 ")</f>
        <v xml:space="preserve">http://slimages.macys.com/is/image/MCY/21614931 </v>
      </c>
    </row>
    <row r="251" spans="1:14" x14ac:dyDescent="0.25">
      <c r="A251" s="21" t="s">
        <v>820</v>
      </c>
      <c r="B251" s="22" t="s">
        <v>821</v>
      </c>
      <c r="C251" s="2">
        <v>1</v>
      </c>
      <c r="D251" s="23">
        <v>28</v>
      </c>
      <c r="E251" s="3">
        <v>28</v>
      </c>
      <c r="F251" s="2" t="s">
        <v>822</v>
      </c>
      <c r="G251" s="22" t="s">
        <v>19338</v>
      </c>
      <c r="H251" s="24"/>
      <c r="I251" s="22" t="s">
        <v>19309</v>
      </c>
      <c r="J251" s="22" t="s">
        <v>19417</v>
      </c>
      <c r="K251" s="22" t="s">
        <v>18317</v>
      </c>
      <c r="L251" s="22"/>
      <c r="M251" s="22"/>
      <c r="N251" s="25" t="str">
        <f>HYPERLINK("http://slimages.macys.com/is/image/MCY/21614904 ")</f>
        <v xml:space="preserve">http://slimages.macys.com/is/image/MCY/21614904 </v>
      </c>
    </row>
    <row r="252" spans="1:14" x14ac:dyDescent="0.25">
      <c r="A252" s="21" t="s">
        <v>8121</v>
      </c>
      <c r="B252" s="22" t="s">
        <v>8122</v>
      </c>
      <c r="C252" s="2">
        <v>1</v>
      </c>
      <c r="D252" s="23">
        <v>30</v>
      </c>
      <c r="E252" s="3">
        <v>30</v>
      </c>
      <c r="F252" s="2" t="s">
        <v>18316</v>
      </c>
      <c r="G252" s="22" t="s">
        <v>19422</v>
      </c>
      <c r="H252" s="24"/>
      <c r="I252" s="22" t="s">
        <v>19309</v>
      </c>
      <c r="J252" s="22" t="s">
        <v>19417</v>
      </c>
      <c r="K252" s="22" t="s">
        <v>18317</v>
      </c>
      <c r="L252" s="22"/>
      <c r="M252" s="22"/>
      <c r="N252" s="25" t="str">
        <f>HYPERLINK("http://slimages.macys.com/is/image/MCY/21614910 ")</f>
        <v xml:space="preserve">http://slimages.macys.com/is/image/MCY/21614910 </v>
      </c>
    </row>
    <row r="253" spans="1:14" x14ac:dyDescent="0.25">
      <c r="A253" s="21" t="s">
        <v>8904</v>
      </c>
      <c r="B253" s="22" t="s">
        <v>8905</v>
      </c>
      <c r="C253" s="2">
        <v>3</v>
      </c>
      <c r="D253" s="23">
        <v>22</v>
      </c>
      <c r="E253" s="3">
        <v>66</v>
      </c>
      <c r="F253" s="2" t="s">
        <v>16172</v>
      </c>
      <c r="G253" s="22" t="s">
        <v>19404</v>
      </c>
      <c r="H253" s="24" t="s">
        <v>19538</v>
      </c>
      <c r="I253" s="22" t="s">
        <v>19309</v>
      </c>
      <c r="J253" s="22" t="s">
        <v>19417</v>
      </c>
      <c r="K253" s="22" t="s">
        <v>20110</v>
      </c>
      <c r="L253" s="22"/>
      <c r="M253" s="22"/>
      <c r="N253" s="25" t="str">
        <f>HYPERLINK("http://slimages.macys.com/is/image/MCY/21735554 ")</f>
        <v xml:space="preserve">http://slimages.macys.com/is/image/MCY/21735554 </v>
      </c>
    </row>
    <row r="254" spans="1:14" ht="24.75" x14ac:dyDescent="0.25">
      <c r="A254" s="21" t="s">
        <v>13211</v>
      </c>
      <c r="B254" s="22" t="s">
        <v>13212</v>
      </c>
      <c r="C254" s="2">
        <v>1</v>
      </c>
      <c r="D254" s="23">
        <v>16.989999999999998</v>
      </c>
      <c r="E254" s="3">
        <v>16.989999999999998</v>
      </c>
      <c r="F254" s="2" t="s">
        <v>18376</v>
      </c>
      <c r="G254" s="22" t="s">
        <v>19670</v>
      </c>
      <c r="H254" s="24" t="s">
        <v>19416</v>
      </c>
      <c r="I254" s="22" t="s">
        <v>19309</v>
      </c>
      <c r="J254" s="22" t="s">
        <v>19573</v>
      </c>
      <c r="K254" s="22" t="s">
        <v>19574</v>
      </c>
      <c r="L254" s="22"/>
      <c r="M254" s="22"/>
      <c r="N254" s="25" t="str">
        <f>HYPERLINK("http://slimages.macys.com/is/image/MCY/1516070 ")</f>
        <v xml:space="preserve">http://slimages.macys.com/is/image/MCY/1516070 </v>
      </c>
    </row>
    <row r="255" spans="1:14" x14ac:dyDescent="0.25">
      <c r="A255" s="21" t="s">
        <v>823</v>
      </c>
      <c r="B255" s="22" t="s">
        <v>824</v>
      </c>
      <c r="C255" s="2">
        <v>5</v>
      </c>
      <c r="D255" s="23">
        <v>22</v>
      </c>
      <c r="E255" s="3">
        <v>110</v>
      </c>
      <c r="F255" s="2" t="s">
        <v>9569</v>
      </c>
      <c r="G255" s="22" t="s">
        <v>19333</v>
      </c>
      <c r="H255" s="24" t="s">
        <v>12224</v>
      </c>
      <c r="I255" s="22" t="s">
        <v>19309</v>
      </c>
      <c r="J255" s="22" t="s">
        <v>19417</v>
      </c>
      <c r="K255" s="22" t="s">
        <v>20110</v>
      </c>
      <c r="L255" s="22"/>
      <c r="M255" s="22"/>
      <c r="N255" s="25" t="str">
        <f>HYPERLINK("http://slimages.macys.com/is/image/MCY/21551778 ")</f>
        <v xml:space="preserve">http://slimages.macys.com/is/image/MCY/21551778 </v>
      </c>
    </row>
    <row r="256" spans="1:14" ht="24.75" x14ac:dyDescent="0.25">
      <c r="A256" s="21" t="s">
        <v>825</v>
      </c>
      <c r="B256" s="22" t="s">
        <v>826</v>
      </c>
      <c r="C256" s="2">
        <v>1</v>
      </c>
      <c r="D256" s="23">
        <v>14.99</v>
      </c>
      <c r="E256" s="3">
        <v>14.99</v>
      </c>
      <c r="F256" s="2" t="s">
        <v>827</v>
      </c>
      <c r="G256" s="22" t="s">
        <v>19351</v>
      </c>
      <c r="H256" s="24" t="s">
        <v>19364</v>
      </c>
      <c r="I256" s="22" t="s">
        <v>19309</v>
      </c>
      <c r="J256" s="22" t="s">
        <v>19353</v>
      </c>
      <c r="K256" s="22" t="s">
        <v>19354</v>
      </c>
      <c r="L256" s="22"/>
      <c r="M256" s="22"/>
      <c r="N256" s="25" t="str">
        <f>HYPERLINK("http://slimages.macys.com/is/image/MCY/1386963 ")</f>
        <v xml:space="preserve">http://slimages.macys.com/is/image/MCY/1386963 </v>
      </c>
    </row>
    <row r="257" spans="1:14" ht="24.75" x14ac:dyDescent="0.25">
      <c r="A257" s="21" t="s">
        <v>13227</v>
      </c>
      <c r="B257" s="22" t="s">
        <v>13228</v>
      </c>
      <c r="C257" s="2">
        <v>2</v>
      </c>
      <c r="D257" s="23">
        <v>11.99</v>
      </c>
      <c r="E257" s="3">
        <v>23.98</v>
      </c>
      <c r="F257" s="2">
        <v>100007432</v>
      </c>
      <c r="G257" s="22" t="s">
        <v>19338</v>
      </c>
      <c r="H257" s="24" t="s">
        <v>18168</v>
      </c>
      <c r="I257" s="22" t="s">
        <v>19309</v>
      </c>
      <c r="J257" s="22" t="s">
        <v>19573</v>
      </c>
      <c r="K257" s="22" t="s">
        <v>20256</v>
      </c>
      <c r="L257" s="22" t="s">
        <v>19319</v>
      </c>
      <c r="M257" s="22" t="s">
        <v>20257</v>
      </c>
      <c r="N257" s="25" t="str">
        <f>HYPERLINK("http://slimages.macys.com/is/image/MCY/9157890 ")</f>
        <v xml:space="preserve">http://slimages.macys.com/is/image/MCY/9157890 </v>
      </c>
    </row>
    <row r="258" spans="1:14" x14ac:dyDescent="0.25">
      <c r="A258" s="21" t="s">
        <v>8293</v>
      </c>
      <c r="B258" s="22" t="s">
        <v>8294</v>
      </c>
      <c r="C258" s="2">
        <v>4</v>
      </c>
      <c r="D258" s="23">
        <v>22.5</v>
      </c>
      <c r="E258" s="3">
        <v>90</v>
      </c>
      <c r="F258" s="2" t="s">
        <v>9576</v>
      </c>
      <c r="G258" s="22" t="s">
        <v>19415</v>
      </c>
      <c r="H258" s="24" t="s">
        <v>19542</v>
      </c>
      <c r="I258" s="22" t="s">
        <v>19309</v>
      </c>
      <c r="J258" s="22" t="s">
        <v>19688</v>
      </c>
      <c r="K258" s="22" t="s">
        <v>19614</v>
      </c>
      <c r="L258" s="22"/>
      <c r="M258" s="22"/>
      <c r="N258" s="25" t="str">
        <f>HYPERLINK("http://slimages.macys.com/is/image/MCY/21035860 ")</f>
        <v xml:space="preserve">http://slimages.macys.com/is/image/MCY/21035860 </v>
      </c>
    </row>
    <row r="259" spans="1:14" x14ac:dyDescent="0.25">
      <c r="A259" s="21" t="s">
        <v>8913</v>
      </c>
      <c r="B259" s="22" t="s">
        <v>8914</v>
      </c>
      <c r="C259" s="2">
        <v>1</v>
      </c>
      <c r="D259" s="23">
        <v>22.5</v>
      </c>
      <c r="E259" s="3">
        <v>22.5</v>
      </c>
      <c r="F259" s="2" t="s">
        <v>13231</v>
      </c>
      <c r="G259" s="22" t="s">
        <v>19618</v>
      </c>
      <c r="H259" s="24" t="s">
        <v>19395</v>
      </c>
      <c r="I259" s="22" t="s">
        <v>19309</v>
      </c>
      <c r="J259" s="22" t="s">
        <v>19688</v>
      </c>
      <c r="K259" s="22" t="s">
        <v>19614</v>
      </c>
      <c r="L259" s="22"/>
      <c r="M259" s="22"/>
      <c r="N259" s="25" t="str">
        <f>HYPERLINK("http://slimages.macys.com/is/image/MCY/21495260 ")</f>
        <v xml:space="preserve">http://slimages.macys.com/is/image/MCY/21495260 </v>
      </c>
    </row>
    <row r="260" spans="1:14" ht="24.75" x14ac:dyDescent="0.25">
      <c r="A260" s="21" t="s">
        <v>828</v>
      </c>
      <c r="B260" s="22" t="s">
        <v>829</v>
      </c>
      <c r="C260" s="2">
        <v>3</v>
      </c>
      <c r="D260" s="23">
        <v>9.99</v>
      </c>
      <c r="E260" s="3">
        <v>29.97</v>
      </c>
      <c r="F260" s="2" t="s">
        <v>2802</v>
      </c>
      <c r="G260" s="22" t="s">
        <v>19467</v>
      </c>
      <c r="H260" s="24" t="s">
        <v>19364</v>
      </c>
      <c r="I260" s="22" t="s">
        <v>19309</v>
      </c>
      <c r="J260" s="22" t="s">
        <v>19815</v>
      </c>
      <c r="K260" s="22" t="s">
        <v>19816</v>
      </c>
      <c r="L260" s="22"/>
      <c r="M260" s="22"/>
      <c r="N260" s="25" t="str">
        <f>HYPERLINK("http://slimages.macys.com/is/image/MCY/21769897 ")</f>
        <v xml:space="preserve">http://slimages.macys.com/is/image/MCY/21769897 </v>
      </c>
    </row>
    <row r="261" spans="1:14" ht="24.75" x14ac:dyDescent="0.25">
      <c r="A261" s="21" t="s">
        <v>830</v>
      </c>
      <c r="B261" s="22" t="s">
        <v>831</v>
      </c>
      <c r="C261" s="2">
        <v>1</v>
      </c>
      <c r="D261" s="23">
        <v>9.99</v>
      </c>
      <c r="E261" s="3">
        <v>9.99</v>
      </c>
      <c r="F261" s="2" t="s">
        <v>2802</v>
      </c>
      <c r="G261" s="22" t="s">
        <v>19315</v>
      </c>
      <c r="H261" s="24" t="s">
        <v>19364</v>
      </c>
      <c r="I261" s="22" t="s">
        <v>19309</v>
      </c>
      <c r="J261" s="22" t="s">
        <v>19815</v>
      </c>
      <c r="K261" s="22" t="s">
        <v>19816</v>
      </c>
      <c r="L261" s="22"/>
      <c r="M261" s="22"/>
      <c r="N261" s="25" t="str">
        <f>HYPERLINK("http://slimages.macys.com/is/image/MCY/21769897 ")</f>
        <v xml:space="preserve">http://slimages.macys.com/is/image/MCY/21769897 </v>
      </c>
    </row>
    <row r="262" spans="1:14" ht="24.75" x14ac:dyDescent="0.25">
      <c r="A262" s="21" t="s">
        <v>832</v>
      </c>
      <c r="B262" s="22" t="s">
        <v>833</v>
      </c>
      <c r="C262" s="2">
        <v>1</v>
      </c>
      <c r="D262" s="23">
        <v>9.99</v>
      </c>
      <c r="E262" s="3">
        <v>9.99</v>
      </c>
      <c r="F262" s="2" t="s">
        <v>2802</v>
      </c>
      <c r="G262" s="22" t="s">
        <v>19315</v>
      </c>
      <c r="H262" s="24" t="s">
        <v>19339</v>
      </c>
      <c r="I262" s="22" t="s">
        <v>19309</v>
      </c>
      <c r="J262" s="22" t="s">
        <v>19815</v>
      </c>
      <c r="K262" s="22" t="s">
        <v>19816</v>
      </c>
      <c r="L262" s="22"/>
      <c r="M262" s="22"/>
      <c r="N262" s="25" t="str">
        <f>HYPERLINK("http://slimages.macys.com/is/image/MCY/21769897 ")</f>
        <v xml:space="preserve">http://slimages.macys.com/is/image/MCY/21769897 </v>
      </c>
    </row>
    <row r="263" spans="1:14" ht="24.75" x14ac:dyDescent="0.25">
      <c r="A263" s="21" t="s">
        <v>834</v>
      </c>
      <c r="B263" s="22" t="s">
        <v>835</v>
      </c>
      <c r="C263" s="2">
        <v>2</v>
      </c>
      <c r="D263" s="23">
        <v>9.99</v>
      </c>
      <c r="E263" s="3">
        <v>19.98</v>
      </c>
      <c r="F263" s="2" t="s">
        <v>2802</v>
      </c>
      <c r="G263" s="22" t="s">
        <v>19467</v>
      </c>
      <c r="H263" s="24" t="s">
        <v>19352</v>
      </c>
      <c r="I263" s="22" t="s">
        <v>19309</v>
      </c>
      <c r="J263" s="22" t="s">
        <v>19815</v>
      </c>
      <c r="K263" s="22" t="s">
        <v>19816</v>
      </c>
      <c r="L263" s="22"/>
      <c r="M263" s="22"/>
      <c r="N263" s="25" t="str">
        <f>HYPERLINK("http://slimages.macys.com/is/image/MCY/20549979 ")</f>
        <v xml:space="preserve">http://slimages.macys.com/is/image/MCY/20549979 </v>
      </c>
    </row>
    <row r="264" spans="1:14" ht="24.75" x14ac:dyDescent="0.25">
      <c r="A264" s="21" t="s">
        <v>836</v>
      </c>
      <c r="B264" s="22" t="s">
        <v>837</v>
      </c>
      <c r="C264" s="2">
        <v>1</v>
      </c>
      <c r="D264" s="23">
        <v>12.99</v>
      </c>
      <c r="E264" s="3">
        <v>12.99</v>
      </c>
      <c r="F264" s="2" t="s">
        <v>10633</v>
      </c>
      <c r="G264" s="22" t="s">
        <v>19431</v>
      </c>
      <c r="H264" s="24" t="s">
        <v>19361</v>
      </c>
      <c r="I264" s="22" t="s">
        <v>19309</v>
      </c>
      <c r="J264" s="22" t="s">
        <v>19454</v>
      </c>
      <c r="K264" s="22" t="s">
        <v>19524</v>
      </c>
      <c r="L264" s="22"/>
      <c r="M264" s="22"/>
      <c r="N264" s="25" t="str">
        <f>HYPERLINK("http://slimages.macys.com/is/image/MCY/1505336 ")</f>
        <v xml:space="preserve">http://slimages.macys.com/is/image/MCY/1505336 </v>
      </c>
    </row>
    <row r="265" spans="1:14" ht="24.75" x14ac:dyDescent="0.25">
      <c r="A265" s="21" t="s">
        <v>838</v>
      </c>
      <c r="B265" s="22" t="s">
        <v>839</v>
      </c>
      <c r="C265" s="2">
        <v>1</v>
      </c>
      <c r="D265" s="23">
        <v>11.99</v>
      </c>
      <c r="E265" s="3">
        <v>11.99</v>
      </c>
      <c r="F265" s="2" t="s">
        <v>840</v>
      </c>
      <c r="G265" s="22" t="s">
        <v>19351</v>
      </c>
      <c r="H265" s="24" t="s">
        <v>19339</v>
      </c>
      <c r="I265" s="22" t="s">
        <v>19309</v>
      </c>
      <c r="J265" s="22" t="s">
        <v>19454</v>
      </c>
      <c r="K265" s="22" t="s">
        <v>18654</v>
      </c>
      <c r="L265" s="22"/>
      <c r="M265" s="22"/>
      <c r="N265" s="25" t="str">
        <f>HYPERLINK("http://slimages.macys.com/is/image/MCY/19013873 ")</f>
        <v xml:space="preserve">http://slimages.macys.com/is/image/MCY/19013873 </v>
      </c>
    </row>
    <row r="266" spans="1:14" x14ac:dyDescent="0.25">
      <c r="A266" s="21" t="s">
        <v>841</v>
      </c>
      <c r="B266" s="22" t="s">
        <v>842</v>
      </c>
      <c r="C266" s="2">
        <v>1</v>
      </c>
      <c r="D266" s="23">
        <v>8.99</v>
      </c>
      <c r="E266" s="3">
        <v>8.99</v>
      </c>
      <c r="F266" s="2" t="s">
        <v>9844</v>
      </c>
      <c r="G266" s="22" t="s">
        <v>19404</v>
      </c>
      <c r="H266" s="24" t="s">
        <v>19364</v>
      </c>
      <c r="I266" s="22" t="s">
        <v>19309</v>
      </c>
      <c r="J266" s="22" t="s">
        <v>19310</v>
      </c>
      <c r="K266" s="22" t="s">
        <v>19873</v>
      </c>
      <c r="L266" s="22"/>
      <c r="M266" s="22"/>
      <c r="N266" s="25" t="str">
        <f>HYPERLINK("http://slimages.macys.com/is/image/MCY/21176779 ")</f>
        <v xml:space="preserve">http://slimages.macys.com/is/image/MCY/21176779 </v>
      </c>
    </row>
    <row r="267" spans="1:14" x14ac:dyDescent="0.25">
      <c r="A267" s="21" t="s">
        <v>843</v>
      </c>
      <c r="B267" s="22" t="s">
        <v>844</v>
      </c>
      <c r="C267" s="2">
        <v>2</v>
      </c>
      <c r="D267" s="23">
        <v>28</v>
      </c>
      <c r="E267" s="3">
        <v>56</v>
      </c>
      <c r="F267" s="2" t="s">
        <v>8440</v>
      </c>
      <c r="G267" s="22" t="s">
        <v>19879</v>
      </c>
      <c r="H267" s="24"/>
      <c r="I267" s="22" t="s">
        <v>19309</v>
      </c>
      <c r="J267" s="22" t="s">
        <v>19417</v>
      </c>
      <c r="K267" s="22" t="s">
        <v>18387</v>
      </c>
      <c r="L267" s="22"/>
      <c r="M267" s="22"/>
      <c r="N267" s="25" t="str">
        <f>HYPERLINK("http://slimages.macys.com/is/image/MCY/21530081 ")</f>
        <v xml:space="preserve">http://slimages.macys.com/is/image/MCY/21530081 </v>
      </c>
    </row>
    <row r="268" spans="1:14" x14ac:dyDescent="0.25">
      <c r="A268" s="21" t="s">
        <v>4809</v>
      </c>
      <c r="B268" s="22" t="s">
        <v>4810</v>
      </c>
      <c r="C268" s="2">
        <v>1</v>
      </c>
      <c r="D268" s="23">
        <v>26</v>
      </c>
      <c r="E268" s="3">
        <v>26</v>
      </c>
      <c r="F268" s="2" t="s">
        <v>12268</v>
      </c>
      <c r="G268" s="22" t="s">
        <v>19537</v>
      </c>
      <c r="H268" s="24"/>
      <c r="I268" s="22" t="s">
        <v>19309</v>
      </c>
      <c r="J268" s="22" t="s">
        <v>19417</v>
      </c>
      <c r="K268" s="22" t="s">
        <v>18317</v>
      </c>
      <c r="L268" s="22"/>
      <c r="M268" s="22"/>
      <c r="N268" s="25" t="str">
        <f>HYPERLINK("http://slimages.macys.com/is/image/MCY/21614894 ")</f>
        <v xml:space="preserve">http://slimages.macys.com/is/image/MCY/21614894 </v>
      </c>
    </row>
    <row r="269" spans="1:14" x14ac:dyDescent="0.25">
      <c r="A269" s="21" t="s">
        <v>845</v>
      </c>
      <c r="B269" s="22" t="s">
        <v>846</v>
      </c>
      <c r="C269" s="2">
        <v>4</v>
      </c>
      <c r="D269" s="23">
        <v>30</v>
      </c>
      <c r="E269" s="3">
        <v>120</v>
      </c>
      <c r="F269" s="2" t="s">
        <v>1984</v>
      </c>
      <c r="G269" s="22" t="s">
        <v>19357</v>
      </c>
      <c r="H269" s="24"/>
      <c r="I269" s="22" t="s">
        <v>19309</v>
      </c>
      <c r="J269" s="22" t="s">
        <v>19417</v>
      </c>
      <c r="K269" s="22" t="s">
        <v>18317</v>
      </c>
      <c r="L269" s="22"/>
      <c r="M269" s="22"/>
      <c r="N269" s="25" t="str">
        <f>HYPERLINK("http://slimages.macys.com/is/image/MCY/21614851 ")</f>
        <v xml:space="preserve">http://slimages.macys.com/is/image/MCY/21614851 </v>
      </c>
    </row>
    <row r="270" spans="1:14" x14ac:dyDescent="0.25">
      <c r="A270" s="21" t="s">
        <v>847</v>
      </c>
      <c r="B270" s="22" t="s">
        <v>848</v>
      </c>
      <c r="C270" s="2">
        <v>1</v>
      </c>
      <c r="D270" s="23">
        <v>26</v>
      </c>
      <c r="E270" s="3">
        <v>26</v>
      </c>
      <c r="F270" s="2" t="s">
        <v>12268</v>
      </c>
      <c r="G270" s="22" t="s">
        <v>19537</v>
      </c>
      <c r="H270" s="24" t="s">
        <v>19384</v>
      </c>
      <c r="I270" s="22" t="s">
        <v>19309</v>
      </c>
      <c r="J270" s="22" t="s">
        <v>19417</v>
      </c>
      <c r="K270" s="22" t="s">
        <v>18317</v>
      </c>
      <c r="L270" s="22"/>
      <c r="M270" s="22"/>
      <c r="N270" s="25" t="str">
        <f>HYPERLINK("http://slimages.macys.com/is/image/MCY/21614891 ")</f>
        <v xml:space="preserve">http://slimages.macys.com/is/image/MCY/21614891 </v>
      </c>
    </row>
    <row r="271" spans="1:14" ht="24.75" x14ac:dyDescent="0.25">
      <c r="A271" s="21" t="s">
        <v>849</v>
      </c>
      <c r="B271" s="22" t="s">
        <v>850</v>
      </c>
      <c r="C271" s="2">
        <v>2</v>
      </c>
      <c r="D271" s="23">
        <v>11.99</v>
      </c>
      <c r="E271" s="3">
        <v>23.98</v>
      </c>
      <c r="F271" s="2" t="s">
        <v>851</v>
      </c>
      <c r="G271" s="22" t="s">
        <v>19351</v>
      </c>
      <c r="H271" s="24" t="s">
        <v>19352</v>
      </c>
      <c r="I271" s="22" t="s">
        <v>19309</v>
      </c>
      <c r="J271" s="22" t="s">
        <v>19565</v>
      </c>
      <c r="K271" s="22" t="s">
        <v>18548</v>
      </c>
      <c r="L271" s="22"/>
      <c r="M271" s="22"/>
      <c r="N271" s="25" t="str">
        <f>HYPERLINK("http://slimages.macys.com/is/image/MCY/18750004 ")</f>
        <v xml:space="preserve">http://slimages.macys.com/is/image/MCY/18750004 </v>
      </c>
    </row>
    <row r="272" spans="1:14" ht="24.75" x14ac:dyDescent="0.25">
      <c r="A272" s="21" t="s">
        <v>852</v>
      </c>
      <c r="B272" s="22" t="s">
        <v>853</v>
      </c>
      <c r="C272" s="2">
        <v>1</v>
      </c>
      <c r="D272" s="23">
        <v>11.99</v>
      </c>
      <c r="E272" s="3">
        <v>11.99</v>
      </c>
      <c r="F272" s="2" t="s">
        <v>851</v>
      </c>
      <c r="G272" s="22" t="s">
        <v>19351</v>
      </c>
      <c r="H272" s="24" t="s">
        <v>19308</v>
      </c>
      <c r="I272" s="22" t="s">
        <v>19309</v>
      </c>
      <c r="J272" s="22" t="s">
        <v>19565</v>
      </c>
      <c r="K272" s="22" t="s">
        <v>18548</v>
      </c>
      <c r="L272" s="22"/>
      <c r="M272" s="22"/>
      <c r="N272" s="25" t="str">
        <f>HYPERLINK("http://slimages.macys.com/is/image/MCY/18750004 ")</f>
        <v xml:space="preserve">http://slimages.macys.com/is/image/MCY/18750004 </v>
      </c>
    </row>
    <row r="273" spans="1:14" ht="24.75" x14ac:dyDescent="0.25">
      <c r="A273" s="21" t="s">
        <v>854</v>
      </c>
      <c r="B273" s="22" t="s">
        <v>855</v>
      </c>
      <c r="C273" s="2">
        <v>2</v>
      </c>
      <c r="D273" s="23">
        <v>11.99</v>
      </c>
      <c r="E273" s="3">
        <v>23.98</v>
      </c>
      <c r="F273" s="2" t="s">
        <v>851</v>
      </c>
      <c r="G273" s="22" t="s">
        <v>19351</v>
      </c>
      <c r="H273" s="24" t="s">
        <v>19364</v>
      </c>
      <c r="I273" s="22" t="s">
        <v>19309</v>
      </c>
      <c r="J273" s="22" t="s">
        <v>19565</v>
      </c>
      <c r="K273" s="22" t="s">
        <v>18548</v>
      </c>
      <c r="L273" s="22"/>
      <c r="M273" s="22"/>
      <c r="N273" s="25" t="str">
        <f>HYPERLINK("http://slimages.macys.com/is/image/MCY/18750004 ")</f>
        <v xml:space="preserve">http://slimages.macys.com/is/image/MCY/18750004 </v>
      </c>
    </row>
    <row r="274" spans="1:14" ht="24.75" x14ac:dyDescent="0.25">
      <c r="A274" s="21" t="s">
        <v>856</v>
      </c>
      <c r="B274" s="22" t="s">
        <v>857</v>
      </c>
      <c r="C274" s="2">
        <v>1</v>
      </c>
      <c r="D274" s="23">
        <v>11.99</v>
      </c>
      <c r="E274" s="3">
        <v>11.99</v>
      </c>
      <c r="F274" s="2" t="s">
        <v>851</v>
      </c>
      <c r="G274" s="22" t="s">
        <v>19351</v>
      </c>
      <c r="H274" s="24" t="s">
        <v>19339</v>
      </c>
      <c r="I274" s="22" t="s">
        <v>19309</v>
      </c>
      <c r="J274" s="22" t="s">
        <v>19565</v>
      </c>
      <c r="K274" s="22" t="s">
        <v>18548</v>
      </c>
      <c r="L274" s="22"/>
      <c r="M274" s="22"/>
      <c r="N274" s="25" t="str">
        <f>HYPERLINK("http://slimages.macys.com/is/image/MCY/18750004 ")</f>
        <v xml:space="preserve">http://slimages.macys.com/is/image/MCY/18750004 </v>
      </c>
    </row>
    <row r="275" spans="1:14" x14ac:dyDescent="0.25">
      <c r="A275" s="21" t="s">
        <v>858</v>
      </c>
      <c r="B275" s="22" t="s">
        <v>859</v>
      </c>
      <c r="C275" s="2">
        <v>1</v>
      </c>
      <c r="D275" s="23">
        <v>13.99</v>
      </c>
      <c r="E275" s="3">
        <v>13.99</v>
      </c>
      <c r="F275" s="2" t="s">
        <v>18457</v>
      </c>
      <c r="G275" s="22" t="s">
        <v>19670</v>
      </c>
      <c r="H275" s="24" t="s">
        <v>19377</v>
      </c>
      <c r="I275" s="22" t="s">
        <v>19309</v>
      </c>
      <c r="J275" s="22" t="s">
        <v>19849</v>
      </c>
      <c r="K275" s="22" t="s">
        <v>19850</v>
      </c>
      <c r="L275" s="22"/>
      <c r="M275" s="22"/>
      <c r="N275" s="25" t="str">
        <f>HYPERLINK("http://slimages.macys.com/is/image/MCY/21270275 ")</f>
        <v xml:space="preserve">http://slimages.macys.com/is/image/MCY/21270275 </v>
      </c>
    </row>
    <row r="276" spans="1:14" x14ac:dyDescent="0.25">
      <c r="A276" s="21" t="s">
        <v>16209</v>
      </c>
      <c r="B276" s="22" t="s">
        <v>16210</v>
      </c>
      <c r="C276" s="2">
        <v>2</v>
      </c>
      <c r="D276" s="23">
        <v>15.99</v>
      </c>
      <c r="E276" s="3">
        <v>31.98</v>
      </c>
      <c r="F276" s="2" t="s">
        <v>18462</v>
      </c>
      <c r="G276" s="22" t="s">
        <v>19477</v>
      </c>
      <c r="H276" s="24" t="s">
        <v>20089</v>
      </c>
      <c r="I276" s="22" t="s">
        <v>19309</v>
      </c>
      <c r="J276" s="22" t="s">
        <v>19849</v>
      </c>
      <c r="K276" s="22" t="s">
        <v>19850</v>
      </c>
      <c r="L276" s="22"/>
      <c r="M276" s="22"/>
      <c r="N276" s="25" t="str">
        <f>HYPERLINK("http://slimages.macys.com/is/image/MCY/20549437 ")</f>
        <v xml:space="preserve">http://slimages.macys.com/is/image/MCY/20549437 </v>
      </c>
    </row>
    <row r="277" spans="1:14" x14ac:dyDescent="0.25">
      <c r="A277" s="21" t="s">
        <v>860</v>
      </c>
      <c r="B277" s="22" t="s">
        <v>861</v>
      </c>
      <c r="C277" s="2">
        <v>1</v>
      </c>
      <c r="D277" s="23">
        <v>22</v>
      </c>
      <c r="E277" s="3">
        <v>22</v>
      </c>
      <c r="F277" s="2" t="s">
        <v>9594</v>
      </c>
      <c r="G277" s="22" t="s">
        <v>17567</v>
      </c>
      <c r="H277" s="24" t="s">
        <v>20159</v>
      </c>
      <c r="I277" s="22" t="s">
        <v>19309</v>
      </c>
      <c r="J277" s="22" t="s">
        <v>19708</v>
      </c>
      <c r="K277" s="22" t="s">
        <v>19709</v>
      </c>
      <c r="L277" s="22"/>
      <c r="M277" s="22"/>
      <c r="N277" s="25" t="str">
        <f>HYPERLINK("http://slimages.macys.com/is/image/MCY/21836563 ")</f>
        <v xml:space="preserve">http://slimages.macys.com/is/image/MCY/21836563 </v>
      </c>
    </row>
    <row r="278" spans="1:14" x14ac:dyDescent="0.25">
      <c r="A278" s="21" t="s">
        <v>9856</v>
      </c>
      <c r="B278" s="22" t="s">
        <v>9857</v>
      </c>
      <c r="C278" s="2">
        <v>1</v>
      </c>
      <c r="D278" s="23">
        <v>13.99</v>
      </c>
      <c r="E278" s="3">
        <v>13.99</v>
      </c>
      <c r="F278" s="2" t="s">
        <v>12287</v>
      </c>
      <c r="G278" s="22" t="s">
        <v>19670</v>
      </c>
      <c r="H278" s="24" t="s">
        <v>19352</v>
      </c>
      <c r="I278" s="22" t="s">
        <v>19309</v>
      </c>
      <c r="J278" s="22" t="s">
        <v>19849</v>
      </c>
      <c r="K278" s="22" t="s">
        <v>19850</v>
      </c>
      <c r="L278" s="22"/>
      <c r="M278" s="22"/>
      <c r="N278" s="25" t="str">
        <f>HYPERLINK("http://slimages.macys.com/is/image/MCY/20752050 ")</f>
        <v xml:space="preserve">http://slimages.macys.com/is/image/MCY/20752050 </v>
      </c>
    </row>
    <row r="279" spans="1:14" x14ac:dyDescent="0.25">
      <c r="A279" s="21" t="s">
        <v>9854</v>
      </c>
      <c r="B279" s="22" t="s">
        <v>9855</v>
      </c>
      <c r="C279" s="2">
        <v>1</v>
      </c>
      <c r="D279" s="23">
        <v>13.99</v>
      </c>
      <c r="E279" s="3">
        <v>13.99</v>
      </c>
      <c r="F279" s="2" t="s">
        <v>12287</v>
      </c>
      <c r="G279" s="22" t="s">
        <v>19670</v>
      </c>
      <c r="H279" s="24" t="s">
        <v>19364</v>
      </c>
      <c r="I279" s="22" t="s">
        <v>19309</v>
      </c>
      <c r="J279" s="22" t="s">
        <v>19849</v>
      </c>
      <c r="K279" s="22" t="s">
        <v>19850</v>
      </c>
      <c r="L279" s="22"/>
      <c r="M279" s="22"/>
      <c r="N279" s="25" t="str">
        <f>HYPERLINK("http://slimages.macys.com/is/image/MCY/20752050 ")</f>
        <v xml:space="preserve">http://slimages.macys.com/is/image/MCY/20752050 </v>
      </c>
    </row>
    <row r="280" spans="1:14" x14ac:dyDescent="0.25">
      <c r="A280" s="21" t="s">
        <v>5961</v>
      </c>
      <c r="B280" s="22" t="s">
        <v>5962</v>
      </c>
      <c r="C280" s="2">
        <v>1</v>
      </c>
      <c r="D280" s="23">
        <v>13.77</v>
      </c>
      <c r="E280" s="3">
        <v>13.77</v>
      </c>
      <c r="F280" s="2" t="s">
        <v>16513</v>
      </c>
      <c r="G280" s="22" t="s">
        <v>19670</v>
      </c>
      <c r="H280" s="24" t="s">
        <v>19770</v>
      </c>
      <c r="I280" s="22" t="s">
        <v>19309</v>
      </c>
      <c r="J280" s="22" t="s">
        <v>19708</v>
      </c>
      <c r="K280" s="22" t="s">
        <v>19709</v>
      </c>
      <c r="L280" s="22"/>
      <c r="M280" s="22"/>
      <c r="N280" s="25" t="str">
        <f>HYPERLINK("http://slimages.macys.com/is/image/MCY/21414216 ")</f>
        <v xml:space="preserve">http://slimages.macys.com/is/image/MCY/21414216 </v>
      </c>
    </row>
    <row r="281" spans="1:14" x14ac:dyDescent="0.25">
      <c r="A281" s="21" t="s">
        <v>10699</v>
      </c>
      <c r="B281" s="22" t="s">
        <v>10700</v>
      </c>
      <c r="C281" s="2">
        <v>1</v>
      </c>
      <c r="D281" s="23">
        <v>13.68</v>
      </c>
      <c r="E281" s="3">
        <v>13.68</v>
      </c>
      <c r="F281" s="2" t="s">
        <v>10238</v>
      </c>
      <c r="G281" s="22" t="s">
        <v>19594</v>
      </c>
      <c r="H281" s="24" t="s">
        <v>19330</v>
      </c>
      <c r="I281" s="22" t="s">
        <v>19309</v>
      </c>
      <c r="J281" s="22" t="s">
        <v>19708</v>
      </c>
      <c r="K281" s="22" t="s">
        <v>19709</v>
      </c>
      <c r="L281" s="22"/>
      <c r="M281" s="22"/>
      <c r="N281" s="25" t="str">
        <f>HYPERLINK("http://slimages.macys.com/is/image/MCY/22405516 ")</f>
        <v xml:space="preserve">http://slimages.macys.com/is/image/MCY/22405516 </v>
      </c>
    </row>
    <row r="282" spans="1:14" x14ac:dyDescent="0.25">
      <c r="A282" s="21" t="s">
        <v>10697</v>
      </c>
      <c r="B282" s="22" t="s">
        <v>10698</v>
      </c>
      <c r="C282" s="2">
        <v>1</v>
      </c>
      <c r="D282" s="23">
        <v>13.77</v>
      </c>
      <c r="E282" s="3">
        <v>13.77</v>
      </c>
      <c r="F282" s="2" t="s">
        <v>16513</v>
      </c>
      <c r="G282" s="22" t="s">
        <v>19670</v>
      </c>
      <c r="H282" s="24" t="s">
        <v>20152</v>
      </c>
      <c r="I282" s="22" t="s">
        <v>19309</v>
      </c>
      <c r="J282" s="22" t="s">
        <v>19708</v>
      </c>
      <c r="K282" s="22" t="s">
        <v>19709</v>
      </c>
      <c r="L282" s="22"/>
      <c r="M282" s="22"/>
      <c r="N282" s="25" t="str">
        <f>HYPERLINK("http://slimages.macys.com/is/image/MCY/21414216 ")</f>
        <v xml:space="preserve">http://slimages.macys.com/is/image/MCY/21414216 </v>
      </c>
    </row>
    <row r="283" spans="1:14" ht="24.75" x14ac:dyDescent="0.25">
      <c r="A283" s="21" t="s">
        <v>862</v>
      </c>
      <c r="B283" s="22" t="s">
        <v>863</v>
      </c>
      <c r="C283" s="2">
        <v>1</v>
      </c>
      <c r="D283" s="23">
        <v>8.99</v>
      </c>
      <c r="E283" s="3">
        <v>8.99</v>
      </c>
      <c r="F283" s="2" t="s">
        <v>864</v>
      </c>
      <c r="G283" s="22" t="s">
        <v>19323</v>
      </c>
      <c r="H283" s="24" t="s">
        <v>19797</v>
      </c>
      <c r="I283" s="22" t="s">
        <v>19309</v>
      </c>
      <c r="J283" s="22" t="s">
        <v>19447</v>
      </c>
      <c r="K283" s="22" t="s">
        <v>19873</v>
      </c>
      <c r="L283" s="22"/>
      <c r="M283" s="22"/>
      <c r="N283" s="25" t="str">
        <f>HYPERLINK("http://slimages.macys.com/is/image/MCY/19835107 ")</f>
        <v xml:space="preserve">http://slimages.macys.com/is/image/MCY/19835107 </v>
      </c>
    </row>
    <row r="284" spans="1:14" x14ac:dyDescent="0.25">
      <c r="A284" s="21" t="s">
        <v>2846</v>
      </c>
      <c r="B284" s="22" t="s">
        <v>2847</v>
      </c>
      <c r="C284" s="2">
        <v>1</v>
      </c>
      <c r="D284" s="23">
        <v>13.77</v>
      </c>
      <c r="E284" s="3">
        <v>13.77</v>
      </c>
      <c r="F284" s="2" t="s">
        <v>16513</v>
      </c>
      <c r="G284" s="22" t="s">
        <v>19670</v>
      </c>
      <c r="H284" s="24" t="s">
        <v>20159</v>
      </c>
      <c r="I284" s="22" t="s">
        <v>19309</v>
      </c>
      <c r="J284" s="22" t="s">
        <v>19708</v>
      </c>
      <c r="K284" s="22" t="s">
        <v>19709</v>
      </c>
      <c r="L284" s="22"/>
      <c r="M284" s="22"/>
      <c r="N284" s="25" t="str">
        <f>HYPERLINK("http://slimages.macys.com/is/image/MCY/21414216 ")</f>
        <v xml:space="preserve">http://slimages.macys.com/is/image/MCY/21414216 </v>
      </c>
    </row>
    <row r="285" spans="1:14" x14ac:dyDescent="0.25">
      <c r="A285" s="21" t="s">
        <v>865</v>
      </c>
      <c r="B285" s="22" t="s">
        <v>866</v>
      </c>
      <c r="C285" s="2">
        <v>1</v>
      </c>
      <c r="D285" s="23">
        <v>13.99</v>
      </c>
      <c r="E285" s="3">
        <v>13.99</v>
      </c>
      <c r="F285" s="2" t="s">
        <v>10683</v>
      </c>
      <c r="G285" s="22" t="s">
        <v>19431</v>
      </c>
      <c r="H285" s="24" t="s">
        <v>19352</v>
      </c>
      <c r="I285" s="22" t="s">
        <v>19309</v>
      </c>
      <c r="J285" s="22" t="s">
        <v>19849</v>
      </c>
      <c r="K285" s="22" t="s">
        <v>19850</v>
      </c>
      <c r="L285" s="22"/>
      <c r="M285" s="22"/>
      <c r="N285" s="25" t="str">
        <f>HYPERLINK("http://slimages.macys.com/is/image/MCY/1249963 ")</f>
        <v xml:space="preserve">http://slimages.macys.com/is/image/MCY/1249963 </v>
      </c>
    </row>
    <row r="286" spans="1:14" x14ac:dyDescent="0.25">
      <c r="A286" s="21" t="s">
        <v>7698</v>
      </c>
      <c r="B286" s="22" t="s">
        <v>7699</v>
      </c>
      <c r="C286" s="2">
        <v>1</v>
      </c>
      <c r="D286" s="23">
        <v>10.99</v>
      </c>
      <c r="E286" s="3">
        <v>10.99</v>
      </c>
      <c r="F286" s="2" t="s">
        <v>16624</v>
      </c>
      <c r="G286" s="22" t="s">
        <v>19674</v>
      </c>
      <c r="H286" s="24" t="s">
        <v>19339</v>
      </c>
      <c r="I286" s="22" t="s">
        <v>19309</v>
      </c>
      <c r="J286" s="22" t="s">
        <v>19849</v>
      </c>
      <c r="K286" s="22" t="s">
        <v>19850</v>
      </c>
      <c r="L286" s="22"/>
      <c r="M286" s="22"/>
      <c r="N286" s="25" t="str">
        <f>HYPERLINK("http://slimages.macys.com/is/image/MCY/1650136 ")</f>
        <v xml:space="preserve">http://slimages.macys.com/is/image/MCY/1650136 </v>
      </c>
    </row>
    <row r="287" spans="1:14" x14ac:dyDescent="0.25">
      <c r="A287" s="21" t="s">
        <v>11108</v>
      </c>
      <c r="B287" s="22" t="s">
        <v>11109</v>
      </c>
      <c r="C287" s="2">
        <v>1</v>
      </c>
      <c r="D287" s="23">
        <v>10.99</v>
      </c>
      <c r="E287" s="3">
        <v>10.99</v>
      </c>
      <c r="F287" s="2" t="s">
        <v>16624</v>
      </c>
      <c r="G287" s="22" t="s">
        <v>19674</v>
      </c>
      <c r="H287" s="24" t="s">
        <v>19797</v>
      </c>
      <c r="I287" s="22" t="s">
        <v>19309</v>
      </c>
      <c r="J287" s="22" t="s">
        <v>19849</v>
      </c>
      <c r="K287" s="22" t="s">
        <v>19850</v>
      </c>
      <c r="L287" s="22"/>
      <c r="M287" s="22"/>
      <c r="N287" s="25" t="str">
        <f>HYPERLINK("http://slimages.macys.com/is/image/MCY/1650136 ")</f>
        <v xml:space="preserve">http://slimages.macys.com/is/image/MCY/1650136 </v>
      </c>
    </row>
    <row r="288" spans="1:14" x14ac:dyDescent="0.25">
      <c r="A288" s="21" t="s">
        <v>16629</v>
      </c>
      <c r="B288" s="22" t="s">
        <v>16630</v>
      </c>
      <c r="C288" s="2">
        <v>1</v>
      </c>
      <c r="D288" s="23">
        <v>10.99</v>
      </c>
      <c r="E288" s="3">
        <v>10.99</v>
      </c>
      <c r="F288" s="2" t="s">
        <v>16624</v>
      </c>
      <c r="G288" s="22" t="s">
        <v>19674</v>
      </c>
      <c r="H288" s="24" t="s">
        <v>19352</v>
      </c>
      <c r="I288" s="22" t="s">
        <v>19309</v>
      </c>
      <c r="J288" s="22" t="s">
        <v>19849</v>
      </c>
      <c r="K288" s="22" t="s">
        <v>19850</v>
      </c>
      <c r="L288" s="22"/>
      <c r="M288" s="22"/>
      <c r="N288" s="25" t="str">
        <f>HYPERLINK("http://slimages.macys.com/is/image/MCY/1650136 ")</f>
        <v xml:space="preserve">http://slimages.macys.com/is/image/MCY/1650136 </v>
      </c>
    </row>
    <row r="289" spans="1:14" ht="24.75" x14ac:dyDescent="0.25">
      <c r="A289" s="21" t="s">
        <v>18503</v>
      </c>
      <c r="B289" s="22" t="s">
        <v>18504</v>
      </c>
      <c r="C289" s="2">
        <v>1</v>
      </c>
      <c r="D289" s="23">
        <v>14.99</v>
      </c>
      <c r="E289" s="3">
        <v>14.99</v>
      </c>
      <c r="F289" s="2" t="s">
        <v>18501</v>
      </c>
      <c r="G289" s="22" t="s">
        <v>19323</v>
      </c>
      <c r="H289" s="24" t="s">
        <v>18502</v>
      </c>
      <c r="I289" s="22" t="s">
        <v>19309</v>
      </c>
      <c r="J289" s="22" t="s">
        <v>19595</v>
      </c>
      <c r="K289" s="22" t="s">
        <v>18498</v>
      </c>
      <c r="L289" s="22"/>
      <c r="M289" s="22"/>
      <c r="N289" s="25" t="str">
        <f>HYPERLINK("http://slimages.macys.com/is/image/MCY/21365889 ")</f>
        <v xml:space="preserve">http://slimages.macys.com/is/image/MCY/21365889 </v>
      </c>
    </row>
    <row r="290" spans="1:14" ht="24.75" x14ac:dyDescent="0.25">
      <c r="A290" s="21" t="s">
        <v>18528</v>
      </c>
      <c r="B290" s="22" t="s">
        <v>18529</v>
      </c>
      <c r="C290" s="2">
        <v>1</v>
      </c>
      <c r="D290" s="23">
        <v>14.99</v>
      </c>
      <c r="E290" s="3">
        <v>14.99</v>
      </c>
      <c r="F290" s="2" t="s">
        <v>18527</v>
      </c>
      <c r="G290" s="22" t="s">
        <v>19415</v>
      </c>
      <c r="H290" s="24" t="s">
        <v>18530</v>
      </c>
      <c r="I290" s="22" t="s">
        <v>19309</v>
      </c>
      <c r="J290" s="22" t="s">
        <v>19573</v>
      </c>
      <c r="K290" s="22" t="s">
        <v>20228</v>
      </c>
      <c r="L290" s="22"/>
      <c r="M290" s="22"/>
      <c r="N290" s="25" t="str">
        <f>HYPERLINK("http://slimages.macys.com/is/image/MCY/1079446 ")</f>
        <v xml:space="preserve">http://slimages.macys.com/is/image/MCY/1079446 </v>
      </c>
    </row>
    <row r="291" spans="1:14" ht="24.75" x14ac:dyDescent="0.25">
      <c r="A291" s="21" t="s">
        <v>867</v>
      </c>
      <c r="B291" s="22" t="s">
        <v>868</v>
      </c>
      <c r="C291" s="2">
        <v>1</v>
      </c>
      <c r="D291" s="23">
        <v>13.99</v>
      </c>
      <c r="E291" s="3">
        <v>13.99</v>
      </c>
      <c r="F291" s="2" t="s">
        <v>10719</v>
      </c>
      <c r="G291" s="22" t="s">
        <v>19814</v>
      </c>
      <c r="H291" s="24" t="s">
        <v>19352</v>
      </c>
      <c r="I291" s="22" t="s">
        <v>19309</v>
      </c>
      <c r="J291" s="22" t="s">
        <v>19353</v>
      </c>
      <c r="K291" s="22" t="s">
        <v>19524</v>
      </c>
      <c r="L291" s="22"/>
      <c r="M291" s="22"/>
      <c r="N291" s="25" t="str">
        <f>HYPERLINK("http://slimages.macys.com/is/image/MCY/20664996 ")</f>
        <v xml:space="preserve">http://slimages.macys.com/is/image/MCY/20664996 </v>
      </c>
    </row>
    <row r="292" spans="1:14" ht="24.75" x14ac:dyDescent="0.25">
      <c r="A292" s="21" t="s">
        <v>18537</v>
      </c>
      <c r="B292" s="22" t="s">
        <v>18538</v>
      </c>
      <c r="C292" s="2">
        <v>1</v>
      </c>
      <c r="D292" s="23">
        <v>13.99</v>
      </c>
      <c r="E292" s="3">
        <v>13.99</v>
      </c>
      <c r="F292" s="2" t="s">
        <v>18536</v>
      </c>
      <c r="G292" s="22" t="s">
        <v>19674</v>
      </c>
      <c r="H292" s="24" t="s">
        <v>19330</v>
      </c>
      <c r="I292" s="22" t="s">
        <v>19309</v>
      </c>
      <c r="J292" s="22" t="s">
        <v>19573</v>
      </c>
      <c r="K292" s="22" t="s">
        <v>19574</v>
      </c>
      <c r="L292" s="22"/>
      <c r="M292" s="22"/>
      <c r="N292" s="25" t="str">
        <f>HYPERLINK("http://slimages.macys.com/is/image/MCY/22037419 ")</f>
        <v xml:space="preserve">http://slimages.macys.com/is/image/MCY/22037419 </v>
      </c>
    </row>
    <row r="293" spans="1:14" ht="24.75" x14ac:dyDescent="0.25">
      <c r="A293" s="21" t="s">
        <v>16241</v>
      </c>
      <c r="B293" s="22" t="s">
        <v>16242</v>
      </c>
      <c r="C293" s="2">
        <v>1</v>
      </c>
      <c r="D293" s="23">
        <v>13.99</v>
      </c>
      <c r="E293" s="3">
        <v>13.99</v>
      </c>
      <c r="F293" s="2" t="s">
        <v>18536</v>
      </c>
      <c r="G293" s="22" t="s">
        <v>19674</v>
      </c>
      <c r="H293" s="24" t="s">
        <v>19416</v>
      </c>
      <c r="I293" s="22" t="s">
        <v>19309</v>
      </c>
      <c r="J293" s="22" t="s">
        <v>19573</v>
      </c>
      <c r="K293" s="22" t="s">
        <v>19574</v>
      </c>
      <c r="L293" s="22"/>
      <c r="M293" s="22"/>
      <c r="N293" s="25" t="str">
        <f>HYPERLINK("http://slimages.macys.com/is/image/MCY/22037419 ")</f>
        <v xml:space="preserve">http://slimages.macys.com/is/image/MCY/22037419 </v>
      </c>
    </row>
    <row r="294" spans="1:14" ht="24.75" x14ac:dyDescent="0.25">
      <c r="A294" s="21" t="s">
        <v>7706</v>
      </c>
      <c r="B294" s="22" t="s">
        <v>7707</v>
      </c>
      <c r="C294" s="2">
        <v>1</v>
      </c>
      <c r="D294" s="23">
        <v>13.99</v>
      </c>
      <c r="E294" s="3">
        <v>13.99</v>
      </c>
      <c r="F294" s="2" t="s">
        <v>16245</v>
      </c>
      <c r="G294" s="22" t="s">
        <v>19351</v>
      </c>
      <c r="H294" s="24" t="s">
        <v>19384</v>
      </c>
      <c r="I294" s="22" t="s">
        <v>19309</v>
      </c>
      <c r="J294" s="22" t="s">
        <v>19573</v>
      </c>
      <c r="K294" s="22" t="s">
        <v>19574</v>
      </c>
      <c r="L294" s="22"/>
      <c r="M294" s="22"/>
      <c r="N294" s="25" t="str">
        <f>HYPERLINK("http://slimages.macys.com/is/image/MCY/1554881 ")</f>
        <v xml:space="preserve">http://slimages.macys.com/is/image/MCY/1554881 </v>
      </c>
    </row>
    <row r="295" spans="1:14" ht="24.75" x14ac:dyDescent="0.25">
      <c r="A295" s="21" t="s">
        <v>869</v>
      </c>
      <c r="B295" s="22" t="s">
        <v>870</v>
      </c>
      <c r="C295" s="2">
        <v>1</v>
      </c>
      <c r="D295" s="23">
        <v>13.99</v>
      </c>
      <c r="E295" s="3">
        <v>13.99</v>
      </c>
      <c r="F295" s="2" t="s">
        <v>16245</v>
      </c>
      <c r="G295" s="22" t="s">
        <v>19351</v>
      </c>
      <c r="H295" s="24" t="s">
        <v>19416</v>
      </c>
      <c r="I295" s="22" t="s">
        <v>19309</v>
      </c>
      <c r="J295" s="22" t="s">
        <v>19573</v>
      </c>
      <c r="K295" s="22" t="s">
        <v>19574</v>
      </c>
      <c r="L295" s="22"/>
      <c r="M295" s="22"/>
      <c r="N295" s="25" t="str">
        <f>HYPERLINK("http://slimages.macys.com/is/image/MCY/1554881 ")</f>
        <v xml:space="preserve">http://slimages.macys.com/is/image/MCY/1554881 </v>
      </c>
    </row>
    <row r="296" spans="1:14" ht="24.75" x14ac:dyDescent="0.25">
      <c r="A296" s="21" t="s">
        <v>18534</v>
      </c>
      <c r="B296" s="22" t="s">
        <v>18535</v>
      </c>
      <c r="C296" s="2">
        <v>1</v>
      </c>
      <c r="D296" s="23">
        <v>13.99</v>
      </c>
      <c r="E296" s="3">
        <v>13.99</v>
      </c>
      <c r="F296" s="2" t="s">
        <v>18536</v>
      </c>
      <c r="G296" s="22" t="s">
        <v>19674</v>
      </c>
      <c r="H296" s="24" t="s">
        <v>19384</v>
      </c>
      <c r="I296" s="22" t="s">
        <v>19309</v>
      </c>
      <c r="J296" s="22" t="s">
        <v>19573</v>
      </c>
      <c r="K296" s="22" t="s">
        <v>19574</v>
      </c>
      <c r="L296" s="22"/>
      <c r="M296" s="22"/>
      <c r="N296" s="25" t="str">
        <f>HYPERLINK("http://slimages.macys.com/is/image/MCY/22037419 ")</f>
        <v xml:space="preserve">http://slimages.macys.com/is/image/MCY/22037419 </v>
      </c>
    </row>
    <row r="297" spans="1:14" x14ac:dyDescent="0.25">
      <c r="A297" s="21" t="s">
        <v>9898</v>
      </c>
      <c r="B297" s="22" t="s">
        <v>9899</v>
      </c>
      <c r="C297" s="2">
        <v>1</v>
      </c>
      <c r="D297" s="23">
        <v>19.989999999999998</v>
      </c>
      <c r="E297" s="3">
        <v>19.989999999999998</v>
      </c>
      <c r="F297" s="2" t="s">
        <v>18541</v>
      </c>
      <c r="G297" s="22" t="s">
        <v>19674</v>
      </c>
      <c r="H297" s="24" t="s">
        <v>19377</v>
      </c>
      <c r="I297" s="22" t="s">
        <v>19309</v>
      </c>
      <c r="J297" s="22" t="s">
        <v>19849</v>
      </c>
      <c r="K297" s="22" t="s">
        <v>19850</v>
      </c>
      <c r="L297" s="22"/>
      <c r="M297" s="22"/>
      <c r="N297" s="25" t="str">
        <f>HYPERLINK("http://slimages.macys.com/is/image/MCY/21349887 ")</f>
        <v xml:space="preserve">http://slimages.macys.com/is/image/MCY/21349887 </v>
      </c>
    </row>
    <row r="298" spans="1:14" x14ac:dyDescent="0.25">
      <c r="A298" s="21" t="s">
        <v>18539</v>
      </c>
      <c r="B298" s="22" t="s">
        <v>18540</v>
      </c>
      <c r="C298" s="2">
        <v>1</v>
      </c>
      <c r="D298" s="23">
        <v>19.989999999999998</v>
      </c>
      <c r="E298" s="3">
        <v>19.989999999999998</v>
      </c>
      <c r="F298" s="2" t="s">
        <v>18541</v>
      </c>
      <c r="G298" s="22" t="s">
        <v>19674</v>
      </c>
      <c r="H298" s="24" t="s">
        <v>19542</v>
      </c>
      <c r="I298" s="22" t="s">
        <v>19309</v>
      </c>
      <c r="J298" s="22" t="s">
        <v>19849</v>
      </c>
      <c r="K298" s="22" t="s">
        <v>19850</v>
      </c>
      <c r="L298" s="22"/>
      <c r="M298" s="22"/>
      <c r="N298" s="25" t="str">
        <f>HYPERLINK("http://slimages.macys.com/is/image/MCY/1521138 ")</f>
        <v xml:space="preserve">http://slimages.macys.com/is/image/MCY/1521138 </v>
      </c>
    </row>
    <row r="299" spans="1:14" x14ac:dyDescent="0.25">
      <c r="A299" s="21" t="s">
        <v>871</v>
      </c>
      <c r="B299" s="22" t="s">
        <v>872</v>
      </c>
      <c r="C299" s="2">
        <v>1</v>
      </c>
      <c r="D299" s="23">
        <v>11.99</v>
      </c>
      <c r="E299" s="3">
        <v>11.99</v>
      </c>
      <c r="F299" s="2" t="s">
        <v>7712</v>
      </c>
      <c r="G299" s="22" t="s">
        <v>19670</v>
      </c>
      <c r="H299" s="24" t="s">
        <v>19364</v>
      </c>
      <c r="I299" s="22" t="s">
        <v>19309</v>
      </c>
      <c r="J299" s="22" t="s">
        <v>19849</v>
      </c>
      <c r="K299" s="22" t="s">
        <v>19850</v>
      </c>
      <c r="L299" s="22"/>
      <c r="M299" s="22"/>
      <c r="N299" s="25" t="str">
        <f>HYPERLINK("http://slimages.macys.com/is/image/MCY/20549602 ")</f>
        <v xml:space="preserve">http://slimages.macys.com/is/image/MCY/20549602 </v>
      </c>
    </row>
    <row r="300" spans="1:14" ht="24.75" x14ac:dyDescent="0.25">
      <c r="A300" s="21" t="s">
        <v>873</v>
      </c>
      <c r="B300" s="22" t="s">
        <v>874</v>
      </c>
      <c r="C300" s="2">
        <v>1</v>
      </c>
      <c r="D300" s="23">
        <v>8.99</v>
      </c>
      <c r="E300" s="3">
        <v>8.99</v>
      </c>
      <c r="F300" s="2" t="s">
        <v>11094</v>
      </c>
      <c r="G300" s="22" t="s">
        <v>20145</v>
      </c>
      <c r="H300" s="24" t="s">
        <v>19345</v>
      </c>
      <c r="I300" s="22" t="s">
        <v>19309</v>
      </c>
      <c r="J300" s="22" t="s">
        <v>19447</v>
      </c>
      <c r="K300" s="22" t="s">
        <v>20146</v>
      </c>
      <c r="L300" s="22"/>
      <c r="M300" s="22"/>
      <c r="N300" s="25" t="str">
        <f>HYPERLINK("http://slimages.macys.com/is/image/MCY/21161726 ")</f>
        <v xml:space="preserve">http://slimages.macys.com/is/image/MCY/21161726 </v>
      </c>
    </row>
    <row r="301" spans="1:14" ht="24.75" x14ac:dyDescent="0.25">
      <c r="A301" s="21" t="s">
        <v>18552</v>
      </c>
      <c r="B301" s="22" t="s">
        <v>18553</v>
      </c>
      <c r="C301" s="2">
        <v>2</v>
      </c>
      <c r="D301" s="23">
        <v>13.99</v>
      </c>
      <c r="E301" s="3">
        <v>27.98</v>
      </c>
      <c r="F301" s="2" t="s">
        <v>18551</v>
      </c>
      <c r="G301" s="22" t="s">
        <v>19467</v>
      </c>
      <c r="H301" s="24" t="s">
        <v>19330</v>
      </c>
      <c r="I301" s="22" t="s">
        <v>19309</v>
      </c>
      <c r="J301" s="22" t="s">
        <v>19573</v>
      </c>
      <c r="K301" s="22" t="s">
        <v>19574</v>
      </c>
      <c r="L301" s="22"/>
      <c r="M301" s="22"/>
      <c r="N301" s="25" t="str">
        <f>HYPERLINK("http://slimages.macys.com/is/image/MCY/21361645 ")</f>
        <v xml:space="preserve">http://slimages.macys.com/is/image/MCY/21361645 </v>
      </c>
    </row>
    <row r="302" spans="1:14" ht="24.75" x14ac:dyDescent="0.25">
      <c r="A302" s="21" t="s">
        <v>18549</v>
      </c>
      <c r="B302" s="22" t="s">
        <v>18550</v>
      </c>
      <c r="C302" s="2">
        <v>2</v>
      </c>
      <c r="D302" s="23">
        <v>13.99</v>
      </c>
      <c r="E302" s="3">
        <v>27.98</v>
      </c>
      <c r="F302" s="2" t="s">
        <v>18551</v>
      </c>
      <c r="G302" s="22" t="s">
        <v>19467</v>
      </c>
      <c r="H302" s="24" t="s">
        <v>19384</v>
      </c>
      <c r="I302" s="22" t="s">
        <v>19309</v>
      </c>
      <c r="J302" s="22" t="s">
        <v>19573</v>
      </c>
      <c r="K302" s="22" t="s">
        <v>19574</v>
      </c>
      <c r="L302" s="22"/>
      <c r="M302" s="22"/>
      <c r="N302" s="25" t="str">
        <f>HYPERLINK("http://slimages.macys.com/is/image/MCY/21361645 ")</f>
        <v xml:space="preserve">http://slimages.macys.com/is/image/MCY/21361645 </v>
      </c>
    </row>
    <row r="303" spans="1:14" ht="24.75" x14ac:dyDescent="0.25">
      <c r="A303" s="21" t="s">
        <v>16531</v>
      </c>
      <c r="B303" s="22" t="s">
        <v>16532</v>
      </c>
      <c r="C303" s="2">
        <v>5</v>
      </c>
      <c r="D303" s="23">
        <v>13.99</v>
      </c>
      <c r="E303" s="3">
        <v>69.95</v>
      </c>
      <c r="F303" s="2" t="s">
        <v>18551</v>
      </c>
      <c r="G303" s="22" t="s">
        <v>19467</v>
      </c>
      <c r="H303" s="24" t="s">
        <v>19324</v>
      </c>
      <c r="I303" s="22" t="s">
        <v>19309</v>
      </c>
      <c r="J303" s="22" t="s">
        <v>19573</v>
      </c>
      <c r="K303" s="22" t="s">
        <v>19574</v>
      </c>
      <c r="L303" s="22"/>
      <c r="M303" s="22"/>
      <c r="N303" s="25" t="str">
        <f>HYPERLINK("http://slimages.macys.com/is/image/MCY/21361645 ")</f>
        <v xml:space="preserve">http://slimages.macys.com/is/image/MCY/21361645 </v>
      </c>
    </row>
    <row r="304" spans="1:14" ht="24.75" x14ac:dyDescent="0.25">
      <c r="A304" s="21" t="s">
        <v>18560</v>
      </c>
      <c r="B304" s="22" t="s">
        <v>18561</v>
      </c>
      <c r="C304" s="2">
        <v>1</v>
      </c>
      <c r="D304" s="23">
        <v>13.99</v>
      </c>
      <c r="E304" s="3">
        <v>13.99</v>
      </c>
      <c r="F304" s="2" t="s">
        <v>18551</v>
      </c>
      <c r="G304" s="22" t="s">
        <v>19467</v>
      </c>
      <c r="H304" s="24" t="s">
        <v>19538</v>
      </c>
      <c r="I304" s="22" t="s">
        <v>19309</v>
      </c>
      <c r="J304" s="22" t="s">
        <v>19573</v>
      </c>
      <c r="K304" s="22" t="s">
        <v>19574</v>
      </c>
      <c r="L304" s="22"/>
      <c r="M304" s="22"/>
      <c r="N304" s="25" t="str">
        <f>HYPERLINK("http://slimages.macys.com/is/image/MCY/21361645 ")</f>
        <v xml:space="preserve">http://slimages.macys.com/is/image/MCY/21361645 </v>
      </c>
    </row>
    <row r="305" spans="1:14" ht="24.75" x14ac:dyDescent="0.25">
      <c r="A305" s="21" t="s">
        <v>875</v>
      </c>
      <c r="B305" s="22" t="s">
        <v>876</v>
      </c>
      <c r="C305" s="2">
        <v>4</v>
      </c>
      <c r="D305" s="23">
        <v>8.99</v>
      </c>
      <c r="E305" s="3">
        <v>35.96</v>
      </c>
      <c r="F305" s="2" t="s">
        <v>4822</v>
      </c>
      <c r="G305" s="22" t="s">
        <v>20306</v>
      </c>
      <c r="H305" s="24" t="s">
        <v>19334</v>
      </c>
      <c r="I305" s="22" t="s">
        <v>19309</v>
      </c>
      <c r="J305" s="22" t="s">
        <v>19447</v>
      </c>
      <c r="K305" s="22" t="s">
        <v>20146</v>
      </c>
      <c r="L305" s="22"/>
      <c r="M305" s="22"/>
      <c r="N305" s="25" t="str">
        <f>HYPERLINK("http://slimages.macys.com/is/image/MCY/21550806 ")</f>
        <v xml:space="preserve">http://slimages.macys.com/is/image/MCY/21550806 </v>
      </c>
    </row>
    <row r="306" spans="1:14" ht="24.75" x14ac:dyDescent="0.25">
      <c r="A306" s="21" t="s">
        <v>18570</v>
      </c>
      <c r="B306" s="22" t="s">
        <v>18571</v>
      </c>
      <c r="C306" s="2">
        <v>2</v>
      </c>
      <c r="D306" s="23">
        <v>8.99</v>
      </c>
      <c r="E306" s="3">
        <v>17.98</v>
      </c>
      <c r="F306" s="2" t="s">
        <v>18572</v>
      </c>
      <c r="G306" s="22" t="s">
        <v>19477</v>
      </c>
      <c r="H306" s="24" t="s">
        <v>19361</v>
      </c>
      <c r="I306" s="22" t="s">
        <v>19309</v>
      </c>
      <c r="J306" s="22" t="s">
        <v>19447</v>
      </c>
      <c r="K306" s="22" t="s">
        <v>20146</v>
      </c>
      <c r="L306" s="22"/>
      <c r="M306" s="22"/>
      <c r="N306" s="25" t="str">
        <f>HYPERLINK("http://slimages.macys.com/is/image/MCY/21008525 ")</f>
        <v xml:space="preserve">http://slimages.macys.com/is/image/MCY/21008525 </v>
      </c>
    </row>
    <row r="307" spans="1:14" ht="24.75" x14ac:dyDescent="0.25">
      <c r="A307" s="21" t="s">
        <v>8443</v>
      </c>
      <c r="B307" s="22" t="s">
        <v>8444</v>
      </c>
      <c r="C307" s="2">
        <v>4</v>
      </c>
      <c r="D307" s="23">
        <v>16.989999999999998</v>
      </c>
      <c r="E307" s="3">
        <v>67.959999999999994</v>
      </c>
      <c r="F307" s="2" t="s">
        <v>18581</v>
      </c>
      <c r="G307" s="22" t="s">
        <v>19333</v>
      </c>
      <c r="H307" s="24" t="s">
        <v>19432</v>
      </c>
      <c r="I307" s="22" t="s">
        <v>19309</v>
      </c>
      <c r="J307" s="22" t="s">
        <v>19454</v>
      </c>
      <c r="K307" s="22" t="s">
        <v>19524</v>
      </c>
      <c r="L307" s="22"/>
      <c r="M307" s="22"/>
      <c r="N307" s="25" t="str">
        <f>HYPERLINK("http://slimages.macys.com/is/image/MCY/21265927 ")</f>
        <v xml:space="preserve">http://slimages.macys.com/is/image/MCY/21265927 </v>
      </c>
    </row>
    <row r="308" spans="1:14" ht="24.75" x14ac:dyDescent="0.25">
      <c r="A308" s="21" t="s">
        <v>13875</v>
      </c>
      <c r="B308" s="22" t="s">
        <v>13876</v>
      </c>
      <c r="C308" s="2">
        <v>11</v>
      </c>
      <c r="D308" s="23">
        <v>16.989999999999998</v>
      </c>
      <c r="E308" s="3">
        <v>186.89</v>
      </c>
      <c r="F308" s="2" t="s">
        <v>18581</v>
      </c>
      <c r="G308" s="22" t="s">
        <v>19333</v>
      </c>
      <c r="H308" s="24" t="s">
        <v>19907</v>
      </c>
      <c r="I308" s="22" t="s">
        <v>19309</v>
      </c>
      <c r="J308" s="22" t="s">
        <v>19454</v>
      </c>
      <c r="K308" s="22" t="s">
        <v>19524</v>
      </c>
      <c r="L308" s="22"/>
      <c r="M308" s="22"/>
      <c r="N308" s="25" t="str">
        <f>HYPERLINK("http://slimages.macys.com/is/image/MCY/21265927 ")</f>
        <v xml:space="preserve">http://slimages.macys.com/is/image/MCY/21265927 </v>
      </c>
    </row>
    <row r="309" spans="1:14" ht="24.75" x14ac:dyDescent="0.25">
      <c r="A309" s="21" t="s">
        <v>877</v>
      </c>
      <c r="B309" s="22" t="s">
        <v>878</v>
      </c>
      <c r="C309" s="2">
        <v>1</v>
      </c>
      <c r="D309" s="23">
        <v>7.99</v>
      </c>
      <c r="E309" s="3">
        <v>7.99</v>
      </c>
      <c r="F309" s="2" t="s">
        <v>9912</v>
      </c>
      <c r="G309" s="22" t="s">
        <v>19801</v>
      </c>
      <c r="H309" s="24" t="s">
        <v>19352</v>
      </c>
      <c r="I309" s="22" t="s">
        <v>19309</v>
      </c>
      <c r="J309" s="22" t="s">
        <v>19310</v>
      </c>
      <c r="K309" s="22" t="s">
        <v>19873</v>
      </c>
      <c r="L309" s="22"/>
      <c r="M309" s="22"/>
      <c r="N309" s="25" t="str">
        <f>HYPERLINK("http://slimages.macys.com/is/image/MCY/21176781 ")</f>
        <v xml:space="preserve">http://slimages.macys.com/is/image/MCY/21176781 </v>
      </c>
    </row>
    <row r="310" spans="1:14" x14ac:dyDescent="0.25">
      <c r="A310" s="21" t="s">
        <v>879</v>
      </c>
      <c r="B310" s="22" t="s">
        <v>880</v>
      </c>
      <c r="C310" s="2">
        <v>1</v>
      </c>
      <c r="D310" s="23">
        <v>8.99</v>
      </c>
      <c r="E310" s="3">
        <v>8.99</v>
      </c>
      <c r="F310" s="2" t="s">
        <v>18590</v>
      </c>
      <c r="G310" s="22" t="s">
        <v>19618</v>
      </c>
      <c r="H310" s="24" t="s">
        <v>19352</v>
      </c>
      <c r="I310" s="22" t="s">
        <v>19309</v>
      </c>
      <c r="J310" s="22" t="s">
        <v>19310</v>
      </c>
      <c r="K310" s="22" t="s">
        <v>19873</v>
      </c>
      <c r="L310" s="22"/>
      <c r="M310" s="22"/>
      <c r="N310" s="25" t="str">
        <f>HYPERLINK("http://slimages.macys.com/is/image/MCY/21551350 ")</f>
        <v xml:space="preserve">http://slimages.macys.com/is/image/MCY/21551350 </v>
      </c>
    </row>
    <row r="311" spans="1:14" ht="24.75" x14ac:dyDescent="0.25">
      <c r="A311" s="21" t="s">
        <v>7730</v>
      </c>
      <c r="B311" s="22" t="s">
        <v>7731</v>
      </c>
      <c r="C311" s="2">
        <v>1</v>
      </c>
      <c r="D311" s="23">
        <v>8.99</v>
      </c>
      <c r="E311" s="3">
        <v>8.99</v>
      </c>
      <c r="F311" s="2" t="s">
        <v>16559</v>
      </c>
      <c r="G311" s="22" t="s">
        <v>19585</v>
      </c>
      <c r="H311" s="24" t="s">
        <v>19364</v>
      </c>
      <c r="I311" s="22" t="s">
        <v>19309</v>
      </c>
      <c r="J311" s="22" t="s">
        <v>19310</v>
      </c>
      <c r="K311" s="22" t="s">
        <v>19873</v>
      </c>
      <c r="L311" s="22"/>
      <c r="M311" s="22"/>
      <c r="N311" s="25" t="str">
        <f>HYPERLINK("http://slimages.macys.com/is/image/MCY/21551570 ")</f>
        <v xml:space="preserve">http://slimages.macys.com/is/image/MCY/21551570 </v>
      </c>
    </row>
    <row r="312" spans="1:14" ht="24.75" x14ac:dyDescent="0.25">
      <c r="A312" s="21" t="s">
        <v>881</v>
      </c>
      <c r="B312" s="22" t="s">
        <v>882</v>
      </c>
      <c r="C312" s="2">
        <v>1</v>
      </c>
      <c r="D312" s="23">
        <v>8.99</v>
      </c>
      <c r="E312" s="3">
        <v>8.99</v>
      </c>
      <c r="F312" s="2" t="s">
        <v>883</v>
      </c>
      <c r="G312" s="22" t="s">
        <v>19670</v>
      </c>
      <c r="H312" s="24" t="s">
        <v>19797</v>
      </c>
      <c r="I312" s="22" t="s">
        <v>19309</v>
      </c>
      <c r="J312" s="22" t="s">
        <v>19447</v>
      </c>
      <c r="K312" s="22" t="s">
        <v>19873</v>
      </c>
      <c r="L312" s="22"/>
      <c r="M312" s="22"/>
      <c r="N312" s="25" t="str">
        <f>HYPERLINK("http://slimages.macys.com/is/image/MCY/21020429 ")</f>
        <v xml:space="preserve">http://slimages.macys.com/is/image/MCY/21020429 </v>
      </c>
    </row>
    <row r="313" spans="1:14" x14ac:dyDescent="0.25">
      <c r="A313" s="21" t="s">
        <v>2897</v>
      </c>
      <c r="B313" s="22" t="s">
        <v>2898</v>
      </c>
      <c r="C313" s="2">
        <v>1</v>
      </c>
      <c r="D313" s="23">
        <v>8.99</v>
      </c>
      <c r="E313" s="3">
        <v>8.99</v>
      </c>
      <c r="F313" s="2" t="s">
        <v>18605</v>
      </c>
      <c r="G313" s="22" t="s">
        <v>19422</v>
      </c>
      <c r="H313" s="24" t="s">
        <v>19395</v>
      </c>
      <c r="I313" s="22" t="s">
        <v>19309</v>
      </c>
      <c r="J313" s="22" t="s">
        <v>19514</v>
      </c>
      <c r="K313" s="22" t="s">
        <v>18514</v>
      </c>
      <c r="L313" s="22" t="s">
        <v>19319</v>
      </c>
      <c r="M313" s="22" t="s">
        <v>19435</v>
      </c>
      <c r="N313" s="25" t="str">
        <f>HYPERLINK("http://slimages.macys.com/is/image/MCY/9995089 ")</f>
        <v xml:space="preserve">http://slimages.macys.com/is/image/MCY/9995089 </v>
      </c>
    </row>
    <row r="314" spans="1:14" ht="24.75" x14ac:dyDescent="0.25">
      <c r="A314" s="21" t="s">
        <v>884</v>
      </c>
      <c r="B314" s="22" t="s">
        <v>885</v>
      </c>
      <c r="C314" s="2">
        <v>1</v>
      </c>
      <c r="D314" s="23">
        <v>11.99</v>
      </c>
      <c r="E314" s="3">
        <v>11.99</v>
      </c>
      <c r="F314" s="2" t="s">
        <v>886</v>
      </c>
      <c r="G314" s="22" t="s">
        <v>19342</v>
      </c>
      <c r="H314" s="24"/>
      <c r="I314" s="22" t="s">
        <v>19309</v>
      </c>
      <c r="J314" s="22" t="s">
        <v>20076</v>
      </c>
      <c r="K314" s="22" t="s">
        <v>9172</v>
      </c>
      <c r="L314" s="22"/>
      <c r="M314" s="22"/>
      <c r="N314" s="25" t="str">
        <f>HYPERLINK("http://slimages.macys.com/is/image/MCY/16582545 ")</f>
        <v xml:space="preserve">http://slimages.macys.com/is/image/MCY/16582545 </v>
      </c>
    </row>
    <row r="315" spans="1:14" ht="24.75" x14ac:dyDescent="0.25">
      <c r="A315" s="21" t="s">
        <v>887</v>
      </c>
      <c r="B315" s="22" t="s">
        <v>888</v>
      </c>
      <c r="C315" s="2">
        <v>1</v>
      </c>
      <c r="D315" s="23">
        <v>13.99</v>
      </c>
      <c r="E315" s="3">
        <v>13.99</v>
      </c>
      <c r="F315" s="2" t="s">
        <v>16593</v>
      </c>
      <c r="G315" s="22" t="s">
        <v>19315</v>
      </c>
      <c r="H315" s="24" t="s">
        <v>19308</v>
      </c>
      <c r="I315" s="22" t="s">
        <v>19309</v>
      </c>
      <c r="J315" s="22" t="s">
        <v>19815</v>
      </c>
      <c r="K315" s="22" t="s">
        <v>19816</v>
      </c>
      <c r="L315" s="22"/>
      <c r="M315" s="22"/>
      <c r="N315" s="25" t="str">
        <f>HYPERLINK("http://slimages.macys.com/is/image/MCY/21188139 ")</f>
        <v xml:space="preserve">http://slimages.macys.com/is/image/MCY/21188139 </v>
      </c>
    </row>
    <row r="316" spans="1:14" ht="24.75" x14ac:dyDescent="0.25">
      <c r="A316" s="21" t="s">
        <v>889</v>
      </c>
      <c r="B316" s="22" t="s">
        <v>890</v>
      </c>
      <c r="C316" s="2">
        <v>1</v>
      </c>
      <c r="D316" s="23">
        <v>8.25</v>
      </c>
      <c r="E316" s="3">
        <v>8.25</v>
      </c>
      <c r="F316" s="2" t="s">
        <v>8312</v>
      </c>
      <c r="G316" s="22" t="s">
        <v>19351</v>
      </c>
      <c r="H316" s="24" t="s">
        <v>19377</v>
      </c>
      <c r="I316" s="22" t="s">
        <v>19309</v>
      </c>
      <c r="J316" s="22" t="s">
        <v>19447</v>
      </c>
      <c r="K316" s="22" t="s">
        <v>20146</v>
      </c>
      <c r="L316" s="22"/>
      <c r="M316" s="22"/>
      <c r="N316" s="25" t="str">
        <f>HYPERLINK("http://slimages.macys.com/is/image/MCY/20437124 ")</f>
        <v xml:space="preserve">http://slimages.macys.com/is/image/MCY/20437124 </v>
      </c>
    </row>
    <row r="317" spans="1:14" x14ac:dyDescent="0.25">
      <c r="A317" s="21" t="s">
        <v>891</v>
      </c>
      <c r="B317" s="22" t="s">
        <v>892</v>
      </c>
      <c r="C317" s="2">
        <v>1</v>
      </c>
      <c r="D317" s="23">
        <v>9.74</v>
      </c>
      <c r="E317" s="3">
        <v>9.74</v>
      </c>
      <c r="F317" s="2" t="s">
        <v>893</v>
      </c>
      <c r="G317" s="22" t="s">
        <v>19431</v>
      </c>
      <c r="H317" s="24" t="s">
        <v>20152</v>
      </c>
      <c r="I317" s="22" t="s">
        <v>19309</v>
      </c>
      <c r="J317" s="22" t="s">
        <v>19708</v>
      </c>
      <c r="K317" s="22" t="s">
        <v>19709</v>
      </c>
      <c r="L317" s="22"/>
      <c r="M317" s="22"/>
      <c r="N317" s="25" t="str">
        <f>HYPERLINK("http://slimages.macys.com/is/image/MCY/22596569 ")</f>
        <v xml:space="preserve">http://slimages.macys.com/is/image/MCY/22596569 </v>
      </c>
    </row>
    <row r="318" spans="1:14" x14ac:dyDescent="0.25">
      <c r="A318" s="21" t="s">
        <v>16301</v>
      </c>
      <c r="B318" s="22" t="s">
        <v>16302</v>
      </c>
      <c r="C318" s="2">
        <v>9</v>
      </c>
      <c r="D318" s="23">
        <v>13.27</v>
      </c>
      <c r="E318" s="3">
        <v>119.43</v>
      </c>
      <c r="F318" s="2" t="s">
        <v>16303</v>
      </c>
      <c r="G318" s="22"/>
      <c r="H318" s="24" t="s">
        <v>19416</v>
      </c>
      <c r="I318" s="22" t="s">
        <v>19309</v>
      </c>
      <c r="J318" s="22" t="s">
        <v>19708</v>
      </c>
      <c r="K318" s="22" t="s">
        <v>19754</v>
      </c>
      <c r="L318" s="22"/>
      <c r="M318" s="22"/>
      <c r="N318" s="25" t="str">
        <f>HYPERLINK("http://slimages.macys.com/is/image/MCY/22118338 ")</f>
        <v xml:space="preserve">http://slimages.macys.com/is/image/MCY/22118338 </v>
      </c>
    </row>
    <row r="319" spans="1:14" x14ac:dyDescent="0.25">
      <c r="A319" s="21" t="s">
        <v>13895</v>
      </c>
      <c r="B319" s="22" t="s">
        <v>13896</v>
      </c>
      <c r="C319" s="2">
        <v>1</v>
      </c>
      <c r="D319" s="23">
        <v>13.27</v>
      </c>
      <c r="E319" s="3">
        <v>13.27</v>
      </c>
      <c r="F319" s="2" t="s">
        <v>13897</v>
      </c>
      <c r="G319" s="22"/>
      <c r="H319" s="24" t="s">
        <v>19330</v>
      </c>
      <c r="I319" s="22" t="s">
        <v>19309</v>
      </c>
      <c r="J319" s="22" t="s">
        <v>19708</v>
      </c>
      <c r="K319" s="22" t="s">
        <v>19754</v>
      </c>
      <c r="L319" s="22"/>
      <c r="M319" s="22"/>
      <c r="N319" s="25" t="str">
        <f>HYPERLINK("http://slimages.macys.com/is/image/MCY/21414718 ")</f>
        <v xml:space="preserve">http://slimages.macys.com/is/image/MCY/21414718 </v>
      </c>
    </row>
    <row r="320" spans="1:14" ht="24.75" x14ac:dyDescent="0.25">
      <c r="A320" s="21" t="s">
        <v>9943</v>
      </c>
      <c r="B320" s="22" t="s">
        <v>9944</v>
      </c>
      <c r="C320" s="2">
        <v>1</v>
      </c>
      <c r="D320" s="23">
        <v>9.99</v>
      </c>
      <c r="E320" s="3">
        <v>9.99</v>
      </c>
      <c r="F320" s="2" t="s">
        <v>16621</v>
      </c>
      <c r="G320" s="22" t="s">
        <v>19906</v>
      </c>
      <c r="H320" s="24" t="s">
        <v>19361</v>
      </c>
      <c r="I320" s="22" t="s">
        <v>19309</v>
      </c>
      <c r="J320" s="22" t="s">
        <v>19908</v>
      </c>
      <c r="K320" s="22" t="s">
        <v>19524</v>
      </c>
      <c r="L320" s="22"/>
      <c r="M320" s="22"/>
      <c r="N320" s="25" t="str">
        <f>HYPERLINK("http://slimages.macys.com/is/image/MCY/21727213 ")</f>
        <v xml:space="preserve">http://slimages.macys.com/is/image/MCY/21727213 </v>
      </c>
    </row>
    <row r="321" spans="1:14" ht="24.75" x14ac:dyDescent="0.25">
      <c r="A321" s="21" t="s">
        <v>9939</v>
      </c>
      <c r="B321" s="22" t="s">
        <v>9940</v>
      </c>
      <c r="C321" s="2">
        <v>1</v>
      </c>
      <c r="D321" s="23">
        <v>9.99</v>
      </c>
      <c r="E321" s="3">
        <v>9.99</v>
      </c>
      <c r="F321" s="2" t="s">
        <v>16621</v>
      </c>
      <c r="G321" s="22" t="s">
        <v>19906</v>
      </c>
      <c r="H321" s="24" t="s">
        <v>19542</v>
      </c>
      <c r="I321" s="22" t="s">
        <v>19309</v>
      </c>
      <c r="J321" s="22" t="s">
        <v>19908</v>
      </c>
      <c r="K321" s="22" t="s">
        <v>19524</v>
      </c>
      <c r="L321" s="22"/>
      <c r="M321" s="22"/>
      <c r="N321" s="25" t="str">
        <f>HYPERLINK("http://slimages.macys.com/is/image/MCY/21727213 ")</f>
        <v xml:space="preserve">http://slimages.macys.com/is/image/MCY/21727213 </v>
      </c>
    </row>
    <row r="322" spans="1:14" ht="24.75" x14ac:dyDescent="0.25">
      <c r="A322" s="21" t="s">
        <v>9937</v>
      </c>
      <c r="B322" s="22" t="s">
        <v>9938</v>
      </c>
      <c r="C322" s="2">
        <v>2</v>
      </c>
      <c r="D322" s="23">
        <v>9.99</v>
      </c>
      <c r="E322" s="3">
        <v>19.98</v>
      </c>
      <c r="F322" s="2" t="s">
        <v>16621</v>
      </c>
      <c r="G322" s="22" t="s">
        <v>19906</v>
      </c>
      <c r="H322" s="24" t="s">
        <v>19377</v>
      </c>
      <c r="I322" s="22" t="s">
        <v>19309</v>
      </c>
      <c r="J322" s="22" t="s">
        <v>19908</v>
      </c>
      <c r="K322" s="22" t="s">
        <v>19524</v>
      </c>
      <c r="L322" s="22"/>
      <c r="M322" s="22"/>
      <c r="N322" s="25" t="str">
        <f>HYPERLINK("http://slimages.macys.com/is/image/MCY/21727213 ")</f>
        <v xml:space="preserve">http://slimages.macys.com/is/image/MCY/21727213 </v>
      </c>
    </row>
    <row r="323" spans="1:14" ht="24.75" x14ac:dyDescent="0.25">
      <c r="A323" s="21" t="s">
        <v>9941</v>
      </c>
      <c r="B323" s="22" t="s">
        <v>9942</v>
      </c>
      <c r="C323" s="2">
        <v>1</v>
      </c>
      <c r="D323" s="23">
        <v>9.99</v>
      </c>
      <c r="E323" s="3">
        <v>9.99</v>
      </c>
      <c r="F323" s="2" t="s">
        <v>16621</v>
      </c>
      <c r="G323" s="22" t="s">
        <v>19906</v>
      </c>
      <c r="H323" s="24" t="s">
        <v>20089</v>
      </c>
      <c r="I323" s="22" t="s">
        <v>19309</v>
      </c>
      <c r="J323" s="22" t="s">
        <v>19908</v>
      </c>
      <c r="K323" s="22" t="s">
        <v>19524</v>
      </c>
      <c r="L323" s="22"/>
      <c r="M323" s="22"/>
      <c r="N323" s="25" t="str">
        <f>HYPERLINK("http://slimages.macys.com/is/image/MCY/21727213 ")</f>
        <v xml:space="preserve">http://slimages.macys.com/is/image/MCY/21727213 </v>
      </c>
    </row>
    <row r="324" spans="1:14" x14ac:dyDescent="0.25">
      <c r="A324" s="21" t="s">
        <v>16627</v>
      </c>
      <c r="B324" s="22" t="s">
        <v>16628</v>
      </c>
      <c r="C324" s="2">
        <v>1</v>
      </c>
      <c r="D324" s="23">
        <v>16.989999999999998</v>
      </c>
      <c r="E324" s="3">
        <v>16.989999999999998</v>
      </c>
      <c r="F324" s="2" t="s">
        <v>18666</v>
      </c>
      <c r="G324" s="22" t="s">
        <v>19477</v>
      </c>
      <c r="H324" s="24" t="s">
        <v>19339</v>
      </c>
      <c r="I324" s="22" t="s">
        <v>19309</v>
      </c>
      <c r="J324" s="22" t="s">
        <v>19849</v>
      </c>
      <c r="K324" s="22" t="s">
        <v>19850</v>
      </c>
      <c r="L324" s="22"/>
      <c r="M324" s="22"/>
      <c r="N324" s="25" t="str">
        <f>HYPERLINK("http://slimages.macys.com/is/image/MCY/20549559 ")</f>
        <v xml:space="preserve">http://slimages.macys.com/is/image/MCY/20549559 </v>
      </c>
    </row>
    <row r="325" spans="1:14" x14ac:dyDescent="0.25">
      <c r="A325" s="21" t="s">
        <v>894</v>
      </c>
      <c r="B325" s="22" t="s">
        <v>895</v>
      </c>
      <c r="C325" s="2">
        <v>1</v>
      </c>
      <c r="D325" s="23">
        <v>26</v>
      </c>
      <c r="E325" s="3">
        <v>26</v>
      </c>
      <c r="F325" s="2" t="s">
        <v>2051</v>
      </c>
      <c r="G325" s="22" t="s">
        <v>19333</v>
      </c>
      <c r="H325" s="24" t="s">
        <v>15738</v>
      </c>
      <c r="I325" s="22" t="s">
        <v>19309</v>
      </c>
      <c r="J325" s="22" t="s">
        <v>19417</v>
      </c>
      <c r="K325" s="22" t="s">
        <v>18317</v>
      </c>
      <c r="L325" s="22"/>
      <c r="M325" s="22"/>
      <c r="N325" s="25" t="str">
        <f>HYPERLINK("http://slimages.macys.com/is/image/MCY/21615001 ")</f>
        <v xml:space="preserve">http://slimages.macys.com/is/image/MCY/21615001 </v>
      </c>
    </row>
    <row r="326" spans="1:14" x14ac:dyDescent="0.25">
      <c r="A326" s="21" t="s">
        <v>8923</v>
      </c>
      <c r="B326" s="22" t="s">
        <v>8924</v>
      </c>
      <c r="C326" s="2">
        <v>1</v>
      </c>
      <c r="D326" s="23">
        <v>26</v>
      </c>
      <c r="E326" s="3">
        <v>26</v>
      </c>
      <c r="F326" s="2" t="s">
        <v>8925</v>
      </c>
      <c r="G326" s="22" t="s">
        <v>19333</v>
      </c>
      <c r="H326" s="24"/>
      <c r="I326" s="22" t="s">
        <v>19309</v>
      </c>
      <c r="J326" s="22" t="s">
        <v>19417</v>
      </c>
      <c r="K326" s="22" t="s">
        <v>18317</v>
      </c>
      <c r="L326" s="22"/>
      <c r="M326" s="22"/>
      <c r="N326" s="25" t="str">
        <f>HYPERLINK("http://slimages.macys.com/is/image/MCY/21615001 ")</f>
        <v xml:space="preserve">http://slimages.macys.com/is/image/MCY/21615001 </v>
      </c>
    </row>
    <row r="327" spans="1:14" ht="24.75" x14ac:dyDescent="0.25">
      <c r="A327" s="21" t="s">
        <v>16659</v>
      </c>
      <c r="B327" s="22" t="s">
        <v>16660</v>
      </c>
      <c r="C327" s="2">
        <v>1</v>
      </c>
      <c r="D327" s="23">
        <v>11.99</v>
      </c>
      <c r="E327" s="3">
        <v>11.99</v>
      </c>
      <c r="F327" s="2" t="s">
        <v>18672</v>
      </c>
      <c r="G327" s="22" t="s">
        <v>19670</v>
      </c>
      <c r="H327" s="24" t="s">
        <v>19416</v>
      </c>
      <c r="I327" s="22" t="s">
        <v>19309</v>
      </c>
      <c r="J327" s="22" t="s">
        <v>19573</v>
      </c>
      <c r="K327" s="22" t="s">
        <v>19574</v>
      </c>
      <c r="L327" s="22"/>
      <c r="M327" s="22"/>
      <c r="N327" s="25" t="str">
        <f>HYPERLINK("http://slimages.macys.com/is/image/MCY/21209478 ")</f>
        <v xml:space="preserve">http://slimages.macys.com/is/image/MCY/21209478 </v>
      </c>
    </row>
    <row r="328" spans="1:14" ht="24.75" x14ac:dyDescent="0.25">
      <c r="A328" s="21" t="s">
        <v>16655</v>
      </c>
      <c r="B328" s="22" t="s">
        <v>16656</v>
      </c>
      <c r="C328" s="2">
        <v>1</v>
      </c>
      <c r="D328" s="23">
        <v>11.99</v>
      </c>
      <c r="E328" s="3">
        <v>11.99</v>
      </c>
      <c r="F328" s="2" t="s">
        <v>16646</v>
      </c>
      <c r="G328" s="22" t="s">
        <v>19794</v>
      </c>
      <c r="H328" s="24" t="s">
        <v>19538</v>
      </c>
      <c r="I328" s="22" t="s">
        <v>19309</v>
      </c>
      <c r="J328" s="22" t="s">
        <v>19573</v>
      </c>
      <c r="K328" s="22" t="s">
        <v>19574</v>
      </c>
      <c r="L328" s="22"/>
      <c r="M328" s="22"/>
      <c r="N328" s="25" t="str">
        <f>HYPERLINK("http://slimages.macys.com/is/image/MCY/1956290 ")</f>
        <v xml:space="preserve">http://slimages.macys.com/is/image/MCY/1956290 </v>
      </c>
    </row>
    <row r="329" spans="1:14" ht="24.75" x14ac:dyDescent="0.25">
      <c r="A329" s="21" t="s">
        <v>16661</v>
      </c>
      <c r="B329" s="22" t="s">
        <v>16662</v>
      </c>
      <c r="C329" s="2">
        <v>1</v>
      </c>
      <c r="D329" s="23">
        <v>11.99</v>
      </c>
      <c r="E329" s="3">
        <v>11.99</v>
      </c>
      <c r="F329" s="2" t="s">
        <v>18672</v>
      </c>
      <c r="G329" s="22" t="s">
        <v>19670</v>
      </c>
      <c r="H329" s="24" t="s">
        <v>19324</v>
      </c>
      <c r="I329" s="22" t="s">
        <v>19309</v>
      </c>
      <c r="J329" s="22" t="s">
        <v>19573</v>
      </c>
      <c r="K329" s="22" t="s">
        <v>19574</v>
      </c>
      <c r="L329" s="22"/>
      <c r="M329" s="22"/>
      <c r="N329" s="25" t="str">
        <f>HYPERLINK("http://slimages.macys.com/is/image/MCY/21209478 ")</f>
        <v xml:space="preserve">http://slimages.macys.com/is/image/MCY/21209478 </v>
      </c>
    </row>
    <row r="330" spans="1:14" x14ac:dyDescent="0.25">
      <c r="A330" s="21" t="s">
        <v>12375</v>
      </c>
      <c r="B330" s="22" t="s">
        <v>12376</v>
      </c>
      <c r="C330" s="2">
        <v>1</v>
      </c>
      <c r="D330" s="23">
        <v>12.99</v>
      </c>
      <c r="E330" s="3">
        <v>12.99</v>
      </c>
      <c r="F330" s="2" t="s">
        <v>12374</v>
      </c>
      <c r="G330" s="22" t="s">
        <v>19674</v>
      </c>
      <c r="H330" s="24" t="s">
        <v>19361</v>
      </c>
      <c r="I330" s="22" t="s">
        <v>19309</v>
      </c>
      <c r="J330" s="22" t="s">
        <v>19849</v>
      </c>
      <c r="K330" s="22" t="s">
        <v>19850</v>
      </c>
      <c r="L330" s="22"/>
      <c r="M330" s="22"/>
      <c r="N330" s="25" t="str">
        <f>HYPERLINK("http://slimages.macys.com/is/image/MCY/21270325 ")</f>
        <v xml:space="preserve">http://slimages.macys.com/is/image/MCY/21270325 </v>
      </c>
    </row>
    <row r="331" spans="1:14" ht="24.75" x14ac:dyDescent="0.25">
      <c r="A331" s="21" t="s">
        <v>18685</v>
      </c>
      <c r="B331" s="22" t="s">
        <v>18686</v>
      </c>
      <c r="C331" s="2">
        <v>2</v>
      </c>
      <c r="D331" s="23">
        <v>9.99</v>
      </c>
      <c r="E331" s="3">
        <v>19.98</v>
      </c>
      <c r="F331" s="2">
        <v>10015240700</v>
      </c>
      <c r="G331" s="22" t="s">
        <v>19315</v>
      </c>
      <c r="H331" s="24" t="s">
        <v>19538</v>
      </c>
      <c r="I331" s="22" t="s">
        <v>19309</v>
      </c>
      <c r="J331" s="22" t="s">
        <v>19573</v>
      </c>
      <c r="K331" s="22" t="s">
        <v>19574</v>
      </c>
      <c r="L331" s="22"/>
      <c r="M331" s="22"/>
      <c r="N331" s="25" t="str">
        <f>HYPERLINK("http://slimages.macys.com/is/image/MCY/2023449 ")</f>
        <v xml:space="preserve">http://slimages.macys.com/is/image/MCY/2023449 </v>
      </c>
    </row>
    <row r="332" spans="1:14" ht="24.75" x14ac:dyDescent="0.25">
      <c r="A332" s="21" t="s">
        <v>18675</v>
      </c>
      <c r="B332" s="22" t="s">
        <v>18676</v>
      </c>
      <c r="C332" s="2">
        <v>2</v>
      </c>
      <c r="D332" s="23">
        <v>9.99</v>
      </c>
      <c r="E332" s="3">
        <v>19.98</v>
      </c>
      <c r="F332" s="2">
        <v>10015240800</v>
      </c>
      <c r="G332" s="22" t="s">
        <v>19351</v>
      </c>
      <c r="H332" s="24"/>
      <c r="I332" s="22" t="s">
        <v>19309</v>
      </c>
      <c r="J332" s="22" t="s">
        <v>19573</v>
      </c>
      <c r="K332" s="22" t="s">
        <v>19574</v>
      </c>
      <c r="L332" s="22"/>
      <c r="M332" s="22"/>
      <c r="N332" s="25" t="str">
        <f>HYPERLINK("http://slimages.macys.com/is/image/MCY/2023449 ")</f>
        <v xml:space="preserve">http://slimages.macys.com/is/image/MCY/2023449 </v>
      </c>
    </row>
    <row r="333" spans="1:14" ht="24.75" x14ac:dyDescent="0.25">
      <c r="A333" s="21" t="s">
        <v>896</v>
      </c>
      <c r="B333" s="22" t="s">
        <v>897</v>
      </c>
      <c r="C333" s="2">
        <v>1</v>
      </c>
      <c r="D333" s="23">
        <v>9.99</v>
      </c>
      <c r="E333" s="3">
        <v>9.99</v>
      </c>
      <c r="F333" s="2">
        <v>10015240700</v>
      </c>
      <c r="G333" s="22" t="s">
        <v>19315</v>
      </c>
      <c r="H333" s="24" t="s">
        <v>19324</v>
      </c>
      <c r="I333" s="22" t="s">
        <v>19309</v>
      </c>
      <c r="J333" s="22" t="s">
        <v>19573</v>
      </c>
      <c r="K333" s="22" t="s">
        <v>19574</v>
      </c>
      <c r="L333" s="22"/>
      <c r="M333" s="22"/>
      <c r="N333" s="25" t="str">
        <f>HYPERLINK("http://slimages.macys.com/is/image/MCY/1712799 ")</f>
        <v xml:space="preserve">http://slimages.macys.com/is/image/MCY/1712799 </v>
      </c>
    </row>
    <row r="334" spans="1:14" x14ac:dyDescent="0.25">
      <c r="A334" s="21" t="s">
        <v>898</v>
      </c>
      <c r="B334" s="22" t="s">
        <v>899</v>
      </c>
      <c r="C334" s="2">
        <v>1</v>
      </c>
      <c r="D334" s="23">
        <v>11.99</v>
      </c>
      <c r="E334" s="3">
        <v>11.99</v>
      </c>
      <c r="F334" s="2" t="s">
        <v>12384</v>
      </c>
      <c r="G334" s="22" t="s">
        <v>19670</v>
      </c>
      <c r="H334" s="24" t="s">
        <v>20089</v>
      </c>
      <c r="I334" s="22" t="s">
        <v>19309</v>
      </c>
      <c r="J334" s="22" t="s">
        <v>19849</v>
      </c>
      <c r="K334" s="22" t="s">
        <v>19850</v>
      </c>
      <c r="L334" s="22"/>
      <c r="M334" s="22"/>
      <c r="N334" s="25" t="str">
        <f>HYPERLINK("http://slimages.macys.com/is/image/MCY/20549498 ")</f>
        <v xml:space="preserve">http://slimages.macys.com/is/image/MCY/20549498 </v>
      </c>
    </row>
    <row r="335" spans="1:14" ht="24.75" x14ac:dyDescent="0.25">
      <c r="A335" s="21" t="s">
        <v>8447</v>
      </c>
      <c r="B335" s="22" t="s">
        <v>8448</v>
      </c>
      <c r="C335" s="2">
        <v>18</v>
      </c>
      <c r="D335" s="23">
        <v>13.99</v>
      </c>
      <c r="E335" s="3">
        <v>251.82</v>
      </c>
      <c r="F335" s="2" t="s">
        <v>16688</v>
      </c>
      <c r="G335" s="22" t="s">
        <v>19518</v>
      </c>
      <c r="H335" s="24" t="s">
        <v>19538</v>
      </c>
      <c r="I335" s="22" t="s">
        <v>19309</v>
      </c>
      <c r="J335" s="22" t="s">
        <v>19573</v>
      </c>
      <c r="K335" s="22" t="s">
        <v>19574</v>
      </c>
      <c r="L335" s="22"/>
      <c r="M335" s="22"/>
      <c r="N335" s="25" t="str">
        <f>HYPERLINK("http://slimages.macys.com/is/image/MCY/1554876 ")</f>
        <v xml:space="preserve">http://slimages.macys.com/is/image/MCY/1554876 </v>
      </c>
    </row>
    <row r="336" spans="1:14" ht="24.75" x14ac:dyDescent="0.25">
      <c r="A336" s="21" t="s">
        <v>4852</v>
      </c>
      <c r="B336" s="22" t="s">
        <v>4853</v>
      </c>
      <c r="C336" s="2">
        <v>1</v>
      </c>
      <c r="D336" s="23">
        <v>13.99</v>
      </c>
      <c r="E336" s="3">
        <v>13.99</v>
      </c>
      <c r="F336" s="2" t="s">
        <v>16688</v>
      </c>
      <c r="G336" s="22" t="s">
        <v>19906</v>
      </c>
      <c r="H336" s="24" t="s">
        <v>19538</v>
      </c>
      <c r="I336" s="22" t="s">
        <v>19309</v>
      </c>
      <c r="J336" s="22" t="s">
        <v>19573</v>
      </c>
      <c r="K336" s="22" t="s">
        <v>19574</v>
      </c>
      <c r="L336" s="22"/>
      <c r="M336" s="22"/>
      <c r="N336" s="25" t="str">
        <f>HYPERLINK("http://slimages.macys.com/is/image/MCY/21361108 ")</f>
        <v xml:space="preserve">http://slimages.macys.com/is/image/MCY/21361108 </v>
      </c>
    </row>
    <row r="337" spans="1:14" ht="24.75" x14ac:dyDescent="0.25">
      <c r="A337" s="21" t="s">
        <v>9627</v>
      </c>
      <c r="B337" s="22" t="s">
        <v>9628</v>
      </c>
      <c r="C337" s="2">
        <v>2</v>
      </c>
      <c r="D337" s="23">
        <v>13.99</v>
      </c>
      <c r="E337" s="3">
        <v>27.98</v>
      </c>
      <c r="F337" s="2" t="s">
        <v>16688</v>
      </c>
      <c r="G337" s="22" t="s">
        <v>19518</v>
      </c>
      <c r="H337" s="24" t="s">
        <v>19324</v>
      </c>
      <c r="I337" s="22" t="s">
        <v>19309</v>
      </c>
      <c r="J337" s="22" t="s">
        <v>19573</v>
      </c>
      <c r="K337" s="22" t="s">
        <v>19574</v>
      </c>
      <c r="L337" s="22"/>
      <c r="M337" s="22"/>
      <c r="N337" s="25" t="str">
        <f>HYPERLINK("http://slimages.macys.com/is/image/MCY/1554876 ")</f>
        <v xml:space="preserve">http://slimages.macys.com/is/image/MCY/1554876 </v>
      </c>
    </row>
    <row r="338" spans="1:14" x14ac:dyDescent="0.25">
      <c r="A338" s="21" t="s">
        <v>900</v>
      </c>
      <c r="B338" s="22" t="s">
        <v>901</v>
      </c>
      <c r="C338" s="2">
        <v>1</v>
      </c>
      <c r="D338" s="23">
        <v>8.99</v>
      </c>
      <c r="E338" s="3">
        <v>8.99</v>
      </c>
      <c r="F338" s="2" t="s">
        <v>16396</v>
      </c>
      <c r="G338" s="22" t="s">
        <v>19618</v>
      </c>
      <c r="H338" s="24" t="s">
        <v>19907</v>
      </c>
      <c r="I338" s="22" t="s">
        <v>19309</v>
      </c>
      <c r="J338" s="22" t="s">
        <v>19849</v>
      </c>
      <c r="K338" s="22" t="s">
        <v>19850</v>
      </c>
      <c r="L338" s="22"/>
      <c r="M338" s="22"/>
      <c r="N338" s="25" t="str">
        <f>HYPERLINK("http://slimages.macys.com/is/image/MCY/19068331 ")</f>
        <v xml:space="preserve">http://slimages.macys.com/is/image/MCY/19068331 </v>
      </c>
    </row>
    <row r="339" spans="1:14" ht="24.75" x14ac:dyDescent="0.25">
      <c r="A339" s="21" t="s">
        <v>902</v>
      </c>
      <c r="B339" s="22" t="s">
        <v>903</v>
      </c>
      <c r="C339" s="2">
        <v>1</v>
      </c>
      <c r="D339" s="23">
        <v>7.99</v>
      </c>
      <c r="E339" s="3">
        <v>7.99</v>
      </c>
      <c r="F339" s="2" t="s">
        <v>18723</v>
      </c>
      <c r="G339" s="22" t="s">
        <v>19670</v>
      </c>
      <c r="H339" s="24" t="s">
        <v>19361</v>
      </c>
      <c r="I339" s="22" t="s">
        <v>19309</v>
      </c>
      <c r="J339" s="22" t="s">
        <v>19447</v>
      </c>
      <c r="K339" s="22" t="s">
        <v>20146</v>
      </c>
      <c r="L339" s="22"/>
      <c r="M339" s="22"/>
      <c r="N339" s="25" t="str">
        <f>HYPERLINK("http://slimages.macys.com/is/image/MCY/21161779 ")</f>
        <v xml:space="preserve">http://slimages.macys.com/is/image/MCY/21161779 </v>
      </c>
    </row>
    <row r="340" spans="1:14" ht="24.75" x14ac:dyDescent="0.25">
      <c r="A340" s="21" t="s">
        <v>904</v>
      </c>
      <c r="B340" s="22" t="s">
        <v>905</v>
      </c>
      <c r="C340" s="2">
        <v>3</v>
      </c>
      <c r="D340" s="23">
        <v>10.99</v>
      </c>
      <c r="E340" s="3">
        <v>32.97</v>
      </c>
      <c r="F340" s="2" t="s">
        <v>13946</v>
      </c>
      <c r="G340" s="22" t="s">
        <v>19674</v>
      </c>
      <c r="H340" s="24" t="s">
        <v>19339</v>
      </c>
      <c r="I340" s="22" t="s">
        <v>19309</v>
      </c>
      <c r="J340" s="22" t="s">
        <v>19353</v>
      </c>
      <c r="K340" s="22" t="s">
        <v>19524</v>
      </c>
      <c r="L340" s="22"/>
      <c r="M340" s="22"/>
      <c r="N340" s="25" t="str">
        <f>HYPERLINK("http://slimages.macys.com/is/image/MCY/21083376 ")</f>
        <v xml:space="preserve">http://slimages.macys.com/is/image/MCY/21083376 </v>
      </c>
    </row>
    <row r="341" spans="1:14" ht="24.75" x14ac:dyDescent="0.25">
      <c r="A341" s="21" t="s">
        <v>906</v>
      </c>
      <c r="B341" s="22" t="s">
        <v>907</v>
      </c>
      <c r="C341" s="2">
        <v>1</v>
      </c>
      <c r="D341" s="23">
        <v>11.99</v>
      </c>
      <c r="E341" s="3">
        <v>11.99</v>
      </c>
      <c r="F341" s="2" t="s">
        <v>908</v>
      </c>
      <c r="G341" s="22" t="s">
        <v>19333</v>
      </c>
      <c r="H341" s="24" t="s">
        <v>19308</v>
      </c>
      <c r="I341" s="22" t="s">
        <v>19309</v>
      </c>
      <c r="J341" s="22" t="s">
        <v>19454</v>
      </c>
      <c r="K341" s="22" t="s">
        <v>18654</v>
      </c>
      <c r="L341" s="22"/>
      <c r="M341" s="22"/>
      <c r="N341" s="25" t="str">
        <f>HYPERLINK("http://slimages.macys.com/is/image/MCY/18724210 ")</f>
        <v xml:space="preserve">http://slimages.macys.com/is/image/MCY/18724210 </v>
      </c>
    </row>
    <row r="342" spans="1:14" ht="24.75" x14ac:dyDescent="0.25">
      <c r="A342" s="21" t="s">
        <v>909</v>
      </c>
      <c r="B342" s="22" t="s">
        <v>910</v>
      </c>
      <c r="C342" s="2">
        <v>1</v>
      </c>
      <c r="D342" s="23">
        <v>7.99</v>
      </c>
      <c r="E342" s="3">
        <v>7.99</v>
      </c>
      <c r="F342" s="2" t="s">
        <v>911</v>
      </c>
      <c r="G342" s="22" t="s">
        <v>19333</v>
      </c>
      <c r="H342" s="24" t="s">
        <v>19334</v>
      </c>
      <c r="I342" s="22" t="s">
        <v>19309</v>
      </c>
      <c r="J342" s="22" t="s">
        <v>19447</v>
      </c>
      <c r="K342" s="22" t="s">
        <v>20146</v>
      </c>
      <c r="L342" s="22"/>
      <c r="M342" s="22"/>
      <c r="N342" s="25" t="str">
        <f>HYPERLINK("http://slimages.macys.com/is/image/MCY/21008514 ")</f>
        <v xml:space="preserve">http://slimages.macys.com/is/image/MCY/21008514 </v>
      </c>
    </row>
    <row r="343" spans="1:14" ht="24.75" x14ac:dyDescent="0.25">
      <c r="A343" s="21" t="s">
        <v>912</v>
      </c>
      <c r="B343" s="22" t="s">
        <v>913</v>
      </c>
      <c r="C343" s="2">
        <v>1</v>
      </c>
      <c r="D343" s="23">
        <v>7.99</v>
      </c>
      <c r="E343" s="3">
        <v>7.99</v>
      </c>
      <c r="F343" s="2" t="s">
        <v>911</v>
      </c>
      <c r="G343" s="22" t="s">
        <v>19333</v>
      </c>
      <c r="H343" s="24" t="s">
        <v>19377</v>
      </c>
      <c r="I343" s="22" t="s">
        <v>19309</v>
      </c>
      <c r="J343" s="22" t="s">
        <v>19447</v>
      </c>
      <c r="K343" s="22" t="s">
        <v>20146</v>
      </c>
      <c r="L343" s="22"/>
      <c r="M343" s="22"/>
      <c r="N343" s="25" t="str">
        <f>HYPERLINK("http://slimages.macys.com/is/image/MCY/21008515 ")</f>
        <v xml:space="preserve">http://slimages.macys.com/is/image/MCY/21008515 </v>
      </c>
    </row>
    <row r="344" spans="1:14" ht="24.75" x14ac:dyDescent="0.25">
      <c r="A344" s="21" t="s">
        <v>914</v>
      </c>
      <c r="B344" s="22" t="s">
        <v>915</v>
      </c>
      <c r="C344" s="2">
        <v>1</v>
      </c>
      <c r="D344" s="23">
        <v>7.99</v>
      </c>
      <c r="E344" s="3">
        <v>7.99</v>
      </c>
      <c r="F344" s="2" t="s">
        <v>911</v>
      </c>
      <c r="G344" s="22" t="s">
        <v>19333</v>
      </c>
      <c r="H344" s="24" t="s">
        <v>19542</v>
      </c>
      <c r="I344" s="22" t="s">
        <v>19309</v>
      </c>
      <c r="J344" s="22" t="s">
        <v>19447</v>
      </c>
      <c r="K344" s="22" t="s">
        <v>20146</v>
      </c>
      <c r="L344" s="22"/>
      <c r="M344" s="22"/>
      <c r="N344" s="25" t="str">
        <f>HYPERLINK("http://slimages.macys.com/is/image/MCY/21008515 ")</f>
        <v xml:space="preserve">http://slimages.macys.com/is/image/MCY/21008515 </v>
      </c>
    </row>
    <row r="345" spans="1:14" ht="24.75" x14ac:dyDescent="0.25">
      <c r="A345" s="21" t="s">
        <v>916</v>
      </c>
      <c r="B345" s="22" t="s">
        <v>917</v>
      </c>
      <c r="C345" s="2">
        <v>1</v>
      </c>
      <c r="D345" s="23">
        <v>11.99</v>
      </c>
      <c r="E345" s="3">
        <v>11.99</v>
      </c>
      <c r="F345" s="2" t="s">
        <v>918</v>
      </c>
      <c r="G345" s="22" t="s">
        <v>18439</v>
      </c>
      <c r="H345" s="24" t="s">
        <v>19364</v>
      </c>
      <c r="I345" s="22" t="s">
        <v>19309</v>
      </c>
      <c r="J345" s="22" t="s">
        <v>19454</v>
      </c>
      <c r="K345" s="22" t="s">
        <v>18654</v>
      </c>
      <c r="L345" s="22"/>
      <c r="M345" s="22"/>
      <c r="N345" s="25" t="str">
        <f>HYPERLINK("http://slimages.macys.com/is/image/MCY/19550438 ")</f>
        <v xml:space="preserve">http://slimages.macys.com/is/image/MCY/19550438 </v>
      </c>
    </row>
    <row r="346" spans="1:14" ht="24.75" x14ac:dyDescent="0.25">
      <c r="A346" s="21" t="s">
        <v>919</v>
      </c>
      <c r="B346" s="22" t="s">
        <v>920</v>
      </c>
      <c r="C346" s="2">
        <v>1</v>
      </c>
      <c r="D346" s="23">
        <v>7.99</v>
      </c>
      <c r="E346" s="3">
        <v>7.99</v>
      </c>
      <c r="F346" s="2" t="s">
        <v>18723</v>
      </c>
      <c r="G346" s="22" t="s">
        <v>19467</v>
      </c>
      <c r="H346" s="24" t="s">
        <v>19377</v>
      </c>
      <c r="I346" s="22" t="s">
        <v>19309</v>
      </c>
      <c r="J346" s="22" t="s">
        <v>19447</v>
      </c>
      <c r="K346" s="22" t="s">
        <v>20146</v>
      </c>
      <c r="L346" s="22"/>
      <c r="M346" s="22"/>
      <c r="N346" s="25" t="str">
        <f>HYPERLINK("http://slimages.macys.com/is/image/MCY/21008517 ")</f>
        <v xml:space="preserve">http://slimages.macys.com/is/image/MCY/21008517 </v>
      </c>
    </row>
    <row r="347" spans="1:14" ht="24.75" x14ac:dyDescent="0.25">
      <c r="A347" s="21" t="s">
        <v>4856</v>
      </c>
      <c r="B347" s="22" t="s">
        <v>4857</v>
      </c>
      <c r="C347" s="2">
        <v>1</v>
      </c>
      <c r="D347" s="23">
        <v>10.99</v>
      </c>
      <c r="E347" s="3">
        <v>10.99</v>
      </c>
      <c r="F347" s="2" t="s">
        <v>13316</v>
      </c>
      <c r="G347" s="22" t="s">
        <v>19351</v>
      </c>
      <c r="H347" s="24" t="s">
        <v>19797</v>
      </c>
      <c r="I347" s="22" t="s">
        <v>19309</v>
      </c>
      <c r="J347" s="22" t="s">
        <v>19353</v>
      </c>
      <c r="K347" s="22" t="s">
        <v>19524</v>
      </c>
      <c r="L347" s="22"/>
      <c r="M347" s="22"/>
      <c r="N347" s="25" t="str">
        <f>HYPERLINK("http://slimages.macys.com/is/image/MCY/21083383 ")</f>
        <v xml:space="preserve">http://slimages.macys.com/is/image/MCY/21083383 </v>
      </c>
    </row>
    <row r="348" spans="1:14" x14ac:dyDescent="0.25">
      <c r="A348" s="21" t="s">
        <v>921</v>
      </c>
      <c r="B348" s="22" t="s">
        <v>922</v>
      </c>
      <c r="C348" s="2">
        <v>1</v>
      </c>
      <c r="D348" s="23">
        <v>24</v>
      </c>
      <c r="E348" s="3">
        <v>24</v>
      </c>
      <c r="F348" s="2" t="s">
        <v>923</v>
      </c>
      <c r="G348" s="22" t="s">
        <v>19333</v>
      </c>
      <c r="H348" s="24" t="s">
        <v>19538</v>
      </c>
      <c r="I348" s="22" t="s">
        <v>19309</v>
      </c>
      <c r="J348" s="22" t="s">
        <v>19417</v>
      </c>
      <c r="K348" s="22" t="s">
        <v>18317</v>
      </c>
      <c r="L348" s="22"/>
      <c r="M348" s="22"/>
      <c r="N348" s="25" t="str">
        <f>HYPERLINK("http://slimages.macys.com/is/image/MCY/21614863 ")</f>
        <v xml:space="preserve">http://slimages.macys.com/is/image/MCY/21614863 </v>
      </c>
    </row>
    <row r="349" spans="1:14" x14ac:dyDescent="0.25">
      <c r="A349" s="21" t="s">
        <v>924</v>
      </c>
      <c r="B349" s="22" t="s">
        <v>925</v>
      </c>
      <c r="C349" s="2">
        <v>2</v>
      </c>
      <c r="D349" s="23">
        <v>9.99</v>
      </c>
      <c r="E349" s="3">
        <v>19.98</v>
      </c>
      <c r="F349" s="2" t="s">
        <v>16361</v>
      </c>
      <c r="G349" s="22" t="s">
        <v>19618</v>
      </c>
      <c r="H349" s="24" t="s">
        <v>19352</v>
      </c>
      <c r="I349" s="22" t="s">
        <v>19309</v>
      </c>
      <c r="J349" s="22" t="s">
        <v>19849</v>
      </c>
      <c r="K349" s="22" t="s">
        <v>19850</v>
      </c>
      <c r="L349" s="22"/>
      <c r="M349" s="22"/>
      <c r="N349" s="25" t="str">
        <f>HYPERLINK("http://slimages.macys.com/is/image/MCY/21309273 ")</f>
        <v xml:space="preserve">http://slimages.macys.com/is/image/MCY/21309273 </v>
      </c>
    </row>
    <row r="350" spans="1:14" ht="24.75" x14ac:dyDescent="0.25">
      <c r="A350" s="21" t="s">
        <v>16703</v>
      </c>
      <c r="B350" s="22" t="s">
        <v>16704</v>
      </c>
      <c r="C350" s="2">
        <v>1</v>
      </c>
      <c r="D350" s="23">
        <v>13.99</v>
      </c>
      <c r="E350" s="3">
        <v>13.99</v>
      </c>
      <c r="F350" s="2" t="s">
        <v>18729</v>
      </c>
      <c r="G350" s="22" t="s">
        <v>19415</v>
      </c>
      <c r="H350" s="24" t="s">
        <v>19330</v>
      </c>
      <c r="I350" s="22" t="s">
        <v>19309</v>
      </c>
      <c r="J350" s="22" t="s">
        <v>19573</v>
      </c>
      <c r="K350" s="22" t="s">
        <v>19574</v>
      </c>
      <c r="L350" s="22"/>
      <c r="M350" s="22"/>
      <c r="N350" s="25" t="str">
        <f>HYPERLINK("http://slimages.macys.com/is/image/MCY/1956290 ")</f>
        <v xml:space="preserve">http://slimages.macys.com/is/image/MCY/1956290 </v>
      </c>
    </row>
    <row r="351" spans="1:14" ht="24.75" x14ac:dyDescent="0.25">
      <c r="A351" s="21" t="s">
        <v>926</v>
      </c>
      <c r="B351" s="22" t="s">
        <v>927</v>
      </c>
      <c r="C351" s="2">
        <v>1</v>
      </c>
      <c r="D351" s="23">
        <v>13.99</v>
      </c>
      <c r="E351" s="3">
        <v>13.99</v>
      </c>
      <c r="F351" s="2" t="s">
        <v>18729</v>
      </c>
      <c r="G351" s="22" t="s">
        <v>19670</v>
      </c>
      <c r="H351" s="24" t="s">
        <v>19324</v>
      </c>
      <c r="I351" s="22" t="s">
        <v>19309</v>
      </c>
      <c r="J351" s="22" t="s">
        <v>19573</v>
      </c>
      <c r="K351" s="22" t="s">
        <v>19574</v>
      </c>
      <c r="L351" s="22"/>
      <c r="M351" s="22"/>
      <c r="N351" s="25" t="str">
        <f>HYPERLINK("http://slimages.macys.com/is/image/MCY/1956290 ")</f>
        <v xml:space="preserve">http://slimages.macys.com/is/image/MCY/1956290 </v>
      </c>
    </row>
    <row r="352" spans="1:14" ht="24.75" x14ac:dyDescent="0.25">
      <c r="A352" s="21" t="s">
        <v>13324</v>
      </c>
      <c r="B352" s="22" t="s">
        <v>13325</v>
      </c>
      <c r="C352" s="2">
        <v>1</v>
      </c>
      <c r="D352" s="23">
        <v>13.99</v>
      </c>
      <c r="E352" s="3">
        <v>13.99</v>
      </c>
      <c r="F352" s="2" t="s">
        <v>18729</v>
      </c>
      <c r="G352" s="22" t="s">
        <v>19415</v>
      </c>
      <c r="H352" s="24" t="s">
        <v>19324</v>
      </c>
      <c r="I352" s="22" t="s">
        <v>19309</v>
      </c>
      <c r="J352" s="22" t="s">
        <v>19573</v>
      </c>
      <c r="K352" s="22" t="s">
        <v>19574</v>
      </c>
      <c r="L352" s="22"/>
      <c r="M352" s="22"/>
      <c r="N352" s="25" t="str">
        <f>HYPERLINK("http://slimages.macys.com/is/image/MCY/1520506 ")</f>
        <v xml:space="preserve">http://slimages.macys.com/is/image/MCY/1520506 </v>
      </c>
    </row>
    <row r="353" spans="1:14" ht="24.75" x14ac:dyDescent="0.25">
      <c r="A353" s="21" t="s">
        <v>13320</v>
      </c>
      <c r="B353" s="22" t="s">
        <v>13321</v>
      </c>
      <c r="C353" s="2">
        <v>1</v>
      </c>
      <c r="D353" s="23">
        <v>13.99</v>
      </c>
      <c r="E353" s="3">
        <v>13.99</v>
      </c>
      <c r="F353" s="2" t="s">
        <v>18729</v>
      </c>
      <c r="G353" s="22" t="s">
        <v>19415</v>
      </c>
      <c r="H353" s="24" t="s">
        <v>19538</v>
      </c>
      <c r="I353" s="22" t="s">
        <v>19309</v>
      </c>
      <c r="J353" s="22" t="s">
        <v>19573</v>
      </c>
      <c r="K353" s="22" t="s">
        <v>19574</v>
      </c>
      <c r="L353" s="22"/>
      <c r="M353" s="22"/>
      <c r="N353" s="25" t="str">
        <f>HYPERLINK("http://slimages.macys.com/is/image/MCY/1956290 ")</f>
        <v xml:space="preserve">http://slimages.macys.com/is/image/MCY/1956290 </v>
      </c>
    </row>
    <row r="354" spans="1:14" ht="24.75" x14ac:dyDescent="0.25">
      <c r="A354" s="21" t="s">
        <v>16719</v>
      </c>
      <c r="B354" s="22" t="s">
        <v>16720</v>
      </c>
      <c r="C354" s="2">
        <v>4</v>
      </c>
      <c r="D354" s="23">
        <v>9.99</v>
      </c>
      <c r="E354" s="3">
        <v>39.96</v>
      </c>
      <c r="F354" s="2" t="s">
        <v>16716</v>
      </c>
      <c r="G354" s="22" t="s">
        <v>19431</v>
      </c>
      <c r="H354" s="24" t="s">
        <v>19542</v>
      </c>
      <c r="I354" s="22" t="s">
        <v>19309</v>
      </c>
      <c r="J354" s="22" t="s">
        <v>19908</v>
      </c>
      <c r="K354" s="22" t="s">
        <v>19524</v>
      </c>
      <c r="L354" s="22"/>
      <c r="M354" s="22"/>
      <c r="N354" s="25" t="str">
        <f>HYPERLINK("http://slimages.macys.com/is/image/MCY/21727207 ")</f>
        <v xml:space="preserve">http://slimages.macys.com/is/image/MCY/21727207 </v>
      </c>
    </row>
    <row r="355" spans="1:14" ht="24.75" x14ac:dyDescent="0.25">
      <c r="A355" s="21" t="s">
        <v>928</v>
      </c>
      <c r="B355" s="22" t="s">
        <v>929</v>
      </c>
      <c r="C355" s="2">
        <v>1</v>
      </c>
      <c r="D355" s="23">
        <v>9.99</v>
      </c>
      <c r="E355" s="3">
        <v>9.99</v>
      </c>
      <c r="F355" s="2" t="s">
        <v>16716</v>
      </c>
      <c r="G355" s="22" t="s">
        <v>19422</v>
      </c>
      <c r="H355" s="24" t="s">
        <v>19361</v>
      </c>
      <c r="I355" s="22" t="s">
        <v>19309</v>
      </c>
      <c r="J355" s="22" t="s">
        <v>19908</v>
      </c>
      <c r="K355" s="22" t="s">
        <v>19524</v>
      </c>
      <c r="L355" s="22"/>
      <c r="M355" s="22"/>
      <c r="N355" s="25" t="str">
        <f>HYPERLINK("http://slimages.macys.com/is/image/MCY/21727207 ")</f>
        <v xml:space="preserve">http://slimages.macys.com/is/image/MCY/21727207 </v>
      </c>
    </row>
    <row r="356" spans="1:14" ht="24.75" x14ac:dyDescent="0.25">
      <c r="A356" s="21" t="s">
        <v>9028</v>
      </c>
      <c r="B356" s="22" t="s">
        <v>9029</v>
      </c>
      <c r="C356" s="2">
        <v>1</v>
      </c>
      <c r="D356" s="23">
        <v>9.99</v>
      </c>
      <c r="E356" s="3">
        <v>9.99</v>
      </c>
      <c r="F356" s="2" t="s">
        <v>16716</v>
      </c>
      <c r="G356" s="22" t="s">
        <v>19357</v>
      </c>
      <c r="H356" s="24" t="s">
        <v>19542</v>
      </c>
      <c r="I356" s="22" t="s">
        <v>19309</v>
      </c>
      <c r="J356" s="22" t="s">
        <v>19908</v>
      </c>
      <c r="K356" s="22" t="s">
        <v>19524</v>
      </c>
      <c r="L356" s="22"/>
      <c r="M356" s="22"/>
      <c r="N356" s="25" t="str">
        <f>HYPERLINK("http://slimages.macys.com/is/image/MCY/21727207 ")</f>
        <v xml:space="preserve">http://slimages.macys.com/is/image/MCY/21727207 </v>
      </c>
    </row>
    <row r="357" spans="1:14" ht="24.75" x14ac:dyDescent="0.25">
      <c r="A357" s="21" t="s">
        <v>9026</v>
      </c>
      <c r="B357" s="22" t="s">
        <v>9027</v>
      </c>
      <c r="C357" s="2">
        <v>3</v>
      </c>
      <c r="D357" s="23">
        <v>9.99</v>
      </c>
      <c r="E357" s="3">
        <v>29.97</v>
      </c>
      <c r="F357" s="2" t="s">
        <v>16716</v>
      </c>
      <c r="G357" s="22" t="s">
        <v>19431</v>
      </c>
      <c r="H357" s="24" t="s">
        <v>19377</v>
      </c>
      <c r="I357" s="22" t="s">
        <v>19309</v>
      </c>
      <c r="J357" s="22" t="s">
        <v>19908</v>
      </c>
      <c r="K357" s="22" t="s">
        <v>19524</v>
      </c>
      <c r="L357" s="22"/>
      <c r="M357" s="22"/>
      <c r="N357" s="25" t="str">
        <f>HYPERLINK("http://slimages.macys.com/is/image/MCY/21727207 ")</f>
        <v xml:space="preserve">http://slimages.macys.com/is/image/MCY/21727207 </v>
      </c>
    </row>
    <row r="358" spans="1:14" ht="24.75" x14ac:dyDescent="0.25">
      <c r="A358" s="21" t="s">
        <v>6048</v>
      </c>
      <c r="B358" s="22" t="s">
        <v>6049</v>
      </c>
      <c r="C358" s="2">
        <v>2</v>
      </c>
      <c r="D358" s="23">
        <v>9.99</v>
      </c>
      <c r="E358" s="3">
        <v>19.98</v>
      </c>
      <c r="F358" s="2" t="s">
        <v>16716</v>
      </c>
      <c r="G358" s="22" t="s">
        <v>19431</v>
      </c>
      <c r="H358" s="24" t="s">
        <v>20089</v>
      </c>
      <c r="I358" s="22" t="s">
        <v>19309</v>
      </c>
      <c r="J358" s="22" t="s">
        <v>19908</v>
      </c>
      <c r="K358" s="22" t="s">
        <v>19524</v>
      </c>
      <c r="L358" s="22"/>
      <c r="M358" s="22"/>
      <c r="N358" s="25" t="str">
        <f>HYPERLINK("http://slimages.macys.com/is/image/MCY/21727207 ")</f>
        <v xml:space="preserve">http://slimages.macys.com/is/image/MCY/21727207 </v>
      </c>
    </row>
    <row r="359" spans="1:14" ht="24.75" x14ac:dyDescent="0.25">
      <c r="A359" s="21" t="s">
        <v>930</v>
      </c>
      <c r="B359" s="22" t="s">
        <v>931</v>
      </c>
      <c r="C359" s="2">
        <v>1</v>
      </c>
      <c r="D359" s="23">
        <v>9.99</v>
      </c>
      <c r="E359" s="3">
        <v>9.99</v>
      </c>
      <c r="F359" s="2" t="s">
        <v>18735</v>
      </c>
      <c r="G359" s="22" t="s">
        <v>19906</v>
      </c>
      <c r="H359" s="24" t="s">
        <v>19364</v>
      </c>
      <c r="I359" s="22" t="s">
        <v>19309</v>
      </c>
      <c r="J359" s="22" t="s">
        <v>19815</v>
      </c>
      <c r="K359" s="22" t="s">
        <v>19816</v>
      </c>
      <c r="L359" s="22"/>
      <c r="M359" s="22"/>
      <c r="N359" s="25" t="str">
        <f>HYPERLINK("http://slimages.macys.com/is/image/MCY/21769961 ")</f>
        <v xml:space="preserve">http://slimages.macys.com/is/image/MCY/21769961 </v>
      </c>
    </row>
    <row r="360" spans="1:14" ht="24.75" x14ac:dyDescent="0.25">
      <c r="A360" s="21" t="s">
        <v>6945</v>
      </c>
      <c r="B360" s="22" t="s">
        <v>6946</v>
      </c>
      <c r="C360" s="2">
        <v>2</v>
      </c>
      <c r="D360" s="23">
        <v>9.99</v>
      </c>
      <c r="E360" s="3">
        <v>19.98</v>
      </c>
      <c r="F360" s="2" t="s">
        <v>16716</v>
      </c>
      <c r="G360" s="22" t="s">
        <v>19431</v>
      </c>
      <c r="H360" s="24" t="s">
        <v>19907</v>
      </c>
      <c r="I360" s="22" t="s">
        <v>19309</v>
      </c>
      <c r="J360" s="22" t="s">
        <v>19908</v>
      </c>
      <c r="K360" s="22" t="s">
        <v>19524</v>
      </c>
      <c r="L360" s="22"/>
      <c r="M360" s="22"/>
      <c r="N360" s="25" t="str">
        <f t="shared" ref="N360:N367" si="2">HYPERLINK("http://slimages.macys.com/is/image/MCY/21727207 ")</f>
        <v xml:space="preserve">http://slimages.macys.com/is/image/MCY/21727207 </v>
      </c>
    </row>
    <row r="361" spans="1:14" ht="24.75" x14ac:dyDescent="0.25">
      <c r="A361" s="21" t="s">
        <v>16367</v>
      </c>
      <c r="B361" s="22" t="s">
        <v>16368</v>
      </c>
      <c r="C361" s="2">
        <v>1</v>
      </c>
      <c r="D361" s="23">
        <v>9.99</v>
      </c>
      <c r="E361" s="3">
        <v>9.99</v>
      </c>
      <c r="F361" s="2" t="s">
        <v>16716</v>
      </c>
      <c r="G361" s="22" t="s">
        <v>19357</v>
      </c>
      <c r="H361" s="24" t="s">
        <v>20135</v>
      </c>
      <c r="I361" s="22" t="s">
        <v>19309</v>
      </c>
      <c r="J361" s="22" t="s">
        <v>19908</v>
      </c>
      <c r="K361" s="22" t="s">
        <v>19524</v>
      </c>
      <c r="L361" s="22"/>
      <c r="M361" s="22"/>
      <c r="N361" s="25" t="str">
        <f t="shared" si="2"/>
        <v xml:space="preserve">http://slimages.macys.com/is/image/MCY/21727207 </v>
      </c>
    </row>
    <row r="362" spans="1:14" ht="24.75" x14ac:dyDescent="0.25">
      <c r="A362" s="21" t="s">
        <v>16717</v>
      </c>
      <c r="B362" s="22" t="s">
        <v>16718</v>
      </c>
      <c r="C362" s="2">
        <v>1</v>
      </c>
      <c r="D362" s="23">
        <v>9.99</v>
      </c>
      <c r="E362" s="3">
        <v>9.99</v>
      </c>
      <c r="F362" s="2" t="s">
        <v>16716</v>
      </c>
      <c r="G362" s="22" t="s">
        <v>19431</v>
      </c>
      <c r="H362" s="24" t="s">
        <v>20135</v>
      </c>
      <c r="I362" s="22" t="s">
        <v>19309</v>
      </c>
      <c r="J362" s="22" t="s">
        <v>19908</v>
      </c>
      <c r="K362" s="22" t="s">
        <v>19524</v>
      </c>
      <c r="L362" s="22"/>
      <c r="M362" s="22"/>
      <c r="N362" s="25" t="str">
        <f t="shared" si="2"/>
        <v xml:space="preserve">http://slimages.macys.com/is/image/MCY/21727207 </v>
      </c>
    </row>
    <row r="363" spans="1:14" ht="24.75" x14ac:dyDescent="0.25">
      <c r="A363" s="21" t="s">
        <v>16365</v>
      </c>
      <c r="B363" s="22" t="s">
        <v>16366</v>
      </c>
      <c r="C363" s="2">
        <v>1</v>
      </c>
      <c r="D363" s="23">
        <v>9.99</v>
      </c>
      <c r="E363" s="3">
        <v>9.99</v>
      </c>
      <c r="F363" s="2" t="s">
        <v>16716</v>
      </c>
      <c r="G363" s="22" t="s">
        <v>19357</v>
      </c>
      <c r="H363" s="24" t="s">
        <v>20089</v>
      </c>
      <c r="I363" s="22" t="s">
        <v>19309</v>
      </c>
      <c r="J363" s="22" t="s">
        <v>19908</v>
      </c>
      <c r="K363" s="22" t="s">
        <v>19524</v>
      </c>
      <c r="L363" s="22"/>
      <c r="M363" s="22"/>
      <c r="N363" s="25" t="str">
        <f t="shared" si="2"/>
        <v xml:space="preserve">http://slimages.macys.com/is/image/MCY/21727207 </v>
      </c>
    </row>
    <row r="364" spans="1:14" ht="24.75" x14ac:dyDescent="0.25">
      <c r="A364" s="21" t="s">
        <v>16721</v>
      </c>
      <c r="B364" s="22" t="s">
        <v>16722</v>
      </c>
      <c r="C364" s="2">
        <v>2</v>
      </c>
      <c r="D364" s="23">
        <v>9.99</v>
      </c>
      <c r="E364" s="3">
        <v>19.98</v>
      </c>
      <c r="F364" s="2" t="s">
        <v>16716</v>
      </c>
      <c r="G364" s="22" t="s">
        <v>19357</v>
      </c>
      <c r="H364" s="24" t="s">
        <v>19377</v>
      </c>
      <c r="I364" s="22" t="s">
        <v>19309</v>
      </c>
      <c r="J364" s="22" t="s">
        <v>19908</v>
      </c>
      <c r="K364" s="22" t="s">
        <v>19524</v>
      </c>
      <c r="L364" s="22"/>
      <c r="M364" s="22"/>
      <c r="N364" s="25" t="str">
        <f t="shared" si="2"/>
        <v xml:space="preserve">http://slimages.macys.com/is/image/MCY/21727207 </v>
      </c>
    </row>
    <row r="365" spans="1:14" ht="24.75" x14ac:dyDescent="0.25">
      <c r="A365" s="21" t="s">
        <v>9030</v>
      </c>
      <c r="B365" s="22" t="s">
        <v>9031</v>
      </c>
      <c r="C365" s="2">
        <v>1</v>
      </c>
      <c r="D365" s="23">
        <v>9.99</v>
      </c>
      <c r="E365" s="3">
        <v>9.99</v>
      </c>
      <c r="F365" s="2" t="s">
        <v>16716</v>
      </c>
      <c r="G365" s="22" t="s">
        <v>19431</v>
      </c>
      <c r="H365" s="24" t="s">
        <v>19361</v>
      </c>
      <c r="I365" s="22" t="s">
        <v>19309</v>
      </c>
      <c r="J365" s="22" t="s">
        <v>19908</v>
      </c>
      <c r="K365" s="22" t="s">
        <v>19524</v>
      </c>
      <c r="L365" s="22"/>
      <c r="M365" s="22"/>
      <c r="N365" s="25" t="str">
        <f t="shared" si="2"/>
        <v xml:space="preserve">http://slimages.macys.com/is/image/MCY/21727207 </v>
      </c>
    </row>
    <row r="366" spans="1:14" ht="24.75" x14ac:dyDescent="0.25">
      <c r="A366" s="21" t="s">
        <v>16714</v>
      </c>
      <c r="B366" s="22" t="s">
        <v>16715</v>
      </c>
      <c r="C366" s="2">
        <v>2</v>
      </c>
      <c r="D366" s="23">
        <v>9.99</v>
      </c>
      <c r="E366" s="3">
        <v>19.98</v>
      </c>
      <c r="F366" s="2" t="s">
        <v>16716</v>
      </c>
      <c r="G366" s="22" t="s">
        <v>19422</v>
      </c>
      <c r="H366" s="24" t="s">
        <v>19377</v>
      </c>
      <c r="I366" s="22" t="s">
        <v>19309</v>
      </c>
      <c r="J366" s="22" t="s">
        <v>19908</v>
      </c>
      <c r="K366" s="22" t="s">
        <v>19524</v>
      </c>
      <c r="L366" s="22"/>
      <c r="M366" s="22"/>
      <c r="N366" s="25" t="str">
        <f t="shared" si="2"/>
        <v xml:space="preserve">http://slimages.macys.com/is/image/MCY/21727207 </v>
      </c>
    </row>
    <row r="367" spans="1:14" ht="24.75" x14ac:dyDescent="0.25">
      <c r="A367" s="21" t="s">
        <v>16723</v>
      </c>
      <c r="B367" s="22" t="s">
        <v>16724</v>
      </c>
      <c r="C367" s="2">
        <v>1</v>
      </c>
      <c r="D367" s="23">
        <v>9.99</v>
      </c>
      <c r="E367" s="3">
        <v>9.99</v>
      </c>
      <c r="F367" s="2" t="s">
        <v>16716</v>
      </c>
      <c r="G367" s="22" t="s">
        <v>19357</v>
      </c>
      <c r="H367" s="24" t="s">
        <v>19907</v>
      </c>
      <c r="I367" s="22" t="s">
        <v>19309</v>
      </c>
      <c r="J367" s="22" t="s">
        <v>19908</v>
      </c>
      <c r="K367" s="22" t="s">
        <v>19524</v>
      </c>
      <c r="L367" s="22"/>
      <c r="M367" s="22"/>
      <c r="N367" s="25" t="str">
        <f t="shared" si="2"/>
        <v xml:space="preserve">http://slimages.macys.com/is/image/MCY/21727207 </v>
      </c>
    </row>
    <row r="368" spans="1:14" x14ac:dyDescent="0.25">
      <c r="A368" s="21" t="s">
        <v>932</v>
      </c>
      <c r="B368" s="22" t="s">
        <v>933</v>
      </c>
      <c r="C368" s="2">
        <v>1</v>
      </c>
      <c r="D368" s="23">
        <v>11.38</v>
      </c>
      <c r="E368" s="3">
        <v>11.38</v>
      </c>
      <c r="F368" s="2" t="s">
        <v>934</v>
      </c>
      <c r="G368" s="22"/>
      <c r="H368" s="24" t="s">
        <v>19367</v>
      </c>
      <c r="I368" s="22" t="s">
        <v>19309</v>
      </c>
      <c r="J368" s="22" t="s">
        <v>19708</v>
      </c>
      <c r="K368" s="22" t="s">
        <v>19709</v>
      </c>
      <c r="L368" s="22"/>
      <c r="M368" s="22"/>
      <c r="N368" s="25" t="str">
        <f>HYPERLINK("http://slimages.macys.com/is/image/MCY/21414350 ")</f>
        <v xml:space="preserve">http://slimages.macys.com/is/image/MCY/21414350 </v>
      </c>
    </row>
    <row r="369" spans="1:14" x14ac:dyDescent="0.25">
      <c r="A369" s="21" t="s">
        <v>2947</v>
      </c>
      <c r="B369" s="22" t="s">
        <v>2948</v>
      </c>
      <c r="C369" s="2">
        <v>1</v>
      </c>
      <c r="D369" s="23">
        <v>11.38</v>
      </c>
      <c r="E369" s="3">
        <v>11.38</v>
      </c>
      <c r="F369" s="2" t="s">
        <v>18749</v>
      </c>
      <c r="G369" s="22"/>
      <c r="H369" s="24" t="s">
        <v>20159</v>
      </c>
      <c r="I369" s="22" t="s">
        <v>19309</v>
      </c>
      <c r="J369" s="22" t="s">
        <v>19708</v>
      </c>
      <c r="K369" s="22" t="s">
        <v>19709</v>
      </c>
      <c r="L369" s="22"/>
      <c r="M369" s="22"/>
      <c r="N369" s="25" t="str">
        <f>HYPERLINK("http://slimages.macys.com/is/image/MCY/21414119 ")</f>
        <v xml:space="preserve">http://slimages.macys.com/is/image/MCY/21414119 </v>
      </c>
    </row>
    <row r="370" spans="1:14" x14ac:dyDescent="0.25">
      <c r="A370" s="21" t="s">
        <v>935</v>
      </c>
      <c r="B370" s="22" t="s">
        <v>936</v>
      </c>
      <c r="C370" s="2">
        <v>1</v>
      </c>
      <c r="D370" s="23">
        <v>11.38</v>
      </c>
      <c r="E370" s="3">
        <v>11.38</v>
      </c>
      <c r="F370" s="2" t="s">
        <v>13963</v>
      </c>
      <c r="G370" s="22"/>
      <c r="H370" s="24" t="s">
        <v>19367</v>
      </c>
      <c r="I370" s="22" t="s">
        <v>19309</v>
      </c>
      <c r="J370" s="22" t="s">
        <v>19708</v>
      </c>
      <c r="K370" s="22" t="s">
        <v>19709</v>
      </c>
      <c r="L370" s="22"/>
      <c r="M370" s="22"/>
      <c r="N370" s="25" t="str">
        <f>HYPERLINK("http://slimages.macys.com/is/image/MCY/21414194 ")</f>
        <v xml:space="preserve">http://slimages.macys.com/is/image/MCY/21414194 </v>
      </c>
    </row>
    <row r="371" spans="1:14" ht="24.75" x14ac:dyDescent="0.25">
      <c r="A371" s="21" t="s">
        <v>18761</v>
      </c>
      <c r="B371" s="22" t="s">
        <v>18762</v>
      </c>
      <c r="C371" s="2">
        <v>1</v>
      </c>
      <c r="D371" s="23">
        <v>10.99</v>
      </c>
      <c r="E371" s="3">
        <v>10.99</v>
      </c>
      <c r="F371" s="2" t="s">
        <v>18763</v>
      </c>
      <c r="G371" s="22" t="s">
        <v>18764</v>
      </c>
      <c r="H371" s="24"/>
      <c r="I371" s="22" t="s">
        <v>19309</v>
      </c>
      <c r="J371" s="22" t="s">
        <v>19573</v>
      </c>
      <c r="K371" s="22" t="s">
        <v>19574</v>
      </c>
      <c r="L371" s="22"/>
      <c r="M371" s="22"/>
      <c r="N371" s="25" t="str">
        <f>HYPERLINK("http://slimages.macys.com/is/image/MCY/17720840 ")</f>
        <v xml:space="preserve">http://slimages.macys.com/is/image/MCY/17720840 </v>
      </c>
    </row>
    <row r="372" spans="1:14" ht="24.75" x14ac:dyDescent="0.25">
      <c r="A372" s="21" t="s">
        <v>13964</v>
      </c>
      <c r="B372" s="22" t="s">
        <v>13965</v>
      </c>
      <c r="C372" s="2">
        <v>1</v>
      </c>
      <c r="D372" s="23">
        <v>10.99</v>
      </c>
      <c r="E372" s="3">
        <v>10.99</v>
      </c>
      <c r="F372" s="2" t="s">
        <v>18763</v>
      </c>
      <c r="G372" s="22" t="s">
        <v>18764</v>
      </c>
      <c r="H372" s="24" t="s">
        <v>19324</v>
      </c>
      <c r="I372" s="22" t="s">
        <v>19309</v>
      </c>
      <c r="J372" s="22" t="s">
        <v>19573</v>
      </c>
      <c r="K372" s="22" t="s">
        <v>19574</v>
      </c>
      <c r="L372" s="22"/>
      <c r="M372" s="22"/>
      <c r="N372" s="25" t="str">
        <f>HYPERLINK("http://slimages.macys.com/is/image/MCY/17720840 ")</f>
        <v xml:space="preserve">http://slimages.macys.com/is/image/MCY/17720840 </v>
      </c>
    </row>
    <row r="373" spans="1:14" ht="24.75" x14ac:dyDescent="0.25">
      <c r="A373" s="21" t="s">
        <v>13330</v>
      </c>
      <c r="B373" s="22" t="s">
        <v>13331</v>
      </c>
      <c r="C373" s="2">
        <v>1</v>
      </c>
      <c r="D373" s="23">
        <v>10.99</v>
      </c>
      <c r="E373" s="3">
        <v>10.99</v>
      </c>
      <c r="F373" s="2" t="s">
        <v>18763</v>
      </c>
      <c r="G373" s="22" t="s">
        <v>18764</v>
      </c>
      <c r="H373" s="24" t="s">
        <v>19330</v>
      </c>
      <c r="I373" s="22" t="s">
        <v>19309</v>
      </c>
      <c r="J373" s="22" t="s">
        <v>19573</v>
      </c>
      <c r="K373" s="22" t="s">
        <v>19574</v>
      </c>
      <c r="L373" s="22"/>
      <c r="M373" s="22"/>
      <c r="N373" s="25" t="str">
        <f>HYPERLINK("http://slimages.macys.com/is/image/MCY/17720840 ")</f>
        <v xml:space="preserve">http://slimages.macys.com/is/image/MCY/17720840 </v>
      </c>
    </row>
    <row r="374" spans="1:14" ht="24.75" x14ac:dyDescent="0.25">
      <c r="A374" s="21" t="s">
        <v>13332</v>
      </c>
      <c r="B374" s="22" t="s">
        <v>13333</v>
      </c>
      <c r="C374" s="2">
        <v>2</v>
      </c>
      <c r="D374" s="23">
        <v>10.99</v>
      </c>
      <c r="E374" s="3">
        <v>21.98</v>
      </c>
      <c r="F374" s="2" t="s">
        <v>18763</v>
      </c>
      <c r="G374" s="22" t="s">
        <v>18764</v>
      </c>
      <c r="H374" s="24" t="s">
        <v>19538</v>
      </c>
      <c r="I374" s="22" t="s">
        <v>19309</v>
      </c>
      <c r="J374" s="22" t="s">
        <v>19573</v>
      </c>
      <c r="K374" s="22" t="s">
        <v>19574</v>
      </c>
      <c r="L374" s="22"/>
      <c r="M374" s="22"/>
      <c r="N374" s="25" t="str">
        <f>HYPERLINK("http://slimages.macys.com/is/image/MCY/17720840 ")</f>
        <v xml:space="preserve">http://slimages.macys.com/is/image/MCY/17720840 </v>
      </c>
    </row>
    <row r="375" spans="1:14" ht="24.75" x14ac:dyDescent="0.25">
      <c r="A375" s="21" t="s">
        <v>9053</v>
      </c>
      <c r="B375" s="22" t="s">
        <v>9054</v>
      </c>
      <c r="C375" s="2">
        <v>1</v>
      </c>
      <c r="D375" s="23">
        <v>10.99</v>
      </c>
      <c r="E375" s="3">
        <v>10.99</v>
      </c>
      <c r="F375" s="2" t="s">
        <v>9055</v>
      </c>
      <c r="G375" s="22" t="s">
        <v>19674</v>
      </c>
      <c r="H375" s="24" t="s">
        <v>19352</v>
      </c>
      <c r="I375" s="22" t="s">
        <v>19309</v>
      </c>
      <c r="J375" s="22" t="s">
        <v>19353</v>
      </c>
      <c r="K375" s="22" t="s">
        <v>19524</v>
      </c>
      <c r="L375" s="22"/>
      <c r="M375" s="22"/>
      <c r="N375" s="25" t="str">
        <f>HYPERLINK("http://slimages.macys.com/is/image/MCY/21233424 ")</f>
        <v xml:space="preserve">http://slimages.macys.com/is/image/MCY/21233424 </v>
      </c>
    </row>
    <row r="376" spans="1:14" ht="24.75" x14ac:dyDescent="0.25">
      <c r="A376" s="21" t="s">
        <v>9056</v>
      </c>
      <c r="B376" s="22" t="s">
        <v>9057</v>
      </c>
      <c r="C376" s="2">
        <v>1</v>
      </c>
      <c r="D376" s="23">
        <v>10.99</v>
      </c>
      <c r="E376" s="3">
        <v>10.99</v>
      </c>
      <c r="F376" s="2" t="s">
        <v>9055</v>
      </c>
      <c r="G376" s="22" t="s">
        <v>19674</v>
      </c>
      <c r="H376" s="24" t="s">
        <v>19339</v>
      </c>
      <c r="I376" s="22" t="s">
        <v>19309</v>
      </c>
      <c r="J376" s="22" t="s">
        <v>19353</v>
      </c>
      <c r="K376" s="22" t="s">
        <v>19524</v>
      </c>
      <c r="L376" s="22"/>
      <c r="M376" s="22"/>
      <c r="N376" s="25" t="str">
        <f>HYPERLINK("http://slimages.macys.com/is/image/MCY/21233424 ")</f>
        <v xml:space="preserve">http://slimages.macys.com/is/image/MCY/21233424 </v>
      </c>
    </row>
    <row r="377" spans="1:14" ht="24.75" x14ac:dyDescent="0.25">
      <c r="A377" s="21" t="s">
        <v>937</v>
      </c>
      <c r="B377" s="22" t="s">
        <v>938</v>
      </c>
      <c r="C377" s="2">
        <v>1</v>
      </c>
      <c r="D377" s="23">
        <v>11.99</v>
      </c>
      <c r="E377" s="3">
        <v>11.99</v>
      </c>
      <c r="F377" s="2" t="s">
        <v>939</v>
      </c>
      <c r="G377" s="22" t="s">
        <v>19333</v>
      </c>
      <c r="H377" s="24" t="s">
        <v>19361</v>
      </c>
      <c r="I377" s="22" t="s">
        <v>19309</v>
      </c>
      <c r="J377" s="22" t="s">
        <v>19908</v>
      </c>
      <c r="K377" s="22" t="s">
        <v>19524</v>
      </c>
      <c r="L377" s="22"/>
      <c r="M377" s="22"/>
      <c r="N377" s="25" t="str">
        <f>HYPERLINK("http://slimages.macys.com/is/image/MCY/21243375 ")</f>
        <v xml:space="preserve">http://slimages.macys.com/is/image/MCY/21243375 </v>
      </c>
    </row>
    <row r="378" spans="1:14" ht="24.75" x14ac:dyDescent="0.25">
      <c r="A378" s="21" t="s">
        <v>940</v>
      </c>
      <c r="B378" s="22" t="s">
        <v>941</v>
      </c>
      <c r="C378" s="2">
        <v>1</v>
      </c>
      <c r="D378" s="23">
        <v>10.99</v>
      </c>
      <c r="E378" s="3">
        <v>10.99</v>
      </c>
      <c r="F378" s="2" t="s">
        <v>942</v>
      </c>
      <c r="G378" s="22" t="s">
        <v>19618</v>
      </c>
      <c r="H378" s="24" t="s">
        <v>19352</v>
      </c>
      <c r="I378" s="22" t="s">
        <v>19309</v>
      </c>
      <c r="J378" s="22" t="s">
        <v>19353</v>
      </c>
      <c r="K378" s="22" t="s">
        <v>19524</v>
      </c>
      <c r="L378" s="22"/>
      <c r="M378" s="22"/>
      <c r="N378" s="25" t="str">
        <f>HYPERLINK("http://slimages.macys.com/is/image/MCY/21233418 ")</f>
        <v xml:space="preserve">http://slimages.macys.com/is/image/MCY/21233418 </v>
      </c>
    </row>
    <row r="379" spans="1:14" ht="24.75" x14ac:dyDescent="0.25">
      <c r="A379" s="21" t="s">
        <v>943</v>
      </c>
      <c r="B379" s="22" t="s">
        <v>944</v>
      </c>
      <c r="C379" s="2">
        <v>1</v>
      </c>
      <c r="D379" s="23">
        <v>10.99</v>
      </c>
      <c r="E379" s="3">
        <v>10.99</v>
      </c>
      <c r="F379" s="2" t="s">
        <v>9986</v>
      </c>
      <c r="G379" s="22" t="s">
        <v>19323</v>
      </c>
      <c r="H379" s="24" t="s">
        <v>19339</v>
      </c>
      <c r="I379" s="22" t="s">
        <v>19309</v>
      </c>
      <c r="J379" s="22" t="s">
        <v>19353</v>
      </c>
      <c r="K379" s="22" t="s">
        <v>19524</v>
      </c>
      <c r="L379" s="22"/>
      <c r="M379" s="22"/>
      <c r="N379" s="25" t="str">
        <f>HYPERLINK("http://slimages.macys.com/is/image/MCY/20440807 ")</f>
        <v xml:space="preserve">http://slimages.macys.com/is/image/MCY/20440807 </v>
      </c>
    </row>
    <row r="380" spans="1:14" ht="24.75" x14ac:dyDescent="0.25">
      <c r="A380" s="21" t="s">
        <v>18776</v>
      </c>
      <c r="B380" s="22" t="s">
        <v>18777</v>
      </c>
      <c r="C380" s="2">
        <v>1</v>
      </c>
      <c r="D380" s="23">
        <v>9.99</v>
      </c>
      <c r="E380" s="3">
        <v>9.99</v>
      </c>
      <c r="F380" s="2" t="s">
        <v>18773</v>
      </c>
      <c r="G380" s="22" t="s">
        <v>19422</v>
      </c>
      <c r="H380" s="24"/>
      <c r="I380" s="22" t="s">
        <v>19309</v>
      </c>
      <c r="J380" s="22" t="s">
        <v>19573</v>
      </c>
      <c r="K380" s="22" t="s">
        <v>19574</v>
      </c>
      <c r="L380" s="22"/>
      <c r="M380" s="22"/>
      <c r="N380" s="25" t="str">
        <f>HYPERLINK("http://slimages.macys.com/is/image/MCY/1322715 ")</f>
        <v xml:space="preserve">http://slimages.macys.com/is/image/MCY/1322715 </v>
      </c>
    </row>
    <row r="381" spans="1:14" ht="24.75" x14ac:dyDescent="0.25">
      <c r="A381" s="21" t="s">
        <v>18771</v>
      </c>
      <c r="B381" s="22" t="s">
        <v>18772</v>
      </c>
      <c r="C381" s="2">
        <v>1</v>
      </c>
      <c r="D381" s="23">
        <v>9.99</v>
      </c>
      <c r="E381" s="3">
        <v>9.99</v>
      </c>
      <c r="F381" s="2" t="s">
        <v>18773</v>
      </c>
      <c r="G381" s="22" t="s">
        <v>19422</v>
      </c>
      <c r="H381" s="24" t="s">
        <v>19538</v>
      </c>
      <c r="I381" s="22" t="s">
        <v>19309</v>
      </c>
      <c r="J381" s="22" t="s">
        <v>19573</v>
      </c>
      <c r="K381" s="22" t="s">
        <v>19574</v>
      </c>
      <c r="L381" s="22"/>
      <c r="M381" s="22"/>
      <c r="N381" s="25" t="str">
        <f>HYPERLINK("http://slimages.macys.com/is/image/MCY/1322715 ")</f>
        <v xml:space="preserve">http://slimages.macys.com/is/image/MCY/1322715 </v>
      </c>
    </row>
    <row r="382" spans="1:14" x14ac:dyDescent="0.25">
      <c r="A382" s="21" t="s">
        <v>945</v>
      </c>
      <c r="B382" s="22" t="s">
        <v>946</v>
      </c>
      <c r="C382" s="2">
        <v>1</v>
      </c>
      <c r="D382" s="23">
        <v>8.64</v>
      </c>
      <c r="E382" s="3">
        <v>8.64</v>
      </c>
      <c r="F382" s="2" t="s">
        <v>10002</v>
      </c>
      <c r="G382" s="22" t="s">
        <v>19431</v>
      </c>
      <c r="H382" s="24" t="s">
        <v>19770</v>
      </c>
      <c r="I382" s="22" t="s">
        <v>19309</v>
      </c>
      <c r="J382" s="22" t="s">
        <v>19708</v>
      </c>
      <c r="K382" s="22" t="s">
        <v>19709</v>
      </c>
      <c r="L382" s="22"/>
      <c r="M382" s="22"/>
      <c r="N382" s="25" t="str">
        <f>HYPERLINK("http://slimages.macys.com/is/image/MCY/19146278 ")</f>
        <v xml:space="preserve">http://slimages.macys.com/is/image/MCY/19146278 </v>
      </c>
    </row>
    <row r="383" spans="1:14" ht="24.75" x14ac:dyDescent="0.25">
      <c r="A383" s="21" t="s">
        <v>18800</v>
      </c>
      <c r="B383" s="22" t="s">
        <v>18801</v>
      </c>
      <c r="C383" s="2">
        <v>1</v>
      </c>
      <c r="D383" s="23">
        <v>10.99</v>
      </c>
      <c r="E383" s="3">
        <v>10.99</v>
      </c>
      <c r="F383" s="2" t="s">
        <v>18802</v>
      </c>
      <c r="G383" s="22" t="s">
        <v>18439</v>
      </c>
      <c r="H383" s="24" t="s">
        <v>19797</v>
      </c>
      <c r="I383" s="22" t="s">
        <v>19309</v>
      </c>
      <c r="J383" s="22" t="s">
        <v>19353</v>
      </c>
      <c r="K383" s="22" t="s">
        <v>19524</v>
      </c>
      <c r="L383" s="22"/>
      <c r="M383" s="22"/>
      <c r="N383" s="25" t="str">
        <f>HYPERLINK("http://slimages.macys.com/is/image/MCY/21694557 ")</f>
        <v xml:space="preserve">http://slimages.macys.com/is/image/MCY/21694557 </v>
      </c>
    </row>
    <row r="384" spans="1:14" ht="24.75" x14ac:dyDescent="0.25">
      <c r="A384" s="21" t="s">
        <v>3921</v>
      </c>
      <c r="B384" s="22" t="s">
        <v>3922</v>
      </c>
      <c r="C384" s="2">
        <v>2</v>
      </c>
      <c r="D384" s="23">
        <v>10.99</v>
      </c>
      <c r="E384" s="3">
        <v>21.98</v>
      </c>
      <c r="F384" s="2" t="s">
        <v>9079</v>
      </c>
      <c r="G384" s="22" t="s">
        <v>19462</v>
      </c>
      <c r="H384" s="24" t="s">
        <v>19352</v>
      </c>
      <c r="I384" s="22" t="s">
        <v>19309</v>
      </c>
      <c r="J384" s="22" t="s">
        <v>19353</v>
      </c>
      <c r="K384" s="22" t="s">
        <v>19524</v>
      </c>
      <c r="L384" s="22"/>
      <c r="M384" s="22"/>
      <c r="N384" s="25" t="str">
        <f>HYPERLINK("http://slimages.macys.com/is/image/MCY/21233421 ")</f>
        <v xml:space="preserve">http://slimages.macys.com/is/image/MCY/21233421 </v>
      </c>
    </row>
    <row r="385" spans="1:14" ht="24.75" x14ac:dyDescent="0.25">
      <c r="A385" s="21" t="s">
        <v>947</v>
      </c>
      <c r="B385" s="22" t="s">
        <v>948</v>
      </c>
      <c r="C385" s="2">
        <v>1</v>
      </c>
      <c r="D385" s="23">
        <v>9.52</v>
      </c>
      <c r="E385" s="3">
        <v>9.52</v>
      </c>
      <c r="F385" s="2" t="s">
        <v>949</v>
      </c>
      <c r="G385" s="22" t="s">
        <v>19794</v>
      </c>
      <c r="H385" s="24" t="s">
        <v>19334</v>
      </c>
      <c r="I385" s="22" t="s">
        <v>19309</v>
      </c>
      <c r="J385" s="22" t="s">
        <v>19602</v>
      </c>
      <c r="K385" s="22" t="s">
        <v>20041</v>
      </c>
      <c r="L385" s="22"/>
      <c r="M385" s="22"/>
      <c r="N385" s="25" t="str">
        <f>HYPERLINK("http://slimages.macys.com/is/image/MCY/21669876 ")</f>
        <v xml:space="preserve">http://slimages.macys.com/is/image/MCY/21669876 </v>
      </c>
    </row>
    <row r="386" spans="1:14" x14ac:dyDescent="0.25">
      <c r="A386" s="21" t="s">
        <v>950</v>
      </c>
      <c r="B386" s="22" t="s">
        <v>951</v>
      </c>
      <c r="C386" s="2">
        <v>1</v>
      </c>
      <c r="D386" s="23">
        <v>9.99</v>
      </c>
      <c r="E386" s="3">
        <v>9.99</v>
      </c>
      <c r="F386" s="2" t="s">
        <v>6078</v>
      </c>
      <c r="G386" s="22" t="s">
        <v>19467</v>
      </c>
      <c r="H386" s="24" t="s">
        <v>19361</v>
      </c>
      <c r="I386" s="22" t="s">
        <v>19309</v>
      </c>
      <c r="J386" s="22" t="s">
        <v>19849</v>
      </c>
      <c r="K386" s="22" t="s">
        <v>19850</v>
      </c>
      <c r="L386" s="22"/>
      <c r="M386" s="22"/>
      <c r="N386" s="25" t="str">
        <f>HYPERLINK("http://slimages.macys.com/is/image/MCY/20949674 ")</f>
        <v xml:space="preserve">http://slimages.macys.com/is/image/MCY/20949674 </v>
      </c>
    </row>
    <row r="387" spans="1:14" x14ac:dyDescent="0.25">
      <c r="A387" s="21" t="s">
        <v>16801</v>
      </c>
      <c r="B387" s="22" t="s">
        <v>16802</v>
      </c>
      <c r="C387" s="2">
        <v>1</v>
      </c>
      <c r="D387" s="23">
        <v>11.99</v>
      </c>
      <c r="E387" s="3">
        <v>11.99</v>
      </c>
      <c r="F387" s="2" t="s">
        <v>16803</v>
      </c>
      <c r="G387" s="22" t="s">
        <v>19431</v>
      </c>
      <c r="H387" s="24" t="s">
        <v>19364</v>
      </c>
      <c r="I387" s="22" t="s">
        <v>19309</v>
      </c>
      <c r="J387" s="22" t="s">
        <v>19849</v>
      </c>
      <c r="K387" s="22" t="s">
        <v>19850</v>
      </c>
      <c r="L387" s="22"/>
      <c r="M387" s="22"/>
      <c r="N387" s="25" t="str">
        <f>HYPERLINK("http://slimages.macys.com/is/image/MCY/20752030 ")</f>
        <v xml:space="preserve">http://slimages.macys.com/is/image/MCY/20752030 </v>
      </c>
    </row>
    <row r="388" spans="1:14" x14ac:dyDescent="0.25">
      <c r="A388" s="21" t="s">
        <v>9086</v>
      </c>
      <c r="B388" s="22" t="s">
        <v>9087</v>
      </c>
      <c r="C388" s="2">
        <v>2</v>
      </c>
      <c r="D388" s="23">
        <v>11.99</v>
      </c>
      <c r="E388" s="3">
        <v>23.98</v>
      </c>
      <c r="F388" s="2" t="s">
        <v>16803</v>
      </c>
      <c r="G388" s="22" t="s">
        <v>19670</v>
      </c>
      <c r="H388" s="24" t="s">
        <v>19339</v>
      </c>
      <c r="I388" s="22" t="s">
        <v>19309</v>
      </c>
      <c r="J388" s="22" t="s">
        <v>19849</v>
      </c>
      <c r="K388" s="22" t="s">
        <v>19850</v>
      </c>
      <c r="L388" s="22"/>
      <c r="M388" s="22"/>
      <c r="N388" s="25" t="str">
        <f>HYPERLINK("http://slimages.macys.com/is/image/MCY/20752030 ")</f>
        <v xml:space="preserve">http://slimages.macys.com/is/image/MCY/20752030 </v>
      </c>
    </row>
    <row r="389" spans="1:14" x14ac:dyDescent="0.25">
      <c r="A389" s="21" t="s">
        <v>952</v>
      </c>
      <c r="B389" s="22" t="s">
        <v>953</v>
      </c>
      <c r="C389" s="2">
        <v>1</v>
      </c>
      <c r="D389" s="23">
        <v>16</v>
      </c>
      <c r="E389" s="3">
        <v>16</v>
      </c>
      <c r="F389" s="2" t="s">
        <v>7115</v>
      </c>
      <c r="G389" s="22" t="s">
        <v>19467</v>
      </c>
      <c r="H389" s="24" t="s">
        <v>19416</v>
      </c>
      <c r="I389" s="22" t="s">
        <v>19309</v>
      </c>
      <c r="J389" s="22" t="s">
        <v>19708</v>
      </c>
      <c r="K389" s="22" t="s">
        <v>19709</v>
      </c>
      <c r="L389" s="22"/>
      <c r="M389" s="22"/>
      <c r="N389" s="25" t="str">
        <f>HYPERLINK("http://slimages.macys.com/is/image/MCY/21726120 ")</f>
        <v xml:space="preserve">http://slimages.macys.com/is/image/MCY/21726120 </v>
      </c>
    </row>
    <row r="390" spans="1:14" x14ac:dyDescent="0.25">
      <c r="A390" s="21" t="s">
        <v>13365</v>
      </c>
      <c r="B390" s="22" t="s">
        <v>13366</v>
      </c>
      <c r="C390" s="2">
        <v>1</v>
      </c>
      <c r="D390" s="23">
        <v>7.99</v>
      </c>
      <c r="E390" s="3">
        <v>7.99</v>
      </c>
      <c r="F390" s="2" t="s">
        <v>16840</v>
      </c>
      <c r="G390" s="22" t="s">
        <v>19431</v>
      </c>
      <c r="H390" s="24" t="s">
        <v>19542</v>
      </c>
      <c r="I390" s="22" t="s">
        <v>19309</v>
      </c>
      <c r="J390" s="22" t="s">
        <v>19849</v>
      </c>
      <c r="K390" s="22" t="s">
        <v>19850</v>
      </c>
      <c r="L390" s="22"/>
      <c r="M390" s="22"/>
      <c r="N390" s="25" t="str">
        <f>HYPERLINK("http://slimages.macys.com/is/image/MCY/19068277 ")</f>
        <v xml:space="preserve">http://slimages.macys.com/is/image/MCY/19068277 </v>
      </c>
    </row>
    <row r="391" spans="1:14" x14ac:dyDescent="0.25">
      <c r="A391" s="21" t="s">
        <v>16838</v>
      </c>
      <c r="B391" s="22" t="s">
        <v>16839</v>
      </c>
      <c r="C391" s="2">
        <v>1</v>
      </c>
      <c r="D391" s="23">
        <v>7.99</v>
      </c>
      <c r="E391" s="3">
        <v>7.99</v>
      </c>
      <c r="F391" s="2" t="s">
        <v>16840</v>
      </c>
      <c r="G391" s="22" t="s">
        <v>19477</v>
      </c>
      <c r="H391" s="24" t="s">
        <v>19361</v>
      </c>
      <c r="I391" s="22" t="s">
        <v>19309</v>
      </c>
      <c r="J391" s="22" t="s">
        <v>19849</v>
      </c>
      <c r="K391" s="22" t="s">
        <v>19850</v>
      </c>
      <c r="L391" s="22"/>
      <c r="M391" s="22"/>
      <c r="N391" s="25" t="str">
        <f>HYPERLINK("http://slimages.macys.com/is/image/MCY/19068277 ")</f>
        <v xml:space="preserve">http://slimages.macys.com/is/image/MCY/19068277 </v>
      </c>
    </row>
    <row r="392" spans="1:14" ht="24.75" x14ac:dyDescent="0.25">
      <c r="A392" s="21" t="s">
        <v>9645</v>
      </c>
      <c r="B392" s="22" t="s">
        <v>9646</v>
      </c>
      <c r="C392" s="2">
        <v>1</v>
      </c>
      <c r="D392" s="23">
        <v>11.99</v>
      </c>
      <c r="E392" s="3">
        <v>11.99</v>
      </c>
      <c r="F392" s="2">
        <v>4217</v>
      </c>
      <c r="G392" s="22" t="s">
        <v>19422</v>
      </c>
      <c r="H392" s="24" t="s">
        <v>19797</v>
      </c>
      <c r="I392" s="22" t="s">
        <v>19309</v>
      </c>
      <c r="J392" s="22" t="s">
        <v>20076</v>
      </c>
      <c r="K392" s="22" t="s">
        <v>20077</v>
      </c>
      <c r="L392" s="22" t="s">
        <v>19319</v>
      </c>
      <c r="M392" s="22" t="s">
        <v>19209</v>
      </c>
      <c r="N392" s="25" t="str">
        <f>HYPERLINK("http://slimages.macys.com/is/image/MCY/13050192 ")</f>
        <v xml:space="preserve">http://slimages.macys.com/is/image/MCY/13050192 </v>
      </c>
    </row>
    <row r="393" spans="1:14" x14ac:dyDescent="0.25">
      <c r="A393" s="21" t="s">
        <v>954</v>
      </c>
      <c r="B393" s="22" t="s">
        <v>955</v>
      </c>
      <c r="C393" s="2">
        <v>1</v>
      </c>
      <c r="D393" s="23">
        <v>8.33</v>
      </c>
      <c r="E393" s="3">
        <v>8.33</v>
      </c>
      <c r="F393" s="2" t="s">
        <v>16437</v>
      </c>
      <c r="G393" s="22" t="s">
        <v>19801</v>
      </c>
      <c r="H393" s="24" t="s">
        <v>19432</v>
      </c>
      <c r="I393" s="22" t="s">
        <v>19309</v>
      </c>
      <c r="J393" s="22" t="s">
        <v>19514</v>
      </c>
      <c r="K393" s="22" t="s">
        <v>18514</v>
      </c>
      <c r="L393" s="22"/>
      <c r="M393" s="22"/>
      <c r="N393" s="25" t="str">
        <f>HYPERLINK("http://slimages.macys.com/is/image/MCY/21511193 ")</f>
        <v xml:space="preserve">http://slimages.macys.com/is/image/MCY/21511193 </v>
      </c>
    </row>
    <row r="394" spans="1:14" ht="24.75" x14ac:dyDescent="0.25">
      <c r="A394" s="21" t="s">
        <v>16929</v>
      </c>
      <c r="B394" s="22" t="s">
        <v>16930</v>
      </c>
      <c r="C394" s="2">
        <v>1</v>
      </c>
      <c r="D394" s="23">
        <v>8.99</v>
      </c>
      <c r="E394" s="3">
        <v>8.99</v>
      </c>
      <c r="F394" s="2" t="s">
        <v>18909</v>
      </c>
      <c r="G394" s="22" t="s">
        <v>19518</v>
      </c>
      <c r="H394" s="24" t="s">
        <v>19308</v>
      </c>
      <c r="I394" s="22" t="s">
        <v>19309</v>
      </c>
      <c r="J394" s="22" t="s">
        <v>19815</v>
      </c>
      <c r="K394" s="22" t="s">
        <v>19816</v>
      </c>
      <c r="L394" s="22"/>
      <c r="M394" s="22"/>
      <c r="N394" s="25" t="str">
        <f>HYPERLINK("http://slimages.macys.com/is/image/MCY/20454073 ")</f>
        <v xml:space="preserve">http://slimages.macys.com/is/image/MCY/20454073 </v>
      </c>
    </row>
    <row r="395" spans="1:14" ht="24.75" x14ac:dyDescent="0.25">
      <c r="A395" s="21" t="s">
        <v>956</v>
      </c>
      <c r="B395" s="22" t="s">
        <v>957</v>
      </c>
      <c r="C395" s="2">
        <v>1</v>
      </c>
      <c r="D395" s="23">
        <v>11.99</v>
      </c>
      <c r="E395" s="3">
        <v>11.99</v>
      </c>
      <c r="F395" s="2">
        <v>64826</v>
      </c>
      <c r="G395" s="22" t="s">
        <v>19674</v>
      </c>
      <c r="H395" s="24" t="s">
        <v>4865</v>
      </c>
      <c r="I395" s="22" t="s">
        <v>19309</v>
      </c>
      <c r="J395" s="22" t="s">
        <v>20076</v>
      </c>
      <c r="K395" s="22" t="s">
        <v>18822</v>
      </c>
      <c r="L395" s="22"/>
      <c r="M395" s="22"/>
      <c r="N395" s="25" t="str">
        <f>HYPERLINK("http://slimages.macys.com/is/image/MCY/19598479 ")</f>
        <v xml:space="preserve">http://slimages.macys.com/is/image/MCY/19598479 </v>
      </c>
    </row>
    <row r="396" spans="1:14" ht="24.75" x14ac:dyDescent="0.25">
      <c r="A396" s="21" t="s">
        <v>958</v>
      </c>
      <c r="B396" s="22" t="s">
        <v>959</v>
      </c>
      <c r="C396" s="2">
        <v>2</v>
      </c>
      <c r="D396" s="23">
        <v>10.99</v>
      </c>
      <c r="E396" s="3">
        <v>21.98</v>
      </c>
      <c r="F396" s="2" t="s">
        <v>960</v>
      </c>
      <c r="G396" s="22" t="s">
        <v>19763</v>
      </c>
      <c r="H396" s="24" t="s">
        <v>19339</v>
      </c>
      <c r="I396" s="22" t="s">
        <v>19309</v>
      </c>
      <c r="J396" s="22" t="s">
        <v>19565</v>
      </c>
      <c r="K396" s="22" t="s">
        <v>18548</v>
      </c>
      <c r="L396" s="22" t="s">
        <v>19319</v>
      </c>
      <c r="M396" s="22" t="s">
        <v>19435</v>
      </c>
      <c r="N396" s="25" t="str">
        <f>HYPERLINK("http://slimages.macys.com/is/image/MCY/9731674 ")</f>
        <v xml:space="preserve">http://slimages.macys.com/is/image/MCY/9731674 </v>
      </c>
    </row>
    <row r="397" spans="1:14" x14ac:dyDescent="0.25">
      <c r="A397" s="21" t="s">
        <v>16440</v>
      </c>
      <c r="B397" s="22" t="s">
        <v>16441</v>
      </c>
      <c r="C397" s="2">
        <v>4</v>
      </c>
      <c r="D397" s="23">
        <v>11.99</v>
      </c>
      <c r="E397" s="3">
        <v>47.96</v>
      </c>
      <c r="F397" s="2" t="s">
        <v>16849</v>
      </c>
      <c r="G397" s="22" t="s">
        <v>19674</v>
      </c>
      <c r="H397" s="24" t="s">
        <v>19352</v>
      </c>
      <c r="I397" s="22" t="s">
        <v>19309</v>
      </c>
      <c r="J397" s="22" t="s">
        <v>19849</v>
      </c>
      <c r="K397" s="22" t="s">
        <v>19850</v>
      </c>
      <c r="L397" s="22"/>
      <c r="M397" s="22"/>
      <c r="N397" s="25" t="str">
        <f>HYPERLINK("http://slimages.macys.com/is/image/MCY/1523123 ")</f>
        <v xml:space="preserve">http://slimages.macys.com/is/image/MCY/1523123 </v>
      </c>
    </row>
    <row r="398" spans="1:14" ht="24.75" x14ac:dyDescent="0.25">
      <c r="A398" s="21" t="s">
        <v>961</v>
      </c>
      <c r="B398" s="22" t="s">
        <v>962</v>
      </c>
      <c r="C398" s="2">
        <v>1</v>
      </c>
      <c r="D398" s="23">
        <v>8.99</v>
      </c>
      <c r="E398" s="3">
        <v>8.99</v>
      </c>
      <c r="F398" s="2" t="s">
        <v>16978</v>
      </c>
      <c r="G398" s="22" t="s">
        <v>19351</v>
      </c>
      <c r="H398" s="24" t="s">
        <v>19395</v>
      </c>
      <c r="I398" s="22" t="s">
        <v>19309</v>
      </c>
      <c r="J398" s="22" t="s">
        <v>19573</v>
      </c>
      <c r="K398" s="22" t="s">
        <v>20228</v>
      </c>
      <c r="L398" s="22"/>
      <c r="M398" s="22"/>
      <c r="N398" s="25" t="str">
        <f>HYPERLINK("http://slimages.macys.com/is/image/MCY/18422286 ")</f>
        <v xml:space="preserve">http://slimages.macys.com/is/image/MCY/18422286 </v>
      </c>
    </row>
    <row r="399" spans="1:14" x14ac:dyDescent="0.25">
      <c r="A399" s="21" t="s">
        <v>18856</v>
      </c>
      <c r="B399" s="22" t="s">
        <v>18857</v>
      </c>
      <c r="C399" s="2">
        <v>1</v>
      </c>
      <c r="D399" s="23">
        <v>11.99</v>
      </c>
      <c r="E399" s="3">
        <v>11.99</v>
      </c>
      <c r="F399" s="2" t="s">
        <v>18851</v>
      </c>
      <c r="G399" s="22" t="s">
        <v>19674</v>
      </c>
      <c r="H399" s="24" t="s">
        <v>19352</v>
      </c>
      <c r="I399" s="22" t="s">
        <v>19309</v>
      </c>
      <c r="J399" s="22" t="s">
        <v>19849</v>
      </c>
      <c r="K399" s="22" t="s">
        <v>19850</v>
      </c>
      <c r="L399" s="22"/>
      <c r="M399" s="22"/>
      <c r="N399" s="25" t="str">
        <f>HYPERLINK("http://slimages.macys.com/is/image/MCY/21251022 ")</f>
        <v xml:space="preserve">http://slimages.macys.com/is/image/MCY/21251022 </v>
      </c>
    </row>
    <row r="400" spans="1:14" x14ac:dyDescent="0.25">
      <c r="A400" s="21" t="s">
        <v>18852</v>
      </c>
      <c r="B400" s="22" t="s">
        <v>18853</v>
      </c>
      <c r="C400" s="2">
        <v>1</v>
      </c>
      <c r="D400" s="23">
        <v>11.99</v>
      </c>
      <c r="E400" s="3">
        <v>11.99</v>
      </c>
      <c r="F400" s="2" t="s">
        <v>18851</v>
      </c>
      <c r="G400" s="22" t="s">
        <v>19674</v>
      </c>
      <c r="H400" s="24" t="s">
        <v>19364</v>
      </c>
      <c r="I400" s="22" t="s">
        <v>19309</v>
      </c>
      <c r="J400" s="22" t="s">
        <v>19849</v>
      </c>
      <c r="K400" s="22" t="s">
        <v>19850</v>
      </c>
      <c r="L400" s="22"/>
      <c r="M400" s="22"/>
      <c r="N400" s="25" t="str">
        <f>HYPERLINK("http://slimages.macys.com/is/image/MCY/21251022 ")</f>
        <v xml:space="preserve">http://slimages.macys.com/is/image/MCY/21251022 </v>
      </c>
    </row>
    <row r="401" spans="1:14" ht="24.75" x14ac:dyDescent="0.25">
      <c r="A401" s="21" t="s">
        <v>963</v>
      </c>
      <c r="B401" s="22" t="s">
        <v>964</v>
      </c>
      <c r="C401" s="2">
        <v>1</v>
      </c>
      <c r="D401" s="23">
        <v>10.99</v>
      </c>
      <c r="E401" s="3">
        <v>10.99</v>
      </c>
      <c r="F401" s="2" t="s">
        <v>965</v>
      </c>
      <c r="G401" s="22" t="s">
        <v>19351</v>
      </c>
      <c r="H401" s="24" t="s">
        <v>19384</v>
      </c>
      <c r="I401" s="22" t="s">
        <v>19309</v>
      </c>
      <c r="J401" s="22" t="s">
        <v>19573</v>
      </c>
      <c r="K401" s="22" t="s">
        <v>19574</v>
      </c>
      <c r="L401" s="22"/>
      <c r="M401" s="22"/>
      <c r="N401" s="25" t="str">
        <f>HYPERLINK("http://slimages.macys.com/is/image/MCY/18424358 ")</f>
        <v xml:space="preserve">http://slimages.macys.com/is/image/MCY/18424358 </v>
      </c>
    </row>
    <row r="402" spans="1:14" x14ac:dyDescent="0.25">
      <c r="A402" s="21" t="s">
        <v>10043</v>
      </c>
      <c r="B402" s="22" t="s">
        <v>10044</v>
      </c>
      <c r="C402" s="2">
        <v>1</v>
      </c>
      <c r="D402" s="23">
        <v>9.99</v>
      </c>
      <c r="E402" s="3">
        <v>9.99</v>
      </c>
      <c r="F402" s="2" t="s">
        <v>18869</v>
      </c>
      <c r="G402" s="22" t="s">
        <v>19351</v>
      </c>
      <c r="H402" s="24" t="s">
        <v>19377</v>
      </c>
      <c r="I402" s="22" t="s">
        <v>19309</v>
      </c>
      <c r="J402" s="22" t="s">
        <v>19849</v>
      </c>
      <c r="K402" s="22" t="s">
        <v>19850</v>
      </c>
      <c r="L402" s="22"/>
      <c r="M402" s="22"/>
      <c r="N402" s="25" t="str">
        <f>HYPERLINK("http://slimages.macys.com/is/image/MCY/21351556 ")</f>
        <v xml:space="preserve">http://slimages.macys.com/is/image/MCY/21351556 </v>
      </c>
    </row>
    <row r="403" spans="1:14" x14ac:dyDescent="0.25">
      <c r="A403" s="21" t="s">
        <v>966</v>
      </c>
      <c r="B403" s="22" t="s">
        <v>967</v>
      </c>
      <c r="C403" s="2">
        <v>5</v>
      </c>
      <c r="D403" s="23">
        <v>6.99</v>
      </c>
      <c r="E403" s="3">
        <v>34.950000000000003</v>
      </c>
      <c r="F403" s="2" t="s">
        <v>3552</v>
      </c>
      <c r="G403" s="22" t="s">
        <v>19674</v>
      </c>
      <c r="H403" s="24" t="s">
        <v>19797</v>
      </c>
      <c r="I403" s="22" t="s">
        <v>19309</v>
      </c>
      <c r="J403" s="22" t="s">
        <v>19849</v>
      </c>
      <c r="K403" s="22" t="s">
        <v>19850</v>
      </c>
      <c r="L403" s="22"/>
      <c r="M403" s="22"/>
      <c r="N403" s="25" t="str">
        <f>HYPERLINK("http://slimages.macys.com/is/image/MCY/19965765 ")</f>
        <v xml:space="preserve">http://slimages.macys.com/is/image/MCY/19965765 </v>
      </c>
    </row>
    <row r="404" spans="1:14" ht="24.75" x14ac:dyDescent="0.25">
      <c r="A404" s="21" t="s">
        <v>16879</v>
      </c>
      <c r="B404" s="22" t="s">
        <v>16880</v>
      </c>
      <c r="C404" s="2">
        <v>1</v>
      </c>
      <c r="D404" s="23">
        <v>8.99</v>
      </c>
      <c r="E404" s="3">
        <v>8.99</v>
      </c>
      <c r="F404" s="2" t="s">
        <v>16881</v>
      </c>
      <c r="G404" s="22" t="s">
        <v>19431</v>
      </c>
      <c r="H404" s="24" t="s">
        <v>19432</v>
      </c>
      <c r="I404" s="22" t="s">
        <v>19309</v>
      </c>
      <c r="J404" s="22" t="s">
        <v>19815</v>
      </c>
      <c r="K404" s="22" t="s">
        <v>19816</v>
      </c>
      <c r="L404" s="22"/>
      <c r="M404" s="22"/>
      <c r="N404" s="25" t="str">
        <f>HYPERLINK("http://slimages.macys.com/is/image/MCY/1505064 ")</f>
        <v xml:space="preserve">http://slimages.macys.com/is/image/MCY/1505064 </v>
      </c>
    </row>
    <row r="405" spans="1:14" ht="24.75" x14ac:dyDescent="0.25">
      <c r="A405" s="21" t="s">
        <v>968</v>
      </c>
      <c r="B405" s="22" t="s">
        <v>969</v>
      </c>
      <c r="C405" s="2">
        <v>2</v>
      </c>
      <c r="D405" s="23">
        <v>9.99</v>
      </c>
      <c r="E405" s="3">
        <v>19.98</v>
      </c>
      <c r="F405" s="2" t="s">
        <v>18881</v>
      </c>
      <c r="G405" s="22" t="s">
        <v>19670</v>
      </c>
      <c r="H405" s="24" t="s">
        <v>19352</v>
      </c>
      <c r="I405" s="22" t="s">
        <v>19309</v>
      </c>
      <c r="J405" s="22" t="s">
        <v>19353</v>
      </c>
      <c r="K405" s="22" t="s">
        <v>19524</v>
      </c>
      <c r="L405" s="22"/>
      <c r="M405" s="22"/>
      <c r="N405" s="25" t="str">
        <f>HYPERLINK("http://slimages.macys.com/is/image/MCY/21083388 ")</f>
        <v xml:space="preserve">http://slimages.macys.com/is/image/MCY/21083388 </v>
      </c>
    </row>
    <row r="406" spans="1:14" x14ac:dyDescent="0.25">
      <c r="A406" s="21" t="s">
        <v>14629</v>
      </c>
      <c r="B406" s="22" t="s">
        <v>14630</v>
      </c>
      <c r="C406" s="2">
        <v>1</v>
      </c>
      <c r="D406" s="23">
        <v>9.44</v>
      </c>
      <c r="E406" s="3">
        <v>9.44</v>
      </c>
      <c r="F406" s="2" t="s">
        <v>14631</v>
      </c>
      <c r="G406" s="22" t="s">
        <v>19338</v>
      </c>
      <c r="H406" s="24" t="s">
        <v>20159</v>
      </c>
      <c r="I406" s="22" t="s">
        <v>19309</v>
      </c>
      <c r="J406" s="22" t="s">
        <v>19708</v>
      </c>
      <c r="K406" s="22" t="s">
        <v>19709</v>
      </c>
      <c r="L406" s="22"/>
      <c r="M406" s="22"/>
      <c r="N406" s="25" t="str">
        <f>HYPERLINK("http://slimages.macys.com/is/image/MCY/21726409 ")</f>
        <v xml:space="preserve">http://slimages.macys.com/is/image/MCY/21726409 </v>
      </c>
    </row>
    <row r="407" spans="1:14" ht="24.75" x14ac:dyDescent="0.25">
      <c r="A407" s="21" t="s">
        <v>970</v>
      </c>
      <c r="B407" s="22" t="s">
        <v>971</v>
      </c>
      <c r="C407" s="2">
        <v>1</v>
      </c>
      <c r="D407" s="23">
        <v>6.99</v>
      </c>
      <c r="E407" s="3">
        <v>6.99</v>
      </c>
      <c r="F407" s="2" t="s">
        <v>972</v>
      </c>
      <c r="G407" s="22" t="s">
        <v>19338</v>
      </c>
      <c r="H407" s="24" t="s">
        <v>19339</v>
      </c>
      <c r="I407" s="22" t="s">
        <v>19309</v>
      </c>
      <c r="J407" s="22" t="s">
        <v>19454</v>
      </c>
      <c r="K407" s="22" t="s">
        <v>18654</v>
      </c>
      <c r="L407" s="22"/>
      <c r="M407" s="22"/>
      <c r="N407" s="25" t="str">
        <f>HYPERLINK("http://slimages.macys.com/is/image/MCY/18694877 ")</f>
        <v xml:space="preserve">http://slimages.macys.com/is/image/MCY/18694877 </v>
      </c>
    </row>
    <row r="408" spans="1:14" ht="24.75" x14ac:dyDescent="0.25">
      <c r="A408" s="21" t="s">
        <v>16907</v>
      </c>
      <c r="B408" s="22" t="s">
        <v>16908</v>
      </c>
      <c r="C408" s="2">
        <v>1</v>
      </c>
      <c r="D408" s="23">
        <v>7.99</v>
      </c>
      <c r="E408" s="3">
        <v>7.99</v>
      </c>
      <c r="F408" s="2" t="s">
        <v>18889</v>
      </c>
      <c r="G408" s="22" t="s">
        <v>19333</v>
      </c>
      <c r="H408" s="24" t="s">
        <v>19542</v>
      </c>
      <c r="I408" s="22" t="s">
        <v>19309</v>
      </c>
      <c r="J408" s="22" t="s">
        <v>19908</v>
      </c>
      <c r="K408" s="22" t="s">
        <v>19524</v>
      </c>
      <c r="L408" s="22"/>
      <c r="M408" s="22"/>
      <c r="N408" s="25" t="str">
        <f>HYPERLINK("http://slimages.macys.com/is/image/MCY/1414234 ")</f>
        <v xml:space="preserve">http://slimages.macys.com/is/image/MCY/1414234 </v>
      </c>
    </row>
    <row r="409" spans="1:14" ht="24.75" x14ac:dyDescent="0.25">
      <c r="A409" s="21" t="s">
        <v>973</v>
      </c>
      <c r="B409" s="22" t="s">
        <v>974</v>
      </c>
      <c r="C409" s="2">
        <v>2</v>
      </c>
      <c r="D409" s="23">
        <v>7.99</v>
      </c>
      <c r="E409" s="3">
        <v>15.98</v>
      </c>
      <c r="F409" s="2" t="s">
        <v>18889</v>
      </c>
      <c r="G409" s="22" t="s">
        <v>19333</v>
      </c>
      <c r="H409" s="24" t="s">
        <v>19377</v>
      </c>
      <c r="I409" s="22" t="s">
        <v>19309</v>
      </c>
      <c r="J409" s="22" t="s">
        <v>19908</v>
      </c>
      <c r="K409" s="22" t="s">
        <v>19524</v>
      </c>
      <c r="L409" s="22"/>
      <c r="M409" s="22"/>
      <c r="N409" s="25" t="str">
        <f>HYPERLINK("http://slimages.macys.com/is/image/MCY/1414234 ")</f>
        <v xml:space="preserve">http://slimages.macys.com/is/image/MCY/1414234 </v>
      </c>
    </row>
    <row r="410" spans="1:14" ht="24.75" x14ac:dyDescent="0.25">
      <c r="A410" s="21" t="s">
        <v>10055</v>
      </c>
      <c r="B410" s="22" t="s">
        <v>10056</v>
      </c>
      <c r="C410" s="2">
        <v>1</v>
      </c>
      <c r="D410" s="23">
        <v>7.99</v>
      </c>
      <c r="E410" s="3">
        <v>7.99</v>
      </c>
      <c r="F410" s="2" t="s">
        <v>18889</v>
      </c>
      <c r="G410" s="22" t="s">
        <v>19333</v>
      </c>
      <c r="H410" s="24" t="s">
        <v>20135</v>
      </c>
      <c r="I410" s="22" t="s">
        <v>19309</v>
      </c>
      <c r="J410" s="22" t="s">
        <v>19908</v>
      </c>
      <c r="K410" s="22" t="s">
        <v>19524</v>
      </c>
      <c r="L410" s="22"/>
      <c r="M410" s="22"/>
      <c r="N410" s="25" t="str">
        <f>HYPERLINK("http://slimages.macys.com/is/image/MCY/1414234 ")</f>
        <v xml:space="preserve">http://slimages.macys.com/is/image/MCY/1414234 </v>
      </c>
    </row>
    <row r="411" spans="1:14" ht="24.75" x14ac:dyDescent="0.25">
      <c r="A411" s="21" t="s">
        <v>975</v>
      </c>
      <c r="B411" s="22" t="s">
        <v>976</v>
      </c>
      <c r="C411" s="2">
        <v>1</v>
      </c>
      <c r="D411" s="23">
        <v>7.99</v>
      </c>
      <c r="E411" s="3">
        <v>7.99</v>
      </c>
      <c r="F411" s="2" t="s">
        <v>18889</v>
      </c>
      <c r="G411" s="22" t="s">
        <v>19333</v>
      </c>
      <c r="H411" s="24" t="s">
        <v>19907</v>
      </c>
      <c r="I411" s="22" t="s">
        <v>19309</v>
      </c>
      <c r="J411" s="22" t="s">
        <v>19908</v>
      </c>
      <c r="K411" s="22" t="s">
        <v>19524</v>
      </c>
      <c r="L411" s="22"/>
      <c r="M411" s="22"/>
      <c r="N411" s="25" t="str">
        <f>HYPERLINK("http://slimages.macys.com/is/image/MCY/1414234 ")</f>
        <v xml:space="preserve">http://slimages.macys.com/is/image/MCY/1414234 </v>
      </c>
    </row>
    <row r="412" spans="1:14" ht="24.75" x14ac:dyDescent="0.25">
      <c r="A412" s="21" t="s">
        <v>7032</v>
      </c>
      <c r="B412" s="22" t="s">
        <v>7033</v>
      </c>
      <c r="C412" s="2">
        <v>1</v>
      </c>
      <c r="D412" s="23">
        <v>7.99</v>
      </c>
      <c r="E412" s="3">
        <v>7.99</v>
      </c>
      <c r="F412" s="2" t="s">
        <v>10063</v>
      </c>
      <c r="G412" s="22" t="s">
        <v>19338</v>
      </c>
      <c r="H412" s="24" t="s">
        <v>20135</v>
      </c>
      <c r="I412" s="22" t="s">
        <v>19309</v>
      </c>
      <c r="J412" s="22" t="s">
        <v>19908</v>
      </c>
      <c r="K412" s="22" t="s">
        <v>19524</v>
      </c>
      <c r="L412" s="22"/>
      <c r="M412" s="22"/>
      <c r="N412" s="25" t="str">
        <f>HYPERLINK("http://slimages.macys.com/is/image/MCY/21070313 ")</f>
        <v xml:space="preserve">http://slimages.macys.com/is/image/MCY/21070313 </v>
      </c>
    </row>
    <row r="413" spans="1:14" ht="24.75" x14ac:dyDescent="0.25">
      <c r="A413" s="21" t="s">
        <v>977</v>
      </c>
      <c r="B413" s="22" t="s">
        <v>978</v>
      </c>
      <c r="C413" s="2">
        <v>1</v>
      </c>
      <c r="D413" s="23">
        <v>7.99</v>
      </c>
      <c r="E413" s="3">
        <v>7.99</v>
      </c>
      <c r="F413" s="2" t="s">
        <v>14652</v>
      </c>
      <c r="G413" s="22" t="s">
        <v>19422</v>
      </c>
      <c r="H413" s="24" t="s">
        <v>19377</v>
      </c>
      <c r="I413" s="22" t="s">
        <v>19309</v>
      </c>
      <c r="J413" s="22" t="s">
        <v>19908</v>
      </c>
      <c r="K413" s="22" t="s">
        <v>19524</v>
      </c>
      <c r="L413" s="22"/>
      <c r="M413" s="22"/>
      <c r="N413" s="25" t="str">
        <f>HYPERLINK("http://slimages.macys.com/is/image/MCY/21070282 ")</f>
        <v xml:space="preserve">http://slimages.macys.com/is/image/MCY/21070282 </v>
      </c>
    </row>
    <row r="414" spans="1:14" ht="24.75" x14ac:dyDescent="0.25">
      <c r="A414" s="21" t="s">
        <v>13404</v>
      </c>
      <c r="B414" s="22" t="s">
        <v>13405</v>
      </c>
      <c r="C414" s="2">
        <v>1</v>
      </c>
      <c r="D414" s="23">
        <v>8.06</v>
      </c>
      <c r="E414" s="3">
        <v>8.06</v>
      </c>
      <c r="F414" s="2" t="s">
        <v>16923</v>
      </c>
      <c r="G414" s="22" t="s">
        <v>19315</v>
      </c>
      <c r="H414" s="24" t="s">
        <v>19392</v>
      </c>
      <c r="I414" s="22" t="s">
        <v>19309</v>
      </c>
      <c r="J414" s="22" t="s">
        <v>19602</v>
      </c>
      <c r="K414" s="22" t="s">
        <v>20041</v>
      </c>
      <c r="L414" s="22"/>
      <c r="M414" s="22"/>
      <c r="N414" s="25" t="str">
        <f>HYPERLINK("http://slimages.macys.com/is/image/MCY/22406209 ")</f>
        <v xml:space="preserve">http://slimages.macys.com/is/image/MCY/22406209 </v>
      </c>
    </row>
    <row r="415" spans="1:14" ht="24.75" x14ac:dyDescent="0.25">
      <c r="A415" s="21" t="s">
        <v>979</v>
      </c>
      <c r="B415" s="22" t="s">
        <v>980</v>
      </c>
      <c r="C415" s="2">
        <v>3</v>
      </c>
      <c r="D415" s="23">
        <v>7.99</v>
      </c>
      <c r="E415" s="3">
        <v>23.97</v>
      </c>
      <c r="F415" s="2" t="s">
        <v>981</v>
      </c>
      <c r="G415" s="22" t="s">
        <v>19338</v>
      </c>
      <c r="H415" s="24" t="s">
        <v>19432</v>
      </c>
      <c r="I415" s="22" t="s">
        <v>19309</v>
      </c>
      <c r="J415" s="22" t="s">
        <v>19454</v>
      </c>
      <c r="K415" s="22" t="s">
        <v>19524</v>
      </c>
      <c r="L415" s="22"/>
      <c r="M415" s="22"/>
      <c r="N415" s="25" t="str">
        <f>HYPERLINK("http://slimages.macys.com/is/image/MCY/19239627 ")</f>
        <v xml:space="preserve">http://slimages.macys.com/is/image/MCY/19239627 </v>
      </c>
    </row>
    <row r="416" spans="1:14" x14ac:dyDescent="0.25">
      <c r="A416" s="21" t="s">
        <v>14676</v>
      </c>
      <c r="B416" s="22" t="s">
        <v>14677</v>
      </c>
      <c r="C416" s="2">
        <v>1</v>
      </c>
      <c r="D416" s="23">
        <v>7.99</v>
      </c>
      <c r="E416" s="3">
        <v>7.99</v>
      </c>
      <c r="F416" s="2" t="s">
        <v>16840</v>
      </c>
      <c r="G416" s="22" t="s">
        <v>19618</v>
      </c>
      <c r="H416" s="24" t="s">
        <v>20089</v>
      </c>
      <c r="I416" s="22" t="s">
        <v>19309</v>
      </c>
      <c r="J416" s="22" t="s">
        <v>19849</v>
      </c>
      <c r="K416" s="22" t="s">
        <v>19850</v>
      </c>
      <c r="L416" s="22"/>
      <c r="M416" s="22"/>
      <c r="N416" s="25" t="str">
        <f>HYPERLINK("http://slimages.macys.com/is/image/MCY/19068277 ")</f>
        <v xml:space="preserve">http://slimages.macys.com/is/image/MCY/19068277 </v>
      </c>
    </row>
    <row r="417" spans="1:14" ht="24.75" x14ac:dyDescent="0.25">
      <c r="A417" s="21" t="s">
        <v>7073</v>
      </c>
      <c r="B417" s="22" t="s">
        <v>7074</v>
      </c>
      <c r="C417" s="2">
        <v>1</v>
      </c>
      <c r="D417" s="23">
        <v>7.99</v>
      </c>
      <c r="E417" s="3">
        <v>7.99</v>
      </c>
      <c r="F417" s="2" t="s">
        <v>7072</v>
      </c>
      <c r="G417" s="22" t="s">
        <v>19333</v>
      </c>
      <c r="H417" s="24" t="s">
        <v>20135</v>
      </c>
      <c r="I417" s="22" t="s">
        <v>19309</v>
      </c>
      <c r="J417" s="22" t="s">
        <v>19908</v>
      </c>
      <c r="K417" s="22" t="s">
        <v>19524</v>
      </c>
      <c r="L417" s="22"/>
      <c r="M417" s="22"/>
      <c r="N417" s="25" t="str">
        <f>HYPERLINK("http://slimages.macys.com/is/image/MCY/21243353 ")</f>
        <v xml:space="preserve">http://slimages.macys.com/is/image/MCY/21243353 </v>
      </c>
    </row>
    <row r="418" spans="1:14" ht="24.75" x14ac:dyDescent="0.25">
      <c r="A418" s="21" t="s">
        <v>982</v>
      </c>
      <c r="B418" s="22" t="s">
        <v>983</v>
      </c>
      <c r="C418" s="2">
        <v>1</v>
      </c>
      <c r="D418" s="23">
        <v>7.99</v>
      </c>
      <c r="E418" s="3">
        <v>7.99</v>
      </c>
      <c r="F418" s="2" t="s">
        <v>9189</v>
      </c>
      <c r="G418" s="22" t="s">
        <v>19814</v>
      </c>
      <c r="H418" s="24" t="s">
        <v>19542</v>
      </c>
      <c r="I418" s="22" t="s">
        <v>19309</v>
      </c>
      <c r="J418" s="22" t="s">
        <v>19908</v>
      </c>
      <c r="K418" s="22" t="s">
        <v>19524</v>
      </c>
      <c r="L418" s="22"/>
      <c r="M418" s="22"/>
      <c r="N418" s="25" t="str">
        <f>HYPERLINK("http://slimages.macys.com/is/image/MCY/21070266 ")</f>
        <v xml:space="preserve">http://slimages.macys.com/is/image/MCY/21070266 </v>
      </c>
    </row>
    <row r="419" spans="1:14" ht="24.75" x14ac:dyDescent="0.25">
      <c r="A419" s="21" t="s">
        <v>984</v>
      </c>
      <c r="B419" s="22" t="s">
        <v>985</v>
      </c>
      <c r="C419" s="2">
        <v>1</v>
      </c>
      <c r="D419" s="23">
        <v>7.99</v>
      </c>
      <c r="E419" s="3">
        <v>7.99</v>
      </c>
      <c r="F419" s="2" t="s">
        <v>17003</v>
      </c>
      <c r="G419" s="22" t="s">
        <v>19333</v>
      </c>
      <c r="H419" s="24" t="s">
        <v>19377</v>
      </c>
      <c r="I419" s="22" t="s">
        <v>19309</v>
      </c>
      <c r="J419" s="22" t="s">
        <v>19908</v>
      </c>
      <c r="K419" s="22" t="s">
        <v>19524</v>
      </c>
      <c r="L419" s="22"/>
      <c r="M419" s="22"/>
      <c r="N419" s="25" t="str">
        <f>HYPERLINK("http://slimages.macys.com/is/image/MCY/21070268 ")</f>
        <v xml:space="preserve">http://slimages.macys.com/is/image/MCY/21070268 </v>
      </c>
    </row>
    <row r="420" spans="1:14" ht="24.75" x14ac:dyDescent="0.25">
      <c r="A420" s="21" t="s">
        <v>986</v>
      </c>
      <c r="B420" s="22" t="s">
        <v>987</v>
      </c>
      <c r="C420" s="2">
        <v>1</v>
      </c>
      <c r="D420" s="23">
        <v>7.99</v>
      </c>
      <c r="E420" s="3">
        <v>7.99</v>
      </c>
      <c r="F420" s="2" t="s">
        <v>7082</v>
      </c>
      <c r="G420" s="22" t="s">
        <v>19333</v>
      </c>
      <c r="H420" s="24" t="s">
        <v>19542</v>
      </c>
      <c r="I420" s="22" t="s">
        <v>19309</v>
      </c>
      <c r="J420" s="22" t="s">
        <v>19908</v>
      </c>
      <c r="K420" s="22" t="s">
        <v>19524</v>
      </c>
      <c r="L420" s="22"/>
      <c r="M420" s="22"/>
      <c r="N420" s="25" t="str">
        <f>HYPERLINK("http://slimages.macys.com/is/image/MCY/21070265 ")</f>
        <v xml:space="preserve">http://slimages.macys.com/is/image/MCY/21070265 </v>
      </c>
    </row>
    <row r="421" spans="1:14" ht="24.75" x14ac:dyDescent="0.25">
      <c r="A421" s="21" t="s">
        <v>988</v>
      </c>
      <c r="B421" s="22" t="s">
        <v>989</v>
      </c>
      <c r="C421" s="2">
        <v>1</v>
      </c>
      <c r="D421" s="23">
        <v>7.99</v>
      </c>
      <c r="E421" s="3">
        <v>7.99</v>
      </c>
      <c r="F421" s="2" t="s">
        <v>7973</v>
      </c>
      <c r="G421" s="22" t="s">
        <v>19338</v>
      </c>
      <c r="H421" s="24" t="s">
        <v>20135</v>
      </c>
      <c r="I421" s="22" t="s">
        <v>19309</v>
      </c>
      <c r="J421" s="22" t="s">
        <v>19908</v>
      </c>
      <c r="K421" s="22" t="s">
        <v>19524</v>
      </c>
      <c r="L421" s="22"/>
      <c r="M421" s="22"/>
      <c r="N421" s="25" t="str">
        <f>HYPERLINK("http://slimages.macys.com/is/image/MCY/21243366 ")</f>
        <v xml:space="preserve">http://slimages.macys.com/is/image/MCY/21243366 </v>
      </c>
    </row>
    <row r="422" spans="1:14" ht="24.75" x14ac:dyDescent="0.25">
      <c r="A422" s="21" t="s">
        <v>7083</v>
      </c>
      <c r="B422" s="22" t="s">
        <v>7084</v>
      </c>
      <c r="C422" s="2">
        <v>1</v>
      </c>
      <c r="D422" s="23">
        <v>7.99</v>
      </c>
      <c r="E422" s="3">
        <v>7.99</v>
      </c>
      <c r="F422" s="2" t="s">
        <v>7072</v>
      </c>
      <c r="G422" s="22" t="s">
        <v>19333</v>
      </c>
      <c r="H422" s="24" t="s">
        <v>19361</v>
      </c>
      <c r="I422" s="22" t="s">
        <v>19309</v>
      </c>
      <c r="J422" s="22" t="s">
        <v>19908</v>
      </c>
      <c r="K422" s="22" t="s">
        <v>19524</v>
      </c>
      <c r="L422" s="22"/>
      <c r="M422" s="22"/>
      <c r="N422" s="25" t="str">
        <f>HYPERLINK("http://slimages.macys.com/is/image/MCY/21243353 ")</f>
        <v xml:space="preserve">http://slimages.macys.com/is/image/MCY/21243353 </v>
      </c>
    </row>
    <row r="423" spans="1:14" ht="24.75" x14ac:dyDescent="0.25">
      <c r="A423" s="21" t="s">
        <v>7954</v>
      </c>
      <c r="B423" s="22" t="s">
        <v>7955</v>
      </c>
      <c r="C423" s="2">
        <v>1</v>
      </c>
      <c r="D423" s="23">
        <v>7.99</v>
      </c>
      <c r="E423" s="3">
        <v>7.99</v>
      </c>
      <c r="F423" s="2" t="s">
        <v>17003</v>
      </c>
      <c r="G423" s="22" t="s">
        <v>19333</v>
      </c>
      <c r="H423" s="24" t="s">
        <v>19542</v>
      </c>
      <c r="I423" s="22" t="s">
        <v>19309</v>
      </c>
      <c r="J423" s="22" t="s">
        <v>19908</v>
      </c>
      <c r="K423" s="22" t="s">
        <v>19524</v>
      </c>
      <c r="L423" s="22"/>
      <c r="M423" s="22"/>
      <c r="N423" s="25" t="str">
        <f>HYPERLINK("http://slimages.macys.com/is/image/MCY/21070268 ")</f>
        <v xml:space="preserve">http://slimages.macys.com/is/image/MCY/21070268 </v>
      </c>
    </row>
    <row r="424" spans="1:14" ht="24.75" x14ac:dyDescent="0.25">
      <c r="A424" s="21" t="s">
        <v>990</v>
      </c>
      <c r="B424" s="22" t="s">
        <v>991</v>
      </c>
      <c r="C424" s="2">
        <v>1</v>
      </c>
      <c r="D424" s="23">
        <v>7.99</v>
      </c>
      <c r="E424" s="3">
        <v>7.99</v>
      </c>
      <c r="F424" s="2" t="s">
        <v>17014</v>
      </c>
      <c r="G424" s="22" t="s">
        <v>19351</v>
      </c>
      <c r="H424" s="24" t="s">
        <v>19377</v>
      </c>
      <c r="I424" s="22" t="s">
        <v>19309</v>
      </c>
      <c r="J424" s="22" t="s">
        <v>19908</v>
      </c>
      <c r="K424" s="22" t="s">
        <v>19524</v>
      </c>
      <c r="L424" s="22"/>
      <c r="M424" s="22"/>
      <c r="N424" s="25" t="str">
        <f>HYPERLINK("http://slimages.macys.com/is/image/MCY/1554908 ")</f>
        <v xml:space="preserve">http://slimages.macys.com/is/image/MCY/1554908 </v>
      </c>
    </row>
    <row r="425" spans="1:14" ht="24.75" x14ac:dyDescent="0.25">
      <c r="A425" s="21" t="s">
        <v>992</v>
      </c>
      <c r="B425" s="22" t="s">
        <v>993</v>
      </c>
      <c r="C425" s="2">
        <v>1</v>
      </c>
      <c r="D425" s="23">
        <v>7.99</v>
      </c>
      <c r="E425" s="3">
        <v>7.99</v>
      </c>
      <c r="F425" s="2" t="s">
        <v>7931</v>
      </c>
      <c r="G425" s="22" t="s">
        <v>19814</v>
      </c>
      <c r="H425" s="24" t="s">
        <v>19361</v>
      </c>
      <c r="I425" s="22" t="s">
        <v>19309</v>
      </c>
      <c r="J425" s="22" t="s">
        <v>19908</v>
      </c>
      <c r="K425" s="22" t="s">
        <v>19524</v>
      </c>
      <c r="L425" s="22"/>
      <c r="M425" s="22"/>
      <c r="N425" s="25" t="str">
        <f>HYPERLINK("http://slimages.macys.com/is/image/MCY/21243356 ")</f>
        <v xml:space="preserve">http://slimages.macys.com/is/image/MCY/21243356 </v>
      </c>
    </row>
    <row r="426" spans="1:14" ht="24.75" x14ac:dyDescent="0.25">
      <c r="A426" s="21" t="s">
        <v>3109</v>
      </c>
      <c r="B426" s="22" t="s">
        <v>3110</v>
      </c>
      <c r="C426" s="2">
        <v>2</v>
      </c>
      <c r="D426" s="23">
        <v>7.99</v>
      </c>
      <c r="E426" s="3">
        <v>15.98</v>
      </c>
      <c r="F426" s="2" t="s">
        <v>18954</v>
      </c>
      <c r="G426" s="22" t="s">
        <v>19333</v>
      </c>
      <c r="H426" s="24" t="s">
        <v>20089</v>
      </c>
      <c r="I426" s="22" t="s">
        <v>19309</v>
      </c>
      <c r="J426" s="22" t="s">
        <v>19908</v>
      </c>
      <c r="K426" s="22" t="s">
        <v>19524</v>
      </c>
      <c r="L426" s="22"/>
      <c r="M426" s="22"/>
      <c r="N426" s="25" t="str">
        <f>HYPERLINK("http://slimages.macys.com/is/image/MCY/21070261 ")</f>
        <v xml:space="preserve">http://slimages.macys.com/is/image/MCY/21070261 </v>
      </c>
    </row>
    <row r="427" spans="1:14" ht="24.75" x14ac:dyDescent="0.25">
      <c r="A427" s="21" t="s">
        <v>994</v>
      </c>
      <c r="B427" s="22" t="s">
        <v>995</v>
      </c>
      <c r="C427" s="2">
        <v>1</v>
      </c>
      <c r="D427" s="23">
        <v>7.99</v>
      </c>
      <c r="E427" s="3">
        <v>7.99</v>
      </c>
      <c r="F427" s="2" t="s">
        <v>996</v>
      </c>
      <c r="G427" s="22" t="s">
        <v>19670</v>
      </c>
      <c r="H427" s="24" t="s">
        <v>20135</v>
      </c>
      <c r="I427" s="22" t="s">
        <v>19309</v>
      </c>
      <c r="J427" s="22" t="s">
        <v>19908</v>
      </c>
      <c r="K427" s="22" t="s">
        <v>19524</v>
      </c>
      <c r="L427" s="22"/>
      <c r="M427" s="22"/>
      <c r="N427" s="25" t="str">
        <f>HYPERLINK("http://slimages.macys.com/is/image/MCY/21243347 ")</f>
        <v xml:space="preserve">http://slimages.macys.com/is/image/MCY/21243347 </v>
      </c>
    </row>
    <row r="428" spans="1:14" ht="24.75" x14ac:dyDescent="0.25">
      <c r="A428" s="21" t="s">
        <v>997</v>
      </c>
      <c r="B428" s="22" t="s">
        <v>998</v>
      </c>
      <c r="C428" s="2">
        <v>1</v>
      </c>
      <c r="D428" s="23">
        <v>7.99</v>
      </c>
      <c r="E428" s="3">
        <v>7.99</v>
      </c>
      <c r="F428" s="2" t="s">
        <v>999</v>
      </c>
      <c r="G428" s="22" t="s">
        <v>19351</v>
      </c>
      <c r="H428" s="24" t="s">
        <v>20135</v>
      </c>
      <c r="I428" s="22" t="s">
        <v>19309</v>
      </c>
      <c r="J428" s="22" t="s">
        <v>19908</v>
      </c>
      <c r="K428" s="22" t="s">
        <v>19524</v>
      </c>
      <c r="L428" s="22"/>
      <c r="M428" s="22"/>
      <c r="N428" s="25" t="str">
        <f>HYPERLINK("http://slimages.macys.com/is/image/MCY/21070262 ")</f>
        <v xml:space="preserve">http://slimages.macys.com/is/image/MCY/21070262 </v>
      </c>
    </row>
    <row r="429" spans="1:14" ht="24.75" x14ac:dyDescent="0.25">
      <c r="A429" s="21" t="s">
        <v>7087</v>
      </c>
      <c r="B429" s="22" t="s">
        <v>7088</v>
      </c>
      <c r="C429" s="2">
        <v>1</v>
      </c>
      <c r="D429" s="23">
        <v>7.99</v>
      </c>
      <c r="E429" s="3">
        <v>7.99</v>
      </c>
      <c r="F429" s="2" t="s">
        <v>18954</v>
      </c>
      <c r="G429" s="22" t="s">
        <v>19333</v>
      </c>
      <c r="H429" s="24" t="s">
        <v>19542</v>
      </c>
      <c r="I429" s="22" t="s">
        <v>19309</v>
      </c>
      <c r="J429" s="22" t="s">
        <v>19908</v>
      </c>
      <c r="K429" s="22" t="s">
        <v>19524</v>
      </c>
      <c r="L429" s="22"/>
      <c r="M429" s="22"/>
      <c r="N429" s="25" t="str">
        <f>HYPERLINK("http://slimages.macys.com/is/image/MCY/21070261 ")</f>
        <v xml:space="preserve">http://slimages.macys.com/is/image/MCY/21070261 </v>
      </c>
    </row>
    <row r="430" spans="1:14" ht="24.75" x14ac:dyDescent="0.25">
      <c r="A430" s="21" t="s">
        <v>1000</v>
      </c>
      <c r="B430" s="22" t="s">
        <v>1001</v>
      </c>
      <c r="C430" s="2">
        <v>2</v>
      </c>
      <c r="D430" s="23">
        <v>7.99</v>
      </c>
      <c r="E430" s="3">
        <v>15.98</v>
      </c>
      <c r="F430" s="2" t="s">
        <v>7072</v>
      </c>
      <c r="G430" s="22" t="s">
        <v>19333</v>
      </c>
      <c r="H430" s="24" t="s">
        <v>19542</v>
      </c>
      <c r="I430" s="22" t="s">
        <v>19309</v>
      </c>
      <c r="J430" s="22" t="s">
        <v>19908</v>
      </c>
      <c r="K430" s="22" t="s">
        <v>19524</v>
      </c>
      <c r="L430" s="22"/>
      <c r="M430" s="22"/>
      <c r="N430" s="25" t="str">
        <f>HYPERLINK("http://slimages.macys.com/is/image/MCY/21243353 ")</f>
        <v xml:space="preserve">http://slimages.macys.com/is/image/MCY/21243353 </v>
      </c>
    </row>
    <row r="431" spans="1:14" ht="24.75" x14ac:dyDescent="0.25">
      <c r="A431" s="21" t="s">
        <v>9180</v>
      </c>
      <c r="B431" s="22" t="s">
        <v>9181</v>
      </c>
      <c r="C431" s="2">
        <v>1</v>
      </c>
      <c r="D431" s="23">
        <v>7.99</v>
      </c>
      <c r="E431" s="3">
        <v>7.99</v>
      </c>
      <c r="F431" s="2" t="s">
        <v>18954</v>
      </c>
      <c r="G431" s="22" t="s">
        <v>19415</v>
      </c>
      <c r="H431" s="24" t="s">
        <v>19542</v>
      </c>
      <c r="I431" s="22" t="s">
        <v>19309</v>
      </c>
      <c r="J431" s="22" t="s">
        <v>19908</v>
      </c>
      <c r="K431" s="22" t="s">
        <v>19524</v>
      </c>
      <c r="L431" s="22"/>
      <c r="M431" s="22"/>
      <c r="N431" s="25" t="str">
        <f>HYPERLINK("http://slimages.macys.com/is/image/MCY/21070261 ")</f>
        <v xml:space="preserve">http://slimages.macys.com/is/image/MCY/21070261 </v>
      </c>
    </row>
    <row r="432" spans="1:14" ht="24.75" x14ac:dyDescent="0.25">
      <c r="A432" s="21" t="s">
        <v>6182</v>
      </c>
      <c r="B432" s="22" t="s">
        <v>6183</v>
      </c>
      <c r="C432" s="2">
        <v>2</v>
      </c>
      <c r="D432" s="23">
        <v>7.99</v>
      </c>
      <c r="E432" s="3">
        <v>15.98</v>
      </c>
      <c r="F432" s="2" t="s">
        <v>18954</v>
      </c>
      <c r="G432" s="22" t="s">
        <v>19415</v>
      </c>
      <c r="H432" s="24" t="s">
        <v>19361</v>
      </c>
      <c r="I432" s="22" t="s">
        <v>19309</v>
      </c>
      <c r="J432" s="22" t="s">
        <v>19908</v>
      </c>
      <c r="K432" s="22" t="s">
        <v>19524</v>
      </c>
      <c r="L432" s="22"/>
      <c r="M432" s="22"/>
      <c r="N432" s="25" t="str">
        <f>HYPERLINK("http://slimages.macys.com/is/image/MCY/21070261 ")</f>
        <v xml:space="preserve">http://slimages.macys.com/is/image/MCY/21070261 </v>
      </c>
    </row>
    <row r="433" spans="1:14" ht="24.75" x14ac:dyDescent="0.25">
      <c r="A433" s="21" t="s">
        <v>1002</v>
      </c>
      <c r="B433" s="22" t="s">
        <v>1003</v>
      </c>
      <c r="C433" s="2">
        <v>1</v>
      </c>
      <c r="D433" s="23">
        <v>7.99</v>
      </c>
      <c r="E433" s="3">
        <v>7.99</v>
      </c>
      <c r="F433" s="2" t="s">
        <v>7072</v>
      </c>
      <c r="G433" s="22" t="s">
        <v>19333</v>
      </c>
      <c r="H433" s="24" t="s">
        <v>20089</v>
      </c>
      <c r="I433" s="22" t="s">
        <v>19309</v>
      </c>
      <c r="J433" s="22" t="s">
        <v>19908</v>
      </c>
      <c r="K433" s="22" t="s">
        <v>19524</v>
      </c>
      <c r="L433" s="22"/>
      <c r="M433" s="22"/>
      <c r="N433" s="25" t="str">
        <f>HYPERLINK("http://slimages.macys.com/is/image/MCY/21243353 ")</f>
        <v xml:space="preserve">http://slimages.macys.com/is/image/MCY/21243353 </v>
      </c>
    </row>
    <row r="434" spans="1:14" ht="24.75" x14ac:dyDescent="0.25">
      <c r="A434" s="21" t="s">
        <v>7085</v>
      </c>
      <c r="B434" s="22" t="s">
        <v>7086</v>
      </c>
      <c r="C434" s="2">
        <v>1</v>
      </c>
      <c r="D434" s="23">
        <v>7.99</v>
      </c>
      <c r="E434" s="3">
        <v>7.99</v>
      </c>
      <c r="F434" s="2" t="s">
        <v>7072</v>
      </c>
      <c r="G434" s="22" t="s">
        <v>19333</v>
      </c>
      <c r="H434" s="24" t="s">
        <v>19377</v>
      </c>
      <c r="I434" s="22" t="s">
        <v>19309</v>
      </c>
      <c r="J434" s="22" t="s">
        <v>19908</v>
      </c>
      <c r="K434" s="22" t="s">
        <v>19524</v>
      </c>
      <c r="L434" s="22"/>
      <c r="M434" s="22"/>
      <c r="N434" s="25" t="str">
        <f>HYPERLINK("http://slimages.macys.com/is/image/MCY/21243353 ")</f>
        <v xml:space="preserve">http://slimages.macys.com/is/image/MCY/21243353 </v>
      </c>
    </row>
    <row r="435" spans="1:14" ht="24.75" x14ac:dyDescent="0.25">
      <c r="A435" s="21" t="s">
        <v>7080</v>
      </c>
      <c r="B435" s="22" t="s">
        <v>7081</v>
      </c>
      <c r="C435" s="2">
        <v>1</v>
      </c>
      <c r="D435" s="23">
        <v>7.99</v>
      </c>
      <c r="E435" s="3">
        <v>7.99</v>
      </c>
      <c r="F435" s="2" t="s">
        <v>7082</v>
      </c>
      <c r="G435" s="22" t="s">
        <v>19333</v>
      </c>
      <c r="H435" s="24" t="s">
        <v>19377</v>
      </c>
      <c r="I435" s="22" t="s">
        <v>19309</v>
      </c>
      <c r="J435" s="22" t="s">
        <v>19908</v>
      </c>
      <c r="K435" s="22" t="s">
        <v>19524</v>
      </c>
      <c r="L435" s="22"/>
      <c r="M435" s="22"/>
      <c r="N435" s="25" t="str">
        <f>HYPERLINK("http://slimages.macys.com/is/image/MCY/21070265 ")</f>
        <v xml:space="preserve">http://slimages.macys.com/is/image/MCY/21070265 </v>
      </c>
    </row>
    <row r="436" spans="1:14" ht="24.75" x14ac:dyDescent="0.25">
      <c r="A436" s="21" t="s">
        <v>9178</v>
      </c>
      <c r="B436" s="22" t="s">
        <v>9179</v>
      </c>
      <c r="C436" s="2">
        <v>1</v>
      </c>
      <c r="D436" s="23">
        <v>7.99</v>
      </c>
      <c r="E436" s="3">
        <v>7.99</v>
      </c>
      <c r="F436" s="2" t="s">
        <v>18954</v>
      </c>
      <c r="G436" s="22" t="s">
        <v>19415</v>
      </c>
      <c r="H436" s="24" t="s">
        <v>19377</v>
      </c>
      <c r="I436" s="22" t="s">
        <v>19309</v>
      </c>
      <c r="J436" s="22" t="s">
        <v>19908</v>
      </c>
      <c r="K436" s="22" t="s">
        <v>19524</v>
      </c>
      <c r="L436" s="22"/>
      <c r="M436" s="22"/>
      <c r="N436" s="25" t="str">
        <f>HYPERLINK("http://slimages.macys.com/is/image/MCY/21070261 ")</f>
        <v xml:space="preserve">http://slimages.macys.com/is/image/MCY/21070261 </v>
      </c>
    </row>
    <row r="437" spans="1:14" ht="24.75" x14ac:dyDescent="0.25">
      <c r="A437" s="21" t="s">
        <v>9185</v>
      </c>
      <c r="B437" s="22" t="s">
        <v>9186</v>
      </c>
      <c r="C437" s="2">
        <v>1</v>
      </c>
      <c r="D437" s="23">
        <v>7.99</v>
      </c>
      <c r="E437" s="3">
        <v>7.99</v>
      </c>
      <c r="F437" s="2" t="s">
        <v>14684</v>
      </c>
      <c r="G437" s="22" t="s">
        <v>19323</v>
      </c>
      <c r="H437" s="24" t="s">
        <v>20135</v>
      </c>
      <c r="I437" s="22" t="s">
        <v>19309</v>
      </c>
      <c r="J437" s="22" t="s">
        <v>19908</v>
      </c>
      <c r="K437" s="22" t="s">
        <v>19524</v>
      </c>
      <c r="L437" s="22"/>
      <c r="M437" s="22"/>
      <c r="N437" s="25" t="str">
        <f>HYPERLINK("http://slimages.macys.com/is/image/MCY/21070264 ")</f>
        <v xml:space="preserve">http://slimages.macys.com/is/image/MCY/21070264 </v>
      </c>
    </row>
    <row r="438" spans="1:14" ht="24.75" x14ac:dyDescent="0.25">
      <c r="A438" s="21" t="s">
        <v>1004</v>
      </c>
      <c r="B438" s="22" t="s">
        <v>1005</v>
      </c>
      <c r="C438" s="2">
        <v>1</v>
      </c>
      <c r="D438" s="23">
        <v>7.99</v>
      </c>
      <c r="E438" s="3">
        <v>7.99</v>
      </c>
      <c r="F438" s="2" t="s">
        <v>7931</v>
      </c>
      <c r="G438" s="22" t="s">
        <v>19814</v>
      </c>
      <c r="H438" s="24" t="s">
        <v>19542</v>
      </c>
      <c r="I438" s="22" t="s">
        <v>19309</v>
      </c>
      <c r="J438" s="22" t="s">
        <v>19908</v>
      </c>
      <c r="K438" s="22" t="s">
        <v>19524</v>
      </c>
      <c r="L438" s="22"/>
      <c r="M438" s="22"/>
      <c r="N438" s="25" t="str">
        <f>HYPERLINK("http://slimages.macys.com/is/image/MCY/21243356 ")</f>
        <v xml:space="preserve">http://slimages.macys.com/is/image/MCY/21243356 </v>
      </c>
    </row>
    <row r="439" spans="1:14" ht="24.75" x14ac:dyDescent="0.25">
      <c r="A439" s="21" t="s">
        <v>3102</v>
      </c>
      <c r="B439" s="22" t="s">
        <v>3103</v>
      </c>
      <c r="C439" s="2">
        <v>1</v>
      </c>
      <c r="D439" s="23">
        <v>7.99</v>
      </c>
      <c r="E439" s="3">
        <v>7.99</v>
      </c>
      <c r="F439" s="2" t="s">
        <v>18954</v>
      </c>
      <c r="G439" s="22" t="s">
        <v>19333</v>
      </c>
      <c r="H439" s="24" t="s">
        <v>19907</v>
      </c>
      <c r="I439" s="22" t="s">
        <v>19309</v>
      </c>
      <c r="J439" s="22" t="s">
        <v>19908</v>
      </c>
      <c r="K439" s="22" t="s">
        <v>19524</v>
      </c>
      <c r="L439" s="22"/>
      <c r="M439" s="22"/>
      <c r="N439" s="25" t="str">
        <f>HYPERLINK("http://slimages.macys.com/is/image/MCY/21070261 ")</f>
        <v xml:space="preserve">http://slimages.macys.com/is/image/MCY/21070261 </v>
      </c>
    </row>
    <row r="440" spans="1:14" ht="24.75" x14ac:dyDescent="0.25">
      <c r="A440" s="21" t="s">
        <v>7938</v>
      </c>
      <c r="B440" s="22" t="s">
        <v>7939</v>
      </c>
      <c r="C440" s="2">
        <v>1</v>
      </c>
      <c r="D440" s="23">
        <v>7.99</v>
      </c>
      <c r="E440" s="3">
        <v>7.99</v>
      </c>
      <c r="F440" s="2" t="s">
        <v>17003</v>
      </c>
      <c r="G440" s="22" t="s">
        <v>19333</v>
      </c>
      <c r="H440" s="24" t="s">
        <v>20135</v>
      </c>
      <c r="I440" s="22" t="s">
        <v>19309</v>
      </c>
      <c r="J440" s="22" t="s">
        <v>19908</v>
      </c>
      <c r="K440" s="22" t="s">
        <v>19524</v>
      </c>
      <c r="L440" s="22"/>
      <c r="M440" s="22"/>
      <c r="N440" s="25" t="str">
        <f>HYPERLINK("http://slimages.macys.com/is/image/MCY/21070268 ")</f>
        <v xml:space="preserve">http://slimages.macys.com/is/image/MCY/21070268 </v>
      </c>
    </row>
    <row r="441" spans="1:14" ht="24.75" x14ac:dyDescent="0.25">
      <c r="A441" s="21" t="s">
        <v>7070</v>
      </c>
      <c r="B441" s="22" t="s">
        <v>7071</v>
      </c>
      <c r="C441" s="2">
        <v>1</v>
      </c>
      <c r="D441" s="23">
        <v>7.99</v>
      </c>
      <c r="E441" s="3">
        <v>7.99</v>
      </c>
      <c r="F441" s="2" t="s">
        <v>7072</v>
      </c>
      <c r="G441" s="22" t="s">
        <v>19333</v>
      </c>
      <c r="H441" s="24" t="s">
        <v>19907</v>
      </c>
      <c r="I441" s="22" t="s">
        <v>19309</v>
      </c>
      <c r="J441" s="22" t="s">
        <v>19908</v>
      </c>
      <c r="K441" s="22" t="s">
        <v>19524</v>
      </c>
      <c r="L441" s="22"/>
      <c r="M441" s="22"/>
      <c r="N441" s="25" t="str">
        <f>HYPERLINK("http://slimages.macys.com/is/image/MCY/21243353 ")</f>
        <v xml:space="preserve">http://slimages.macys.com/is/image/MCY/21243353 </v>
      </c>
    </row>
    <row r="442" spans="1:14" ht="24.75" x14ac:dyDescent="0.25">
      <c r="A442" s="21" t="s">
        <v>1006</v>
      </c>
      <c r="B442" s="22" t="s">
        <v>1007</v>
      </c>
      <c r="C442" s="2">
        <v>1</v>
      </c>
      <c r="D442" s="23">
        <v>7.99</v>
      </c>
      <c r="E442" s="3">
        <v>7.99</v>
      </c>
      <c r="F442" s="2" t="s">
        <v>7082</v>
      </c>
      <c r="G442" s="22" t="s">
        <v>19333</v>
      </c>
      <c r="H442" s="24" t="s">
        <v>20089</v>
      </c>
      <c r="I442" s="22" t="s">
        <v>19309</v>
      </c>
      <c r="J442" s="22" t="s">
        <v>19908</v>
      </c>
      <c r="K442" s="22" t="s">
        <v>19524</v>
      </c>
      <c r="L442" s="22"/>
      <c r="M442" s="22"/>
      <c r="N442" s="25" t="str">
        <f>HYPERLINK("http://slimages.macys.com/is/image/MCY/21070265 ")</f>
        <v xml:space="preserve">http://slimages.macys.com/is/image/MCY/21070265 </v>
      </c>
    </row>
    <row r="443" spans="1:14" ht="24.75" x14ac:dyDescent="0.25">
      <c r="A443" s="21" t="s">
        <v>14193</v>
      </c>
      <c r="B443" s="22" t="s">
        <v>14194</v>
      </c>
      <c r="C443" s="2">
        <v>1</v>
      </c>
      <c r="D443" s="23">
        <v>7.99</v>
      </c>
      <c r="E443" s="3">
        <v>7.99</v>
      </c>
      <c r="F443" s="2" t="s">
        <v>18975</v>
      </c>
      <c r="G443" s="22" t="s">
        <v>19518</v>
      </c>
      <c r="H443" s="24" t="s">
        <v>19542</v>
      </c>
      <c r="I443" s="22" t="s">
        <v>19309</v>
      </c>
      <c r="J443" s="22" t="s">
        <v>19815</v>
      </c>
      <c r="K443" s="22" t="s">
        <v>19816</v>
      </c>
      <c r="L443" s="22"/>
      <c r="M443" s="22"/>
      <c r="N443" s="25" t="str">
        <f>HYPERLINK("http://slimages.macys.com/is/image/MCY/20454015 ")</f>
        <v xml:space="preserve">http://slimages.macys.com/is/image/MCY/20454015 </v>
      </c>
    </row>
    <row r="444" spans="1:14" ht="24.75" x14ac:dyDescent="0.25">
      <c r="A444" s="21" t="s">
        <v>14199</v>
      </c>
      <c r="B444" s="22" t="s">
        <v>14200</v>
      </c>
      <c r="C444" s="2">
        <v>1</v>
      </c>
      <c r="D444" s="23">
        <v>7.99</v>
      </c>
      <c r="E444" s="3">
        <v>7.99</v>
      </c>
      <c r="F444" s="2" t="s">
        <v>18975</v>
      </c>
      <c r="G444" s="22" t="s">
        <v>19518</v>
      </c>
      <c r="H444" s="24" t="s">
        <v>19432</v>
      </c>
      <c r="I444" s="22" t="s">
        <v>19309</v>
      </c>
      <c r="J444" s="22" t="s">
        <v>19815</v>
      </c>
      <c r="K444" s="22" t="s">
        <v>19816</v>
      </c>
      <c r="L444" s="22"/>
      <c r="M444" s="22"/>
      <c r="N444" s="25" t="str">
        <f>HYPERLINK("http://slimages.macys.com/is/image/MCY/23423563 ")</f>
        <v xml:space="preserve">http://slimages.macys.com/is/image/MCY/23423563 </v>
      </c>
    </row>
    <row r="445" spans="1:14" ht="24.75" x14ac:dyDescent="0.25">
      <c r="A445" s="21" t="s">
        <v>1008</v>
      </c>
      <c r="B445" s="22" t="s">
        <v>1009</v>
      </c>
      <c r="C445" s="2">
        <v>1</v>
      </c>
      <c r="D445" s="23">
        <v>7.99</v>
      </c>
      <c r="E445" s="3">
        <v>7.99</v>
      </c>
      <c r="F445" s="2" t="s">
        <v>1010</v>
      </c>
      <c r="G445" s="22" t="s">
        <v>19618</v>
      </c>
      <c r="H445" s="24" t="s">
        <v>20089</v>
      </c>
      <c r="I445" s="22" t="s">
        <v>19309</v>
      </c>
      <c r="J445" s="22" t="s">
        <v>19573</v>
      </c>
      <c r="K445" s="22" t="s">
        <v>19574</v>
      </c>
      <c r="L445" s="22"/>
      <c r="M445" s="22"/>
      <c r="N445" s="25" t="str">
        <f>HYPERLINK("http://slimages.macys.com/is/image/MCY/21970184 ")</f>
        <v xml:space="preserve">http://slimages.macys.com/is/image/MCY/21970184 </v>
      </c>
    </row>
    <row r="446" spans="1:14" ht="24.75" x14ac:dyDescent="0.25">
      <c r="A446" s="21" t="s">
        <v>1011</v>
      </c>
      <c r="B446" s="22" t="s">
        <v>1012</v>
      </c>
      <c r="C446" s="2">
        <v>1</v>
      </c>
      <c r="D446" s="23">
        <v>6.99</v>
      </c>
      <c r="E446" s="3">
        <v>6.99</v>
      </c>
      <c r="F446" s="2" t="s">
        <v>9653</v>
      </c>
      <c r="G446" s="22" t="s">
        <v>19357</v>
      </c>
      <c r="H446" s="24" t="s">
        <v>19308</v>
      </c>
      <c r="I446" s="22" t="s">
        <v>19309</v>
      </c>
      <c r="J446" s="22" t="s">
        <v>19454</v>
      </c>
      <c r="K446" s="22" t="s">
        <v>18654</v>
      </c>
      <c r="L446" s="22"/>
      <c r="M446" s="22"/>
      <c r="N446" s="25" t="str">
        <f>HYPERLINK("http://slimages.macys.com/is/image/MCY/19254520 ")</f>
        <v xml:space="preserve">http://slimages.macys.com/is/image/MCY/19254520 </v>
      </c>
    </row>
    <row r="447" spans="1:14" ht="24.75" x14ac:dyDescent="0.25">
      <c r="A447" s="21" t="s">
        <v>1013</v>
      </c>
      <c r="B447" s="22" t="s">
        <v>1014</v>
      </c>
      <c r="C447" s="2">
        <v>2</v>
      </c>
      <c r="D447" s="23">
        <v>6.99</v>
      </c>
      <c r="E447" s="3">
        <v>13.98</v>
      </c>
      <c r="F447" s="2" t="s">
        <v>9653</v>
      </c>
      <c r="G447" s="22" t="s">
        <v>19357</v>
      </c>
      <c r="H447" s="24" t="s">
        <v>19364</v>
      </c>
      <c r="I447" s="22" t="s">
        <v>19309</v>
      </c>
      <c r="J447" s="22" t="s">
        <v>19454</v>
      </c>
      <c r="K447" s="22" t="s">
        <v>18654</v>
      </c>
      <c r="L447" s="22"/>
      <c r="M447" s="22"/>
      <c r="N447" s="25" t="str">
        <f>HYPERLINK("http://slimages.macys.com/is/image/MCY/19254520 ")</f>
        <v xml:space="preserve">http://slimages.macys.com/is/image/MCY/19254520 </v>
      </c>
    </row>
    <row r="448" spans="1:14" ht="24.75" x14ac:dyDescent="0.25">
      <c r="A448" s="21" t="s">
        <v>1015</v>
      </c>
      <c r="B448" s="22" t="s">
        <v>1016</v>
      </c>
      <c r="C448" s="2">
        <v>2</v>
      </c>
      <c r="D448" s="23">
        <v>6.99</v>
      </c>
      <c r="E448" s="3">
        <v>13.98</v>
      </c>
      <c r="F448" s="2" t="s">
        <v>9653</v>
      </c>
      <c r="G448" s="22" t="s">
        <v>19357</v>
      </c>
      <c r="H448" s="24" t="s">
        <v>19352</v>
      </c>
      <c r="I448" s="22" t="s">
        <v>19309</v>
      </c>
      <c r="J448" s="22" t="s">
        <v>19454</v>
      </c>
      <c r="K448" s="22" t="s">
        <v>18654</v>
      </c>
      <c r="L448" s="22"/>
      <c r="M448" s="22"/>
      <c r="N448" s="25" t="str">
        <f>HYPERLINK("http://slimages.macys.com/is/image/MCY/19254520 ")</f>
        <v xml:space="preserve">http://slimages.macys.com/is/image/MCY/19254520 </v>
      </c>
    </row>
    <row r="449" spans="1:14" ht="24.75" x14ac:dyDescent="0.25">
      <c r="A449" s="21" t="s">
        <v>1017</v>
      </c>
      <c r="B449" s="22" t="s">
        <v>1018</v>
      </c>
      <c r="C449" s="2">
        <v>1</v>
      </c>
      <c r="D449" s="23">
        <v>6.99</v>
      </c>
      <c r="E449" s="3">
        <v>6.99</v>
      </c>
      <c r="F449" s="2" t="s">
        <v>9653</v>
      </c>
      <c r="G449" s="22" t="s">
        <v>19357</v>
      </c>
      <c r="H449" s="24" t="s">
        <v>19339</v>
      </c>
      <c r="I449" s="22" t="s">
        <v>19309</v>
      </c>
      <c r="J449" s="22" t="s">
        <v>19454</v>
      </c>
      <c r="K449" s="22" t="s">
        <v>18654</v>
      </c>
      <c r="L449" s="22"/>
      <c r="M449" s="22"/>
      <c r="N449" s="25" t="str">
        <f>HYPERLINK("http://slimages.macys.com/is/image/MCY/19254520 ")</f>
        <v xml:space="preserve">http://slimages.macys.com/is/image/MCY/19254520 </v>
      </c>
    </row>
    <row r="450" spans="1:14" ht="24.75" x14ac:dyDescent="0.25">
      <c r="A450" s="21" t="s">
        <v>1019</v>
      </c>
      <c r="B450" s="22" t="s">
        <v>1020</v>
      </c>
      <c r="C450" s="2">
        <v>1</v>
      </c>
      <c r="D450" s="23">
        <v>8.99</v>
      </c>
      <c r="E450" s="3">
        <v>8.99</v>
      </c>
      <c r="F450" s="2" t="s">
        <v>18984</v>
      </c>
      <c r="G450" s="22" t="s">
        <v>18429</v>
      </c>
      <c r="H450" s="24" t="s">
        <v>19352</v>
      </c>
      <c r="I450" s="22" t="s">
        <v>19309</v>
      </c>
      <c r="J450" s="22" t="s">
        <v>19815</v>
      </c>
      <c r="K450" s="22" t="s">
        <v>19816</v>
      </c>
      <c r="L450" s="22"/>
      <c r="M450" s="22"/>
      <c r="N450" s="25" t="str">
        <f>HYPERLINK("http://slimages.macys.com/is/image/MCY/21278530 ")</f>
        <v xml:space="preserve">http://slimages.macys.com/is/image/MCY/21278530 </v>
      </c>
    </row>
    <row r="451" spans="1:14" x14ac:dyDescent="0.25">
      <c r="A451" s="21" t="s">
        <v>1021</v>
      </c>
      <c r="B451" s="22" t="s">
        <v>1022</v>
      </c>
      <c r="C451" s="2">
        <v>1</v>
      </c>
      <c r="D451" s="23">
        <v>8.3000000000000007</v>
      </c>
      <c r="E451" s="3">
        <v>8.3000000000000007</v>
      </c>
      <c r="F451" s="2" t="s">
        <v>1023</v>
      </c>
      <c r="G451" s="22" t="s">
        <v>19594</v>
      </c>
      <c r="H451" s="24" t="s">
        <v>20152</v>
      </c>
      <c r="I451" s="22" t="s">
        <v>19309</v>
      </c>
      <c r="J451" s="22" t="s">
        <v>19708</v>
      </c>
      <c r="K451" s="22" t="s">
        <v>19709</v>
      </c>
      <c r="L451" s="22"/>
      <c r="M451" s="22"/>
      <c r="N451" s="25" t="str">
        <f>HYPERLINK("http://slimages.macys.com/is/image/MCY/21411311 ")</f>
        <v xml:space="preserve">http://slimages.macys.com/is/image/MCY/21411311 </v>
      </c>
    </row>
    <row r="452" spans="1:14" ht="24.75" x14ac:dyDescent="0.25">
      <c r="A452" s="21" t="s">
        <v>1024</v>
      </c>
      <c r="B452" s="22" t="s">
        <v>1025</v>
      </c>
      <c r="C452" s="2">
        <v>1</v>
      </c>
      <c r="D452" s="23">
        <v>6.99</v>
      </c>
      <c r="E452" s="3">
        <v>6.99</v>
      </c>
      <c r="F452" s="2" t="s">
        <v>1026</v>
      </c>
      <c r="G452" s="22" t="s">
        <v>19357</v>
      </c>
      <c r="H452" s="24" t="s">
        <v>19364</v>
      </c>
      <c r="I452" s="22" t="s">
        <v>19309</v>
      </c>
      <c r="J452" s="22" t="s">
        <v>19454</v>
      </c>
      <c r="K452" s="22" t="s">
        <v>18654</v>
      </c>
      <c r="L452" s="22"/>
      <c r="M452" s="22"/>
      <c r="N452" s="25" t="str">
        <f>HYPERLINK("http://slimages.macys.com/is/image/MCY/19254522 ")</f>
        <v xml:space="preserve">http://slimages.macys.com/is/image/MCY/19254522 </v>
      </c>
    </row>
    <row r="453" spans="1:14" ht="24.75" x14ac:dyDescent="0.25">
      <c r="A453" s="21" t="s">
        <v>1027</v>
      </c>
      <c r="B453" s="22" t="s">
        <v>1028</v>
      </c>
      <c r="C453" s="2">
        <v>1</v>
      </c>
      <c r="D453" s="23">
        <v>6.99</v>
      </c>
      <c r="E453" s="3">
        <v>6.99</v>
      </c>
      <c r="F453" s="2" t="s">
        <v>14137</v>
      </c>
      <c r="G453" s="22" t="s">
        <v>19906</v>
      </c>
      <c r="H453" s="24" t="s">
        <v>19416</v>
      </c>
      <c r="I453" s="22" t="s">
        <v>19309</v>
      </c>
      <c r="J453" s="22" t="s">
        <v>19573</v>
      </c>
      <c r="K453" s="22" t="s">
        <v>19574</v>
      </c>
      <c r="L453" s="22"/>
      <c r="M453" s="22"/>
      <c r="N453" s="25" t="str">
        <f>HYPERLINK("http://slimages.macys.com/is/image/MCY/1586967 ")</f>
        <v xml:space="preserve">http://slimages.macys.com/is/image/MCY/1586967 </v>
      </c>
    </row>
    <row r="454" spans="1:14" ht="24.75" x14ac:dyDescent="0.25">
      <c r="A454" s="21" t="s">
        <v>1029</v>
      </c>
      <c r="B454" s="22" t="s">
        <v>1030</v>
      </c>
      <c r="C454" s="2">
        <v>1</v>
      </c>
      <c r="D454" s="23">
        <v>6.99</v>
      </c>
      <c r="E454" s="3">
        <v>6.99</v>
      </c>
      <c r="F454" s="2" t="s">
        <v>14137</v>
      </c>
      <c r="G454" s="22" t="s">
        <v>19518</v>
      </c>
      <c r="H454" s="24" t="s">
        <v>19538</v>
      </c>
      <c r="I454" s="22" t="s">
        <v>19309</v>
      </c>
      <c r="J454" s="22" t="s">
        <v>19573</v>
      </c>
      <c r="K454" s="22" t="s">
        <v>19574</v>
      </c>
      <c r="L454" s="22"/>
      <c r="M454" s="22"/>
      <c r="N454" s="25" t="str">
        <f>HYPERLINK("http://slimages.macys.com/is/image/MCY/21361653 ")</f>
        <v xml:space="preserve">http://slimages.macys.com/is/image/MCY/21361653 </v>
      </c>
    </row>
    <row r="455" spans="1:14" ht="24.75" x14ac:dyDescent="0.25">
      <c r="A455" s="21" t="s">
        <v>14135</v>
      </c>
      <c r="B455" s="22" t="s">
        <v>14136</v>
      </c>
      <c r="C455" s="2">
        <v>1</v>
      </c>
      <c r="D455" s="23">
        <v>6.99</v>
      </c>
      <c r="E455" s="3">
        <v>6.99</v>
      </c>
      <c r="F455" s="2" t="s">
        <v>14137</v>
      </c>
      <c r="G455" s="22" t="s">
        <v>19906</v>
      </c>
      <c r="H455" s="24" t="s">
        <v>19384</v>
      </c>
      <c r="I455" s="22" t="s">
        <v>19309</v>
      </c>
      <c r="J455" s="22" t="s">
        <v>19573</v>
      </c>
      <c r="K455" s="22" t="s">
        <v>19574</v>
      </c>
      <c r="L455" s="22"/>
      <c r="M455" s="22"/>
      <c r="N455" s="25" t="str">
        <f>HYPERLINK("http://slimages.macys.com/is/image/MCY/1586967 ")</f>
        <v xml:space="preserve">http://slimages.macys.com/is/image/MCY/1586967 </v>
      </c>
    </row>
    <row r="456" spans="1:14" ht="24.75" x14ac:dyDescent="0.25">
      <c r="A456" s="21" t="s">
        <v>4921</v>
      </c>
      <c r="B456" s="22" t="s">
        <v>4922</v>
      </c>
      <c r="C456" s="2">
        <v>1</v>
      </c>
      <c r="D456" s="23">
        <v>6.99</v>
      </c>
      <c r="E456" s="3">
        <v>6.99</v>
      </c>
      <c r="F456" s="2" t="s">
        <v>17054</v>
      </c>
      <c r="G456" s="22" t="s">
        <v>19351</v>
      </c>
      <c r="H456" s="24" t="s">
        <v>19324</v>
      </c>
      <c r="I456" s="22" t="s">
        <v>19309</v>
      </c>
      <c r="J456" s="22" t="s">
        <v>19573</v>
      </c>
      <c r="K456" s="22" t="s">
        <v>19574</v>
      </c>
      <c r="L456" s="22"/>
      <c r="M456" s="22"/>
      <c r="N456" s="25" t="str">
        <f>HYPERLINK("http://slimages.macys.com/is/image/MCY/1586967 ")</f>
        <v xml:space="preserve">http://slimages.macys.com/is/image/MCY/1586967 </v>
      </c>
    </row>
    <row r="457" spans="1:14" ht="24.75" x14ac:dyDescent="0.25">
      <c r="A457" s="21" t="s">
        <v>1031</v>
      </c>
      <c r="B457" s="22" t="s">
        <v>1032</v>
      </c>
      <c r="C457" s="2">
        <v>1</v>
      </c>
      <c r="D457" s="23">
        <v>6.99</v>
      </c>
      <c r="E457" s="3">
        <v>6.99</v>
      </c>
      <c r="F457" s="2" t="s">
        <v>17054</v>
      </c>
      <c r="G457" s="22" t="s">
        <v>19351</v>
      </c>
      <c r="H457" s="24" t="s">
        <v>19384</v>
      </c>
      <c r="I457" s="22" t="s">
        <v>19309</v>
      </c>
      <c r="J457" s="22" t="s">
        <v>19573</v>
      </c>
      <c r="K457" s="22" t="s">
        <v>19574</v>
      </c>
      <c r="L457" s="22"/>
      <c r="M457" s="22"/>
      <c r="N457" s="25" t="str">
        <f>HYPERLINK("http://slimages.macys.com/is/image/MCY/21361541 ")</f>
        <v xml:space="preserve">http://slimages.macys.com/is/image/MCY/21361541 </v>
      </c>
    </row>
    <row r="458" spans="1:14" ht="24.75" x14ac:dyDescent="0.25">
      <c r="A458" s="21" t="s">
        <v>1033</v>
      </c>
      <c r="B458" s="22" t="s">
        <v>1034</v>
      </c>
      <c r="C458" s="2">
        <v>1</v>
      </c>
      <c r="D458" s="23">
        <v>7.99</v>
      </c>
      <c r="E458" s="3">
        <v>7.99</v>
      </c>
      <c r="F458" s="2" t="s">
        <v>19012</v>
      </c>
      <c r="G458" s="22" t="s">
        <v>19906</v>
      </c>
      <c r="H458" s="24" t="s">
        <v>19330</v>
      </c>
      <c r="I458" s="22" t="s">
        <v>19309</v>
      </c>
      <c r="J458" s="22" t="s">
        <v>19573</v>
      </c>
      <c r="K458" s="22" t="s">
        <v>19574</v>
      </c>
      <c r="L458" s="22"/>
      <c r="M458" s="22"/>
      <c r="N458" s="25" t="str">
        <f>HYPERLINK("http://slimages.macys.com/is/image/MCY/21361565 ")</f>
        <v xml:space="preserve">http://slimages.macys.com/is/image/MCY/21361565 </v>
      </c>
    </row>
    <row r="459" spans="1:14" ht="24.75" x14ac:dyDescent="0.25">
      <c r="A459" s="21" t="s">
        <v>1035</v>
      </c>
      <c r="B459" s="22" t="s">
        <v>1036</v>
      </c>
      <c r="C459" s="2">
        <v>1</v>
      </c>
      <c r="D459" s="23">
        <v>7.99</v>
      </c>
      <c r="E459" s="3">
        <v>7.99</v>
      </c>
      <c r="F459" s="2" t="s">
        <v>19012</v>
      </c>
      <c r="G459" s="22" t="s">
        <v>19422</v>
      </c>
      <c r="H459" s="24" t="s">
        <v>19330</v>
      </c>
      <c r="I459" s="22" t="s">
        <v>19309</v>
      </c>
      <c r="J459" s="22" t="s">
        <v>19573</v>
      </c>
      <c r="K459" s="22" t="s">
        <v>19574</v>
      </c>
      <c r="L459" s="22"/>
      <c r="M459" s="22"/>
      <c r="N459" s="25" t="str">
        <f>HYPERLINK("http://slimages.macys.com/is/image/MCY/1554787 ")</f>
        <v xml:space="preserve">http://slimages.macys.com/is/image/MCY/1554787 </v>
      </c>
    </row>
    <row r="460" spans="1:14" ht="24.75" x14ac:dyDescent="0.25">
      <c r="A460" s="21" t="s">
        <v>8021</v>
      </c>
      <c r="B460" s="22" t="s">
        <v>8022</v>
      </c>
      <c r="C460" s="2">
        <v>1</v>
      </c>
      <c r="D460" s="23">
        <v>7.99</v>
      </c>
      <c r="E460" s="3">
        <v>7.99</v>
      </c>
      <c r="F460" s="2" t="s">
        <v>11129</v>
      </c>
      <c r="G460" s="22" t="s">
        <v>19351</v>
      </c>
      <c r="H460" s="24" t="s">
        <v>20089</v>
      </c>
      <c r="I460" s="22" t="s">
        <v>19309</v>
      </c>
      <c r="J460" s="22" t="s">
        <v>19573</v>
      </c>
      <c r="K460" s="22" t="s">
        <v>19574</v>
      </c>
      <c r="L460" s="22"/>
      <c r="M460" s="22"/>
      <c r="N460" s="25" t="str">
        <f>HYPERLINK("http://slimages.macys.com/is/image/MCY/1610409 ")</f>
        <v xml:space="preserve">http://slimages.macys.com/is/image/MCY/1610409 </v>
      </c>
    </row>
    <row r="461" spans="1:14" ht="24.75" x14ac:dyDescent="0.25">
      <c r="A461" s="21" t="s">
        <v>11127</v>
      </c>
      <c r="B461" s="22" t="s">
        <v>11128</v>
      </c>
      <c r="C461" s="2">
        <v>1</v>
      </c>
      <c r="D461" s="23">
        <v>7.99</v>
      </c>
      <c r="E461" s="3">
        <v>7.99</v>
      </c>
      <c r="F461" s="2" t="s">
        <v>11129</v>
      </c>
      <c r="G461" s="22" t="s">
        <v>19351</v>
      </c>
      <c r="H461" s="24" t="s">
        <v>20135</v>
      </c>
      <c r="I461" s="22" t="s">
        <v>19309</v>
      </c>
      <c r="J461" s="22" t="s">
        <v>19573</v>
      </c>
      <c r="K461" s="22" t="s">
        <v>19574</v>
      </c>
      <c r="L461" s="22"/>
      <c r="M461" s="22"/>
      <c r="N461" s="25" t="str">
        <f>HYPERLINK("http://slimages.macys.com/is/image/MCY/1610409 ")</f>
        <v xml:space="preserve">http://slimages.macys.com/is/image/MCY/1610409 </v>
      </c>
    </row>
    <row r="462" spans="1:14" ht="24.75" x14ac:dyDescent="0.25">
      <c r="A462" s="21" t="s">
        <v>3576</v>
      </c>
      <c r="B462" s="22" t="s">
        <v>3577</v>
      </c>
      <c r="C462" s="2">
        <v>1</v>
      </c>
      <c r="D462" s="23">
        <v>7.99</v>
      </c>
      <c r="E462" s="3">
        <v>7.99</v>
      </c>
      <c r="F462" s="2" t="s">
        <v>3578</v>
      </c>
      <c r="G462" s="22" t="s">
        <v>19467</v>
      </c>
      <c r="H462" s="24" t="s">
        <v>20089</v>
      </c>
      <c r="I462" s="22" t="s">
        <v>19309</v>
      </c>
      <c r="J462" s="22" t="s">
        <v>19573</v>
      </c>
      <c r="K462" s="22" t="s">
        <v>19574</v>
      </c>
      <c r="L462" s="22"/>
      <c r="M462" s="22"/>
      <c r="N462" s="25" t="str">
        <f>HYPERLINK("http://slimages.macys.com/is/image/MCY/19217927 ")</f>
        <v xml:space="preserve">http://slimages.macys.com/is/image/MCY/19217927 </v>
      </c>
    </row>
    <row r="463" spans="1:14" ht="24.75" x14ac:dyDescent="0.25">
      <c r="A463" s="21" t="s">
        <v>9674</v>
      </c>
      <c r="B463" s="22" t="s">
        <v>9675</v>
      </c>
      <c r="C463" s="2">
        <v>13</v>
      </c>
      <c r="D463" s="23">
        <v>7.99</v>
      </c>
      <c r="E463" s="3">
        <v>103.87</v>
      </c>
      <c r="F463" s="2" t="s">
        <v>17068</v>
      </c>
      <c r="G463" s="22" t="s">
        <v>19674</v>
      </c>
      <c r="H463" s="24" t="s">
        <v>20135</v>
      </c>
      <c r="I463" s="22" t="s">
        <v>19309</v>
      </c>
      <c r="J463" s="22" t="s">
        <v>19573</v>
      </c>
      <c r="K463" s="22" t="s">
        <v>19574</v>
      </c>
      <c r="L463" s="22"/>
      <c r="M463" s="22"/>
      <c r="N463" s="25" t="str">
        <f>HYPERLINK("http://slimages.macys.com/is/image/MCY/21371404 ")</f>
        <v xml:space="preserve">http://slimages.macys.com/is/image/MCY/21371404 </v>
      </c>
    </row>
    <row r="464" spans="1:14" ht="24.75" x14ac:dyDescent="0.25">
      <c r="A464" s="21" t="s">
        <v>9208</v>
      </c>
      <c r="B464" s="22" t="s">
        <v>9209</v>
      </c>
      <c r="C464" s="2">
        <v>1</v>
      </c>
      <c r="D464" s="23">
        <v>6.99</v>
      </c>
      <c r="E464" s="3">
        <v>6.99</v>
      </c>
      <c r="F464" s="2" t="s">
        <v>9207</v>
      </c>
      <c r="G464" s="22" t="s">
        <v>19315</v>
      </c>
      <c r="H464" s="24" t="s">
        <v>19364</v>
      </c>
      <c r="I464" s="22" t="s">
        <v>19309</v>
      </c>
      <c r="J464" s="22" t="s">
        <v>19454</v>
      </c>
      <c r="K464" s="22" t="s">
        <v>18654</v>
      </c>
      <c r="L464" s="22"/>
      <c r="M464" s="22"/>
      <c r="N464" s="25" t="str">
        <f>HYPERLINK("http://slimages.macys.com/is/image/MCY/19257774 ")</f>
        <v xml:space="preserve">http://slimages.macys.com/is/image/MCY/19257774 </v>
      </c>
    </row>
    <row r="465" spans="1:14" ht="24.75" x14ac:dyDescent="0.25">
      <c r="A465" s="21" t="s">
        <v>14185</v>
      </c>
      <c r="B465" s="22" t="s">
        <v>14186</v>
      </c>
      <c r="C465" s="2">
        <v>1</v>
      </c>
      <c r="D465" s="23">
        <v>5.99</v>
      </c>
      <c r="E465" s="3">
        <v>5.99</v>
      </c>
      <c r="F465" s="2" t="s">
        <v>19043</v>
      </c>
      <c r="G465" s="22" t="s">
        <v>19415</v>
      </c>
      <c r="H465" s="24" t="s">
        <v>19330</v>
      </c>
      <c r="I465" s="22" t="s">
        <v>19309</v>
      </c>
      <c r="J465" s="22" t="s">
        <v>19573</v>
      </c>
      <c r="K465" s="22" t="s">
        <v>19574</v>
      </c>
      <c r="L465" s="22"/>
      <c r="M465" s="22"/>
      <c r="N465" s="25" t="str">
        <f>HYPERLINK("http://slimages.macys.com/is/image/MCY/21209612 ")</f>
        <v xml:space="preserve">http://slimages.macys.com/is/image/MCY/21209612 </v>
      </c>
    </row>
    <row r="466" spans="1:14" ht="24.75" x14ac:dyDescent="0.25">
      <c r="A466" s="21" t="s">
        <v>1037</v>
      </c>
      <c r="B466" s="22" t="s">
        <v>1038</v>
      </c>
      <c r="C466" s="2">
        <v>1</v>
      </c>
      <c r="D466" s="23">
        <v>5.99</v>
      </c>
      <c r="E466" s="3">
        <v>5.99</v>
      </c>
      <c r="F466" s="2" t="s">
        <v>14180</v>
      </c>
      <c r="G466" s="22" t="s">
        <v>19351</v>
      </c>
      <c r="H466" s="24" t="s">
        <v>19384</v>
      </c>
      <c r="I466" s="22" t="s">
        <v>19309</v>
      </c>
      <c r="J466" s="22" t="s">
        <v>19573</v>
      </c>
      <c r="K466" s="22" t="s">
        <v>19574</v>
      </c>
      <c r="L466" s="22"/>
      <c r="M466" s="22"/>
      <c r="N466" s="25" t="str">
        <f>HYPERLINK("http://slimages.macys.com/is/image/MCY/21209393 ")</f>
        <v xml:space="preserve">http://slimages.macys.com/is/image/MCY/21209393 </v>
      </c>
    </row>
    <row r="467" spans="1:14" ht="24.75" x14ac:dyDescent="0.25">
      <c r="A467" s="21" t="s">
        <v>14744</v>
      </c>
      <c r="B467" s="22" t="s">
        <v>14745</v>
      </c>
      <c r="C467" s="2">
        <v>1</v>
      </c>
      <c r="D467" s="23">
        <v>5.99</v>
      </c>
      <c r="E467" s="3">
        <v>5.99</v>
      </c>
      <c r="F467" s="2" t="s">
        <v>17080</v>
      </c>
      <c r="G467" s="22" t="s">
        <v>19467</v>
      </c>
      <c r="H467" s="24" t="s">
        <v>19416</v>
      </c>
      <c r="I467" s="22" t="s">
        <v>19309</v>
      </c>
      <c r="J467" s="22" t="s">
        <v>19573</v>
      </c>
      <c r="K467" s="22" t="s">
        <v>19574</v>
      </c>
      <c r="L467" s="22"/>
      <c r="M467" s="22"/>
      <c r="N467" s="25" t="str">
        <f>HYPERLINK("http://slimages.macys.com/is/image/MCY/21209062 ")</f>
        <v xml:space="preserve">http://slimages.macys.com/is/image/MCY/21209062 </v>
      </c>
    </row>
    <row r="468" spans="1:14" ht="24.75" x14ac:dyDescent="0.25">
      <c r="A468" s="21" t="s">
        <v>1039</v>
      </c>
      <c r="B468" s="22" t="s">
        <v>1040</v>
      </c>
      <c r="C468" s="2">
        <v>2</v>
      </c>
      <c r="D468" s="23">
        <v>7.99</v>
      </c>
      <c r="E468" s="3">
        <v>15.98</v>
      </c>
      <c r="F468" s="2" t="s">
        <v>10095</v>
      </c>
      <c r="G468" s="22" t="s">
        <v>19467</v>
      </c>
      <c r="H468" s="24" t="s">
        <v>19907</v>
      </c>
      <c r="I468" s="22" t="s">
        <v>19309</v>
      </c>
      <c r="J468" s="22" t="s">
        <v>19573</v>
      </c>
      <c r="K468" s="22" t="s">
        <v>19574</v>
      </c>
      <c r="L468" s="22"/>
      <c r="M468" s="22"/>
      <c r="N468" s="25" t="str">
        <f>HYPERLINK("http://slimages.macys.com/is/image/MCY/21209066 ")</f>
        <v xml:space="preserve">http://slimages.macys.com/is/image/MCY/21209066 </v>
      </c>
    </row>
    <row r="469" spans="1:14" ht="24.75" x14ac:dyDescent="0.25">
      <c r="A469" s="21" t="s">
        <v>1041</v>
      </c>
      <c r="B469" s="22" t="s">
        <v>1042</v>
      </c>
      <c r="C469" s="2">
        <v>9</v>
      </c>
      <c r="D469" s="23">
        <v>7.99</v>
      </c>
      <c r="E469" s="3">
        <v>71.91</v>
      </c>
      <c r="F469" s="2" t="s">
        <v>12577</v>
      </c>
      <c r="G469" s="22" t="s">
        <v>19351</v>
      </c>
      <c r="H469" s="24" t="s">
        <v>20089</v>
      </c>
      <c r="I469" s="22" t="s">
        <v>19309</v>
      </c>
      <c r="J469" s="22" t="s">
        <v>19573</v>
      </c>
      <c r="K469" s="22" t="s">
        <v>19574</v>
      </c>
      <c r="L469" s="22"/>
      <c r="M469" s="22"/>
      <c r="N469" s="25" t="str">
        <f>HYPERLINK("http://slimages.macys.com/is/image/MCY/20753665 ")</f>
        <v xml:space="preserve">http://slimages.macys.com/is/image/MCY/20753665 </v>
      </c>
    </row>
    <row r="470" spans="1:14" ht="24.75" x14ac:dyDescent="0.25">
      <c r="A470" s="21" t="s">
        <v>1043</v>
      </c>
      <c r="B470" s="22" t="s">
        <v>1044</v>
      </c>
      <c r="C470" s="2">
        <v>1</v>
      </c>
      <c r="D470" s="23">
        <v>6.99</v>
      </c>
      <c r="E470" s="3">
        <v>6.99</v>
      </c>
      <c r="F470" s="2" t="s">
        <v>9207</v>
      </c>
      <c r="G470" s="22" t="s">
        <v>19513</v>
      </c>
      <c r="H470" s="24" t="s">
        <v>19352</v>
      </c>
      <c r="I470" s="22" t="s">
        <v>19309</v>
      </c>
      <c r="J470" s="22" t="s">
        <v>19454</v>
      </c>
      <c r="K470" s="22" t="s">
        <v>18654</v>
      </c>
      <c r="L470" s="22"/>
      <c r="M470" s="22"/>
      <c r="N470" s="25" t="str">
        <f>HYPERLINK("http://slimages.macys.com/is/image/MCY/19257774 ")</f>
        <v xml:space="preserve">http://slimages.macys.com/is/image/MCY/19257774 </v>
      </c>
    </row>
    <row r="471" spans="1:14" ht="24.75" x14ac:dyDescent="0.25">
      <c r="A471" s="21" t="s">
        <v>1045</v>
      </c>
      <c r="B471" s="22" t="s">
        <v>1044</v>
      </c>
      <c r="C471" s="2">
        <v>1</v>
      </c>
      <c r="D471" s="23">
        <v>6.99</v>
      </c>
      <c r="E471" s="3">
        <v>6.99</v>
      </c>
      <c r="F471" s="2" t="s">
        <v>9207</v>
      </c>
      <c r="G471" s="22" t="s">
        <v>19513</v>
      </c>
      <c r="H471" s="24" t="s">
        <v>19339</v>
      </c>
      <c r="I471" s="22" t="s">
        <v>19309</v>
      </c>
      <c r="J471" s="22" t="s">
        <v>19454</v>
      </c>
      <c r="K471" s="22" t="s">
        <v>18654</v>
      </c>
      <c r="L471" s="22"/>
      <c r="M471" s="22"/>
      <c r="N471" s="25" t="str">
        <f>HYPERLINK("http://slimages.macys.com/is/image/MCY/19257819 ")</f>
        <v xml:space="preserve">http://slimages.macys.com/is/image/MCY/19257819 </v>
      </c>
    </row>
    <row r="472" spans="1:14" ht="24.75" x14ac:dyDescent="0.25">
      <c r="A472" s="21" t="s">
        <v>11133</v>
      </c>
      <c r="B472" s="22" t="s">
        <v>11134</v>
      </c>
      <c r="C472" s="2">
        <v>1</v>
      </c>
      <c r="D472" s="23">
        <v>7.99</v>
      </c>
      <c r="E472" s="3">
        <v>7.99</v>
      </c>
      <c r="F472" s="2" t="s">
        <v>17068</v>
      </c>
      <c r="G472" s="22" t="s">
        <v>19674</v>
      </c>
      <c r="H472" s="24" t="s">
        <v>20135</v>
      </c>
      <c r="I472" s="22" t="s">
        <v>19309</v>
      </c>
      <c r="J472" s="22" t="s">
        <v>19573</v>
      </c>
      <c r="K472" s="22" t="s">
        <v>19574</v>
      </c>
      <c r="L472" s="22"/>
      <c r="M472" s="22"/>
      <c r="N472" s="25" t="str">
        <f>HYPERLINK("http://slimages.macys.com/is/image/MCY/20757995 ")</f>
        <v xml:space="preserve">http://slimages.macys.com/is/image/MCY/20757995 </v>
      </c>
    </row>
    <row r="473" spans="1:14" ht="24.75" x14ac:dyDescent="0.25">
      <c r="A473" s="21" t="s">
        <v>4954</v>
      </c>
      <c r="B473" s="22" t="s">
        <v>4955</v>
      </c>
      <c r="C473" s="2">
        <v>11</v>
      </c>
      <c r="D473" s="23">
        <v>7.99</v>
      </c>
      <c r="E473" s="3">
        <v>87.89</v>
      </c>
      <c r="F473" s="2" t="s">
        <v>4956</v>
      </c>
      <c r="G473" s="22" t="s">
        <v>19415</v>
      </c>
      <c r="H473" s="24" t="s">
        <v>19907</v>
      </c>
      <c r="I473" s="22" t="s">
        <v>19309</v>
      </c>
      <c r="J473" s="22" t="s">
        <v>19573</v>
      </c>
      <c r="K473" s="22" t="s">
        <v>19574</v>
      </c>
      <c r="L473" s="22"/>
      <c r="M473" s="22"/>
      <c r="N473" s="25" t="str">
        <f>HYPERLINK("http://slimages.macys.com/is/image/MCY/22168965 ")</f>
        <v xml:space="preserve">http://slimages.macys.com/is/image/MCY/22168965 </v>
      </c>
    </row>
    <row r="474" spans="1:14" ht="24.75" x14ac:dyDescent="0.25">
      <c r="A474" s="21" t="s">
        <v>1046</v>
      </c>
      <c r="B474" s="22" t="s">
        <v>1047</v>
      </c>
      <c r="C474" s="2">
        <v>1</v>
      </c>
      <c r="D474" s="23">
        <v>7.99</v>
      </c>
      <c r="E474" s="3">
        <v>7.99</v>
      </c>
      <c r="F474" s="2" t="s">
        <v>17100</v>
      </c>
      <c r="G474" s="22" t="s">
        <v>19315</v>
      </c>
      <c r="H474" s="24" t="s">
        <v>19392</v>
      </c>
      <c r="I474" s="22" t="s">
        <v>19309</v>
      </c>
      <c r="J474" s="22" t="s">
        <v>19815</v>
      </c>
      <c r="K474" s="22" t="s">
        <v>19816</v>
      </c>
      <c r="L474" s="22"/>
      <c r="M474" s="22"/>
      <c r="N474" s="25" t="str">
        <f>HYPERLINK("http://slimages.macys.com/is/image/MCY/21188057 ")</f>
        <v xml:space="preserve">http://slimages.macys.com/is/image/MCY/21188057 </v>
      </c>
    </row>
    <row r="475" spans="1:14" ht="24.75" x14ac:dyDescent="0.25">
      <c r="A475" s="21" t="s">
        <v>13461</v>
      </c>
      <c r="B475" s="22" t="s">
        <v>13462</v>
      </c>
      <c r="C475" s="2">
        <v>1</v>
      </c>
      <c r="D475" s="23">
        <v>6.99</v>
      </c>
      <c r="E475" s="3">
        <v>6.99</v>
      </c>
      <c r="F475" s="2" t="s">
        <v>13460</v>
      </c>
      <c r="G475" s="22" t="s">
        <v>19906</v>
      </c>
      <c r="H475" s="24" t="s">
        <v>19364</v>
      </c>
      <c r="I475" s="22" t="s">
        <v>19309</v>
      </c>
      <c r="J475" s="22" t="s">
        <v>19454</v>
      </c>
      <c r="K475" s="22" t="s">
        <v>19354</v>
      </c>
      <c r="L475" s="22"/>
      <c r="M475" s="22"/>
      <c r="N475" s="25" t="str">
        <f>HYPERLINK("http://slimages.macys.com/is/image/MCY/20708515 ")</f>
        <v xml:space="preserve">http://slimages.macys.com/is/image/MCY/20708515 </v>
      </c>
    </row>
    <row r="476" spans="1:14" ht="24.75" x14ac:dyDescent="0.25">
      <c r="A476" s="21" t="s">
        <v>1048</v>
      </c>
      <c r="B476" s="22" t="s">
        <v>1049</v>
      </c>
      <c r="C476" s="2">
        <v>1</v>
      </c>
      <c r="D476" s="23">
        <v>6.99</v>
      </c>
      <c r="E476" s="3">
        <v>6.99</v>
      </c>
      <c r="F476" s="2" t="s">
        <v>1050</v>
      </c>
      <c r="G476" s="22" t="s">
        <v>19518</v>
      </c>
      <c r="H476" s="24" t="s">
        <v>19416</v>
      </c>
      <c r="I476" s="22" t="s">
        <v>19309</v>
      </c>
      <c r="J476" s="22" t="s">
        <v>19573</v>
      </c>
      <c r="K476" s="22" t="s">
        <v>19574</v>
      </c>
      <c r="L476" s="22"/>
      <c r="M476" s="22"/>
      <c r="N476" s="25" t="str">
        <f>HYPERLINK("http://slimages.macys.com/is/image/MCY/17661777 ")</f>
        <v xml:space="preserve">http://slimages.macys.com/is/image/MCY/17661777 </v>
      </c>
    </row>
    <row r="477" spans="1:14" ht="24.75" x14ac:dyDescent="0.25">
      <c r="A477" s="21" t="s">
        <v>1051</v>
      </c>
      <c r="B477" s="22" t="s">
        <v>1052</v>
      </c>
      <c r="C477" s="2">
        <v>1</v>
      </c>
      <c r="D477" s="23">
        <v>7.99</v>
      </c>
      <c r="E477" s="3">
        <v>7.99</v>
      </c>
      <c r="F477" s="2" t="s">
        <v>9219</v>
      </c>
      <c r="G477" s="22" t="s">
        <v>19906</v>
      </c>
      <c r="H477" s="24" t="s">
        <v>20135</v>
      </c>
      <c r="I477" s="22" t="s">
        <v>19309</v>
      </c>
      <c r="J477" s="22" t="s">
        <v>19573</v>
      </c>
      <c r="K477" s="22" t="s">
        <v>19574</v>
      </c>
      <c r="L477" s="22"/>
      <c r="M477" s="22"/>
      <c r="N477" s="25" t="str">
        <f>HYPERLINK("http://slimages.macys.com/is/image/MCY/21209342 ")</f>
        <v xml:space="preserve">http://slimages.macys.com/is/image/MCY/21209342 </v>
      </c>
    </row>
    <row r="478" spans="1:14" ht="24.75" x14ac:dyDescent="0.25">
      <c r="A478" s="21" t="s">
        <v>1053</v>
      </c>
      <c r="B478" s="22" t="s">
        <v>1054</v>
      </c>
      <c r="C478" s="2">
        <v>1</v>
      </c>
      <c r="D478" s="23">
        <v>7.99</v>
      </c>
      <c r="E478" s="3">
        <v>7.99</v>
      </c>
      <c r="F478" s="2" t="s">
        <v>9219</v>
      </c>
      <c r="G478" s="22" t="s">
        <v>19431</v>
      </c>
      <c r="H478" s="24" t="s">
        <v>20135</v>
      </c>
      <c r="I478" s="22" t="s">
        <v>19309</v>
      </c>
      <c r="J478" s="22" t="s">
        <v>19573</v>
      </c>
      <c r="K478" s="22" t="s">
        <v>19574</v>
      </c>
      <c r="L478" s="22"/>
      <c r="M478" s="22"/>
      <c r="N478" s="25" t="str">
        <f>HYPERLINK("http://slimages.macys.com/is/image/MCY/21209342 ")</f>
        <v xml:space="preserve">http://slimages.macys.com/is/image/MCY/21209342 </v>
      </c>
    </row>
    <row r="479" spans="1:14" ht="24.75" x14ac:dyDescent="0.25">
      <c r="A479" s="21" t="s">
        <v>6251</v>
      </c>
      <c r="B479" s="22" t="s">
        <v>6252</v>
      </c>
      <c r="C479" s="2">
        <v>1</v>
      </c>
      <c r="D479" s="23">
        <v>5.99</v>
      </c>
      <c r="E479" s="3">
        <v>5.99</v>
      </c>
      <c r="F479" s="2" t="s">
        <v>17113</v>
      </c>
      <c r="G479" s="22" t="s">
        <v>19618</v>
      </c>
      <c r="H479" s="24" t="s">
        <v>19330</v>
      </c>
      <c r="I479" s="22" t="s">
        <v>19309</v>
      </c>
      <c r="J479" s="22" t="s">
        <v>19573</v>
      </c>
      <c r="K479" s="22" t="s">
        <v>19574</v>
      </c>
      <c r="L479" s="22"/>
      <c r="M479" s="22"/>
      <c r="N479" s="25" t="str">
        <f>HYPERLINK("http://slimages.macys.com/is/image/MCY/21209585 ")</f>
        <v xml:space="preserve">http://slimages.macys.com/is/image/MCY/21209585 </v>
      </c>
    </row>
    <row r="480" spans="1:14" ht="24.75" x14ac:dyDescent="0.25">
      <c r="A480" s="21" t="s">
        <v>17106</v>
      </c>
      <c r="B480" s="22" t="s">
        <v>17107</v>
      </c>
      <c r="C480" s="2">
        <v>1</v>
      </c>
      <c r="D480" s="23">
        <v>5.99</v>
      </c>
      <c r="E480" s="3">
        <v>5.99</v>
      </c>
      <c r="F480" s="2" t="s">
        <v>19087</v>
      </c>
      <c r="G480" s="22" t="s">
        <v>19415</v>
      </c>
      <c r="H480" s="24" t="s">
        <v>19538</v>
      </c>
      <c r="I480" s="22" t="s">
        <v>19309</v>
      </c>
      <c r="J480" s="22" t="s">
        <v>19573</v>
      </c>
      <c r="K480" s="22" t="s">
        <v>19574</v>
      </c>
      <c r="L480" s="22"/>
      <c r="M480" s="22"/>
      <c r="N480" s="25" t="str">
        <f>HYPERLINK("http://slimages.macys.com/is/image/MCY/21209585 ")</f>
        <v xml:space="preserve">http://slimages.macys.com/is/image/MCY/21209585 </v>
      </c>
    </row>
    <row r="481" spans="1:14" ht="24.75" x14ac:dyDescent="0.25">
      <c r="A481" s="21" t="s">
        <v>1055</v>
      </c>
      <c r="B481" s="22" t="s">
        <v>1056</v>
      </c>
      <c r="C481" s="2">
        <v>4</v>
      </c>
      <c r="D481" s="23">
        <v>5.99</v>
      </c>
      <c r="E481" s="3">
        <v>23.96</v>
      </c>
      <c r="F481" s="2" t="s">
        <v>9245</v>
      </c>
      <c r="G481" s="22" t="s">
        <v>19518</v>
      </c>
      <c r="H481" s="24" t="s">
        <v>19416</v>
      </c>
      <c r="I481" s="22" t="s">
        <v>19309</v>
      </c>
      <c r="J481" s="22" t="s">
        <v>19573</v>
      </c>
      <c r="K481" s="22" t="s">
        <v>19574</v>
      </c>
      <c r="L481" s="22"/>
      <c r="M481" s="22"/>
      <c r="N481" s="25" t="str">
        <f>HYPERLINK("http://slimages.macys.com/is/image/MCY/21110550 ")</f>
        <v xml:space="preserve">http://slimages.macys.com/is/image/MCY/21110550 </v>
      </c>
    </row>
    <row r="482" spans="1:14" ht="24.75" x14ac:dyDescent="0.25">
      <c r="A482" s="21" t="s">
        <v>19112</v>
      </c>
      <c r="B482" s="22" t="s">
        <v>19113</v>
      </c>
      <c r="C482" s="2">
        <v>1</v>
      </c>
      <c r="D482" s="23">
        <v>5.99</v>
      </c>
      <c r="E482" s="3">
        <v>5.99</v>
      </c>
      <c r="F482" s="2" t="s">
        <v>19109</v>
      </c>
      <c r="G482" s="22" t="s">
        <v>19670</v>
      </c>
      <c r="H482" s="24" t="s">
        <v>19324</v>
      </c>
      <c r="I482" s="22" t="s">
        <v>19309</v>
      </c>
      <c r="J482" s="22" t="s">
        <v>19573</v>
      </c>
      <c r="K482" s="22" t="s">
        <v>19574</v>
      </c>
      <c r="L482" s="22"/>
      <c r="M482" s="22"/>
      <c r="N482" s="25" t="str">
        <f>HYPERLINK("http://slimages.macys.com/is/image/MCY/21209381 ")</f>
        <v xml:space="preserve">http://slimages.macys.com/is/image/MCY/21209381 </v>
      </c>
    </row>
    <row r="483" spans="1:14" ht="24.75" x14ac:dyDescent="0.25">
      <c r="A483" s="21" t="s">
        <v>1057</v>
      </c>
      <c r="B483" s="22" t="s">
        <v>1058</v>
      </c>
      <c r="C483" s="2">
        <v>1</v>
      </c>
      <c r="D483" s="23">
        <v>7.99</v>
      </c>
      <c r="E483" s="3">
        <v>7.99</v>
      </c>
      <c r="F483" s="2" t="s">
        <v>1059</v>
      </c>
      <c r="G483" s="22" t="s">
        <v>19351</v>
      </c>
      <c r="H483" s="24" t="s">
        <v>20089</v>
      </c>
      <c r="I483" s="22" t="s">
        <v>19309</v>
      </c>
      <c r="J483" s="22" t="s">
        <v>19573</v>
      </c>
      <c r="K483" s="22" t="s">
        <v>19574</v>
      </c>
      <c r="L483" s="22"/>
      <c r="M483" s="22"/>
      <c r="N483" s="25" t="str">
        <f>HYPERLINK("http://slimages.macys.com/is/image/MCY/1610403 ")</f>
        <v xml:space="preserve">http://slimages.macys.com/is/image/MCY/1610403 </v>
      </c>
    </row>
    <row r="484" spans="1:14" ht="24.75" x14ac:dyDescent="0.25">
      <c r="A484" s="21" t="s">
        <v>1060</v>
      </c>
      <c r="B484" s="22" t="s">
        <v>3582</v>
      </c>
      <c r="C484" s="2">
        <v>1</v>
      </c>
      <c r="D484" s="23">
        <v>7.99</v>
      </c>
      <c r="E484" s="3">
        <v>7.99</v>
      </c>
      <c r="F484" s="2" t="s">
        <v>1059</v>
      </c>
      <c r="G484" s="22" t="s">
        <v>19351</v>
      </c>
      <c r="H484" s="24" t="s">
        <v>19907</v>
      </c>
      <c r="I484" s="22" t="s">
        <v>19309</v>
      </c>
      <c r="J484" s="22" t="s">
        <v>19573</v>
      </c>
      <c r="K484" s="22" t="s">
        <v>19574</v>
      </c>
      <c r="L484" s="22"/>
      <c r="M484" s="22"/>
      <c r="N484" s="25" t="str">
        <f>HYPERLINK("http://slimages.macys.com/is/image/MCY/1610403 ")</f>
        <v xml:space="preserve">http://slimages.macys.com/is/image/MCY/1610403 </v>
      </c>
    </row>
    <row r="485" spans="1:14" ht="24.75" x14ac:dyDescent="0.25">
      <c r="A485" s="21" t="s">
        <v>3965</v>
      </c>
      <c r="B485" s="22" t="s">
        <v>3966</v>
      </c>
      <c r="C485" s="2">
        <v>1</v>
      </c>
      <c r="D485" s="23">
        <v>5.99</v>
      </c>
      <c r="E485" s="3">
        <v>5.99</v>
      </c>
      <c r="F485" s="2" t="s">
        <v>8156</v>
      </c>
      <c r="G485" s="22" t="s">
        <v>19618</v>
      </c>
      <c r="H485" s="24" t="s">
        <v>19324</v>
      </c>
      <c r="I485" s="22" t="s">
        <v>19309</v>
      </c>
      <c r="J485" s="22" t="s">
        <v>19573</v>
      </c>
      <c r="K485" s="22" t="s">
        <v>19574</v>
      </c>
      <c r="L485" s="22"/>
      <c r="M485" s="22"/>
      <c r="N485" s="25" t="str">
        <f>HYPERLINK("http://slimages.macys.com/is/image/MCY/21361700 ")</f>
        <v xml:space="preserve">http://slimages.macys.com/is/image/MCY/21361700 </v>
      </c>
    </row>
    <row r="486" spans="1:14" ht="24.75" x14ac:dyDescent="0.25">
      <c r="A486" s="21" t="s">
        <v>1061</v>
      </c>
      <c r="B486" s="22" t="s">
        <v>19153</v>
      </c>
      <c r="C486" s="2">
        <v>1</v>
      </c>
      <c r="D486" s="23">
        <v>5.99</v>
      </c>
      <c r="E486" s="3">
        <v>5.99</v>
      </c>
      <c r="F486" s="2" t="s">
        <v>1062</v>
      </c>
      <c r="G486" s="22" t="s">
        <v>19674</v>
      </c>
      <c r="H486" s="24" t="s">
        <v>19538</v>
      </c>
      <c r="I486" s="22" t="s">
        <v>19309</v>
      </c>
      <c r="J486" s="22" t="s">
        <v>19573</v>
      </c>
      <c r="K486" s="22" t="s">
        <v>19574</v>
      </c>
      <c r="L486" s="22"/>
      <c r="M486" s="22"/>
      <c r="N486" s="25" t="str">
        <f>HYPERLINK("http://slimages.macys.com/is/image/MCY/21970125 ")</f>
        <v xml:space="preserve">http://slimages.macys.com/is/image/MCY/21970125 </v>
      </c>
    </row>
    <row r="487" spans="1:14" ht="24.75" x14ac:dyDescent="0.25">
      <c r="A487" s="21" t="s">
        <v>1063</v>
      </c>
      <c r="B487" s="22" t="s">
        <v>19142</v>
      </c>
      <c r="C487" s="2">
        <v>1</v>
      </c>
      <c r="D487" s="23">
        <v>5.99</v>
      </c>
      <c r="E487" s="3">
        <v>5.99</v>
      </c>
      <c r="F487" s="2" t="s">
        <v>1062</v>
      </c>
      <c r="G487" s="22" t="s">
        <v>19674</v>
      </c>
      <c r="H487" s="24" t="s">
        <v>19324</v>
      </c>
      <c r="I487" s="22" t="s">
        <v>19309</v>
      </c>
      <c r="J487" s="22" t="s">
        <v>19573</v>
      </c>
      <c r="K487" s="22" t="s">
        <v>19574</v>
      </c>
      <c r="L487" s="22"/>
      <c r="M487" s="22"/>
      <c r="N487" s="25" t="str">
        <f>HYPERLINK("http://slimages.macys.com/is/image/MCY/21970125 ")</f>
        <v xml:space="preserve">http://slimages.macys.com/is/image/MCY/21970125 </v>
      </c>
    </row>
    <row r="488" spans="1:14" ht="24.75" x14ac:dyDescent="0.25">
      <c r="A488" s="21" t="s">
        <v>1064</v>
      </c>
      <c r="B488" s="22" t="s">
        <v>1065</v>
      </c>
      <c r="C488" s="2">
        <v>1</v>
      </c>
      <c r="D488" s="23">
        <v>5.99</v>
      </c>
      <c r="E488" s="3">
        <v>5.99</v>
      </c>
      <c r="F488" s="2" t="s">
        <v>9264</v>
      </c>
      <c r="G488" s="22" t="s">
        <v>19618</v>
      </c>
      <c r="H488" s="24" t="s">
        <v>19416</v>
      </c>
      <c r="I488" s="22" t="s">
        <v>19309</v>
      </c>
      <c r="J488" s="22" t="s">
        <v>19573</v>
      </c>
      <c r="K488" s="22" t="s">
        <v>19574</v>
      </c>
      <c r="L488" s="22"/>
      <c r="M488" s="22"/>
      <c r="N488" s="25" t="str">
        <f>HYPERLINK("http://slimages.macys.com/is/image/MCY/20757599 ")</f>
        <v xml:space="preserve">http://slimages.macys.com/is/image/MCY/20757599 </v>
      </c>
    </row>
    <row r="489" spans="1:14" ht="24.75" x14ac:dyDescent="0.25">
      <c r="A489" s="21" t="s">
        <v>1066</v>
      </c>
      <c r="B489" s="22" t="s">
        <v>1067</v>
      </c>
      <c r="C489" s="2">
        <v>1</v>
      </c>
      <c r="D489" s="23">
        <v>5.99</v>
      </c>
      <c r="E489" s="3">
        <v>5.99</v>
      </c>
      <c r="F489" s="2" t="s">
        <v>1068</v>
      </c>
      <c r="G489" s="22" t="s">
        <v>19431</v>
      </c>
      <c r="H489" s="24" t="s">
        <v>19416</v>
      </c>
      <c r="I489" s="22" t="s">
        <v>19309</v>
      </c>
      <c r="J489" s="22" t="s">
        <v>19573</v>
      </c>
      <c r="K489" s="22" t="s">
        <v>19574</v>
      </c>
      <c r="L489" s="22"/>
      <c r="M489" s="22"/>
      <c r="N489" s="25" t="str">
        <f>HYPERLINK("http://slimages.macys.com/is/image/MCY/1672860 ")</f>
        <v xml:space="preserve">http://slimages.macys.com/is/image/MCY/1672860 </v>
      </c>
    </row>
    <row r="490" spans="1:14" ht="24.75" x14ac:dyDescent="0.25">
      <c r="A490" s="21" t="s">
        <v>6289</v>
      </c>
      <c r="B490" s="22" t="s">
        <v>6290</v>
      </c>
      <c r="C490" s="2">
        <v>1</v>
      </c>
      <c r="D490" s="23">
        <v>7.99</v>
      </c>
      <c r="E490" s="3">
        <v>7.99</v>
      </c>
      <c r="F490" s="2" t="s">
        <v>14851</v>
      </c>
      <c r="G490" s="22" t="s">
        <v>19351</v>
      </c>
      <c r="H490" s="24" t="s">
        <v>19907</v>
      </c>
      <c r="I490" s="22" t="s">
        <v>19309</v>
      </c>
      <c r="J490" s="22" t="s">
        <v>19573</v>
      </c>
      <c r="K490" s="22" t="s">
        <v>19574</v>
      </c>
      <c r="L490" s="22"/>
      <c r="M490" s="22"/>
      <c r="N490" s="25" t="str">
        <f>HYPERLINK("http://slimages.macys.com/is/image/MCY/21209295 ")</f>
        <v xml:space="preserve">http://slimages.macys.com/is/image/MCY/21209295 </v>
      </c>
    </row>
    <row r="491" spans="1:14" ht="24.75" x14ac:dyDescent="0.25">
      <c r="A491" s="21" t="s">
        <v>1069</v>
      </c>
      <c r="B491" s="22" t="s">
        <v>1070</v>
      </c>
      <c r="C491" s="2">
        <v>1</v>
      </c>
      <c r="D491" s="23">
        <v>5.99</v>
      </c>
      <c r="E491" s="3">
        <v>5.99</v>
      </c>
      <c r="F491" s="2" t="s">
        <v>1071</v>
      </c>
      <c r="G491" s="22" t="s">
        <v>19467</v>
      </c>
      <c r="H491" s="24" t="s">
        <v>19384</v>
      </c>
      <c r="I491" s="22" t="s">
        <v>19309</v>
      </c>
      <c r="J491" s="22" t="s">
        <v>19573</v>
      </c>
      <c r="K491" s="22" t="s">
        <v>19574</v>
      </c>
      <c r="L491" s="22"/>
      <c r="M491" s="22"/>
      <c r="N491" s="25" t="str">
        <f>HYPERLINK("http://slimages.macys.com/is/image/MCY/20757417 ")</f>
        <v xml:space="preserve">http://slimages.macys.com/is/image/MCY/20757417 </v>
      </c>
    </row>
    <row r="492" spans="1:14" ht="24.75" x14ac:dyDescent="0.25">
      <c r="A492" s="21" t="s">
        <v>19162</v>
      </c>
      <c r="B492" s="22" t="s">
        <v>19163</v>
      </c>
      <c r="C492" s="2">
        <v>1</v>
      </c>
      <c r="D492" s="23">
        <v>5.99</v>
      </c>
      <c r="E492" s="3">
        <v>5.99</v>
      </c>
      <c r="F492" s="2" t="s">
        <v>19164</v>
      </c>
      <c r="G492" s="22" t="s">
        <v>19351</v>
      </c>
      <c r="H492" s="24" t="s">
        <v>19416</v>
      </c>
      <c r="I492" s="22" t="s">
        <v>19309</v>
      </c>
      <c r="J492" s="22" t="s">
        <v>19573</v>
      </c>
      <c r="K492" s="22" t="s">
        <v>19574</v>
      </c>
      <c r="L492" s="22"/>
      <c r="M492" s="22"/>
      <c r="N492" s="25" t="str">
        <f>HYPERLINK("http://slimages.macys.com/is/image/MCY/21970095 ")</f>
        <v xml:space="preserve">http://slimages.macys.com/is/image/MCY/21970095 </v>
      </c>
    </row>
    <row r="493" spans="1:14" ht="24.75" x14ac:dyDescent="0.25">
      <c r="A493" s="21" t="s">
        <v>19176</v>
      </c>
      <c r="B493" s="22" t="s">
        <v>19177</v>
      </c>
      <c r="C493" s="2">
        <v>2</v>
      </c>
      <c r="D493" s="23">
        <v>5.99</v>
      </c>
      <c r="E493" s="3">
        <v>11.98</v>
      </c>
      <c r="F493" s="2" t="s">
        <v>19173</v>
      </c>
      <c r="G493" s="22" t="s">
        <v>19585</v>
      </c>
      <c r="H493" s="24" t="s">
        <v>19324</v>
      </c>
      <c r="I493" s="22" t="s">
        <v>19309</v>
      </c>
      <c r="J493" s="22" t="s">
        <v>19573</v>
      </c>
      <c r="K493" s="22" t="s">
        <v>19574</v>
      </c>
      <c r="L493" s="22"/>
      <c r="M493" s="22"/>
      <c r="N493" s="25" t="str">
        <f>HYPERLINK("http://slimages.macys.com/is/image/MCY/20785378 ")</f>
        <v xml:space="preserve">http://slimages.macys.com/is/image/MCY/20785378 </v>
      </c>
    </row>
    <row r="494" spans="1:14" ht="24.75" x14ac:dyDescent="0.25">
      <c r="A494" s="21" t="s">
        <v>1072</v>
      </c>
      <c r="B494" s="22" t="s">
        <v>1073</v>
      </c>
      <c r="C494" s="2">
        <v>9</v>
      </c>
      <c r="D494" s="23">
        <v>5.99</v>
      </c>
      <c r="E494" s="3">
        <v>53.91</v>
      </c>
      <c r="F494" s="2" t="s">
        <v>19173</v>
      </c>
      <c r="G494" s="22" t="s">
        <v>19518</v>
      </c>
      <c r="H494" s="24" t="s">
        <v>19384</v>
      </c>
      <c r="I494" s="22" t="s">
        <v>19309</v>
      </c>
      <c r="J494" s="22" t="s">
        <v>19573</v>
      </c>
      <c r="K494" s="22" t="s">
        <v>19574</v>
      </c>
      <c r="L494" s="22"/>
      <c r="M494" s="22"/>
      <c r="N494" s="25" t="str">
        <f>HYPERLINK("http://slimages.macys.com/is/image/MCY/21110507 ")</f>
        <v xml:space="preserve">http://slimages.macys.com/is/image/MCY/21110507 </v>
      </c>
    </row>
    <row r="495" spans="1:14" ht="24.75" x14ac:dyDescent="0.25">
      <c r="A495" s="21" t="s">
        <v>1074</v>
      </c>
      <c r="B495" s="22" t="s">
        <v>1075</v>
      </c>
      <c r="C495" s="2">
        <v>1</v>
      </c>
      <c r="D495" s="23">
        <v>6.99</v>
      </c>
      <c r="E495" s="3">
        <v>6.99</v>
      </c>
      <c r="F495" s="2" t="s">
        <v>1076</v>
      </c>
      <c r="G495" s="22" t="s">
        <v>19422</v>
      </c>
      <c r="H495" s="24" t="s">
        <v>19538</v>
      </c>
      <c r="I495" s="22" t="s">
        <v>19309</v>
      </c>
      <c r="J495" s="22" t="s">
        <v>19573</v>
      </c>
      <c r="K495" s="22" t="s">
        <v>19574</v>
      </c>
      <c r="L495" s="22"/>
      <c r="M495" s="22"/>
      <c r="N495" s="25" t="str">
        <f>HYPERLINK("http://slimages.macys.com/is/image/MCY/19507761 ")</f>
        <v xml:space="preserve">http://slimages.macys.com/is/image/MCY/19507761 </v>
      </c>
    </row>
    <row r="496" spans="1:14" ht="24.75" x14ac:dyDescent="0.25">
      <c r="A496" s="21" t="s">
        <v>19165</v>
      </c>
      <c r="B496" s="22" t="s">
        <v>19166</v>
      </c>
      <c r="C496" s="2">
        <v>1</v>
      </c>
      <c r="D496" s="23">
        <v>5.99</v>
      </c>
      <c r="E496" s="3">
        <v>5.99</v>
      </c>
      <c r="F496" s="2" t="s">
        <v>19167</v>
      </c>
      <c r="G496" s="22" t="s">
        <v>19618</v>
      </c>
      <c r="H496" s="24" t="s">
        <v>19538</v>
      </c>
      <c r="I496" s="22" t="s">
        <v>19309</v>
      </c>
      <c r="J496" s="22" t="s">
        <v>19573</v>
      </c>
      <c r="K496" s="22" t="s">
        <v>19574</v>
      </c>
      <c r="L496" s="22"/>
      <c r="M496" s="22"/>
      <c r="N496" s="25" t="str">
        <f>HYPERLINK("http://slimages.macys.com/is/image/MCY/20736377 ")</f>
        <v xml:space="preserve">http://slimages.macys.com/is/image/MCY/20736377 </v>
      </c>
    </row>
    <row r="497" spans="1:14" ht="24.75" x14ac:dyDescent="0.25">
      <c r="A497" s="21" t="s">
        <v>13487</v>
      </c>
      <c r="B497" s="22" t="s">
        <v>13488</v>
      </c>
      <c r="C497" s="2">
        <v>1</v>
      </c>
      <c r="D497" s="23">
        <v>5.99</v>
      </c>
      <c r="E497" s="3">
        <v>5.99</v>
      </c>
      <c r="F497" s="2" t="s">
        <v>17185</v>
      </c>
      <c r="G497" s="22" t="s">
        <v>19477</v>
      </c>
      <c r="H497" s="24" t="s">
        <v>19324</v>
      </c>
      <c r="I497" s="22" t="s">
        <v>19309</v>
      </c>
      <c r="J497" s="22" t="s">
        <v>19573</v>
      </c>
      <c r="K497" s="22" t="s">
        <v>19574</v>
      </c>
      <c r="L497" s="22"/>
      <c r="M497" s="22"/>
      <c r="N497" s="25" t="str">
        <f>HYPERLINK("http://slimages.macys.com/is/image/MCY/21209412 ")</f>
        <v xml:space="preserve">http://slimages.macys.com/is/image/MCY/21209412 </v>
      </c>
    </row>
    <row r="498" spans="1:14" ht="24.75" x14ac:dyDescent="0.25">
      <c r="A498" s="21" t="s">
        <v>1077</v>
      </c>
      <c r="B498" s="22" t="s">
        <v>1078</v>
      </c>
      <c r="C498" s="2">
        <v>1</v>
      </c>
      <c r="D498" s="23">
        <v>5.99</v>
      </c>
      <c r="E498" s="3">
        <v>5.99</v>
      </c>
      <c r="F498" s="2" t="s">
        <v>19170</v>
      </c>
      <c r="G498" s="22" t="s">
        <v>19906</v>
      </c>
      <c r="H498" s="24" t="s">
        <v>19416</v>
      </c>
      <c r="I498" s="22" t="s">
        <v>19309</v>
      </c>
      <c r="J498" s="22" t="s">
        <v>19573</v>
      </c>
      <c r="K498" s="22" t="s">
        <v>19574</v>
      </c>
      <c r="L498" s="22"/>
      <c r="M498" s="22"/>
      <c r="N498" s="25" t="str">
        <f>HYPERLINK("http://slimages.macys.com/is/image/MCY/21361119 ")</f>
        <v xml:space="preserve">http://slimages.macys.com/is/image/MCY/21361119 </v>
      </c>
    </row>
    <row r="499" spans="1:14" ht="24.75" x14ac:dyDescent="0.25">
      <c r="A499" s="21" t="s">
        <v>7173</v>
      </c>
      <c r="B499" s="22" t="s">
        <v>7174</v>
      </c>
      <c r="C499" s="2">
        <v>1</v>
      </c>
      <c r="D499" s="23">
        <v>5.99</v>
      </c>
      <c r="E499" s="3">
        <v>5.99</v>
      </c>
      <c r="F499" s="2" t="s">
        <v>17185</v>
      </c>
      <c r="G499" s="22" t="s">
        <v>19477</v>
      </c>
      <c r="H499" s="24" t="s">
        <v>19384</v>
      </c>
      <c r="I499" s="22" t="s">
        <v>19309</v>
      </c>
      <c r="J499" s="22" t="s">
        <v>19573</v>
      </c>
      <c r="K499" s="22" t="s">
        <v>19574</v>
      </c>
      <c r="L499" s="22"/>
      <c r="M499" s="22"/>
      <c r="N499" s="25" t="str">
        <f>HYPERLINK("http://slimages.macys.com/is/image/MCY/21209257 ")</f>
        <v xml:space="preserve">http://slimages.macys.com/is/image/MCY/21209257 </v>
      </c>
    </row>
    <row r="500" spans="1:14" ht="24.75" x14ac:dyDescent="0.25">
      <c r="A500" s="21" t="s">
        <v>1079</v>
      </c>
      <c r="B500" s="22" t="s">
        <v>1080</v>
      </c>
      <c r="C500" s="2">
        <v>2</v>
      </c>
      <c r="D500" s="23">
        <v>6.99</v>
      </c>
      <c r="E500" s="3">
        <v>13.98</v>
      </c>
      <c r="F500" s="2">
        <v>10014307400</v>
      </c>
      <c r="G500" s="22" t="s">
        <v>19713</v>
      </c>
      <c r="H500" s="24" t="s">
        <v>19384</v>
      </c>
      <c r="I500" s="22" t="s">
        <v>19309</v>
      </c>
      <c r="J500" s="22" t="s">
        <v>19573</v>
      </c>
      <c r="K500" s="22" t="s">
        <v>19574</v>
      </c>
      <c r="L500" s="22"/>
      <c r="M500" s="22"/>
      <c r="N500" s="25" t="str">
        <f>HYPERLINK("http://slimages.macys.com/is/image/MCY/20758051 ")</f>
        <v xml:space="preserve">http://slimages.macys.com/is/image/MCY/20758051 </v>
      </c>
    </row>
    <row r="501" spans="1:14" ht="24.75" x14ac:dyDescent="0.25">
      <c r="A501" s="21" t="s">
        <v>19183</v>
      </c>
      <c r="B501" s="22" t="s">
        <v>19184</v>
      </c>
      <c r="C501" s="2">
        <v>1</v>
      </c>
      <c r="D501" s="23">
        <v>5.99</v>
      </c>
      <c r="E501" s="3">
        <v>5.99</v>
      </c>
      <c r="F501" s="2" t="s">
        <v>19180</v>
      </c>
      <c r="G501" s="22" t="s">
        <v>19477</v>
      </c>
      <c r="H501" s="24" t="s">
        <v>19324</v>
      </c>
      <c r="I501" s="22" t="s">
        <v>19309</v>
      </c>
      <c r="J501" s="22" t="s">
        <v>19573</v>
      </c>
      <c r="K501" s="22" t="s">
        <v>19574</v>
      </c>
      <c r="L501" s="22"/>
      <c r="M501" s="22"/>
      <c r="N501" s="25" t="str">
        <f>HYPERLINK("http://slimages.macys.com/is/image/MCY/1521974 ")</f>
        <v xml:space="preserve">http://slimages.macys.com/is/image/MCY/1521974 </v>
      </c>
    </row>
    <row r="502" spans="1:14" ht="24.75" x14ac:dyDescent="0.25">
      <c r="A502" s="21" t="s">
        <v>17186</v>
      </c>
      <c r="B502" s="22" t="s">
        <v>17187</v>
      </c>
      <c r="C502" s="2">
        <v>2</v>
      </c>
      <c r="D502" s="23">
        <v>5.99</v>
      </c>
      <c r="E502" s="3">
        <v>11.98</v>
      </c>
      <c r="F502" s="2" t="s">
        <v>19180</v>
      </c>
      <c r="G502" s="22" t="s">
        <v>19477</v>
      </c>
      <c r="H502" s="24" t="s">
        <v>19330</v>
      </c>
      <c r="I502" s="22" t="s">
        <v>19309</v>
      </c>
      <c r="J502" s="22" t="s">
        <v>19573</v>
      </c>
      <c r="K502" s="22" t="s">
        <v>19574</v>
      </c>
      <c r="L502" s="22"/>
      <c r="M502" s="22"/>
      <c r="N502" s="25" t="str">
        <f>HYPERLINK("http://slimages.macys.com/is/image/MCY/1521972 ")</f>
        <v xml:space="preserve">http://slimages.macys.com/is/image/MCY/1521972 </v>
      </c>
    </row>
    <row r="503" spans="1:14" ht="24.75" x14ac:dyDescent="0.25">
      <c r="A503" s="21" t="s">
        <v>19181</v>
      </c>
      <c r="B503" s="22" t="s">
        <v>19182</v>
      </c>
      <c r="C503" s="2">
        <v>2</v>
      </c>
      <c r="D503" s="23">
        <v>5.99</v>
      </c>
      <c r="E503" s="3">
        <v>11.98</v>
      </c>
      <c r="F503" s="2" t="s">
        <v>19180</v>
      </c>
      <c r="G503" s="22" t="s">
        <v>19477</v>
      </c>
      <c r="H503" s="24" t="s">
        <v>19416</v>
      </c>
      <c r="I503" s="22" t="s">
        <v>19309</v>
      </c>
      <c r="J503" s="22" t="s">
        <v>19573</v>
      </c>
      <c r="K503" s="22" t="s">
        <v>19574</v>
      </c>
      <c r="L503" s="22"/>
      <c r="M503" s="22"/>
      <c r="N503" s="25" t="str">
        <f>HYPERLINK("http://slimages.macys.com/is/image/MCY/1521972 ")</f>
        <v xml:space="preserve">http://slimages.macys.com/is/image/MCY/1521972 </v>
      </c>
    </row>
    <row r="504" spans="1:14" ht="24.75" x14ac:dyDescent="0.25">
      <c r="A504" s="21" t="s">
        <v>19178</v>
      </c>
      <c r="B504" s="22" t="s">
        <v>19179</v>
      </c>
      <c r="C504" s="2">
        <v>1</v>
      </c>
      <c r="D504" s="23">
        <v>5.99</v>
      </c>
      <c r="E504" s="3">
        <v>5.99</v>
      </c>
      <c r="F504" s="2" t="s">
        <v>19180</v>
      </c>
      <c r="G504" s="22" t="s">
        <v>19477</v>
      </c>
      <c r="H504" s="24" t="s">
        <v>19384</v>
      </c>
      <c r="I504" s="22" t="s">
        <v>19309</v>
      </c>
      <c r="J504" s="22" t="s">
        <v>19573</v>
      </c>
      <c r="K504" s="22" t="s">
        <v>19574</v>
      </c>
      <c r="L504" s="22"/>
      <c r="M504" s="22"/>
      <c r="N504" s="25" t="str">
        <f>HYPERLINK("http://slimages.macys.com/is/image/MCY/1521974 ")</f>
        <v xml:space="preserve">http://slimages.macys.com/is/image/MCY/1521974 </v>
      </c>
    </row>
    <row r="505" spans="1:14" ht="24.75" x14ac:dyDescent="0.25">
      <c r="A505" s="21" t="s">
        <v>1081</v>
      </c>
      <c r="B505" s="22" t="s">
        <v>1082</v>
      </c>
      <c r="C505" s="2">
        <v>1</v>
      </c>
      <c r="D505" s="23">
        <v>6.99</v>
      </c>
      <c r="E505" s="3">
        <v>6.99</v>
      </c>
      <c r="F505" s="2" t="s">
        <v>1083</v>
      </c>
      <c r="G505" s="22" t="s">
        <v>19351</v>
      </c>
      <c r="H505" s="24" t="s">
        <v>19384</v>
      </c>
      <c r="I505" s="22" t="s">
        <v>19309</v>
      </c>
      <c r="J505" s="22" t="s">
        <v>19573</v>
      </c>
      <c r="K505" s="22" t="s">
        <v>19574</v>
      </c>
      <c r="L505" s="22"/>
      <c r="M505" s="22"/>
      <c r="N505" s="25" t="str">
        <f>HYPERLINK("http://slimages.macys.com/is/image/MCY/1046530 ")</f>
        <v xml:space="preserve">http://slimages.macys.com/is/image/MCY/1046530 </v>
      </c>
    </row>
    <row r="506" spans="1:14" ht="24.75" x14ac:dyDescent="0.25">
      <c r="A506" s="21" t="s">
        <v>1084</v>
      </c>
      <c r="B506" s="22" t="s">
        <v>1085</v>
      </c>
      <c r="C506" s="2">
        <v>1</v>
      </c>
      <c r="D506" s="23">
        <v>7.99</v>
      </c>
      <c r="E506" s="3">
        <v>7.99</v>
      </c>
      <c r="F506" s="2" t="s">
        <v>3605</v>
      </c>
      <c r="G506" s="22" t="s">
        <v>19351</v>
      </c>
      <c r="H506" s="24" t="s">
        <v>19907</v>
      </c>
      <c r="I506" s="22" t="s">
        <v>19309</v>
      </c>
      <c r="J506" s="22" t="s">
        <v>19573</v>
      </c>
      <c r="K506" s="22" t="s">
        <v>19574</v>
      </c>
      <c r="L506" s="22"/>
      <c r="M506" s="22"/>
      <c r="N506" s="25" t="str">
        <f>HYPERLINK("http://slimages.macys.com/is/image/MCY/21361770 ")</f>
        <v xml:space="preserve">http://slimages.macys.com/is/image/MCY/21361770 </v>
      </c>
    </row>
    <row r="507" spans="1:14" ht="24.75" x14ac:dyDescent="0.25">
      <c r="A507" s="21" t="s">
        <v>19205</v>
      </c>
      <c r="B507" s="22" t="s">
        <v>19206</v>
      </c>
      <c r="C507" s="2">
        <v>1</v>
      </c>
      <c r="D507" s="23">
        <v>5.99</v>
      </c>
      <c r="E507" s="3">
        <v>5.99</v>
      </c>
      <c r="F507" s="2" t="s">
        <v>19204</v>
      </c>
      <c r="G507" s="22" t="s">
        <v>19431</v>
      </c>
      <c r="H507" s="24" t="s">
        <v>19538</v>
      </c>
      <c r="I507" s="22" t="s">
        <v>19309</v>
      </c>
      <c r="J507" s="22" t="s">
        <v>19573</v>
      </c>
      <c r="K507" s="22" t="s">
        <v>19574</v>
      </c>
      <c r="L507" s="22"/>
      <c r="M507" s="22"/>
      <c r="N507" s="25" t="str">
        <f>HYPERLINK("http://slimages.macys.com/is/image/MCY/1537013 ")</f>
        <v xml:space="preserve">http://slimages.macys.com/is/image/MCY/1537013 </v>
      </c>
    </row>
    <row r="508" spans="1:14" ht="24.75" x14ac:dyDescent="0.25">
      <c r="A508" s="21" t="s">
        <v>5309</v>
      </c>
      <c r="B508" s="22" t="s">
        <v>5310</v>
      </c>
      <c r="C508" s="2">
        <v>1</v>
      </c>
      <c r="D508" s="23">
        <v>6.99</v>
      </c>
      <c r="E508" s="3">
        <v>6.99</v>
      </c>
      <c r="F508" s="2" t="s">
        <v>14894</v>
      </c>
      <c r="G508" s="22" t="s">
        <v>19351</v>
      </c>
      <c r="H508" s="24" t="s">
        <v>19384</v>
      </c>
      <c r="I508" s="22" t="s">
        <v>19309</v>
      </c>
      <c r="J508" s="22" t="s">
        <v>19573</v>
      </c>
      <c r="K508" s="22" t="s">
        <v>19574</v>
      </c>
      <c r="L508" s="22"/>
      <c r="M508" s="22"/>
      <c r="N508" s="25" t="str">
        <f>HYPERLINK("http://slimages.macys.com/is/image/MCY/17565512 ")</f>
        <v xml:space="preserve">http://slimages.macys.com/is/image/MCY/17565512 </v>
      </c>
    </row>
    <row r="509" spans="1:14" ht="24.75" x14ac:dyDescent="0.25">
      <c r="A509" s="21" t="s">
        <v>1086</v>
      </c>
      <c r="B509" s="22" t="s">
        <v>1087</v>
      </c>
      <c r="C509" s="2">
        <v>8</v>
      </c>
      <c r="D509" s="23">
        <v>6.99</v>
      </c>
      <c r="E509" s="3">
        <v>55.92</v>
      </c>
      <c r="F509" s="2" t="s">
        <v>2179</v>
      </c>
      <c r="G509" s="22" t="s">
        <v>19415</v>
      </c>
      <c r="H509" s="24" t="s">
        <v>19330</v>
      </c>
      <c r="I509" s="22" t="s">
        <v>19309</v>
      </c>
      <c r="J509" s="22" t="s">
        <v>19573</v>
      </c>
      <c r="K509" s="22" t="s">
        <v>19574</v>
      </c>
      <c r="L509" s="22"/>
      <c r="M509" s="22"/>
      <c r="N509" s="25" t="str">
        <f>HYPERLINK("http://slimages.macys.com/is/image/MCY/20436495 ")</f>
        <v xml:space="preserve">http://slimages.macys.com/is/image/MCY/20436495 </v>
      </c>
    </row>
    <row r="510" spans="1:14" ht="24.75" x14ac:dyDescent="0.25">
      <c r="A510" s="21" t="s">
        <v>14895</v>
      </c>
      <c r="B510" s="22" t="s">
        <v>14896</v>
      </c>
      <c r="C510" s="2">
        <v>3</v>
      </c>
      <c r="D510" s="23">
        <v>5.99</v>
      </c>
      <c r="E510" s="3">
        <v>17.97</v>
      </c>
      <c r="F510" s="2" t="s">
        <v>17198</v>
      </c>
      <c r="G510" s="22" t="s">
        <v>19467</v>
      </c>
      <c r="H510" s="24" t="s">
        <v>19538</v>
      </c>
      <c r="I510" s="22" t="s">
        <v>19309</v>
      </c>
      <c r="J510" s="22" t="s">
        <v>19573</v>
      </c>
      <c r="K510" s="22" t="s">
        <v>19574</v>
      </c>
      <c r="L510" s="22"/>
      <c r="M510" s="22"/>
      <c r="N510" s="25" t="str">
        <f>HYPERLINK("http://slimages.macys.com/is/image/MCY/21209066 ")</f>
        <v xml:space="preserve">http://slimages.macys.com/is/image/MCY/21209066 </v>
      </c>
    </row>
    <row r="511" spans="1:14" ht="24.75" x14ac:dyDescent="0.25">
      <c r="A511" s="21" t="s">
        <v>8626</v>
      </c>
      <c r="B511" s="22" t="s">
        <v>8627</v>
      </c>
      <c r="C511" s="2">
        <v>18</v>
      </c>
      <c r="D511" s="23">
        <v>7.99</v>
      </c>
      <c r="E511" s="3">
        <v>143.82</v>
      </c>
      <c r="F511" s="2" t="s">
        <v>10727</v>
      </c>
      <c r="G511" s="22" t="s">
        <v>19351</v>
      </c>
      <c r="H511" s="24" t="s">
        <v>19907</v>
      </c>
      <c r="I511" s="22" t="s">
        <v>19309</v>
      </c>
      <c r="J511" s="22" t="s">
        <v>19573</v>
      </c>
      <c r="K511" s="22" t="s">
        <v>19574</v>
      </c>
      <c r="L511" s="22"/>
      <c r="M511" s="22"/>
      <c r="N511" s="25" t="str">
        <f>HYPERLINK("http://slimages.macys.com/is/image/MCY/20757969 ")</f>
        <v xml:space="preserve">http://slimages.macys.com/is/image/MCY/20757969 </v>
      </c>
    </row>
    <row r="512" spans="1:14" ht="24.75" x14ac:dyDescent="0.25">
      <c r="A512" s="21" t="s">
        <v>7192</v>
      </c>
      <c r="B512" s="22" t="s">
        <v>7193</v>
      </c>
      <c r="C512" s="2">
        <v>51</v>
      </c>
      <c r="D512" s="23">
        <v>5.99</v>
      </c>
      <c r="E512" s="3">
        <v>305.49</v>
      </c>
      <c r="F512" s="2" t="s">
        <v>17203</v>
      </c>
      <c r="G512" s="22" t="s">
        <v>19467</v>
      </c>
      <c r="H512" s="24" t="s">
        <v>19538</v>
      </c>
      <c r="I512" s="22" t="s">
        <v>19309</v>
      </c>
      <c r="J512" s="22" t="s">
        <v>19573</v>
      </c>
      <c r="K512" s="22" t="s">
        <v>19574</v>
      </c>
      <c r="L512" s="22"/>
      <c r="M512" s="22"/>
      <c r="N512" s="25" t="str">
        <f>HYPERLINK("http://slimages.macys.com/is/image/MCY/20757989 ")</f>
        <v xml:space="preserve">http://slimages.macys.com/is/image/MCY/20757989 </v>
      </c>
    </row>
    <row r="513" spans="1:14" ht="24.75" x14ac:dyDescent="0.25">
      <c r="A513" s="21" t="s">
        <v>8628</v>
      </c>
      <c r="B513" s="22" t="s">
        <v>8629</v>
      </c>
      <c r="C513" s="2">
        <v>54</v>
      </c>
      <c r="D513" s="23">
        <v>5.99</v>
      </c>
      <c r="E513" s="3">
        <v>323.45999999999998</v>
      </c>
      <c r="F513" s="2" t="s">
        <v>17203</v>
      </c>
      <c r="G513" s="22" t="s">
        <v>19467</v>
      </c>
      <c r="H513" s="24" t="s">
        <v>19416</v>
      </c>
      <c r="I513" s="22" t="s">
        <v>19309</v>
      </c>
      <c r="J513" s="22" t="s">
        <v>19573</v>
      </c>
      <c r="K513" s="22" t="s">
        <v>19574</v>
      </c>
      <c r="L513" s="22"/>
      <c r="M513" s="22"/>
      <c r="N513" s="25" t="str">
        <f>HYPERLINK("http://slimages.macys.com/is/image/MCY/20757989 ")</f>
        <v xml:space="preserve">http://slimages.macys.com/is/image/MCY/20757989 </v>
      </c>
    </row>
    <row r="514" spans="1:14" ht="24.75" x14ac:dyDescent="0.25">
      <c r="A514" s="21" t="s">
        <v>8161</v>
      </c>
      <c r="B514" s="22" t="s">
        <v>8162</v>
      </c>
      <c r="C514" s="2">
        <v>83</v>
      </c>
      <c r="D514" s="23">
        <v>5.99</v>
      </c>
      <c r="E514" s="3">
        <v>497.17</v>
      </c>
      <c r="F514" s="2" t="s">
        <v>17203</v>
      </c>
      <c r="G514" s="22" t="s">
        <v>19467</v>
      </c>
      <c r="H514" s="24" t="s">
        <v>19330</v>
      </c>
      <c r="I514" s="22" t="s">
        <v>19309</v>
      </c>
      <c r="J514" s="22" t="s">
        <v>19573</v>
      </c>
      <c r="K514" s="22" t="s">
        <v>19574</v>
      </c>
      <c r="L514" s="22"/>
      <c r="M514" s="22"/>
      <c r="N514" s="25" t="str">
        <f>HYPERLINK("http://slimages.macys.com/is/image/MCY/20757989 ")</f>
        <v xml:space="preserve">http://slimages.macys.com/is/image/MCY/20757989 </v>
      </c>
    </row>
    <row r="515" spans="1:14" ht="24.75" x14ac:dyDescent="0.25">
      <c r="A515" s="21" t="s">
        <v>8165</v>
      </c>
      <c r="B515" s="22" t="s">
        <v>8166</v>
      </c>
      <c r="C515" s="2">
        <v>12</v>
      </c>
      <c r="D515" s="23">
        <v>5.99</v>
      </c>
      <c r="E515" s="3">
        <v>71.88</v>
      </c>
      <c r="F515" s="2" t="s">
        <v>17203</v>
      </c>
      <c r="G515" s="22" t="s">
        <v>19467</v>
      </c>
      <c r="H515" s="24" t="s">
        <v>19384</v>
      </c>
      <c r="I515" s="22" t="s">
        <v>19309</v>
      </c>
      <c r="J515" s="22" t="s">
        <v>19573</v>
      </c>
      <c r="K515" s="22" t="s">
        <v>19574</v>
      </c>
      <c r="L515" s="22"/>
      <c r="M515" s="22"/>
      <c r="N515" s="25" t="str">
        <f>HYPERLINK("http://slimages.macys.com/is/image/MCY/20757989 ")</f>
        <v xml:space="preserve">http://slimages.macys.com/is/image/MCY/20757989 </v>
      </c>
    </row>
    <row r="516" spans="1:14" ht="24.75" x14ac:dyDescent="0.25">
      <c r="A516" s="21" t="s">
        <v>1088</v>
      </c>
      <c r="B516" s="22" t="s">
        <v>1089</v>
      </c>
      <c r="C516" s="2">
        <v>179</v>
      </c>
      <c r="D516" s="23">
        <v>5.99</v>
      </c>
      <c r="E516" s="3">
        <v>1072.21</v>
      </c>
      <c r="F516" s="2" t="s">
        <v>17203</v>
      </c>
      <c r="G516" s="22" t="s">
        <v>19467</v>
      </c>
      <c r="H516" s="24" t="s">
        <v>19324</v>
      </c>
      <c r="I516" s="22" t="s">
        <v>19309</v>
      </c>
      <c r="J516" s="22" t="s">
        <v>19573</v>
      </c>
      <c r="K516" s="22" t="s">
        <v>19574</v>
      </c>
      <c r="L516" s="22"/>
      <c r="M516" s="22"/>
      <c r="N516" s="25" t="str">
        <f>HYPERLINK("http://slimages.macys.com/is/image/MCY/20757989 ")</f>
        <v xml:space="preserve">http://slimages.macys.com/is/image/MCY/20757989 </v>
      </c>
    </row>
    <row r="517" spans="1:14" ht="24.75" x14ac:dyDescent="0.25">
      <c r="A517" s="21" t="s">
        <v>1090</v>
      </c>
      <c r="B517" s="22" t="s">
        <v>1091</v>
      </c>
      <c r="C517" s="2">
        <v>1</v>
      </c>
      <c r="D517" s="23">
        <v>6.99</v>
      </c>
      <c r="E517" s="3">
        <v>6.99</v>
      </c>
      <c r="F517" s="2" t="s">
        <v>9308</v>
      </c>
      <c r="G517" s="22" t="s">
        <v>19467</v>
      </c>
      <c r="H517" s="24" t="s">
        <v>19324</v>
      </c>
      <c r="I517" s="22" t="s">
        <v>19309</v>
      </c>
      <c r="J517" s="22" t="s">
        <v>19573</v>
      </c>
      <c r="K517" s="22" t="s">
        <v>19574</v>
      </c>
      <c r="L517" s="22"/>
      <c r="M517" s="22"/>
      <c r="N517" s="25" t="str">
        <f>HYPERLINK("http://slimages.macys.com/is/image/MCY/20436636 ")</f>
        <v xml:space="preserve">http://slimages.macys.com/is/image/MCY/20436636 </v>
      </c>
    </row>
    <row r="518" spans="1:14" ht="24.75" x14ac:dyDescent="0.25">
      <c r="A518" s="21" t="s">
        <v>14914</v>
      </c>
      <c r="B518" s="22" t="s">
        <v>14915</v>
      </c>
      <c r="C518" s="2">
        <v>1</v>
      </c>
      <c r="D518" s="23">
        <v>5.99</v>
      </c>
      <c r="E518" s="3">
        <v>5.99</v>
      </c>
      <c r="F518" s="2" t="s">
        <v>17219</v>
      </c>
      <c r="G518" s="22" t="s">
        <v>19415</v>
      </c>
      <c r="H518" s="24" t="s">
        <v>19416</v>
      </c>
      <c r="I518" s="22" t="s">
        <v>19309</v>
      </c>
      <c r="J518" s="22" t="s">
        <v>19573</v>
      </c>
      <c r="K518" s="22" t="s">
        <v>19574</v>
      </c>
      <c r="L518" s="22"/>
      <c r="M518" s="22"/>
      <c r="N518" s="25" t="str">
        <f>HYPERLINK("http://slimages.macys.com/is/image/MCY/21209249 ")</f>
        <v xml:space="preserve">http://slimages.macys.com/is/image/MCY/21209249 </v>
      </c>
    </row>
    <row r="519" spans="1:14" ht="24.75" x14ac:dyDescent="0.25">
      <c r="A519" s="21" t="s">
        <v>14912</v>
      </c>
      <c r="B519" s="22" t="s">
        <v>14913</v>
      </c>
      <c r="C519" s="2">
        <v>1</v>
      </c>
      <c r="D519" s="23">
        <v>5.99</v>
      </c>
      <c r="E519" s="3">
        <v>5.99</v>
      </c>
      <c r="F519" s="2" t="s">
        <v>19241</v>
      </c>
      <c r="G519" s="22" t="s">
        <v>19415</v>
      </c>
      <c r="H519" s="24" t="s">
        <v>19324</v>
      </c>
      <c r="I519" s="22" t="s">
        <v>19309</v>
      </c>
      <c r="J519" s="22" t="s">
        <v>19573</v>
      </c>
      <c r="K519" s="22" t="s">
        <v>19574</v>
      </c>
      <c r="L519" s="22"/>
      <c r="M519" s="22"/>
      <c r="N519" s="25" t="str">
        <f>HYPERLINK("http://slimages.macys.com/is/image/MCY/21209269 ")</f>
        <v xml:space="preserve">http://slimages.macys.com/is/image/MCY/21209269 </v>
      </c>
    </row>
    <row r="520" spans="1:14" ht="24.75" x14ac:dyDescent="0.25">
      <c r="A520" s="21" t="s">
        <v>14303</v>
      </c>
      <c r="B520" s="22" t="s">
        <v>14304</v>
      </c>
      <c r="C520" s="2">
        <v>9</v>
      </c>
      <c r="D520" s="23">
        <v>5.99</v>
      </c>
      <c r="E520" s="3">
        <v>53.91</v>
      </c>
      <c r="F520" s="2" t="s">
        <v>14302</v>
      </c>
      <c r="G520" s="22" t="s">
        <v>19351</v>
      </c>
      <c r="H520" s="24" t="s">
        <v>19330</v>
      </c>
      <c r="I520" s="22" t="s">
        <v>19309</v>
      </c>
      <c r="J520" s="22" t="s">
        <v>19573</v>
      </c>
      <c r="K520" s="22" t="s">
        <v>19574</v>
      </c>
      <c r="L520" s="22"/>
      <c r="M520" s="22"/>
      <c r="N520" s="25" t="str">
        <f>HYPERLINK("http://slimages.macys.com/is/image/MCY/21371433 ")</f>
        <v xml:space="preserve">http://slimages.macys.com/is/image/MCY/21371433 </v>
      </c>
    </row>
    <row r="521" spans="1:14" ht="24.75" x14ac:dyDescent="0.25">
      <c r="A521" s="21" t="s">
        <v>3985</v>
      </c>
      <c r="B521" s="22" t="s">
        <v>3986</v>
      </c>
      <c r="C521" s="2">
        <v>11</v>
      </c>
      <c r="D521" s="23">
        <v>5.99</v>
      </c>
      <c r="E521" s="3">
        <v>65.89</v>
      </c>
      <c r="F521" s="2" t="s">
        <v>8384</v>
      </c>
      <c r="G521" s="22" t="s">
        <v>19618</v>
      </c>
      <c r="H521" s="24" t="s">
        <v>19416</v>
      </c>
      <c r="I521" s="22" t="s">
        <v>19309</v>
      </c>
      <c r="J521" s="22" t="s">
        <v>19573</v>
      </c>
      <c r="K521" s="22" t="s">
        <v>19574</v>
      </c>
      <c r="L521" s="22"/>
      <c r="M521" s="22"/>
      <c r="N521" s="25" t="str">
        <f>HYPERLINK("http://slimages.macys.com/is/image/MCY/21371487 ")</f>
        <v xml:space="preserve">http://slimages.macys.com/is/image/MCY/21371487 </v>
      </c>
    </row>
    <row r="522" spans="1:14" ht="24.75" x14ac:dyDescent="0.25">
      <c r="A522" s="21" t="s">
        <v>5327</v>
      </c>
      <c r="B522" s="22" t="s">
        <v>5328</v>
      </c>
      <c r="C522" s="2">
        <v>1</v>
      </c>
      <c r="D522" s="23">
        <v>5.99</v>
      </c>
      <c r="E522" s="3">
        <v>5.99</v>
      </c>
      <c r="F522" s="2" t="s">
        <v>9317</v>
      </c>
      <c r="G522" s="22" t="s">
        <v>19351</v>
      </c>
      <c r="H522" s="24" t="s">
        <v>19384</v>
      </c>
      <c r="I522" s="22" t="s">
        <v>19309</v>
      </c>
      <c r="J522" s="22" t="s">
        <v>19573</v>
      </c>
      <c r="K522" s="22" t="s">
        <v>19574</v>
      </c>
      <c r="L522" s="22"/>
      <c r="M522" s="22"/>
      <c r="N522" s="25" t="str">
        <f>HYPERLINK("http://slimages.macys.com/is/image/MCY/1126196 ")</f>
        <v xml:space="preserve">http://slimages.macys.com/is/image/MCY/1126196 </v>
      </c>
    </row>
    <row r="523" spans="1:14" ht="24.75" x14ac:dyDescent="0.25">
      <c r="A523" s="21" t="s">
        <v>14925</v>
      </c>
      <c r="B523" s="22" t="s">
        <v>14926</v>
      </c>
      <c r="C523" s="2">
        <v>1</v>
      </c>
      <c r="D523" s="23">
        <v>5.99</v>
      </c>
      <c r="E523" s="3">
        <v>5.99</v>
      </c>
      <c r="F523" s="2" t="s">
        <v>14927</v>
      </c>
      <c r="G523" s="22" t="s">
        <v>19618</v>
      </c>
      <c r="H523" s="24" t="s">
        <v>19538</v>
      </c>
      <c r="I523" s="22" t="s">
        <v>19309</v>
      </c>
      <c r="J523" s="22" t="s">
        <v>19573</v>
      </c>
      <c r="K523" s="22" t="s">
        <v>19574</v>
      </c>
      <c r="L523" s="22"/>
      <c r="M523" s="22"/>
      <c r="N523" s="25" t="str">
        <f>HYPERLINK("http://slimages.macys.com/is/image/MCY/21088408 ")</f>
        <v xml:space="preserve">http://slimages.macys.com/is/image/MCY/21088408 </v>
      </c>
    </row>
    <row r="524" spans="1:14" ht="24.75" x14ac:dyDescent="0.25">
      <c r="A524" s="21" t="s">
        <v>9315</v>
      </c>
      <c r="B524" s="22" t="s">
        <v>9316</v>
      </c>
      <c r="C524" s="2">
        <v>1</v>
      </c>
      <c r="D524" s="23">
        <v>5.99</v>
      </c>
      <c r="E524" s="3">
        <v>5.99</v>
      </c>
      <c r="F524" s="2" t="s">
        <v>9317</v>
      </c>
      <c r="G524" s="22" t="s">
        <v>19351</v>
      </c>
      <c r="H524" s="24" t="s">
        <v>19324</v>
      </c>
      <c r="I524" s="22" t="s">
        <v>19309</v>
      </c>
      <c r="J524" s="22" t="s">
        <v>19573</v>
      </c>
      <c r="K524" s="22" t="s">
        <v>19574</v>
      </c>
      <c r="L524" s="22"/>
      <c r="M524" s="22"/>
      <c r="N524" s="25" t="str">
        <f>HYPERLINK("http://slimages.macys.com/is/image/MCY/1126196 ")</f>
        <v xml:space="preserve">http://slimages.macys.com/is/image/MCY/1126196 </v>
      </c>
    </row>
    <row r="525" spans="1:14" ht="24.75" x14ac:dyDescent="0.25">
      <c r="A525" s="21" t="s">
        <v>1092</v>
      </c>
      <c r="B525" s="22" t="s">
        <v>1093</v>
      </c>
      <c r="C525" s="2">
        <v>1</v>
      </c>
      <c r="D525" s="23">
        <v>5.99</v>
      </c>
      <c r="E525" s="3">
        <v>5.99</v>
      </c>
      <c r="F525" s="2" t="s">
        <v>5333</v>
      </c>
      <c r="G525" s="22" t="s">
        <v>19674</v>
      </c>
      <c r="H525" s="24" t="s">
        <v>19416</v>
      </c>
      <c r="I525" s="22" t="s">
        <v>19309</v>
      </c>
      <c r="J525" s="22" t="s">
        <v>19573</v>
      </c>
      <c r="K525" s="22" t="s">
        <v>19574</v>
      </c>
      <c r="L525" s="22"/>
      <c r="M525" s="22"/>
      <c r="N525" s="25" t="str">
        <f>HYPERLINK("http://slimages.macys.com/is/image/MCY/1117134 ")</f>
        <v xml:space="preserve">http://slimages.macys.com/is/image/MCY/1117134 </v>
      </c>
    </row>
    <row r="526" spans="1:14" ht="24.75" x14ac:dyDescent="0.25">
      <c r="A526" s="21" t="s">
        <v>14945</v>
      </c>
      <c r="B526" s="22" t="s">
        <v>14946</v>
      </c>
      <c r="C526" s="2">
        <v>2</v>
      </c>
      <c r="D526" s="23">
        <v>5.99</v>
      </c>
      <c r="E526" s="3">
        <v>11.98</v>
      </c>
      <c r="F526" s="2" t="s">
        <v>17229</v>
      </c>
      <c r="G526" s="22" t="s">
        <v>19351</v>
      </c>
      <c r="H526" s="24" t="s">
        <v>19324</v>
      </c>
      <c r="I526" s="22" t="s">
        <v>19309</v>
      </c>
      <c r="J526" s="22" t="s">
        <v>19573</v>
      </c>
      <c r="K526" s="22" t="s">
        <v>19574</v>
      </c>
      <c r="L526" s="22"/>
      <c r="M526" s="22"/>
      <c r="N526" s="25" t="str">
        <f>HYPERLINK("http://slimages.macys.com/is/image/MCY/21361199 ")</f>
        <v xml:space="preserve">http://slimages.macys.com/is/image/MCY/21361199 </v>
      </c>
    </row>
    <row r="527" spans="1:14" ht="24.75" x14ac:dyDescent="0.25">
      <c r="A527" s="21" t="s">
        <v>1094</v>
      </c>
      <c r="B527" s="22" t="s">
        <v>1095</v>
      </c>
      <c r="C527" s="2">
        <v>1</v>
      </c>
      <c r="D527" s="23">
        <v>5.99</v>
      </c>
      <c r="E527" s="3">
        <v>5.99</v>
      </c>
      <c r="F527" s="2" t="s">
        <v>1096</v>
      </c>
      <c r="G527" s="22" t="s">
        <v>19315</v>
      </c>
      <c r="H527" s="24" t="s">
        <v>19416</v>
      </c>
      <c r="I527" s="22" t="s">
        <v>19309</v>
      </c>
      <c r="J527" s="22" t="s">
        <v>19573</v>
      </c>
      <c r="K527" s="22" t="s">
        <v>19574</v>
      </c>
      <c r="L527" s="22"/>
      <c r="M527" s="22"/>
      <c r="N527" s="25" t="str">
        <f>HYPERLINK("http://slimages.macys.com/is/image/MCY/20385935 ")</f>
        <v xml:space="preserve">http://slimages.macys.com/is/image/MCY/20385935 </v>
      </c>
    </row>
    <row r="528" spans="1:14" ht="24.75" x14ac:dyDescent="0.25">
      <c r="A528" s="21" t="s">
        <v>1097</v>
      </c>
      <c r="B528" s="22" t="s">
        <v>1098</v>
      </c>
      <c r="C528" s="2">
        <v>27</v>
      </c>
      <c r="D528" s="23">
        <v>5.99</v>
      </c>
      <c r="E528" s="3">
        <v>161.72999999999999</v>
      </c>
      <c r="F528" s="2" t="s">
        <v>9727</v>
      </c>
      <c r="G528" s="22" t="s">
        <v>19906</v>
      </c>
      <c r="H528" s="24" t="s">
        <v>19384</v>
      </c>
      <c r="I528" s="22" t="s">
        <v>19309</v>
      </c>
      <c r="J528" s="22" t="s">
        <v>19573</v>
      </c>
      <c r="K528" s="22" t="s">
        <v>19574</v>
      </c>
      <c r="L528" s="22"/>
      <c r="M528" s="22"/>
      <c r="N528" s="25" t="str">
        <f>HYPERLINK("http://slimages.macys.com/is/image/MCY/1586084 ")</f>
        <v xml:space="preserve">http://slimages.macys.com/is/image/MCY/1586084 </v>
      </c>
    </row>
    <row r="529" spans="1:14" ht="24.75" x14ac:dyDescent="0.25">
      <c r="A529" s="21" t="s">
        <v>9719</v>
      </c>
      <c r="B529" s="22" t="s">
        <v>9720</v>
      </c>
      <c r="C529" s="2">
        <v>1</v>
      </c>
      <c r="D529" s="23">
        <v>5.99</v>
      </c>
      <c r="E529" s="3">
        <v>5.99</v>
      </c>
      <c r="F529" s="2" t="s">
        <v>9721</v>
      </c>
      <c r="G529" s="22" t="s">
        <v>19351</v>
      </c>
      <c r="H529" s="24" t="s">
        <v>19324</v>
      </c>
      <c r="I529" s="22" t="s">
        <v>19309</v>
      </c>
      <c r="J529" s="22" t="s">
        <v>19573</v>
      </c>
      <c r="K529" s="22" t="s">
        <v>19574</v>
      </c>
      <c r="L529" s="22"/>
      <c r="M529" s="22"/>
      <c r="N529" s="25" t="str">
        <f>HYPERLINK("http://slimages.macys.com/is/image/MCY/21371491 ")</f>
        <v xml:space="preserve">http://slimages.macys.com/is/image/MCY/21371491 </v>
      </c>
    </row>
    <row r="530" spans="1:14" ht="24.75" x14ac:dyDescent="0.25">
      <c r="A530" s="21" t="s">
        <v>9736</v>
      </c>
      <c r="B530" s="22" t="s">
        <v>9737</v>
      </c>
      <c r="C530" s="2">
        <v>17</v>
      </c>
      <c r="D530" s="23">
        <v>5.99</v>
      </c>
      <c r="E530" s="3">
        <v>101.83</v>
      </c>
      <c r="F530" s="2" t="s">
        <v>17245</v>
      </c>
      <c r="G530" s="22" t="s">
        <v>19670</v>
      </c>
      <c r="H530" s="24" t="s">
        <v>19330</v>
      </c>
      <c r="I530" s="22" t="s">
        <v>19309</v>
      </c>
      <c r="J530" s="22" t="s">
        <v>19573</v>
      </c>
      <c r="K530" s="22" t="s">
        <v>19574</v>
      </c>
      <c r="L530" s="22"/>
      <c r="M530" s="22"/>
      <c r="N530" s="25" t="str">
        <f>HYPERLINK("http://slimages.macys.com/is/image/MCY/21209342 ")</f>
        <v xml:space="preserve">http://slimages.macys.com/is/image/MCY/21209342 </v>
      </c>
    </row>
    <row r="531" spans="1:14" ht="24.75" x14ac:dyDescent="0.25">
      <c r="A531" s="21" t="s">
        <v>14966</v>
      </c>
      <c r="B531" s="22" t="s">
        <v>14967</v>
      </c>
      <c r="C531" s="2">
        <v>2</v>
      </c>
      <c r="D531" s="23">
        <v>5.99</v>
      </c>
      <c r="E531" s="3">
        <v>11.98</v>
      </c>
      <c r="F531" s="2" t="s">
        <v>17245</v>
      </c>
      <c r="G531" s="22" t="s">
        <v>19794</v>
      </c>
      <c r="H531" s="24" t="s">
        <v>19416</v>
      </c>
      <c r="I531" s="22" t="s">
        <v>19309</v>
      </c>
      <c r="J531" s="22" t="s">
        <v>19573</v>
      </c>
      <c r="K531" s="22" t="s">
        <v>19574</v>
      </c>
      <c r="L531" s="22"/>
      <c r="M531" s="22"/>
      <c r="N531" s="25" t="str">
        <f>HYPERLINK("http://slimages.macys.com/is/image/MCY/1520523 ")</f>
        <v xml:space="preserve">http://slimages.macys.com/is/image/MCY/1520523 </v>
      </c>
    </row>
    <row r="532" spans="1:14" ht="24.75" x14ac:dyDescent="0.25">
      <c r="A532" s="21" t="s">
        <v>1099</v>
      </c>
      <c r="B532" s="22" t="s">
        <v>1100</v>
      </c>
      <c r="C532" s="2">
        <v>1</v>
      </c>
      <c r="D532" s="23">
        <v>5.99</v>
      </c>
      <c r="E532" s="3">
        <v>5.99</v>
      </c>
      <c r="F532" s="2" t="s">
        <v>17245</v>
      </c>
      <c r="G532" s="22" t="s">
        <v>19431</v>
      </c>
      <c r="H532" s="24" t="s">
        <v>19324</v>
      </c>
      <c r="I532" s="22" t="s">
        <v>19309</v>
      </c>
      <c r="J532" s="22" t="s">
        <v>19573</v>
      </c>
      <c r="K532" s="22" t="s">
        <v>19574</v>
      </c>
      <c r="L532" s="22"/>
      <c r="M532" s="22"/>
      <c r="N532" s="25" t="str">
        <f>HYPERLINK("http://slimages.macys.com/is/image/MCY/1523158 ")</f>
        <v xml:space="preserve">http://slimages.macys.com/is/image/MCY/1523158 </v>
      </c>
    </row>
    <row r="533" spans="1:14" ht="24.75" x14ac:dyDescent="0.25">
      <c r="A533" s="21" t="s">
        <v>1101</v>
      </c>
      <c r="B533" s="22" t="s">
        <v>1102</v>
      </c>
      <c r="C533" s="2">
        <v>1</v>
      </c>
      <c r="D533" s="23">
        <v>5.99</v>
      </c>
      <c r="E533" s="3">
        <v>5.99</v>
      </c>
      <c r="F533" s="2" t="s">
        <v>3635</v>
      </c>
      <c r="G533" s="22" t="s">
        <v>19674</v>
      </c>
      <c r="H533" s="24" t="s">
        <v>19324</v>
      </c>
      <c r="I533" s="22" t="s">
        <v>19309</v>
      </c>
      <c r="J533" s="22" t="s">
        <v>19573</v>
      </c>
      <c r="K533" s="22" t="s">
        <v>19574</v>
      </c>
      <c r="L533" s="22"/>
      <c r="M533" s="22"/>
      <c r="N533" s="25" t="str">
        <f>HYPERLINK("http://slimages.macys.com/is/image/MCY/20753453 ")</f>
        <v xml:space="preserve">http://slimages.macys.com/is/image/MCY/20753453 </v>
      </c>
    </row>
    <row r="534" spans="1:14" ht="24.75" x14ac:dyDescent="0.25">
      <c r="A534" s="21" t="s">
        <v>14320</v>
      </c>
      <c r="B534" s="22" t="s">
        <v>14321</v>
      </c>
      <c r="C534" s="2">
        <v>1</v>
      </c>
      <c r="D534" s="23">
        <v>5.99</v>
      </c>
      <c r="E534" s="3">
        <v>5.99</v>
      </c>
      <c r="F534" s="2" t="s">
        <v>17245</v>
      </c>
      <c r="G534" s="22" t="s">
        <v>19431</v>
      </c>
      <c r="H534" s="24" t="s">
        <v>19384</v>
      </c>
      <c r="I534" s="22" t="s">
        <v>19309</v>
      </c>
      <c r="J534" s="22" t="s">
        <v>19573</v>
      </c>
      <c r="K534" s="22" t="s">
        <v>19574</v>
      </c>
      <c r="L534" s="22"/>
      <c r="M534" s="22"/>
      <c r="N534" s="25" t="str">
        <f>HYPERLINK("http://slimages.macys.com/is/image/MCY/1523158 ")</f>
        <v xml:space="preserve">http://slimages.macys.com/is/image/MCY/1523158 </v>
      </c>
    </row>
    <row r="535" spans="1:14" ht="24.75" x14ac:dyDescent="0.25">
      <c r="A535" s="21" t="s">
        <v>14330</v>
      </c>
      <c r="B535" s="22" t="s">
        <v>14331</v>
      </c>
      <c r="C535" s="2">
        <v>1</v>
      </c>
      <c r="D535" s="23">
        <v>5.99</v>
      </c>
      <c r="E535" s="3">
        <v>5.99</v>
      </c>
      <c r="F535" s="2" t="s">
        <v>17245</v>
      </c>
      <c r="G535" s="22" t="s">
        <v>19431</v>
      </c>
      <c r="H535" s="24" t="s">
        <v>19538</v>
      </c>
      <c r="I535" s="22" t="s">
        <v>19309</v>
      </c>
      <c r="J535" s="22" t="s">
        <v>19573</v>
      </c>
      <c r="K535" s="22" t="s">
        <v>19574</v>
      </c>
      <c r="L535" s="22"/>
      <c r="M535" s="22"/>
      <c r="N535" s="25" t="str">
        <f>HYPERLINK("http://slimages.macys.com/is/image/MCY/1523158 ")</f>
        <v xml:space="preserve">http://slimages.macys.com/is/image/MCY/1523158 </v>
      </c>
    </row>
    <row r="536" spans="1:14" ht="24.75" x14ac:dyDescent="0.25">
      <c r="A536" s="21" t="s">
        <v>1103</v>
      </c>
      <c r="B536" s="22" t="s">
        <v>1104</v>
      </c>
      <c r="C536" s="2">
        <v>5</v>
      </c>
      <c r="D536" s="23">
        <v>5.99</v>
      </c>
      <c r="E536" s="3">
        <v>29.95</v>
      </c>
      <c r="F536" s="2" t="s">
        <v>3635</v>
      </c>
      <c r="G536" s="22" t="s">
        <v>19674</v>
      </c>
      <c r="H536" s="24" t="s">
        <v>19330</v>
      </c>
      <c r="I536" s="22" t="s">
        <v>19309</v>
      </c>
      <c r="J536" s="22" t="s">
        <v>19573</v>
      </c>
      <c r="K536" s="22" t="s">
        <v>19574</v>
      </c>
      <c r="L536" s="22"/>
      <c r="M536" s="22"/>
      <c r="N536" s="25" t="str">
        <f>HYPERLINK("http://slimages.macys.com/is/image/MCY/20753453 ")</f>
        <v xml:space="preserve">http://slimages.macys.com/is/image/MCY/20753453 </v>
      </c>
    </row>
    <row r="537" spans="1:14" ht="24.75" x14ac:dyDescent="0.25">
      <c r="A537" s="21" t="s">
        <v>1105</v>
      </c>
      <c r="B537" s="22" t="s">
        <v>1106</v>
      </c>
      <c r="C537" s="2">
        <v>1</v>
      </c>
      <c r="D537" s="23">
        <v>5.99</v>
      </c>
      <c r="E537" s="3">
        <v>5.99</v>
      </c>
      <c r="F537" s="2" t="s">
        <v>19273</v>
      </c>
      <c r="G537" s="22" t="s">
        <v>19906</v>
      </c>
      <c r="H537" s="24" t="s">
        <v>19330</v>
      </c>
      <c r="I537" s="22" t="s">
        <v>19309</v>
      </c>
      <c r="J537" s="22" t="s">
        <v>19573</v>
      </c>
      <c r="K537" s="22" t="s">
        <v>19574</v>
      </c>
      <c r="L537" s="22"/>
      <c r="M537" s="22"/>
      <c r="N537" s="25" t="str">
        <f>HYPERLINK("http://slimages.macys.com/is/image/MCY/21209112 ")</f>
        <v xml:space="preserve">http://slimages.macys.com/is/image/MCY/21209112 </v>
      </c>
    </row>
    <row r="538" spans="1:14" ht="24.75" x14ac:dyDescent="0.25">
      <c r="A538" s="21" t="s">
        <v>1107</v>
      </c>
      <c r="B538" s="22" t="s">
        <v>1108</v>
      </c>
      <c r="C538" s="2">
        <v>1</v>
      </c>
      <c r="D538" s="23">
        <v>5.99</v>
      </c>
      <c r="E538" s="3">
        <v>5.99</v>
      </c>
      <c r="F538" s="2" t="s">
        <v>2187</v>
      </c>
      <c r="G538" s="22" t="s">
        <v>19351</v>
      </c>
      <c r="H538" s="24" t="s">
        <v>19330</v>
      </c>
      <c r="I538" s="22" t="s">
        <v>19309</v>
      </c>
      <c r="J538" s="22" t="s">
        <v>19573</v>
      </c>
      <c r="K538" s="22" t="s">
        <v>19574</v>
      </c>
      <c r="L538" s="22"/>
      <c r="M538" s="22"/>
      <c r="N538" s="25" t="str">
        <f>HYPERLINK("http://slimages.macys.com/is/image/MCY/17663550 ")</f>
        <v xml:space="preserve">http://slimages.macys.com/is/image/MCY/17663550 </v>
      </c>
    </row>
    <row r="539" spans="1:14" ht="24.75" x14ac:dyDescent="0.25">
      <c r="A539" s="21" t="s">
        <v>17385</v>
      </c>
      <c r="B539" s="22" t="s">
        <v>17386</v>
      </c>
      <c r="C539" s="2">
        <v>1</v>
      </c>
      <c r="D539" s="23">
        <v>5.99</v>
      </c>
      <c r="E539" s="3">
        <v>5.99</v>
      </c>
      <c r="F539" s="2" t="s">
        <v>17384</v>
      </c>
      <c r="G539" s="22" t="s">
        <v>18439</v>
      </c>
      <c r="H539" s="24" t="s">
        <v>19330</v>
      </c>
      <c r="I539" s="22" t="s">
        <v>19309</v>
      </c>
      <c r="J539" s="22" t="s">
        <v>19573</v>
      </c>
      <c r="K539" s="22" t="s">
        <v>19574</v>
      </c>
      <c r="L539" s="22"/>
      <c r="M539" s="22"/>
      <c r="N539" s="25" t="str">
        <f>HYPERLINK("http://slimages.macys.com/is/image/MCY/1905756 ")</f>
        <v xml:space="preserve">http://slimages.macys.com/is/image/MCY/1905756 </v>
      </c>
    </row>
    <row r="540" spans="1:14" ht="24.75" x14ac:dyDescent="0.25">
      <c r="A540" s="21" t="s">
        <v>8389</v>
      </c>
      <c r="B540" s="22" t="s">
        <v>8390</v>
      </c>
      <c r="C540" s="2">
        <v>1</v>
      </c>
      <c r="D540" s="23">
        <v>6.99</v>
      </c>
      <c r="E540" s="3">
        <v>6.99</v>
      </c>
      <c r="F540" s="2" t="s">
        <v>9335</v>
      </c>
      <c r="G540" s="22" t="s">
        <v>18821</v>
      </c>
      <c r="H540" s="24"/>
      <c r="I540" s="22" t="s">
        <v>19309</v>
      </c>
      <c r="J540" s="22" t="s">
        <v>19573</v>
      </c>
      <c r="K540" s="22" t="s">
        <v>19574</v>
      </c>
      <c r="L540" s="22"/>
      <c r="M540" s="22"/>
      <c r="N540" s="25" t="str">
        <f>HYPERLINK("http://slimages.macys.com/is/image/MCY/1041675 ")</f>
        <v xml:space="preserve">http://slimages.macys.com/is/image/MCY/1041675 </v>
      </c>
    </row>
    <row r="541" spans="1:14" ht="24.75" x14ac:dyDescent="0.25">
      <c r="A541" s="21" t="s">
        <v>17387</v>
      </c>
      <c r="B541" s="22" t="s">
        <v>17388</v>
      </c>
      <c r="C541" s="2">
        <v>1</v>
      </c>
      <c r="D541" s="23">
        <v>5.99</v>
      </c>
      <c r="E541" s="3">
        <v>5.99</v>
      </c>
      <c r="F541" s="2" t="s">
        <v>17384</v>
      </c>
      <c r="G541" s="22" t="s">
        <v>18439</v>
      </c>
      <c r="H541" s="24" t="s">
        <v>19538</v>
      </c>
      <c r="I541" s="22" t="s">
        <v>19309</v>
      </c>
      <c r="J541" s="22" t="s">
        <v>19573</v>
      </c>
      <c r="K541" s="22" t="s">
        <v>19574</v>
      </c>
      <c r="L541" s="22"/>
      <c r="M541" s="22"/>
      <c r="N541" s="25" t="str">
        <f>HYPERLINK("http://slimages.macys.com/is/image/MCY/1905756 ")</f>
        <v xml:space="preserve">http://slimages.macys.com/is/image/MCY/1905756 </v>
      </c>
    </row>
    <row r="542" spans="1:14" ht="24.75" x14ac:dyDescent="0.25">
      <c r="A542" s="21" t="s">
        <v>8176</v>
      </c>
      <c r="B542" s="22" t="s">
        <v>8177</v>
      </c>
      <c r="C542" s="2">
        <v>1</v>
      </c>
      <c r="D542" s="23">
        <v>5.99</v>
      </c>
      <c r="E542" s="3">
        <v>5.99</v>
      </c>
      <c r="F542" s="2" t="s">
        <v>17262</v>
      </c>
      <c r="G542" s="22" t="s">
        <v>19674</v>
      </c>
      <c r="H542" s="24" t="s">
        <v>19416</v>
      </c>
      <c r="I542" s="22" t="s">
        <v>19309</v>
      </c>
      <c r="J542" s="22" t="s">
        <v>19573</v>
      </c>
      <c r="K542" s="22" t="s">
        <v>19574</v>
      </c>
      <c r="L542" s="22"/>
      <c r="M542" s="22"/>
      <c r="N542" s="25" t="str">
        <f>HYPERLINK("http://slimages.macys.com/is/image/MCY/21361805 ")</f>
        <v xml:space="preserve">http://slimages.macys.com/is/image/MCY/21361805 </v>
      </c>
    </row>
    <row r="543" spans="1:14" ht="24.75" x14ac:dyDescent="0.25">
      <c r="A543" s="21" t="s">
        <v>17400</v>
      </c>
      <c r="B543" s="22" t="s">
        <v>17401</v>
      </c>
      <c r="C543" s="2">
        <v>3</v>
      </c>
      <c r="D543" s="23">
        <v>5.99</v>
      </c>
      <c r="E543" s="3">
        <v>17.97</v>
      </c>
      <c r="F543" s="2" t="s">
        <v>17402</v>
      </c>
      <c r="G543" s="22" t="s">
        <v>19415</v>
      </c>
      <c r="H543" s="24" t="s">
        <v>19538</v>
      </c>
      <c r="I543" s="22" t="s">
        <v>19309</v>
      </c>
      <c r="J543" s="22" t="s">
        <v>19573</v>
      </c>
      <c r="K543" s="22" t="s">
        <v>19574</v>
      </c>
      <c r="L543" s="22"/>
      <c r="M543" s="22"/>
      <c r="N543" s="25" t="str">
        <f>HYPERLINK("http://slimages.macys.com/is/image/MCY/20736365 ")</f>
        <v xml:space="preserve">http://slimages.macys.com/is/image/MCY/20736365 </v>
      </c>
    </row>
    <row r="544" spans="1:14" ht="24.75" x14ac:dyDescent="0.25">
      <c r="A544" s="21" t="s">
        <v>17266</v>
      </c>
      <c r="B544" s="22" t="s">
        <v>17267</v>
      </c>
      <c r="C544" s="2">
        <v>2</v>
      </c>
      <c r="D544" s="23">
        <v>5.99</v>
      </c>
      <c r="E544" s="3">
        <v>11.98</v>
      </c>
      <c r="F544" s="2" t="s">
        <v>17268</v>
      </c>
      <c r="G544" s="22" t="s">
        <v>18764</v>
      </c>
      <c r="H544" s="24" t="s">
        <v>19538</v>
      </c>
      <c r="I544" s="22" t="s">
        <v>19309</v>
      </c>
      <c r="J544" s="22" t="s">
        <v>19573</v>
      </c>
      <c r="K544" s="22" t="s">
        <v>19574</v>
      </c>
      <c r="L544" s="22"/>
      <c r="M544" s="22"/>
      <c r="N544" s="25" t="str">
        <f>HYPERLINK("http://slimages.macys.com/is/image/MCY/21088470 ")</f>
        <v xml:space="preserve">http://slimages.macys.com/is/image/MCY/21088470 </v>
      </c>
    </row>
    <row r="545" spans="1:14" ht="24.75" x14ac:dyDescent="0.25">
      <c r="A545" s="21" t="s">
        <v>1109</v>
      </c>
      <c r="B545" s="22" t="s">
        <v>1110</v>
      </c>
      <c r="C545" s="2">
        <v>1</v>
      </c>
      <c r="D545" s="23">
        <v>5.99</v>
      </c>
      <c r="E545" s="3">
        <v>5.99</v>
      </c>
      <c r="F545" s="2" t="s">
        <v>17402</v>
      </c>
      <c r="G545" s="22" t="s">
        <v>19415</v>
      </c>
      <c r="H545" s="24" t="s">
        <v>19416</v>
      </c>
      <c r="I545" s="22" t="s">
        <v>19309</v>
      </c>
      <c r="J545" s="22" t="s">
        <v>19573</v>
      </c>
      <c r="K545" s="22" t="s">
        <v>19574</v>
      </c>
      <c r="L545" s="22"/>
      <c r="M545" s="22"/>
      <c r="N545" s="25" t="str">
        <f>HYPERLINK("http://slimages.macys.com/is/image/MCY/20736365 ")</f>
        <v xml:space="preserve">http://slimages.macys.com/is/image/MCY/20736365 </v>
      </c>
    </row>
    <row r="546" spans="1:14" ht="24.75" x14ac:dyDescent="0.25">
      <c r="A546" s="21" t="s">
        <v>6344</v>
      </c>
      <c r="B546" s="22" t="s">
        <v>6345</v>
      </c>
      <c r="C546" s="2">
        <v>3</v>
      </c>
      <c r="D546" s="23">
        <v>5.99</v>
      </c>
      <c r="E546" s="3">
        <v>17.97</v>
      </c>
      <c r="F546" s="2" t="s">
        <v>13522</v>
      </c>
      <c r="G546" s="22" t="s">
        <v>19763</v>
      </c>
      <c r="H546" s="24" t="s">
        <v>19330</v>
      </c>
      <c r="I546" s="22" t="s">
        <v>19309</v>
      </c>
      <c r="J546" s="22" t="s">
        <v>19573</v>
      </c>
      <c r="K546" s="22" t="s">
        <v>19574</v>
      </c>
      <c r="L546" s="22"/>
      <c r="M546" s="22"/>
      <c r="N546" s="25" t="str">
        <f>HYPERLINK("http://slimages.macys.com/is/image/MCY/19521011 ")</f>
        <v xml:space="preserve">http://slimages.macys.com/is/image/MCY/19521011 </v>
      </c>
    </row>
    <row r="547" spans="1:14" ht="24.75" x14ac:dyDescent="0.25">
      <c r="A547" s="21" t="s">
        <v>1111</v>
      </c>
      <c r="B547" s="22" t="s">
        <v>1112</v>
      </c>
      <c r="C547" s="2">
        <v>18</v>
      </c>
      <c r="D547" s="23">
        <v>6.99</v>
      </c>
      <c r="E547" s="3">
        <v>125.82</v>
      </c>
      <c r="F547" s="2" t="s">
        <v>14339</v>
      </c>
      <c r="G547" s="22" t="s">
        <v>18439</v>
      </c>
      <c r="H547" s="24" t="s">
        <v>19384</v>
      </c>
      <c r="I547" s="22" t="s">
        <v>19309</v>
      </c>
      <c r="J547" s="22" t="s">
        <v>19573</v>
      </c>
      <c r="K547" s="22" t="s">
        <v>19574</v>
      </c>
      <c r="L547" s="22"/>
      <c r="M547" s="22"/>
      <c r="N547" s="25" t="str">
        <f>HYPERLINK("http://slimages.macys.com/is/image/MCY/19977418 ")</f>
        <v xml:space="preserve">http://slimages.macys.com/is/image/MCY/19977418 </v>
      </c>
    </row>
    <row r="548" spans="1:14" ht="24.75" x14ac:dyDescent="0.25">
      <c r="A548" s="21" t="s">
        <v>13520</v>
      </c>
      <c r="B548" s="22" t="s">
        <v>13521</v>
      </c>
      <c r="C548" s="2">
        <v>3</v>
      </c>
      <c r="D548" s="23">
        <v>5.99</v>
      </c>
      <c r="E548" s="3">
        <v>17.97</v>
      </c>
      <c r="F548" s="2" t="s">
        <v>13522</v>
      </c>
      <c r="G548" s="22" t="s">
        <v>19763</v>
      </c>
      <c r="H548" s="24" t="s">
        <v>19324</v>
      </c>
      <c r="I548" s="22" t="s">
        <v>19309</v>
      </c>
      <c r="J548" s="22" t="s">
        <v>19573</v>
      </c>
      <c r="K548" s="22" t="s">
        <v>19574</v>
      </c>
      <c r="L548" s="22"/>
      <c r="M548" s="22"/>
      <c r="N548" s="25" t="str">
        <f>HYPERLINK("http://slimages.macys.com/is/image/MCY/19521011 ")</f>
        <v xml:space="preserve">http://slimages.macys.com/is/image/MCY/19521011 </v>
      </c>
    </row>
    <row r="549" spans="1:14" ht="24.75" x14ac:dyDescent="0.25">
      <c r="A549" s="21" t="s">
        <v>13523</v>
      </c>
      <c r="B549" s="22" t="s">
        <v>13524</v>
      </c>
      <c r="C549" s="2">
        <v>2</v>
      </c>
      <c r="D549" s="23">
        <v>5.99</v>
      </c>
      <c r="E549" s="3">
        <v>11.98</v>
      </c>
      <c r="F549" s="2" t="s">
        <v>13522</v>
      </c>
      <c r="G549" s="22" t="s">
        <v>19763</v>
      </c>
      <c r="H549" s="24" t="s">
        <v>19384</v>
      </c>
      <c r="I549" s="22" t="s">
        <v>19309</v>
      </c>
      <c r="J549" s="22" t="s">
        <v>19573</v>
      </c>
      <c r="K549" s="22" t="s">
        <v>19574</v>
      </c>
      <c r="L549" s="22"/>
      <c r="M549" s="22"/>
      <c r="N549" s="25" t="str">
        <f>HYPERLINK("http://slimages.macys.com/is/image/MCY/19521011 ")</f>
        <v xml:space="preserve">http://slimages.macys.com/is/image/MCY/19521011 </v>
      </c>
    </row>
    <row r="550" spans="1:14" ht="24.75" x14ac:dyDescent="0.25">
      <c r="A550" s="21" t="s">
        <v>13525</v>
      </c>
      <c r="B550" s="22" t="s">
        <v>13526</v>
      </c>
      <c r="C550" s="2">
        <v>2</v>
      </c>
      <c r="D550" s="23">
        <v>5.99</v>
      </c>
      <c r="E550" s="3">
        <v>11.98</v>
      </c>
      <c r="F550" s="2" t="s">
        <v>13522</v>
      </c>
      <c r="G550" s="22" t="s">
        <v>19763</v>
      </c>
      <c r="H550" s="24" t="s">
        <v>19538</v>
      </c>
      <c r="I550" s="22" t="s">
        <v>19309</v>
      </c>
      <c r="J550" s="22" t="s">
        <v>19573</v>
      </c>
      <c r="K550" s="22" t="s">
        <v>19574</v>
      </c>
      <c r="L550" s="22"/>
      <c r="M550" s="22"/>
      <c r="N550" s="25" t="str">
        <f>HYPERLINK("http://slimages.macys.com/is/image/MCY/19521011 ")</f>
        <v xml:space="preserve">http://slimages.macys.com/is/image/MCY/19521011 </v>
      </c>
    </row>
    <row r="551" spans="1:14" ht="24.75" x14ac:dyDescent="0.25">
      <c r="A551" s="21" t="s">
        <v>2191</v>
      </c>
      <c r="B551" s="22" t="s">
        <v>2192</v>
      </c>
      <c r="C551" s="2">
        <v>2</v>
      </c>
      <c r="D551" s="23">
        <v>5.99</v>
      </c>
      <c r="E551" s="3">
        <v>11.98</v>
      </c>
      <c r="F551" s="2" t="s">
        <v>13522</v>
      </c>
      <c r="G551" s="22" t="s">
        <v>19763</v>
      </c>
      <c r="H551" s="24" t="s">
        <v>19416</v>
      </c>
      <c r="I551" s="22" t="s">
        <v>19309</v>
      </c>
      <c r="J551" s="22" t="s">
        <v>19573</v>
      </c>
      <c r="K551" s="22" t="s">
        <v>19574</v>
      </c>
      <c r="L551" s="22"/>
      <c r="M551" s="22"/>
      <c r="N551" s="25" t="str">
        <f>HYPERLINK("http://slimages.macys.com/is/image/MCY/19521011 ")</f>
        <v xml:space="preserve">http://slimages.macys.com/is/image/MCY/19521011 </v>
      </c>
    </row>
    <row r="552" spans="1:14" ht="24.75" x14ac:dyDescent="0.25">
      <c r="A552" s="21" t="s">
        <v>17406</v>
      </c>
      <c r="B552" s="22" t="s">
        <v>17407</v>
      </c>
      <c r="C552" s="2">
        <v>2</v>
      </c>
      <c r="D552" s="23">
        <v>5.99</v>
      </c>
      <c r="E552" s="3">
        <v>11.98</v>
      </c>
      <c r="F552" s="2" t="s">
        <v>17408</v>
      </c>
      <c r="G552" s="22" t="s">
        <v>19467</v>
      </c>
      <c r="H552" s="24" t="s">
        <v>19538</v>
      </c>
      <c r="I552" s="22" t="s">
        <v>19309</v>
      </c>
      <c r="J552" s="22" t="s">
        <v>19573</v>
      </c>
      <c r="K552" s="22" t="s">
        <v>19574</v>
      </c>
      <c r="L552" s="22"/>
      <c r="M552" s="22"/>
      <c r="N552" s="25" t="str">
        <f>HYPERLINK("http://slimages.macys.com/is/image/MCY/21970244 ")</f>
        <v xml:space="preserve">http://slimages.macys.com/is/image/MCY/21970244 </v>
      </c>
    </row>
    <row r="553" spans="1:14" ht="24.75" x14ac:dyDescent="0.25">
      <c r="A553" s="21" t="s">
        <v>17403</v>
      </c>
      <c r="B553" s="22" t="s">
        <v>17404</v>
      </c>
      <c r="C553" s="2">
        <v>1</v>
      </c>
      <c r="D553" s="23">
        <v>5.99</v>
      </c>
      <c r="E553" s="3">
        <v>5.99</v>
      </c>
      <c r="F553" s="2" t="s">
        <v>17405</v>
      </c>
      <c r="G553" s="22" t="s">
        <v>19351</v>
      </c>
      <c r="H553" s="24" t="s">
        <v>19538</v>
      </c>
      <c r="I553" s="22" t="s">
        <v>19309</v>
      </c>
      <c r="J553" s="22" t="s">
        <v>19573</v>
      </c>
      <c r="K553" s="22" t="s">
        <v>19574</v>
      </c>
      <c r="L553" s="22"/>
      <c r="M553" s="22"/>
      <c r="N553" s="25" t="str">
        <f>HYPERLINK("http://slimages.macys.com/is/image/MCY/21970228 ")</f>
        <v xml:space="preserve">http://slimages.macys.com/is/image/MCY/21970228 </v>
      </c>
    </row>
    <row r="554" spans="1:14" ht="24.75" x14ac:dyDescent="0.25">
      <c r="A554" s="21" t="s">
        <v>1113</v>
      </c>
      <c r="B554" s="22" t="s">
        <v>1114</v>
      </c>
      <c r="C554" s="2">
        <v>3</v>
      </c>
      <c r="D554" s="23">
        <v>5.99</v>
      </c>
      <c r="E554" s="3">
        <v>17.97</v>
      </c>
      <c r="F554" s="2" t="s">
        <v>7217</v>
      </c>
      <c r="G554" s="22" t="s">
        <v>19674</v>
      </c>
      <c r="H554" s="24" t="s">
        <v>19330</v>
      </c>
      <c r="I554" s="22" t="s">
        <v>19309</v>
      </c>
      <c r="J554" s="22" t="s">
        <v>19573</v>
      </c>
      <c r="K554" s="22" t="s">
        <v>19574</v>
      </c>
      <c r="L554" s="22"/>
      <c r="M554" s="22"/>
      <c r="N554" s="25" t="str">
        <f>HYPERLINK("http://slimages.macys.com/is/image/MCY/21905648 ")</f>
        <v xml:space="preserve">http://slimages.macys.com/is/image/MCY/21905648 </v>
      </c>
    </row>
    <row r="555" spans="1:14" ht="24.75" x14ac:dyDescent="0.25">
      <c r="A555" s="21" t="s">
        <v>17281</v>
      </c>
      <c r="B555" s="22" t="s">
        <v>17282</v>
      </c>
      <c r="C555" s="2">
        <v>1</v>
      </c>
      <c r="D555" s="23">
        <v>5.99</v>
      </c>
      <c r="E555" s="3">
        <v>5.99</v>
      </c>
      <c r="F555" s="2" t="s">
        <v>17283</v>
      </c>
      <c r="G555" s="22" t="s">
        <v>19618</v>
      </c>
      <c r="H555" s="24" t="s">
        <v>19330</v>
      </c>
      <c r="I555" s="22" t="s">
        <v>19309</v>
      </c>
      <c r="J555" s="22" t="s">
        <v>19573</v>
      </c>
      <c r="K555" s="22" t="s">
        <v>19574</v>
      </c>
      <c r="L555" s="22"/>
      <c r="M555" s="22"/>
      <c r="N555" s="25" t="str">
        <f>HYPERLINK("http://slimages.macys.com/is/image/MCY/21089253 ")</f>
        <v xml:space="preserve">http://slimages.macys.com/is/image/MCY/21089253 </v>
      </c>
    </row>
    <row r="556" spans="1:14" ht="24.75" x14ac:dyDescent="0.25">
      <c r="A556" s="21" t="s">
        <v>1115</v>
      </c>
      <c r="B556" s="22" t="s">
        <v>1116</v>
      </c>
      <c r="C556" s="2">
        <v>1</v>
      </c>
      <c r="D556" s="23">
        <v>5.99</v>
      </c>
      <c r="E556" s="3">
        <v>5.99</v>
      </c>
      <c r="F556" s="2" t="s">
        <v>10766</v>
      </c>
      <c r="G556" s="22" t="s">
        <v>19351</v>
      </c>
      <c r="H556" s="24" t="s">
        <v>19384</v>
      </c>
      <c r="I556" s="22" t="s">
        <v>19309</v>
      </c>
      <c r="J556" s="22" t="s">
        <v>19573</v>
      </c>
      <c r="K556" s="22" t="s">
        <v>19574</v>
      </c>
      <c r="L556" s="22"/>
      <c r="M556" s="22"/>
      <c r="N556" s="25" t="str">
        <f>HYPERLINK("http://slimages.macys.com/is/image/MCY/20551102 ")</f>
        <v xml:space="preserve">http://slimages.macys.com/is/image/MCY/20551102 </v>
      </c>
    </row>
    <row r="557" spans="1:14" ht="24.75" x14ac:dyDescent="0.25">
      <c r="A557" s="21" t="s">
        <v>1117</v>
      </c>
      <c r="B557" s="22" t="s">
        <v>1118</v>
      </c>
      <c r="C557" s="2">
        <v>4</v>
      </c>
      <c r="D557" s="23">
        <v>5.99</v>
      </c>
      <c r="E557" s="3">
        <v>23.96</v>
      </c>
      <c r="F557" s="2" t="s">
        <v>13537</v>
      </c>
      <c r="G557" s="22" t="s">
        <v>19713</v>
      </c>
      <c r="H557" s="24" t="s">
        <v>19330</v>
      </c>
      <c r="I557" s="22" t="s">
        <v>19309</v>
      </c>
      <c r="J557" s="22" t="s">
        <v>19573</v>
      </c>
      <c r="K557" s="22" t="s">
        <v>19574</v>
      </c>
      <c r="L557" s="22"/>
      <c r="M557" s="22"/>
      <c r="N557" s="25" t="str">
        <f>HYPERLINK("http://slimages.macys.com/is/image/MCY/17663506 ")</f>
        <v xml:space="preserve">http://slimages.macys.com/is/image/MCY/17663506 </v>
      </c>
    </row>
    <row r="558" spans="1:14" ht="24.75" x14ac:dyDescent="0.25">
      <c r="A558" s="21" t="s">
        <v>10767</v>
      </c>
      <c r="B558" s="22" t="s">
        <v>10768</v>
      </c>
      <c r="C558" s="2">
        <v>4</v>
      </c>
      <c r="D558" s="23">
        <v>5.99</v>
      </c>
      <c r="E558" s="3">
        <v>23.96</v>
      </c>
      <c r="F558" s="2" t="s">
        <v>13537</v>
      </c>
      <c r="G558" s="22" t="s">
        <v>19713</v>
      </c>
      <c r="H558" s="24" t="s">
        <v>19416</v>
      </c>
      <c r="I558" s="22" t="s">
        <v>19309</v>
      </c>
      <c r="J558" s="22" t="s">
        <v>19573</v>
      </c>
      <c r="K558" s="22" t="s">
        <v>19574</v>
      </c>
      <c r="L558" s="22"/>
      <c r="M558" s="22"/>
      <c r="N558" s="25" t="str">
        <f>HYPERLINK("http://slimages.macys.com/is/image/MCY/17663506 ")</f>
        <v xml:space="preserve">http://slimages.macys.com/is/image/MCY/17663506 </v>
      </c>
    </row>
    <row r="559" spans="1:14" ht="24.75" x14ac:dyDescent="0.25">
      <c r="A559" s="21" t="s">
        <v>13535</v>
      </c>
      <c r="B559" s="22" t="s">
        <v>13536</v>
      </c>
      <c r="C559" s="2">
        <v>2</v>
      </c>
      <c r="D559" s="23">
        <v>5.99</v>
      </c>
      <c r="E559" s="3">
        <v>11.98</v>
      </c>
      <c r="F559" s="2" t="s">
        <v>13537</v>
      </c>
      <c r="G559" s="22" t="s">
        <v>19713</v>
      </c>
      <c r="H559" s="24" t="s">
        <v>19538</v>
      </c>
      <c r="I559" s="22" t="s">
        <v>19309</v>
      </c>
      <c r="J559" s="22" t="s">
        <v>19573</v>
      </c>
      <c r="K559" s="22" t="s">
        <v>19574</v>
      </c>
      <c r="L559" s="22"/>
      <c r="M559" s="22"/>
      <c r="N559" s="25" t="str">
        <f>HYPERLINK("http://slimages.macys.com/is/image/MCY/17663506 ")</f>
        <v xml:space="preserve">http://slimages.macys.com/is/image/MCY/17663506 </v>
      </c>
    </row>
    <row r="560" spans="1:14" ht="24.75" x14ac:dyDescent="0.25">
      <c r="A560" s="21" t="s">
        <v>1119</v>
      </c>
      <c r="B560" s="22" t="s">
        <v>1120</v>
      </c>
      <c r="C560" s="2">
        <v>2</v>
      </c>
      <c r="D560" s="23">
        <v>5.99</v>
      </c>
      <c r="E560" s="3">
        <v>11.98</v>
      </c>
      <c r="F560" s="2" t="s">
        <v>13537</v>
      </c>
      <c r="G560" s="22" t="s">
        <v>19713</v>
      </c>
      <c r="H560" s="24" t="s">
        <v>19324</v>
      </c>
      <c r="I560" s="22" t="s">
        <v>19309</v>
      </c>
      <c r="J560" s="22" t="s">
        <v>19573</v>
      </c>
      <c r="K560" s="22" t="s">
        <v>19574</v>
      </c>
      <c r="L560" s="22"/>
      <c r="M560" s="22"/>
      <c r="N560" s="25" t="str">
        <f>HYPERLINK("http://slimages.macys.com/is/image/MCY/17663506 ")</f>
        <v xml:space="preserve">http://slimages.macys.com/is/image/MCY/17663506 </v>
      </c>
    </row>
    <row r="561" spans="1:14" ht="24.75" x14ac:dyDescent="0.25">
      <c r="A561" s="21" t="s">
        <v>2193</v>
      </c>
      <c r="B561" s="22" t="s">
        <v>2194</v>
      </c>
      <c r="C561" s="2">
        <v>1</v>
      </c>
      <c r="D561" s="23">
        <v>5.99</v>
      </c>
      <c r="E561" s="3">
        <v>5.99</v>
      </c>
      <c r="F561" s="2" t="s">
        <v>13537</v>
      </c>
      <c r="G561" s="22" t="s">
        <v>19713</v>
      </c>
      <c r="H561" s="24" t="s">
        <v>19384</v>
      </c>
      <c r="I561" s="22" t="s">
        <v>19309</v>
      </c>
      <c r="J561" s="22" t="s">
        <v>19573</v>
      </c>
      <c r="K561" s="22" t="s">
        <v>19574</v>
      </c>
      <c r="L561" s="22"/>
      <c r="M561" s="22"/>
      <c r="N561" s="25" t="str">
        <f>HYPERLINK("http://slimages.macys.com/is/image/MCY/17663506 ")</f>
        <v xml:space="preserve">http://slimages.macys.com/is/image/MCY/17663506 </v>
      </c>
    </row>
    <row r="562" spans="1:14" ht="24.75" x14ac:dyDescent="0.25">
      <c r="A562" s="21" t="s">
        <v>17447</v>
      </c>
      <c r="B562" s="22" t="s">
        <v>17448</v>
      </c>
      <c r="C562" s="2">
        <v>1</v>
      </c>
      <c r="D562" s="23">
        <v>5.99</v>
      </c>
      <c r="E562" s="3">
        <v>5.99</v>
      </c>
      <c r="F562" s="2" t="s">
        <v>17449</v>
      </c>
      <c r="G562" s="22" t="s">
        <v>19415</v>
      </c>
      <c r="H562" s="24" t="s">
        <v>19324</v>
      </c>
      <c r="I562" s="22" t="s">
        <v>19309</v>
      </c>
      <c r="J562" s="22" t="s">
        <v>19573</v>
      </c>
      <c r="K562" s="22" t="s">
        <v>19574</v>
      </c>
      <c r="L562" s="22"/>
      <c r="M562" s="22"/>
      <c r="N562" s="25" t="str">
        <f>HYPERLINK("http://slimages.macys.com/is/image/MCY/21209295 ")</f>
        <v xml:space="preserve">http://slimages.macys.com/is/image/MCY/21209295 </v>
      </c>
    </row>
    <row r="563" spans="1:14" ht="24.75" x14ac:dyDescent="0.25">
      <c r="A563" s="21" t="s">
        <v>15013</v>
      </c>
      <c r="B563" s="22" t="s">
        <v>15014</v>
      </c>
      <c r="C563" s="2">
        <v>1</v>
      </c>
      <c r="D563" s="23">
        <v>5.99</v>
      </c>
      <c r="E563" s="3">
        <v>5.99</v>
      </c>
      <c r="F563" s="2" t="s">
        <v>17449</v>
      </c>
      <c r="G563" s="22" t="s">
        <v>19415</v>
      </c>
      <c r="H563" s="24" t="s">
        <v>19416</v>
      </c>
      <c r="I563" s="22" t="s">
        <v>19309</v>
      </c>
      <c r="J563" s="22" t="s">
        <v>19573</v>
      </c>
      <c r="K563" s="22" t="s">
        <v>19574</v>
      </c>
      <c r="L563" s="22"/>
      <c r="M563" s="22"/>
      <c r="N563" s="25" t="str">
        <f>HYPERLINK("http://slimages.macys.com/is/image/MCY/21209295 ")</f>
        <v xml:space="preserve">http://slimages.macys.com/is/image/MCY/21209295 </v>
      </c>
    </row>
    <row r="564" spans="1:14" ht="24.75" x14ac:dyDescent="0.25">
      <c r="A564" s="21" t="s">
        <v>15011</v>
      </c>
      <c r="B564" s="22" t="s">
        <v>15012</v>
      </c>
      <c r="C564" s="2">
        <v>1</v>
      </c>
      <c r="D564" s="23">
        <v>5.99</v>
      </c>
      <c r="E564" s="3">
        <v>5.99</v>
      </c>
      <c r="F564" s="2" t="s">
        <v>17449</v>
      </c>
      <c r="G564" s="22" t="s">
        <v>19415</v>
      </c>
      <c r="H564" s="24" t="s">
        <v>19330</v>
      </c>
      <c r="I564" s="22" t="s">
        <v>19309</v>
      </c>
      <c r="J564" s="22" t="s">
        <v>19573</v>
      </c>
      <c r="K564" s="22" t="s">
        <v>19574</v>
      </c>
      <c r="L564" s="22"/>
      <c r="M564" s="22"/>
      <c r="N564" s="25" t="str">
        <f>HYPERLINK("http://slimages.macys.com/is/image/MCY/21209295 ")</f>
        <v xml:space="preserve">http://slimages.macys.com/is/image/MCY/21209295 </v>
      </c>
    </row>
    <row r="565" spans="1:14" ht="24.75" x14ac:dyDescent="0.25">
      <c r="A565" s="21" t="s">
        <v>17296</v>
      </c>
      <c r="B565" s="22" t="s">
        <v>17297</v>
      </c>
      <c r="C565" s="2">
        <v>1</v>
      </c>
      <c r="D565" s="23">
        <v>5.99</v>
      </c>
      <c r="E565" s="3">
        <v>5.99</v>
      </c>
      <c r="F565" s="2" t="s">
        <v>17452</v>
      </c>
      <c r="G565" s="22" t="s">
        <v>19467</v>
      </c>
      <c r="H565" s="24" t="s">
        <v>19384</v>
      </c>
      <c r="I565" s="22" t="s">
        <v>19309</v>
      </c>
      <c r="J565" s="22" t="s">
        <v>19573</v>
      </c>
      <c r="K565" s="22" t="s">
        <v>19574</v>
      </c>
      <c r="L565" s="22"/>
      <c r="M565" s="22"/>
      <c r="N565" s="25" t="str">
        <f>HYPERLINK("http://slimages.macys.com/is/image/MCY/21209018 ")</f>
        <v xml:space="preserve">http://slimages.macys.com/is/image/MCY/21209018 </v>
      </c>
    </row>
    <row r="566" spans="1:14" ht="24.75" x14ac:dyDescent="0.25">
      <c r="A566" s="21" t="s">
        <v>17453</v>
      </c>
      <c r="B566" s="22" t="s">
        <v>17454</v>
      </c>
      <c r="C566" s="2">
        <v>1</v>
      </c>
      <c r="D566" s="23">
        <v>5.99</v>
      </c>
      <c r="E566" s="3">
        <v>5.99</v>
      </c>
      <c r="F566" s="2" t="s">
        <v>17455</v>
      </c>
      <c r="G566" s="22" t="s">
        <v>19431</v>
      </c>
      <c r="H566" s="24" t="s">
        <v>19384</v>
      </c>
      <c r="I566" s="22" t="s">
        <v>19309</v>
      </c>
      <c r="J566" s="22" t="s">
        <v>19573</v>
      </c>
      <c r="K566" s="22" t="s">
        <v>19574</v>
      </c>
      <c r="L566" s="22"/>
      <c r="M566" s="22"/>
      <c r="N566" s="25" t="str">
        <f>HYPERLINK("http://slimages.macys.com/is/image/MCY/21089250 ")</f>
        <v xml:space="preserve">http://slimages.macys.com/is/image/MCY/21089250 </v>
      </c>
    </row>
    <row r="567" spans="1:14" ht="24.75" x14ac:dyDescent="0.25">
      <c r="A567" s="21" t="s">
        <v>1121</v>
      </c>
      <c r="B567" s="22" t="s">
        <v>1122</v>
      </c>
      <c r="C567" s="2">
        <v>1</v>
      </c>
      <c r="D567" s="23">
        <v>5.99</v>
      </c>
      <c r="E567" s="3">
        <v>5.99</v>
      </c>
      <c r="F567" s="2" t="s">
        <v>17455</v>
      </c>
      <c r="G567" s="22" t="s">
        <v>19431</v>
      </c>
      <c r="H567" s="24" t="s">
        <v>19330</v>
      </c>
      <c r="I567" s="22" t="s">
        <v>19309</v>
      </c>
      <c r="J567" s="22" t="s">
        <v>19573</v>
      </c>
      <c r="K567" s="22" t="s">
        <v>19574</v>
      </c>
      <c r="L567" s="22"/>
      <c r="M567" s="22"/>
      <c r="N567" s="25" t="str">
        <f>HYPERLINK("http://slimages.macys.com/is/image/MCY/21089250 ")</f>
        <v xml:space="preserve">http://slimages.macys.com/is/image/MCY/21089250 </v>
      </c>
    </row>
    <row r="568" spans="1:14" ht="24.75" x14ac:dyDescent="0.25">
      <c r="A568" s="21" t="s">
        <v>17307</v>
      </c>
      <c r="B568" s="22" t="s">
        <v>17308</v>
      </c>
      <c r="C568" s="2">
        <v>1</v>
      </c>
      <c r="D568" s="23">
        <v>5.99</v>
      </c>
      <c r="E568" s="3">
        <v>5.99</v>
      </c>
      <c r="F568" s="2" t="s">
        <v>17309</v>
      </c>
      <c r="G568" s="22" t="s">
        <v>19351</v>
      </c>
      <c r="H568" s="24" t="s">
        <v>19330</v>
      </c>
      <c r="I568" s="22" t="s">
        <v>19309</v>
      </c>
      <c r="J568" s="22" t="s">
        <v>19573</v>
      </c>
      <c r="K568" s="22" t="s">
        <v>19574</v>
      </c>
      <c r="L568" s="22"/>
      <c r="M568" s="22"/>
      <c r="N568" s="25" t="str">
        <f>HYPERLINK("http://slimages.macys.com/is/image/MCY/21361770 ")</f>
        <v xml:space="preserve">http://slimages.macys.com/is/image/MCY/21361770 </v>
      </c>
    </row>
    <row r="569" spans="1:14" ht="24.75" x14ac:dyDescent="0.25">
      <c r="A569" s="21" t="s">
        <v>3655</v>
      </c>
      <c r="B569" s="22" t="s">
        <v>3656</v>
      </c>
      <c r="C569" s="2">
        <v>1</v>
      </c>
      <c r="D569" s="23">
        <v>5.99</v>
      </c>
      <c r="E569" s="3">
        <v>5.99</v>
      </c>
      <c r="F569" s="2" t="s">
        <v>15020</v>
      </c>
      <c r="G569" s="22" t="s">
        <v>19618</v>
      </c>
      <c r="H569" s="24" t="s">
        <v>19324</v>
      </c>
      <c r="I569" s="22" t="s">
        <v>19309</v>
      </c>
      <c r="J569" s="22" t="s">
        <v>19573</v>
      </c>
      <c r="K569" s="22" t="s">
        <v>19574</v>
      </c>
      <c r="L569" s="22"/>
      <c r="M569" s="22"/>
      <c r="N569" s="25" t="str">
        <f>HYPERLINK("http://slimages.macys.com/is/image/MCY/20757443 ")</f>
        <v xml:space="preserve">http://slimages.macys.com/is/image/MCY/20757443 </v>
      </c>
    </row>
    <row r="570" spans="1:14" ht="24.75" x14ac:dyDescent="0.25">
      <c r="A570" s="21" t="s">
        <v>7225</v>
      </c>
      <c r="B570" s="22" t="s">
        <v>7226</v>
      </c>
      <c r="C570" s="2">
        <v>1</v>
      </c>
      <c r="D570" s="23">
        <v>5.99</v>
      </c>
      <c r="E570" s="3">
        <v>5.99</v>
      </c>
      <c r="F570" s="2" t="s">
        <v>17309</v>
      </c>
      <c r="G570" s="22" t="s">
        <v>19351</v>
      </c>
      <c r="H570" s="24" t="s">
        <v>19384</v>
      </c>
      <c r="I570" s="22" t="s">
        <v>19309</v>
      </c>
      <c r="J570" s="22" t="s">
        <v>19573</v>
      </c>
      <c r="K570" s="22" t="s">
        <v>19574</v>
      </c>
      <c r="L570" s="22"/>
      <c r="M570" s="22"/>
      <c r="N570" s="25" t="str">
        <f>HYPERLINK("http://slimages.macys.com/is/image/MCY/1554658 ")</f>
        <v xml:space="preserve">http://slimages.macys.com/is/image/MCY/1554658 </v>
      </c>
    </row>
    <row r="571" spans="1:14" ht="24.75" x14ac:dyDescent="0.25">
      <c r="A571" s="21" t="s">
        <v>1123</v>
      </c>
      <c r="B571" s="22" t="s">
        <v>1124</v>
      </c>
      <c r="C571" s="2">
        <v>1</v>
      </c>
      <c r="D571" s="23">
        <v>5.99</v>
      </c>
      <c r="E571" s="3">
        <v>5.99</v>
      </c>
      <c r="F571" s="2" t="s">
        <v>10198</v>
      </c>
      <c r="G571" s="22" t="s">
        <v>19431</v>
      </c>
      <c r="H571" s="24" t="s">
        <v>19330</v>
      </c>
      <c r="I571" s="22" t="s">
        <v>19309</v>
      </c>
      <c r="J571" s="22" t="s">
        <v>19573</v>
      </c>
      <c r="K571" s="22" t="s">
        <v>19574</v>
      </c>
      <c r="L571" s="22"/>
      <c r="M571" s="22"/>
      <c r="N571" s="25" t="str">
        <f>HYPERLINK("http://slimages.macys.com/is/image/MCY/1537013 ")</f>
        <v xml:space="preserve">http://slimages.macys.com/is/image/MCY/1537013 </v>
      </c>
    </row>
    <row r="572" spans="1:14" ht="24.75" x14ac:dyDescent="0.25">
      <c r="A572" s="21" t="s">
        <v>17470</v>
      </c>
      <c r="B572" s="22" t="s">
        <v>17471</v>
      </c>
      <c r="C572" s="2">
        <v>1</v>
      </c>
      <c r="D572" s="23">
        <v>5.99</v>
      </c>
      <c r="E572" s="3">
        <v>5.99</v>
      </c>
      <c r="F572" s="2" t="s">
        <v>17472</v>
      </c>
      <c r="G572" s="22" t="s">
        <v>19467</v>
      </c>
      <c r="H572" s="24" t="s">
        <v>19330</v>
      </c>
      <c r="I572" s="22" t="s">
        <v>19309</v>
      </c>
      <c r="J572" s="22" t="s">
        <v>19573</v>
      </c>
      <c r="K572" s="22" t="s">
        <v>19574</v>
      </c>
      <c r="L572" s="22"/>
      <c r="M572" s="22"/>
      <c r="N572" s="25" t="str">
        <f>HYPERLINK("http://slimages.macys.com/is/image/MCY/16605973 ")</f>
        <v xml:space="preserve">http://slimages.macys.com/is/image/MCY/16605973 </v>
      </c>
    </row>
    <row r="573" spans="1:14" ht="24.75" x14ac:dyDescent="0.25">
      <c r="A573" s="21" t="s">
        <v>5040</v>
      </c>
      <c r="B573" s="22" t="s">
        <v>5041</v>
      </c>
      <c r="C573" s="2">
        <v>1</v>
      </c>
      <c r="D573" s="23">
        <v>5.99</v>
      </c>
      <c r="E573" s="3">
        <v>5.99</v>
      </c>
      <c r="F573" s="2" t="s">
        <v>17472</v>
      </c>
      <c r="G573" s="22" t="s">
        <v>19467</v>
      </c>
      <c r="H573" s="24" t="s">
        <v>19416</v>
      </c>
      <c r="I573" s="22" t="s">
        <v>19309</v>
      </c>
      <c r="J573" s="22" t="s">
        <v>19573</v>
      </c>
      <c r="K573" s="22" t="s">
        <v>19574</v>
      </c>
      <c r="L573" s="22"/>
      <c r="M573" s="22"/>
      <c r="N573" s="25" t="str">
        <f>HYPERLINK("http://slimages.macys.com/is/image/MCY/16605973 ")</f>
        <v xml:space="preserve">http://slimages.macys.com/is/image/MCY/16605973 </v>
      </c>
    </row>
    <row r="574" spans="1:14" ht="24.75" x14ac:dyDescent="0.25">
      <c r="A574" s="21" t="s">
        <v>17315</v>
      </c>
      <c r="B574" s="22" t="s">
        <v>17316</v>
      </c>
      <c r="C574" s="2">
        <v>1</v>
      </c>
      <c r="D574" s="23">
        <v>5.99</v>
      </c>
      <c r="E574" s="3">
        <v>5.99</v>
      </c>
      <c r="F574" s="2" t="s">
        <v>17472</v>
      </c>
      <c r="G574" s="22" t="s">
        <v>19467</v>
      </c>
      <c r="H574" s="24" t="s">
        <v>19324</v>
      </c>
      <c r="I574" s="22" t="s">
        <v>19309</v>
      </c>
      <c r="J574" s="22" t="s">
        <v>19573</v>
      </c>
      <c r="K574" s="22" t="s">
        <v>19574</v>
      </c>
      <c r="L574" s="22"/>
      <c r="M574" s="22"/>
      <c r="N574" s="25" t="str">
        <f>HYPERLINK("http://slimages.macys.com/is/image/MCY/16605973 ")</f>
        <v xml:space="preserve">http://slimages.macys.com/is/image/MCY/16605973 </v>
      </c>
    </row>
    <row r="575" spans="1:14" ht="24.75" x14ac:dyDescent="0.25">
      <c r="A575" s="21" t="s">
        <v>1125</v>
      </c>
      <c r="B575" s="22" t="s">
        <v>1126</v>
      </c>
      <c r="C575" s="2">
        <v>1</v>
      </c>
      <c r="D575" s="23">
        <v>32.99</v>
      </c>
      <c r="E575" s="3">
        <v>32.99</v>
      </c>
      <c r="F575" s="2" t="s">
        <v>2268</v>
      </c>
      <c r="G575" s="22" t="s">
        <v>19528</v>
      </c>
      <c r="H575" s="24" t="s">
        <v>19330</v>
      </c>
      <c r="I575" s="22" t="s">
        <v>19309</v>
      </c>
      <c r="J575" s="22" t="s">
        <v>19491</v>
      </c>
      <c r="K575" s="22" t="s">
        <v>12872</v>
      </c>
      <c r="L575" s="22"/>
      <c r="M575" s="22"/>
      <c r="N575" s="25"/>
    </row>
    <row r="576" spans="1:14" ht="24.75" x14ac:dyDescent="0.25">
      <c r="A576" s="21" t="s">
        <v>1127</v>
      </c>
      <c r="B576" s="22" t="s">
        <v>1128</v>
      </c>
      <c r="C576" s="2">
        <v>1</v>
      </c>
      <c r="D576" s="23">
        <v>34.99</v>
      </c>
      <c r="E576" s="3">
        <v>34.99</v>
      </c>
      <c r="F576" s="2" t="s">
        <v>19410</v>
      </c>
      <c r="G576" s="22"/>
      <c r="H576" s="24" t="s">
        <v>19416</v>
      </c>
      <c r="I576" s="22" t="s">
        <v>19309</v>
      </c>
      <c r="J576" s="22" t="s">
        <v>19385</v>
      </c>
      <c r="K576" s="22" t="s">
        <v>19411</v>
      </c>
      <c r="L576" s="22"/>
      <c r="M576" s="22"/>
      <c r="N576" s="25"/>
    </row>
    <row r="577" spans="1:14" ht="24.75" x14ac:dyDescent="0.25">
      <c r="A577" s="21" t="s">
        <v>1129</v>
      </c>
      <c r="B577" s="22" t="s">
        <v>1130</v>
      </c>
      <c r="C577" s="2">
        <v>8</v>
      </c>
      <c r="D577" s="23">
        <v>33.99</v>
      </c>
      <c r="E577" s="3">
        <v>271.92</v>
      </c>
      <c r="F577" s="2" t="s">
        <v>17595</v>
      </c>
      <c r="G577" s="22" t="s">
        <v>19498</v>
      </c>
      <c r="H577" s="24" t="s">
        <v>19538</v>
      </c>
      <c r="I577" s="22" t="s">
        <v>19309</v>
      </c>
      <c r="J577" s="22" t="s">
        <v>19385</v>
      </c>
      <c r="K577" s="22" t="s">
        <v>19386</v>
      </c>
      <c r="L577" s="22"/>
      <c r="M577" s="22"/>
      <c r="N577" s="25"/>
    </row>
    <row r="578" spans="1:14" ht="24.75" x14ac:dyDescent="0.25">
      <c r="A578" s="21" t="s">
        <v>17320</v>
      </c>
      <c r="B578" s="22" t="s">
        <v>17321</v>
      </c>
      <c r="C578" s="2">
        <v>1</v>
      </c>
      <c r="D578" s="23">
        <v>33.99</v>
      </c>
      <c r="E578" s="3">
        <v>33.99</v>
      </c>
      <c r="F578" s="2" t="s">
        <v>17595</v>
      </c>
      <c r="G578" s="22" t="s">
        <v>19498</v>
      </c>
      <c r="H578" s="24" t="s">
        <v>19324</v>
      </c>
      <c r="I578" s="22" t="s">
        <v>19309</v>
      </c>
      <c r="J578" s="22" t="s">
        <v>19385</v>
      </c>
      <c r="K578" s="22" t="s">
        <v>19386</v>
      </c>
      <c r="L578" s="22"/>
      <c r="M578" s="22"/>
      <c r="N578" s="25"/>
    </row>
    <row r="579" spans="1:14" ht="24.75" x14ac:dyDescent="0.25">
      <c r="A579" s="21" t="s">
        <v>5356</v>
      </c>
      <c r="B579" s="22" t="s">
        <v>5357</v>
      </c>
      <c r="C579" s="2">
        <v>1</v>
      </c>
      <c r="D579" s="23">
        <v>34.99</v>
      </c>
      <c r="E579" s="3">
        <v>34.99</v>
      </c>
      <c r="F579" s="2" t="s">
        <v>10208</v>
      </c>
      <c r="G579" s="22" t="s">
        <v>11254</v>
      </c>
      <c r="H579" s="24" t="s">
        <v>19384</v>
      </c>
      <c r="I579" s="22" t="s">
        <v>19309</v>
      </c>
      <c r="J579" s="22" t="s">
        <v>19385</v>
      </c>
      <c r="K579" s="22" t="s">
        <v>19487</v>
      </c>
      <c r="L579" s="22"/>
      <c r="M579" s="22"/>
      <c r="N579" s="25"/>
    </row>
    <row r="580" spans="1:14" ht="24.75" x14ac:dyDescent="0.25">
      <c r="A580" s="21" t="s">
        <v>1131</v>
      </c>
      <c r="B580" s="22" t="s">
        <v>1132</v>
      </c>
      <c r="C580" s="2">
        <v>1</v>
      </c>
      <c r="D580" s="23">
        <v>30.99</v>
      </c>
      <c r="E580" s="3">
        <v>30.99</v>
      </c>
      <c r="F580" s="2" t="s">
        <v>1133</v>
      </c>
      <c r="G580" s="22" t="s">
        <v>19674</v>
      </c>
      <c r="H580" s="24" t="s">
        <v>19416</v>
      </c>
      <c r="I580" s="22" t="s">
        <v>19309</v>
      </c>
      <c r="J580" s="22" t="s">
        <v>19385</v>
      </c>
      <c r="K580" s="22" t="s">
        <v>19487</v>
      </c>
      <c r="L580" s="22"/>
      <c r="M580" s="22"/>
      <c r="N580" s="25"/>
    </row>
    <row r="581" spans="1:14" ht="24.75" x14ac:dyDescent="0.25">
      <c r="A581" s="21" t="s">
        <v>1134</v>
      </c>
      <c r="B581" s="22" t="s">
        <v>1135</v>
      </c>
      <c r="C581" s="2">
        <v>1</v>
      </c>
      <c r="D581" s="23">
        <v>26.99</v>
      </c>
      <c r="E581" s="3">
        <v>26.99</v>
      </c>
      <c r="F581" s="2" t="s">
        <v>1136</v>
      </c>
      <c r="G581" s="22" t="s">
        <v>18361</v>
      </c>
      <c r="H581" s="24" t="s">
        <v>19324</v>
      </c>
      <c r="I581" s="22" t="s">
        <v>19309</v>
      </c>
      <c r="J581" s="22" t="s">
        <v>19385</v>
      </c>
      <c r="K581" s="22" t="s">
        <v>19463</v>
      </c>
      <c r="L581" s="22"/>
      <c r="M581" s="22"/>
      <c r="N581" s="25"/>
    </row>
    <row r="582" spans="1:14" ht="24.75" x14ac:dyDescent="0.25">
      <c r="A582" s="21" t="s">
        <v>1137</v>
      </c>
      <c r="B582" s="22" t="s">
        <v>1138</v>
      </c>
      <c r="C582" s="2">
        <v>3</v>
      </c>
      <c r="D582" s="23">
        <v>36</v>
      </c>
      <c r="E582" s="3">
        <v>108</v>
      </c>
      <c r="F582" s="2" t="s">
        <v>1139</v>
      </c>
      <c r="G582" s="22" t="s">
        <v>18764</v>
      </c>
      <c r="H582" s="24" t="s">
        <v>19538</v>
      </c>
      <c r="I582" s="22" t="s">
        <v>19309</v>
      </c>
      <c r="J582" s="22" t="s">
        <v>19385</v>
      </c>
      <c r="K582" s="22" t="s">
        <v>17934</v>
      </c>
      <c r="L582" s="22"/>
      <c r="M582" s="22"/>
      <c r="N582" s="25"/>
    </row>
    <row r="583" spans="1:14" ht="24.75" x14ac:dyDescent="0.25">
      <c r="A583" s="21" t="s">
        <v>1140</v>
      </c>
      <c r="B583" s="22" t="s">
        <v>1141</v>
      </c>
      <c r="C583" s="2">
        <v>1</v>
      </c>
      <c r="D583" s="23">
        <v>30.99</v>
      </c>
      <c r="E583" s="3">
        <v>30.99</v>
      </c>
      <c r="F583" s="2" t="s">
        <v>17342</v>
      </c>
      <c r="G583" s="22" t="s">
        <v>19674</v>
      </c>
      <c r="H583" s="24" t="s">
        <v>19416</v>
      </c>
      <c r="I583" s="22" t="s">
        <v>19309</v>
      </c>
      <c r="J583" s="22" t="s">
        <v>19385</v>
      </c>
      <c r="K583" s="22" t="s">
        <v>19487</v>
      </c>
      <c r="L583" s="22"/>
      <c r="M583" s="22"/>
      <c r="N583" s="25"/>
    </row>
    <row r="584" spans="1:14" x14ac:dyDescent="0.25">
      <c r="A584" s="21" t="s">
        <v>1142</v>
      </c>
      <c r="B584" s="22" t="s">
        <v>1143</v>
      </c>
      <c r="C584" s="2">
        <v>1</v>
      </c>
      <c r="D584" s="23">
        <v>30.72</v>
      </c>
      <c r="E584" s="3">
        <v>30.72</v>
      </c>
      <c r="F584" s="2" t="s">
        <v>1144</v>
      </c>
      <c r="G584" s="22" t="s">
        <v>18361</v>
      </c>
      <c r="H584" s="24" t="s">
        <v>19367</v>
      </c>
      <c r="I584" s="22" t="s">
        <v>19309</v>
      </c>
      <c r="J584" s="22" t="s">
        <v>19708</v>
      </c>
      <c r="K584" s="22" t="s">
        <v>19709</v>
      </c>
      <c r="L584" s="22"/>
      <c r="M584" s="22"/>
      <c r="N584" s="25"/>
    </row>
    <row r="585" spans="1:14" x14ac:dyDescent="0.25">
      <c r="A585" s="21" t="s">
        <v>1145</v>
      </c>
      <c r="B585" s="22" t="s">
        <v>1146</v>
      </c>
      <c r="C585" s="2">
        <v>1</v>
      </c>
      <c r="D585" s="23">
        <v>30.72</v>
      </c>
      <c r="E585" s="3">
        <v>30.72</v>
      </c>
      <c r="F585" s="2" t="s">
        <v>1144</v>
      </c>
      <c r="G585" s="22" t="s">
        <v>18361</v>
      </c>
      <c r="H585" s="24" t="s">
        <v>20159</v>
      </c>
      <c r="I585" s="22" t="s">
        <v>19309</v>
      </c>
      <c r="J585" s="22" t="s">
        <v>19708</v>
      </c>
      <c r="K585" s="22" t="s">
        <v>19709</v>
      </c>
      <c r="L585" s="22"/>
      <c r="M585" s="22"/>
      <c r="N585" s="25"/>
    </row>
    <row r="586" spans="1:14" x14ac:dyDescent="0.25">
      <c r="A586" s="21" t="s">
        <v>1147</v>
      </c>
      <c r="B586" s="22" t="s">
        <v>1148</v>
      </c>
      <c r="C586" s="2">
        <v>1</v>
      </c>
      <c r="D586" s="23">
        <v>30.72</v>
      </c>
      <c r="E586" s="3">
        <v>30.72</v>
      </c>
      <c r="F586" s="2" t="s">
        <v>1149</v>
      </c>
      <c r="G586" s="22"/>
      <c r="H586" s="24" t="s">
        <v>20159</v>
      </c>
      <c r="I586" s="22" t="s">
        <v>19309</v>
      </c>
      <c r="J586" s="22" t="s">
        <v>19708</v>
      </c>
      <c r="K586" s="22" t="s">
        <v>19709</v>
      </c>
      <c r="L586" s="22"/>
      <c r="M586" s="22"/>
      <c r="N586" s="25"/>
    </row>
    <row r="587" spans="1:14" ht="24.75" x14ac:dyDescent="0.25">
      <c r="A587" s="21" t="s">
        <v>1150</v>
      </c>
      <c r="B587" s="22" t="s">
        <v>1151</v>
      </c>
      <c r="C587" s="2">
        <v>1</v>
      </c>
      <c r="D587" s="23">
        <v>26.99</v>
      </c>
      <c r="E587" s="3">
        <v>26.99</v>
      </c>
      <c r="F587" s="2" t="s">
        <v>1152</v>
      </c>
      <c r="G587" s="22" t="s">
        <v>19594</v>
      </c>
      <c r="H587" s="24" t="s">
        <v>19416</v>
      </c>
      <c r="I587" s="22" t="s">
        <v>19309</v>
      </c>
      <c r="J587" s="22" t="s">
        <v>19385</v>
      </c>
      <c r="K587" s="22" t="s">
        <v>19487</v>
      </c>
      <c r="L587" s="22"/>
      <c r="M587" s="22"/>
      <c r="N587" s="25"/>
    </row>
    <row r="588" spans="1:14" ht="24.75" x14ac:dyDescent="0.25">
      <c r="A588" s="21" t="s">
        <v>17486</v>
      </c>
      <c r="B588" s="22" t="s">
        <v>17487</v>
      </c>
      <c r="C588" s="2">
        <v>1</v>
      </c>
      <c r="D588" s="23">
        <v>26.99</v>
      </c>
      <c r="E588" s="3">
        <v>26.99</v>
      </c>
      <c r="F588" s="2" t="s">
        <v>17488</v>
      </c>
      <c r="G588" s="22" t="s">
        <v>19357</v>
      </c>
      <c r="H588" s="24" t="s">
        <v>19416</v>
      </c>
      <c r="I588" s="22" t="s">
        <v>19309</v>
      </c>
      <c r="J588" s="22" t="s">
        <v>19385</v>
      </c>
      <c r="K588" s="22" t="s">
        <v>19487</v>
      </c>
      <c r="L588" s="22"/>
      <c r="M588" s="22"/>
      <c r="N588" s="25"/>
    </row>
    <row r="589" spans="1:14" ht="24.75" x14ac:dyDescent="0.25">
      <c r="A589" s="21" t="s">
        <v>9757</v>
      </c>
      <c r="B589" s="22" t="s">
        <v>9758</v>
      </c>
      <c r="C589" s="2">
        <v>2</v>
      </c>
      <c r="D589" s="23">
        <v>24.99</v>
      </c>
      <c r="E589" s="3">
        <v>49.98</v>
      </c>
      <c r="F589" s="2" t="s">
        <v>9432</v>
      </c>
      <c r="G589" s="22" t="s">
        <v>19333</v>
      </c>
      <c r="H589" s="24" t="s">
        <v>19324</v>
      </c>
      <c r="I589" s="22" t="s">
        <v>19309</v>
      </c>
      <c r="J589" s="22" t="s">
        <v>19385</v>
      </c>
      <c r="K589" s="22" t="s">
        <v>19386</v>
      </c>
      <c r="L589" s="22"/>
      <c r="M589" s="22"/>
      <c r="N589" s="25"/>
    </row>
    <row r="590" spans="1:14" x14ac:dyDescent="0.25">
      <c r="A590" s="21" t="s">
        <v>1153</v>
      </c>
      <c r="B590" s="22" t="s">
        <v>1154</v>
      </c>
      <c r="C590" s="2">
        <v>1</v>
      </c>
      <c r="D590" s="23">
        <v>24</v>
      </c>
      <c r="E590" s="3">
        <v>24</v>
      </c>
      <c r="F590" s="2" t="s">
        <v>1155</v>
      </c>
      <c r="G590" s="22" t="s">
        <v>19431</v>
      </c>
      <c r="H590" s="24" t="s">
        <v>19324</v>
      </c>
      <c r="I590" s="22" t="s">
        <v>19309</v>
      </c>
      <c r="J590" s="22" t="s">
        <v>19417</v>
      </c>
      <c r="K590" s="22" t="s">
        <v>19854</v>
      </c>
      <c r="L590" s="22"/>
      <c r="M590" s="22"/>
      <c r="N590" s="25"/>
    </row>
    <row r="591" spans="1:14" ht="24.75" x14ac:dyDescent="0.25">
      <c r="A591" s="21" t="s">
        <v>1156</v>
      </c>
      <c r="B591" s="22" t="s">
        <v>1157</v>
      </c>
      <c r="C591" s="2">
        <v>1</v>
      </c>
      <c r="D591" s="23">
        <v>19.52</v>
      </c>
      <c r="E591" s="3">
        <v>19.52</v>
      </c>
      <c r="F591" s="2" t="s">
        <v>1158</v>
      </c>
      <c r="G591" s="22" t="s">
        <v>19333</v>
      </c>
      <c r="H591" s="24" t="s">
        <v>19997</v>
      </c>
      <c r="I591" s="22" t="s">
        <v>19309</v>
      </c>
      <c r="J591" s="22" t="s">
        <v>19602</v>
      </c>
      <c r="K591" s="22" t="s">
        <v>20041</v>
      </c>
      <c r="L591" s="22"/>
      <c r="M591" s="22"/>
      <c r="N591" s="25"/>
    </row>
    <row r="592" spans="1:14" ht="24.75" x14ac:dyDescent="0.25">
      <c r="A592" s="21" t="s">
        <v>1159</v>
      </c>
      <c r="B592" s="22" t="s">
        <v>1160</v>
      </c>
      <c r="C592" s="2">
        <v>1</v>
      </c>
      <c r="D592" s="23">
        <v>18.23</v>
      </c>
      <c r="E592" s="3">
        <v>18.23</v>
      </c>
      <c r="F592" s="2" t="s">
        <v>1161</v>
      </c>
      <c r="G592" s="22"/>
      <c r="H592" s="24" t="s">
        <v>19361</v>
      </c>
      <c r="I592" s="22" t="s">
        <v>19309</v>
      </c>
      <c r="J592" s="22" t="s">
        <v>19602</v>
      </c>
      <c r="K592" s="22" t="s">
        <v>19603</v>
      </c>
      <c r="L592" s="22"/>
      <c r="M592" s="22"/>
      <c r="N592" s="25"/>
    </row>
    <row r="593" spans="1:14" x14ac:dyDescent="0.25">
      <c r="A593" s="21" t="s">
        <v>1162</v>
      </c>
      <c r="B593" s="22" t="s">
        <v>1163</v>
      </c>
      <c r="C593" s="2">
        <v>2</v>
      </c>
      <c r="D593" s="23">
        <v>26</v>
      </c>
      <c r="E593" s="3">
        <v>52</v>
      </c>
      <c r="F593" s="2" t="s">
        <v>1164</v>
      </c>
      <c r="G593" s="22" t="s">
        <v>19422</v>
      </c>
      <c r="H593" s="24" t="s">
        <v>19384</v>
      </c>
      <c r="I593" s="22" t="s">
        <v>19309</v>
      </c>
      <c r="J593" s="22" t="s">
        <v>19417</v>
      </c>
      <c r="K593" s="22" t="s">
        <v>20110</v>
      </c>
      <c r="L593" s="22"/>
      <c r="M593" s="22"/>
      <c r="N593" s="25"/>
    </row>
    <row r="594" spans="1:14" ht="24.75" x14ac:dyDescent="0.25">
      <c r="A594" s="21" t="s">
        <v>1165</v>
      </c>
      <c r="B594" s="22" t="s">
        <v>1166</v>
      </c>
      <c r="C594" s="2">
        <v>1</v>
      </c>
      <c r="D594" s="23">
        <v>16.72</v>
      </c>
      <c r="E594" s="3">
        <v>16.72</v>
      </c>
      <c r="F594" s="2" t="s">
        <v>1167</v>
      </c>
      <c r="G594" s="22"/>
      <c r="H594" s="24" t="s">
        <v>19361</v>
      </c>
      <c r="I594" s="22" t="s">
        <v>19309</v>
      </c>
      <c r="J594" s="22" t="s">
        <v>19602</v>
      </c>
      <c r="K594" s="22" t="s">
        <v>20041</v>
      </c>
      <c r="L594" s="22"/>
      <c r="M594" s="22"/>
      <c r="N594" s="25"/>
    </row>
    <row r="595" spans="1:14" ht="24.75" x14ac:dyDescent="0.25">
      <c r="A595" s="21" t="s">
        <v>8183</v>
      </c>
      <c r="B595" s="22" t="s">
        <v>8184</v>
      </c>
      <c r="C595" s="2">
        <v>28</v>
      </c>
      <c r="D595" s="23">
        <v>13.88</v>
      </c>
      <c r="E595" s="3">
        <v>388.64</v>
      </c>
      <c r="F595" s="2" t="s">
        <v>11210</v>
      </c>
      <c r="G595" s="22" t="s">
        <v>19415</v>
      </c>
      <c r="H595" s="24" t="s">
        <v>19364</v>
      </c>
      <c r="I595" s="22" t="s">
        <v>19309</v>
      </c>
      <c r="J595" s="22" t="s">
        <v>19565</v>
      </c>
      <c r="K595" s="22" t="s">
        <v>18548</v>
      </c>
      <c r="L595" s="22"/>
      <c r="M595" s="22"/>
      <c r="N595" s="25"/>
    </row>
    <row r="596" spans="1:14" x14ac:dyDescent="0.25">
      <c r="A596" s="21" t="s">
        <v>1168</v>
      </c>
      <c r="B596" s="22" t="s">
        <v>1169</v>
      </c>
      <c r="C596" s="2">
        <v>1</v>
      </c>
      <c r="D596" s="23">
        <v>15.13</v>
      </c>
      <c r="E596" s="3">
        <v>15.13</v>
      </c>
      <c r="F596" s="2" t="s">
        <v>13583</v>
      </c>
      <c r="G596" s="22" t="s">
        <v>19323</v>
      </c>
      <c r="H596" s="24" t="s">
        <v>19770</v>
      </c>
      <c r="I596" s="22" t="s">
        <v>19309</v>
      </c>
      <c r="J596" s="22" t="s">
        <v>19708</v>
      </c>
      <c r="K596" s="22" t="s">
        <v>19709</v>
      </c>
      <c r="L596" s="22"/>
      <c r="M596" s="22"/>
      <c r="N596" s="25"/>
    </row>
    <row r="597" spans="1:14" ht="24.75" x14ac:dyDescent="0.25">
      <c r="A597" s="21" t="s">
        <v>1170</v>
      </c>
      <c r="B597" s="22" t="s">
        <v>1171</v>
      </c>
      <c r="C597" s="2">
        <v>1</v>
      </c>
      <c r="D597" s="23">
        <v>13.21</v>
      </c>
      <c r="E597" s="3">
        <v>13.21</v>
      </c>
      <c r="F597" s="2" t="s">
        <v>1172</v>
      </c>
      <c r="G597" s="22"/>
      <c r="H597" s="24" t="s">
        <v>19542</v>
      </c>
      <c r="I597" s="22" t="s">
        <v>19309</v>
      </c>
      <c r="J597" s="22" t="s">
        <v>19602</v>
      </c>
      <c r="K597" s="22" t="s">
        <v>20041</v>
      </c>
      <c r="L597" s="22"/>
      <c r="M597" s="22"/>
      <c r="N597" s="25"/>
    </row>
    <row r="598" spans="1:14" x14ac:dyDescent="0.25">
      <c r="A598" s="21" t="s">
        <v>1173</v>
      </c>
      <c r="B598" s="22" t="s">
        <v>1174</v>
      </c>
      <c r="C598" s="2">
        <v>1</v>
      </c>
      <c r="D598" s="23">
        <v>10.82</v>
      </c>
      <c r="E598" s="3">
        <v>10.82</v>
      </c>
      <c r="F598" s="2" t="s">
        <v>16504</v>
      </c>
      <c r="G598" s="22" t="s">
        <v>19357</v>
      </c>
      <c r="H598" s="24" t="s">
        <v>20159</v>
      </c>
      <c r="I598" s="22" t="s">
        <v>19309</v>
      </c>
      <c r="J598" s="22" t="s">
        <v>19708</v>
      </c>
      <c r="K598" s="22" t="s">
        <v>19709</v>
      </c>
      <c r="L598" s="22"/>
      <c r="M598" s="22"/>
      <c r="N598" s="25"/>
    </row>
    <row r="599" spans="1:14" x14ac:dyDescent="0.25">
      <c r="A599" s="21" t="s">
        <v>4015</v>
      </c>
      <c r="B599" s="22" t="s">
        <v>4016</v>
      </c>
      <c r="C599" s="2">
        <v>1</v>
      </c>
      <c r="D599" s="23">
        <v>20</v>
      </c>
      <c r="E599" s="3">
        <v>20</v>
      </c>
      <c r="F599" s="2" t="s">
        <v>3496</v>
      </c>
      <c r="G599" s="22"/>
      <c r="H599" s="24" t="s">
        <v>19324</v>
      </c>
      <c r="I599" s="22" t="s">
        <v>19309</v>
      </c>
      <c r="J599" s="22" t="s">
        <v>19708</v>
      </c>
      <c r="K599" s="22" t="s">
        <v>19709</v>
      </c>
      <c r="L599" s="22"/>
      <c r="M599" s="22"/>
      <c r="N599" s="25"/>
    </row>
    <row r="600" spans="1:14" ht="24.75" x14ac:dyDescent="0.25">
      <c r="A600" s="21" t="s">
        <v>1175</v>
      </c>
      <c r="B600" s="22" t="s">
        <v>13587</v>
      </c>
      <c r="C600" s="2">
        <v>2</v>
      </c>
      <c r="D600" s="23">
        <v>8.99</v>
      </c>
      <c r="E600" s="3">
        <v>17.98</v>
      </c>
      <c r="F600" s="2" t="s">
        <v>13588</v>
      </c>
      <c r="G600" s="22" t="s">
        <v>15203</v>
      </c>
      <c r="H600" s="24" t="s">
        <v>19361</v>
      </c>
      <c r="I600" s="22" t="s">
        <v>19309</v>
      </c>
      <c r="J600" s="22" t="s">
        <v>19447</v>
      </c>
      <c r="K600" s="22" t="s">
        <v>20146</v>
      </c>
      <c r="L600" s="22"/>
      <c r="M600" s="22"/>
      <c r="N600" s="25"/>
    </row>
    <row r="601" spans="1:14" ht="24.75" x14ac:dyDescent="0.25">
      <c r="A601" s="21" t="s">
        <v>8408</v>
      </c>
      <c r="B601" s="22" t="s">
        <v>8409</v>
      </c>
      <c r="C601" s="2">
        <v>1</v>
      </c>
      <c r="D601" s="23">
        <v>12.99</v>
      </c>
      <c r="E601" s="3">
        <v>12.99</v>
      </c>
      <c r="F601" s="2" t="s">
        <v>8410</v>
      </c>
      <c r="G601" s="22" t="s">
        <v>19879</v>
      </c>
      <c r="H601" s="24" t="s">
        <v>19797</v>
      </c>
      <c r="I601" s="22" t="s">
        <v>19309</v>
      </c>
      <c r="J601" s="22" t="s">
        <v>19353</v>
      </c>
      <c r="K601" s="22" t="s">
        <v>19524</v>
      </c>
      <c r="L601" s="22"/>
      <c r="M601" s="22"/>
      <c r="N601" s="25"/>
    </row>
    <row r="602" spans="1:14" x14ac:dyDescent="0.25">
      <c r="A602" s="21" t="s">
        <v>1176</v>
      </c>
      <c r="B602" s="22" t="s">
        <v>1177</v>
      </c>
      <c r="C602" s="2">
        <v>1</v>
      </c>
      <c r="D602" s="23">
        <v>10.92</v>
      </c>
      <c r="E602" s="3">
        <v>10.92</v>
      </c>
      <c r="F602" s="2" t="s">
        <v>1178</v>
      </c>
      <c r="G602" s="22"/>
      <c r="H602" s="24" t="s">
        <v>20159</v>
      </c>
      <c r="I602" s="22" t="s">
        <v>19309</v>
      </c>
      <c r="J602" s="22" t="s">
        <v>19708</v>
      </c>
      <c r="K602" s="22" t="s">
        <v>19709</v>
      </c>
      <c r="L602" s="22"/>
      <c r="M602" s="22"/>
      <c r="N602" s="25"/>
    </row>
    <row r="603" spans="1:14" x14ac:dyDescent="0.25">
      <c r="A603" s="21" t="s">
        <v>7249</v>
      </c>
      <c r="B603" s="22" t="s">
        <v>7250</v>
      </c>
      <c r="C603" s="2">
        <v>1</v>
      </c>
      <c r="D603" s="23">
        <v>16</v>
      </c>
      <c r="E603" s="3">
        <v>16</v>
      </c>
      <c r="F603" s="2" t="s">
        <v>7251</v>
      </c>
      <c r="G603" s="22"/>
      <c r="H603" s="24" t="s">
        <v>19367</v>
      </c>
      <c r="I603" s="22" t="s">
        <v>19309</v>
      </c>
      <c r="J603" s="22" t="s">
        <v>19708</v>
      </c>
      <c r="K603" s="22" t="s">
        <v>19709</v>
      </c>
      <c r="L603" s="22"/>
      <c r="M603" s="22"/>
      <c r="N603" s="25"/>
    </row>
    <row r="604" spans="1:14" x14ac:dyDescent="0.25">
      <c r="A604" s="21" t="s">
        <v>7252</v>
      </c>
      <c r="B604" s="22" t="s">
        <v>7253</v>
      </c>
      <c r="C604" s="2">
        <v>1</v>
      </c>
      <c r="D604" s="23">
        <v>9.44</v>
      </c>
      <c r="E604" s="3">
        <v>9.44</v>
      </c>
      <c r="F604" s="2" t="s">
        <v>7254</v>
      </c>
      <c r="G604" s="22" t="s">
        <v>19594</v>
      </c>
      <c r="H604" s="24" t="s">
        <v>19770</v>
      </c>
      <c r="I604" s="22" t="s">
        <v>19309</v>
      </c>
      <c r="J604" s="22" t="s">
        <v>19708</v>
      </c>
      <c r="K604" s="22" t="s">
        <v>19709</v>
      </c>
      <c r="L604" s="22"/>
      <c r="M604" s="22"/>
      <c r="N604" s="25"/>
    </row>
    <row r="605" spans="1:14" x14ac:dyDescent="0.25">
      <c r="A605" s="21" t="s">
        <v>1179</v>
      </c>
      <c r="B605" s="22" t="s">
        <v>1180</v>
      </c>
      <c r="C605" s="2">
        <v>14</v>
      </c>
      <c r="D605" s="23">
        <v>12</v>
      </c>
      <c r="E605" s="3">
        <v>168</v>
      </c>
      <c r="F605" s="2" t="s">
        <v>7132</v>
      </c>
      <c r="G605" s="22"/>
      <c r="H605" s="24" t="s">
        <v>20159</v>
      </c>
      <c r="I605" s="22" t="s">
        <v>19309</v>
      </c>
      <c r="J605" s="22" t="s">
        <v>19708</v>
      </c>
      <c r="K605" s="22" t="s">
        <v>19709</v>
      </c>
      <c r="L605" s="22"/>
      <c r="M605" s="22"/>
      <c r="N605" s="25"/>
    </row>
    <row r="606" spans="1:14" x14ac:dyDescent="0.25">
      <c r="A606" s="21" t="s">
        <v>1181</v>
      </c>
      <c r="B606" s="22" t="s">
        <v>1182</v>
      </c>
      <c r="C606" s="2">
        <v>4</v>
      </c>
      <c r="D606" s="23">
        <v>12</v>
      </c>
      <c r="E606" s="3">
        <v>48</v>
      </c>
      <c r="F606" s="2" t="s">
        <v>7132</v>
      </c>
      <c r="G606" s="22"/>
      <c r="H606" s="24" t="s">
        <v>19367</v>
      </c>
      <c r="I606" s="22" t="s">
        <v>19309</v>
      </c>
      <c r="J606" s="22" t="s">
        <v>19708</v>
      </c>
      <c r="K606" s="22" t="s">
        <v>19709</v>
      </c>
      <c r="L606" s="22"/>
      <c r="M606" s="22"/>
      <c r="N606" s="25"/>
    </row>
    <row r="607" spans="1:14" x14ac:dyDescent="0.25">
      <c r="A607" s="21" t="s">
        <v>1183</v>
      </c>
      <c r="B607" s="22" t="s">
        <v>1184</v>
      </c>
      <c r="C607" s="2">
        <v>1</v>
      </c>
      <c r="D607" s="23">
        <v>8.3000000000000007</v>
      </c>
      <c r="E607" s="3">
        <v>8.3000000000000007</v>
      </c>
      <c r="F607" s="2" t="s">
        <v>1653</v>
      </c>
      <c r="G607" s="22" t="s">
        <v>19670</v>
      </c>
      <c r="H607" s="24" t="s">
        <v>19770</v>
      </c>
      <c r="I607" s="22" t="s">
        <v>19309</v>
      </c>
      <c r="J607" s="22" t="s">
        <v>19708</v>
      </c>
      <c r="K607" s="22" t="s">
        <v>19709</v>
      </c>
      <c r="L607" s="22"/>
      <c r="M607" s="22"/>
      <c r="N607" s="25"/>
    </row>
    <row r="608" spans="1:14" x14ac:dyDescent="0.25">
      <c r="A608" s="21" t="s">
        <v>1185</v>
      </c>
      <c r="B608" s="22" t="s">
        <v>1186</v>
      </c>
      <c r="C608" s="2">
        <v>1</v>
      </c>
      <c r="D608" s="23">
        <v>8.3000000000000007</v>
      </c>
      <c r="E608" s="3">
        <v>8.3000000000000007</v>
      </c>
      <c r="F608" s="2" t="s">
        <v>14704</v>
      </c>
      <c r="G608" s="22" t="s">
        <v>19357</v>
      </c>
      <c r="H608" s="24" t="s">
        <v>19324</v>
      </c>
      <c r="I608" s="22" t="s">
        <v>19309</v>
      </c>
      <c r="J608" s="22" t="s">
        <v>19708</v>
      </c>
      <c r="K608" s="22" t="s">
        <v>19709</v>
      </c>
      <c r="L608" s="22"/>
      <c r="M608" s="22"/>
      <c r="N608" s="25"/>
    </row>
    <row r="609" spans="1:14" x14ac:dyDescent="0.25">
      <c r="A609" s="21" t="s">
        <v>3438</v>
      </c>
      <c r="B609" s="22" t="s">
        <v>1652</v>
      </c>
      <c r="C609" s="2">
        <v>1</v>
      </c>
      <c r="D609" s="23">
        <v>8.3000000000000007</v>
      </c>
      <c r="E609" s="3">
        <v>8.3000000000000007</v>
      </c>
      <c r="F609" s="2" t="s">
        <v>1653</v>
      </c>
      <c r="G609" s="22" t="s">
        <v>19670</v>
      </c>
      <c r="H609" s="24" t="s">
        <v>20159</v>
      </c>
      <c r="I609" s="22" t="s">
        <v>19309</v>
      </c>
      <c r="J609" s="22" t="s">
        <v>19708</v>
      </c>
      <c r="K609" s="22" t="s">
        <v>19709</v>
      </c>
      <c r="L609" s="22"/>
      <c r="M609" s="22"/>
      <c r="N609" s="25"/>
    </row>
    <row r="610" spans="1:14" x14ac:dyDescent="0.25">
      <c r="A610" s="21" t="s">
        <v>1187</v>
      </c>
      <c r="B610" s="22" t="s">
        <v>1188</v>
      </c>
      <c r="C610" s="2">
        <v>18</v>
      </c>
      <c r="D610" s="23">
        <v>8.3000000000000007</v>
      </c>
      <c r="E610" s="3">
        <v>149.4</v>
      </c>
      <c r="F610" s="2" t="s">
        <v>9667</v>
      </c>
      <c r="G610" s="22" t="s">
        <v>19431</v>
      </c>
      <c r="H610" s="24" t="s">
        <v>19324</v>
      </c>
      <c r="I610" s="22" t="s">
        <v>19309</v>
      </c>
      <c r="J610" s="22" t="s">
        <v>19708</v>
      </c>
      <c r="K610" s="22" t="s">
        <v>19709</v>
      </c>
      <c r="L610" s="22"/>
      <c r="M610" s="22"/>
      <c r="N610" s="25"/>
    </row>
  </sheetData>
  <phoneticPr fontId="0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7"/>
  <sheetViews>
    <sheetView workbookViewId="0">
      <selection activeCell="F16" sqref="F16"/>
    </sheetView>
  </sheetViews>
  <sheetFormatPr defaultRowHeight="15" x14ac:dyDescent="0.25"/>
  <cols>
    <col min="1" max="1" width="14.42578125" customWidth="1"/>
    <col min="2" max="2" width="50.42578125" customWidth="1"/>
    <col min="3" max="4" width="15" customWidth="1"/>
    <col min="5" max="5" width="10.42578125" customWidth="1"/>
    <col min="6" max="6" width="13.5703125" customWidth="1"/>
    <col min="7" max="7" width="11.42578125" customWidth="1"/>
    <col min="8" max="9" width="10.85546875" customWidth="1"/>
    <col min="10" max="10" width="12.140625" customWidth="1"/>
    <col min="11" max="11" width="36.5703125" bestFit="1" customWidth="1"/>
    <col min="12" max="13" width="20.5703125" customWidth="1"/>
    <col min="14" max="14" width="64.42578125" customWidth="1"/>
  </cols>
  <sheetData>
    <row r="1" spans="1:14" ht="36" x14ac:dyDescent="0.25">
      <c r="A1" s="1" t="s">
        <v>19291</v>
      </c>
      <c r="B1" s="1" t="s">
        <v>19292</v>
      </c>
      <c r="C1" s="1" t="s">
        <v>19293</v>
      </c>
      <c r="D1" s="1" t="s">
        <v>19284</v>
      </c>
      <c r="E1" s="1" t="s">
        <v>19294</v>
      </c>
      <c r="F1" s="1" t="s">
        <v>19295</v>
      </c>
      <c r="G1" s="1" t="s">
        <v>19296</v>
      </c>
      <c r="H1" s="1" t="s">
        <v>19297</v>
      </c>
      <c r="I1" s="1" t="s">
        <v>19298</v>
      </c>
      <c r="J1" s="1" t="s">
        <v>19299</v>
      </c>
      <c r="K1" s="1" t="s">
        <v>19300</v>
      </c>
      <c r="L1" s="1" t="s">
        <v>19301</v>
      </c>
      <c r="M1" s="1" t="s">
        <v>19302</v>
      </c>
      <c r="N1" s="1" t="s">
        <v>19303</v>
      </c>
    </row>
    <row r="2" spans="1:14" ht="24.75" x14ac:dyDescent="0.25">
      <c r="A2" s="21" t="s">
        <v>1189</v>
      </c>
      <c r="B2" s="22" t="s">
        <v>1190</v>
      </c>
      <c r="C2" s="2">
        <v>1</v>
      </c>
      <c r="D2" s="23">
        <v>325</v>
      </c>
      <c r="E2" s="3">
        <v>325</v>
      </c>
      <c r="F2" s="2">
        <v>323889812001</v>
      </c>
      <c r="G2" s="22" t="s">
        <v>19351</v>
      </c>
      <c r="H2" s="24"/>
      <c r="I2" s="22" t="s">
        <v>14376</v>
      </c>
      <c r="J2" s="22" t="s">
        <v>19559</v>
      </c>
      <c r="K2" s="22" t="s">
        <v>19326</v>
      </c>
      <c r="L2" s="22"/>
      <c r="M2" s="22"/>
      <c r="N2" s="25" t="str">
        <f>HYPERLINK("http://images.bloomingdales.com/is/image/BLM/12345743 ")</f>
        <v xml:space="preserve">http://images.bloomingdales.com/is/image/BLM/12345743 </v>
      </c>
    </row>
    <row r="3" spans="1:14" ht="24.75" x14ac:dyDescent="0.25">
      <c r="A3" s="21" t="s">
        <v>1191</v>
      </c>
      <c r="B3" s="22" t="s">
        <v>1192</v>
      </c>
      <c r="C3" s="2">
        <v>1</v>
      </c>
      <c r="D3" s="23">
        <v>79.989999999999995</v>
      </c>
      <c r="E3" s="3">
        <v>79.989999999999995</v>
      </c>
      <c r="F3" s="2" t="s">
        <v>19314</v>
      </c>
      <c r="G3" s="22" t="s">
        <v>19315</v>
      </c>
      <c r="H3" s="24" t="s">
        <v>19399</v>
      </c>
      <c r="I3" s="22" t="s">
        <v>19309</v>
      </c>
      <c r="J3" s="22" t="s">
        <v>19317</v>
      </c>
      <c r="K3" s="22" t="s">
        <v>19318</v>
      </c>
      <c r="L3" s="22" t="s">
        <v>19319</v>
      </c>
      <c r="M3" s="22" t="s">
        <v>19320</v>
      </c>
      <c r="N3" s="25" t="str">
        <f>HYPERLINK("http://slimages.macys.com/is/image/MCY/11252408 ")</f>
        <v xml:space="preserve">http://slimages.macys.com/is/image/MCY/11252408 </v>
      </c>
    </row>
    <row r="4" spans="1:14" ht="24.75" x14ac:dyDescent="0.25">
      <c r="A4" s="21" t="s">
        <v>1193</v>
      </c>
      <c r="B4" s="22" t="s">
        <v>1194</v>
      </c>
      <c r="C4" s="2">
        <v>1</v>
      </c>
      <c r="D4" s="23">
        <v>72.989999999999995</v>
      </c>
      <c r="E4" s="3">
        <v>72.989999999999995</v>
      </c>
      <c r="F4" s="2" t="s">
        <v>1195</v>
      </c>
      <c r="G4" s="22" t="s">
        <v>19307</v>
      </c>
      <c r="H4" s="24" t="s">
        <v>19352</v>
      </c>
      <c r="I4" s="22" t="s">
        <v>19309</v>
      </c>
      <c r="J4" s="22" t="s">
        <v>19447</v>
      </c>
      <c r="K4" s="22" t="s">
        <v>19311</v>
      </c>
      <c r="L4" s="22"/>
      <c r="M4" s="22"/>
      <c r="N4" s="25" t="str">
        <f>HYPERLINK("http://slimages.macys.com/is/image/MCY/21276429 ")</f>
        <v xml:space="preserve">http://slimages.macys.com/is/image/MCY/21276429 </v>
      </c>
    </row>
    <row r="5" spans="1:14" ht="24.75" x14ac:dyDescent="0.25">
      <c r="A5" s="21" t="s">
        <v>1196</v>
      </c>
      <c r="B5" s="22" t="s">
        <v>1197</v>
      </c>
      <c r="C5" s="2">
        <v>1</v>
      </c>
      <c r="D5" s="23">
        <v>65</v>
      </c>
      <c r="E5" s="3">
        <v>65</v>
      </c>
      <c r="F5" s="2">
        <v>310870004001</v>
      </c>
      <c r="G5" s="22" t="s">
        <v>19333</v>
      </c>
      <c r="H5" s="24" t="s">
        <v>19367</v>
      </c>
      <c r="I5" s="22" t="s">
        <v>19309</v>
      </c>
      <c r="J5" s="22" t="s">
        <v>19325</v>
      </c>
      <c r="K5" s="22" t="s">
        <v>19326</v>
      </c>
      <c r="L5" s="22"/>
      <c r="M5" s="22"/>
      <c r="N5" s="25" t="str">
        <f>HYPERLINK("http://slimages.macys.com/is/image/MCY/22446949 ")</f>
        <v xml:space="preserve">http://slimages.macys.com/is/image/MCY/22446949 </v>
      </c>
    </row>
    <row r="6" spans="1:14" ht="24.75" x14ac:dyDescent="0.25">
      <c r="A6" s="21" t="s">
        <v>14519</v>
      </c>
      <c r="B6" s="22" t="s">
        <v>14520</v>
      </c>
      <c r="C6" s="2">
        <v>1</v>
      </c>
      <c r="D6" s="23">
        <v>49.5</v>
      </c>
      <c r="E6" s="3">
        <v>49.5</v>
      </c>
      <c r="F6" s="2">
        <v>323864092001</v>
      </c>
      <c r="G6" s="22" t="s">
        <v>19351</v>
      </c>
      <c r="H6" s="24" t="s">
        <v>19316</v>
      </c>
      <c r="I6" s="22" t="s">
        <v>19309</v>
      </c>
      <c r="J6" s="22" t="s">
        <v>19335</v>
      </c>
      <c r="K6" s="22" t="s">
        <v>19326</v>
      </c>
      <c r="L6" s="22"/>
      <c r="M6" s="22"/>
      <c r="N6" s="25" t="str">
        <f>HYPERLINK("http://slimages.macys.com/is/image/MCY/21850603 ")</f>
        <v xml:space="preserve">http://slimages.macys.com/is/image/MCY/21850603 </v>
      </c>
    </row>
    <row r="7" spans="1:14" ht="24.75" x14ac:dyDescent="0.25">
      <c r="A7" s="21" t="s">
        <v>19340</v>
      </c>
      <c r="B7" s="22" t="s">
        <v>19341</v>
      </c>
      <c r="C7" s="2">
        <v>1</v>
      </c>
      <c r="D7" s="23">
        <v>49.5</v>
      </c>
      <c r="E7" s="3">
        <v>49.5</v>
      </c>
      <c r="F7" s="2">
        <v>323870759001</v>
      </c>
      <c r="G7" s="22" t="s">
        <v>19342</v>
      </c>
      <c r="H7" s="24" t="s">
        <v>19308</v>
      </c>
      <c r="I7" s="22" t="s">
        <v>19309</v>
      </c>
      <c r="J7" s="22" t="s">
        <v>19335</v>
      </c>
      <c r="K7" s="22" t="s">
        <v>19326</v>
      </c>
      <c r="L7" s="22"/>
      <c r="M7" s="22"/>
      <c r="N7" s="25" t="str">
        <f>HYPERLINK("http://slimages.macys.com/is/image/MCY/21990658 ")</f>
        <v xml:space="preserve">http://slimages.macys.com/is/image/MCY/21990658 </v>
      </c>
    </row>
    <row r="8" spans="1:14" ht="24.75" x14ac:dyDescent="0.25">
      <c r="A8" s="21" t="s">
        <v>1198</v>
      </c>
      <c r="B8" s="22" t="s">
        <v>1199</v>
      </c>
      <c r="C8" s="2">
        <v>1</v>
      </c>
      <c r="D8" s="23">
        <v>48.99</v>
      </c>
      <c r="E8" s="3">
        <v>48.99</v>
      </c>
      <c r="F8" s="2" t="s">
        <v>1200</v>
      </c>
      <c r="G8" s="22" t="s">
        <v>19307</v>
      </c>
      <c r="H8" s="24" t="s">
        <v>19339</v>
      </c>
      <c r="I8" s="22" t="s">
        <v>19309</v>
      </c>
      <c r="J8" s="22" t="s">
        <v>19447</v>
      </c>
      <c r="K8" s="22" t="s">
        <v>19311</v>
      </c>
      <c r="L8" s="22"/>
      <c r="M8" s="22"/>
      <c r="N8" s="25" t="str">
        <f>HYPERLINK("http://slimages.macys.com/is/image/MCY/21276290 ")</f>
        <v xml:space="preserve">http://slimages.macys.com/is/image/MCY/21276290 </v>
      </c>
    </row>
    <row r="9" spans="1:14" ht="24.75" x14ac:dyDescent="0.25">
      <c r="A9" s="21" t="s">
        <v>1201</v>
      </c>
      <c r="B9" s="22" t="s">
        <v>1202</v>
      </c>
      <c r="C9" s="2">
        <v>1</v>
      </c>
      <c r="D9" s="23">
        <v>45</v>
      </c>
      <c r="E9" s="3">
        <v>45</v>
      </c>
      <c r="F9" s="2">
        <v>312856417002</v>
      </c>
      <c r="G9" s="22" t="s">
        <v>19323</v>
      </c>
      <c r="H9" s="24" t="s">
        <v>19361</v>
      </c>
      <c r="I9" s="22" t="s">
        <v>19309</v>
      </c>
      <c r="J9" s="22" t="s">
        <v>19389</v>
      </c>
      <c r="K9" s="22" t="s">
        <v>19326</v>
      </c>
      <c r="L9" s="22"/>
      <c r="M9" s="22"/>
      <c r="N9" s="25" t="str">
        <f>HYPERLINK("http://slimages.macys.com/is/image/MCY/21169724 ")</f>
        <v xml:space="preserve">http://slimages.macys.com/is/image/MCY/21169724 </v>
      </c>
    </row>
    <row r="10" spans="1:14" ht="24.75" x14ac:dyDescent="0.25">
      <c r="A10" s="21" t="s">
        <v>1203</v>
      </c>
      <c r="B10" s="22" t="s">
        <v>1204</v>
      </c>
      <c r="C10" s="2">
        <v>1</v>
      </c>
      <c r="D10" s="23">
        <v>39.5</v>
      </c>
      <c r="E10" s="3">
        <v>39.5</v>
      </c>
      <c r="F10" s="2">
        <v>323842275002</v>
      </c>
      <c r="G10" s="22" t="s">
        <v>19333</v>
      </c>
      <c r="H10" s="24" t="s">
        <v>19308</v>
      </c>
      <c r="I10" s="22" t="s">
        <v>19309</v>
      </c>
      <c r="J10" s="22" t="s">
        <v>19335</v>
      </c>
      <c r="K10" s="22" t="s">
        <v>19326</v>
      </c>
      <c r="L10" s="22"/>
      <c r="M10" s="22"/>
      <c r="N10" s="25" t="str">
        <f>HYPERLINK("http://slimages.macys.com/is/image/MCY/19469113 ")</f>
        <v xml:space="preserve">http://slimages.macys.com/is/image/MCY/19469113 </v>
      </c>
    </row>
    <row r="11" spans="1:14" ht="24.75" x14ac:dyDescent="0.25">
      <c r="A11" s="21" t="s">
        <v>1205</v>
      </c>
      <c r="B11" s="22" t="s">
        <v>1206</v>
      </c>
      <c r="C11" s="2">
        <v>1</v>
      </c>
      <c r="D11" s="23">
        <v>45</v>
      </c>
      <c r="E11" s="3">
        <v>45</v>
      </c>
      <c r="F11" s="2">
        <v>323866776015</v>
      </c>
      <c r="G11" s="22" t="s">
        <v>19351</v>
      </c>
      <c r="H11" s="24" t="s">
        <v>19339</v>
      </c>
      <c r="I11" s="22" t="s">
        <v>19309</v>
      </c>
      <c r="J11" s="22" t="s">
        <v>19335</v>
      </c>
      <c r="K11" s="22" t="s">
        <v>19326</v>
      </c>
      <c r="L11" s="22"/>
      <c r="M11" s="22"/>
      <c r="N11" s="25" t="str">
        <f>HYPERLINK("http://slimages.macys.com/is/image/MCY/22268930 ")</f>
        <v xml:space="preserve">http://slimages.macys.com/is/image/MCY/22268930 </v>
      </c>
    </row>
    <row r="12" spans="1:14" ht="36.75" x14ac:dyDescent="0.25">
      <c r="A12" s="21" t="s">
        <v>15066</v>
      </c>
      <c r="B12" s="22" t="s">
        <v>15067</v>
      </c>
      <c r="C12" s="2">
        <v>2</v>
      </c>
      <c r="D12" s="23">
        <v>60.99</v>
      </c>
      <c r="E12" s="3">
        <v>121.98</v>
      </c>
      <c r="F12" s="2" t="s">
        <v>15064</v>
      </c>
      <c r="G12" s="22" t="s">
        <v>19404</v>
      </c>
      <c r="H12" s="24"/>
      <c r="I12" s="22" t="s">
        <v>19309</v>
      </c>
      <c r="J12" s="22" t="s">
        <v>19400</v>
      </c>
      <c r="K12" s="22" t="s">
        <v>19423</v>
      </c>
      <c r="L12" s="22" t="s">
        <v>19319</v>
      </c>
      <c r="M12" s="22" t="s">
        <v>15065</v>
      </c>
      <c r="N12" s="25" t="str">
        <f>HYPERLINK("http://slimages.macys.com/is/image/MCY/16056469 ")</f>
        <v xml:space="preserve">http://slimages.macys.com/is/image/MCY/16056469 </v>
      </c>
    </row>
    <row r="13" spans="1:14" ht="36.75" x14ac:dyDescent="0.25">
      <c r="A13" s="21" t="s">
        <v>1207</v>
      </c>
      <c r="B13" s="22" t="s">
        <v>1208</v>
      </c>
      <c r="C13" s="2">
        <v>1</v>
      </c>
      <c r="D13" s="23">
        <v>60.99</v>
      </c>
      <c r="E13" s="3">
        <v>60.99</v>
      </c>
      <c r="F13" s="2" t="s">
        <v>15064</v>
      </c>
      <c r="G13" s="22" t="s">
        <v>19404</v>
      </c>
      <c r="H13" s="24" t="s">
        <v>19501</v>
      </c>
      <c r="I13" s="22" t="s">
        <v>19309</v>
      </c>
      <c r="J13" s="22" t="s">
        <v>19400</v>
      </c>
      <c r="K13" s="22" t="s">
        <v>19423</v>
      </c>
      <c r="L13" s="22" t="s">
        <v>19319</v>
      </c>
      <c r="M13" s="22" t="s">
        <v>15065</v>
      </c>
      <c r="N13" s="25" t="str">
        <f>HYPERLINK("http://slimages.macys.com/is/image/MCY/16056469 ")</f>
        <v xml:space="preserve">http://slimages.macys.com/is/image/MCY/16056469 </v>
      </c>
    </row>
    <row r="14" spans="1:14" ht="24.75" x14ac:dyDescent="0.25">
      <c r="A14" s="21" t="s">
        <v>1209</v>
      </c>
      <c r="B14" s="22" t="s">
        <v>1210</v>
      </c>
      <c r="C14" s="2">
        <v>1</v>
      </c>
      <c r="D14" s="23">
        <v>59.99</v>
      </c>
      <c r="E14" s="3">
        <v>59.99</v>
      </c>
      <c r="F14" s="2" t="s">
        <v>1211</v>
      </c>
      <c r="G14" s="22" t="s">
        <v>19518</v>
      </c>
      <c r="H14" s="24"/>
      <c r="I14" s="22" t="s">
        <v>19309</v>
      </c>
      <c r="J14" s="22" t="s">
        <v>19400</v>
      </c>
      <c r="K14" s="22" t="s">
        <v>19423</v>
      </c>
      <c r="L14" s="22"/>
      <c r="M14" s="22"/>
      <c r="N14" s="25" t="str">
        <f>HYPERLINK("http://slimages.macys.com/is/image/MCY/21306169 ")</f>
        <v xml:space="preserve">http://slimages.macys.com/is/image/MCY/21306169 </v>
      </c>
    </row>
    <row r="15" spans="1:14" ht="24.75" x14ac:dyDescent="0.25">
      <c r="A15" s="21" t="s">
        <v>1212</v>
      </c>
      <c r="B15" s="22" t="s">
        <v>1213</v>
      </c>
      <c r="C15" s="2">
        <v>1</v>
      </c>
      <c r="D15" s="23">
        <v>49.99</v>
      </c>
      <c r="E15" s="3">
        <v>49.99</v>
      </c>
      <c r="F15" s="2" t="s">
        <v>15070</v>
      </c>
      <c r="G15" s="22" t="s">
        <v>19477</v>
      </c>
      <c r="H15" s="24" t="s">
        <v>19432</v>
      </c>
      <c r="I15" s="22" t="s">
        <v>19309</v>
      </c>
      <c r="J15" s="22" t="s">
        <v>19400</v>
      </c>
      <c r="K15" s="22" t="s">
        <v>19423</v>
      </c>
      <c r="L15" s="22"/>
      <c r="M15" s="22"/>
      <c r="N15" s="25" t="str">
        <f>HYPERLINK("http://slimages.macys.com/is/image/MCY/17836193 ")</f>
        <v xml:space="preserve">http://slimages.macys.com/is/image/MCY/17836193 </v>
      </c>
    </row>
    <row r="16" spans="1:14" ht="24.75" x14ac:dyDescent="0.25">
      <c r="A16" s="21" t="s">
        <v>10842</v>
      </c>
      <c r="B16" s="22" t="s">
        <v>10843</v>
      </c>
      <c r="C16" s="2">
        <v>1</v>
      </c>
      <c r="D16" s="23">
        <v>40.99</v>
      </c>
      <c r="E16" s="3">
        <v>40.99</v>
      </c>
      <c r="F16" s="2">
        <v>445102</v>
      </c>
      <c r="G16" s="22" t="s">
        <v>19333</v>
      </c>
      <c r="H16" s="24" t="s">
        <v>18168</v>
      </c>
      <c r="I16" s="22" t="s">
        <v>19309</v>
      </c>
      <c r="J16" s="22" t="s">
        <v>16678</v>
      </c>
      <c r="K16" s="22" t="s">
        <v>10844</v>
      </c>
      <c r="L16" s="22"/>
      <c r="M16" s="22"/>
      <c r="N16" s="25" t="str">
        <f>HYPERLINK("http://slimages.macys.com/is/image/MCY/1687779 ")</f>
        <v xml:space="preserve">http://slimages.macys.com/is/image/MCY/1687779 </v>
      </c>
    </row>
    <row r="17" spans="1:14" ht="24.75" x14ac:dyDescent="0.25">
      <c r="A17" s="21" t="s">
        <v>1214</v>
      </c>
      <c r="B17" s="22" t="s">
        <v>1215</v>
      </c>
      <c r="C17" s="2">
        <v>1</v>
      </c>
      <c r="D17" s="23">
        <v>35</v>
      </c>
      <c r="E17" s="3">
        <v>35</v>
      </c>
      <c r="F17" s="2">
        <v>321842275003</v>
      </c>
      <c r="G17" s="22" t="s">
        <v>19351</v>
      </c>
      <c r="H17" s="24" t="s">
        <v>19392</v>
      </c>
      <c r="I17" s="22" t="s">
        <v>19309</v>
      </c>
      <c r="J17" s="22" t="s">
        <v>19335</v>
      </c>
      <c r="K17" s="22" t="s">
        <v>19326</v>
      </c>
      <c r="L17" s="22"/>
      <c r="M17" s="22"/>
      <c r="N17" s="25" t="str">
        <f>HYPERLINK("http://slimages.macys.com/is/image/MCY/19469095 ")</f>
        <v xml:space="preserve">http://slimages.macys.com/is/image/MCY/19469095 </v>
      </c>
    </row>
    <row r="18" spans="1:14" ht="24.75" x14ac:dyDescent="0.25">
      <c r="A18" s="21" t="s">
        <v>1216</v>
      </c>
      <c r="B18" s="22" t="s">
        <v>1217</v>
      </c>
      <c r="C18" s="2">
        <v>1</v>
      </c>
      <c r="D18" s="23">
        <v>40</v>
      </c>
      <c r="E18" s="3">
        <v>40</v>
      </c>
      <c r="F18" s="2" t="s">
        <v>6423</v>
      </c>
      <c r="G18" s="22" t="s">
        <v>20306</v>
      </c>
      <c r="H18" s="24"/>
      <c r="I18" s="22" t="s">
        <v>19309</v>
      </c>
      <c r="J18" s="22" t="s">
        <v>15506</v>
      </c>
      <c r="K18" s="22" t="s">
        <v>11740</v>
      </c>
      <c r="L18" s="22"/>
      <c r="M18" s="22"/>
      <c r="N18" s="25" t="str">
        <f>HYPERLINK("http://slimages.macys.com/is/image/MCY/21685080 ")</f>
        <v xml:space="preserve">http://slimages.macys.com/is/image/MCY/21685080 </v>
      </c>
    </row>
    <row r="19" spans="1:14" ht="24.75" x14ac:dyDescent="0.25">
      <c r="A19" s="21" t="s">
        <v>1218</v>
      </c>
      <c r="B19" s="22" t="s">
        <v>1219</v>
      </c>
      <c r="C19" s="2">
        <v>1</v>
      </c>
      <c r="D19" s="23">
        <v>40</v>
      </c>
      <c r="E19" s="3">
        <v>40</v>
      </c>
      <c r="F19" s="2" t="s">
        <v>6423</v>
      </c>
      <c r="G19" s="22" t="s">
        <v>20306</v>
      </c>
      <c r="H19" s="24"/>
      <c r="I19" s="22" t="s">
        <v>19309</v>
      </c>
      <c r="J19" s="22" t="s">
        <v>15506</v>
      </c>
      <c r="K19" s="22" t="s">
        <v>11740</v>
      </c>
      <c r="L19" s="22"/>
      <c r="M19" s="22"/>
      <c r="N19" s="25" t="str">
        <f>HYPERLINK("http://slimages.macys.com/is/image/MCY/21685080 ")</f>
        <v xml:space="preserve">http://slimages.macys.com/is/image/MCY/21685080 </v>
      </c>
    </row>
    <row r="20" spans="1:14" ht="24.75" x14ac:dyDescent="0.25">
      <c r="A20" s="21" t="s">
        <v>1220</v>
      </c>
      <c r="B20" s="22" t="s">
        <v>1221</v>
      </c>
      <c r="C20" s="2">
        <v>1</v>
      </c>
      <c r="D20" s="23">
        <v>40</v>
      </c>
      <c r="E20" s="3">
        <v>40</v>
      </c>
      <c r="F20" s="2" t="s">
        <v>6423</v>
      </c>
      <c r="G20" s="22" t="s">
        <v>20306</v>
      </c>
      <c r="H20" s="24"/>
      <c r="I20" s="22" t="s">
        <v>19309</v>
      </c>
      <c r="J20" s="22" t="s">
        <v>15506</v>
      </c>
      <c r="K20" s="22" t="s">
        <v>11740</v>
      </c>
      <c r="L20" s="22"/>
      <c r="M20" s="22"/>
      <c r="N20" s="25" t="str">
        <f>HYPERLINK("http://slimages.macys.com/is/image/MCY/21685080 ")</f>
        <v xml:space="preserve">http://slimages.macys.com/is/image/MCY/21685080 </v>
      </c>
    </row>
    <row r="21" spans="1:14" ht="24.75" x14ac:dyDescent="0.25">
      <c r="A21" s="21" t="s">
        <v>1222</v>
      </c>
      <c r="B21" s="22" t="s">
        <v>1223</v>
      </c>
      <c r="C21" s="2">
        <v>1</v>
      </c>
      <c r="D21" s="23">
        <v>34.99</v>
      </c>
      <c r="E21" s="3">
        <v>34.99</v>
      </c>
      <c r="F21" s="2" t="s">
        <v>1224</v>
      </c>
      <c r="G21" s="22" t="s">
        <v>19315</v>
      </c>
      <c r="H21" s="24" t="s">
        <v>19352</v>
      </c>
      <c r="I21" s="22" t="s">
        <v>19309</v>
      </c>
      <c r="J21" s="22" t="s">
        <v>19508</v>
      </c>
      <c r="K21" s="22" t="s">
        <v>18039</v>
      </c>
      <c r="L21" s="22"/>
      <c r="M21" s="22"/>
      <c r="N21" s="25" t="str">
        <f>HYPERLINK("http://slimages.macys.com/is/image/MCY/21660248 ")</f>
        <v xml:space="preserve">http://slimages.macys.com/is/image/MCY/21660248 </v>
      </c>
    </row>
    <row r="22" spans="1:14" ht="24.75" x14ac:dyDescent="0.25">
      <c r="A22" s="21" t="s">
        <v>11325</v>
      </c>
      <c r="B22" s="22" t="s">
        <v>11326</v>
      </c>
      <c r="C22" s="2">
        <v>1</v>
      </c>
      <c r="D22" s="23">
        <v>44.99</v>
      </c>
      <c r="E22" s="3">
        <v>44.99</v>
      </c>
      <c r="F22" s="2" t="s">
        <v>11327</v>
      </c>
      <c r="G22" s="22" t="s">
        <v>19383</v>
      </c>
      <c r="H22" s="24" t="s">
        <v>19432</v>
      </c>
      <c r="I22" s="22" t="s">
        <v>19309</v>
      </c>
      <c r="J22" s="22" t="s">
        <v>19400</v>
      </c>
      <c r="K22" s="22" t="s">
        <v>19479</v>
      </c>
      <c r="L22" s="22"/>
      <c r="M22" s="22"/>
      <c r="N22" s="25" t="str">
        <f>HYPERLINK("http://slimages.macys.com/is/image/MCY/21068987 ")</f>
        <v xml:space="preserve">http://slimages.macys.com/is/image/MCY/21068987 </v>
      </c>
    </row>
    <row r="23" spans="1:14" ht="24.75" x14ac:dyDescent="0.25">
      <c r="A23" s="21" t="s">
        <v>1225</v>
      </c>
      <c r="B23" s="22" t="s">
        <v>1226</v>
      </c>
      <c r="C23" s="2">
        <v>1</v>
      </c>
      <c r="D23" s="23">
        <v>44.99</v>
      </c>
      <c r="E23" s="3">
        <v>44.99</v>
      </c>
      <c r="F23" s="2" t="s">
        <v>1227</v>
      </c>
      <c r="G23" s="22" t="s">
        <v>19594</v>
      </c>
      <c r="H23" s="24" t="s">
        <v>19501</v>
      </c>
      <c r="I23" s="22" t="s">
        <v>19309</v>
      </c>
      <c r="J23" s="22" t="s">
        <v>19400</v>
      </c>
      <c r="K23" s="22" t="s">
        <v>19479</v>
      </c>
      <c r="L23" s="22"/>
      <c r="M23" s="22"/>
      <c r="N23" s="25" t="str">
        <f>HYPERLINK("http://slimages.macys.com/is/image/MCY/21068987 ")</f>
        <v xml:space="preserve">http://slimages.macys.com/is/image/MCY/21068987 </v>
      </c>
    </row>
    <row r="24" spans="1:14" ht="24.75" x14ac:dyDescent="0.25">
      <c r="A24" s="21" t="s">
        <v>1228</v>
      </c>
      <c r="B24" s="22" t="s">
        <v>1229</v>
      </c>
      <c r="C24" s="2">
        <v>1</v>
      </c>
      <c r="D24" s="23">
        <v>39.99</v>
      </c>
      <c r="E24" s="3">
        <v>39.99</v>
      </c>
      <c r="F24" s="2" t="s">
        <v>10278</v>
      </c>
      <c r="G24" s="22" t="s">
        <v>19383</v>
      </c>
      <c r="H24" s="24" t="s">
        <v>19361</v>
      </c>
      <c r="I24" s="22" t="s">
        <v>19309</v>
      </c>
      <c r="J24" s="22" t="s">
        <v>19378</v>
      </c>
      <c r="K24" s="22" t="s">
        <v>19479</v>
      </c>
      <c r="L24" s="22"/>
      <c r="M24" s="22"/>
      <c r="N24" s="25" t="str">
        <f>HYPERLINK("http://slimages.macys.com/is/image/MCY/21082140 ")</f>
        <v xml:space="preserve">http://slimages.macys.com/is/image/MCY/21082140 </v>
      </c>
    </row>
    <row r="25" spans="1:14" x14ac:dyDescent="0.25">
      <c r="A25" s="21" t="s">
        <v>2275</v>
      </c>
      <c r="B25" s="22" t="s">
        <v>2276</v>
      </c>
      <c r="C25" s="2">
        <v>1</v>
      </c>
      <c r="D25" s="23">
        <v>29</v>
      </c>
      <c r="E25" s="3">
        <v>29</v>
      </c>
      <c r="F25" s="2" t="s">
        <v>6462</v>
      </c>
      <c r="G25" s="22" t="s">
        <v>19801</v>
      </c>
      <c r="H25" s="24" t="s">
        <v>19339</v>
      </c>
      <c r="I25" s="22" t="s">
        <v>19309</v>
      </c>
      <c r="J25" s="22" t="s">
        <v>19310</v>
      </c>
      <c r="K25" s="22" t="s">
        <v>19311</v>
      </c>
      <c r="L25" s="22"/>
      <c r="M25" s="22"/>
      <c r="N25" s="25" t="str">
        <f>HYPERLINK("http://slimages.macys.com/is/image/MCY/18249513 ")</f>
        <v xml:space="preserve">http://slimages.macys.com/is/image/MCY/18249513 </v>
      </c>
    </row>
    <row r="26" spans="1:14" ht="24.75" x14ac:dyDescent="0.25">
      <c r="A26" s="21" t="s">
        <v>1230</v>
      </c>
      <c r="B26" s="22" t="s">
        <v>1231</v>
      </c>
      <c r="C26" s="2">
        <v>1</v>
      </c>
      <c r="D26" s="23">
        <v>30.99</v>
      </c>
      <c r="E26" s="3">
        <v>30.99</v>
      </c>
      <c r="F26" s="2" t="s">
        <v>9398</v>
      </c>
      <c r="G26" s="22" t="s">
        <v>19315</v>
      </c>
      <c r="H26" s="24" t="s">
        <v>19364</v>
      </c>
      <c r="I26" s="22" t="s">
        <v>19309</v>
      </c>
      <c r="J26" s="22" t="s">
        <v>19447</v>
      </c>
      <c r="K26" s="22" t="s">
        <v>19533</v>
      </c>
      <c r="L26" s="22"/>
      <c r="M26" s="22"/>
      <c r="N26" s="25" t="str">
        <f>HYPERLINK("http://slimages.macys.com/is/image/MCY/20783926 ")</f>
        <v xml:space="preserve">http://slimages.macys.com/is/image/MCY/20783926 </v>
      </c>
    </row>
    <row r="27" spans="1:14" ht="24.75" x14ac:dyDescent="0.25">
      <c r="A27" s="21" t="s">
        <v>15107</v>
      </c>
      <c r="B27" s="22" t="s">
        <v>15108</v>
      </c>
      <c r="C27" s="2">
        <v>1</v>
      </c>
      <c r="D27" s="23">
        <v>30.99</v>
      </c>
      <c r="E27" s="3">
        <v>30.99</v>
      </c>
      <c r="F27" s="2" t="s">
        <v>15560</v>
      </c>
      <c r="G27" s="22" t="s">
        <v>19315</v>
      </c>
      <c r="H27" s="24" t="s">
        <v>19364</v>
      </c>
      <c r="I27" s="22" t="s">
        <v>19309</v>
      </c>
      <c r="J27" s="22" t="s">
        <v>19447</v>
      </c>
      <c r="K27" s="22" t="s">
        <v>19533</v>
      </c>
      <c r="L27" s="22"/>
      <c r="M27" s="22"/>
      <c r="N27" s="25" t="str">
        <f>HYPERLINK("http://slimages.macys.com/is/image/MCY/20930974 ")</f>
        <v xml:space="preserve">http://slimages.macys.com/is/image/MCY/20930974 </v>
      </c>
    </row>
    <row r="28" spans="1:14" ht="24.75" x14ac:dyDescent="0.25">
      <c r="A28" s="21" t="s">
        <v>1232</v>
      </c>
      <c r="B28" s="22" t="s">
        <v>1233</v>
      </c>
      <c r="C28" s="2">
        <v>1</v>
      </c>
      <c r="D28" s="23">
        <v>46</v>
      </c>
      <c r="E28" s="3">
        <v>46</v>
      </c>
      <c r="F28" s="2" t="s">
        <v>1234</v>
      </c>
      <c r="G28" s="22" t="s">
        <v>19315</v>
      </c>
      <c r="H28" s="24" t="s">
        <v>19334</v>
      </c>
      <c r="I28" s="22" t="s">
        <v>19309</v>
      </c>
      <c r="J28" s="22" t="s">
        <v>19310</v>
      </c>
      <c r="K28" s="22" t="s">
        <v>15570</v>
      </c>
      <c r="L28" s="22"/>
      <c r="M28" s="22"/>
      <c r="N28" s="25" t="str">
        <f>HYPERLINK("http://slimages.macys.com/is/image/MCY/19684849 ")</f>
        <v xml:space="preserve">http://slimages.macys.com/is/image/MCY/19684849 </v>
      </c>
    </row>
    <row r="29" spans="1:14" ht="24.75" x14ac:dyDescent="0.25">
      <c r="A29" s="21" t="s">
        <v>7296</v>
      </c>
      <c r="B29" s="22" t="s">
        <v>7297</v>
      </c>
      <c r="C29" s="2">
        <v>1</v>
      </c>
      <c r="D29" s="23">
        <v>41.99</v>
      </c>
      <c r="E29" s="3">
        <v>41.99</v>
      </c>
      <c r="F29" s="2" t="s">
        <v>19426</v>
      </c>
      <c r="G29" s="22" t="s">
        <v>19427</v>
      </c>
      <c r="H29" s="24"/>
      <c r="I29" s="22" t="s">
        <v>19309</v>
      </c>
      <c r="J29" s="22" t="s">
        <v>19400</v>
      </c>
      <c r="K29" s="22" t="s">
        <v>19423</v>
      </c>
      <c r="L29" s="22"/>
      <c r="M29" s="22"/>
      <c r="N29" s="25" t="str">
        <f>HYPERLINK("http://slimages.macys.com/is/image/MCY/21621729 ")</f>
        <v xml:space="preserve">http://slimages.macys.com/is/image/MCY/21621729 </v>
      </c>
    </row>
    <row r="30" spans="1:14" ht="24.75" x14ac:dyDescent="0.25">
      <c r="A30" s="21" t="s">
        <v>1235</v>
      </c>
      <c r="B30" s="22" t="s">
        <v>1236</v>
      </c>
      <c r="C30" s="2">
        <v>1</v>
      </c>
      <c r="D30" s="23">
        <v>49.5</v>
      </c>
      <c r="E30" s="3">
        <v>49.5</v>
      </c>
      <c r="F30" s="2" t="s">
        <v>1237</v>
      </c>
      <c r="G30" s="22" t="s">
        <v>17567</v>
      </c>
      <c r="H30" s="24" t="s">
        <v>15738</v>
      </c>
      <c r="I30" s="22" t="s">
        <v>19309</v>
      </c>
      <c r="J30" s="22" t="s">
        <v>15149</v>
      </c>
      <c r="K30" s="22" t="s">
        <v>19546</v>
      </c>
      <c r="L30" s="22"/>
      <c r="M30" s="22"/>
      <c r="N30" s="25" t="str">
        <f>HYPERLINK("http://slimages.macys.com/is/image/MCY/21939573 ")</f>
        <v xml:space="preserve">http://slimages.macys.com/is/image/MCY/21939573 </v>
      </c>
    </row>
    <row r="31" spans="1:14" ht="24.75" x14ac:dyDescent="0.25">
      <c r="A31" s="21" t="s">
        <v>1238</v>
      </c>
      <c r="B31" s="22" t="s">
        <v>1239</v>
      </c>
      <c r="C31" s="2">
        <v>1</v>
      </c>
      <c r="D31" s="23">
        <v>49.5</v>
      </c>
      <c r="E31" s="3">
        <v>49.5</v>
      </c>
      <c r="F31" s="2" t="s">
        <v>1240</v>
      </c>
      <c r="G31" s="22" t="s">
        <v>19404</v>
      </c>
      <c r="H31" s="24" t="s">
        <v>19997</v>
      </c>
      <c r="I31" s="22" t="s">
        <v>19309</v>
      </c>
      <c r="J31" s="22" t="s">
        <v>15149</v>
      </c>
      <c r="K31" s="22" t="s">
        <v>19546</v>
      </c>
      <c r="L31" s="22"/>
      <c r="M31" s="22"/>
      <c r="N31" s="25" t="str">
        <f>HYPERLINK("http://slimages.macys.com/is/image/MCY/21907540 ")</f>
        <v xml:space="preserve">http://slimages.macys.com/is/image/MCY/21907540 </v>
      </c>
    </row>
    <row r="32" spans="1:14" ht="24.75" x14ac:dyDescent="0.25">
      <c r="A32" s="21" t="s">
        <v>1241</v>
      </c>
      <c r="B32" s="22" t="s">
        <v>1242</v>
      </c>
      <c r="C32" s="2">
        <v>4</v>
      </c>
      <c r="D32" s="23">
        <v>34.99</v>
      </c>
      <c r="E32" s="3">
        <v>139.96</v>
      </c>
      <c r="F32" s="2" t="s">
        <v>19476</v>
      </c>
      <c r="G32" s="22" t="s">
        <v>19477</v>
      </c>
      <c r="H32" s="24" t="s">
        <v>19501</v>
      </c>
      <c r="I32" s="22" t="s">
        <v>19309</v>
      </c>
      <c r="J32" s="22" t="s">
        <v>19400</v>
      </c>
      <c r="K32" s="22" t="s">
        <v>19479</v>
      </c>
      <c r="L32" s="22"/>
      <c r="M32" s="22"/>
      <c r="N32" s="25" t="str">
        <f>HYPERLINK("http://slimages.macys.com/is/image/MCY/21068975 ")</f>
        <v xml:space="preserve">http://slimages.macys.com/is/image/MCY/21068975 </v>
      </c>
    </row>
    <row r="33" spans="1:14" ht="24.75" x14ac:dyDescent="0.25">
      <c r="A33" s="21" t="s">
        <v>1243</v>
      </c>
      <c r="B33" s="22" t="s">
        <v>1244</v>
      </c>
      <c r="C33" s="2">
        <v>1</v>
      </c>
      <c r="D33" s="23">
        <v>34.99</v>
      </c>
      <c r="E33" s="3">
        <v>34.99</v>
      </c>
      <c r="F33" s="2" t="s">
        <v>19476</v>
      </c>
      <c r="G33" s="22" t="s">
        <v>19477</v>
      </c>
      <c r="H33" s="24" t="s">
        <v>19399</v>
      </c>
      <c r="I33" s="22" t="s">
        <v>19309</v>
      </c>
      <c r="J33" s="22" t="s">
        <v>19400</v>
      </c>
      <c r="K33" s="22" t="s">
        <v>19479</v>
      </c>
      <c r="L33" s="22"/>
      <c r="M33" s="22"/>
      <c r="N33" s="25" t="str">
        <f>HYPERLINK("http://slimages.macys.com/is/image/MCY/21068975 ")</f>
        <v xml:space="preserve">http://slimages.macys.com/is/image/MCY/21068975 </v>
      </c>
    </row>
    <row r="34" spans="1:14" ht="24.75" x14ac:dyDescent="0.25">
      <c r="A34" s="21" t="s">
        <v>1245</v>
      </c>
      <c r="B34" s="22" t="s">
        <v>1246</v>
      </c>
      <c r="C34" s="2">
        <v>1</v>
      </c>
      <c r="D34" s="23">
        <v>34.99</v>
      </c>
      <c r="E34" s="3">
        <v>34.99</v>
      </c>
      <c r="F34" s="2" t="s">
        <v>19476</v>
      </c>
      <c r="G34" s="22" t="s">
        <v>19477</v>
      </c>
      <c r="H34" s="24"/>
      <c r="I34" s="22" t="s">
        <v>19309</v>
      </c>
      <c r="J34" s="22" t="s">
        <v>19400</v>
      </c>
      <c r="K34" s="22" t="s">
        <v>19479</v>
      </c>
      <c r="L34" s="22"/>
      <c r="M34" s="22"/>
      <c r="N34" s="25" t="str">
        <f>HYPERLINK("http://slimages.macys.com/is/image/MCY/21068975 ")</f>
        <v xml:space="preserve">http://slimages.macys.com/is/image/MCY/21068975 </v>
      </c>
    </row>
    <row r="35" spans="1:14" x14ac:dyDescent="0.25">
      <c r="A35" s="21" t="s">
        <v>1247</v>
      </c>
      <c r="B35" s="22" t="s">
        <v>1248</v>
      </c>
      <c r="C35" s="2">
        <v>1</v>
      </c>
      <c r="D35" s="23">
        <v>27.27</v>
      </c>
      <c r="E35" s="3">
        <v>27.27</v>
      </c>
      <c r="F35" s="2" t="s">
        <v>1249</v>
      </c>
      <c r="G35" s="22" t="s">
        <v>19431</v>
      </c>
      <c r="H35" s="24" t="s">
        <v>19345</v>
      </c>
      <c r="I35" s="22" t="s">
        <v>19309</v>
      </c>
      <c r="J35" s="22" t="s">
        <v>19514</v>
      </c>
      <c r="K35" s="22" t="s">
        <v>19406</v>
      </c>
      <c r="L35" s="22"/>
      <c r="M35" s="22"/>
      <c r="N35" s="25" t="str">
        <f>HYPERLINK("http://slimages.macys.com/is/image/MCY/21443451 ")</f>
        <v xml:space="preserve">http://slimages.macys.com/is/image/MCY/21443451 </v>
      </c>
    </row>
    <row r="36" spans="1:14" ht="24.75" x14ac:dyDescent="0.25">
      <c r="A36" s="21" t="s">
        <v>6493</v>
      </c>
      <c r="B36" s="22" t="s">
        <v>6494</v>
      </c>
      <c r="C36" s="2">
        <v>1</v>
      </c>
      <c r="D36" s="23">
        <v>26.99</v>
      </c>
      <c r="E36" s="3">
        <v>26.99</v>
      </c>
      <c r="F36" s="2" t="s">
        <v>6495</v>
      </c>
      <c r="G36" s="22" t="s">
        <v>19351</v>
      </c>
      <c r="H36" s="24" t="s">
        <v>19364</v>
      </c>
      <c r="I36" s="22" t="s">
        <v>19309</v>
      </c>
      <c r="J36" s="22" t="s">
        <v>19447</v>
      </c>
      <c r="K36" s="22" t="s">
        <v>19533</v>
      </c>
      <c r="L36" s="22"/>
      <c r="M36" s="22"/>
      <c r="N36" s="25" t="str">
        <f>HYPERLINK("http://slimages.macys.com/is/image/MCY/21150478 ")</f>
        <v xml:space="preserve">http://slimages.macys.com/is/image/MCY/21150478 </v>
      </c>
    </row>
    <row r="37" spans="1:14" ht="24.75" x14ac:dyDescent="0.25">
      <c r="A37" s="21" t="s">
        <v>1250</v>
      </c>
      <c r="B37" s="22" t="s">
        <v>1251</v>
      </c>
      <c r="C37" s="2">
        <v>1</v>
      </c>
      <c r="D37" s="23">
        <v>26.99</v>
      </c>
      <c r="E37" s="3">
        <v>26.99</v>
      </c>
      <c r="F37" s="2" t="s">
        <v>15145</v>
      </c>
      <c r="G37" s="22" t="s">
        <v>19333</v>
      </c>
      <c r="H37" s="24" t="s">
        <v>19797</v>
      </c>
      <c r="I37" s="22" t="s">
        <v>19309</v>
      </c>
      <c r="J37" s="22" t="s">
        <v>19447</v>
      </c>
      <c r="K37" s="22" t="s">
        <v>19533</v>
      </c>
      <c r="L37" s="22"/>
      <c r="M37" s="22"/>
      <c r="N37" s="25" t="str">
        <f>HYPERLINK("http://slimages.macys.com/is/image/MCY/20783915 ")</f>
        <v xml:space="preserve">http://slimages.macys.com/is/image/MCY/20783915 </v>
      </c>
    </row>
    <row r="38" spans="1:14" ht="24.75" x14ac:dyDescent="0.25">
      <c r="A38" s="21" t="s">
        <v>1252</v>
      </c>
      <c r="B38" s="22" t="s">
        <v>1253</v>
      </c>
      <c r="C38" s="2">
        <v>1</v>
      </c>
      <c r="D38" s="23">
        <v>25</v>
      </c>
      <c r="E38" s="3">
        <v>25</v>
      </c>
      <c r="F38" s="2" t="s">
        <v>1254</v>
      </c>
      <c r="G38" s="22" t="s">
        <v>19351</v>
      </c>
      <c r="H38" s="24"/>
      <c r="I38" s="22" t="s">
        <v>19309</v>
      </c>
      <c r="J38" s="22" t="s">
        <v>19565</v>
      </c>
      <c r="K38" s="22" t="s">
        <v>19566</v>
      </c>
      <c r="L38" s="22"/>
      <c r="M38" s="22"/>
      <c r="N38" s="25" t="str">
        <f>HYPERLINK("http://slimages.macys.com/is/image/MCY/21294546 ")</f>
        <v xml:space="preserve">http://slimages.macys.com/is/image/MCY/21294546 </v>
      </c>
    </row>
    <row r="39" spans="1:14" x14ac:dyDescent="0.25">
      <c r="A39" s="21" t="s">
        <v>1255</v>
      </c>
      <c r="B39" s="22" t="s">
        <v>1256</v>
      </c>
      <c r="C39" s="2">
        <v>1</v>
      </c>
      <c r="D39" s="23">
        <v>32</v>
      </c>
      <c r="E39" s="3">
        <v>32</v>
      </c>
      <c r="F39" s="2" t="s">
        <v>1257</v>
      </c>
      <c r="G39" s="22" t="s">
        <v>19794</v>
      </c>
      <c r="H39" s="24" t="s">
        <v>19542</v>
      </c>
      <c r="I39" s="22" t="s">
        <v>19309</v>
      </c>
      <c r="J39" s="22" t="s">
        <v>19559</v>
      </c>
      <c r="K39" s="22" t="s">
        <v>12872</v>
      </c>
      <c r="L39" s="22"/>
      <c r="M39" s="22"/>
      <c r="N39" s="25" t="str">
        <f>HYPERLINK("http://slimages.macys.com/is/image/MCY/21467314 ")</f>
        <v xml:space="preserve">http://slimages.macys.com/is/image/MCY/21467314 </v>
      </c>
    </row>
    <row r="40" spans="1:14" ht="24.75" x14ac:dyDescent="0.25">
      <c r="A40" s="21" t="s">
        <v>1258</v>
      </c>
      <c r="B40" s="22" t="s">
        <v>1259</v>
      </c>
      <c r="C40" s="2">
        <v>1</v>
      </c>
      <c r="D40" s="23">
        <v>25</v>
      </c>
      <c r="E40" s="3">
        <v>25</v>
      </c>
      <c r="F40" s="2" t="s">
        <v>1260</v>
      </c>
      <c r="G40" s="22" t="s">
        <v>19333</v>
      </c>
      <c r="H40" s="24" t="s">
        <v>1261</v>
      </c>
      <c r="I40" s="22" t="s">
        <v>19309</v>
      </c>
      <c r="J40" s="22" t="s">
        <v>15506</v>
      </c>
      <c r="K40" s="22" t="s">
        <v>4049</v>
      </c>
      <c r="L40" s="22"/>
      <c r="M40" s="22"/>
      <c r="N40" s="25" t="str">
        <f>HYPERLINK("http://slimages.macys.com/is/image/MCY/21398245 ")</f>
        <v xml:space="preserve">http://slimages.macys.com/is/image/MCY/21398245 </v>
      </c>
    </row>
    <row r="41" spans="1:14" ht="24.75" x14ac:dyDescent="0.25">
      <c r="A41" s="21" t="s">
        <v>1262</v>
      </c>
      <c r="B41" s="22" t="s">
        <v>1263</v>
      </c>
      <c r="C41" s="2">
        <v>1</v>
      </c>
      <c r="D41" s="23">
        <v>25</v>
      </c>
      <c r="E41" s="3">
        <v>25</v>
      </c>
      <c r="F41" s="2" t="s">
        <v>1264</v>
      </c>
      <c r="G41" s="22" t="s">
        <v>19618</v>
      </c>
      <c r="H41" s="24"/>
      <c r="I41" s="22" t="s">
        <v>19309</v>
      </c>
      <c r="J41" s="22" t="s">
        <v>15506</v>
      </c>
      <c r="K41" s="22" t="s">
        <v>4049</v>
      </c>
      <c r="L41" s="22"/>
      <c r="M41" s="22"/>
      <c r="N41" s="25" t="str">
        <f>HYPERLINK("http://slimages.macys.com/is/image/MCY/21685100 ")</f>
        <v xml:space="preserve">http://slimages.macys.com/is/image/MCY/21685100 </v>
      </c>
    </row>
    <row r="42" spans="1:14" ht="24.75" x14ac:dyDescent="0.25">
      <c r="A42" s="21" t="s">
        <v>1265</v>
      </c>
      <c r="B42" s="22" t="s">
        <v>1266</v>
      </c>
      <c r="C42" s="2">
        <v>1</v>
      </c>
      <c r="D42" s="23">
        <v>25</v>
      </c>
      <c r="E42" s="3">
        <v>25</v>
      </c>
      <c r="F42" s="2" t="s">
        <v>1264</v>
      </c>
      <c r="G42" s="22" t="s">
        <v>19618</v>
      </c>
      <c r="H42" s="24"/>
      <c r="I42" s="22" t="s">
        <v>19309</v>
      </c>
      <c r="J42" s="22" t="s">
        <v>15506</v>
      </c>
      <c r="K42" s="22" t="s">
        <v>4049</v>
      </c>
      <c r="L42" s="22"/>
      <c r="M42" s="22"/>
      <c r="N42" s="25" t="str">
        <f>HYPERLINK("http://slimages.macys.com/is/image/MCY/21685100 ")</f>
        <v xml:space="preserve">http://slimages.macys.com/is/image/MCY/21685100 </v>
      </c>
    </row>
    <row r="43" spans="1:14" ht="24.75" x14ac:dyDescent="0.25">
      <c r="A43" s="21" t="s">
        <v>1267</v>
      </c>
      <c r="B43" s="22" t="s">
        <v>1268</v>
      </c>
      <c r="C43" s="2">
        <v>1</v>
      </c>
      <c r="D43" s="23">
        <v>49.5</v>
      </c>
      <c r="E43" s="3">
        <v>49.5</v>
      </c>
      <c r="F43" s="2" t="s">
        <v>1269</v>
      </c>
      <c r="G43" s="22" t="s">
        <v>19315</v>
      </c>
      <c r="H43" s="24"/>
      <c r="I43" s="22" t="s">
        <v>19309</v>
      </c>
      <c r="J43" s="22" t="s">
        <v>19613</v>
      </c>
      <c r="K43" s="22" t="s">
        <v>19614</v>
      </c>
      <c r="L43" s="22"/>
      <c r="M43" s="22"/>
      <c r="N43" s="25" t="str">
        <f>HYPERLINK("http://slimages.macys.com/is/image/MCY/20041492 ")</f>
        <v xml:space="preserve">http://slimages.macys.com/is/image/MCY/20041492 </v>
      </c>
    </row>
    <row r="44" spans="1:14" ht="24.75" x14ac:dyDescent="0.25">
      <c r="A44" s="21" t="s">
        <v>1270</v>
      </c>
      <c r="B44" s="22" t="s">
        <v>1271</v>
      </c>
      <c r="C44" s="2">
        <v>1</v>
      </c>
      <c r="D44" s="23">
        <v>34.99</v>
      </c>
      <c r="E44" s="3">
        <v>34.99</v>
      </c>
      <c r="F44" s="2" t="s">
        <v>4164</v>
      </c>
      <c r="G44" s="22" t="s">
        <v>19323</v>
      </c>
      <c r="H44" s="24" t="s">
        <v>19316</v>
      </c>
      <c r="I44" s="22" t="s">
        <v>19309</v>
      </c>
      <c r="J44" s="22" t="s">
        <v>19400</v>
      </c>
      <c r="K44" s="22" t="s">
        <v>19479</v>
      </c>
      <c r="L44" s="22"/>
      <c r="M44" s="22"/>
      <c r="N44" s="25" t="str">
        <f>HYPERLINK("http://slimages.macys.com/is/image/MCY/21068983 ")</f>
        <v xml:space="preserve">http://slimages.macys.com/is/image/MCY/21068983 </v>
      </c>
    </row>
    <row r="45" spans="1:14" ht="24.75" x14ac:dyDescent="0.25">
      <c r="A45" s="21" t="s">
        <v>1272</v>
      </c>
      <c r="B45" s="22" t="s">
        <v>1273</v>
      </c>
      <c r="C45" s="2">
        <v>1</v>
      </c>
      <c r="D45" s="23">
        <v>34.99</v>
      </c>
      <c r="E45" s="3">
        <v>34.99</v>
      </c>
      <c r="F45" s="2" t="s">
        <v>4164</v>
      </c>
      <c r="G45" s="22" t="s">
        <v>19323</v>
      </c>
      <c r="H45" s="24" t="s">
        <v>19501</v>
      </c>
      <c r="I45" s="22" t="s">
        <v>19309</v>
      </c>
      <c r="J45" s="22" t="s">
        <v>19400</v>
      </c>
      <c r="K45" s="22" t="s">
        <v>19479</v>
      </c>
      <c r="L45" s="22"/>
      <c r="M45" s="22"/>
      <c r="N45" s="25" t="str">
        <f>HYPERLINK("http://slimages.macys.com/is/image/MCY/21068983 ")</f>
        <v xml:space="preserve">http://slimages.macys.com/is/image/MCY/21068983 </v>
      </c>
    </row>
    <row r="46" spans="1:14" ht="24.75" x14ac:dyDescent="0.25">
      <c r="A46" s="21" t="s">
        <v>1274</v>
      </c>
      <c r="B46" s="22" t="s">
        <v>1275</v>
      </c>
      <c r="C46" s="2">
        <v>1</v>
      </c>
      <c r="D46" s="23">
        <v>34.99</v>
      </c>
      <c r="E46" s="3">
        <v>34.99</v>
      </c>
      <c r="F46" s="2" t="s">
        <v>1276</v>
      </c>
      <c r="G46" s="22" t="s">
        <v>19323</v>
      </c>
      <c r="H46" s="24" t="s">
        <v>19399</v>
      </c>
      <c r="I46" s="22" t="s">
        <v>19309</v>
      </c>
      <c r="J46" s="22" t="s">
        <v>19400</v>
      </c>
      <c r="K46" s="22" t="s">
        <v>19479</v>
      </c>
      <c r="L46" s="22"/>
      <c r="M46" s="22"/>
      <c r="N46" s="25" t="str">
        <f>HYPERLINK("http://slimages.macys.com/is/image/MCY/21068979 ")</f>
        <v xml:space="preserve">http://slimages.macys.com/is/image/MCY/21068979 </v>
      </c>
    </row>
    <row r="47" spans="1:14" ht="24.75" x14ac:dyDescent="0.25">
      <c r="A47" s="21" t="s">
        <v>17732</v>
      </c>
      <c r="B47" s="22" t="s">
        <v>17733</v>
      </c>
      <c r="C47" s="2">
        <v>1</v>
      </c>
      <c r="D47" s="23">
        <v>22.99</v>
      </c>
      <c r="E47" s="3">
        <v>22.99</v>
      </c>
      <c r="F47" s="2" t="s">
        <v>17734</v>
      </c>
      <c r="G47" s="22" t="s">
        <v>19674</v>
      </c>
      <c r="H47" s="24" t="s">
        <v>19395</v>
      </c>
      <c r="I47" s="22" t="s">
        <v>19309</v>
      </c>
      <c r="J47" s="22" t="s">
        <v>19447</v>
      </c>
      <c r="K47" s="22" t="s">
        <v>19463</v>
      </c>
      <c r="L47" s="22"/>
      <c r="M47" s="22"/>
      <c r="N47" s="25" t="str">
        <f>HYPERLINK("http://slimages.macys.com/is/image/MCY/19696110 ")</f>
        <v xml:space="preserve">http://slimages.macys.com/is/image/MCY/19696110 </v>
      </c>
    </row>
    <row r="48" spans="1:14" ht="36.75" x14ac:dyDescent="0.25">
      <c r="A48" s="21" t="s">
        <v>1799</v>
      </c>
      <c r="B48" s="22" t="s">
        <v>1800</v>
      </c>
      <c r="C48" s="2">
        <v>2</v>
      </c>
      <c r="D48" s="23">
        <v>22.99</v>
      </c>
      <c r="E48" s="3">
        <v>45.98</v>
      </c>
      <c r="F48" s="2" t="s">
        <v>17734</v>
      </c>
      <c r="G48" s="22" t="s">
        <v>19674</v>
      </c>
      <c r="H48" s="24" t="s">
        <v>19377</v>
      </c>
      <c r="I48" s="22" t="s">
        <v>19309</v>
      </c>
      <c r="J48" s="22" t="s">
        <v>19447</v>
      </c>
      <c r="K48" s="22" t="s">
        <v>19463</v>
      </c>
      <c r="L48" s="22" t="s">
        <v>19434</v>
      </c>
      <c r="M48" s="22" t="s">
        <v>1801</v>
      </c>
      <c r="N48" s="25" t="str">
        <f>HYPERLINK("http://images.bloomingdales.com/is/image/BLM/11538517 ")</f>
        <v xml:space="preserve">http://images.bloomingdales.com/is/image/BLM/11538517 </v>
      </c>
    </row>
    <row r="49" spans="1:14" ht="24.75" x14ac:dyDescent="0.25">
      <c r="A49" s="21" t="s">
        <v>1277</v>
      </c>
      <c r="B49" s="22" t="s">
        <v>1278</v>
      </c>
      <c r="C49" s="2">
        <v>1</v>
      </c>
      <c r="D49" s="23">
        <v>32.99</v>
      </c>
      <c r="E49" s="3">
        <v>32.99</v>
      </c>
      <c r="F49" s="2" t="s">
        <v>17731</v>
      </c>
      <c r="G49" s="22"/>
      <c r="H49" s="24" t="s">
        <v>19339</v>
      </c>
      <c r="I49" s="22" t="s">
        <v>19309</v>
      </c>
      <c r="J49" s="22" t="s">
        <v>19595</v>
      </c>
      <c r="K49" s="22" t="s">
        <v>19423</v>
      </c>
      <c r="L49" s="22"/>
      <c r="M49" s="22"/>
      <c r="N49" s="25" t="str">
        <f>HYPERLINK("http://slimages.macys.com/is/image/MCY/21550586 ")</f>
        <v xml:space="preserve">http://slimages.macys.com/is/image/MCY/21550586 </v>
      </c>
    </row>
    <row r="50" spans="1:14" ht="24.75" x14ac:dyDescent="0.25">
      <c r="A50" s="21" t="s">
        <v>1279</v>
      </c>
      <c r="B50" s="22" t="s">
        <v>1280</v>
      </c>
      <c r="C50" s="2">
        <v>1</v>
      </c>
      <c r="D50" s="23">
        <v>29.99</v>
      </c>
      <c r="E50" s="3">
        <v>29.99</v>
      </c>
      <c r="F50" s="2" t="s">
        <v>1281</v>
      </c>
      <c r="G50" s="22" t="s">
        <v>19333</v>
      </c>
      <c r="H50" s="24" t="s">
        <v>19334</v>
      </c>
      <c r="I50" s="22" t="s">
        <v>19309</v>
      </c>
      <c r="J50" s="22" t="s">
        <v>19378</v>
      </c>
      <c r="K50" s="22" t="s">
        <v>19479</v>
      </c>
      <c r="L50" s="22"/>
      <c r="M50" s="22"/>
      <c r="N50" s="25" t="str">
        <f>HYPERLINK("http://slimages.macys.com/is/image/MCY/21688664 ")</f>
        <v xml:space="preserve">http://slimages.macys.com/is/image/MCY/21688664 </v>
      </c>
    </row>
    <row r="51" spans="1:14" x14ac:dyDescent="0.25">
      <c r="A51" s="21" t="s">
        <v>1282</v>
      </c>
      <c r="B51" s="22" t="s">
        <v>1283</v>
      </c>
      <c r="C51" s="2">
        <v>1</v>
      </c>
      <c r="D51" s="23">
        <v>23.22</v>
      </c>
      <c r="E51" s="3">
        <v>23.22</v>
      </c>
      <c r="F51" s="2" t="s">
        <v>11444</v>
      </c>
      <c r="G51" s="22" t="s">
        <v>19342</v>
      </c>
      <c r="H51" s="24" t="s">
        <v>19392</v>
      </c>
      <c r="I51" s="22" t="s">
        <v>19309</v>
      </c>
      <c r="J51" s="22" t="s">
        <v>19514</v>
      </c>
      <c r="K51" s="22" t="s">
        <v>19546</v>
      </c>
      <c r="L51" s="22"/>
      <c r="M51" s="22"/>
      <c r="N51" s="25" t="str">
        <f>HYPERLINK("http://slimages.macys.com/is/image/MCY/21642628 ")</f>
        <v xml:space="preserve">http://slimages.macys.com/is/image/MCY/21642628 </v>
      </c>
    </row>
    <row r="52" spans="1:14" x14ac:dyDescent="0.25">
      <c r="A52" s="21" t="s">
        <v>1284</v>
      </c>
      <c r="B52" s="22" t="s">
        <v>1285</v>
      </c>
      <c r="C52" s="2">
        <v>1</v>
      </c>
      <c r="D52" s="23">
        <v>23.22</v>
      </c>
      <c r="E52" s="3">
        <v>23.22</v>
      </c>
      <c r="F52" s="2" t="s">
        <v>1286</v>
      </c>
      <c r="G52" s="22" t="s">
        <v>19342</v>
      </c>
      <c r="H52" s="24" t="s">
        <v>19542</v>
      </c>
      <c r="I52" s="22" t="s">
        <v>19309</v>
      </c>
      <c r="J52" s="22" t="s">
        <v>19514</v>
      </c>
      <c r="K52" s="22" t="s">
        <v>19546</v>
      </c>
      <c r="L52" s="22"/>
      <c r="M52" s="22"/>
      <c r="N52" s="25" t="str">
        <f>HYPERLINK("http://slimages.macys.com/is/image/MCY/21642629 ")</f>
        <v xml:space="preserve">http://slimages.macys.com/is/image/MCY/21642629 </v>
      </c>
    </row>
    <row r="53" spans="1:14" ht="24.75" x14ac:dyDescent="0.25">
      <c r="A53" s="21" t="s">
        <v>1287</v>
      </c>
      <c r="B53" s="22" t="s">
        <v>1288</v>
      </c>
      <c r="C53" s="2">
        <v>1</v>
      </c>
      <c r="D53" s="23">
        <v>28.99</v>
      </c>
      <c r="E53" s="3">
        <v>28.99</v>
      </c>
      <c r="F53" s="2" t="s">
        <v>17749</v>
      </c>
      <c r="G53" s="22" t="s">
        <v>19351</v>
      </c>
      <c r="H53" s="24" t="s">
        <v>19478</v>
      </c>
      <c r="I53" s="22" t="s">
        <v>19309</v>
      </c>
      <c r="J53" s="22" t="s">
        <v>19353</v>
      </c>
      <c r="K53" s="22" t="s">
        <v>19524</v>
      </c>
      <c r="L53" s="22"/>
      <c r="M53" s="22"/>
      <c r="N53" s="25" t="str">
        <f>HYPERLINK("http://slimages.macys.com/is/image/MCY/1472588 ")</f>
        <v xml:space="preserve">http://slimages.macys.com/is/image/MCY/1472588 </v>
      </c>
    </row>
    <row r="54" spans="1:14" ht="24.75" x14ac:dyDescent="0.25">
      <c r="A54" s="21" t="s">
        <v>1289</v>
      </c>
      <c r="B54" s="22" t="s">
        <v>1290</v>
      </c>
      <c r="C54" s="2">
        <v>1</v>
      </c>
      <c r="D54" s="23">
        <v>22.5</v>
      </c>
      <c r="E54" s="3">
        <v>22.5</v>
      </c>
      <c r="F54" s="2">
        <v>322832904067</v>
      </c>
      <c r="G54" s="22" t="s">
        <v>19333</v>
      </c>
      <c r="H54" s="24" t="s">
        <v>19542</v>
      </c>
      <c r="I54" s="22" t="s">
        <v>19309</v>
      </c>
      <c r="J54" s="22" t="s">
        <v>19335</v>
      </c>
      <c r="K54" s="22" t="s">
        <v>19326</v>
      </c>
      <c r="L54" s="22"/>
      <c r="M54" s="22"/>
      <c r="N54" s="25" t="str">
        <f>HYPERLINK("http://slimages.macys.com/is/image/MCY/20999235 ")</f>
        <v xml:space="preserve">http://slimages.macys.com/is/image/MCY/20999235 </v>
      </c>
    </row>
    <row r="55" spans="1:14" ht="24.75" x14ac:dyDescent="0.25">
      <c r="A55" s="21" t="s">
        <v>1291</v>
      </c>
      <c r="B55" s="22" t="s">
        <v>1292</v>
      </c>
      <c r="C55" s="2">
        <v>1</v>
      </c>
      <c r="D55" s="23">
        <v>19.989999999999998</v>
      </c>
      <c r="E55" s="3">
        <v>19.989999999999998</v>
      </c>
      <c r="F55" s="2">
        <v>5100</v>
      </c>
      <c r="G55" s="22" t="s">
        <v>19333</v>
      </c>
      <c r="H55" s="24"/>
      <c r="I55" s="22" t="s">
        <v>19309</v>
      </c>
      <c r="J55" s="22" t="s">
        <v>20076</v>
      </c>
      <c r="K55" s="22" t="s">
        <v>20250</v>
      </c>
      <c r="L55" s="22"/>
      <c r="M55" s="22"/>
      <c r="N55" s="25" t="str">
        <f>HYPERLINK("http://slimages.macys.com/is/image/MCY/18068196 ")</f>
        <v xml:space="preserve">http://slimages.macys.com/is/image/MCY/18068196 </v>
      </c>
    </row>
    <row r="56" spans="1:14" ht="24.75" x14ac:dyDescent="0.25">
      <c r="A56" s="21" t="s">
        <v>15716</v>
      </c>
      <c r="B56" s="22" t="s">
        <v>15717</v>
      </c>
      <c r="C56" s="2">
        <v>1</v>
      </c>
      <c r="D56" s="23">
        <v>27.99</v>
      </c>
      <c r="E56" s="3">
        <v>27.99</v>
      </c>
      <c r="F56" s="2" t="s">
        <v>15713</v>
      </c>
      <c r="G56" s="22" t="s">
        <v>19342</v>
      </c>
      <c r="H56" s="24" t="s">
        <v>19345</v>
      </c>
      <c r="I56" s="22" t="s">
        <v>19309</v>
      </c>
      <c r="J56" s="22" t="s">
        <v>19696</v>
      </c>
      <c r="K56" s="22" t="s">
        <v>19965</v>
      </c>
      <c r="L56" s="22"/>
      <c r="M56" s="22"/>
      <c r="N56" s="25" t="str">
        <f>HYPERLINK("http://slimages.macys.com/is/image/MCY/21530621 ")</f>
        <v xml:space="preserve">http://slimages.macys.com/is/image/MCY/21530621 </v>
      </c>
    </row>
    <row r="57" spans="1:14" ht="24.75" x14ac:dyDescent="0.25">
      <c r="A57" s="21" t="s">
        <v>17783</v>
      </c>
      <c r="B57" s="22" t="s">
        <v>17784</v>
      </c>
      <c r="C57" s="2">
        <v>1</v>
      </c>
      <c r="D57" s="23">
        <v>30.99</v>
      </c>
      <c r="E57" s="3">
        <v>30.99</v>
      </c>
      <c r="F57" s="2" t="s">
        <v>17785</v>
      </c>
      <c r="G57" s="22" t="s">
        <v>19462</v>
      </c>
      <c r="H57" s="24" t="s">
        <v>19364</v>
      </c>
      <c r="I57" s="22" t="s">
        <v>19309</v>
      </c>
      <c r="J57" s="22" t="s">
        <v>19353</v>
      </c>
      <c r="K57" s="22" t="s">
        <v>19524</v>
      </c>
      <c r="L57" s="22"/>
      <c r="M57" s="22"/>
      <c r="N57" s="25" t="str">
        <f>HYPERLINK("http://slimages.macys.com/is/image/MCY/1572152 ")</f>
        <v xml:space="preserve">http://slimages.macys.com/is/image/MCY/1572152 </v>
      </c>
    </row>
    <row r="58" spans="1:14" x14ac:dyDescent="0.25">
      <c r="A58" s="21" t="s">
        <v>1293</v>
      </c>
      <c r="B58" s="22" t="s">
        <v>1294</v>
      </c>
      <c r="C58" s="2">
        <v>1</v>
      </c>
      <c r="D58" s="23">
        <v>26.99</v>
      </c>
      <c r="E58" s="3">
        <v>26.99</v>
      </c>
      <c r="F58" s="2" t="s">
        <v>1295</v>
      </c>
      <c r="G58" s="22" t="s">
        <v>19342</v>
      </c>
      <c r="H58" s="24" t="s">
        <v>19478</v>
      </c>
      <c r="I58" s="22" t="s">
        <v>19309</v>
      </c>
      <c r="J58" s="22" t="s">
        <v>19696</v>
      </c>
      <c r="K58" s="22" t="s">
        <v>19697</v>
      </c>
      <c r="L58" s="22"/>
      <c r="M58" s="22"/>
      <c r="N58" s="25" t="str">
        <f>HYPERLINK("http://slimages.macys.com/is/image/MCY/21642768 ")</f>
        <v xml:space="preserve">http://slimages.macys.com/is/image/MCY/21642768 </v>
      </c>
    </row>
    <row r="59" spans="1:14" ht="24.75" x14ac:dyDescent="0.25">
      <c r="A59" s="21" t="s">
        <v>12957</v>
      </c>
      <c r="B59" s="22" t="s">
        <v>12958</v>
      </c>
      <c r="C59" s="2">
        <v>1</v>
      </c>
      <c r="D59" s="23">
        <v>24.99</v>
      </c>
      <c r="E59" s="3">
        <v>24.99</v>
      </c>
      <c r="F59" s="2" t="s">
        <v>17821</v>
      </c>
      <c r="G59" s="22" t="s">
        <v>19713</v>
      </c>
      <c r="H59" s="24" t="s">
        <v>19538</v>
      </c>
      <c r="I59" s="22" t="s">
        <v>19309</v>
      </c>
      <c r="J59" s="22" t="s">
        <v>19573</v>
      </c>
      <c r="K59" s="22" t="s">
        <v>19574</v>
      </c>
      <c r="L59" s="22"/>
      <c r="M59" s="22"/>
      <c r="N59" s="25" t="str">
        <f>HYPERLINK("http://slimages.macys.com/is/image/MCY/1679019 ")</f>
        <v xml:space="preserve">http://slimages.macys.com/is/image/MCY/1679019 </v>
      </c>
    </row>
    <row r="60" spans="1:14" ht="24.75" x14ac:dyDescent="0.25">
      <c r="A60" s="21" t="s">
        <v>12961</v>
      </c>
      <c r="B60" s="22" t="s">
        <v>12962</v>
      </c>
      <c r="C60" s="2">
        <v>1</v>
      </c>
      <c r="D60" s="23">
        <v>24.99</v>
      </c>
      <c r="E60" s="3">
        <v>24.99</v>
      </c>
      <c r="F60" s="2" t="s">
        <v>17821</v>
      </c>
      <c r="G60" s="22" t="s">
        <v>19713</v>
      </c>
      <c r="H60" s="24" t="s">
        <v>19330</v>
      </c>
      <c r="I60" s="22" t="s">
        <v>19309</v>
      </c>
      <c r="J60" s="22" t="s">
        <v>19573</v>
      </c>
      <c r="K60" s="22" t="s">
        <v>19574</v>
      </c>
      <c r="L60" s="22"/>
      <c r="M60" s="22"/>
      <c r="N60" s="25" t="str">
        <f>HYPERLINK("http://slimages.macys.com/is/image/MCY/1679020 ")</f>
        <v xml:space="preserve">http://slimages.macys.com/is/image/MCY/1679020 </v>
      </c>
    </row>
    <row r="61" spans="1:14" ht="24.75" x14ac:dyDescent="0.25">
      <c r="A61" s="21" t="s">
        <v>7390</v>
      </c>
      <c r="B61" s="22" t="s">
        <v>7391</v>
      </c>
      <c r="C61" s="2">
        <v>1</v>
      </c>
      <c r="D61" s="23">
        <v>19.989999999999998</v>
      </c>
      <c r="E61" s="3">
        <v>19.989999999999998</v>
      </c>
      <c r="F61" s="2" t="s">
        <v>7389</v>
      </c>
      <c r="G61" s="22" t="s">
        <v>19351</v>
      </c>
      <c r="H61" s="24" t="s">
        <v>19797</v>
      </c>
      <c r="I61" s="22" t="s">
        <v>19309</v>
      </c>
      <c r="J61" s="22" t="s">
        <v>19353</v>
      </c>
      <c r="K61" s="22" t="s">
        <v>19524</v>
      </c>
      <c r="L61" s="22"/>
      <c r="M61" s="22"/>
      <c r="N61" s="25" t="str">
        <f>HYPERLINK("http://slimages.macys.com/is/image/MCY/1617378 ")</f>
        <v xml:space="preserve">http://slimages.macys.com/is/image/MCY/1617378 </v>
      </c>
    </row>
    <row r="62" spans="1:14" ht="24.75" x14ac:dyDescent="0.25">
      <c r="A62" s="21" t="s">
        <v>19733</v>
      </c>
      <c r="B62" s="22" t="s">
        <v>19734</v>
      </c>
      <c r="C62" s="2">
        <v>2</v>
      </c>
      <c r="D62" s="23">
        <v>24.99</v>
      </c>
      <c r="E62" s="3">
        <v>49.98</v>
      </c>
      <c r="F62" s="2" t="s">
        <v>19735</v>
      </c>
      <c r="G62" s="22" t="s">
        <v>19342</v>
      </c>
      <c r="H62" s="24" t="s">
        <v>19416</v>
      </c>
      <c r="I62" s="22" t="s">
        <v>19309</v>
      </c>
      <c r="J62" s="22" t="s">
        <v>19385</v>
      </c>
      <c r="K62" s="22" t="s">
        <v>19729</v>
      </c>
      <c r="L62" s="22"/>
      <c r="M62" s="22"/>
      <c r="N62" s="25" t="str">
        <f>HYPERLINK("http://slimages.macys.com/is/image/MCY/21265748 ")</f>
        <v xml:space="preserve">http://slimages.macys.com/is/image/MCY/21265748 </v>
      </c>
    </row>
    <row r="63" spans="1:14" ht="24.75" x14ac:dyDescent="0.25">
      <c r="A63" s="21" t="s">
        <v>19741</v>
      </c>
      <c r="B63" s="22" t="s">
        <v>19742</v>
      </c>
      <c r="C63" s="2">
        <v>2</v>
      </c>
      <c r="D63" s="23">
        <v>24.99</v>
      </c>
      <c r="E63" s="3">
        <v>49.98</v>
      </c>
      <c r="F63" s="2" t="s">
        <v>19728</v>
      </c>
      <c r="G63" s="22" t="s">
        <v>19342</v>
      </c>
      <c r="H63" s="24" t="s">
        <v>19416</v>
      </c>
      <c r="I63" s="22" t="s">
        <v>19309</v>
      </c>
      <c r="J63" s="22" t="s">
        <v>19385</v>
      </c>
      <c r="K63" s="22" t="s">
        <v>19729</v>
      </c>
      <c r="L63" s="22"/>
      <c r="M63" s="22"/>
      <c r="N63" s="25" t="str">
        <f>HYPERLINK("http://slimages.macys.com/is/image/MCY/21773792 ")</f>
        <v xml:space="preserve">http://slimages.macys.com/is/image/MCY/21773792 </v>
      </c>
    </row>
    <row r="64" spans="1:14" ht="24.75" x14ac:dyDescent="0.25">
      <c r="A64" s="21" t="s">
        <v>1824</v>
      </c>
      <c r="B64" s="22" t="s">
        <v>1825</v>
      </c>
      <c r="C64" s="2">
        <v>1</v>
      </c>
      <c r="D64" s="23">
        <v>24.99</v>
      </c>
      <c r="E64" s="3">
        <v>24.99</v>
      </c>
      <c r="F64" s="2" t="s">
        <v>1826</v>
      </c>
      <c r="G64" s="22" t="s">
        <v>19794</v>
      </c>
      <c r="H64" s="24" t="s">
        <v>19501</v>
      </c>
      <c r="I64" s="22" t="s">
        <v>19309</v>
      </c>
      <c r="J64" s="22" t="s">
        <v>19595</v>
      </c>
      <c r="K64" s="22" t="s">
        <v>9601</v>
      </c>
      <c r="L64" s="22"/>
      <c r="M64" s="22"/>
      <c r="N64" s="25" t="str">
        <f>HYPERLINK("http://slimages.macys.com/is/image/MCY/18106125 ")</f>
        <v xml:space="preserve">http://slimages.macys.com/is/image/MCY/18106125 </v>
      </c>
    </row>
    <row r="65" spans="1:14" ht="24.75" x14ac:dyDescent="0.25">
      <c r="A65" s="21" t="s">
        <v>1296</v>
      </c>
      <c r="B65" s="22" t="s">
        <v>1297</v>
      </c>
      <c r="C65" s="2">
        <v>1</v>
      </c>
      <c r="D65" s="23">
        <v>24.99</v>
      </c>
      <c r="E65" s="3">
        <v>24.99</v>
      </c>
      <c r="F65" s="2" t="s">
        <v>1826</v>
      </c>
      <c r="G65" s="22" t="s">
        <v>19794</v>
      </c>
      <c r="H65" s="24"/>
      <c r="I65" s="22" t="s">
        <v>19309</v>
      </c>
      <c r="J65" s="22" t="s">
        <v>19595</v>
      </c>
      <c r="K65" s="22" t="s">
        <v>9601</v>
      </c>
      <c r="L65" s="22"/>
      <c r="M65" s="22"/>
      <c r="N65" s="25" t="str">
        <f>HYPERLINK("http://slimages.macys.com/is/image/MCY/18106125 ")</f>
        <v xml:space="preserve">http://slimages.macys.com/is/image/MCY/18106125 </v>
      </c>
    </row>
    <row r="66" spans="1:14" ht="24.75" x14ac:dyDescent="0.25">
      <c r="A66" s="21" t="s">
        <v>1298</v>
      </c>
      <c r="B66" s="22" t="s">
        <v>1299</v>
      </c>
      <c r="C66" s="2">
        <v>1</v>
      </c>
      <c r="D66" s="23">
        <v>23.86</v>
      </c>
      <c r="E66" s="3">
        <v>23.86</v>
      </c>
      <c r="F66" s="2" t="s">
        <v>1300</v>
      </c>
      <c r="G66" s="22" t="s">
        <v>19431</v>
      </c>
      <c r="H66" s="24" t="s">
        <v>19316</v>
      </c>
      <c r="I66" s="22" t="s">
        <v>19309</v>
      </c>
      <c r="J66" s="22" t="s">
        <v>19405</v>
      </c>
      <c r="K66" s="22" t="s">
        <v>19406</v>
      </c>
      <c r="L66" s="22" t="s">
        <v>19319</v>
      </c>
      <c r="M66" s="22" t="s">
        <v>13626</v>
      </c>
      <c r="N66" s="25" t="str">
        <f>HYPERLINK("http://slimages.macys.com/is/image/MCY/16531930 ")</f>
        <v xml:space="preserve">http://slimages.macys.com/is/image/MCY/16531930 </v>
      </c>
    </row>
    <row r="67" spans="1:14" ht="24.75" x14ac:dyDescent="0.25">
      <c r="A67" s="21" t="s">
        <v>1301</v>
      </c>
      <c r="B67" s="22" t="s">
        <v>1302</v>
      </c>
      <c r="C67" s="2">
        <v>1</v>
      </c>
      <c r="D67" s="23">
        <v>24.99</v>
      </c>
      <c r="E67" s="3">
        <v>24.99</v>
      </c>
      <c r="F67" s="2" t="s">
        <v>1303</v>
      </c>
      <c r="G67" s="22" t="s">
        <v>19415</v>
      </c>
      <c r="H67" s="24" t="s">
        <v>19478</v>
      </c>
      <c r="I67" s="22" t="s">
        <v>19309</v>
      </c>
      <c r="J67" s="22" t="s">
        <v>19595</v>
      </c>
      <c r="K67" s="22" t="s">
        <v>9601</v>
      </c>
      <c r="L67" s="22"/>
      <c r="M67" s="22"/>
      <c r="N67" s="25" t="str">
        <f>HYPERLINK("http://slimages.macys.com/is/image/MCY/18155657 ")</f>
        <v xml:space="preserve">http://slimages.macys.com/is/image/MCY/18155657 </v>
      </c>
    </row>
    <row r="68" spans="1:14" ht="24.75" x14ac:dyDescent="0.25">
      <c r="A68" s="21" t="s">
        <v>1304</v>
      </c>
      <c r="B68" s="22" t="s">
        <v>1305</v>
      </c>
      <c r="C68" s="2">
        <v>1</v>
      </c>
      <c r="D68" s="23">
        <v>16.989999999999998</v>
      </c>
      <c r="E68" s="3">
        <v>16.989999999999998</v>
      </c>
      <c r="F68" s="2" t="s">
        <v>15809</v>
      </c>
      <c r="G68" s="22" t="s">
        <v>19333</v>
      </c>
      <c r="H68" s="24" t="s">
        <v>19339</v>
      </c>
      <c r="I68" s="22" t="s">
        <v>19309</v>
      </c>
      <c r="J68" s="22" t="s">
        <v>19310</v>
      </c>
      <c r="K68" s="22" t="s">
        <v>19873</v>
      </c>
      <c r="L68" s="22"/>
      <c r="M68" s="22"/>
      <c r="N68" s="25" t="str">
        <f>HYPERLINK("http://slimages.macys.com/is/image/MCY/19513585 ")</f>
        <v xml:space="preserve">http://slimages.macys.com/is/image/MCY/19513585 </v>
      </c>
    </row>
    <row r="69" spans="1:14" ht="24.75" x14ac:dyDescent="0.25">
      <c r="A69" s="21" t="s">
        <v>1306</v>
      </c>
      <c r="B69" s="22" t="s">
        <v>1307</v>
      </c>
      <c r="C69" s="2">
        <v>1</v>
      </c>
      <c r="D69" s="23">
        <v>23.99</v>
      </c>
      <c r="E69" s="3">
        <v>23.99</v>
      </c>
      <c r="F69" s="2" t="s">
        <v>1308</v>
      </c>
      <c r="G69" s="22" t="s">
        <v>19315</v>
      </c>
      <c r="H69" s="24" t="s">
        <v>19352</v>
      </c>
      <c r="I69" s="22" t="s">
        <v>19309</v>
      </c>
      <c r="J69" s="22" t="s">
        <v>19519</v>
      </c>
      <c r="K69" s="22" t="s">
        <v>19520</v>
      </c>
      <c r="L69" s="22"/>
      <c r="M69" s="22"/>
      <c r="N69" s="25" t="str">
        <f>HYPERLINK("http://slimages.macys.com/is/image/MCY/21190740 ")</f>
        <v xml:space="preserve">http://slimages.macys.com/is/image/MCY/21190740 </v>
      </c>
    </row>
    <row r="70" spans="1:14" ht="24.75" x14ac:dyDescent="0.25">
      <c r="A70" s="21" t="s">
        <v>1309</v>
      </c>
      <c r="B70" s="22" t="s">
        <v>1310</v>
      </c>
      <c r="C70" s="2">
        <v>1</v>
      </c>
      <c r="D70" s="23">
        <v>23.99</v>
      </c>
      <c r="E70" s="3">
        <v>23.99</v>
      </c>
      <c r="F70" s="2" t="s">
        <v>1308</v>
      </c>
      <c r="G70" s="22" t="s">
        <v>19315</v>
      </c>
      <c r="H70" s="24" t="s">
        <v>19339</v>
      </c>
      <c r="I70" s="22" t="s">
        <v>19309</v>
      </c>
      <c r="J70" s="22" t="s">
        <v>19519</v>
      </c>
      <c r="K70" s="22" t="s">
        <v>19520</v>
      </c>
      <c r="L70" s="22"/>
      <c r="M70" s="22"/>
      <c r="N70" s="25" t="str">
        <f>HYPERLINK("http://slimages.macys.com/is/image/MCY/21190740 ")</f>
        <v xml:space="preserve">http://slimages.macys.com/is/image/MCY/21190740 </v>
      </c>
    </row>
    <row r="71" spans="1:14" x14ac:dyDescent="0.25">
      <c r="A71" s="21" t="s">
        <v>1311</v>
      </c>
      <c r="B71" s="22" t="s">
        <v>1312</v>
      </c>
      <c r="C71" s="2">
        <v>1</v>
      </c>
      <c r="D71" s="23">
        <v>26.05</v>
      </c>
      <c r="E71" s="3">
        <v>26.05</v>
      </c>
      <c r="F71" s="2" t="s">
        <v>4615</v>
      </c>
      <c r="G71" s="22"/>
      <c r="H71" s="24" t="s">
        <v>19416</v>
      </c>
      <c r="I71" s="22" t="s">
        <v>19309</v>
      </c>
      <c r="J71" s="22" t="s">
        <v>19708</v>
      </c>
      <c r="K71" s="22" t="s">
        <v>19754</v>
      </c>
      <c r="L71" s="22"/>
      <c r="M71" s="22"/>
      <c r="N71" s="25" t="str">
        <f>HYPERLINK("http://slimages.macys.com/is/image/MCY/21422917 ")</f>
        <v xml:space="preserve">http://slimages.macys.com/is/image/MCY/21422917 </v>
      </c>
    </row>
    <row r="72" spans="1:14" ht="24.75" x14ac:dyDescent="0.25">
      <c r="A72" s="21" t="s">
        <v>15251</v>
      </c>
      <c r="B72" s="22" t="s">
        <v>15252</v>
      </c>
      <c r="C72" s="2">
        <v>1</v>
      </c>
      <c r="D72" s="23">
        <v>21.29</v>
      </c>
      <c r="E72" s="3">
        <v>21.29</v>
      </c>
      <c r="F72" s="2" t="s">
        <v>19750</v>
      </c>
      <c r="G72" s="22"/>
      <c r="H72" s="24" t="s">
        <v>19392</v>
      </c>
      <c r="I72" s="22" t="s">
        <v>19309</v>
      </c>
      <c r="J72" s="22" t="s">
        <v>19602</v>
      </c>
      <c r="K72" s="22" t="s">
        <v>19603</v>
      </c>
      <c r="L72" s="22"/>
      <c r="M72" s="22"/>
      <c r="N72" s="25" t="str">
        <f>HYPERLINK("http://slimages.macys.com/is/image/MCY/22405986 ")</f>
        <v xml:space="preserve">http://slimages.macys.com/is/image/MCY/22405986 </v>
      </c>
    </row>
    <row r="73" spans="1:14" x14ac:dyDescent="0.25">
      <c r="A73" s="21" t="s">
        <v>1313</v>
      </c>
      <c r="B73" s="22" t="s">
        <v>1314</v>
      </c>
      <c r="C73" s="2">
        <v>1</v>
      </c>
      <c r="D73" s="23">
        <v>26.05</v>
      </c>
      <c r="E73" s="3">
        <v>26.05</v>
      </c>
      <c r="F73" s="2" t="s">
        <v>1315</v>
      </c>
      <c r="G73" s="22"/>
      <c r="H73" s="24" t="s">
        <v>19416</v>
      </c>
      <c r="I73" s="22" t="s">
        <v>19309</v>
      </c>
      <c r="J73" s="22" t="s">
        <v>19708</v>
      </c>
      <c r="K73" s="22" t="s">
        <v>19754</v>
      </c>
      <c r="L73" s="22"/>
      <c r="M73" s="22"/>
      <c r="N73" s="25" t="str">
        <f>HYPERLINK("http://slimages.macys.com/is/image/MCY/21422884 ")</f>
        <v xml:space="preserve">http://slimages.macys.com/is/image/MCY/21422884 </v>
      </c>
    </row>
    <row r="74" spans="1:14" x14ac:dyDescent="0.25">
      <c r="A74" s="21" t="s">
        <v>1316</v>
      </c>
      <c r="B74" s="22" t="s">
        <v>1317</v>
      </c>
      <c r="C74" s="2">
        <v>1</v>
      </c>
      <c r="D74" s="23">
        <v>24.09</v>
      </c>
      <c r="E74" s="3">
        <v>24.09</v>
      </c>
      <c r="F74" s="2" t="s">
        <v>1318</v>
      </c>
      <c r="G74" s="22" t="s">
        <v>19404</v>
      </c>
      <c r="H74" s="24" t="s">
        <v>20159</v>
      </c>
      <c r="I74" s="22" t="s">
        <v>19309</v>
      </c>
      <c r="J74" s="22" t="s">
        <v>19708</v>
      </c>
      <c r="K74" s="22" t="s">
        <v>19709</v>
      </c>
      <c r="L74" s="22"/>
      <c r="M74" s="22"/>
      <c r="N74" s="25" t="str">
        <f>HYPERLINK("http://slimages.macys.com/is/image/MCY/22596089 ")</f>
        <v xml:space="preserve">http://slimages.macys.com/is/image/MCY/22596089 </v>
      </c>
    </row>
    <row r="75" spans="1:14" ht="24.75" x14ac:dyDescent="0.25">
      <c r="A75" s="21" t="s">
        <v>19768</v>
      </c>
      <c r="B75" s="22" t="s">
        <v>19769</v>
      </c>
      <c r="C75" s="2">
        <v>1</v>
      </c>
      <c r="D75" s="23">
        <v>19.989999999999998</v>
      </c>
      <c r="E75" s="3">
        <v>19.989999999999998</v>
      </c>
      <c r="F75" s="2" t="s">
        <v>19767</v>
      </c>
      <c r="G75" s="22" t="s">
        <v>19467</v>
      </c>
      <c r="H75" s="24" t="s">
        <v>19770</v>
      </c>
      <c r="I75" s="22" t="s">
        <v>19309</v>
      </c>
      <c r="J75" s="22" t="s">
        <v>19573</v>
      </c>
      <c r="K75" s="22" t="s">
        <v>19574</v>
      </c>
      <c r="L75" s="22"/>
      <c r="M75" s="22"/>
      <c r="N75" s="25" t="str">
        <f>HYPERLINK("http://slimages.macys.com/is/image/MCY/1646350 ")</f>
        <v xml:space="preserve">http://slimages.macys.com/is/image/MCY/1646350 </v>
      </c>
    </row>
    <row r="76" spans="1:14" ht="24.75" x14ac:dyDescent="0.25">
      <c r="A76" s="21" t="s">
        <v>1319</v>
      </c>
      <c r="B76" s="22" t="s">
        <v>1320</v>
      </c>
      <c r="C76" s="2">
        <v>1</v>
      </c>
      <c r="D76" s="23">
        <v>20</v>
      </c>
      <c r="E76" s="3">
        <v>20</v>
      </c>
      <c r="F76" s="2" t="s">
        <v>1321</v>
      </c>
      <c r="G76" s="22" t="s">
        <v>19315</v>
      </c>
      <c r="H76" s="24"/>
      <c r="I76" s="22" t="s">
        <v>19309</v>
      </c>
      <c r="J76" s="22" t="s">
        <v>15506</v>
      </c>
      <c r="K76" s="22" t="s">
        <v>11740</v>
      </c>
      <c r="L76" s="22"/>
      <c r="M76" s="22"/>
      <c r="N76" s="25" t="str">
        <f>HYPERLINK("http://slimages.macys.com/is/image/MCY/21151159 ")</f>
        <v xml:space="preserve">http://slimages.macys.com/is/image/MCY/21151159 </v>
      </c>
    </row>
    <row r="77" spans="1:14" ht="24.75" x14ac:dyDescent="0.25">
      <c r="A77" s="21" t="s">
        <v>1322</v>
      </c>
      <c r="B77" s="22" t="s">
        <v>1323</v>
      </c>
      <c r="C77" s="2">
        <v>2</v>
      </c>
      <c r="D77" s="23">
        <v>20</v>
      </c>
      <c r="E77" s="3">
        <v>40</v>
      </c>
      <c r="F77" s="2" t="s">
        <v>1321</v>
      </c>
      <c r="G77" s="22" t="s">
        <v>19315</v>
      </c>
      <c r="H77" s="24"/>
      <c r="I77" s="22" t="s">
        <v>19309</v>
      </c>
      <c r="J77" s="22" t="s">
        <v>15506</v>
      </c>
      <c r="K77" s="22" t="s">
        <v>11740</v>
      </c>
      <c r="L77" s="22"/>
      <c r="M77" s="22"/>
      <c r="N77" s="25" t="str">
        <f>HYPERLINK("http://slimages.macys.com/is/image/MCY/21151159 ")</f>
        <v xml:space="preserve">http://slimages.macys.com/is/image/MCY/21151159 </v>
      </c>
    </row>
    <row r="78" spans="1:14" ht="24.75" x14ac:dyDescent="0.25">
      <c r="A78" s="21" t="s">
        <v>1324</v>
      </c>
      <c r="B78" s="22" t="s">
        <v>1325</v>
      </c>
      <c r="C78" s="2">
        <v>1</v>
      </c>
      <c r="D78" s="23">
        <v>20</v>
      </c>
      <c r="E78" s="3">
        <v>20</v>
      </c>
      <c r="F78" s="2" t="s">
        <v>1326</v>
      </c>
      <c r="G78" s="22" t="s">
        <v>20306</v>
      </c>
      <c r="H78" s="24"/>
      <c r="I78" s="22" t="s">
        <v>19309</v>
      </c>
      <c r="J78" s="22" t="s">
        <v>15506</v>
      </c>
      <c r="K78" s="22" t="s">
        <v>11740</v>
      </c>
      <c r="L78" s="22"/>
      <c r="M78" s="22"/>
      <c r="N78" s="25" t="str">
        <f>HYPERLINK("http://slimages.macys.com/is/image/MCY/21685042 ")</f>
        <v xml:space="preserve">http://slimages.macys.com/is/image/MCY/21685042 </v>
      </c>
    </row>
    <row r="79" spans="1:14" ht="24.75" x14ac:dyDescent="0.25">
      <c r="A79" s="21" t="s">
        <v>1327</v>
      </c>
      <c r="B79" s="22" t="s">
        <v>1328</v>
      </c>
      <c r="C79" s="2">
        <v>1</v>
      </c>
      <c r="D79" s="23">
        <v>20</v>
      </c>
      <c r="E79" s="3">
        <v>20</v>
      </c>
      <c r="F79" s="2" t="s">
        <v>1321</v>
      </c>
      <c r="G79" s="22" t="s">
        <v>19315</v>
      </c>
      <c r="H79" s="24"/>
      <c r="I79" s="22" t="s">
        <v>19309</v>
      </c>
      <c r="J79" s="22" t="s">
        <v>15506</v>
      </c>
      <c r="K79" s="22" t="s">
        <v>11740</v>
      </c>
      <c r="L79" s="22"/>
      <c r="M79" s="22"/>
      <c r="N79" s="25" t="str">
        <f>HYPERLINK("http://slimages.macys.com/is/image/MCY/21151159 ")</f>
        <v xml:space="preserve">http://slimages.macys.com/is/image/MCY/21151159 </v>
      </c>
    </row>
    <row r="80" spans="1:14" ht="24.75" x14ac:dyDescent="0.25">
      <c r="A80" s="21" t="s">
        <v>1329</v>
      </c>
      <c r="B80" s="22" t="s">
        <v>1330</v>
      </c>
      <c r="C80" s="2">
        <v>1</v>
      </c>
      <c r="D80" s="23">
        <v>20</v>
      </c>
      <c r="E80" s="3">
        <v>20</v>
      </c>
      <c r="F80" s="2" t="s">
        <v>1321</v>
      </c>
      <c r="G80" s="22" t="s">
        <v>19315</v>
      </c>
      <c r="H80" s="24"/>
      <c r="I80" s="22" t="s">
        <v>19309</v>
      </c>
      <c r="J80" s="22" t="s">
        <v>15506</v>
      </c>
      <c r="K80" s="22" t="s">
        <v>11740</v>
      </c>
      <c r="L80" s="22"/>
      <c r="M80" s="22"/>
      <c r="N80" s="25" t="str">
        <f>HYPERLINK("http://slimages.macys.com/is/image/MCY/21151159 ")</f>
        <v xml:space="preserve">http://slimages.macys.com/is/image/MCY/21151159 </v>
      </c>
    </row>
    <row r="81" spans="1:14" ht="24.75" x14ac:dyDescent="0.25">
      <c r="A81" s="21" t="s">
        <v>1331</v>
      </c>
      <c r="B81" s="22" t="s">
        <v>1332</v>
      </c>
      <c r="C81" s="2">
        <v>1</v>
      </c>
      <c r="D81" s="23">
        <v>20</v>
      </c>
      <c r="E81" s="3">
        <v>20</v>
      </c>
      <c r="F81" s="2" t="s">
        <v>1321</v>
      </c>
      <c r="G81" s="22" t="s">
        <v>19315</v>
      </c>
      <c r="H81" s="24"/>
      <c r="I81" s="22" t="s">
        <v>19309</v>
      </c>
      <c r="J81" s="22" t="s">
        <v>15506</v>
      </c>
      <c r="K81" s="22" t="s">
        <v>11740</v>
      </c>
      <c r="L81" s="22"/>
      <c r="M81" s="22"/>
      <c r="N81" s="25" t="str">
        <f>HYPERLINK("http://slimages.macys.com/is/image/MCY/21151159 ")</f>
        <v xml:space="preserve">http://slimages.macys.com/is/image/MCY/21151159 </v>
      </c>
    </row>
    <row r="82" spans="1:14" ht="36.75" x14ac:dyDescent="0.25">
      <c r="A82" s="21" t="s">
        <v>17864</v>
      </c>
      <c r="B82" s="22" t="s">
        <v>17865</v>
      </c>
      <c r="C82" s="2">
        <v>1</v>
      </c>
      <c r="D82" s="23">
        <v>19.989999999999998</v>
      </c>
      <c r="E82" s="3">
        <v>19.989999999999998</v>
      </c>
      <c r="F82" s="2" t="s">
        <v>17866</v>
      </c>
      <c r="G82" s="22" t="s">
        <v>19513</v>
      </c>
      <c r="H82" s="24" t="s">
        <v>20232</v>
      </c>
      <c r="I82" s="22" t="s">
        <v>19309</v>
      </c>
      <c r="J82" s="22" t="s">
        <v>19573</v>
      </c>
      <c r="K82" s="22" t="s">
        <v>20228</v>
      </c>
      <c r="L82" s="22" t="s">
        <v>19319</v>
      </c>
      <c r="M82" s="22" t="s">
        <v>20229</v>
      </c>
      <c r="N82" s="25" t="str">
        <f>HYPERLINK("http://slimages.macys.com/is/image/MCY/8256954 ")</f>
        <v xml:space="preserve">http://slimages.macys.com/is/image/MCY/8256954 </v>
      </c>
    </row>
    <row r="83" spans="1:14" ht="24.75" x14ac:dyDescent="0.25">
      <c r="A83" s="21" t="s">
        <v>1333</v>
      </c>
      <c r="B83" s="22" t="s">
        <v>1334</v>
      </c>
      <c r="C83" s="2">
        <v>1</v>
      </c>
      <c r="D83" s="23">
        <v>21.99</v>
      </c>
      <c r="E83" s="3">
        <v>21.99</v>
      </c>
      <c r="F83" s="2" t="s">
        <v>19804</v>
      </c>
      <c r="G83" s="22" t="s">
        <v>19351</v>
      </c>
      <c r="H83" s="24" t="s">
        <v>19395</v>
      </c>
      <c r="I83" s="22" t="s">
        <v>19309</v>
      </c>
      <c r="J83" s="22" t="s">
        <v>19595</v>
      </c>
      <c r="K83" s="22" t="s">
        <v>19596</v>
      </c>
      <c r="L83" s="22"/>
      <c r="M83" s="22"/>
      <c r="N83" s="25" t="str">
        <f>HYPERLINK("http://slimages.macys.com/is/image/MCY/21623048 ")</f>
        <v xml:space="preserve">http://slimages.macys.com/is/image/MCY/21623048 </v>
      </c>
    </row>
    <row r="84" spans="1:14" x14ac:dyDescent="0.25">
      <c r="A84" s="21" t="s">
        <v>1335</v>
      </c>
      <c r="B84" s="22" t="s">
        <v>1336</v>
      </c>
      <c r="C84" s="2">
        <v>1</v>
      </c>
      <c r="D84" s="23">
        <v>23.29</v>
      </c>
      <c r="E84" s="3">
        <v>23.29</v>
      </c>
      <c r="F84" s="2" t="s">
        <v>7413</v>
      </c>
      <c r="G84" s="22" t="s">
        <v>19431</v>
      </c>
      <c r="H84" s="24" t="s">
        <v>19330</v>
      </c>
      <c r="I84" s="22" t="s">
        <v>19309</v>
      </c>
      <c r="J84" s="22" t="s">
        <v>19708</v>
      </c>
      <c r="K84" s="22" t="s">
        <v>19709</v>
      </c>
      <c r="L84" s="22"/>
      <c r="M84" s="22"/>
      <c r="N84" s="25" t="str">
        <f>HYPERLINK("http://slimages.macys.com/is/image/MCY/22407532 ")</f>
        <v xml:space="preserve">http://slimages.macys.com/is/image/MCY/22407532 </v>
      </c>
    </row>
    <row r="85" spans="1:14" ht="24.75" x14ac:dyDescent="0.25">
      <c r="A85" s="21" t="s">
        <v>1337</v>
      </c>
      <c r="B85" s="22" t="s">
        <v>1338</v>
      </c>
      <c r="C85" s="2">
        <v>1</v>
      </c>
      <c r="D85" s="23">
        <v>22.99</v>
      </c>
      <c r="E85" s="3">
        <v>22.99</v>
      </c>
      <c r="F85" s="2" t="s">
        <v>1339</v>
      </c>
      <c r="G85" s="22" t="s">
        <v>19674</v>
      </c>
      <c r="H85" s="24" t="s">
        <v>19797</v>
      </c>
      <c r="I85" s="22" t="s">
        <v>19309</v>
      </c>
      <c r="J85" s="22" t="s">
        <v>19353</v>
      </c>
      <c r="K85" s="22" t="s">
        <v>19524</v>
      </c>
      <c r="L85" s="22"/>
      <c r="M85" s="22"/>
      <c r="N85" s="25" t="str">
        <f>HYPERLINK("http://slimages.macys.com/is/image/MCY/21085108 ")</f>
        <v xml:space="preserve">http://slimages.macys.com/is/image/MCY/21085108 </v>
      </c>
    </row>
    <row r="86" spans="1:14" ht="24.75" x14ac:dyDescent="0.25">
      <c r="A86" s="21" t="s">
        <v>1340</v>
      </c>
      <c r="B86" s="22" t="s">
        <v>1341</v>
      </c>
      <c r="C86" s="2">
        <v>4</v>
      </c>
      <c r="D86" s="23">
        <v>17.329999999999998</v>
      </c>
      <c r="E86" s="3">
        <v>69.319999999999993</v>
      </c>
      <c r="F86" s="2" t="s">
        <v>18021</v>
      </c>
      <c r="G86" s="22" t="s">
        <v>19351</v>
      </c>
      <c r="H86" s="24" t="s">
        <v>19308</v>
      </c>
      <c r="I86" s="22" t="s">
        <v>19309</v>
      </c>
      <c r="J86" s="22" t="s">
        <v>19565</v>
      </c>
      <c r="K86" s="22" t="s">
        <v>18548</v>
      </c>
      <c r="L86" s="22"/>
      <c r="M86" s="22"/>
      <c r="N86" s="25" t="str">
        <f>HYPERLINK("http://slimages.macys.com/is/image/MCY/21314532 ")</f>
        <v xml:space="preserve">http://slimages.macys.com/is/image/MCY/21314532 </v>
      </c>
    </row>
    <row r="87" spans="1:14" ht="24.75" x14ac:dyDescent="0.25">
      <c r="A87" s="21" t="s">
        <v>8797</v>
      </c>
      <c r="B87" s="22" t="s">
        <v>8798</v>
      </c>
      <c r="C87" s="2">
        <v>1</v>
      </c>
      <c r="D87" s="23">
        <v>18.989999999999998</v>
      </c>
      <c r="E87" s="3">
        <v>18.989999999999998</v>
      </c>
      <c r="F87" s="2" t="s">
        <v>19825</v>
      </c>
      <c r="G87" s="22" t="s">
        <v>19315</v>
      </c>
      <c r="H87" s="24" t="s">
        <v>19797</v>
      </c>
      <c r="I87" s="22" t="s">
        <v>19309</v>
      </c>
      <c r="J87" s="22" t="s">
        <v>19447</v>
      </c>
      <c r="K87" s="22" t="s">
        <v>19533</v>
      </c>
      <c r="L87" s="22"/>
      <c r="M87" s="22"/>
      <c r="N87" s="25" t="str">
        <f>HYPERLINK("http://slimages.macys.com/is/image/MCY/20930967 ")</f>
        <v xml:space="preserve">http://slimages.macys.com/is/image/MCY/20930967 </v>
      </c>
    </row>
    <row r="88" spans="1:14" ht="24.75" x14ac:dyDescent="0.25">
      <c r="A88" s="21" t="s">
        <v>1342</v>
      </c>
      <c r="B88" s="22" t="s">
        <v>1343</v>
      </c>
      <c r="C88" s="2">
        <v>4</v>
      </c>
      <c r="D88" s="23">
        <v>17.329999999999998</v>
      </c>
      <c r="E88" s="3">
        <v>69.319999999999993</v>
      </c>
      <c r="F88" s="2" t="s">
        <v>18021</v>
      </c>
      <c r="G88" s="22" t="s">
        <v>19351</v>
      </c>
      <c r="H88" s="24" t="s">
        <v>19364</v>
      </c>
      <c r="I88" s="22" t="s">
        <v>19309</v>
      </c>
      <c r="J88" s="22" t="s">
        <v>19565</v>
      </c>
      <c r="K88" s="22" t="s">
        <v>18548</v>
      </c>
      <c r="L88" s="22"/>
      <c r="M88" s="22"/>
      <c r="N88" s="25" t="str">
        <f>HYPERLINK("http://slimages.macys.com/is/image/MCY/21314532 ")</f>
        <v xml:space="preserve">http://slimages.macys.com/is/image/MCY/21314532 </v>
      </c>
    </row>
    <row r="89" spans="1:14" ht="24.75" x14ac:dyDescent="0.25">
      <c r="A89" s="21" t="s">
        <v>1344</v>
      </c>
      <c r="B89" s="22" t="s">
        <v>1345</v>
      </c>
      <c r="C89" s="2">
        <v>3</v>
      </c>
      <c r="D89" s="23">
        <v>17.329999999999998</v>
      </c>
      <c r="E89" s="3">
        <v>51.99</v>
      </c>
      <c r="F89" s="2" t="s">
        <v>18021</v>
      </c>
      <c r="G89" s="22" t="s">
        <v>19351</v>
      </c>
      <c r="H89" s="24" t="s">
        <v>19352</v>
      </c>
      <c r="I89" s="22" t="s">
        <v>19309</v>
      </c>
      <c r="J89" s="22" t="s">
        <v>19565</v>
      </c>
      <c r="K89" s="22" t="s">
        <v>18548</v>
      </c>
      <c r="L89" s="22"/>
      <c r="M89" s="22"/>
      <c r="N89" s="25" t="str">
        <f>HYPERLINK("http://slimages.macys.com/is/image/MCY/21314532 ")</f>
        <v xml:space="preserve">http://slimages.macys.com/is/image/MCY/21314532 </v>
      </c>
    </row>
    <row r="90" spans="1:14" ht="24.75" x14ac:dyDescent="0.25">
      <c r="A90" s="21" t="s">
        <v>1346</v>
      </c>
      <c r="B90" s="22" t="s">
        <v>1347</v>
      </c>
      <c r="C90" s="2">
        <v>2</v>
      </c>
      <c r="D90" s="23">
        <v>17.329999999999998</v>
      </c>
      <c r="E90" s="3">
        <v>34.659999999999997</v>
      </c>
      <c r="F90" s="2" t="s">
        <v>18021</v>
      </c>
      <c r="G90" s="22" t="s">
        <v>19351</v>
      </c>
      <c r="H90" s="24" t="s">
        <v>19339</v>
      </c>
      <c r="I90" s="22" t="s">
        <v>19309</v>
      </c>
      <c r="J90" s="22" t="s">
        <v>19565</v>
      </c>
      <c r="K90" s="22" t="s">
        <v>18548</v>
      </c>
      <c r="L90" s="22"/>
      <c r="M90" s="22"/>
      <c r="N90" s="25" t="str">
        <f>HYPERLINK("http://slimages.macys.com/is/image/MCY/21314532 ")</f>
        <v xml:space="preserve">http://slimages.macys.com/is/image/MCY/21314532 </v>
      </c>
    </row>
    <row r="91" spans="1:14" ht="24.75" x14ac:dyDescent="0.25">
      <c r="A91" s="21" t="s">
        <v>19823</v>
      </c>
      <c r="B91" s="22" t="s">
        <v>19824</v>
      </c>
      <c r="C91" s="2">
        <v>1</v>
      </c>
      <c r="D91" s="23">
        <v>18.989999999999998</v>
      </c>
      <c r="E91" s="3">
        <v>18.989999999999998</v>
      </c>
      <c r="F91" s="2" t="s">
        <v>19825</v>
      </c>
      <c r="G91" s="22" t="s">
        <v>19315</v>
      </c>
      <c r="H91" s="24" t="s">
        <v>19339</v>
      </c>
      <c r="I91" s="22" t="s">
        <v>19309</v>
      </c>
      <c r="J91" s="22" t="s">
        <v>19447</v>
      </c>
      <c r="K91" s="22" t="s">
        <v>19533</v>
      </c>
      <c r="L91" s="22"/>
      <c r="M91" s="22"/>
      <c r="N91" s="25" t="str">
        <f>HYPERLINK("http://slimages.macys.com/is/image/MCY/20930967 ")</f>
        <v xml:space="preserve">http://slimages.macys.com/is/image/MCY/20930967 </v>
      </c>
    </row>
    <row r="92" spans="1:14" x14ac:dyDescent="0.25">
      <c r="A92" s="21" t="s">
        <v>1348</v>
      </c>
      <c r="B92" s="22" t="s">
        <v>1349</v>
      </c>
      <c r="C92" s="2">
        <v>1</v>
      </c>
      <c r="D92" s="23">
        <v>16.989999999999998</v>
      </c>
      <c r="E92" s="3">
        <v>16.989999999999998</v>
      </c>
      <c r="F92" s="2" t="s">
        <v>6649</v>
      </c>
      <c r="G92" s="22" t="s">
        <v>19351</v>
      </c>
      <c r="H92" s="24" t="s">
        <v>19542</v>
      </c>
      <c r="I92" s="22" t="s">
        <v>19309</v>
      </c>
      <c r="J92" s="22" t="s">
        <v>19310</v>
      </c>
      <c r="K92" s="22" t="s">
        <v>19468</v>
      </c>
      <c r="L92" s="22"/>
      <c r="M92" s="22"/>
      <c r="N92" s="25" t="str">
        <f>HYPERLINK("http://slimages.macys.com/is/image/MCY/19065667 ")</f>
        <v xml:space="preserve">http://slimages.macys.com/is/image/MCY/19065667 </v>
      </c>
    </row>
    <row r="93" spans="1:14" ht="24.75" x14ac:dyDescent="0.25">
      <c r="A93" s="21" t="s">
        <v>1350</v>
      </c>
      <c r="B93" s="22" t="s">
        <v>1351</v>
      </c>
      <c r="C93" s="2">
        <v>1</v>
      </c>
      <c r="D93" s="23">
        <v>21.99</v>
      </c>
      <c r="E93" s="3">
        <v>21.99</v>
      </c>
      <c r="F93" s="2" t="s">
        <v>1352</v>
      </c>
      <c r="G93" s="22" t="s">
        <v>19342</v>
      </c>
      <c r="H93" s="24" t="s">
        <v>19345</v>
      </c>
      <c r="I93" s="22" t="s">
        <v>19309</v>
      </c>
      <c r="J93" s="22" t="s">
        <v>19595</v>
      </c>
      <c r="K93" s="22" t="s">
        <v>17917</v>
      </c>
      <c r="L93" s="22"/>
      <c r="M93" s="22"/>
      <c r="N93" s="25" t="str">
        <f>HYPERLINK("http://slimages.macys.com/is/image/MCY/21056773 ")</f>
        <v xml:space="preserve">http://slimages.macys.com/is/image/MCY/21056773 </v>
      </c>
    </row>
    <row r="94" spans="1:14" ht="24.75" x14ac:dyDescent="0.25">
      <c r="A94" s="21" t="s">
        <v>1353</v>
      </c>
      <c r="B94" s="22" t="s">
        <v>1354</v>
      </c>
      <c r="C94" s="2">
        <v>1</v>
      </c>
      <c r="D94" s="23">
        <v>20</v>
      </c>
      <c r="E94" s="3">
        <v>20</v>
      </c>
      <c r="F94" s="2" t="s">
        <v>1355</v>
      </c>
      <c r="G94" s="22" t="s">
        <v>19879</v>
      </c>
      <c r="H94" s="24"/>
      <c r="I94" s="22" t="s">
        <v>19309</v>
      </c>
      <c r="J94" s="22" t="s">
        <v>19310</v>
      </c>
      <c r="K94" s="22" t="s">
        <v>17538</v>
      </c>
      <c r="L94" s="22" t="s">
        <v>19319</v>
      </c>
      <c r="M94" s="22" t="s">
        <v>15873</v>
      </c>
      <c r="N94" s="25" t="str">
        <f>HYPERLINK("http://slimages.macys.com/is/image/MCY/9470973 ")</f>
        <v xml:space="preserve">http://slimages.macys.com/is/image/MCY/9470973 </v>
      </c>
    </row>
    <row r="95" spans="1:14" x14ac:dyDescent="0.25">
      <c r="A95" s="21" t="s">
        <v>19858</v>
      </c>
      <c r="B95" s="22" t="s">
        <v>19859</v>
      </c>
      <c r="C95" s="2">
        <v>1</v>
      </c>
      <c r="D95" s="23">
        <v>19.989999999999998</v>
      </c>
      <c r="E95" s="3">
        <v>19.989999999999998</v>
      </c>
      <c r="F95" s="2" t="s">
        <v>19860</v>
      </c>
      <c r="G95" s="22" t="s">
        <v>19307</v>
      </c>
      <c r="H95" s="24" t="s">
        <v>19345</v>
      </c>
      <c r="I95" s="22" t="s">
        <v>19309</v>
      </c>
      <c r="J95" s="22" t="s">
        <v>19310</v>
      </c>
      <c r="K95" s="22" t="s">
        <v>19433</v>
      </c>
      <c r="L95" s="22"/>
      <c r="M95" s="22"/>
      <c r="N95" s="25" t="str">
        <f>HYPERLINK("http://slimages.macys.com/is/image/MCY/21397177 ")</f>
        <v xml:space="preserve">http://slimages.macys.com/is/image/MCY/21397177 </v>
      </c>
    </row>
    <row r="96" spans="1:14" x14ac:dyDescent="0.25">
      <c r="A96" s="21" t="s">
        <v>1356</v>
      </c>
      <c r="B96" s="22" t="s">
        <v>1357</v>
      </c>
      <c r="C96" s="2">
        <v>1</v>
      </c>
      <c r="D96" s="23">
        <v>19.989999999999998</v>
      </c>
      <c r="E96" s="3">
        <v>19.989999999999998</v>
      </c>
      <c r="F96" s="2" t="s">
        <v>19860</v>
      </c>
      <c r="G96" s="22" t="s">
        <v>19307</v>
      </c>
      <c r="H96" s="24" t="s">
        <v>19432</v>
      </c>
      <c r="I96" s="22" t="s">
        <v>19309</v>
      </c>
      <c r="J96" s="22" t="s">
        <v>19310</v>
      </c>
      <c r="K96" s="22" t="s">
        <v>19433</v>
      </c>
      <c r="L96" s="22"/>
      <c r="M96" s="22"/>
      <c r="N96" s="25" t="str">
        <f>HYPERLINK("http://slimages.macys.com/is/image/MCY/21964983 ")</f>
        <v xml:space="preserve">http://slimages.macys.com/is/image/MCY/21964983 </v>
      </c>
    </row>
    <row r="97" spans="1:14" x14ac:dyDescent="0.25">
      <c r="A97" s="21" t="s">
        <v>19866</v>
      </c>
      <c r="B97" s="22" t="s">
        <v>19867</v>
      </c>
      <c r="C97" s="2">
        <v>1</v>
      </c>
      <c r="D97" s="23">
        <v>19.989999999999998</v>
      </c>
      <c r="E97" s="3">
        <v>19.989999999999998</v>
      </c>
      <c r="F97" s="2" t="s">
        <v>19860</v>
      </c>
      <c r="G97" s="22" t="s">
        <v>19307</v>
      </c>
      <c r="H97" s="24" t="s">
        <v>19395</v>
      </c>
      <c r="I97" s="22" t="s">
        <v>19309</v>
      </c>
      <c r="J97" s="22" t="s">
        <v>19310</v>
      </c>
      <c r="K97" s="22" t="s">
        <v>19433</v>
      </c>
      <c r="L97" s="22"/>
      <c r="M97" s="22"/>
      <c r="N97" s="25" t="str">
        <f>HYPERLINK("http://slimages.macys.com/is/image/MCY/21964983 ")</f>
        <v xml:space="preserve">http://slimages.macys.com/is/image/MCY/21964983 </v>
      </c>
    </row>
    <row r="98" spans="1:14" ht="24.75" x14ac:dyDescent="0.25">
      <c r="A98" s="21" t="s">
        <v>1358</v>
      </c>
      <c r="B98" s="22" t="s">
        <v>1359</v>
      </c>
      <c r="C98" s="2">
        <v>1</v>
      </c>
      <c r="D98" s="23">
        <v>21.99</v>
      </c>
      <c r="E98" s="3">
        <v>21.99</v>
      </c>
      <c r="F98" s="2" t="s">
        <v>1360</v>
      </c>
      <c r="G98" s="22" t="s">
        <v>19342</v>
      </c>
      <c r="H98" s="24" t="s">
        <v>19384</v>
      </c>
      <c r="I98" s="22" t="s">
        <v>19309</v>
      </c>
      <c r="J98" s="22" t="s">
        <v>19385</v>
      </c>
      <c r="K98" s="22" t="s">
        <v>19614</v>
      </c>
      <c r="L98" s="22"/>
      <c r="M98" s="22"/>
      <c r="N98" s="25" t="str">
        <f>HYPERLINK("http://slimages.macys.com/is/image/MCY/21255640 ")</f>
        <v xml:space="preserve">http://slimages.macys.com/is/image/MCY/21255640 </v>
      </c>
    </row>
    <row r="99" spans="1:14" ht="24.75" x14ac:dyDescent="0.25">
      <c r="A99" s="21" t="s">
        <v>1361</v>
      </c>
      <c r="B99" s="22" t="s">
        <v>1362</v>
      </c>
      <c r="C99" s="2">
        <v>1</v>
      </c>
      <c r="D99" s="23">
        <v>17.989999999999998</v>
      </c>
      <c r="E99" s="3">
        <v>17.989999999999998</v>
      </c>
      <c r="F99" s="2" t="s">
        <v>1363</v>
      </c>
      <c r="G99" s="22" t="s">
        <v>19431</v>
      </c>
      <c r="H99" s="24" t="s">
        <v>19364</v>
      </c>
      <c r="I99" s="22" t="s">
        <v>19309</v>
      </c>
      <c r="J99" s="22" t="s">
        <v>19447</v>
      </c>
      <c r="K99" s="22" t="s">
        <v>19533</v>
      </c>
      <c r="L99" s="22"/>
      <c r="M99" s="22"/>
      <c r="N99" s="25" t="str">
        <f>HYPERLINK("http://slimages.macys.com/is/image/MCY/21151510 ")</f>
        <v xml:space="preserve">http://slimages.macys.com/is/image/MCY/21151510 </v>
      </c>
    </row>
    <row r="100" spans="1:14" ht="24.75" x14ac:dyDescent="0.25">
      <c r="A100" s="21" t="s">
        <v>1364</v>
      </c>
      <c r="B100" s="22" t="s">
        <v>1365</v>
      </c>
      <c r="C100" s="2">
        <v>1</v>
      </c>
      <c r="D100" s="23">
        <v>15</v>
      </c>
      <c r="E100" s="3">
        <v>15</v>
      </c>
      <c r="F100" s="2" t="s">
        <v>1366</v>
      </c>
      <c r="G100" s="22" t="s">
        <v>19618</v>
      </c>
      <c r="H100" s="24" t="s">
        <v>1367</v>
      </c>
      <c r="I100" s="22" t="s">
        <v>19309</v>
      </c>
      <c r="J100" s="22" t="s">
        <v>20076</v>
      </c>
      <c r="K100" s="22" t="s">
        <v>17965</v>
      </c>
      <c r="L100" s="22" t="s">
        <v>19319</v>
      </c>
      <c r="M100" s="22" t="s">
        <v>16844</v>
      </c>
      <c r="N100" s="25" t="str">
        <f>HYPERLINK("http://slimages.macys.com/is/image/MCY/939579 ")</f>
        <v xml:space="preserve">http://slimages.macys.com/is/image/MCY/939579 </v>
      </c>
    </row>
    <row r="101" spans="1:14" ht="24.75" x14ac:dyDescent="0.25">
      <c r="A101" s="21" t="s">
        <v>19925</v>
      </c>
      <c r="B101" s="22" t="s">
        <v>19926</v>
      </c>
      <c r="C101" s="2">
        <v>1</v>
      </c>
      <c r="D101" s="23">
        <v>18.989999999999998</v>
      </c>
      <c r="E101" s="3">
        <v>18.989999999999998</v>
      </c>
      <c r="F101" s="2" t="s">
        <v>19914</v>
      </c>
      <c r="G101" s="22" t="s">
        <v>19713</v>
      </c>
      <c r="H101" s="24" t="s">
        <v>19538</v>
      </c>
      <c r="I101" s="22" t="s">
        <v>19309</v>
      </c>
      <c r="J101" s="22" t="s">
        <v>19573</v>
      </c>
      <c r="K101" s="22" t="s">
        <v>19574</v>
      </c>
      <c r="L101" s="22"/>
      <c r="M101" s="22"/>
      <c r="N101" s="25" t="str">
        <f>HYPERLINK("http://slimages.macys.com/is/image/MCY/1322715 ")</f>
        <v xml:space="preserve">http://slimages.macys.com/is/image/MCY/1322715 </v>
      </c>
    </row>
    <row r="102" spans="1:14" ht="24.75" x14ac:dyDescent="0.25">
      <c r="A102" s="21" t="s">
        <v>19915</v>
      </c>
      <c r="B102" s="22" t="s">
        <v>19916</v>
      </c>
      <c r="C102" s="2">
        <v>1</v>
      </c>
      <c r="D102" s="23">
        <v>18.989999999999998</v>
      </c>
      <c r="E102" s="3">
        <v>18.989999999999998</v>
      </c>
      <c r="F102" s="2" t="s">
        <v>19914</v>
      </c>
      <c r="G102" s="22" t="s">
        <v>19713</v>
      </c>
      <c r="H102" s="24"/>
      <c r="I102" s="22" t="s">
        <v>19309</v>
      </c>
      <c r="J102" s="22" t="s">
        <v>19573</v>
      </c>
      <c r="K102" s="22" t="s">
        <v>19574</v>
      </c>
      <c r="L102" s="22"/>
      <c r="M102" s="22"/>
      <c r="N102" s="25" t="str">
        <f>HYPERLINK("http://slimages.macys.com/is/image/MCY/1322715 ")</f>
        <v xml:space="preserve">http://slimages.macys.com/is/image/MCY/1322715 </v>
      </c>
    </row>
    <row r="103" spans="1:14" ht="24.75" x14ac:dyDescent="0.25">
      <c r="A103" s="21" t="s">
        <v>19917</v>
      </c>
      <c r="B103" s="22" t="s">
        <v>19918</v>
      </c>
      <c r="C103" s="2">
        <v>1</v>
      </c>
      <c r="D103" s="23">
        <v>18.989999999999998</v>
      </c>
      <c r="E103" s="3">
        <v>18.989999999999998</v>
      </c>
      <c r="F103" s="2">
        <v>10015242200</v>
      </c>
      <c r="G103" s="22" t="s">
        <v>19315</v>
      </c>
      <c r="H103" s="24"/>
      <c r="I103" s="22" t="s">
        <v>19309</v>
      </c>
      <c r="J103" s="22" t="s">
        <v>19573</v>
      </c>
      <c r="K103" s="22" t="s">
        <v>19574</v>
      </c>
      <c r="L103" s="22"/>
      <c r="M103" s="22"/>
      <c r="N103" s="25" t="str">
        <f>HYPERLINK("http://slimages.macys.com/is/image/MCY/1322715 ")</f>
        <v xml:space="preserve">http://slimages.macys.com/is/image/MCY/1322715 </v>
      </c>
    </row>
    <row r="104" spans="1:14" ht="24.75" x14ac:dyDescent="0.25">
      <c r="A104" s="21" t="s">
        <v>19919</v>
      </c>
      <c r="B104" s="22" t="s">
        <v>19920</v>
      </c>
      <c r="C104" s="2">
        <v>2</v>
      </c>
      <c r="D104" s="23">
        <v>18.989999999999998</v>
      </c>
      <c r="E104" s="3">
        <v>37.979999999999997</v>
      </c>
      <c r="F104" s="2">
        <v>10015242300</v>
      </c>
      <c r="G104" s="22" t="s">
        <v>19518</v>
      </c>
      <c r="H104" s="24"/>
      <c r="I104" s="22" t="s">
        <v>19309</v>
      </c>
      <c r="J104" s="22" t="s">
        <v>19573</v>
      </c>
      <c r="K104" s="22" t="s">
        <v>19574</v>
      </c>
      <c r="L104" s="22"/>
      <c r="M104" s="22"/>
      <c r="N104" s="25" t="str">
        <f>HYPERLINK("http://slimages.macys.com/is/image/MCY/1322715 ")</f>
        <v xml:space="preserve">http://slimages.macys.com/is/image/MCY/1322715 </v>
      </c>
    </row>
    <row r="105" spans="1:14" ht="24.75" x14ac:dyDescent="0.25">
      <c r="A105" s="21" t="s">
        <v>1368</v>
      </c>
      <c r="B105" s="22" t="s">
        <v>1369</v>
      </c>
      <c r="C105" s="2">
        <v>1</v>
      </c>
      <c r="D105" s="23">
        <v>19.989999999999998</v>
      </c>
      <c r="E105" s="3">
        <v>19.989999999999998</v>
      </c>
      <c r="F105" s="2" t="s">
        <v>1370</v>
      </c>
      <c r="G105" s="22" t="s">
        <v>19357</v>
      </c>
      <c r="H105" s="24"/>
      <c r="I105" s="22" t="s">
        <v>19309</v>
      </c>
      <c r="J105" s="22" t="s">
        <v>19565</v>
      </c>
      <c r="K105" s="22" t="s">
        <v>17976</v>
      </c>
      <c r="L105" s="22"/>
      <c r="M105" s="22"/>
      <c r="N105" s="25" t="str">
        <f>HYPERLINK("http://slimages.macys.com/is/image/MCY/20762292 ")</f>
        <v xml:space="preserve">http://slimages.macys.com/is/image/MCY/20762292 </v>
      </c>
    </row>
    <row r="106" spans="1:14" ht="24.75" x14ac:dyDescent="0.25">
      <c r="A106" s="21" t="s">
        <v>1371</v>
      </c>
      <c r="B106" s="22" t="s">
        <v>1372</v>
      </c>
      <c r="C106" s="2">
        <v>1</v>
      </c>
      <c r="D106" s="23">
        <v>20</v>
      </c>
      <c r="E106" s="3">
        <v>20</v>
      </c>
      <c r="F106" s="2">
        <v>1363372</v>
      </c>
      <c r="G106" s="22" t="s">
        <v>19315</v>
      </c>
      <c r="H106" s="24" t="s">
        <v>19339</v>
      </c>
      <c r="I106" s="22" t="s">
        <v>19309</v>
      </c>
      <c r="J106" s="22" t="s">
        <v>19447</v>
      </c>
      <c r="K106" s="22" t="s">
        <v>17686</v>
      </c>
      <c r="L106" s="22"/>
      <c r="M106" s="22"/>
      <c r="N106" s="25" t="str">
        <f>HYPERLINK("http://slimages.macys.com/is/image/MCY/18894513 ")</f>
        <v xml:space="preserve">http://slimages.macys.com/is/image/MCY/18894513 </v>
      </c>
    </row>
    <row r="107" spans="1:14" ht="24.75" x14ac:dyDescent="0.25">
      <c r="A107" s="21" t="s">
        <v>1373</v>
      </c>
      <c r="B107" s="22" t="s">
        <v>1374</v>
      </c>
      <c r="C107" s="2">
        <v>1</v>
      </c>
      <c r="D107" s="23">
        <v>17.989999999999998</v>
      </c>
      <c r="E107" s="3">
        <v>17.989999999999998</v>
      </c>
      <c r="F107" s="2" t="s">
        <v>1375</v>
      </c>
      <c r="G107" s="22" t="s">
        <v>19315</v>
      </c>
      <c r="H107" s="24" t="s">
        <v>19308</v>
      </c>
      <c r="I107" s="22" t="s">
        <v>19309</v>
      </c>
      <c r="J107" s="22" t="s">
        <v>19565</v>
      </c>
      <c r="K107" s="22" t="s">
        <v>15793</v>
      </c>
      <c r="L107" s="22" t="s">
        <v>19319</v>
      </c>
      <c r="M107" s="22" t="s">
        <v>19689</v>
      </c>
      <c r="N107" s="25" t="str">
        <f>HYPERLINK("http://slimages.macys.com/is/image/MCY/16076760 ")</f>
        <v xml:space="preserve">http://slimages.macys.com/is/image/MCY/16076760 </v>
      </c>
    </row>
    <row r="108" spans="1:14" x14ac:dyDescent="0.25">
      <c r="A108" s="21" t="s">
        <v>1376</v>
      </c>
      <c r="B108" s="22" t="s">
        <v>1377</v>
      </c>
      <c r="C108" s="2">
        <v>1</v>
      </c>
      <c r="D108" s="23">
        <v>16.989999999999998</v>
      </c>
      <c r="E108" s="3">
        <v>16.989999999999998</v>
      </c>
      <c r="F108" s="2" t="s">
        <v>1378</v>
      </c>
      <c r="G108" s="22" t="s">
        <v>19674</v>
      </c>
      <c r="H108" s="24" t="s">
        <v>20135</v>
      </c>
      <c r="I108" s="22" t="s">
        <v>19309</v>
      </c>
      <c r="J108" s="22" t="s">
        <v>19849</v>
      </c>
      <c r="K108" s="22" t="s">
        <v>19850</v>
      </c>
      <c r="L108" s="22"/>
      <c r="M108" s="22"/>
      <c r="N108" s="25" t="str">
        <f>HYPERLINK("http://slimages.macys.com/is/image/MCY/1504991 ")</f>
        <v xml:space="preserve">http://slimages.macys.com/is/image/MCY/1504991 </v>
      </c>
    </row>
    <row r="109" spans="1:14" x14ac:dyDescent="0.25">
      <c r="A109" s="21" t="s">
        <v>19956</v>
      </c>
      <c r="B109" s="22" t="s">
        <v>19957</v>
      </c>
      <c r="C109" s="2">
        <v>1</v>
      </c>
      <c r="D109" s="23">
        <v>24.99</v>
      </c>
      <c r="E109" s="3">
        <v>24.99</v>
      </c>
      <c r="F109" s="2" t="s">
        <v>19958</v>
      </c>
      <c r="G109" s="22" t="s">
        <v>19315</v>
      </c>
      <c r="H109" s="24" t="s">
        <v>19339</v>
      </c>
      <c r="I109" s="22" t="s">
        <v>19309</v>
      </c>
      <c r="J109" s="22" t="s">
        <v>19849</v>
      </c>
      <c r="K109" s="22" t="s">
        <v>19850</v>
      </c>
      <c r="L109" s="22"/>
      <c r="M109" s="22"/>
      <c r="N109" s="25" t="str">
        <f>HYPERLINK("http://slimages.macys.com/is/image/MCY/1521136 ")</f>
        <v xml:space="preserve">http://slimages.macys.com/is/image/MCY/1521136 </v>
      </c>
    </row>
    <row r="110" spans="1:14" ht="24.75" x14ac:dyDescent="0.25">
      <c r="A110" s="21" t="s">
        <v>1379</v>
      </c>
      <c r="B110" s="22" t="s">
        <v>1380</v>
      </c>
      <c r="C110" s="2">
        <v>1</v>
      </c>
      <c r="D110" s="23">
        <v>19.989999999999998</v>
      </c>
      <c r="E110" s="3">
        <v>19.989999999999998</v>
      </c>
      <c r="F110" s="2" t="s">
        <v>1381</v>
      </c>
      <c r="G110" s="22" t="s">
        <v>19518</v>
      </c>
      <c r="H110" s="24" t="s">
        <v>19324</v>
      </c>
      <c r="I110" s="22" t="s">
        <v>19309</v>
      </c>
      <c r="J110" s="22" t="s">
        <v>19573</v>
      </c>
      <c r="K110" s="22" t="s">
        <v>19574</v>
      </c>
      <c r="L110" s="22"/>
      <c r="M110" s="22"/>
      <c r="N110" s="25" t="str">
        <f>HYPERLINK("http://slimages.macys.com/is/image/MCY/19754292 ")</f>
        <v xml:space="preserve">http://slimages.macys.com/is/image/MCY/19754292 </v>
      </c>
    </row>
    <row r="111" spans="1:14" x14ac:dyDescent="0.25">
      <c r="A111" s="21" t="s">
        <v>7489</v>
      </c>
      <c r="B111" s="22" t="s">
        <v>7490</v>
      </c>
      <c r="C111" s="2">
        <v>1</v>
      </c>
      <c r="D111" s="23">
        <v>21.99</v>
      </c>
      <c r="E111" s="3">
        <v>21.99</v>
      </c>
      <c r="F111" s="2" t="s">
        <v>18024</v>
      </c>
      <c r="G111" s="22" t="s">
        <v>19342</v>
      </c>
      <c r="H111" s="24" t="s">
        <v>19542</v>
      </c>
      <c r="I111" s="22" t="s">
        <v>19309</v>
      </c>
      <c r="J111" s="22" t="s">
        <v>19696</v>
      </c>
      <c r="K111" s="22" t="s">
        <v>19965</v>
      </c>
      <c r="L111" s="22"/>
      <c r="M111" s="22"/>
      <c r="N111" s="25" t="str">
        <f>HYPERLINK("http://slimages.macys.com/is/image/MCY/21708518 ")</f>
        <v xml:space="preserve">http://slimages.macys.com/is/image/MCY/21708518 </v>
      </c>
    </row>
    <row r="112" spans="1:14" ht="24.75" x14ac:dyDescent="0.25">
      <c r="A112" s="21" t="s">
        <v>1382</v>
      </c>
      <c r="B112" s="22" t="s">
        <v>1383</v>
      </c>
      <c r="C112" s="2">
        <v>1</v>
      </c>
      <c r="D112" s="23">
        <v>14.99</v>
      </c>
      <c r="E112" s="3">
        <v>14.99</v>
      </c>
      <c r="F112" s="2" t="s">
        <v>11998</v>
      </c>
      <c r="G112" s="22" t="s">
        <v>19315</v>
      </c>
      <c r="H112" s="24" t="s">
        <v>19377</v>
      </c>
      <c r="I112" s="22" t="s">
        <v>19309</v>
      </c>
      <c r="J112" s="22" t="s">
        <v>19447</v>
      </c>
      <c r="K112" s="22" t="s">
        <v>20146</v>
      </c>
      <c r="L112" s="22"/>
      <c r="M112" s="22"/>
      <c r="N112" s="25" t="str">
        <f>HYPERLINK("http://slimages.macys.com/is/image/MCY/17609414 ")</f>
        <v xml:space="preserve">http://slimages.macys.com/is/image/MCY/17609414 </v>
      </c>
    </row>
    <row r="113" spans="1:14" ht="24.75" x14ac:dyDescent="0.25">
      <c r="A113" s="21" t="s">
        <v>1384</v>
      </c>
      <c r="B113" s="22" t="s">
        <v>1385</v>
      </c>
      <c r="C113" s="2">
        <v>1</v>
      </c>
      <c r="D113" s="23">
        <v>16.989999999999998</v>
      </c>
      <c r="E113" s="3">
        <v>16.989999999999998</v>
      </c>
      <c r="F113" s="2" t="s">
        <v>18001</v>
      </c>
      <c r="G113" s="22" t="s">
        <v>19513</v>
      </c>
      <c r="H113" s="24" t="s">
        <v>19364</v>
      </c>
      <c r="I113" s="22" t="s">
        <v>19309</v>
      </c>
      <c r="J113" s="22" t="s">
        <v>19815</v>
      </c>
      <c r="K113" s="22" t="s">
        <v>19816</v>
      </c>
      <c r="L113" s="22"/>
      <c r="M113" s="22"/>
      <c r="N113" s="25" t="str">
        <f>HYPERLINK("http://slimages.macys.com/is/image/MCY/21278571 ")</f>
        <v xml:space="preserve">http://slimages.macys.com/is/image/MCY/21278571 </v>
      </c>
    </row>
    <row r="114" spans="1:14" x14ac:dyDescent="0.25">
      <c r="A114" s="21" t="s">
        <v>15374</v>
      </c>
      <c r="B114" s="22" t="s">
        <v>15375</v>
      </c>
      <c r="C114" s="2">
        <v>1</v>
      </c>
      <c r="D114" s="23">
        <v>16.989999999999998</v>
      </c>
      <c r="E114" s="3">
        <v>16.989999999999998</v>
      </c>
      <c r="F114" s="2" t="s">
        <v>20002</v>
      </c>
      <c r="G114" s="22" t="s">
        <v>19674</v>
      </c>
      <c r="H114" s="24" t="s">
        <v>19352</v>
      </c>
      <c r="I114" s="22" t="s">
        <v>19309</v>
      </c>
      <c r="J114" s="22" t="s">
        <v>19849</v>
      </c>
      <c r="K114" s="22" t="s">
        <v>19850</v>
      </c>
      <c r="L114" s="22"/>
      <c r="M114" s="22"/>
      <c r="N114" s="25" t="str">
        <f>HYPERLINK("http://slimages.macys.com/is/image/MCY/20549392 ")</f>
        <v xml:space="preserve">http://slimages.macys.com/is/image/MCY/20549392 </v>
      </c>
    </row>
    <row r="115" spans="1:14" ht="24.75" x14ac:dyDescent="0.25">
      <c r="A115" s="21" t="s">
        <v>1386</v>
      </c>
      <c r="B115" s="22" t="s">
        <v>1387</v>
      </c>
      <c r="C115" s="2">
        <v>1</v>
      </c>
      <c r="D115" s="23">
        <v>21.99</v>
      </c>
      <c r="E115" s="3">
        <v>21.99</v>
      </c>
      <c r="F115" s="2" t="s">
        <v>1388</v>
      </c>
      <c r="G115" s="22" t="s">
        <v>19315</v>
      </c>
      <c r="H115" s="24" t="s">
        <v>19797</v>
      </c>
      <c r="I115" s="22" t="s">
        <v>19309</v>
      </c>
      <c r="J115" s="22" t="s">
        <v>19508</v>
      </c>
      <c r="K115" s="22" t="s">
        <v>20024</v>
      </c>
      <c r="L115" s="22"/>
      <c r="M115" s="22"/>
      <c r="N115" s="25" t="str">
        <f>HYPERLINK("http://slimages.macys.com/is/image/MCY/18644329 ")</f>
        <v xml:space="preserve">http://slimages.macys.com/is/image/MCY/18644329 </v>
      </c>
    </row>
    <row r="116" spans="1:14" x14ac:dyDescent="0.25">
      <c r="A116" s="21" t="s">
        <v>1389</v>
      </c>
      <c r="B116" s="22" t="s">
        <v>1390</v>
      </c>
      <c r="C116" s="2">
        <v>1</v>
      </c>
      <c r="D116" s="23">
        <v>15.99</v>
      </c>
      <c r="E116" s="3">
        <v>15.99</v>
      </c>
      <c r="F116" s="2" t="s">
        <v>18082</v>
      </c>
      <c r="G116" s="22" t="s">
        <v>19404</v>
      </c>
      <c r="H116" s="24" t="s">
        <v>19339</v>
      </c>
      <c r="I116" s="22" t="s">
        <v>19309</v>
      </c>
      <c r="J116" s="22" t="s">
        <v>19310</v>
      </c>
      <c r="K116" s="22" t="s">
        <v>19529</v>
      </c>
      <c r="L116" s="22"/>
      <c r="M116" s="22"/>
      <c r="N116" s="25" t="str">
        <f>HYPERLINK("http://slimages.macys.com/is/image/MCY/21165598 ")</f>
        <v xml:space="preserve">http://slimages.macys.com/is/image/MCY/21165598 </v>
      </c>
    </row>
    <row r="117" spans="1:14" ht="24.75" x14ac:dyDescent="0.25">
      <c r="A117" s="21" t="s">
        <v>1391</v>
      </c>
      <c r="B117" s="22" t="s">
        <v>1392</v>
      </c>
      <c r="C117" s="2">
        <v>1</v>
      </c>
      <c r="D117" s="23">
        <v>17.82</v>
      </c>
      <c r="E117" s="3">
        <v>17.82</v>
      </c>
      <c r="F117" s="2" t="s">
        <v>15966</v>
      </c>
      <c r="G117" s="22"/>
      <c r="H117" s="24" t="s">
        <v>19334</v>
      </c>
      <c r="I117" s="22" t="s">
        <v>19309</v>
      </c>
      <c r="J117" s="22" t="s">
        <v>19602</v>
      </c>
      <c r="K117" s="22" t="s">
        <v>20041</v>
      </c>
      <c r="L117" s="22"/>
      <c r="M117" s="22"/>
      <c r="N117" s="25" t="str">
        <f>HYPERLINK("http://slimages.macys.com/is/image/MCY/20529029 ")</f>
        <v xml:space="preserve">http://slimages.macys.com/is/image/MCY/20529029 </v>
      </c>
    </row>
    <row r="118" spans="1:14" x14ac:dyDescent="0.25">
      <c r="A118" s="21" t="s">
        <v>15967</v>
      </c>
      <c r="B118" s="22" t="s">
        <v>15968</v>
      </c>
      <c r="C118" s="2">
        <v>1</v>
      </c>
      <c r="D118" s="23">
        <v>16.989999999999998</v>
      </c>
      <c r="E118" s="3">
        <v>16.989999999999998</v>
      </c>
      <c r="F118" s="2" t="s">
        <v>18085</v>
      </c>
      <c r="G118" s="22" t="s">
        <v>19315</v>
      </c>
      <c r="H118" s="24" t="s">
        <v>19339</v>
      </c>
      <c r="I118" s="22" t="s">
        <v>19309</v>
      </c>
      <c r="J118" s="22" t="s">
        <v>19849</v>
      </c>
      <c r="K118" s="22" t="s">
        <v>19850</v>
      </c>
      <c r="L118" s="22"/>
      <c r="M118" s="22"/>
      <c r="N118" s="25" t="str">
        <f>HYPERLINK("http://slimages.macys.com/is/image/MCY/21840264 ")</f>
        <v xml:space="preserve">http://slimages.macys.com/is/image/MCY/21840264 </v>
      </c>
    </row>
    <row r="119" spans="1:14" ht="24.75" x14ac:dyDescent="0.25">
      <c r="A119" s="21" t="s">
        <v>1393</v>
      </c>
      <c r="B119" s="22" t="s">
        <v>1394</v>
      </c>
      <c r="C119" s="2">
        <v>1</v>
      </c>
      <c r="D119" s="23">
        <v>17.71</v>
      </c>
      <c r="E119" s="3">
        <v>17.71</v>
      </c>
      <c r="F119" s="2" t="s">
        <v>1395</v>
      </c>
      <c r="G119" s="22" t="s">
        <v>19333</v>
      </c>
      <c r="H119" s="24" t="s">
        <v>19361</v>
      </c>
      <c r="I119" s="22" t="s">
        <v>19309</v>
      </c>
      <c r="J119" s="22" t="s">
        <v>19602</v>
      </c>
      <c r="K119" s="22" t="s">
        <v>20041</v>
      </c>
      <c r="L119" s="22"/>
      <c r="M119" s="22"/>
      <c r="N119" s="25" t="str">
        <f>HYPERLINK("http://slimages.macys.com/is/image/MCY/22405942 ")</f>
        <v xml:space="preserve">http://slimages.macys.com/is/image/MCY/22405942 </v>
      </c>
    </row>
    <row r="120" spans="1:14" ht="24.75" x14ac:dyDescent="0.25">
      <c r="A120" s="21" t="s">
        <v>2586</v>
      </c>
      <c r="B120" s="22" t="s">
        <v>2587</v>
      </c>
      <c r="C120" s="2">
        <v>1</v>
      </c>
      <c r="D120" s="23">
        <v>13.99</v>
      </c>
      <c r="E120" s="3">
        <v>13.99</v>
      </c>
      <c r="F120" s="2" t="s">
        <v>20050</v>
      </c>
      <c r="G120" s="22" t="s">
        <v>19467</v>
      </c>
      <c r="H120" s="24" t="s">
        <v>19797</v>
      </c>
      <c r="I120" s="22" t="s">
        <v>19309</v>
      </c>
      <c r="J120" s="22" t="s">
        <v>19447</v>
      </c>
      <c r="K120" s="22" t="s">
        <v>19873</v>
      </c>
      <c r="L120" s="22"/>
      <c r="M120" s="22"/>
      <c r="N120" s="25" t="str">
        <f>HYPERLINK("http://slimages.macys.com/is/image/MCY/20670016 ")</f>
        <v xml:space="preserve">http://slimages.macys.com/is/image/MCY/20670016 </v>
      </c>
    </row>
    <row r="121" spans="1:14" ht="24.75" x14ac:dyDescent="0.25">
      <c r="A121" s="21" t="s">
        <v>1396</v>
      </c>
      <c r="B121" s="22" t="s">
        <v>1397</v>
      </c>
      <c r="C121" s="2">
        <v>1</v>
      </c>
      <c r="D121" s="23">
        <v>14.99</v>
      </c>
      <c r="E121" s="3">
        <v>14.99</v>
      </c>
      <c r="F121" s="2" t="s">
        <v>5735</v>
      </c>
      <c r="G121" s="22" t="s">
        <v>19342</v>
      </c>
      <c r="H121" s="24" t="s">
        <v>19542</v>
      </c>
      <c r="I121" s="22" t="s">
        <v>19309</v>
      </c>
      <c r="J121" s="22" t="s">
        <v>20076</v>
      </c>
      <c r="K121" s="22" t="s">
        <v>5736</v>
      </c>
      <c r="L121" s="22" t="s">
        <v>19319</v>
      </c>
      <c r="M121" s="22" t="s">
        <v>19358</v>
      </c>
      <c r="N121" s="25" t="str">
        <f>HYPERLINK("http://slimages.macys.com/is/image/MCY/3891062 ")</f>
        <v xml:space="preserve">http://slimages.macys.com/is/image/MCY/3891062 </v>
      </c>
    </row>
    <row r="122" spans="1:14" x14ac:dyDescent="0.25">
      <c r="A122" s="21" t="s">
        <v>2599</v>
      </c>
      <c r="B122" s="22" t="s">
        <v>2600</v>
      </c>
      <c r="C122" s="2">
        <v>1</v>
      </c>
      <c r="D122" s="23">
        <v>15.99</v>
      </c>
      <c r="E122" s="3">
        <v>15.99</v>
      </c>
      <c r="F122" s="2" t="s">
        <v>20063</v>
      </c>
      <c r="G122" s="22" t="s">
        <v>19333</v>
      </c>
      <c r="H122" s="24" t="s">
        <v>19432</v>
      </c>
      <c r="I122" s="22" t="s">
        <v>19309</v>
      </c>
      <c r="J122" s="22" t="s">
        <v>19310</v>
      </c>
      <c r="K122" s="22" t="s">
        <v>19440</v>
      </c>
      <c r="L122" s="22"/>
      <c r="M122" s="22"/>
      <c r="N122" s="25" t="str">
        <f>HYPERLINK("http://slimages.macys.com/is/image/MCY/21149116 ")</f>
        <v xml:space="preserve">http://slimages.macys.com/is/image/MCY/21149116 </v>
      </c>
    </row>
    <row r="123" spans="1:14" ht="24.75" x14ac:dyDescent="0.25">
      <c r="A123" s="21" t="s">
        <v>12063</v>
      </c>
      <c r="B123" s="22" t="s">
        <v>12064</v>
      </c>
      <c r="C123" s="2">
        <v>1</v>
      </c>
      <c r="D123" s="23">
        <v>15.56</v>
      </c>
      <c r="E123" s="3">
        <v>15.56</v>
      </c>
      <c r="F123" s="2" t="s">
        <v>12065</v>
      </c>
      <c r="G123" s="22"/>
      <c r="H123" s="24" t="s">
        <v>19345</v>
      </c>
      <c r="I123" s="22" t="s">
        <v>19309</v>
      </c>
      <c r="J123" s="22" t="s">
        <v>19602</v>
      </c>
      <c r="K123" s="22" t="s">
        <v>20041</v>
      </c>
      <c r="L123" s="22"/>
      <c r="M123" s="22"/>
      <c r="N123" s="25" t="str">
        <f>HYPERLINK("http://slimages.macys.com/is/image/MCY/19934677 ")</f>
        <v xml:space="preserve">http://slimages.macys.com/is/image/MCY/19934677 </v>
      </c>
    </row>
    <row r="124" spans="1:14" ht="24.75" x14ac:dyDescent="0.25">
      <c r="A124" s="21" t="s">
        <v>18127</v>
      </c>
      <c r="B124" s="22" t="s">
        <v>18128</v>
      </c>
      <c r="C124" s="2">
        <v>7</v>
      </c>
      <c r="D124" s="23">
        <v>17.989999999999998</v>
      </c>
      <c r="E124" s="3">
        <v>125.93</v>
      </c>
      <c r="F124" s="2">
        <v>4350</v>
      </c>
      <c r="G124" s="22" t="s">
        <v>19315</v>
      </c>
      <c r="H124" s="24" t="s">
        <v>19339</v>
      </c>
      <c r="I124" s="22" t="s">
        <v>19309</v>
      </c>
      <c r="J124" s="22" t="s">
        <v>20076</v>
      </c>
      <c r="K124" s="22" t="s">
        <v>20077</v>
      </c>
      <c r="L124" s="22"/>
      <c r="M124" s="22"/>
      <c r="N124" s="25" t="str">
        <f>HYPERLINK("http://slimages.macys.com/is/image/MCY/18821763 ")</f>
        <v xml:space="preserve">http://slimages.macys.com/is/image/MCY/18821763 </v>
      </c>
    </row>
    <row r="125" spans="1:14" ht="24.75" x14ac:dyDescent="0.25">
      <c r="A125" s="21" t="s">
        <v>18129</v>
      </c>
      <c r="B125" s="22" t="s">
        <v>18130</v>
      </c>
      <c r="C125" s="2">
        <v>3</v>
      </c>
      <c r="D125" s="23">
        <v>17.989999999999998</v>
      </c>
      <c r="E125" s="3">
        <v>53.97</v>
      </c>
      <c r="F125" s="2">
        <v>4350</v>
      </c>
      <c r="G125" s="22" t="s">
        <v>19315</v>
      </c>
      <c r="H125" s="24" t="s">
        <v>19352</v>
      </c>
      <c r="I125" s="22" t="s">
        <v>19309</v>
      </c>
      <c r="J125" s="22" t="s">
        <v>20076</v>
      </c>
      <c r="K125" s="22" t="s">
        <v>20077</v>
      </c>
      <c r="L125" s="22"/>
      <c r="M125" s="22"/>
      <c r="N125" s="25" t="str">
        <f>HYPERLINK("http://slimages.macys.com/is/image/MCY/18821763 ")</f>
        <v xml:space="preserve">http://slimages.macys.com/is/image/MCY/18821763 </v>
      </c>
    </row>
    <row r="126" spans="1:14" ht="24.75" x14ac:dyDescent="0.25">
      <c r="A126" s="21" t="s">
        <v>1398</v>
      </c>
      <c r="B126" s="22" t="s">
        <v>1399</v>
      </c>
      <c r="C126" s="2">
        <v>1</v>
      </c>
      <c r="D126" s="23">
        <v>16.82</v>
      </c>
      <c r="E126" s="3">
        <v>16.82</v>
      </c>
      <c r="F126" s="2" t="s">
        <v>1400</v>
      </c>
      <c r="G126" s="22"/>
      <c r="H126" s="24" t="s">
        <v>19334</v>
      </c>
      <c r="I126" s="22" t="s">
        <v>19309</v>
      </c>
      <c r="J126" s="22" t="s">
        <v>19602</v>
      </c>
      <c r="K126" s="22" t="s">
        <v>20041</v>
      </c>
      <c r="L126" s="22"/>
      <c r="M126" s="22"/>
      <c r="N126" s="25" t="str">
        <f>HYPERLINK("http://slimages.macys.com/is/image/MCY/21421002 ")</f>
        <v xml:space="preserve">http://slimages.macys.com/is/image/MCY/21421002 </v>
      </c>
    </row>
    <row r="127" spans="1:14" ht="24.75" x14ac:dyDescent="0.25">
      <c r="A127" s="21" t="s">
        <v>1401</v>
      </c>
      <c r="B127" s="22" t="s">
        <v>1402</v>
      </c>
      <c r="C127" s="2">
        <v>1</v>
      </c>
      <c r="D127" s="23">
        <v>14</v>
      </c>
      <c r="E127" s="3">
        <v>14</v>
      </c>
      <c r="F127" s="2" t="s">
        <v>1403</v>
      </c>
      <c r="G127" s="22" t="s">
        <v>19404</v>
      </c>
      <c r="H127" s="24"/>
      <c r="I127" s="22" t="s">
        <v>19309</v>
      </c>
      <c r="J127" s="22" t="s">
        <v>19317</v>
      </c>
      <c r="K127" s="22" t="s">
        <v>16124</v>
      </c>
      <c r="L127" s="22" t="s">
        <v>19319</v>
      </c>
      <c r="M127" s="22" t="s">
        <v>5770</v>
      </c>
      <c r="N127" s="25" t="str">
        <f>HYPERLINK("http://slimages.macys.com/is/image/MCY/13914401 ")</f>
        <v xml:space="preserve">http://slimages.macys.com/is/image/MCY/13914401 </v>
      </c>
    </row>
    <row r="128" spans="1:14" ht="24.75" x14ac:dyDescent="0.25">
      <c r="A128" s="21" t="s">
        <v>1404</v>
      </c>
      <c r="B128" s="22" t="s">
        <v>1405</v>
      </c>
      <c r="C128" s="2">
        <v>1</v>
      </c>
      <c r="D128" s="23">
        <v>14</v>
      </c>
      <c r="E128" s="3">
        <v>14</v>
      </c>
      <c r="F128" s="2" t="s">
        <v>1406</v>
      </c>
      <c r="G128" s="22" t="s">
        <v>19333</v>
      </c>
      <c r="H128" s="24"/>
      <c r="I128" s="22" t="s">
        <v>19309</v>
      </c>
      <c r="J128" s="22" t="s">
        <v>19317</v>
      </c>
      <c r="K128" s="22" t="s">
        <v>16124</v>
      </c>
      <c r="L128" s="22" t="s">
        <v>19319</v>
      </c>
      <c r="M128" s="22" t="s">
        <v>5770</v>
      </c>
      <c r="N128" s="25" t="str">
        <f>HYPERLINK("http://slimages.macys.com/is/image/MCY/13914401 ")</f>
        <v xml:space="preserve">http://slimages.macys.com/is/image/MCY/13914401 </v>
      </c>
    </row>
    <row r="129" spans="1:14" ht="24.75" x14ac:dyDescent="0.25">
      <c r="A129" s="21" t="s">
        <v>1407</v>
      </c>
      <c r="B129" s="22" t="s">
        <v>1408</v>
      </c>
      <c r="C129" s="2">
        <v>2</v>
      </c>
      <c r="D129" s="23">
        <v>14.99</v>
      </c>
      <c r="E129" s="3">
        <v>29.98</v>
      </c>
      <c r="F129" s="2" t="s">
        <v>1409</v>
      </c>
      <c r="G129" s="22" t="s">
        <v>19338</v>
      </c>
      <c r="H129" s="24" t="s">
        <v>19334</v>
      </c>
      <c r="I129" s="22" t="s">
        <v>19309</v>
      </c>
      <c r="J129" s="22" t="s">
        <v>19447</v>
      </c>
      <c r="K129" s="22" t="s">
        <v>19463</v>
      </c>
      <c r="L129" s="22"/>
      <c r="M129" s="22"/>
      <c r="N129" s="25" t="str">
        <f>HYPERLINK("http://slimages.macys.com/is/image/MCY/18518102 ")</f>
        <v xml:space="preserve">http://slimages.macys.com/is/image/MCY/18518102 </v>
      </c>
    </row>
    <row r="130" spans="1:14" ht="24.75" x14ac:dyDescent="0.25">
      <c r="A130" s="21" t="s">
        <v>1410</v>
      </c>
      <c r="B130" s="22" t="s">
        <v>1411</v>
      </c>
      <c r="C130" s="2">
        <v>1</v>
      </c>
      <c r="D130" s="23">
        <v>14</v>
      </c>
      <c r="E130" s="3">
        <v>14</v>
      </c>
      <c r="F130" s="2" t="s">
        <v>1412</v>
      </c>
      <c r="G130" s="22" t="s">
        <v>8934</v>
      </c>
      <c r="H130" s="24"/>
      <c r="I130" s="22" t="s">
        <v>19309</v>
      </c>
      <c r="J130" s="22" t="s">
        <v>19317</v>
      </c>
      <c r="K130" s="22" t="s">
        <v>16124</v>
      </c>
      <c r="L130" s="22" t="s">
        <v>19319</v>
      </c>
      <c r="M130" s="22" t="s">
        <v>5770</v>
      </c>
      <c r="N130" s="25" t="str">
        <f>HYPERLINK("http://slimages.macys.com/is/image/MCY/13914401 ")</f>
        <v xml:space="preserve">http://slimages.macys.com/is/image/MCY/13914401 </v>
      </c>
    </row>
    <row r="131" spans="1:14" x14ac:dyDescent="0.25">
      <c r="A131" s="21" t="s">
        <v>1413</v>
      </c>
      <c r="B131" s="22" t="s">
        <v>1414</v>
      </c>
      <c r="C131" s="2">
        <v>1</v>
      </c>
      <c r="D131" s="23">
        <v>15.99</v>
      </c>
      <c r="E131" s="3">
        <v>15.99</v>
      </c>
      <c r="F131" s="2" t="s">
        <v>1415</v>
      </c>
      <c r="G131" s="22" t="s">
        <v>19630</v>
      </c>
      <c r="H131" s="24" t="s">
        <v>19395</v>
      </c>
      <c r="I131" s="22" t="s">
        <v>19309</v>
      </c>
      <c r="J131" s="22" t="s">
        <v>19310</v>
      </c>
      <c r="K131" s="22" t="s">
        <v>19623</v>
      </c>
      <c r="L131" s="22"/>
      <c r="M131" s="22"/>
      <c r="N131" s="25" t="str">
        <f>HYPERLINK("http://slimages.macys.com/is/image/MCY/22058139 ")</f>
        <v xml:space="preserve">http://slimages.macys.com/is/image/MCY/22058139 </v>
      </c>
    </row>
    <row r="132" spans="1:14" x14ac:dyDescent="0.25">
      <c r="A132" s="21" t="s">
        <v>1416</v>
      </c>
      <c r="B132" s="22" t="s">
        <v>1417</v>
      </c>
      <c r="C132" s="2">
        <v>1</v>
      </c>
      <c r="D132" s="23">
        <v>19</v>
      </c>
      <c r="E132" s="3">
        <v>19</v>
      </c>
      <c r="F132" s="2" t="s">
        <v>1418</v>
      </c>
      <c r="G132" s="22" t="s">
        <v>19338</v>
      </c>
      <c r="H132" s="24" t="s">
        <v>19330</v>
      </c>
      <c r="I132" s="22" t="s">
        <v>19309</v>
      </c>
      <c r="J132" s="22" t="s">
        <v>19708</v>
      </c>
      <c r="K132" s="22" t="s">
        <v>19709</v>
      </c>
      <c r="L132" s="22"/>
      <c r="M132" s="22"/>
      <c r="N132" s="25" t="str">
        <f>HYPERLINK("http://slimages.macys.com/is/image/MCY/21413405 ")</f>
        <v xml:space="preserve">http://slimages.macys.com/is/image/MCY/21413405 </v>
      </c>
    </row>
    <row r="133" spans="1:14" x14ac:dyDescent="0.25">
      <c r="A133" s="21" t="s">
        <v>15450</v>
      </c>
      <c r="B133" s="22" t="s">
        <v>15451</v>
      </c>
      <c r="C133" s="2">
        <v>1</v>
      </c>
      <c r="D133" s="23">
        <v>18.77</v>
      </c>
      <c r="E133" s="3">
        <v>18.77</v>
      </c>
      <c r="F133" s="2" t="s">
        <v>20119</v>
      </c>
      <c r="G133" s="22"/>
      <c r="H133" s="24" t="s">
        <v>20159</v>
      </c>
      <c r="I133" s="22" t="s">
        <v>19309</v>
      </c>
      <c r="J133" s="22" t="s">
        <v>19708</v>
      </c>
      <c r="K133" s="22" t="s">
        <v>19709</v>
      </c>
      <c r="L133" s="22"/>
      <c r="M133" s="22"/>
      <c r="N133" s="25" t="str">
        <f>HYPERLINK("http://slimages.macys.com/is/image/MCY/22405750 ")</f>
        <v xml:space="preserve">http://slimages.macys.com/is/image/MCY/22405750 </v>
      </c>
    </row>
    <row r="134" spans="1:14" x14ac:dyDescent="0.25">
      <c r="A134" s="21" t="s">
        <v>5776</v>
      </c>
      <c r="B134" s="22" t="s">
        <v>5777</v>
      </c>
      <c r="C134" s="2">
        <v>1</v>
      </c>
      <c r="D134" s="23">
        <v>18.77</v>
      </c>
      <c r="E134" s="3">
        <v>18.77</v>
      </c>
      <c r="F134" s="2" t="s">
        <v>20116</v>
      </c>
      <c r="G134" s="22"/>
      <c r="H134" s="24" t="s">
        <v>19770</v>
      </c>
      <c r="I134" s="22" t="s">
        <v>19309</v>
      </c>
      <c r="J134" s="22" t="s">
        <v>19708</v>
      </c>
      <c r="K134" s="22" t="s">
        <v>19709</v>
      </c>
      <c r="L134" s="22"/>
      <c r="M134" s="22"/>
      <c r="N134" s="25" t="str">
        <f>HYPERLINK("http://slimages.macys.com/is/image/MCY/22405951 ")</f>
        <v xml:space="preserve">http://slimages.macys.com/is/image/MCY/22405951 </v>
      </c>
    </row>
    <row r="135" spans="1:14" x14ac:dyDescent="0.25">
      <c r="A135" s="21" t="s">
        <v>1419</v>
      </c>
      <c r="B135" s="22" t="s">
        <v>1420</v>
      </c>
      <c r="C135" s="2">
        <v>1</v>
      </c>
      <c r="D135" s="23">
        <v>14.67</v>
      </c>
      <c r="E135" s="3">
        <v>14.67</v>
      </c>
      <c r="F135" s="2" t="s">
        <v>1421</v>
      </c>
      <c r="G135" s="22" t="s">
        <v>19338</v>
      </c>
      <c r="H135" s="24" t="s">
        <v>18168</v>
      </c>
      <c r="I135" s="22" t="s">
        <v>19309</v>
      </c>
      <c r="J135" s="22" t="s">
        <v>19708</v>
      </c>
      <c r="K135" s="22" t="s">
        <v>19709</v>
      </c>
      <c r="L135" s="22"/>
      <c r="M135" s="22"/>
      <c r="N135" s="25" t="str">
        <f>HYPERLINK("http://slimages.macys.com/is/image/MCY/19051235 ")</f>
        <v xml:space="preserve">http://slimages.macys.com/is/image/MCY/19051235 </v>
      </c>
    </row>
    <row r="136" spans="1:14" ht="24.75" x14ac:dyDescent="0.25">
      <c r="A136" s="21" t="s">
        <v>1422</v>
      </c>
      <c r="B136" s="22" t="s">
        <v>1423</v>
      </c>
      <c r="C136" s="2">
        <v>1</v>
      </c>
      <c r="D136" s="23">
        <v>16.989999999999998</v>
      </c>
      <c r="E136" s="3">
        <v>16.989999999999998</v>
      </c>
      <c r="F136" s="2" t="s">
        <v>1424</v>
      </c>
      <c r="G136" s="22" t="s">
        <v>19357</v>
      </c>
      <c r="H136" s="24" t="s">
        <v>18530</v>
      </c>
      <c r="I136" s="22" t="s">
        <v>19309</v>
      </c>
      <c r="J136" s="22" t="s">
        <v>19565</v>
      </c>
      <c r="K136" s="22" t="s">
        <v>17976</v>
      </c>
      <c r="L136" s="22"/>
      <c r="M136" s="22"/>
      <c r="N136" s="25" t="str">
        <f>HYPERLINK("http://slimages.macys.com/is/image/MCY/21239975 ")</f>
        <v xml:space="preserve">http://slimages.macys.com/is/image/MCY/21239975 </v>
      </c>
    </row>
    <row r="137" spans="1:14" ht="24.75" x14ac:dyDescent="0.25">
      <c r="A137" s="21" t="s">
        <v>2660</v>
      </c>
      <c r="B137" s="22" t="s">
        <v>5173</v>
      </c>
      <c r="C137" s="2">
        <v>1</v>
      </c>
      <c r="D137" s="23">
        <v>20.99</v>
      </c>
      <c r="E137" s="3">
        <v>20.99</v>
      </c>
      <c r="F137" s="2" t="s">
        <v>2661</v>
      </c>
      <c r="G137" s="22" t="s">
        <v>19315</v>
      </c>
      <c r="H137" s="24" t="s">
        <v>18139</v>
      </c>
      <c r="I137" s="22" t="s">
        <v>19309</v>
      </c>
      <c r="J137" s="22" t="s">
        <v>19447</v>
      </c>
      <c r="K137" s="22" t="s">
        <v>18333</v>
      </c>
      <c r="L137" s="22"/>
      <c r="M137" s="22"/>
      <c r="N137" s="25" t="str">
        <f>HYPERLINK("http://slimages.macys.com/is/image/MCY/19933655 ")</f>
        <v xml:space="preserve">http://slimages.macys.com/is/image/MCY/19933655 </v>
      </c>
    </row>
    <row r="138" spans="1:14" x14ac:dyDescent="0.25">
      <c r="A138" s="21" t="s">
        <v>5808</v>
      </c>
      <c r="B138" s="22" t="s">
        <v>5809</v>
      </c>
      <c r="C138" s="2">
        <v>1</v>
      </c>
      <c r="D138" s="23">
        <v>16.989999999999998</v>
      </c>
      <c r="E138" s="3">
        <v>16.989999999999998</v>
      </c>
      <c r="F138" s="2" t="s">
        <v>20168</v>
      </c>
      <c r="G138" s="22" t="s">
        <v>19431</v>
      </c>
      <c r="H138" s="24" t="s">
        <v>19339</v>
      </c>
      <c r="I138" s="22" t="s">
        <v>19309</v>
      </c>
      <c r="J138" s="22" t="s">
        <v>19849</v>
      </c>
      <c r="K138" s="22" t="s">
        <v>19850</v>
      </c>
      <c r="L138" s="22"/>
      <c r="M138" s="22"/>
      <c r="N138" s="25" t="str">
        <f>HYPERLINK("http://slimages.macys.com/is/image/MCY/20752002 ")</f>
        <v xml:space="preserve">http://slimages.macys.com/is/image/MCY/20752002 </v>
      </c>
    </row>
    <row r="139" spans="1:14" ht="24.75" x14ac:dyDescent="0.25">
      <c r="A139" s="21" t="s">
        <v>1425</v>
      </c>
      <c r="B139" s="22" t="s">
        <v>1426</v>
      </c>
      <c r="C139" s="2">
        <v>1</v>
      </c>
      <c r="D139" s="23">
        <v>19.989999999999998</v>
      </c>
      <c r="E139" s="3">
        <v>19.989999999999998</v>
      </c>
      <c r="F139" s="2" t="s">
        <v>1427</v>
      </c>
      <c r="G139" s="22" t="s">
        <v>8934</v>
      </c>
      <c r="H139" s="24" t="s">
        <v>19416</v>
      </c>
      <c r="I139" s="22" t="s">
        <v>19309</v>
      </c>
      <c r="J139" s="22" t="s">
        <v>19573</v>
      </c>
      <c r="K139" s="22" t="s">
        <v>19574</v>
      </c>
      <c r="L139" s="22"/>
      <c r="M139" s="22"/>
      <c r="N139" s="25" t="str">
        <f>HYPERLINK("http://slimages.macys.com/is/image/MCY/21732066 ")</f>
        <v xml:space="preserve">http://slimages.macys.com/is/image/MCY/21732066 </v>
      </c>
    </row>
    <row r="140" spans="1:14" x14ac:dyDescent="0.25">
      <c r="A140" s="21" t="s">
        <v>20192</v>
      </c>
      <c r="B140" s="22" t="s">
        <v>20193</v>
      </c>
      <c r="C140" s="2">
        <v>2</v>
      </c>
      <c r="D140" s="23">
        <v>17.87</v>
      </c>
      <c r="E140" s="3">
        <v>35.74</v>
      </c>
      <c r="F140" s="2" t="s">
        <v>20173</v>
      </c>
      <c r="G140" s="22"/>
      <c r="H140" s="24" t="s">
        <v>19324</v>
      </c>
      <c r="I140" s="22" t="s">
        <v>19309</v>
      </c>
      <c r="J140" s="22" t="s">
        <v>19708</v>
      </c>
      <c r="K140" s="22" t="s">
        <v>19709</v>
      </c>
      <c r="L140" s="22"/>
      <c r="M140" s="22"/>
      <c r="N140" s="25" t="str">
        <f>HYPERLINK("http://slimages.macys.com/is/image/MCY/22405672 ")</f>
        <v xml:space="preserve">http://slimages.macys.com/is/image/MCY/22405672 </v>
      </c>
    </row>
    <row r="141" spans="1:14" x14ac:dyDescent="0.25">
      <c r="A141" s="21" t="s">
        <v>6784</v>
      </c>
      <c r="B141" s="22" t="s">
        <v>6785</v>
      </c>
      <c r="C141" s="2">
        <v>1</v>
      </c>
      <c r="D141" s="23">
        <v>17.87</v>
      </c>
      <c r="E141" s="3">
        <v>17.87</v>
      </c>
      <c r="F141" s="2" t="s">
        <v>20182</v>
      </c>
      <c r="G141" s="22"/>
      <c r="H141" s="24" t="s">
        <v>19367</v>
      </c>
      <c r="I141" s="22" t="s">
        <v>19309</v>
      </c>
      <c r="J141" s="22" t="s">
        <v>19708</v>
      </c>
      <c r="K141" s="22" t="s">
        <v>19709</v>
      </c>
      <c r="L141" s="22"/>
      <c r="M141" s="22"/>
      <c r="N141" s="25" t="str">
        <f>HYPERLINK("http://slimages.macys.com/is/image/MCY/22405971 ")</f>
        <v xml:space="preserve">http://slimages.macys.com/is/image/MCY/22405971 </v>
      </c>
    </row>
    <row r="142" spans="1:14" x14ac:dyDescent="0.25">
      <c r="A142" s="21" t="s">
        <v>1428</v>
      </c>
      <c r="B142" s="22" t="s">
        <v>1429</v>
      </c>
      <c r="C142" s="2">
        <v>1</v>
      </c>
      <c r="D142" s="23">
        <v>14.22</v>
      </c>
      <c r="E142" s="3">
        <v>14.22</v>
      </c>
      <c r="F142" s="2" t="s">
        <v>1430</v>
      </c>
      <c r="G142" s="22"/>
      <c r="H142" s="24" t="s">
        <v>20159</v>
      </c>
      <c r="I142" s="22" t="s">
        <v>19309</v>
      </c>
      <c r="J142" s="22" t="s">
        <v>19708</v>
      </c>
      <c r="K142" s="22" t="s">
        <v>19709</v>
      </c>
      <c r="L142" s="22"/>
      <c r="M142" s="22"/>
      <c r="N142" s="25" t="str">
        <f>HYPERLINK("http://slimages.macys.com/is/image/MCY/19060643 ")</f>
        <v xml:space="preserve">http://slimages.macys.com/is/image/MCY/19060643 </v>
      </c>
    </row>
    <row r="143" spans="1:14" x14ac:dyDescent="0.25">
      <c r="A143" s="21" t="s">
        <v>13129</v>
      </c>
      <c r="B143" s="22" t="s">
        <v>13130</v>
      </c>
      <c r="C143" s="2">
        <v>1</v>
      </c>
      <c r="D143" s="23">
        <v>17.87</v>
      </c>
      <c r="E143" s="3">
        <v>17.87</v>
      </c>
      <c r="F143" s="2" t="s">
        <v>20182</v>
      </c>
      <c r="G143" s="22"/>
      <c r="H143" s="24" t="s">
        <v>20152</v>
      </c>
      <c r="I143" s="22" t="s">
        <v>19309</v>
      </c>
      <c r="J143" s="22" t="s">
        <v>19708</v>
      </c>
      <c r="K143" s="22" t="s">
        <v>19709</v>
      </c>
      <c r="L143" s="22"/>
      <c r="M143" s="22"/>
      <c r="N143" s="25" t="str">
        <f>HYPERLINK("http://slimages.macys.com/is/image/MCY/22405971 ")</f>
        <v xml:space="preserve">http://slimages.macys.com/is/image/MCY/22405971 </v>
      </c>
    </row>
    <row r="144" spans="1:14" x14ac:dyDescent="0.25">
      <c r="A144" s="21" t="s">
        <v>20180</v>
      </c>
      <c r="B144" s="22" t="s">
        <v>20181</v>
      </c>
      <c r="C144" s="2">
        <v>1</v>
      </c>
      <c r="D144" s="23">
        <v>17.87</v>
      </c>
      <c r="E144" s="3">
        <v>17.87</v>
      </c>
      <c r="F144" s="2" t="s">
        <v>20182</v>
      </c>
      <c r="G144" s="22"/>
      <c r="H144" s="24" t="s">
        <v>20159</v>
      </c>
      <c r="I144" s="22" t="s">
        <v>19309</v>
      </c>
      <c r="J144" s="22" t="s">
        <v>19708</v>
      </c>
      <c r="K144" s="22" t="s">
        <v>19709</v>
      </c>
      <c r="L144" s="22"/>
      <c r="M144" s="22"/>
      <c r="N144" s="25" t="str">
        <f>HYPERLINK("http://slimages.macys.com/is/image/MCY/22405971 ")</f>
        <v xml:space="preserve">http://slimages.macys.com/is/image/MCY/22405971 </v>
      </c>
    </row>
    <row r="145" spans="1:14" x14ac:dyDescent="0.25">
      <c r="A145" s="21" t="s">
        <v>13137</v>
      </c>
      <c r="B145" s="22" t="s">
        <v>13138</v>
      </c>
      <c r="C145" s="2">
        <v>1</v>
      </c>
      <c r="D145" s="23">
        <v>17.87</v>
      </c>
      <c r="E145" s="3">
        <v>17.87</v>
      </c>
      <c r="F145" s="2" t="s">
        <v>20176</v>
      </c>
      <c r="G145" s="22"/>
      <c r="H145" s="24" t="s">
        <v>20152</v>
      </c>
      <c r="I145" s="22" t="s">
        <v>19309</v>
      </c>
      <c r="J145" s="22" t="s">
        <v>19708</v>
      </c>
      <c r="K145" s="22" t="s">
        <v>19709</v>
      </c>
      <c r="L145" s="22"/>
      <c r="M145" s="22"/>
      <c r="N145" s="25" t="str">
        <f>HYPERLINK("http://slimages.macys.com/is/image/MCY/22405968 ")</f>
        <v xml:space="preserve">http://slimages.macys.com/is/image/MCY/22405968 </v>
      </c>
    </row>
    <row r="146" spans="1:14" x14ac:dyDescent="0.25">
      <c r="A146" s="21" t="s">
        <v>1431</v>
      </c>
      <c r="B146" s="22" t="s">
        <v>1432</v>
      </c>
      <c r="C146" s="2">
        <v>1</v>
      </c>
      <c r="D146" s="23">
        <v>14.99</v>
      </c>
      <c r="E146" s="3">
        <v>14.99</v>
      </c>
      <c r="F146" s="2" t="s">
        <v>1433</v>
      </c>
      <c r="G146" s="22" t="s">
        <v>19307</v>
      </c>
      <c r="H146" s="24" t="s">
        <v>19395</v>
      </c>
      <c r="I146" s="22" t="s">
        <v>19309</v>
      </c>
      <c r="J146" s="22" t="s">
        <v>19310</v>
      </c>
      <c r="K146" s="22" t="s">
        <v>19433</v>
      </c>
      <c r="L146" s="22"/>
      <c r="M146" s="22"/>
      <c r="N146" s="25" t="str">
        <f>HYPERLINK("http://slimages.macys.com/is/image/MCY/21964948 ")</f>
        <v xml:space="preserve">http://slimages.macys.com/is/image/MCY/21964948 </v>
      </c>
    </row>
    <row r="147" spans="1:14" x14ac:dyDescent="0.25">
      <c r="A147" s="21" t="s">
        <v>20174</v>
      </c>
      <c r="B147" s="22" t="s">
        <v>20175</v>
      </c>
      <c r="C147" s="2">
        <v>1</v>
      </c>
      <c r="D147" s="23">
        <v>17.87</v>
      </c>
      <c r="E147" s="3">
        <v>17.87</v>
      </c>
      <c r="F147" s="2" t="s">
        <v>20176</v>
      </c>
      <c r="G147" s="22"/>
      <c r="H147" s="24" t="s">
        <v>20159</v>
      </c>
      <c r="I147" s="22" t="s">
        <v>19309</v>
      </c>
      <c r="J147" s="22" t="s">
        <v>19708</v>
      </c>
      <c r="K147" s="22" t="s">
        <v>19709</v>
      </c>
      <c r="L147" s="22"/>
      <c r="M147" s="22"/>
      <c r="N147" s="25" t="str">
        <f>HYPERLINK("http://slimages.macys.com/is/image/MCY/22405968 ")</f>
        <v xml:space="preserve">http://slimages.macys.com/is/image/MCY/22405968 </v>
      </c>
    </row>
    <row r="148" spans="1:14" x14ac:dyDescent="0.25">
      <c r="A148" s="21" t="s">
        <v>15473</v>
      </c>
      <c r="B148" s="22" t="s">
        <v>15474</v>
      </c>
      <c r="C148" s="2">
        <v>2</v>
      </c>
      <c r="D148" s="23">
        <v>17.87</v>
      </c>
      <c r="E148" s="3">
        <v>35.74</v>
      </c>
      <c r="F148" s="2" t="s">
        <v>20173</v>
      </c>
      <c r="G148" s="22"/>
      <c r="H148" s="24" t="s">
        <v>20159</v>
      </c>
      <c r="I148" s="22" t="s">
        <v>19309</v>
      </c>
      <c r="J148" s="22" t="s">
        <v>19708</v>
      </c>
      <c r="K148" s="22" t="s">
        <v>19709</v>
      </c>
      <c r="L148" s="22"/>
      <c r="M148" s="22"/>
      <c r="N148" s="25" t="str">
        <f>HYPERLINK("http://slimages.macys.com/is/image/MCY/22405672 ")</f>
        <v xml:space="preserve">http://slimages.macys.com/is/image/MCY/22405672 </v>
      </c>
    </row>
    <row r="149" spans="1:14" ht="24.75" x14ac:dyDescent="0.25">
      <c r="A149" s="21" t="s">
        <v>1434</v>
      </c>
      <c r="B149" s="22" t="s">
        <v>1435</v>
      </c>
      <c r="C149" s="2">
        <v>1</v>
      </c>
      <c r="D149" s="23">
        <v>12.99</v>
      </c>
      <c r="E149" s="3">
        <v>12.99</v>
      </c>
      <c r="F149" s="2" t="s">
        <v>18187</v>
      </c>
      <c r="G149" s="22" t="s">
        <v>19315</v>
      </c>
      <c r="H149" s="24" t="s">
        <v>19377</v>
      </c>
      <c r="I149" s="22" t="s">
        <v>19309</v>
      </c>
      <c r="J149" s="22" t="s">
        <v>19447</v>
      </c>
      <c r="K149" s="22" t="s">
        <v>20146</v>
      </c>
      <c r="L149" s="22"/>
      <c r="M149" s="22"/>
      <c r="N149" s="25" t="str">
        <f>HYPERLINK("http://slimages.macys.com/is/image/MCY/20676949 ")</f>
        <v xml:space="preserve">http://slimages.macys.com/is/image/MCY/20676949 </v>
      </c>
    </row>
    <row r="150" spans="1:14" ht="24.75" x14ac:dyDescent="0.25">
      <c r="A150" s="21" t="s">
        <v>15488</v>
      </c>
      <c r="B150" s="22" t="s">
        <v>15489</v>
      </c>
      <c r="C150" s="2">
        <v>1</v>
      </c>
      <c r="D150" s="23">
        <v>16.989999999999998</v>
      </c>
      <c r="E150" s="3">
        <v>16.989999999999998</v>
      </c>
      <c r="F150" s="2" t="s">
        <v>15490</v>
      </c>
      <c r="G150" s="22" t="s">
        <v>19315</v>
      </c>
      <c r="H150" s="24" t="s">
        <v>19392</v>
      </c>
      <c r="I150" s="22" t="s">
        <v>19309</v>
      </c>
      <c r="J150" s="22" t="s">
        <v>19815</v>
      </c>
      <c r="K150" s="22" t="s">
        <v>19816</v>
      </c>
      <c r="L150" s="22"/>
      <c r="M150" s="22"/>
      <c r="N150" s="25" t="str">
        <f>HYPERLINK("http://slimages.macys.com/is/image/MCY/20549879 ")</f>
        <v xml:space="preserve">http://slimages.macys.com/is/image/MCY/20549879 </v>
      </c>
    </row>
    <row r="151" spans="1:14" x14ac:dyDescent="0.25">
      <c r="A151" s="21" t="s">
        <v>13151</v>
      </c>
      <c r="B151" s="22" t="s">
        <v>13152</v>
      </c>
      <c r="C151" s="2">
        <v>1</v>
      </c>
      <c r="D151" s="23">
        <v>13.77</v>
      </c>
      <c r="E151" s="3">
        <v>13.77</v>
      </c>
      <c r="F151" s="2" t="s">
        <v>13150</v>
      </c>
      <c r="G151" s="22"/>
      <c r="H151" s="24" t="s">
        <v>19367</v>
      </c>
      <c r="I151" s="22" t="s">
        <v>19309</v>
      </c>
      <c r="J151" s="22" t="s">
        <v>19708</v>
      </c>
      <c r="K151" s="22" t="s">
        <v>19709</v>
      </c>
      <c r="L151" s="22"/>
      <c r="M151" s="22"/>
      <c r="N151" s="25" t="str">
        <f>HYPERLINK("http://slimages.macys.com/is/image/MCY/19067056 ")</f>
        <v xml:space="preserve">http://slimages.macys.com/is/image/MCY/19067056 </v>
      </c>
    </row>
    <row r="152" spans="1:14" x14ac:dyDescent="0.25">
      <c r="A152" s="21" t="s">
        <v>20200</v>
      </c>
      <c r="B152" s="22" t="s">
        <v>20201</v>
      </c>
      <c r="C152" s="2">
        <v>1</v>
      </c>
      <c r="D152" s="23">
        <v>13.77</v>
      </c>
      <c r="E152" s="3">
        <v>13.77</v>
      </c>
      <c r="F152" s="2" t="s">
        <v>20202</v>
      </c>
      <c r="G152" s="22"/>
      <c r="H152" s="24" t="s">
        <v>19770</v>
      </c>
      <c r="I152" s="22" t="s">
        <v>19309</v>
      </c>
      <c r="J152" s="22" t="s">
        <v>19708</v>
      </c>
      <c r="K152" s="22" t="s">
        <v>19709</v>
      </c>
      <c r="L152" s="22"/>
      <c r="M152" s="22"/>
      <c r="N152" s="25" t="str">
        <f>HYPERLINK("http://slimages.macys.com/is/image/MCY/19067056 ")</f>
        <v xml:space="preserve">http://slimages.macys.com/is/image/MCY/19067056 </v>
      </c>
    </row>
    <row r="153" spans="1:14" x14ac:dyDescent="0.25">
      <c r="A153" s="21" t="s">
        <v>1436</v>
      </c>
      <c r="B153" s="22" t="s">
        <v>1437</v>
      </c>
      <c r="C153" s="2">
        <v>1</v>
      </c>
      <c r="D153" s="23">
        <v>14.99</v>
      </c>
      <c r="E153" s="3">
        <v>14.99</v>
      </c>
      <c r="F153" s="2" t="s">
        <v>13707</v>
      </c>
      <c r="G153" s="22" t="s">
        <v>19431</v>
      </c>
      <c r="H153" s="24" t="s">
        <v>19377</v>
      </c>
      <c r="I153" s="22" t="s">
        <v>19309</v>
      </c>
      <c r="J153" s="22" t="s">
        <v>19849</v>
      </c>
      <c r="K153" s="22" t="s">
        <v>19850</v>
      </c>
      <c r="L153" s="22"/>
      <c r="M153" s="22"/>
      <c r="N153" s="25" t="str">
        <f>HYPERLINK("http://slimages.macys.com/is/image/MCY/20751925 ")</f>
        <v xml:space="preserve">http://slimages.macys.com/is/image/MCY/20751925 </v>
      </c>
    </row>
    <row r="154" spans="1:14" ht="24.75" x14ac:dyDescent="0.25">
      <c r="A154" s="21" t="s">
        <v>1438</v>
      </c>
      <c r="B154" s="22" t="s">
        <v>1439</v>
      </c>
      <c r="C154" s="2">
        <v>1</v>
      </c>
      <c r="D154" s="23">
        <v>15.99</v>
      </c>
      <c r="E154" s="3">
        <v>15.99</v>
      </c>
      <c r="F154" s="2" t="s">
        <v>10573</v>
      </c>
      <c r="G154" s="22" t="s">
        <v>19404</v>
      </c>
      <c r="H154" s="24" t="s">
        <v>19432</v>
      </c>
      <c r="I154" s="22" t="s">
        <v>19309</v>
      </c>
      <c r="J154" s="22" t="s">
        <v>19815</v>
      </c>
      <c r="K154" s="22" t="s">
        <v>19816</v>
      </c>
      <c r="L154" s="22"/>
      <c r="M154" s="22"/>
      <c r="N154" s="25" t="str">
        <f>HYPERLINK("http://slimages.macys.com/is/image/MCY/20815221 ")</f>
        <v xml:space="preserve">http://slimages.macys.com/is/image/MCY/20815221 </v>
      </c>
    </row>
    <row r="155" spans="1:14" ht="24.75" x14ac:dyDescent="0.25">
      <c r="A155" s="21" t="s">
        <v>10571</v>
      </c>
      <c r="B155" s="22" t="s">
        <v>10572</v>
      </c>
      <c r="C155" s="2">
        <v>1</v>
      </c>
      <c r="D155" s="23">
        <v>15.99</v>
      </c>
      <c r="E155" s="3">
        <v>15.99</v>
      </c>
      <c r="F155" s="2" t="s">
        <v>10573</v>
      </c>
      <c r="G155" s="22" t="s">
        <v>19404</v>
      </c>
      <c r="H155" s="24" t="s">
        <v>19907</v>
      </c>
      <c r="I155" s="22" t="s">
        <v>19309</v>
      </c>
      <c r="J155" s="22" t="s">
        <v>19815</v>
      </c>
      <c r="K155" s="22" t="s">
        <v>19816</v>
      </c>
      <c r="L155" s="22"/>
      <c r="M155" s="22"/>
      <c r="N155" s="25" t="str">
        <f>HYPERLINK("http://slimages.macys.com/is/image/MCY/20815221 ")</f>
        <v xml:space="preserve">http://slimages.macys.com/is/image/MCY/20815221 </v>
      </c>
    </row>
    <row r="156" spans="1:14" ht="24.75" x14ac:dyDescent="0.25">
      <c r="A156" s="21" t="s">
        <v>1440</v>
      </c>
      <c r="B156" s="22" t="s">
        <v>1441</v>
      </c>
      <c r="C156" s="2">
        <v>1</v>
      </c>
      <c r="D156" s="23">
        <v>30</v>
      </c>
      <c r="E156" s="3">
        <v>30</v>
      </c>
      <c r="F156" s="2" t="s">
        <v>1442</v>
      </c>
      <c r="G156" s="22"/>
      <c r="H156" s="24"/>
      <c r="I156" s="22" t="s">
        <v>19309</v>
      </c>
      <c r="J156" s="22" t="s">
        <v>19417</v>
      </c>
      <c r="K156" s="22" t="s">
        <v>18387</v>
      </c>
      <c r="L156" s="22"/>
      <c r="M156" s="22"/>
      <c r="N156" s="25" t="str">
        <f>HYPERLINK("http://slimages.macys.com/is/image/MCY/19824227 ")</f>
        <v xml:space="preserve">http://slimages.macys.com/is/image/MCY/19824227 </v>
      </c>
    </row>
    <row r="157" spans="1:14" x14ac:dyDescent="0.25">
      <c r="A157" s="21" t="s">
        <v>18220</v>
      </c>
      <c r="B157" s="22" t="s">
        <v>18221</v>
      </c>
      <c r="C157" s="2">
        <v>1</v>
      </c>
      <c r="D157" s="23">
        <v>15.99</v>
      </c>
      <c r="E157" s="3">
        <v>15.99</v>
      </c>
      <c r="F157" s="2" t="s">
        <v>20223</v>
      </c>
      <c r="G157" s="22" t="s">
        <v>19674</v>
      </c>
      <c r="H157" s="24" t="s">
        <v>19377</v>
      </c>
      <c r="I157" s="22" t="s">
        <v>19309</v>
      </c>
      <c r="J157" s="22" t="s">
        <v>19849</v>
      </c>
      <c r="K157" s="22" t="s">
        <v>19850</v>
      </c>
      <c r="L157" s="22"/>
      <c r="M157" s="22"/>
      <c r="N157" s="25" t="str">
        <f>HYPERLINK("http://slimages.macys.com/is/image/MCY/20549380 ")</f>
        <v xml:space="preserve">http://slimages.macys.com/is/image/MCY/20549380 </v>
      </c>
    </row>
    <row r="158" spans="1:14" ht="24.75" x14ac:dyDescent="0.25">
      <c r="A158" s="21" t="s">
        <v>18222</v>
      </c>
      <c r="B158" s="22" t="s">
        <v>18223</v>
      </c>
      <c r="C158" s="2">
        <v>1</v>
      </c>
      <c r="D158" s="23">
        <v>11.99</v>
      </c>
      <c r="E158" s="3">
        <v>11.99</v>
      </c>
      <c r="F158" s="2" t="s">
        <v>18224</v>
      </c>
      <c r="G158" s="22" t="s">
        <v>19323</v>
      </c>
      <c r="H158" s="24" t="s">
        <v>19364</v>
      </c>
      <c r="I158" s="22" t="s">
        <v>19309</v>
      </c>
      <c r="J158" s="22" t="s">
        <v>19447</v>
      </c>
      <c r="K158" s="22" t="s">
        <v>19873</v>
      </c>
      <c r="L158" s="22"/>
      <c r="M158" s="22"/>
      <c r="N158" s="25" t="str">
        <f>HYPERLINK("http://slimages.macys.com/is/image/MCY/20670020 ")</f>
        <v xml:space="preserve">http://slimages.macys.com/is/image/MCY/20670020 </v>
      </c>
    </row>
    <row r="159" spans="1:14" x14ac:dyDescent="0.25">
      <c r="A159" s="21" t="s">
        <v>1443</v>
      </c>
      <c r="B159" s="22" t="s">
        <v>1444</v>
      </c>
      <c r="C159" s="2">
        <v>1</v>
      </c>
      <c r="D159" s="23">
        <v>17.989999999999998</v>
      </c>
      <c r="E159" s="3">
        <v>17.989999999999998</v>
      </c>
      <c r="F159" s="2" t="s">
        <v>1445</v>
      </c>
      <c r="G159" s="22" t="s">
        <v>19342</v>
      </c>
      <c r="H159" s="24" t="s">
        <v>19334</v>
      </c>
      <c r="I159" s="22" t="s">
        <v>19309</v>
      </c>
      <c r="J159" s="22" t="s">
        <v>19696</v>
      </c>
      <c r="K159" s="22" t="s">
        <v>19965</v>
      </c>
      <c r="L159" s="22"/>
      <c r="M159" s="22"/>
      <c r="N159" s="25" t="str">
        <f>HYPERLINK("http://slimages.macys.com/is/image/MCY/20662576 ")</f>
        <v xml:space="preserve">http://slimages.macys.com/is/image/MCY/20662576 </v>
      </c>
    </row>
    <row r="160" spans="1:14" ht="24.75" x14ac:dyDescent="0.25">
      <c r="A160" s="21" t="s">
        <v>1446</v>
      </c>
      <c r="B160" s="22" t="s">
        <v>1447</v>
      </c>
      <c r="C160" s="2">
        <v>2</v>
      </c>
      <c r="D160" s="23">
        <v>14.99</v>
      </c>
      <c r="E160" s="3">
        <v>29.98</v>
      </c>
      <c r="F160" s="2" t="s">
        <v>1448</v>
      </c>
      <c r="G160" s="22"/>
      <c r="H160" s="24"/>
      <c r="I160" s="22" t="s">
        <v>19309</v>
      </c>
      <c r="J160" s="22" t="s">
        <v>20076</v>
      </c>
      <c r="K160" s="22" t="s">
        <v>18231</v>
      </c>
      <c r="L160" s="22"/>
      <c r="M160" s="22"/>
      <c r="N160" s="25" t="str">
        <f>HYPERLINK("http://slimages.macys.com/is/image/MCY/21541682 ")</f>
        <v xml:space="preserve">http://slimages.macys.com/is/image/MCY/21541682 </v>
      </c>
    </row>
    <row r="161" spans="1:14" x14ac:dyDescent="0.25">
      <c r="A161" s="21" t="s">
        <v>5851</v>
      </c>
      <c r="B161" s="22" t="s">
        <v>5852</v>
      </c>
      <c r="C161" s="2">
        <v>1</v>
      </c>
      <c r="D161" s="23">
        <v>21.99</v>
      </c>
      <c r="E161" s="3">
        <v>21.99</v>
      </c>
      <c r="F161" s="2" t="s">
        <v>5853</v>
      </c>
      <c r="G161" s="22" t="s">
        <v>19814</v>
      </c>
      <c r="H161" s="24" t="s">
        <v>19364</v>
      </c>
      <c r="I161" s="22" t="s">
        <v>19309</v>
      </c>
      <c r="J161" s="22" t="s">
        <v>19849</v>
      </c>
      <c r="K161" s="22" t="s">
        <v>19850</v>
      </c>
      <c r="L161" s="22"/>
      <c r="M161" s="22"/>
      <c r="N161" s="25" t="str">
        <f>HYPERLINK("http://slimages.macys.com/is/image/MCY/20752774 ")</f>
        <v xml:space="preserve">http://slimages.macys.com/is/image/MCY/20752774 </v>
      </c>
    </row>
    <row r="162" spans="1:14" ht="24.75" x14ac:dyDescent="0.25">
      <c r="A162" s="21" t="s">
        <v>20263</v>
      </c>
      <c r="B162" s="22" t="s">
        <v>20264</v>
      </c>
      <c r="C162" s="2">
        <v>1</v>
      </c>
      <c r="D162" s="23">
        <v>16.989999999999998</v>
      </c>
      <c r="E162" s="3">
        <v>16.989999999999998</v>
      </c>
      <c r="F162" s="2" t="s">
        <v>20265</v>
      </c>
      <c r="G162" s="22" t="s">
        <v>19670</v>
      </c>
      <c r="H162" s="24" t="s">
        <v>19339</v>
      </c>
      <c r="I162" s="22" t="s">
        <v>19309</v>
      </c>
      <c r="J162" s="22" t="s">
        <v>19849</v>
      </c>
      <c r="K162" s="22" t="s">
        <v>19850</v>
      </c>
      <c r="L162" s="22"/>
      <c r="M162" s="22"/>
      <c r="N162" s="25" t="str">
        <f>HYPERLINK("http://slimages.macys.com/is/image/MCY/21270486 ")</f>
        <v xml:space="preserve">http://slimages.macys.com/is/image/MCY/21270486 </v>
      </c>
    </row>
    <row r="163" spans="1:14" ht="24.75" x14ac:dyDescent="0.25">
      <c r="A163" s="21" t="s">
        <v>1449</v>
      </c>
      <c r="B163" s="22" t="s">
        <v>1450</v>
      </c>
      <c r="C163" s="2">
        <v>1</v>
      </c>
      <c r="D163" s="23">
        <v>14.99</v>
      </c>
      <c r="E163" s="3">
        <v>14.99</v>
      </c>
      <c r="F163" s="2" t="s">
        <v>1451</v>
      </c>
      <c r="G163" s="22" t="s">
        <v>19333</v>
      </c>
      <c r="H163" s="24" t="s">
        <v>19538</v>
      </c>
      <c r="I163" s="22" t="s">
        <v>19309</v>
      </c>
      <c r="J163" s="22" t="s">
        <v>19417</v>
      </c>
      <c r="K163" s="22" t="s">
        <v>17976</v>
      </c>
      <c r="L163" s="22"/>
      <c r="M163" s="22"/>
      <c r="N163" s="25" t="str">
        <f>HYPERLINK("http://slimages.macys.com/is/image/MCY/21679619 ")</f>
        <v xml:space="preserve">http://slimages.macys.com/is/image/MCY/21679619 </v>
      </c>
    </row>
    <row r="164" spans="1:14" ht="24.75" x14ac:dyDescent="0.25">
      <c r="A164" s="21" t="s">
        <v>1452</v>
      </c>
      <c r="B164" s="22" t="s">
        <v>1453</v>
      </c>
      <c r="C164" s="2">
        <v>1</v>
      </c>
      <c r="D164" s="23">
        <v>17.989999999999998</v>
      </c>
      <c r="E164" s="3">
        <v>17.989999999999998</v>
      </c>
      <c r="F164" s="2" t="s">
        <v>20294</v>
      </c>
      <c r="G164" s="22" t="s">
        <v>19794</v>
      </c>
      <c r="H164" s="24" t="s">
        <v>19352</v>
      </c>
      <c r="I164" s="22" t="s">
        <v>19309</v>
      </c>
      <c r="J164" s="22" t="s">
        <v>19595</v>
      </c>
      <c r="K164" s="22" t="s">
        <v>19423</v>
      </c>
      <c r="L164" s="22"/>
      <c r="M164" s="22"/>
      <c r="N164" s="25" t="str">
        <f>HYPERLINK("http://slimages.macys.com/is/image/MCY/21398482 ")</f>
        <v xml:space="preserve">http://slimages.macys.com/is/image/MCY/21398482 </v>
      </c>
    </row>
    <row r="165" spans="1:14" ht="24.75" x14ac:dyDescent="0.25">
      <c r="A165" s="21" t="s">
        <v>20289</v>
      </c>
      <c r="B165" s="22" t="s">
        <v>20290</v>
      </c>
      <c r="C165" s="2">
        <v>1</v>
      </c>
      <c r="D165" s="23">
        <v>11.99</v>
      </c>
      <c r="E165" s="3">
        <v>11.99</v>
      </c>
      <c r="F165" s="2" t="s">
        <v>20291</v>
      </c>
      <c r="G165" s="22" t="s">
        <v>19357</v>
      </c>
      <c r="H165" s="24" t="s">
        <v>19538</v>
      </c>
      <c r="I165" s="22" t="s">
        <v>19309</v>
      </c>
      <c r="J165" s="22" t="s">
        <v>19573</v>
      </c>
      <c r="K165" s="22" t="s">
        <v>20256</v>
      </c>
      <c r="L165" s="22" t="s">
        <v>19319</v>
      </c>
      <c r="M165" s="22" t="s">
        <v>19358</v>
      </c>
      <c r="N165" s="25" t="str">
        <f>HYPERLINK("http://slimages.macys.com/is/image/MCY/8018016 ")</f>
        <v xml:space="preserve">http://slimages.macys.com/is/image/MCY/8018016 </v>
      </c>
    </row>
    <row r="166" spans="1:14" x14ac:dyDescent="0.25">
      <c r="A166" s="21" t="s">
        <v>13749</v>
      </c>
      <c r="B166" s="22" t="s">
        <v>13750</v>
      </c>
      <c r="C166" s="2">
        <v>1</v>
      </c>
      <c r="D166" s="23">
        <v>16.989999999999998</v>
      </c>
      <c r="E166" s="3">
        <v>16.989999999999998</v>
      </c>
      <c r="F166" s="2" t="s">
        <v>13751</v>
      </c>
      <c r="G166" s="22" t="s">
        <v>19431</v>
      </c>
      <c r="H166" s="24" t="s">
        <v>19797</v>
      </c>
      <c r="I166" s="22" t="s">
        <v>19309</v>
      </c>
      <c r="J166" s="22" t="s">
        <v>19849</v>
      </c>
      <c r="K166" s="22" t="s">
        <v>19850</v>
      </c>
      <c r="L166" s="22"/>
      <c r="M166" s="22"/>
      <c r="N166" s="25" t="str">
        <f>HYPERLINK("http://slimages.macys.com/is/image/MCY/1249852 ")</f>
        <v xml:space="preserve">http://slimages.macys.com/is/image/MCY/1249852 </v>
      </c>
    </row>
    <row r="167" spans="1:14" ht="24.75" x14ac:dyDescent="0.25">
      <c r="A167" s="21" t="s">
        <v>1454</v>
      </c>
      <c r="B167" s="22" t="s">
        <v>1455</v>
      </c>
      <c r="C167" s="2">
        <v>1</v>
      </c>
      <c r="D167" s="23">
        <v>10.99</v>
      </c>
      <c r="E167" s="3">
        <v>10.99</v>
      </c>
      <c r="F167" s="2" t="s">
        <v>1456</v>
      </c>
      <c r="G167" s="22" t="s">
        <v>19323</v>
      </c>
      <c r="H167" s="24" t="s">
        <v>19339</v>
      </c>
      <c r="I167" s="22" t="s">
        <v>19309</v>
      </c>
      <c r="J167" s="22" t="s">
        <v>19447</v>
      </c>
      <c r="K167" s="22" t="s">
        <v>19873</v>
      </c>
      <c r="L167" s="22"/>
      <c r="M167" s="22"/>
      <c r="N167" s="25" t="str">
        <f>HYPERLINK("http://slimages.macys.com/is/image/MCY/21020443 ")</f>
        <v xml:space="preserve">http://slimages.macys.com/is/image/MCY/21020443 </v>
      </c>
    </row>
    <row r="168" spans="1:14" ht="24.75" x14ac:dyDescent="0.25">
      <c r="A168" s="21" t="s">
        <v>7628</v>
      </c>
      <c r="B168" s="22" t="s">
        <v>7629</v>
      </c>
      <c r="C168" s="2">
        <v>1</v>
      </c>
      <c r="D168" s="23">
        <v>10.99</v>
      </c>
      <c r="E168" s="3">
        <v>10.99</v>
      </c>
      <c r="F168" s="2" t="s">
        <v>7630</v>
      </c>
      <c r="G168" s="22" t="s">
        <v>19323</v>
      </c>
      <c r="H168" s="24" t="s">
        <v>19364</v>
      </c>
      <c r="I168" s="22" t="s">
        <v>19309</v>
      </c>
      <c r="J168" s="22" t="s">
        <v>19447</v>
      </c>
      <c r="K168" s="22" t="s">
        <v>19873</v>
      </c>
      <c r="L168" s="22"/>
      <c r="M168" s="22"/>
      <c r="N168" s="25" t="str">
        <f>HYPERLINK("http://slimages.macys.com/is/image/MCY/21020439 ")</f>
        <v xml:space="preserve">http://slimages.macys.com/is/image/MCY/21020439 </v>
      </c>
    </row>
    <row r="169" spans="1:14" ht="24.75" x14ac:dyDescent="0.25">
      <c r="A169" s="21" t="s">
        <v>1457</v>
      </c>
      <c r="B169" s="22" t="s">
        <v>1458</v>
      </c>
      <c r="C169" s="2">
        <v>1</v>
      </c>
      <c r="D169" s="23">
        <v>15.99</v>
      </c>
      <c r="E169" s="3">
        <v>15.99</v>
      </c>
      <c r="F169" s="2" t="s">
        <v>1459</v>
      </c>
      <c r="G169" s="22" t="s">
        <v>19670</v>
      </c>
      <c r="H169" s="24" t="s">
        <v>19797</v>
      </c>
      <c r="I169" s="22" t="s">
        <v>19309</v>
      </c>
      <c r="J169" s="22" t="s">
        <v>19849</v>
      </c>
      <c r="K169" s="22" t="s">
        <v>19850</v>
      </c>
      <c r="L169" s="22"/>
      <c r="M169" s="22"/>
      <c r="N169" s="25" t="str">
        <f>HYPERLINK("http://slimages.macys.com/is/image/MCY/20548809 ")</f>
        <v xml:space="preserve">http://slimages.macys.com/is/image/MCY/20548809 </v>
      </c>
    </row>
    <row r="170" spans="1:14" ht="24.75" x14ac:dyDescent="0.25">
      <c r="A170" s="21" t="s">
        <v>1460</v>
      </c>
      <c r="B170" s="22" t="s">
        <v>1461</v>
      </c>
      <c r="C170" s="2">
        <v>1</v>
      </c>
      <c r="D170" s="23">
        <v>15.99</v>
      </c>
      <c r="E170" s="3">
        <v>15.99</v>
      </c>
      <c r="F170" s="2" t="s">
        <v>1459</v>
      </c>
      <c r="G170" s="22" t="s">
        <v>19670</v>
      </c>
      <c r="H170" s="24" t="s">
        <v>19364</v>
      </c>
      <c r="I170" s="22" t="s">
        <v>19309</v>
      </c>
      <c r="J170" s="22" t="s">
        <v>19849</v>
      </c>
      <c r="K170" s="22" t="s">
        <v>19850</v>
      </c>
      <c r="L170" s="22"/>
      <c r="M170" s="22"/>
      <c r="N170" s="25" t="str">
        <f>HYPERLINK("http://slimages.macys.com/is/image/MCY/20548809 ")</f>
        <v xml:space="preserve">http://slimages.macys.com/is/image/MCY/20548809 </v>
      </c>
    </row>
    <row r="171" spans="1:14" x14ac:dyDescent="0.25">
      <c r="A171" s="21" t="s">
        <v>1462</v>
      </c>
      <c r="B171" s="22" t="s">
        <v>1463</v>
      </c>
      <c r="C171" s="2">
        <v>1</v>
      </c>
      <c r="D171" s="23">
        <v>15.99</v>
      </c>
      <c r="E171" s="3">
        <v>15.99</v>
      </c>
      <c r="F171" s="2" t="s">
        <v>1459</v>
      </c>
      <c r="G171" s="22" t="s">
        <v>19431</v>
      </c>
      <c r="H171" s="24" t="s">
        <v>19797</v>
      </c>
      <c r="I171" s="22" t="s">
        <v>19309</v>
      </c>
      <c r="J171" s="22" t="s">
        <v>19849</v>
      </c>
      <c r="K171" s="22" t="s">
        <v>19850</v>
      </c>
      <c r="L171" s="22"/>
      <c r="M171" s="22"/>
      <c r="N171" s="25" t="str">
        <f>HYPERLINK("http://slimages.macys.com/is/image/MCY/20548809 ")</f>
        <v xml:space="preserve">http://slimages.macys.com/is/image/MCY/20548809 </v>
      </c>
    </row>
    <row r="172" spans="1:14" ht="24.75" x14ac:dyDescent="0.25">
      <c r="A172" s="21" t="s">
        <v>18275</v>
      </c>
      <c r="B172" s="22" t="s">
        <v>19926</v>
      </c>
      <c r="C172" s="2">
        <v>1</v>
      </c>
      <c r="D172" s="23">
        <v>16.989999999999998</v>
      </c>
      <c r="E172" s="3">
        <v>16.989999999999998</v>
      </c>
      <c r="F172" s="2" t="s">
        <v>20311</v>
      </c>
      <c r="G172" s="22" t="s">
        <v>19713</v>
      </c>
      <c r="H172" s="24" t="s">
        <v>19538</v>
      </c>
      <c r="I172" s="22" t="s">
        <v>19309</v>
      </c>
      <c r="J172" s="22" t="s">
        <v>19573</v>
      </c>
      <c r="K172" s="22" t="s">
        <v>19574</v>
      </c>
      <c r="L172" s="22"/>
      <c r="M172" s="22"/>
      <c r="N172" s="25" t="str">
        <f>HYPERLINK("http://slimages.macys.com/is/image/MCY/1597998 ")</f>
        <v xml:space="preserve">http://slimages.macys.com/is/image/MCY/1597998 </v>
      </c>
    </row>
    <row r="173" spans="1:14" ht="24.75" x14ac:dyDescent="0.25">
      <c r="A173" s="21" t="s">
        <v>20314</v>
      </c>
      <c r="B173" s="22" t="s">
        <v>20315</v>
      </c>
      <c r="C173" s="2">
        <v>1</v>
      </c>
      <c r="D173" s="23">
        <v>15.99</v>
      </c>
      <c r="E173" s="3">
        <v>15.99</v>
      </c>
      <c r="F173" s="2" t="s">
        <v>20316</v>
      </c>
      <c r="G173" s="22" t="s">
        <v>19670</v>
      </c>
      <c r="H173" s="24" t="s">
        <v>19352</v>
      </c>
      <c r="I173" s="22" t="s">
        <v>19309</v>
      </c>
      <c r="J173" s="22" t="s">
        <v>19849</v>
      </c>
      <c r="K173" s="22" t="s">
        <v>19850</v>
      </c>
      <c r="L173" s="22"/>
      <c r="M173" s="22"/>
      <c r="N173" s="25" t="str">
        <f>HYPERLINK("http://slimages.macys.com/is/image/MCY/21270367 ")</f>
        <v xml:space="preserve">http://slimages.macys.com/is/image/MCY/21270367 </v>
      </c>
    </row>
    <row r="174" spans="1:14" x14ac:dyDescent="0.25">
      <c r="A174" s="21" t="s">
        <v>1464</v>
      </c>
      <c r="B174" s="22" t="s">
        <v>1465</v>
      </c>
      <c r="C174" s="2">
        <v>1</v>
      </c>
      <c r="D174" s="23">
        <v>15.99</v>
      </c>
      <c r="E174" s="3">
        <v>15.99</v>
      </c>
      <c r="F174" s="2" t="s">
        <v>13762</v>
      </c>
      <c r="G174" s="22" t="s">
        <v>19618</v>
      </c>
      <c r="H174" s="24" t="s">
        <v>19339</v>
      </c>
      <c r="I174" s="22" t="s">
        <v>19309</v>
      </c>
      <c r="J174" s="22" t="s">
        <v>19849</v>
      </c>
      <c r="K174" s="22" t="s">
        <v>19850</v>
      </c>
      <c r="L174" s="22"/>
      <c r="M174" s="22"/>
      <c r="N174" s="25" t="str">
        <f>HYPERLINK("http://slimages.macys.com/is/image/MCY/21270358 ")</f>
        <v xml:space="preserve">http://slimages.macys.com/is/image/MCY/21270358 </v>
      </c>
    </row>
    <row r="175" spans="1:14" ht="24.75" x14ac:dyDescent="0.25">
      <c r="A175" s="21" t="s">
        <v>18278</v>
      </c>
      <c r="B175" s="22" t="s">
        <v>18279</v>
      </c>
      <c r="C175" s="2">
        <v>2</v>
      </c>
      <c r="D175" s="23">
        <v>14.99</v>
      </c>
      <c r="E175" s="3">
        <v>29.98</v>
      </c>
      <c r="F175" s="2" t="s">
        <v>18280</v>
      </c>
      <c r="G175" s="22" t="s">
        <v>19357</v>
      </c>
      <c r="H175" s="24"/>
      <c r="I175" s="22" t="s">
        <v>19309</v>
      </c>
      <c r="J175" s="22" t="s">
        <v>19317</v>
      </c>
      <c r="K175" s="22" t="s">
        <v>20320</v>
      </c>
      <c r="L175" s="22"/>
      <c r="M175" s="22"/>
      <c r="N175" s="25" t="str">
        <f>HYPERLINK("http://slimages.macys.com/is/image/MCY/21201828 ")</f>
        <v xml:space="preserve">http://slimages.macys.com/is/image/MCY/21201828 </v>
      </c>
    </row>
    <row r="176" spans="1:14" ht="24.75" x14ac:dyDescent="0.25">
      <c r="A176" s="21" t="s">
        <v>7633</v>
      </c>
      <c r="B176" s="22" t="s">
        <v>7634</v>
      </c>
      <c r="C176" s="2">
        <v>1</v>
      </c>
      <c r="D176" s="23">
        <v>15.99</v>
      </c>
      <c r="E176" s="3">
        <v>15.99</v>
      </c>
      <c r="F176" s="2" t="s">
        <v>20323</v>
      </c>
      <c r="G176" s="22" t="s">
        <v>19415</v>
      </c>
      <c r="H176" s="24" t="s">
        <v>19538</v>
      </c>
      <c r="I176" s="22" t="s">
        <v>19309</v>
      </c>
      <c r="J176" s="22" t="s">
        <v>19573</v>
      </c>
      <c r="K176" s="22" t="s">
        <v>19574</v>
      </c>
      <c r="L176" s="22"/>
      <c r="M176" s="22"/>
      <c r="N176" s="25" t="str">
        <f>HYPERLINK("http://slimages.macys.com/is/image/MCY/20757473 ")</f>
        <v xml:space="preserve">http://slimages.macys.com/is/image/MCY/20757473 </v>
      </c>
    </row>
    <row r="177" spans="1:14" ht="24.75" x14ac:dyDescent="0.25">
      <c r="A177" s="21" t="s">
        <v>20321</v>
      </c>
      <c r="B177" s="22" t="s">
        <v>20322</v>
      </c>
      <c r="C177" s="2">
        <v>1</v>
      </c>
      <c r="D177" s="23">
        <v>15.99</v>
      </c>
      <c r="E177" s="3">
        <v>15.99</v>
      </c>
      <c r="F177" s="2" t="s">
        <v>20323</v>
      </c>
      <c r="G177" s="22" t="s">
        <v>19415</v>
      </c>
      <c r="H177" s="24" t="s">
        <v>19384</v>
      </c>
      <c r="I177" s="22" t="s">
        <v>19309</v>
      </c>
      <c r="J177" s="22" t="s">
        <v>19573</v>
      </c>
      <c r="K177" s="22" t="s">
        <v>19574</v>
      </c>
      <c r="L177" s="22"/>
      <c r="M177" s="22"/>
      <c r="N177" s="25" t="str">
        <f>HYPERLINK("http://slimages.macys.com/is/image/MCY/20757473 ")</f>
        <v xml:space="preserve">http://slimages.macys.com/is/image/MCY/20757473 </v>
      </c>
    </row>
    <row r="178" spans="1:14" x14ac:dyDescent="0.25">
      <c r="A178" s="21" t="s">
        <v>1466</v>
      </c>
      <c r="B178" s="22" t="s">
        <v>1467</v>
      </c>
      <c r="C178" s="2">
        <v>1</v>
      </c>
      <c r="D178" s="23">
        <v>21.99</v>
      </c>
      <c r="E178" s="3">
        <v>21.99</v>
      </c>
      <c r="F178" s="2" t="s">
        <v>13775</v>
      </c>
      <c r="G178" s="22" t="s">
        <v>19431</v>
      </c>
      <c r="H178" s="24" t="s">
        <v>19364</v>
      </c>
      <c r="I178" s="22" t="s">
        <v>19309</v>
      </c>
      <c r="J178" s="22" t="s">
        <v>19849</v>
      </c>
      <c r="K178" s="22" t="s">
        <v>19850</v>
      </c>
      <c r="L178" s="22"/>
      <c r="M178" s="22"/>
      <c r="N178" s="25" t="str">
        <f>HYPERLINK("http://slimages.macys.com/is/image/MCY/1308545 ")</f>
        <v xml:space="preserve">http://slimages.macys.com/is/image/MCY/1308545 </v>
      </c>
    </row>
    <row r="179" spans="1:14" x14ac:dyDescent="0.25">
      <c r="A179" s="21" t="s">
        <v>1468</v>
      </c>
      <c r="B179" s="22" t="s">
        <v>1469</v>
      </c>
      <c r="C179" s="2">
        <v>1</v>
      </c>
      <c r="D179" s="23">
        <v>14.99</v>
      </c>
      <c r="E179" s="3">
        <v>14.99</v>
      </c>
      <c r="F179" s="2" t="s">
        <v>1470</v>
      </c>
      <c r="G179" s="22" t="s">
        <v>19315</v>
      </c>
      <c r="H179" s="24" t="s">
        <v>19339</v>
      </c>
      <c r="I179" s="22" t="s">
        <v>19309</v>
      </c>
      <c r="J179" s="22" t="s">
        <v>19849</v>
      </c>
      <c r="K179" s="22" t="s">
        <v>19850</v>
      </c>
      <c r="L179" s="22"/>
      <c r="M179" s="22"/>
      <c r="N179" s="25" t="str">
        <f>HYPERLINK("http://slimages.macys.com/is/image/MCY/21178912 ")</f>
        <v xml:space="preserve">http://slimages.macys.com/is/image/MCY/21178912 </v>
      </c>
    </row>
    <row r="180" spans="1:14" x14ac:dyDescent="0.25">
      <c r="A180" s="21" t="s">
        <v>1471</v>
      </c>
      <c r="B180" s="22" t="s">
        <v>1472</v>
      </c>
      <c r="C180" s="2">
        <v>1</v>
      </c>
      <c r="D180" s="23">
        <v>15.13</v>
      </c>
      <c r="E180" s="3">
        <v>15.13</v>
      </c>
      <c r="F180" s="2" t="s">
        <v>12206</v>
      </c>
      <c r="G180" s="22" t="s">
        <v>19351</v>
      </c>
      <c r="H180" s="24" t="s">
        <v>19416</v>
      </c>
      <c r="I180" s="22" t="s">
        <v>19309</v>
      </c>
      <c r="J180" s="22" t="s">
        <v>19708</v>
      </c>
      <c r="K180" s="22" t="s">
        <v>19709</v>
      </c>
      <c r="L180" s="22"/>
      <c r="M180" s="22"/>
      <c r="N180" s="25" t="str">
        <f>HYPERLINK("http://slimages.macys.com/is/image/MCY/21751709 ")</f>
        <v xml:space="preserve">http://slimages.macys.com/is/image/MCY/21751709 </v>
      </c>
    </row>
    <row r="181" spans="1:14" x14ac:dyDescent="0.25">
      <c r="A181" s="21" t="s">
        <v>13194</v>
      </c>
      <c r="B181" s="22" t="s">
        <v>13195</v>
      </c>
      <c r="C181" s="2">
        <v>1</v>
      </c>
      <c r="D181" s="23">
        <v>15.13</v>
      </c>
      <c r="E181" s="3">
        <v>15.13</v>
      </c>
      <c r="F181" s="2" t="s">
        <v>18360</v>
      </c>
      <c r="G181" s="22" t="s">
        <v>18361</v>
      </c>
      <c r="H181" s="24" t="s">
        <v>19367</v>
      </c>
      <c r="I181" s="22" t="s">
        <v>19309</v>
      </c>
      <c r="J181" s="22" t="s">
        <v>19708</v>
      </c>
      <c r="K181" s="22" t="s">
        <v>19709</v>
      </c>
      <c r="L181" s="22"/>
      <c r="M181" s="22"/>
      <c r="N181" s="25" t="str">
        <f>HYPERLINK("http://slimages.macys.com/is/image/MCY/21758813 ")</f>
        <v xml:space="preserve">http://slimages.macys.com/is/image/MCY/21758813 </v>
      </c>
    </row>
    <row r="182" spans="1:14" x14ac:dyDescent="0.25">
      <c r="A182" s="21" t="s">
        <v>5908</v>
      </c>
      <c r="B182" s="22" t="s">
        <v>5909</v>
      </c>
      <c r="C182" s="2">
        <v>1</v>
      </c>
      <c r="D182" s="23">
        <v>15.13</v>
      </c>
      <c r="E182" s="3">
        <v>15.13</v>
      </c>
      <c r="F182" s="2" t="s">
        <v>18360</v>
      </c>
      <c r="G182" s="22" t="s">
        <v>18361</v>
      </c>
      <c r="H182" s="24" t="s">
        <v>19330</v>
      </c>
      <c r="I182" s="22" t="s">
        <v>19309</v>
      </c>
      <c r="J182" s="22" t="s">
        <v>19708</v>
      </c>
      <c r="K182" s="22" t="s">
        <v>19709</v>
      </c>
      <c r="L182" s="22"/>
      <c r="M182" s="22"/>
      <c r="N182" s="25" t="str">
        <f>HYPERLINK("http://slimages.macys.com/is/image/MCY/21758813 ")</f>
        <v xml:space="preserve">http://slimages.macys.com/is/image/MCY/21758813 </v>
      </c>
    </row>
    <row r="183" spans="1:14" x14ac:dyDescent="0.25">
      <c r="A183" s="21" t="s">
        <v>7641</v>
      </c>
      <c r="B183" s="22" t="s">
        <v>7642</v>
      </c>
      <c r="C183" s="2">
        <v>1</v>
      </c>
      <c r="D183" s="23">
        <v>15.13</v>
      </c>
      <c r="E183" s="3">
        <v>15.13</v>
      </c>
      <c r="F183" s="2" t="s">
        <v>18360</v>
      </c>
      <c r="G183" s="22" t="s">
        <v>18361</v>
      </c>
      <c r="H183" s="24" t="s">
        <v>19416</v>
      </c>
      <c r="I183" s="22" t="s">
        <v>19309</v>
      </c>
      <c r="J183" s="22" t="s">
        <v>19708</v>
      </c>
      <c r="K183" s="22" t="s">
        <v>19709</v>
      </c>
      <c r="L183" s="22"/>
      <c r="M183" s="22"/>
      <c r="N183" s="25" t="str">
        <f>HYPERLINK("http://slimages.macys.com/is/image/MCY/21758813 ")</f>
        <v xml:space="preserve">http://slimages.macys.com/is/image/MCY/21758813 </v>
      </c>
    </row>
    <row r="184" spans="1:14" x14ac:dyDescent="0.25">
      <c r="A184" s="21" t="s">
        <v>12200</v>
      </c>
      <c r="B184" s="22" t="s">
        <v>12201</v>
      </c>
      <c r="C184" s="2">
        <v>1</v>
      </c>
      <c r="D184" s="23">
        <v>15.13</v>
      </c>
      <c r="E184" s="3">
        <v>15.13</v>
      </c>
      <c r="F184" s="2" t="s">
        <v>13583</v>
      </c>
      <c r="G184" s="22" t="s">
        <v>19323</v>
      </c>
      <c r="H184" s="24" t="s">
        <v>19416</v>
      </c>
      <c r="I184" s="22" t="s">
        <v>19309</v>
      </c>
      <c r="J184" s="22" t="s">
        <v>19708</v>
      </c>
      <c r="K184" s="22" t="s">
        <v>19709</v>
      </c>
      <c r="L184" s="22"/>
      <c r="M184" s="22"/>
      <c r="N184" s="25" t="str">
        <f>HYPERLINK("http://slimages.macys.com/is/image/MCY/21757920 ")</f>
        <v xml:space="preserve">http://slimages.macys.com/is/image/MCY/21757920 </v>
      </c>
    </row>
    <row r="185" spans="1:14" x14ac:dyDescent="0.25">
      <c r="A185" s="21" t="s">
        <v>1473</v>
      </c>
      <c r="B185" s="22" t="s">
        <v>1474</v>
      </c>
      <c r="C185" s="2">
        <v>1</v>
      </c>
      <c r="D185" s="23">
        <v>15.13</v>
      </c>
      <c r="E185" s="3">
        <v>15.13</v>
      </c>
      <c r="F185" s="2" t="s">
        <v>13583</v>
      </c>
      <c r="G185" s="22" t="s">
        <v>19323</v>
      </c>
      <c r="H185" s="24" t="s">
        <v>19330</v>
      </c>
      <c r="I185" s="22" t="s">
        <v>19309</v>
      </c>
      <c r="J185" s="22" t="s">
        <v>19708</v>
      </c>
      <c r="K185" s="22" t="s">
        <v>19709</v>
      </c>
      <c r="L185" s="22"/>
      <c r="M185" s="22"/>
      <c r="N185" s="25" t="str">
        <f>HYPERLINK("http://slimages.macys.com/is/image/MCY/21757920 ")</f>
        <v xml:space="preserve">http://slimages.macys.com/is/image/MCY/21757920 </v>
      </c>
    </row>
    <row r="186" spans="1:14" x14ac:dyDescent="0.25">
      <c r="A186" s="21" t="s">
        <v>18358</v>
      </c>
      <c r="B186" s="22" t="s">
        <v>18359</v>
      </c>
      <c r="C186" s="2">
        <v>1</v>
      </c>
      <c r="D186" s="23">
        <v>15.13</v>
      </c>
      <c r="E186" s="3">
        <v>15.13</v>
      </c>
      <c r="F186" s="2" t="s">
        <v>18360</v>
      </c>
      <c r="G186" s="22" t="s">
        <v>18361</v>
      </c>
      <c r="H186" s="24" t="s">
        <v>19324</v>
      </c>
      <c r="I186" s="22" t="s">
        <v>19309</v>
      </c>
      <c r="J186" s="22" t="s">
        <v>19708</v>
      </c>
      <c r="K186" s="22" t="s">
        <v>19709</v>
      </c>
      <c r="L186" s="22"/>
      <c r="M186" s="22"/>
      <c r="N186" s="25" t="str">
        <f>HYPERLINK("http://slimages.macys.com/is/image/MCY/21758813 ")</f>
        <v xml:space="preserve">http://slimages.macys.com/is/image/MCY/21758813 </v>
      </c>
    </row>
    <row r="187" spans="1:14" ht="24.75" x14ac:dyDescent="0.25">
      <c r="A187" s="21" t="s">
        <v>1475</v>
      </c>
      <c r="B187" s="22" t="s">
        <v>1476</v>
      </c>
      <c r="C187" s="2">
        <v>1</v>
      </c>
      <c r="D187" s="23">
        <v>9.99</v>
      </c>
      <c r="E187" s="3">
        <v>9.99</v>
      </c>
      <c r="F187" s="2" t="s">
        <v>2782</v>
      </c>
      <c r="G187" s="22" t="s">
        <v>19477</v>
      </c>
      <c r="H187" s="24" t="s">
        <v>19364</v>
      </c>
      <c r="I187" s="22" t="s">
        <v>19309</v>
      </c>
      <c r="J187" s="22" t="s">
        <v>19447</v>
      </c>
      <c r="K187" s="22" t="s">
        <v>19873</v>
      </c>
      <c r="L187" s="22"/>
      <c r="M187" s="22"/>
      <c r="N187" s="25" t="str">
        <f>HYPERLINK("http://slimages.macys.com/is/image/MCY/19835118 ")</f>
        <v xml:space="preserve">http://slimages.macys.com/is/image/MCY/19835118 </v>
      </c>
    </row>
    <row r="188" spans="1:14" x14ac:dyDescent="0.25">
      <c r="A188" s="21" t="s">
        <v>820</v>
      </c>
      <c r="B188" s="22" t="s">
        <v>821</v>
      </c>
      <c r="C188" s="2">
        <v>1</v>
      </c>
      <c r="D188" s="23">
        <v>28</v>
      </c>
      <c r="E188" s="3">
        <v>28</v>
      </c>
      <c r="F188" s="2" t="s">
        <v>822</v>
      </c>
      <c r="G188" s="22" t="s">
        <v>19338</v>
      </c>
      <c r="H188" s="24"/>
      <c r="I188" s="22" t="s">
        <v>19309</v>
      </c>
      <c r="J188" s="22" t="s">
        <v>19417</v>
      </c>
      <c r="K188" s="22" t="s">
        <v>18317</v>
      </c>
      <c r="L188" s="22"/>
      <c r="M188" s="22"/>
      <c r="N188" s="25" t="str">
        <f>HYPERLINK("http://slimages.macys.com/is/image/MCY/21614904 ")</f>
        <v xml:space="preserve">http://slimages.macys.com/is/image/MCY/21614904 </v>
      </c>
    </row>
    <row r="189" spans="1:14" ht="24.75" x14ac:dyDescent="0.25">
      <c r="A189" s="21" t="s">
        <v>1477</v>
      </c>
      <c r="B189" s="22" t="s">
        <v>1478</v>
      </c>
      <c r="C189" s="2">
        <v>1</v>
      </c>
      <c r="D189" s="23">
        <v>16.989999999999998</v>
      </c>
      <c r="E189" s="3">
        <v>16.989999999999998</v>
      </c>
      <c r="F189" s="2" t="s">
        <v>18376</v>
      </c>
      <c r="G189" s="22" t="s">
        <v>19670</v>
      </c>
      <c r="H189" s="24" t="s">
        <v>19330</v>
      </c>
      <c r="I189" s="22" t="s">
        <v>19309</v>
      </c>
      <c r="J189" s="22" t="s">
        <v>19573</v>
      </c>
      <c r="K189" s="22" t="s">
        <v>19574</v>
      </c>
      <c r="L189" s="22"/>
      <c r="M189" s="22"/>
      <c r="N189" s="25" t="str">
        <f>HYPERLINK("http://slimages.macys.com/is/image/MCY/1516070 ")</f>
        <v xml:space="preserve">http://slimages.macys.com/is/image/MCY/1516070 </v>
      </c>
    </row>
    <row r="190" spans="1:14" ht="24.75" x14ac:dyDescent="0.25">
      <c r="A190" s="21" t="s">
        <v>1479</v>
      </c>
      <c r="B190" s="22" t="s">
        <v>1480</v>
      </c>
      <c r="C190" s="2">
        <v>1</v>
      </c>
      <c r="D190" s="23">
        <v>28</v>
      </c>
      <c r="E190" s="3">
        <v>28</v>
      </c>
      <c r="F190" s="2" t="s">
        <v>1481</v>
      </c>
      <c r="G190" s="22" t="s">
        <v>19713</v>
      </c>
      <c r="H190" s="24"/>
      <c r="I190" s="22" t="s">
        <v>19309</v>
      </c>
      <c r="J190" s="22" t="s">
        <v>19417</v>
      </c>
      <c r="K190" s="22" t="s">
        <v>18317</v>
      </c>
      <c r="L190" s="22"/>
      <c r="M190" s="22"/>
      <c r="N190" s="25" t="str">
        <f>HYPERLINK("http://slimages.macys.com/is/image/MCY/21614904 ")</f>
        <v xml:space="preserve">http://slimages.macys.com/is/image/MCY/21614904 </v>
      </c>
    </row>
    <row r="191" spans="1:14" x14ac:dyDescent="0.25">
      <c r="A191" s="21" t="s">
        <v>4797</v>
      </c>
      <c r="B191" s="22" t="s">
        <v>4798</v>
      </c>
      <c r="C191" s="2">
        <v>1</v>
      </c>
      <c r="D191" s="23">
        <v>22.5</v>
      </c>
      <c r="E191" s="3">
        <v>22.5</v>
      </c>
      <c r="F191" s="2" t="s">
        <v>11089</v>
      </c>
      <c r="G191" s="22" t="s">
        <v>19618</v>
      </c>
      <c r="H191" s="24" t="s">
        <v>19542</v>
      </c>
      <c r="I191" s="22" t="s">
        <v>19309</v>
      </c>
      <c r="J191" s="22" t="s">
        <v>19688</v>
      </c>
      <c r="K191" s="22" t="s">
        <v>19614</v>
      </c>
      <c r="L191" s="22"/>
      <c r="M191" s="22"/>
      <c r="N191" s="25" t="str">
        <f>HYPERLINK("http://slimages.macys.com/is/image/MCY/21035880 ")</f>
        <v xml:space="preserve">http://slimages.macys.com/is/image/MCY/21035880 </v>
      </c>
    </row>
    <row r="192" spans="1:14" ht="24.75" x14ac:dyDescent="0.25">
      <c r="A192" s="21" t="s">
        <v>12252</v>
      </c>
      <c r="B192" s="22" t="s">
        <v>12253</v>
      </c>
      <c r="C192" s="2">
        <v>1</v>
      </c>
      <c r="D192" s="23">
        <v>13.99</v>
      </c>
      <c r="E192" s="3">
        <v>13.99</v>
      </c>
      <c r="F192" s="2" t="s">
        <v>18412</v>
      </c>
      <c r="G192" s="22" t="s">
        <v>19351</v>
      </c>
      <c r="H192" s="24" t="s">
        <v>19416</v>
      </c>
      <c r="I192" s="22" t="s">
        <v>19309</v>
      </c>
      <c r="J192" s="22" t="s">
        <v>19573</v>
      </c>
      <c r="K192" s="22" t="s">
        <v>19574</v>
      </c>
      <c r="L192" s="22"/>
      <c r="M192" s="22"/>
      <c r="N192" s="25" t="str">
        <f>HYPERLINK("http://slimages.macys.com/is/image/MCY/1554795 ")</f>
        <v xml:space="preserve">http://slimages.macys.com/is/image/MCY/1554795 </v>
      </c>
    </row>
    <row r="193" spans="1:14" ht="24.75" x14ac:dyDescent="0.25">
      <c r="A193" s="21" t="s">
        <v>1482</v>
      </c>
      <c r="B193" s="22" t="s">
        <v>1483</v>
      </c>
      <c r="C193" s="2">
        <v>1</v>
      </c>
      <c r="D193" s="23">
        <v>13.99</v>
      </c>
      <c r="E193" s="3">
        <v>13.99</v>
      </c>
      <c r="F193" s="2" t="s">
        <v>1484</v>
      </c>
      <c r="G193" s="22" t="s">
        <v>19431</v>
      </c>
      <c r="H193" s="24" t="s">
        <v>19416</v>
      </c>
      <c r="I193" s="22" t="s">
        <v>19309</v>
      </c>
      <c r="J193" s="22" t="s">
        <v>19573</v>
      </c>
      <c r="K193" s="22" t="s">
        <v>19574</v>
      </c>
      <c r="L193" s="22"/>
      <c r="M193" s="22"/>
      <c r="N193" s="25" t="str">
        <f>HYPERLINK("http://slimages.macys.com/is/image/MCY/20753653 ")</f>
        <v xml:space="preserve">http://slimages.macys.com/is/image/MCY/20753653 </v>
      </c>
    </row>
    <row r="194" spans="1:14" ht="24.75" x14ac:dyDescent="0.25">
      <c r="A194" s="21" t="s">
        <v>1485</v>
      </c>
      <c r="B194" s="22" t="s">
        <v>1486</v>
      </c>
      <c r="C194" s="2">
        <v>1</v>
      </c>
      <c r="D194" s="23">
        <v>9.99</v>
      </c>
      <c r="E194" s="3">
        <v>9.99</v>
      </c>
      <c r="F194" s="2" t="s">
        <v>1487</v>
      </c>
      <c r="G194" s="22" t="s">
        <v>20306</v>
      </c>
      <c r="H194" s="24" t="s">
        <v>19352</v>
      </c>
      <c r="I194" s="22" t="s">
        <v>19309</v>
      </c>
      <c r="J194" s="22" t="s">
        <v>19447</v>
      </c>
      <c r="K194" s="22" t="s">
        <v>19873</v>
      </c>
      <c r="L194" s="22"/>
      <c r="M194" s="22"/>
      <c r="N194" s="25" t="str">
        <f>HYPERLINK("http://slimages.macys.com/is/image/MCY/21465714 ")</f>
        <v xml:space="preserve">http://slimages.macys.com/is/image/MCY/21465714 </v>
      </c>
    </row>
    <row r="195" spans="1:14" ht="24.75" x14ac:dyDescent="0.25">
      <c r="A195" s="21" t="s">
        <v>854</v>
      </c>
      <c r="B195" s="22" t="s">
        <v>855</v>
      </c>
      <c r="C195" s="2">
        <v>4</v>
      </c>
      <c r="D195" s="23">
        <v>11.99</v>
      </c>
      <c r="E195" s="3">
        <v>47.96</v>
      </c>
      <c r="F195" s="2" t="s">
        <v>851</v>
      </c>
      <c r="G195" s="22" t="s">
        <v>19351</v>
      </c>
      <c r="H195" s="24" t="s">
        <v>19364</v>
      </c>
      <c r="I195" s="22" t="s">
        <v>19309</v>
      </c>
      <c r="J195" s="22" t="s">
        <v>19565</v>
      </c>
      <c r="K195" s="22" t="s">
        <v>18548</v>
      </c>
      <c r="L195" s="22"/>
      <c r="M195" s="22"/>
      <c r="N195" s="25" t="str">
        <f>HYPERLINK("http://slimages.macys.com/is/image/MCY/18750004 ")</f>
        <v xml:space="preserve">http://slimages.macys.com/is/image/MCY/18750004 </v>
      </c>
    </row>
    <row r="196" spans="1:14" ht="24.75" x14ac:dyDescent="0.25">
      <c r="A196" s="21" t="s">
        <v>852</v>
      </c>
      <c r="B196" s="22" t="s">
        <v>853</v>
      </c>
      <c r="C196" s="2">
        <v>2</v>
      </c>
      <c r="D196" s="23">
        <v>11.99</v>
      </c>
      <c r="E196" s="3">
        <v>23.98</v>
      </c>
      <c r="F196" s="2" t="s">
        <v>851</v>
      </c>
      <c r="G196" s="22" t="s">
        <v>19351</v>
      </c>
      <c r="H196" s="24" t="s">
        <v>19308</v>
      </c>
      <c r="I196" s="22" t="s">
        <v>19309</v>
      </c>
      <c r="J196" s="22" t="s">
        <v>19565</v>
      </c>
      <c r="K196" s="22" t="s">
        <v>18548</v>
      </c>
      <c r="L196" s="22"/>
      <c r="M196" s="22"/>
      <c r="N196" s="25" t="str">
        <f>HYPERLINK("http://slimages.macys.com/is/image/MCY/18750004 ")</f>
        <v xml:space="preserve">http://slimages.macys.com/is/image/MCY/18750004 </v>
      </c>
    </row>
    <row r="197" spans="1:14" ht="24.75" x14ac:dyDescent="0.25">
      <c r="A197" s="21" t="s">
        <v>849</v>
      </c>
      <c r="B197" s="22" t="s">
        <v>850</v>
      </c>
      <c r="C197" s="2">
        <v>4</v>
      </c>
      <c r="D197" s="23">
        <v>11.99</v>
      </c>
      <c r="E197" s="3">
        <v>47.96</v>
      </c>
      <c r="F197" s="2" t="s">
        <v>851</v>
      </c>
      <c r="G197" s="22" t="s">
        <v>19351</v>
      </c>
      <c r="H197" s="24" t="s">
        <v>19352</v>
      </c>
      <c r="I197" s="22" t="s">
        <v>19309</v>
      </c>
      <c r="J197" s="22" t="s">
        <v>19565</v>
      </c>
      <c r="K197" s="22" t="s">
        <v>18548</v>
      </c>
      <c r="L197" s="22"/>
      <c r="M197" s="22"/>
      <c r="N197" s="25" t="str">
        <f>HYPERLINK("http://slimages.macys.com/is/image/MCY/18750004 ")</f>
        <v xml:space="preserve">http://slimages.macys.com/is/image/MCY/18750004 </v>
      </c>
    </row>
    <row r="198" spans="1:14" ht="24.75" x14ac:dyDescent="0.25">
      <c r="A198" s="21" t="s">
        <v>856</v>
      </c>
      <c r="B198" s="22" t="s">
        <v>857</v>
      </c>
      <c r="C198" s="2">
        <v>4</v>
      </c>
      <c r="D198" s="23">
        <v>11.99</v>
      </c>
      <c r="E198" s="3">
        <v>47.96</v>
      </c>
      <c r="F198" s="2" t="s">
        <v>851</v>
      </c>
      <c r="G198" s="22" t="s">
        <v>19351</v>
      </c>
      <c r="H198" s="24" t="s">
        <v>19339</v>
      </c>
      <c r="I198" s="22" t="s">
        <v>19309</v>
      </c>
      <c r="J198" s="22" t="s">
        <v>19565</v>
      </c>
      <c r="K198" s="22" t="s">
        <v>18548</v>
      </c>
      <c r="L198" s="22"/>
      <c r="M198" s="22"/>
      <c r="N198" s="25" t="str">
        <f>HYPERLINK("http://slimages.macys.com/is/image/MCY/18750004 ")</f>
        <v xml:space="preserve">http://slimages.macys.com/is/image/MCY/18750004 </v>
      </c>
    </row>
    <row r="199" spans="1:14" ht="24.75" x14ac:dyDescent="0.25">
      <c r="A199" s="21" t="s">
        <v>1488</v>
      </c>
      <c r="B199" s="22" t="s">
        <v>1489</v>
      </c>
      <c r="C199" s="2">
        <v>1</v>
      </c>
      <c r="D199" s="23">
        <v>11.94</v>
      </c>
      <c r="E199" s="3">
        <v>11.94</v>
      </c>
      <c r="F199" s="2" t="s">
        <v>13848</v>
      </c>
      <c r="G199" s="22" t="s">
        <v>19333</v>
      </c>
      <c r="H199" s="24" t="s">
        <v>19334</v>
      </c>
      <c r="I199" s="22" t="s">
        <v>19309</v>
      </c>
      <c r="J199" s="22" t="s">
        <v>19602</v>
      </c>
      <c r="K199" s="22" t="s">
        <v>20041</v>
      </c>
      <c r="L199" s="22"/>
      <c r="M199" s="22"/>
      <c r="N199" s="25" t="str">
        <f>HYPERLINK("http://slimages.macys.com/is/image/MCY/22405999 ")</f>
        <v xml:space="preserve">http://slimages.macys.com/is/image/MCY/22405999 </v>
      </c>
    </row>
    <row r="200" spans="1:14" ht="24.75" x14ac:dyDescent="0.25">
      <c r="A200" s="21" t="s">
        <v>18522</v>
      </c>
      <c r="B200" s="22" t="s">
        <v>18523</v>
      </c>
      <c r="C200" s="2">
        <v>1</v>
      </c>
      <c r="D200" s="23">
        <v>11.91</v>
      </c>
      <c r="E200" s="3">
        <v>11.91</v>
      </c>
      <c r="F200" s="2" t="s">
        <v>18524</v>
      </c>
      <c r="G200" s="22"/>
      <c r="H200" s="24" t="s">
        <v>19334</v>
      </c>
      <c r="I200" s="22" t="s">
        <v>19309</v>
      </c>
      <c r="J200" s="22" t="s">
        <v>19602</v>
      </c>
      <c r="K200" s="22" t="s">
        <v>20041</v>
      </c>
      <c r="L200" s="22"/>
      <c r="M200" s="22"/>
      <c r="N200" s="25" t="str">
        <f>HYPERLINK("http://slimages.macys.com/is/image/MCY/21420574 ")</f>
        <v xml:space="preserve">http://slimages.macys.com/is/image/MCY/21420574 </v>
      </c>
    </row>
    <row r="201" spans="1:14" ht="24.75" x14ac:dyDescent="0.25">
      <c r="A201" s="21" t="s">
        <v>1490</v>
      </c>
      <c r="B201" s="22" t="s">
        <v>1491</v>
      </c>
      <c r="C201" s="2">
        <v>1</v>
      </c>
      <c r="D201" s="23">
        <v>13.99</v>
      </c>
      <c r="E201" s="3">
        <v>13.99</v>
      </c>
      <c r="F201" s="2" t="s">
        <v>1492</v>
      </c>
      <c r="G201" s="22" t="s">
        <v>19415</v>
      </c>
      <c r="H201" s="24" t="s">
        <v>19330</v>
      </c>
      <c r="I201" s="22" t="s">
        <v>19309</v>
      </c>
      <c r="J201" s="22" t="s">
        <v>19573</v>
      </c>
      <c r="K201" s="22" t="s">
        <v>19574</v>
      </c>
      <c r="L201" s="22"/>
      <c r="M201" s="22"/>
      <c r="N201" s="25" t="str">
        <f>HYPERLINK("http://slimages.macys.com/is/image/MCY/20142506 ")</f>
        <v xml:space="preserve">http://slimages.macys.com/is/image/MCY/20142506 </v>
      </c>
    </row>
    <row r="202" spans="1:14" ht="24.75" x14ac:dyDescent="0.25">
      <c r="A202" s="21" t="s">
        <v>16528</v>
      </c>
      <c r="B202" s="22" t="s">
        <v>16529</v>
      </c>
      <c r="C202" s="2">
        <v>1</v>
      </c>
      <c r="D202" s="23">
        <v>11.99</v>
      </c>
      <c r="E202" s="3">
        <v>11.99</v>
      </c>
      <c r="F202" s="2" t="s">
        <v>16530</v>
      </c>
      <c r="G202" s="22" t="s">
        <v>19814</v>
      </c>
      <c r="H202" s="24" t="s">
        <v>20135</v>
      </c>
      <c r="I202" s="22" t="s">
        <v>19309</v>
      </c>
      <c r="J202" s="22" t="s">
        <v>19908</v>
      </c>
      <c r="K202" s="22" t="s">
        <v>19524</v>
      </c>
      <c r="L202" s="22"/>
      <c r="M202" s="22"/>
      <c r="N202" s="25" t="str">
        <f>HYPERLINK("http://slimages.macys.com/is/image/MCY/21570047 ")</f>
        <v xml:space="preserve">http://slimages.macys.com/is/image/MCY/21570047 </v>
      </c>
    </row>
    <row r="203" spans="1:14" ht="24.75" x14ac:dyDescent="0.25">
      <c r="A203" s="21" t="s">
        <v>8941</v>
      </c>
      <c r="B203" s="22" t="s">
        <v>8942</v>
      </c>
      <c r="C203" s="2">
        <v>1</v>
      </c>
      <c r="D203" s="23">
        <v>12.99</v>
      </c>
      <c r="E203" s="3">
        <v>12.99</v>
      </c>
      <c r="F203" s="2" t="s">
        <v>8943</v>
      </c>
      <c r="G203" s="22" t="s">
        <v>15203</v>
      </c>
      <c r="H203" s="24" t="s">
        <v>16005</v>
      </c>
      <c r="I203" s="22" t="s">
        <v>19309</v>
      </c>
      <c r="J203" s="22" t="s">
        <v>16678</v>
      </c>
      <c r="K203" s="22" t="s">
        <v>13268</v>
      </c>
      <c r="L203" s="22"/>
      <c r="M203" s="22"/>
      <c r="N203" s="25" t="str">
        <f>HYPERLINK("http://slimages.macys.com/is/image/MCY/20478270 ")</f>
        <v xml:space="preserve">http://slimages.macys.com/is/image/MCY/20478270 </v>
      </c>
    </row>
    <row r="204" spans="1:14" ht="24.75" x14ac:dyDescent="0.25">
      <c r="A204" s="21" t="s">
        <v>18560</v>
      </c>
      <c r="B204" s="22" t="s">
        <v>18561</v>
      </c>
      <c r="C204" s="2">
        <v>1</v>
      </c>
      <c r="D204" s="23">
        <v>13.99</v>
      </c>
      <c r="E204" s="3">
        <v>13.99</v>
      </c>
      <c r="F204" s="2" t="s">
        <v>18551</v>
      </c>
      <c r="G204" s="22" t="s">
        <v>19467</v>
      </c>
      <c r="H204" s="24" t="s">
        <v>19538</v>
      </c>
      <c r="I204" s="22" t="s">
        <v>19309</v>
      </c>
      <c r="J204" s="22" t="s">
        <v>19573</v>
      </c>
      <c r="K204" s="22" t="s">
        <v>19574</v>
      </c>
      <c r="L204" s="22"/>
      <c r="M204" s="22"/>
      <c r="N204" s="25" t="str">
        <f>HYPERLINK("http://slimages.macys.com/is/image/MCY/21361645 ")</f>
        <v xml:space="preserve">http://slimages.macys.com/is/image/MCY/21361645 </v>
      </c>
    </row>
    <row r="205" spans="1:14" ht="24.75" x14ac:dyDescent="0.25">
      <c r="A205" s="21" t="s">
        <v>13269</v>
      </c>
      <c r="B205" s="22" t="s">
        <v>13270</v>
      </c>
      <c r="C205" s="2">
        <v>1</v>
      </c>
      <c r="D205" s="23">
        <v>11.35</v>
      </c>
      <c r="E205" s="3">
        <v>11.35</v>
      </c>
      <c r="F205" s="2" t="s">
        <v>18587</v>
      </c>
      <c r="G205" s="22"/>
      <c r="H205" s="24" t="s">
        <v>19345</v>
      </c>
      <c r="I205" s="22" t="s">
        <v>19309</v>
      </c>
      <c r="J205" s="22" t="s">
        <v>19602</v>
      </c>
      <c r="K205" s="22" t="s">
        <v>20041</v>
      </c>
      <c r="L205" s="22"/>
      <c r="M205" s="22"/>
      <c r="N205" s="25" t="str">
        <f>HYPERLINK("http://slimages.macys.com/is/image/MCY/22406119 ")</f>
        <v xml:space="preserve">http://slimages.macys.com/is/image/MCY/22406119 </v>
      </c>
    </row>
    <row r="206" spans="1:14" ht="24.75" x14ac:dyDescent="0.25">
      <c r="A206" s="21" t="s">
        <v>1493</v>
      </c>
      <c r="B206" s="22" t="s">
        <v>1494</v>
      </c>
      <c r="C206" s="2">
        <v>1</v>
      </c>
      <c r="D206" s="23">
        <v>7.99</v>
      </c>
      <c r="E206" s="3">
        <v>7.99</v>
      </c>
      <c r="F206" s="2" t="s">
        <v>16552</v>
      </c>
      <c r="G206" s="22" t="s">
        <v>19333</v>
      </c>
      <c r="H206" s="24" t="s">
        <v>19308</v>
      </c>
      <c r="I206" s="22" t="s">
        <v>19309</v>
      </c>
      <c r="J206" s="22" t="s">
        <v>19310</v>
      </c>
      <c r="K206" s="22" t="s">
        <v>19873</v>
      </c>
      <c r="L206" s="22"/>
      <c r="M206" s="22"/>
      <c r="N206" s="25" t="str">
        <f>HYPERLINK("http://slimages.macys.com/is/image/MCY/20390271 ")</f>
        <v xml:space="preserve">http://slimages.macys.com/is/image/MCY/20390271 </v>
      </c>
    </row>
    <row r="207" spans="1:14" x14ac:dyDescent="0.25">
      <c r="A207" s="21" t="s">
        <v>1495</v>
      </c>
      <c r="B207" s="22" t="s">
        <v>1496</v>
      </c>
      <c r="C207" s="2">
        <v>1</v>
      </c>
      <c r="D207" s="23">
        <v>7.99</v>
      </c>
      <c r="E207" s="3">
        <v>7.99</v>
      </c>
      <c r="F207" s="2" t="s">
        <v>13883</v>
      </c>
      <c r="G207" s="22" t="s">
        <v>19315</v>
      </c>
      <c r="H207" s="24" t="s">
        <v>19364</v>
      </c>
      <c r="I207" s="22" t="s">
        <v>19309</v>
      </c>
      <c r="J207" s="22" t="s">
        <v>19310</v>
      </c>
      <c r="K207" s="22" t="s">
        <v>19873</v>
      </c>
      <c r="L207" s="22"/>
      <c r="M207" s="22"/>
      <c r="N207" s="25" t="str">
        <f>HYPERLINK("http://slimages.macys.com/is/image/MCY/21030926 ")</f>
        <v xml:space="preserve">http://slimages.macys.com/is/image/MCY/21030926 </v>
      </c>
    </row>
    <row r="208" spans="1:14" ht="24.75" x14ac:dyDescent="0.25">
      <c r="A208" s="21" t="s">
        <v>18594</v>
      </c>
      <c r="B208" s="22" t="s">
        <v>18595</v>
      </c>
      <c r="C208" s="2">
        <v>1</v>
      </c>
      <c r="D208" s="23">
        <v>8.99</v>
      </c>
      <c r="E208" s="3">
        <v>8.99</v>
      </c>
      <c r="F208" s="2" t="s">
        <v>18596</v>
      </c>
      <c r="G208" s="22" t="s">
        <v>19618</v>
      </c>
      <c r="H208" s="24" t="s">
        <v>19364</v>
      </c>
      <c r="I208" s="22" t="s">
        <v>19309</v>
      </c>
      <c r="J208" s="22" t="s">
        <v>19310</v>
      </c>
      <c r="K208" s="22" t="s">
        <v>19873</v>
      </c>
      <c r="L208" s="22"/>
      <c r="M208" s="22"/>
      <c r="N208" s="25" t="str">
        <f>HYPERLINK("http://slimages.macys.com/is/image/MCY/21030905 ")</f>
        <v xml:space="preserve">http://slimages.macys.com/is/image/MCY/21030905 </v>
      </c>
    </row>
    <row r="209" spans="1:14" ht="24.75" x14ac:dyDescent="0.25">
      <c r="A209" s="21" t="s">
        <v>5990</v>
      </c>
      <c r="B209" s="22" t="s">
        <v>5991</v>
      </c>
      <c r="C209" s="2">
        <v>1</v>
      </c>
      <c r="D209" s="23">
        <v>7.99</v>
      </c>
      <c r="E209" s="3">
        <v>7.99</v>
      </c>
      <c r="F209" s="2" t="s">
        <v>16559</v>
      </c>
      <c r="G209" s="22" t="s">
        <v>19351</v>
      </c>
      <c r="H209" s="24" t="s">
        <v>19339</v>
      </c>
      <c r="I209" s="22" t="s">
        <v>19309</v>
      </c>
      <c r="J209" s="22" t="s">
        <v>19310</v>
      </c>
      <c r="K209" s="22" t="s">
        <v>19873</v>
      </c>
      <c r="L209" s="22"/>
      <c r="M209" s="22"/>
      <c r="N209" s="25" t="str">
        <f>HYPERLINK("http://slimages.macys.com/is/image/MCY/21551570 ")</f>
        <v xml:space="preserve">http://slimages.macys.com/is/image/MCY/21551570 </v>
      </c>
    </row>
    <row r="210" spans="1:14" ht="24.75" x14ac:dyDescent="0.25">
      <c r="A210" s="21" t="s">
        <v>2018</v>
      </c>
      <c r="B210" s="22" t="s">
        <v>2019</v>
      </c>
      <c r="C210" s="2">
        <v>1</v>
      </c>
      <c r="D210" s="23">
        <v>8.99</v>
      </c>
      <c r="E210" s="3">
        <v>8.99</v>
      </c>
      <c r="F210" s="2" t="s">
        <v>16637</v>
      </c>
      <c r="G210" s="22" t="s">
        <v>19763</v>
      </c>
      <c r="H210" s="24" t="s">
        <v>19364</v>
      </c>
      <c r="I210" s="22" t="s">
        <v>19309</v>
      </c>
      <c r="J210" s="22" t="s">
        <v>19815</v>
      </c>
      <c r="K210" s="22" t="s">
        <v>19816</v>
      </c>
      <c r="L210" s="22"/>
      <c r="M210" s="22"/>
      <c r="N210" s="25" t="str">
        <f>HYPERLINK("http://slimages.macys.com/is/image/MCY/21769912 ")</f>
        <v xml:space="preserve">http://slimages.macys.com/is/image/MCY/21769912 </v>
      </c>
    </row>
    <row r="211" spans="1:14" ht="24.75" x14ac:dyDescent="0.25">
      <c r="A211" s="21" t="s">
        <v>887</v>
      </c>
      <c r="B211" s="22" t="s">
        <v>888</v>
      </c>
      <c r="C211" s="2">
        <v>1</v>
      </c>
      <c r="D211" s="23">
        <v>13.99</v>
      </c>
      <c r="E211" s="3">
        <v>13.99</v>
      </c>
      <c r="F211" s="2" t="s">
        <v>16593</v>
      </c>
      <c r="G211" s="22" t="s">
        <v>19315</v>
      </c>
      <c r="H211" s="24" t="s">
        <v>19308</v>
      </c>
      <c r="I211" s="22" t="s">
        <v>19309</v>
      </c>
      <c r="J211" s="22" t="s">
        <v>19815</v>
      </c>
      <c r="K211" s="22" t="s">
        <v>19816</v>
      </c>
      <c r="L211" s="22"/>
      <c r="M211" s="22"/>
      <c r="N211" s="25" t="str">
        <f>HYPERLINK("http://slimages.macys.com/is/image/MCY/21188139 ")</f>
        <v xml:space="preserve">http://slimages.macys.com/is/image/MCY/21188139 </v>
      </c>
    </row>
    <row r="212" spans="1:14" ht="24.75" x14ac:dyDescent="0.25">
      <c r="A212" s="21" t="s">
        <v>1497</v>
      </c>
      <c r="B212" s="22" t="s">
        <v>1498</v>
      </c>
      <c r="C212" s="2">
        <v>1</v>
      </c>
      <c r="D212" s="23">
        <v>10.91</v>
      </c>
      <c r="E212" s="3">
        <v>10.91</v>
      </c>
      <c r="F212" s="2" t="s">
        <v>18643</v>
      </c>
      <c r="G212" s="22" t="s">
        <v>18644</v>
      </c>
      <c r="H212" s="24"/>
      <c r="I212" s="22" t="s">
        <v>19309</v>
      </c>
      <c r="J212" s="22" t="s">
        <v>19602</v>
      </c>
      <c r="K212" s="22" t="s">
        <v>20041</v>
      </c>
      <c r="L212" s="22"/>
      <c r="M212" s="22"/>
      <c r="N212" s="25" t="str">
        <f>HYPERLINK("http://slimages.macys.com/is/image/MCY/21723141 ")</f>
        <v xml:space="preserve">http://slimages.macys.com/is/image/MCY/21723141 </v>
      </c>
    </row>
    <row r="213" spans="1:14" ht="24.75" x14ac:dyDescent="0.25">
      <c r="A213" s="21" t="s">
        <v>9615</v>
      </c>
      <c r="B213" s="22" t="s">
        <v>9616</v>
      </c>
      <c r="C213" s="2">
        <v>1</v>
      </c>
      <c r="D213" s="23">
        <v>10.91</v>
      </c>
      <c r="E213" s="3">
        <v>10.91</v>
      </c>
      <c r="F213" s="2" t="s">
        <v>16279</v>
      </c>
      <c r="G213" s="22" t="s">
        <v>19351</v>
      </c>
      <c r="H213" s="24" t="s">
        <v>19334</v>
      </c>
      <c r="I213" s="22" t="s">
        <v>19309</v>
      </c>
      <c r="J213" s="22" t="s">
        <v>19602</v>
      </c>
      <c r="K213" s="22" t="s">
        <v>20041</v>
      </c>
      <c r="L213" s="22"/>
      <c r="M213" s="22"/>
      <c r="N213" s="25" t="str">
        <f>HYPERLINK("http://slimages.macys.com/is/image/MCY/21669854 ")</f>
        <v xml:space="preserve">http://slimages.macys.com/is/image/MCY/21669854 </v>
      </c>
    </row>
    <row r="214" spans="1:14" ht="24.75" x14ac:dyDescent="0.25">
      <c r="A214" s="21" t="s">
        <v>16265</v>
      </c>
      <c r="B214" s="22" t="s">
        <v>16266</v>
      </c>
      <c r="C214" s="2">
        <v>1</v>
      </c>
      <c r="D214" s="23">
        <v>10.91</v>
      </c>
      <c r="E214" s="3">
        <v>10.91</v>
      </c>
      <c r="F214" s="2" t="s">
        <v>16267</v>
      </c>
      <c r="G214" s="22"/>
      <c r="H214" s="24" t="s">
        <v>19334</v>
      </c>
      <c r="I214" s="22" t="s">
        <v>19309</v>
      </c>
      <c r="J214" s="22" t="s">
        <v>19602</v>
      </c>
      <c r="K214" s="22" t="s">
        <v>19603</v>
      </c>
      <c r="L214" s="22"/>
      <c r="M214" s="22"/>
      <c r="N214" s="25" t="str">
        <f>HYPERLINK("http://slimages.macys.com/is/image/MCY/21421177 ")</f>
        <v xml:space="preserve">http://slimages.macys.com/is/image/MCY/21421177 </v>
      </c>
    </row>
    <row r="215" spans="1:14" ht="24.75" x14ac:dyDescent="0.25">
      <c r="A215" s="21" t="s">
        <v>1499</v>
      </c>
      <c r="B215" s="22" t="s">
        <v>1500</v>
      </c>
      <c r="C215" s="2">
        <v>1</v>
      </c>
      <c r="D215" s="23">
        <v>10.91</v>
      </c>
      <c r="E215" s="3">
        <v>10.91</v>
      </c>
      <c r="F215" s="2" t="s">
        <v>1501</v>
      </c>
      <c r="G215" s="22" t="s">
        <v>19431</v>
      </c>
      <c r="H215" s="24"/>
      <c r="I215" s="22" t="s">
        <v>19309</v>
      </c>
      <c r="J215" s="22" t="s">
        <v>19602</v>
      </c>
      <c r="K215" s="22" t="s">
        <v>20041</v>
      </c>
      <c r="L215" s="22"/>
      <c r="M215" s="22"/>
      <c r="N215" s="25" t="str">
        <f>HYPERLINK("http://slimages.macys.com/is/image/MCY/21669854 ")</f>
        <v xml:space="preserve">http://slimages.macys.com/is/image/MCY/21669854 </v>
      </c>
    </row>
    <row r="216" spans="1:14" ht="24.75" x14ac:dyDescent="0.25">
      <c r="A216" s="21" t="s">
        <v>13898</v>
      </c>
      <c r="B216" s="22" t="s">
        <v>13899</v>
      </c>
      <c r="C216" s="2">
        <v>1</v>
      </c>
      <c r="D216" s="23">
        <v>10.91</v>
      </c>
      <c r="E216" s="3">
        <v>10.91</v>
      </c>
      <c r="F216" s="2" t="s">
        <v>16605</v>
      </c>
      <c r="G216" s="22" t="s">
        <v>19594</v>
      </c>
      <c r="H216" s="24" t="s">
        <v>19392</v>
      </c>
      <c r="I216" s="22" t="s">
        <v>19309</v>
      </c>
      <c r="J216" s="22" t="s">
        <v>19602</v>
      </c>
      <c r="K216" s="22" t="s">
        <v>20041</v>
      </c>
      <c r="L216" s="22"/>
      <c r="M216" s="22"/>
      <c r="N216" s="25" t="str">
        <f>HYPERLINK("http://slimages.macys.com/is/image/MCY/21723141 ")</f>
        <v xml:space="preserve">http://slimages.macys.com/is/image/MCY/21723141 </v>
      </c>
    </row>
    <row r="217" spans="1:14" ht="24.75" x14ac:dyDescent="0.25">
      <c r="A217" s="21" t="s">
        <v>13281</v>
      </c>
      <c r="B217" s="22" t="s">
        <v>13282</v>
      </c>
      <c r="C217" s="2">
        <v>1</v>
      </c>
      <c r="D217" s="23">
        <v>10.91</v>
      </c>
      <c r="E217" s="3">
        <v>10.91</v>
      </c>
      <c r="F217" s="2" t="s">
        <v>18650</v>
      </c>
      <c r="G217" s="22"/>
      <c r="H217" s="24" t="s">
        <v>19345</v>
      </c>
      <c r="I217" s="22" t="s">
        <v>19309</v>
      </c>
      <c r="J217" s="22" t="s">
        <v>19602</v>
      </c>
      <c r="K217" s="22" t="s">
        <v>19603</v>
      </c>
      <c r="L217" s="22"/>
      <c r="M217" s="22"/>
      <c r="N217" s="25" t="str">
        <f>HYPERLINK("http://slimages.macys.com/is/image/MCY/21420990 ")</f>
        <v xml:space="preserve">http://slimages.macys.com/is/image/MCY/21420990 </v>
      </c>
    </row>
    <row r="218" spans="1:14" x14ac:dyDescent="0.25">
      <c r="A218" s="21" t="s">
        <v>1502</v>
      </c>
      <c r="B218" s="22" t="s">
        <v>1503</v>
      </c>
      <c r="C218" s="2">
        <v>1</v>
      </c>
      <c r="D218" s="23">
        <v>9.7200000000000006</v>
      </c>
      <c r="E218" s="3">
        <v>9.7200000000000006</v>
      </c>
      <c r="F218" s="2" t="s">
        <v>18660</v>
      </c>
      <c r="G218" s="22"/>
      <c r="H218" s="24" t="s">
        <v>20159</v>
      </c>
      <c r="I218" s="22" t="s">
        <v>19309</v>
      </c>
      <c r="J218" s="22" t="s">
        <v>19708</v>
      </c>
      <c r="K218" s="22" t="s">
        <v>19709</v>
      </c>
      <c r="L218" s="22"/>
      <c r="M218" s="22"/>
      <c r="N218" s="25" t="str">
        <f>HYPERLINK("http://slimages.macys.com/is/image/MCY/19063822 ")</f>
        <v xml:space="preserve">http://slimages.macys.com/is/image/MCY/19063822 </v>
      </c>
    </row>
    <row r="219" spans="1:14" ht="24.75" x14ac:dyDescent="0.25">
      <c r="A219" s="21" t="s">
        <v>1504</v>
      </c>
      <c r="B219" s="22" t="s">
        <v>1505</v>
      </c>
      <c r="C219" s="2">
        <v>1</v>
      </c>
      <c r="D219" s="23">
        <v>7.99</v>
      </c>
      <c r="E219" s="3">
        <v>7.99</v>
      </c>
      <c r="F219" s="2" t="s">
        <v>1506</v>
      </c>
      <c r="G219" s="22" t="s">
        <v>19323</v>
      </c>
      <c r="H219" s="24" t="s">
        <v>19339</v>
      </c>
      <c r="I219" s="22" t="s">
        <v>19309</v>
      </c>
      <c r="J219" s="22" t="s">
        <v>19447</v>
      </c>
      <c r="K219" s="22" t="s">
        <v>19873</v>
      </c>
      <c r="L219" s="22"/>
      <c r="M219" s="22"/>
      <c r="N219" s="25" t="str">
        <f>HYPERLINK("http://slimages.macys.com/is/image/MCY/17602098 ")</f>
        <v xml:space="preserve">http://slimages.macys.com/is/image/MCY/17602098 </v>
      </c>
    </row>
    <row r="220" spans="1:14" x14ac:dyDescent="0.25">
      <c r="A220" s="21" t="s">
        <v>9951</v>
      </c>
      <c r="B220" s="22" t="s">
        <v>9952</v>
      </c>
      <c r="C220" s="2">
        <v>1</v>
      </c>
      <c r="D220" s="23">
        <v>11.99</v>
      </c>
      <c r="E220" s="3">
        <v>11.99</v>
      </c>
      <c r="F220" s="2" t="s">
        <v>16330</v>
      </c>
      <c r="G220" s="22" t="s">
        <v>19315</v>
      </c>
      <c r="H220" s="24" t="s">
        <v>19542</v>
      </c>
      <c r="I220" s="22" t="s">
        <v>19309</v>
      </c>
      <c r="J220" s="22" t="s">
        <v>19849</v>
      </c>
      <c r="K220" s="22" t="s">
        <v>19850</v>
      </c>
      <c r="L220" s="22"/>
      <c r="M220" s="22"/>
      <c r="N220" s="25" t="str">
        <f>HYPERLINK("http://slimages.macys.com/is/image/MCY/21251264 ")</f>
        <v xml:space="preserve">http://slimages.macys.com/is/image/MCY/21251264 </v>
      </c>
    </row>
    <row r="221" spans="1:14" ht="24.75" x14ac:dyDescent="0.25">
      <c r="A221" s="21" t="s">
        <v>18690</v>
      </c>
      <c r="B221" s="22" t="s">
        <v>18691</v>
      </c>
      <c r="C221" s="2">
        <v>1</v>
      </c>
      <c r="D221" s="23">
        <v>9.99</v>
      </c>
      <c r="E221" s="3">
        <v>9.99</v>
      </c>
      <c r="F221" s="2" t="s">
        <v>18689</v>
      </c>
      <c r="G221" s="22" t="s">
        <v>19351</v>
      </c>
      <c r="H221" s="24" t="s">
        <v>19770</v>
      </c>
      <c r="I221" s="22" t="s">
        <v>19309</v>
      </c>
      <c r="J221" s="22" t="s">
        <v>19573</v>
      </c>
      <c r="K221" s="22" t="s">
        <v>19574</v>
      </c>
      <c r="L221" s="22"/>
      <c r="M221" s="22"/>
      <c r="N221" s="25" t="str">
        <f>HYPERLINK("http://slimages.macys.com/is/image/MCY/1679025 ")</f>
        <v xml:space="preserve">http://slimages.macys.com/is/image/MCY/1679025 </v>
      </c>
    </row>
    <row r="222" spans="1:14" ht="24.75" x14ac:dyDescent="0.25">
      <c r="A222" s="21" t="s">
        <v>1507</v>
      </c>
      <c r="B222" s="22" t="s">
        <v>1508</v>
      </c>
      <c r="C222" s="2">
        <v>1</v>
      </c>
      <c r="D222" s="23">
        <v>26.5</v>
      </c>
      <c r="E222" s="3">
        <v>26.5</v>
      </c>
      <c r="F222" s="2" t="s">
        <v>16665</v>
      </c>
      <c r="G222" s="22" t="s">
        <v>19518</v>
      </c>
      <c r="H222" s="24" t="s">
        <v>18139</v>
      </c>
      <c r="I222" s="22" t="s">
        <v>19309</v>
      </c>
      <c r="J222" s="22" t="s">
        <v>20104</v>
      </c>
      <c r="K222" s="22" t="s">
        <v>20105</v>
      </c>
      <c r="L222" s="22"/>
      <c r="M222" s="22"/>
      <c r="N222" s="25" t="str">
        <f>HYPERLINK("http://slimages.macys.com/is/image/MCY/21910213 ")</f>
        <v xml:space="preserve">http://slimages.macys.com/is/image/MCY/21910213 </v>
      </c>
    </row>
    <row r="223" spans="1:14" ht="24.75" x14ac:dyDescent="0.25">
      <c r="A223" s="21" t="s">
        <v>1509</v>
      </c>
      <c r="B223" s="22" t="s">
        <v>1510</v>
      </c>
      <c r="C223" s="2">
        <v>1</v>
      </c>
      <c r="D223" s="23">
        <v>26.5</v>
      </c>
      <c r="E223" s="3">
        <v>26.5</v>
      </c>
      <c r="F223" s="2" t="s">
        <v>16665</v>
      </c>
      <c r="G223" s="22" t="s">
        <v>19518</v>
      </c>
      <c r="H223" s="24" t="s">
        <v>19316</v>
      </c>
      <c r="I223" s="22" t="s">
        <v>19309</v>
      </c>
      <c r="J223" s="22" t="s">
        <v>20104</v>
      </c>
      <c r="K223" s="22" t="s">
        <v>20105</v>
      </c>
      <c r="L223" s="22"/>
      <c r="M223" s="22"/>
      <c r="N223" s="25" t="str">
        <f>HYPERLINK("http://slimages.macys.com/is/image/MCY/21910213 ")</f>
        <v xml:space="preserve">http://slimages.macys.com/is/image/MCY/21910213 </v>
      </c>
    </row>
    <row r="224" spans="1:14" ht="24.75" x14ac:dyDescent="0.25">
      <c r="A224" s="21" t="s">
        <v>12388</v>
      </c>
      <c r="B224" s="22" t="s">
        <v>12389</v>
      </c>
      <c r="C224" s="2">
        <v>1</v>
      </c>
      <c r="D224" s="23">
        <v>10.41</v>
      </c>
      <c r="E224" s="3">
        <v>10.41</v>
      </c>
      <c r="F224" s="2" t="s">
        <v>12390</v>
      </c>
      <c r="G224" s="22"/>
      <c r="H224" s="24" t="s">
        <v>19392</v>
      </c>
      <c r="I224" s="22" t="s">
        <v>19309</v>
      </c>
      <c r="J224" s="22" t="s">
        <v>19602</v>
      </c>
      <c r="K224" s="22" t="s">
        <v>20041</v>
      </c>
      <c r="L224" s="22"/>
      <c r="M224" s="22"/>
      <c r="N224" s="25" t="str">
        <f>HYPERLINK("http://slimages.macys.com/is/image/MCY/21723875 ")</f>
        <v xml:space="preserve">http://slimages.macys.com/is/image/MCY/21723875 </v>
      </c>
    </row>
    <row r="225" spans="1:14" ht="24.75" x14ac:dyDescent="0.25">
      <c r="A225" s="21" t="s">
        <v>9020</v>
      </c>
      <c r="B225" s="22" t="s">
        <v>9021</v>
      </c>
      <c r="C225" s="2">
        <v>1</v>
      </c>
      <c r="D225" s="23">
        <v>7.99</v>
      </c>
      <c r="E225" s="3">
        <v>7.99</v>
      </c>
      <c r="F225" s="2" t="s">
        <v>18717</v>
      </c>
      <c r="G225" s="22" t="s">
        <v>19906</v>
      </c>
      <c r="H225" s="24" t="s">
        <v>20135</v>
      </c>
      <c r="I225" s="22" t="s">
        <v>19309</v>
      </c>
      <c r="J225" s="22" t="s">
        <v>19849</v>
      </c>
      <c r="K225" s="22" t="s">
        <v>19850</v>
      </c>
      <c r="L225" s="22"/>
      <c r="M225" s="22"/>
      <c r="N225" s="25" t="str">
        <f>HYPERLINK("http://slimages.macys.com/is/image/MCY/1928300 ")</f>
        <v xml:space="preserve">http://slimages.macys.com/is/image/MCY/1928300 </v>
      </c>
    </row>
    <row r="226" spans="1:14" ht="24.75" x14ac:dyDescent="0.25">
      <c r="A226" s="21" t="s">
        <v>9018</v>
      </c>
      <c r="B226" s="22" t="s">
        <v>9019</v>
      </c>
      <c r="C226" s="2">
        <v>1</v>
      </c>
      <c r="D226" s="23">
        <v>7.99</v>
      </c>
      <c r="E226" s="3">
        <v>7.99</v>
      </c>
      <c r="F226" s="2" t="s">
        <v>18717</v>
      </c>
      <c r="G226" s="22" t="s">
        <v>19906</v>
      </c>
      <c r="H226" s="24" t="s">
        <v>19542</v>
      </c>
      <c r="I226" s="22" t="s">
        <v>19309</v>
      </c>
      <c r="J226" s="22" t="s">
        <v>19849</v>
      </c>
      <c r="K226" s="22" t="s">
        <v>19850</v>
      </c>
      <c r="L226" s="22"/>
      <c r="M226" s="22"/>
      <c r="N226" s="25" t="str">
        <f>HYPERLINK("http://slimages.macys.com/is/image/MCY/1928300 ")</f>
        <v xml:space="preserve">http://slimages.macys.com/is/image/MCY/1928300 </v>
      </c>
    </row>
    <row r="227" spans="1:14" ht="24.75" x14ac:dyDescent="0.25">
      <c r="A227" s="21" t="s">
        <v>13942</v>
      </c>
      <c r="B227" s="22" t="s">
        <v>13943</v>
      </c>
      <c r="C227" s="2">
        <v>1</v>
      </c>
      <c r="D227" s="23">
        <v>7.99</v>
      </c>
      <c r="E227" s="3">
        <v>7.99</v>
      </c>
      <c r="F227" s="2" t="s">
        <v>18717</v>
      </c>
      <c r="G227" s="22" t="s">
        <v>19906</v>
      </c>
      <c r="H227" s="24" t="s">
        <v>19361</v>
      </c>
      <c r="I227" s="22" t="s">
        <v>19309</v>
      </c>
      <c r="J227" s="22" t="s">
        <v>19849</v>
      </c>
      <c r="K227" s="22" t="s">
        <v>19850</v>
      </c>
      <c r="L227" s="22"/>
      <c r="M227" s="22"/>
      <c r="N227" s="25" t="str">
        <f>HYPERLINK("http://slimages.macys.com/is/image/MCY/1928300 ")</f>
        <v xml:space="preserve">http://slimages.macys.com/is/image/MCY/1928300 </v>
      </c>
    </row>
    <row r="228" spans="1:14" x14ac:dyDescent="0.25">
      <c r="A228" s="21" t="s">
        <v>1511</v>
      </c>
      <c r="B228" s="22" t="s">
        <v>1512</v>
      </c>
      <c r="C228" s="2">
        <v>1</v>
      </c>
      <c r="D228" s="23">
        <v>11.99</v>
      </c>
      <c r="E228" s="3">
        <v>11.99</v>
      </c>
      <c r="F228" s="2" t="s">
        <v>1513</v>
      </c>
      <c r="G228" s="22" t="s">
        <v>19674</v>
      </c>
      <c r="H228" s="24" t="s">
        <v>19339</v>
      </c>
      <c r="I228" s="22" t="s">
        <v>19309</v>
      </c>
      <c r="J228" s="22" t="s">
        <v>19849</v>
      </c>
      <c r="K228" s="22" t="s">
        <v>19850</v>
      </c>
      <c r="L228" s="22"/>
      <c r="M228" s="22"/>
      <c r="N228" s="25" t="str">
        <f>HYPERLINK("http://slimages.macys.com/is/image/MCY/21012590 ")</f>
        <v xml:space="preserve">http://slimages.macys.com/is/image/MCY/21012590 </v>
      </c>
    </row>
    <row r="229" spans="1:14" ht="24.75" x14ac:dyDescent="0.25">
      <c r="A229" s="21" t="s">
        <v>7757</v>
      </c>
      <c r="B229" s="22" t="s">
        <v>7758</v>
      </c>
      <c r="C229" s="2">
        <v>1</v>
      </c>
      <c r="D229" s="23">
        <v>7.99</v>
      </c>
      <c r="E229" s="3">
        <v>7.99</v>
      </c>
      <c r="F229" s="2" t="s">
        <v>7759</v>
      </c>
      <c r="G229" s="22" t="s">
        <v>19351</v>
      </c>
      <c r="H229" s="24" t="s">
        <v>19377</v>
      </c>
      <c r="I229" s="22" t="s">
        <v>19309</v>
      </c>
      <c r="J229" s="22" t="s">
        <v>19447</v>
      </c>
      <c r="K229" s="22" t="s">
        <v>20146</v>
      </c>
      <c r="L229" s="22"/>
      <c r="M229" s="22"/>
      <c r="N229" s="25" t="str">
        <f>HYPERLINK("http://slimages.macys.com/is/image/MCY/19091743 ")</f>
        <v xml:space="preserve">http://slimages.macys.com/is/image/MCY/19091743 </v>
      </c>
    </row>
    <row r="230" spans="1:14" ht="24.75" x14ac:dyDescent="0.25">
      <c r="A230" s="21" t="s">
        <v>13317</v>
      </c>
      <c r="B230" s="22" t="s">
        <v>13318</v>
      </c>
      <c r="C230" s="2">
        <v>1</v>
      </c>
      <c r="D230" s="23">
        <v>10.99</v>
      </c>
      <c r="E230" s="3">
        <v>10.99</v>
      </c>
      <c r="F230" s="2" t="s">
        <v>13319</v>
      </c>
      <c r="G230" s="22" t="s">
        <v>19333</v>
      </c>
      <c r="H230" s="24" t="s">
        <v>19339</v>
      </c>
      <c r="I230" s="22" t="s">
        <v>19309</v>
      </c>
      <c r="J230" s="22" t="s">
        <v>19353</v>
      </c>
      <c r="K230" s="22" t="s">
        <v>19524</v>
      </c>
      <c r="L230" s="22"/>
      <c r="M230" s="22"/>
      <c r="N230" s="25" t="str">
        <f>HYPERLINK("http://slimages.macys.com/is/image/MCY/21083368 ")</f>
        <v xml:space="preserve">http://slimages.macys.com/is/image/MCY/21083368 </v>
      </c>
    </row>
    <row r="231" spans="1:14" ht="24.75" x14ac:dyDescent="0.25">
      <c r="A231" s="21" t="s">
        <v>1514</v>
      </c>
      <c r="B231" s="22" t="s">
        <v>1515</v>
      </c>
      <c r="C231" s="2">
        <v>1</v>
      </c>
      <c r="D231" s="23">
        <v>10.99</v>
      </c>
      <c r="E231" s="3">
        <v>10.99</v>
      </c>
      <c r="F231" s="2" t="s">
        <v>1516</v>
      </c>
      <c r="G231" s="22" t="s">
        <v>19462</v>
      </c>
      <c r="H231" s="24" t="s">
        <v>19364</v>
      </c>
      <c r="I231" s="22" t="s">
        <v>19309</v>
      </c>
      <c r="J231" s="22" t="s">
        <v>19353</v>
      </c>
      <c r="K231" s="22" t="s">
        <v>19524</v>
      </c>
      <c r="L231" s="22"/>
      <c r="M231" s="22"/>
      <c r="N231" s="25" t="str">
        <f>HYPERLINK("http://slimages.macys.com/is/image/MCY/22125224 ")</f>
        <v xml:space="preserve">http://slimages.macys.com/is/image/MCY/22125224 </v>
      </c>
    </row>
    <row r="232" spans="1:14" x14ac:dyDescent="0.25">
      <c r="A232" s="21" t="s">
        <v>1517</v>
      </c>
      <c r="B232" s="22" t="s">
        <v>1518</v>
      </c>
      <c r="C232" s="2">
        <v>1</v>
      </c>
      <c r="D232" s="23">
        <v>9.99</v>
      </c>
      <c r="E232" s="3">
        <v>9.99</v>
      </c>
      <c r="F232" s="2" t="s">
        <v>16356</v>
      </c>
      <c r="G232" s="22" t="s">
        <v>19351</v>
      </c>
      <c r="H232" s="24" t="s">
        <v>19907</v>
      </c>
      <c r="I232" s="22" t="s">
        <v>19309</v>
      </c>
      <c r="J232" s="22" t="s">
        <v>19849</v>
      </c>
      <c r="K232" s="22" t="s">
        <v>19850</v>
      </c>
      <c r="L232" s="22"/>
      <c r="M232" s="22"/>
      <c r="N232" s="25" t="str">
        <f>HYPERLINK("http://slimages.macys.com/is/image/MCY/20752010 ")</f>
        <v xml:space="preserve">http://slimages.macys.com/is/image/MCY/20752010 </v>
      </c>
    </row>
    <row r="233" spans="1:14" x14ac:dyDescent="0.25">
      <c r="A233" s="21" t="s">
        <v>16357</v>
      </c>
      <c r="B233" s="22" t="s">
        <v>16358</v>
      </c>
      <c r="C233" s="2">
        <v>1</v>
      </c>
      <c r="D233" s="23">
        <v>9.99</v>
      </c>
      <c r="E233" s="3">
        <v>9.99</v>
      </c>
      <c r="F233" s="2" t="s">
        <v>16356</v>
      </c>
      <c r="G233" s="22" t="s">
        <v>19351</v>
      </c>
      <c r="H233" s="24" t="s">
        <v>19361</v>
      </c>
      <c r="I233" s="22" t="s">
        <v>19309</v>
      </c>
      <c r="J233" s="22" t="s">
        <v>19849</v>
      </c>
      <c r="K233" s="22" t="s">
        <v>19850</v>
      </c>
      <c r="L233" s="22"/>
      <c r="M233" s="22"/>
      <c r="N233" s="25" t="str">
        <f>HYPERLINK("http://slimages.macys.com/is/image/MCY/1249852 ")</f>
        <v xml:space="preserve">http://slimages.macys.com/is/image/MCY/1249852 </v>
      </c>
    </row>
    <row r="234" spans="1:14" x14ac:dyDescent="0.25">
      <c r="A234" s="21" t="s">
        <v>1519</v>
      </c>
      <c r="B234" s="22" t="s">
        <v>1520</v>
      </c>
      <c r="C234" s="2">
        <v>1</v>
      </c>
      <c r="D234" s="23">
        <v>9.99</v>
      </c>
      <c r="E234" s="3">
        <v>9.99</v>
      </c>
      <c r="F234" s="2" t="s">
        <v>16361</v>
      </c>
      <c r="G234" s="22" t="s">
        <v>19674</v>
      </c>
      <c r="H234" s="24" t="s">
        <v>19339</v>
      </c>
      <c r="I234" s="22" t="s">
        <v>19309</v>
      </c>
      <c r="J234" s="22" t="s">
        <v>19849</v>
      </c>
      <c r="K234" s="22" t="s">
        <v>19850</v>
      </c>
      <c r="L234" s="22"/>
      <c r="M234" s="22"/>
      <c r="N234" s="25" t="str">
        <f>HYPERLINK("http://slimages.macys.com/is/image/MCY/19965816 ")</f>
        <v xml:space="preserve">http://slimages.macys.com/is/image/MCY/19965816 </v>
      </c>
    </row>
    <row r="235" spans="1:14" x14ac:dyDescent="0.25">
      <c r="A235" s="21" t="s">
        <v>1521</v>
      </c>
      <c r="B235" s="22" t="s">
        <v>1522</v>
      </c>
      <c r="C235" s="2">
        <v>1</v>
      </c>
      <c r="D235" s="23">
        <v>9.99</v>
      </c>
      <c r="E235" s="3">
        <v>9.99</v>
      </c>
      <c r="F235" s="2" t="s">
        <v>12417</v>
      </c>
      <c r="G235" s="22" t="s">
        <v>19674</v>
      </c>
      <c r="H235" s="24" t="s">
        <v>19377</v>
      </c>
      <c r="I235" s="22" t="s">
        <v>19309</v>
      </c>
      <c r="J235" s="22" t="s">
        <v>19849</v>
      </c>
      <c r="K235" s="22" t="s">
        <v>19850</v>
      </c>
      <c r="L235" s="22"/>
      <c r="M235" s="22"/>
      <c r="N235" s="25" t="str">
        <f>HYPERLINK("http://slimages.macys.com/is/image/MCY/1249852 ")</f>
        <v xml:space="preserve">http://slimages.macys.com/is/image/MCY/1249852 </v>
      </c>
    </row>
    <row r="236" spans="1:14" x14ac:dyDescent="0.25">
      <c r="A236" s="21" t="s">
        <v>12415</v>
      </c>
      <c r="B236" s="22" t="s">
        <v>12416</v>
      </c>
      <c r="C236" s="2">
        <v>1</v>
      </c>
      <c r="D236" s="23">
        <v>9.99</v>
      </c>
      <c r="E236" s="3">
        <v>9.99</v>
      </c>
      <c r="F236" s="2" t="s">
        <v>12417</v>
      </c>
      <c r="G236" s="22" t="s">
        <v>19674</v>
      </c>
      <c r="H236" s="24" t="s">
        <v>20089</v>
      </c>
      <c r="I236" s="22" t="s">
        <v>19309</v>
      </c>
      <c r="J236" s="22" t="s">
        <v>19849</v>
      </c>
      <c r="K236" s="22" t="s">
        <v>19850</v>
      </c>
      <c r="L236" s="22"/>
      <c r="M236" s="22"/>
      <c r="N236" s="25" t="str">
        <f>HYPERLINK("http://slimages.macys.com/is/image/MCY/1249852 ")</f>
        <v xml:space="preserve">http://slimages.macys.com/is/image/MCY/1249852 </v>
      </c>
    </row>
    <row r="237" spans="1:14" ht="24.75" x14ac:dyDescent="0.25">
      <c r="A237" s="21" t="s">
        <v>1523</v>
      </c>
      <c r="B237" s="22" t="s">
        <v>1524</v>
      </c>
      <c r="C237" s="2">
        <v>1</v>
      </c>
      <c r="D237" s="23">
        <v>10.99</v>
      </c>
      <c r="E237" s="3">
        <v>10.99</v>
      </c>
      <c r="F237" s="2" t="s">
        <v>9062</v>
      </c>
      <c r="G237" s="22" t="s">
        <v>19670</v>
      </c>
      <c r="H237" s="24" t="s">
        <v>19339</v>
      </c>
      <c r="I237" s="22" t="s">
        <v>19309</v>
      </c>
      <c r="J237" s="22" t="s">
        <v>19353</v>
      </c>
      <c r="K237" s="22" t="s">
        <v>19524</v>
      </c>
      <c r="L237" s="22"/>
      <c r="M237" s="22"/>
      <c r="N237" s="25" t="str">
        <f>HYPERLINK("http://slimages.macys.com/is/image/MCY/21083362 ")</f>
        <v xml:space="preserve">http://slimages.macys.com/is/image/MCY/21083362 </v>
      </c>
    </row>
    <row r="238" spans="1:14" ht="24.75" x14ac:dyDescent="0.25">
      <c r="A238" s="21" t="s">
        <v>1525</v>
      </c>
      <c r="B238" s="22" t="s">
        <v>1526</v>
      </c>
      <c r="C238" s="2">
        <v>2</v>
      </c>
      <c r="D238" s="23">
        <v>9.99</v>
      </c>
      <c r="E238" s="3">
        <v>19.98</v>
      </c>
      <c r="F238" s="2" t="s">
        <v>1527</v>
      </c>
      <c r="G238" s="22" t="s">
        <v>18644</v>
      </c>
      <c r="H238" s="24"/>
      <c r="I238" s="22" t="s">
        <v>19309</v>
      </c>
      <c r="J238" s="22" t="s">
        <v>19417</v>
      </c>
      <c r="K238" s="22" t="s">
        <v>17976</v>
      </c>
      <c r="L238" s="22"/>
      <c r="M238" s="22"/>
      <c r="N238" s="25" t="str">
        <f>HYPERLINK("http://slimages.macys.com/is/image/MCY/21646344 ")</f>
        <v xml:space="preserve">http://slimages.macys.com/is/image/MCY/21646344 </v>
      </c>
    </row>
    <row r="239" spans="1:14" ht="24.75" x14ac:dyDescent="0.25">
      <c r="A239" s="21" t="s">
        <v>1528</v>
      </c>
      <c r="B239" s="22" t="s">
        <v>1529</v>
      </c>
      <c r="C239" s="2">
        <v>5</v>
      </c>
      <c r="D239" s="23">
        <v>9.99</v>
      </c>
      <c r="E239" s="3">
        <v>49.95</v>
      </c>
      <c r="F239" s="2" t="s">
        <v>1530</v>
      </c>
      <c r="G239" s="22" t="s">
        <v>19622</v>
      </c>
      <c r="H239" s="24"/>
      <c r="I239" s="22" t="s">
        <v>19309</v>
      </c>
      <c r="J239" s="22" t="s">
        <v>19417</v>
      </c>
      <c r="K239" s="22" t="s">
        <v>17976</v>
      </c>
      <c r="L239" s="22"/>
      <c r="M239" s="22"/>
      <c r="N239" s="25" t="str">
        <f>HYPERLINK("http://slimages.macys.com/is/image/MCY/21679598 ")</f>
        <v xml:space="preserve">http://slimages.macys.com/is/image/MCY/21679598 </v>
      </c>
    </row>
    <row r="240" spans="1:14" ht="24.75" x14ac:dyDescent="0.25">
      <c r="A240" s="21" t="s">
        <v>1531</v>
      </c>
      <c r="B240" s="22" t="s">
        <v>1532</v>
      </c>
      <c r="C240" s="2">
        <v>9</v>
      </c>
      <c r="D240" s="23">
        <v>9.99</v>
      </c>
      <c r="E240" s="3">
        <v>89.91</v>
      </c>
      <c r="F240" s="2" t="s">
        <v>1533</v>
      </c>
      <c r="G240" s="22" t="s">
        <v>19351</v>
      </c>
      <c r="H240" s="24"/>
      <c r="I240" s="22" t="s">
        <v>19309</v>
      </c>
      <c r="J240" s="22" t="s">
        <v>19417</v>
      </c>
      <c r="K240" s="22" t="s">
        <v>17976</v>
      </c>
      <c r="L240" s="22"/>
      <c r="M240" s="22"/>
      <c r="N240" s="25" t="str">
        <f>HYPERLINK("http://slimages.macys.com/is/image/MCY/21655870 ")</f>
        <v xml:space="preserve">http://slimages.macys.com/is/image/MCY/21655870 </v>
      </c>
    </row>
    <row r="241" spans="1:14" ht="24.75" x14ac:dyDescent="0.25">
      <c r="A241" s="21" t="s">
        <v>13351</v>
      </c>
      <c r="B241" s="22" t="s">
        <v>13352</v>
      </c>
      <c r="C241" s="2">
        <v>1</v>
      </c>
      <c r="D241" s="23">
        <v>8.89</v>
      </c>
      <c r="E241" s="3">
        <v>8.89</v>
      </c>
      <c r="F241" s="2" t="s">
        <v>13353</v>
      </c>
      <c r="G241" s="22" t="s">
        <v>19618</v>
      </c>
      <c r="H241" s="24" t="s">
        <v>19364</v>
      </c>
      <c r="I241" s="22" t="s">
        <v>19309</v>
      </c>
      <c r="J241" s="22" t="s">
        <v>19565</v>
      </c>
      <c r="K241" s="22" t="s">
        <v>18514</v>
      </c>
      <c r="L241" s="22"/>
      <c r="M241" s="22"/>
      <c r="N241" s="25" t="str">
        <f>HYPERLINK("http://slimages.macys.com/is/image/MCY/21621980 ")</f>
        <v xml:space="preserve">http://slimages.macys.com/is/image/MCY/21621980 </v>
      </c>
    </row>
    <row r="242" spans="1:14" ht="24.75" x14ac:dyDescent="0.25">
      <c r="A242" s="21" t="s">
        <v>1534</v>
      </c>
      <c r="B242" s="22" t="s">
        <v>1535</v>
      </c>
      <c r="C242" s="2">
        <v>1</v>
      </c>
      <c r="D242" s="23">
        <v>8.89</v>
      </c>
      <c r="E242" s="3">
        <v>8.89</v>
      </c>
      <c r="F242" s="2" t="s">
        <v>10010</v>
      </c>
      <c r="G242" s="22" t="s">
        <v>19618</v>
      </c>
      <c r="H242" s="24" t="s">
        <v>19308</v>
      </c>
      <c r="I242" s="22" t="s">
        <v>19309</v>
      </c>
      <c r="J242" s="22" t="s">
        <v>19565</v>
      </c>
      <c r="K242" s="22" t="s">
        <v>18514</v>
      </c>
      <c r="L242" s="22"/>
      <c r="M242" s="22"/>
      <c r="N242" s="25" t="str">
        <f>HYPERLINK("http://slimages.macys.com/is/image/MCY/21365987 ")</f>
        <v xml:space="preserve">http://slimages.macys.com/is/image/MCY/21365987 </v>
      </c>
    </row>
    <row r="243" spans="1:14" ht="24.75" x14ac:dyDescent="0.25">
      <c r="A243" s="21" t="s">
        <v>1536</v>
      </c>
      <c r="B243" s="22" t="s">
        <v>1537</v>
      </c>
      <c r="C243" s="2">
        <v>3</v>
      </c>
      <c r="D243" s="23">
        <v>9.99</v>
      </c>
      <c r="E243" s="3">
        <v>29.97</v>
      </c>
      <c r="F243" s="2" t="s">
        <v>1538</v>
      </c>
      <c r="G243" s="22" t="s">
        <v>19351</v>
      </c>
      <c r="H243" s="24"/>
      <c r="I243" s="22" t="s">
        <v>19309</v>
      </c>
      <c r="J243" s="22" t="s">
        <v>19417</v>
      </c>
      <c r="K243" s="22" t="s">
        <v>17976</v>
      </c>
      <c r="L243" s="22"/>
      <c r="M243" s="22"/>
      <c r="N243" s="25" t="str">
        <f>HYPERLINK("http://slimages.macys.com/is/image/MCY/21642380 ")</f>
        <v xml:space="preserve">http://slimages.macys.com/is/image/MCY/21642380 </v>
      </c>
    </row>
    <row r="244" spans="1:14" ht="24.75" x14ac:dyDescent="0.25">
      <c r="A244" s="21" t="s">
        <v>1539</v>
      </c>
      <c r="B244" s="22" t="s">
        <v>1540</v>
      </c>
      <c r="C244" s="2">
        <v>5</v>
      </c>
      <c r="D244" s="23">
        <v>9.99</v>
      </c>
      <c r="E244" s="3">
        <v>49.95</v>
      </c>
      <c r="F244" s="2" t="s">
        <v>1541</v>
      </c>
      <c r="G244" s="22" t="s">
        <v>19351</v>
      </c>
      <c r="H244" s="24"/>
      <c r="I244" s="22" t="s">
        <v>19309</v>
      </c>
      <c r="J244" s="22" t="s">
        <v>19417</v>
      </c>
      <c r="K244" s="22" t="s">
        <v>17976</v>
      </c>
      <c r="L244" s="22"/>
      <c r="M244" s="22"/>
      <c r="N244" s="25" t="str">
        <f>HYPERLINK("http://slimages.macys.com/is/image/MCY/21655852 ")</f>
        <v xml:space="preserve">http://slimages.macys.com/is/image/MCY/21655852 </v>
      </c>
    </row>
    <row r="245" spans="1:14" ht="24.75" x14ac:dyDescent="0.25">
      <c r="A245" s="21" t="s">
        <v>1542</v>
      </c>
      <c r="B245" s="22" t="s">
        <v>1543</v>
      </c>
      <c r="C245" s="2">
        <v>2</v>
      </c>
      <c r="D245" s="23">
        <v>9.99</v>
      </c>
      <c r="E245" s="3">
        <v>19.98</v>
      </c>
      <c r="F245" s="2" t="s">
        <v>1544</v>
      </c>
      <c r="G245" s="22" t="s">
        <v>19333</v>
      </c>
      <c r="H245" s="24"/>
      <c r="I245" s="22" t="s">
        <v>19309</v>
      </c>
      <c r="J245" s="22" t="s">
        <v>19417</v>
      </c>
      <c r="K245" s="22" t="s">
        <v>17976</v>
      </c>
      <c r="L245" s="22"/>
      <c r="M245" s="22"/>
      <c r="N245" s="25" t="str">
        <f>HYPERLINK("http://slimages.macys.com/is/image/MCY/21655870 ")</f>
        <v xml:space="preserve">http://slimages.macys.com/is/image/MCY/21655870 </v>
      </c>
    </row>
    <row r="246" spans="1:14" ht="24.75" x14ac:dyDescent="0.25">
      <c r="A246" s="21" t="s">
        <v>6970</v>
      </c>
      <c r="B246" s="22" t="s">
        <v>6971</v>
      </c>
      <c r="C246" s="2">
        <v>1</v>
      </c>
      <c r="D246" s="23">
        <v>10.99</v>
      </c>
      <c r="E246" s="3">
        <v>10.99</v>
      </c>
      <c r="F246" s="2" t="s">
        <v>6972</v>
      </c>
      <c r="G246" s="22" t="s">
        <v>19431</v>
      </c>
      <c r="H246" s="24" t="s">
        <v>19339</v>
      </c>
      <c r="I246" s="22" t="s">
        <v>19309</v>
      </c>
      <c r="J246" s="22" t="s">
        <v>19353</v>
      </c>
      <c r="K246" s="22" t="s">
        <v>19524</v>
      </c>
      <c r="L246" s="22"/>
      <c r="M246" s="22"/>
      <c r="N246" s="25" t="str">
        <f>HYPERLINK("http://slimages.macys.com/is/image/MCY/22125345 ")</f>
        <v xml:space="preserve">http://slimages.macys.com/is/image/MCY/22125345 </v>
      </c>
    </row>
    <row r="247" spans="1:14" ht="24.75" x14ac:dyDescent="0.25">
      <c r="A247" s="21" t="s">
        <v>1545</v>
      </c>
      <c r="B247" s="22" t="s">
        <v>1546</v>
      </c>
      <c r="C247" s="2">
        <v>1</v>
      </c>
      <c r="D247" s="23">
        <v>10.99</v>
      </c>
      <c r="E247" s="3">
        <v>10.99</v>
      </c>
      <c r="F247" s="2" t="s">
        <v>18802</v>
      </c>
      <c r="G247" s="22" t="s">
        <v>18439</v>
      </c>
      <c r="H247" s="24" t="s">
        <v>19352</v>
      </c>
      <c r="I247" s="22" t="s">
        <v>19309</v>
      </c>
      <c r="J247" s="22" t="s">
        <v>19353</v>
      </c>
      <c r="K247" s="22" t="s">
        <v>19524</v>
      </c>
      <c r="L247" s="22"/>
      <c r="M247" s="22"/>
      <c r="N247" s="25" t="str">
        <f>HYPERLINK("http://slimages.macys.com/is/image/MCY/21694557 ")</f>
        <v xml:space="preserve">http://slimages.macys.com/is/image/MCY/21694557 </v>
      </c>
    </row>
    <row r="248" spans="1:14" x14ac:dyDescent="0.25">
      <c r="A248" s="21" t="s">
        <v>16818</v>
      </c>
      <c r="B248" s="22" t="s">
        <v>16819</v>
      </c>
      <c r="C248" s="2">
        <v>1</v>
      </c>
      <c r="D248" s="23">
        <v>11.99</v>
      </c>
      <c r="E248" s="3">
        <v>11.99</v>
      </c>
      <c r="F248" s="2" t="s">
        <v>16803</v>
      </c>
      <c r="G248" s="22" t="s">
        <v>19670</v>
      </c>
      <c r="H248" s="24" t="s">
        <v>19797</v>
      </c>
      <c r="I248" s="22" t="s">
        <v>19309</v>
      </c>
      <c r="J248" s="22" t="s">
        <v>19849</v>
      </c>
      <c r="K248" s="22" t="s">
        <v>19850</v>
      </c>
      <c r="L248" s="22"/>
      <c r="M248" s="22"/>
      <c r="N248" s="25" t="str">
        <f>HYPERLINK("http://slimages.macys.com/is/image/MCY/20752030 ")</f>
        <v xml:space="preserve">http://slimages.macys.com/is/image/MCY/20752030 </v>
      </c>
    </row>
    <row r="249" spans="1:14" x14ac:dyDescent="0.25">
      <c r="A249" s="21" t="s">
        <v>1547</v>
      </c>
      <c r="B249" s="22" t="s">
        <v>1548</v>
      </c>
      <c r="C249" s="2">
        <v>1</v>
      </c>
      <c r="D249" s="23">
        <v>8.4600000000000009</v>
      </c>
      <c r="E249" s="3">
        <v>8.4600000000000009</v>
      </c>
      <c r="F249" s="2" t="s">
        <v>1549</v>
      </c>
      <c r="G249" s="22" t="s">
        <v>19431</v>
      </c>
      <c r="H249" s="24"/>
      <c r="I249" s="22" t="s">
        <v>19309</v>
      </c>
      <c r="J249" s="22" t="s">
        <v>19708</v>
      </c>
      <c r="K249" s="22" t="s">
        <v>19709</v>
      </c>
      <c r="L249" s="22"/>
      <c r="M249" s="22"/>
      <c r="N249" s="25" t="str">
        <f>HYPERLINK("http://slimages.macys.com/is/image/MCY/19063807 ")</f>
        <v xml:space="preserve">http://slimages.macys.com/is/image/MCY/19063807 </v>
      </c>
    </row>
    <row r="250" spans="1:14" x14ac:dyDescent="0.25">
      <c r="A250" s="21" t="s">
        <v>16428</v>
      </c>
      <c r="B250" s="22" t="s">
        <v>16429</v>
      </c>
      <c r="C250" s="2">
        <v>3</v>
      </c>
      <c r="D250" s="23">
        <v>7.99</v>
      </c>
      <c r="E250" s="3">
        <v>23.97</v>
      </c>
      <c r="F250" s="2" t="s">
        <v>16840</v>
      </c>
      <c r="G250" s="22" t="s">
        <v>19431</v>
      </c>
      <c r="H250" s="24" t="s">
        <v>19361</v>
      </c>
      <c r="I250" s="22" t="s">
        <v>19309</v>
      </c>
      <c r="J250" s="22" t="s">
        <v>19849</v>
      </c>
      <c r="K250" s="22" t="s">
        <v>19850</v>
      </c>
      <c r="L250" s="22"/>
      <c r="M250" s="22"/>
      <c r="N250" s="25" t="str">
        <f>HYPERLINK("http://slimages.macys.com/is/image/MCY/19068277 ")</f>
        <v xml:space="preserve">http://slimages.macys.com/is/image/MCY/19068277 </v>
      </c>
    </row>
    <row r="251" spans="1:14" x14ac:dyDescent="0.25">
      <c r="A251" s="21" t="s">
        <v>16426</v>
      </c>
      <c r="B251" s="22" t="s">
        <v>16427</v>
      </c>
      <c r="C251" s="2">
        <v>1</v>
      </c>
      <c r="D251" s="23">
        <v>7.99</v>
      </c>
      <c r="E251" s="3">
        <v>7.99</v>
      </c>
      <c r="F251" s="2" t="s">
        <v>16840</v>
      </c>
      <c r="G251" s="22" t="s">
        <v>19431</v>
      </c>
      <c r="H251" s="24" t="s">
        <v>20089</v>
      </c>
      <c r="I251" s="22" t="s">
        <v>19309</v>
      </c>
      <c r="J251" s="22" t="s">
        <v>19849</v>
      </c>
      <c r="K251" s="22" t="s">
        <v>19850</v>
      </c>
      <c r="L251" s="22"/>
      <c r="M251" s="22"/>
      <c r="N251" s="25" t="str">
        <f>HYPERLINK("http://slimages.macys.com/is/image/MCY/19068277 ")</f>
        <v xml:space="preserve">http://slimages.macys.com/is/image/MCY/19068277 </v>
      </c>
    </row>
    <row r="252" spans="1:14" ht="24.75" x14ac:dyDescent="0.25">
      <c r="A252" s="21" t="s">
        <v>1550</v>
      </c>
      <c r="B252" s="22" t="s">
        <v>1551</v>
      </c>
      <c r="C252" s="2">
        <v>1</v>
      </c>
      <c r="D252" s="23">
        <v>13.99</v>
      </c>
      <c r="E252" s="3">
        <v>13.99</v>
      </c>
      <c r="F252" s="2" t="s">
        <v>16432</v>
      </c>
      <c r="G252" s="22" t="s">
        <v>19351</v>
      </c>
      <c r="H252" s="24" t="s">
        <v>19361</v>
      </c>
      <c r="I252" s="22" t="s">
        <v>19309</v>
      </c>
      <c r="J252" s="22" t="s">
        <v>19815</v>
      </c>
      <c r="K252" s="22" t="s">
        <v>19816</v>
      </c>
      <c r="L252" s="22"/>
      <c r="M252" s="22"/>
      <c r="N252" s="25" t="str">
        <f>HYPERLINK("http://slimages.macys.com/is/image/MCY/21278560 ")</f>
        <v xml:space="preserve">http://slimages.macys.com/is/image/MCY/21278560 </v>
      </c>
    </row>
    <row r="253" spans="1:14" ht="24.75" x14ac:dyDescent="0.25">
      <c r="A253" s="21" t="s">
        <v>2102</v>
      </c>
      <c r="B253" s="22" t="s">
        <v>2103</v>
      </c>
      <c r="C253" s="2">
        <v>1</v>
      </c>
      <c r="D253" s="23">
        <v>13.99</v>
      </c>
      <c r="E253" s="3">
        <v>13.99</v>
      </c>
      <c r="F253" s="2" t="s">
        <v>16432</v>
      </c>
      <c r="G253" s="22" t="s">
        <v>19814</v>
      </c>
      <c r="H253" s="24" t="s">
        <v>19432</v>
      </c>
      <c r="I253" s="22" t="s">
        <v>19309</v>
      </c>
      <c r="J253" s="22" t="s">
        <v>19815</v>
      </c>
      <c r="K253" s="22" t="s">
        <v>19816</v>
      </c>
      <c r="L253" s="22"/>
      <c r="M253" s="22"/>
      <c r="N253" s="25" t="str">
        <f>HYPERLINK("http://slimages.macys.com/is/image/MCY/21278560 ")</f>
        <v xml:space="preserve">http://slimages.macys.com/is/image/MCY/21278560 </v>
      </c>
    </row>
    <row r="254" spans="1:14" ht="24.75" x14ac:dyDescent="0.25">
      <c r="A254" s="21" t="s">
        <v>4884</v>
      </c>
      <c r="B254" s="22" t="s">
        <v>4885</v>
      </c>
      <c r="C254" s="2">
        <v>1</v>
      </c>
      <c r="D254" s="23">
        <v>11.99</v>
      </c>
      <c r="E254" s="3">
        <v>11.99</v>
      </c>
      <c r="F254" s="2">
        <v>4217</v>
      </c>
      <c r="G254" s="22" t="s">
        <v>19422</v>
      </c>
      <c r="H254" s="24" t="s">
        <v>19364</v>
      </c>
      <c r="I254" s="22" t="s">
        <v>19309</v>
      </c>
      <c r="J254" s="22" t="s">
        <v>20076</v>
      </c>
      <c r="K254" s="22" t="s">
        <v>20077</v>
      </c>
      <c r="L254" s="22" t="s">
        <v>19319</v>
      </c>
      <c r="M254" s="22" t="s">
        <v>19209</v>
      </c>
      <c r="N254" s="25" t="str">
        <f>HYPERLINK("http://slimages.macys.com/is/image/MCY/13050192 ")</f>
        <v xml:space="preserve">http://slimages.macys.com/is/image/MCY/13050192 </v>
      </c>
    </row>
    <row r="255" spans="1:14" ht="24.75" x14ac:dyDescent="0.25">
      <c r="A255" s="21" t="s">
        <v>9101</v>
      </c>
      <c r="B255" s="22" t="s">
        <v>9102</v>
      </c>
      <c r="C255" s="2">
        <v>1</v>
      </c>
      <c r="D255" s="23">
        <v>6.99</v>
      </c>
      <c r="E255" s="3">
        <v>6.99</v>
      </c>
      <c r="F255" s="2" t="s">
        <v>18841</v>
      </c>
      <c r="G255" s="22" t="s">
        <v>19618</v>
      </c>
      <c r="H255" s="24" t="s">
        <v>19364</v>
      </c>
      <c r="I255" s="22" t="s">
        <v>19309</v>
      </c>
      <c r="J255" s="22" t="s">
        <v>19849</v>
      </c>
      <c r="K255" s="22" t="s">
        <v>19850</v>
      </c>
      <c r="L255" s="22"/>
      <c r="M255" s="22"/>
      <c r="N255" s="25" t="str">
        <f>HYPERLINK("http://slimages.macys.com/is/image/MCY/19068307 ")</f>
        <v xml:space="preserve">http://slimages.macys.com/is/image/MCY/19068307 </v>
      </c>
    </row>
    <row r="256" spans="1:14" x14ac:dyDescent="0.25">
      <c r="A256" s="21" t="s">
        <v>9105</v>
      </c>
      <c r="B256" s="22" t="s">
        <v>9106</v>
      </c>
      <c r="C256" s="2">
        <v>1</v>
      </c>
      <c r="D256" s="23">
        <v>6.99</v>
      </c>
      <c r="E256" s="3">
        <v>6.99</v>
      </c>
      <c r="F256" s="2" t="s">
        <v>18841</v>
      </c>
      <c r="G256" s="22" t="s">
        <v>19467</v>
      </c>
      <c r="H256" s="24" t="s">
        <v>19364</v>
      </c>
      <c r="I256" s="22" t="s">
        <v>19309</v>
      </c>
      <c r="J256" s="22" t="s">
        <v>19849</v>
      </c>
      <c r="K256" s="22" t="s">
        <v>19850</v>
      </c>
      <c r="L256" s="22"/>
      <c r="M256" s="22"/>
      <c r="N256" s="25" t="str">
        <f>HYPERLINK("http://slimages.macys.com/is/image/MCY/19068309 ")</f>
        <v xml:space="preserve">http://slimages.macys.com/is/image/MCY/19068309 </v>
      </c>
    </row>
    <row r="257" spans="1:14" ht="24.75" x14ac:dyDescent="0.25">
      <c r="A257" s="21" t="s">
        <v>9107</v>
      </c>
      <c r="B257" s="22" t="s">
        <v>9108</v>
      </c>
      <c r="C257" s="2">
        <v>1</v>
      </c>
      <c r="D257" s="23">
        <v>6.99</v>
      </c>
      <c r="E257" s="3">
        <v>6.99</v>
      </c>
      <c r="F257" s="2" t="s">
        <v>18841</v>
      </c>
      <c r="G257" s="22" t="s">
        <v>19618</v>
      </c>
      <c r="H257" s="24" t="s">
        <v>19352</v>
      </c>
      <c r="I257" s="22" t="s">
        <v>19309</v>
      </c>
      <c r="J257" s="22" t="s">
        <v>19849</v>
      </c>
      <c r="K257" s="22" t="s">
        <v>19850</v>
      </c>
      <c r="L257" s="22"/>
      <c r="M257" s="22"/>
      <c r="N257" s="25" t="str">
        <f>HYPERLINK("http://slimages.macys.com/is/image/MCY/19068307 ")</f>
        <v xml:space="preserve">http://slimages.macys.com/is/image/MCY/19068307 </v>
      </c>
    </row>
    <row r="258" spans="1:14" x14ac:dyDescent="0.25">
      <c r="A258" s="21" t="s">
        <v>18839</v>
      </c>
      <c r="B258" s="22" t="s">
        <v>18840</v>
      </c>
      <c r="C258" s="2">
        <v>2</v>
      </c>
      <c r="D258" s="23">
        <v>6.99</v>
      </c>
      <c r="E258" s="3">
        <v>13.98</v>
      </c>
      <c r="F258" s="2" t="s">
        <v>18841</v>
      </c>
      <c r="G258" s="22" t="s">
        <v>19467</v>
      </c>
      <c r="H258" s="24" t="s">
        <v>19352</v>
      </c>
      <c r="I258" s="22" t="s">
        <v>19309</v>
      </c>
      <c r="J258" s="22" t="s">
        <v>19849</v>
      </c>
      <c r="K258" s="22" t="s">
        <v>19850</v>
      </c>
      <c r="L258" s="22"/>
      <c r="M258" s="22"/>
      <c r="N258" s="25" t="str">
        <f>HYPERLINK("http://slimages.macys.com/is/image/MCY/19965819 ")</f>
        <v xml:space="preserve">http://slimages.macys.com/is/image/MCY/19965819 </v>
      </c>
    </row>
    <row r="259" spans="1:14" x14ac:dyDescent="0.25">
      <c r="A259" s="21" t="s">
        <v>18844</v>
      </c>
      <c r="B259" s="22" t="s">
        <v>18845</v>
      </c>
      <c r="C259" s="2">
        <v>1</v>
      </c>
      <c r="D259" s="23">
        <v>6.99</v>
      </c>
      <c r="E259" s="3">
        <v>6.99</v>
      </c>
      <c r="F259" s="2" t="s">
        <v>18841</v>
      </c>
      <c r="G259" s="22" t="s">
        <v>19467</v>
      </c>
      <c r="H259" s="24" t="s">
        <v>19797</v>
      </c>
      <c r="I259" s="22" t="s">
        <v>19309</v>
      </c>
      <c r="J259" s="22" t="s">
        <v>19849</v>
      </c>
      <c r="K259" s="22" t="s">
        <v>19850</v>
      </c>
      <c r="L259" s="22"/>
      <c r="M259" s="22"/>
      <c r="N259" s="25" t="str">
        <f>HYPERLINK("http://slimages.macys.com/is/image/MCY/19965819 ")</f>
        <v xml:space="preserve">http://slimages.macys.com/is/image/MCY/19965819 </v>
      </c>
    </row>
    <row r="260" spans="1:14" x14ac:dyDescent="0.25">
      <c r="A260" s="21" t="s">
        <v>4888</v>
      </c>
      <c r="B260" s="22" t="s">
        <v>4889</v>
      </c>
      <c r="C260" s="2">
        <v>1</v>
      </c>
      <c r="D260" s="23">
        <v>6.99</v>
      </c>
      <c r="E260" s="3">
        <v>6.99</v>
      </c>
      <c r="F260" s="2" t="s">
        <v>9119</v>
      </c>
      <c r="G260" s="22" t="s">
        <v>19618</v>
      </c>
      <c r="H260" s="24" t="s">
        <v>19377</v>
      </c>
      <c r="I260" s="22" t="s">
        <v>19309</v>
      </c>
      <c r="J260" s="22" t="s">
        <v>19849</v>
      </c>
      <c r="K260" s="22" t="s">
        <v>19850</v>
      </c>
      <c r="L260" s="22"/>
      <c r="M260" s="22"/>
      <c r="N260" s="25" t="str">
        <f>HYPERLINK("http://slimages.macys.com/is/image/MCY/20549231 ")</f>
        <v xml:space="preserve">http://slimages.macys.com/is/image/MCY/20549231 </v>
      </c>
    </row>
    <row r="261" spans="1:14" x14ac:dyDescent="0.25">
      <c r="A261" s="21" t="s">
        <v>16442</v>
      </c>
      <c r="B261" s="22" t="s">
        <v>16443</v>
      </c>
      <c r="C261" s="2">
        <v>1</v>
      </c>
      <c r="D261" s="23">
        <v>9.99</v>
      </c>
      <c r="E261" s="3">
        <v>9.99</v>
      </c>
      <c r="F261" s="2" t="s">
        <v>16855</v>
      </c>
      <c r="G261" s="22" t="s">
        <v>19674</v>
      </c>
      <c r="H261" s="24" t="s">
        <v>20089</v>
      </c>
      <c r="I261" s="22" t="s">
        <v>19309</v>
      </c>
      <c r="J261" s="22" t="s">
        <v>19849</v>
      </c>
      <c r="K261" s="22" t="s">
        <v>19850</v>
      </c>
      <c r="L261" s="22"/>
      <c r="M261" s="22"/>
      <c r="N261" s="25" t="str">
        <f>HYPERLINK("http://slimages.macys.com/is/image/MCY/20549003 ")</f>
        <v xml:space="preserve">http://slimages.macys.com/is/image/MCY/20549003 </v>
      </c>
    </row>
    <row r="262" spans="1:14" x14ac:dyDescent="0.25">
      <c r="A262" s="21" t="s">
        <v>13371</v>
      </c>
      <c r="B262" s="22" t="s">
        <v>13372</v>
      </c>
      <c r="C262" s="2">
        <v>1</v>
      </c>
      <c r="D262" s="23">
        <v>9.99</v>
      </c>
      <c r="E262" s="3">
        <v>9.99</v>
      </c>
      <c r="F262" s="2" t="s">
        <v>16855</v>
      </c>
      <c r="G262" s="22" t="s">
        <v>19674</v>
      </c>
      <c r="H262" s="24" t="s">
        <v>19361</v>
      </c>
      <c r="I262" s="22" t="s">
        <v>19309</v>
      </c>
      <c r="J262" s="22" t="s">
        <v>19849</v>
      </c>
      <c r="K262" s="22" t="s">
        <v>19850</v>
      </c>
      <c r="L262" s="22"/>
      <c r="M262" s="22"/>
      <c r="N262" s="25" t="str">
        <f>HYPERLINK("http://slimages.macys.com/is/image/MCY/1554760 ")</f>
        <v xml:space="preserve">http://slimages.macys.com/is/image/MCY/1554760 </v>
      </c>
    </row>
    <row r="263" spans="1:14" x14ac:dyDescent="0.25">
      <c r="A263" s="21" t="s">
        <v>13375</v>
      </c>
      <c r="B263" s="22" t="s">
        <v>13376</v>
      </c>
      <c r="C263" s="2">
        <v>1</v>
      </c>
      <c r="D263" s="23">
        <v>9.99</v>
      </c>
      <c r="E263" s="3">
        <v>9.99</v>
      </c>
      <c r="F263" s="2" t="s">
        <v>16855</v>
      </c>
      <c r="G263" s="22" t="s">
        <v>19674</v>
      </c>
      <c r="H263" s="24" t="s">
        <v>19542</v>
      </c>
      <c r="I263" s="22" t="s">
        <v>19309</v>
      </c>
      <c r="J263" s="22" t="s">
        <v>19849</v>
      </c>
      <c r="K263" s="22" t="s">
        <v>19850</v>
      </c>
      <c r="L263" s="22"/>
      <c r="M263" s="22"/>
      <c r="N263" s="25" t="str">
        <f>HYPERLINK("http://slimages.macys.com/is/image/MCY/20549003 ")</f>
        <v xml:space="preserve">http://slimages.macys.com/is/image/MCY/20549003 </v>
      </c>
    </row>
    <row r="264" spans="1:14" x14ac:dyDescent="0.25">
      <c r="A264" s="21" t="s">
        <v>16853</v>
      </c>
      <c r="B264" s="22" t="s">
        <v>16854</v>
      </c>
      <c r="C264" s="2">
        <v>1</v>
      </c>
      <c r="D264" s="23">
        <v>9.99</v>
      </c>
      <c r="E264" s="3">
        <v>9.99</v>
      </c>
      <c r="F264" s="2" t="s">
        <v>16855</v>
      </c>
      <c r="G264" s="22" t="s">
        <v>19674</v>
      </c>
      <c r="H264" s="24" t="s">
        <v>20135</v>
      </c>
      <c r="I264" s="22" t="s">
        <v>19309</v>
      </c>
      <c r="J264" s="22" t="s">
        <v>19849</v>
      </c>
      <c r="K264" s="22" t="s">
        <v>19850</v>
      </c>
      <c r="L264" s="22"/>
      <c r="M264" s="22"/>
      <c r="N264" s="25" t="str">
        <f>HYPERLINK("http://slimages.macys.com/is/image/MCY/20549003 ")</f>
        <v xml:space="preserve">http://slimages.macys.com/is/image/MCY/20549003 </v>
      </c>
    </row>
    <row r="265" spans="1:14" x14ac:dyDescent="0.25">
      <c r="A265" s="21" t="s">
        <v>18852</v>
      </c>
      <c r="B265" s="22" t="s">
        <v>18853</v>
      </c>
      <c r="C265" s="2">
        <v>1</v>
      </c>
      <c r="D265" s="23">
        <v>11.99</v>
      </c>
      <c r="E265" s="3">
        <v>11.99</v>
      </c>
      <c r="F265" s="2" t="s">
        <v>18851</v>
      </c>
      <c r="G265" s="22" t="s">
        <v>19674</v>
      </c>
      <c r="H265" s="24" t="s">
        <v>19364</v>
      </c>
      <c r="I265" s="22" t="s">
        <v>19309</v>
      </c>
      <c r="J265" s="22" t="s">
        <v>19849</v>
      </c>
      <c r="K265" s="22" t="s">
        <v>19850</v>
      </c>
      <c r="L265" s="22"/>
      <c r="M265" s="22"/>
      <c r="N265" s="25" t="str">
        <f>HYPERLINK("http://slimages.macys.com/is/image/MCY/21251022 ")</f>
        <v xml:space="preserve">http://slimages.macys.com/is/image/MCY/21251022 </v>
      </c>
    </row>
    <row r="266" spans="1:14" ht="24.75" x14ac:dyDescent="0.25">
      <c r="A266" s="21" t="s">
        <v>1552</v>
      </c>
      <c r="B266" s="22" t="s">
        <v>1553</v>
      </c>
      <c r="C266" s="2">
        <v>1</v>
      </c>
      <c r="D266" s="23">
        <v>8.41</v>
      </c>
      <c r="E266" s="3">
        <v>8.41</v>
      </c>
      <c r="F266" s="2" t="s">
        <v>18875</v>
      </c>
      <c r="G266" s="22"/>
      <c r="H266" s="24" t="s">
        <v>19345</v>
      </c>
      <c r="I266" s="22" t="s">
        <v>19309</v>
      </c>
      <c r="J266" s="22" t="s">
        <v>19602</v>
      </c>
      <c r="K266" s="22" t="s">
        <v>20041</v>
      </c>
      <c r="L266" s="22"/>
      <c r="M266" s="22"/>
      <c r="N266" s="25" t="str">
        <f>HYPERLINK("http://slimages.macys.com/is/image/MCY/21421589 ")</f>
        <v xml:space="preserve">http://slimages.macys.com/is/image/MCY/21421589 </v>
      </c>
    </row>
    <row r="267" spans="1:14" x14ac:dyDescent="0.25">
      <c r="A267" s="21" t="s">
        <v>1554</v>
      </c>
      <c r="B267" s="22" t="s">
        <v>1555</v>
      </c>
      <c r="C267" s="2">
        <v>3</v>
      </c>
      <c r="D267" s="23">
        <v>9.44</v>
      </c>
      <c r="E267" s="3">
        <v>28.32</v>
      </c>
      <c r="F267" s="2" t="s">
        <v>16895</v>
      </c>
      <c r="G267" s="22" t="s">
        <v>19814</v>
      </c>
      <c r="H267" s="24" t="s">
        <v>19324</v>
      </c>
      <c r="I267" s="22" t="s">
        <v>19309</v>
      </c>
      <c r="J267" s="22" t="s">
        <v>19708</v>
      </c>
      <c r="K267" s="22" t="s">
        <v>19709</v>
      </c>
      <c r="L267" s="22"/>
      <c r="M267" s="22"/>
      <c r="N267" s="25" t="str">
        <f>HYPERLINK("http://slimages.macys.com/is/image/MCY/21414565 ")</f>
        <v xml:space="preserve">http://slimages.macys.com/is/image/MCY/21414565 </v>
      </c>
    </row>
    <row r="268" spans="1:14" ht="24.75" x14ac:dyDescent="0.25">
      <c r="A268" s="21" t="s">
        <v>16890</v>
      </c>
      <c r="B268" s="22" t="s">
        <v>16891</v>
      </c>
      <c r="C268" s="2">
        <v>2</v>
      </c>
      <c r="D268" s="23">
        <v>7.99</v>
      </c>
      <c r="E268" s="3">
        <v>15.98</v>
      </c>
      <c r="F268" s="2" t="s">
        <v>16892</v>
      </c>
      <c r="G268" s="22" t="s">
        <v>19315</v>
      </c>
      <c r="H268" s="24" t="s">
        <v>19432</v>
      </c>
      <c r="I268" s="22" t="s">
        <v>19309</v>
      </c>
      <c r="J268" s="22" t="s">
        <v>19815</v>
      </c>
      <c r="K268" s="22" t="s">
        <v>19816</v>
      </c>
      <c r="L268" s="22"/>
      <c r="M268" s="22"/>
      <c r="N268" s="25" t="str">
        <f>HYPERLINK("http://slimages.macys.com/is/image/MCY/1290486 ")</f>
        <v xml:space="preserve">http://slimages.macys.com/is/image/MCY/1290486 </v>
      </c>
    </row>
    <row r="269" spans="1:14" ht="24.75" x14ac:dyDescent="0.25">
      <c r="A269" s="21" t="s">
        <v>1556</v>
      </c>
      <c r="B269" s="22" t="s">
        <v>1557</v>
      </c>
      <c r="C269" s="2">
        <v>1</v>
      </c>
      <c r="D269" s="23">
        <v>7.99</v>
      </c>
      <c r="E269" s="3">
        <v>7.99</v>
      </c>
      <c r="F269" s="2" t="s">
        <v>16892</v>
      </c>
      <c r="G269" s="22" t="s">
        <v>19315</v>
      </c>
      <c r="H269" s="24" t="s">
        <v>19542</v>
      </c>
      <c r="I269" s="22" t="s">
        <v>19309</v>
      </c>
      <c r="J269" s="22" t="s">
        <v>19815</v>
      </c>
      <c r="K269" s="22" t="s">
        <v>19816</v>
      </c>
      <c r="L269" s="22"/>
      <c r="M269" s="22"/>
      <c r="N269" s="25" t="str">
        <f>HYPERLINK("http://slimages.macys.com/is/image/MCY/1290486 ")</f>
        <v xml:space="preserve">http://slimages.macys.com/is/image/MCY/1290486 </v>
      </c>
    </row>
    <row r="270" spans="1:14" ht="24.75" x14ac:dyDescent="0.25">
      <c r="A270" s="21" t="s">
        <v>16921</v>
      </c>
      <c r="B270" s="22" t="s">
        <v>16922</v>
      </c>
      <c r="C270" s="2">
        <v>1</v>
      </c>
      <c r="D270" s="23">
        <v>8.06</v>
      </c>
      <c r="E270" s="3">
        <v>8.06</v>
      </c>
      <c r="F270" s="2" t="s">
        <v>16923</v>
      </c>
      <c r="G270" s="22" t="s">
        <v>19315</v>
      </c>
      <c r="H270" s="24"/>
      <c r="I270" s="22" t="s">
        <v>19309</v>
      </c>
      <c r="J270" s="22" t="s">
        <v>19602</v>
      </c>
      <c r="K270" s="22" t="s">
        <v>20041</v>
      </c>
      <c r="L270" s="22"/>
      <c r="M270" s="22"/>
      <c r="N270" s="25" t="str">
        <f>HYPERLINK("http://slimages.macys.com/is/image/MCY/22406209 ")</f>
        <v xml:space="preserve">http://slimages.macys.com/is/image/MCY/22406209 </v>
      </c>
    </row>
    <row r="271" spans="1:14" ht="24.75" x14ac:dyDescent="0.25">
      <c r="A271" s="21" t="s">
        <v>1558</v>
      </c>
      <c r="B271" s="22" t="s">
        <v>1559</v>
      </c>
      <c r="C271" s="2">
        <v>1</v>
      </c>
      <c r="D271" s="23">
        <v>7.99</v>
      </c>
      <c r="E271" s="3">
        <v>7.99</v>
      </c>
      <c r="F271" s="2" t="s">
        <v>1560</v>
      </c>
      <c r="G271" s="22" t="s">
        <v>19351</v>
      </c>
      <c r="H271" s="24"/>
      <c r="I271" s="22" t="s">
        <v>19309</v>
      </c>
      <c r="J271" s="22" t="s">
        <v>20076</v>
      </c>
      <c r="K271" s="22" t="s">
        <v>1561</v>
      </c>
      <c r="L271" s="22"/>
      <c r="M271" s="22"/>
      <c r="N271" s="25" t="str">
        <f>HYPERLINK("http://slimages.macys.com/is/image/MCY/16582305 ")</f>
        <v xml:space="preserve">http://slimages.macys.com/is/image/MCY/16582305 </v>
      </c>
    </row>
    <row r="272" spans="1:14" ht="24.75" x14ac:dyDescent="0.25">
      <c r="A272" s="21" t="s">
        <v>18915</v>
      </c>
      <c r="B272" s="22" t="s">
        <v>18916</v>
      </c>
      <c r="C272" s="2">
        <v>1</v>
      </c>
      <c r="D272" s="23">
        <v>7.99</v>
      </c>
      <c r="E272" s="3">
        <v>7.99</v>
      </c>
      <c r="F272" s="2" t="s">
        <v>18914</v>
      </c>
      <c r="G272" s="22" t="s">
        <v>19431</v>
      </c>
      <c r="H272" s="24" t="s">
        <v>20089</v>
      </c>
      <c r="I272" s="22" t="s">
        <v>19309</v>
      </c>
      <c r="J272" s="22" t="s">
        <v>19573</v>
      </c>
      <c r="K272" s="22" t="s">
        <v>19574</v>
      </c>
      <c r="L272" s="22"/>
      <c r="M272" s="22"/>
      <c r="N272" s="25" t="str">
        <f>HYPERLINK("http://slimages.macys.com/is/image/MCY/21209393 ")</f>
        <v xml:space="preserve">http://slimages.macys.com/is/image/MCY/21209393 </v>
      </c>
    </row>
    <row r="273" spans="1:14" ht="24.75" x14ac:dyDescent="0.25">
      <c r="A273" s="21" t="s">
        <v>18917</v>
      </c>
      <c r="B273" s="22" t="s">
        <v>18918</v>
      </c>
      <c r="C273" s="2">
        <v>1</v>
      </c>
      <c r="D273" s="23">
        <v>7.99</v>
      </c>
      <c r="E273" s="3">
        <v>7.99</v>
      </c>
      <c r="F273" s="2" t="s">
        <v>18914</v>
      </c>
      <c r="G273" s="22" t="s">
        <v>19431</v>
      </c>
      <c r="H273" s="24" t="s">
        <v>19907</v>
      </c>
      <c r="I273" s="22" t="s">
        <v>19309</v>
      </c>
      <c r="J273" s="22" t="s">
        <v>19573</v>
      </c>
      <c r="K273" s="22" t="s">
        <v>19574</v>
      </c>
      <c r="L273" s="22"/>
      <c r="M273" s="22"/>
      <c r="N273" s="25" t="str">
        <f>HYPERLINK("http://slimages.macys.com/is/image/MCY/21209393 ")</f>
        <v xml:space="preserve">http://slimages.macys.com/is/image/MCY/21209393 </v>
      </c>
    </row>
    <row r="274" spans="1:14" ht="24.75" x14ac:dyDescent="0.25">
      <c r="A274" s="21" t="s">
        <v>1562</v>
      </c>
      <c r="B274" s="22" t="s">
        <v>1563</v>
      </c>
      <c r="C274" s="2">
        <v>1</v>
      </c>
      <c r="D274" s="23">
        <v>7.99</v>
      </c>
      <c r="E274" s="3">
        <v>7.99</v>
      </c>
      <c r="F274" s="2" t="s">
        <v>16952</v>
      </c>
      <c r="G274" s="22" t="s">
        <v>19422</v>
      </c>
      <c r="H274" s="24" t="s">
        <v>19907</v>
      </c>
      <c r="I274" s="22" t="s">
        <v>19309</v>
      </c>
      <c r="J274" s="22" t="s">
        <v>19908</v>
      </c>
      <c r="K274" s="22" t="s">
        <v>19524</v>
      </c>
      <c r="L274" s="22"/>
      <c r="M274" s="22"/>
      <c r="N274" s="25" t="str">
        <f>HYPERLINK("http://slimages.macys.com/is/image/MCY/1570622 ")</f>
        <v xml:space="preserve">http://slimages.macys.com/is/image/MCY/1570622 </v>
      </c>
    </row>
    <row r="275" spans="1:14" ht="24.75" x14ac:dyDescent="0.25">
      <c r="A275" s="21" t="s">
        <v>1564</v>
      </c>
      <c r="B275" s="22" t="s">
        <v>1565</v>
      </c>
      <c r="C275" s="2">
        <v>1</v>
      </c>
      <c r="D275" s="23">
        <v>7.99</v>
      </c>
      <c r="E275" s="3">
        <v>7.99</v>
      </c>
      <c r="F275" s="2" t="s">
        <v>14664</v>
      </c>
      <c r="G275" s="22" t="s">
        <v>19585</v>
      </c>
      <c r="H275" s="24" t="s">
        <v>20135</v>
      </c>
      <c r="I275" s="22" t="s">
        <v>19309</v>
      </c>
      <c r="J275" s="22" t="s">
        <v>19908</v>
      </c>
      <c r="K275" s="22" t="s">
        <v>19524</v>
      </c>
      <c r="L275" s="22"/>
      <c r="M275" s="22"/>
      <c r="N275" s="25" t="str">
        <f>HYPERLINK("http://slimages.macys.com/is/image/MCY/21569992 ")</f>
        <v xml:space="preserve">http://slimages.macys.com/is/image/MCY/21569992 </v>
      </c>
    </row>
    <row r="276" spans="1:14" ht="24.75" x14ac:dyDescent="0.25">
      <c r="A276" s="21" t="s">
        <v>1566</v>
      </c>
      <c r="B276" s="22" t="s">
        <v>1567</v>
      </c>
      <c r="C276" s="2">
        <v>1</v>
      </c>
      <c r="D276" s="23">
        <v>7.99</v>
      </c>
      <c r="E276" s="3">
        <v>7.99</v>
      </c>
      <c r="F276" s="2" t="s">
        <v>7900</v>
      </c>
      <c r="G276" s="22" t="s">
        <v>19315</v>
      </c>
      <c r="H276" s="24" t="s">
        <v>20089</v>
      </c>
      <c r="I276" s="22" t="s">
        <v>19309</v>
      </c>
      <c r="J276" s="22" t="s">
        <v>19908</v>
      </c>
      <c r="K276" s="22" t="s">
        <v>19524</v>
      </c>
      <c r="L276" s="22"/>
      <c r="M276" s="22"/>
      <c r="N276" s="25" t="str">
        <f>HYPERLINK("http://slimages.macys.com/is/image/MCY/20691825 ")</f>
        <v xml:space="preserve">http://slimages.macys.com/is/image/MCY/20691825 </v>
      </c>
    </row>
    <row r="277" spans="1:14" ht="24.75" x14ac:dyDescent="0.25">
      <c r="A277" s="21" t="s">
        <v>18933</v>
      </c>
      <c r="B277" s="22" t="s">
        <v>18934</v>
      </c>
      <c r="C277" s="2">
        <v>1</v>
      </c>
      <c r="D277" s="23">
        <v>7.99</v>
      </c>
      <c r="E277" s="3">
        <v>7.99</v>
      </c>
      <c r="F277" s="2" t="s">
        <v>18935</v>
      </c>
      <c r="G277" s="22" t="s">
        <v>19333</v>
      </c>
      <c r="H277" s="24" t="s">
        <v>20135</v>
      </c>
      <c r="I277" s="22" t="s">
        <v>19309</v>
      </c>
      <c r="J277" s="22" t="s">
        <v>19908</v>
      </c>
      <c r="K277" s="22" t="s">
        <v>19524</v>
      </c>
      <c r="L277" s="22"/>
      <c r="M277" s="22"/>
      <c r="N277" s="25" t="str">
        <f>HYPERLINK("http://slimages.macys.com/is/image/MCY/21070276 ")</f>
        <v xml:space="preserve">http://slimages.macys.com/is/image/MCY/21070276 </v>
      </c>
    </row>
    <row r="278" spans="1:14" ht="24.75" x14ac:dyDescent="0.25">
      <c r="A278" s="21" t="s">
        <v>1568</v>
      </c>
      <c r="B278" s="22" t="s">
        <v>1569</v>
      </c>
      <c r="C278" s="2">
        <v>2</v>
      </c>
      <c r="D278" s="23">
        <v>7.99</v>
      </c>
      <c r="E278" s="3">
        <v>15.98</v>
      </c>
      <c r="F278" s="2" t="s">
        <v>16952</v>
      </c>
      <c r="G278" s="22" t="s">
        <v>19422</v>
      </c>
      <c r="H278" s="24" t="s">
        <v>20089</v>
      </c>
      <c r="I278" s="22" t="s">
        <v>19309</v>
      </c>
      <c r="J278" s="22" t="s">
        <v>19908</v>
      </c>
      <c r="K278" s="22" t="s">
        <v>19524</v>
      </c>
      <c r="L278" s="22"/>
      <c r="M278" s="22"/>
      <c r="N278" s="25" t="str">
        <f>HYPERLINK("http://slimages.macys.com/is/image/MCY/1570622 ")</f>
        <v xml:space="preserve">http://slimages.macys.com/is/image/MCY/1570622 </v>
      </c>
    </row>
    <row r="279" spans="1:14" ht="24.75" x14ac:dyDescent="0.25">
      <c r="A279" s="21" t="s">
        <v>1570</v>
      </c>
      <c r="B279" s="22" t="s">
        <v>1571</v>
      </c>
      <c r="C279" s="2">
        <v>1</v>
      </c>
      <c r="D279" s="23">
        <v>7.99</v>
      </c>
      <c r="E279" s="3">
        <v>7.99</v>
      </c>
      <c r="F279" s="2" t="s">
        <v>1572</v>
      </c>
      <c r="G279" s="22" t="s">
        <v>19670</v>
      </c>
      <c r="H279" s="24" t="s">
        <v>19907</v>
      </c>
      <c r="I279" s="22" t="s">
        <v>19309</v>
      </c>
      <c r="J279" s="22" t="s">
        <v>19573</v>
      </c>
      <c r="K279" s="22" t="s">
        <v>19574</v>
      </c>
      <c r="L279" s="22"/>
      <c r="M279" s="22"/>
      <c r="N279" s="25" t="str">
        <f>HYPERLINK("http://slimages.macys.com/is/image/MCY/21985231 ")</f>
        <v xml:space="preserve">http://slimages.macys.com/is/image/MCY/21985231 </v>
      </c>
    </row>
    <row r="280" spans="1:14" ht="24.75" x14ac:dyDescent="0.25">
      <c r="A280" s="21" t="s">
        <v>1573</v>
      </c>
      <c r="B280" s="22" t="s">
        <v>1574</v>
      </c>
      <c r="C280" s="2">
        <v>1</v>
      </c>
      <c r="D280" s="23">
        <v>7.99</v>
      </c>
      <c r="E280" s="3">
        <v>7.99</v>
      </c>
      <c r="F280" s="2" t="s">
        <v>1575</v>
      </c>
      <c r="G280" s="22" t="s">
        <v>19333</v>
      </c>
      <c r="H280" s="24" t="s">
        <v>19907</v>
      </c>
      <c r="I280" s="22" t="s">
        <v>19309</v>
      </c>
      <c r="J280" s="22" t="s">
        <v>19908</v>
      </c>
      <c r="K280" s="22" t="s">
        <v>19524</v>
      </c>
      <c r="L280" s="22"/>
      <c r="M280" s="22"/>
      <c r="N280" s="25" t="str">
        <f>HYPERLINK("http://slimages.macys.com/is/image/MCY/21434743 ")</f>
        <v xml:space="preserve">http://slimages.macys.com/is/image/MCY/21434743 </v>
      </c>
    </row>
    <row r="281" spans="1:14" ht="24.75" x14ac:dyDescent="0.25">
      <c r="A281" s="21" t="s">
        <v>1576</v>
      </c>
      <c r="B281" s="22" t="s">
        <v>1577</v>
      </c>
      <c r="C281" s="2">
        <v>1</v>
      </c>
      <c r="D281" s="23">
        <v>7.99</v>
      </c>
      <c r="E281" s="3">
        <v>7.99</v>
      </c>
      <c r="F281" s="2" t="s">
        <v>18963</v>
      </c>
      <c r="G281" s="22" t="s">
        <v>19351</v>
      </c>
      <c r="H281" s="24" t="s">
        <v>19361</v>
      </c>
      <c r="I281" s="22" t="s">
        <v>19309</v>
      </c>
      <c r="J281" s="22" t="s">
        <v>19908</v>
      </c>
      <c r="K281" s="22" t="s">
        <v>19524</v>
      </c>
      <c r="L281" s="22"/>
      <c r="M281" s="22"/>
      <c r="N281" s="25" t="str">
        <f>HYPERLINK("http://slimages.macys.com/is/image/MCY/21727258 ")</f>
        <v xml:space="preserve">http://slimages.macys.com/is/image/MCY/21727258 </v>
      </c>
    </row>
    <row r="282" spans="1:14" ht="24.75" x14ac:dyDescent="0.25">
      <c r="A282" s="21" t="s">
        <v>14191</v>
      </c>
      <c r="B282" s="22" t="s">
        <v>14192</v>
      </c>
      <c r="C282" s="2">
        <v>1</v>
      </c>
      <c r="D282" s="23">
        <v>7.99</v>
      </c>
      <c r="E282" s="3">
        <v>7.99</v>
      </c>
      <c r="F282" s="2" t="s">
        <v>18975</v>
      </c>
      <c r="G282" s="22" t="s">
        <v>19404</v>
      </c>
      <c r="H282" s="24" t="s">
        <v>20135</v>
      </c>
      <c r="I282" s="22" t="s">
        <v>19309</v>
      </c>
      <c r="J282" s="22" t="s">
        <v>19815</v>
      </c>
      <c r="K282" s="22" t="s">
        <v>19816</v>
      </c>
      <c r="L282" s="22"/>
      <c r="M282" s="22"/>
      <c r="N282" s="25" t="str">
        <f>HYPERLINK("http://slimages.macys.com/is/image/MCY/23423563 ")</f>
        <v xml:space="preserve">http://slimages.macys.com/is/image/MCY/23423563 </v>
      </c>
    </row>
    <row r="283" spans="1:14" ht="24.75" x14ac:dyDescent="0.25">
      <c r="A283" s="21" t="s">
        <v>9660</v>
      </c>
      <c r="B283" s="22" t="s">
        <v>9661</v>
      </c>
      <c r="C283" s="2">
        <v>1</v>
      </c>
      <c r="D283" s="23">
        <v>8.99</v>
      </c>
      <c r="E283" s="3">
        <v>8.99</v>
      </c>
      <c r="F283" s="2" t="s">
        <v>18984</v>
      </c>
      <c r="G283" s="22" t="s">
        <v>18429</v>
      </c>
      <c r="H283" s="24" t="s">
        <v>19339</v>
      </c>
      <c r="I283" s="22" t="s">
        <v>19309</v>
      </c>
      <c r="J283" s="22" t="s">
        <v>19815</v>
      </c>
      <c r="K283" s="22" t="s">
        <v>19816</v>
      </c>
      <c r="L283" s="22"/>
      <c r="M283" s="22"/>
      <c r="N283" s="25" t="str">
        <f>HYPERLINK("http://slimages.macys.com/is/image/MCY/21278530 ")</f>
        <v xml:space="preserve">http://slimages.macys.com/is/image/MCY/21278530 </v>
      </c>
    </row>
    <row r="284" spans="1:14" ht="24.75" x14ac:dyDescent="0.25">
      <c r="A284" s="21" t="s">
        <v>1578</v>
      </c>
      <c r="B284" s="22" t="s">
        <v>1579</v>
      </c>
      <c r="C284" s="2">
        <v>1</v>
      </c>
      <c r="D284" s="23">
        <v>8.99</v>
      </c>
      <c r="E284" s="3">
        <v>8.99</v>
      </c>
      <c r="F284" s="2" t="s">
        <v>18984</v>
      </c>
      <c r="G284" s="22" t="s">
        <v>19351</v>
      </c>
      <c r="H284" s="24" t="s">
        <v>19364</v>
      </c>
      <c r="I284" s="22" t="s">
        <v>19309</v>
      </c>
      <c r="J284" s="22" t="s">
        <v>19815</v>
      </c>
      <c r="K284" s="22" t="s">
        <v>19816</v>
      </c>
      <c r="L284" s="22"/>
      <c r="M284" s="22"/>
      <c r="N284" s="25" t="str">
        <f>HYPERLINK("http://slimages.macys.com/is/image/MCY/21278530 ")</f>
        <v xml:space="preserve">http://slimages.macys.com/is/image/MCY/21278530 </v>
      </c>
    </row>
    <row r="285" spans="1:14" ht="24.75" x14ac:dyDescent="0.25">
      <c r="A285" s="21" t="s">
        <v>18987</v>
      </c>
      <c r="B285" s="22" t="s">
        <v>18988</v>
      </c>
      <c r="C285" s="2">
        <v>1</v>
      </c>
      <c r="D285" s="23">
        <v>8.99</v>
      </c>
      <c r="E285" s="3">
        <v>8.99</v>
      </c>
      <c r="F285" s="2" t="s">
        <v>18984</v>
      </c>
      <c r="G285" s="22" t="s">
        <v>19351</v>
      </c>
      <c r="H285" s="24" t="s">
        <v>19352</v>
      </c>
      <c r="I285" s="22" t="s">
        <v>19309</v>
      </c>
      <c r="J285" s="22" t="s">
        <v>19815</v>
      </c>
      <c r="K285" s="22" t="s">
        <v>19816</v>
      </c>
      <c r="L285" s="22"/>
      <c r="M285" s="22"/>
      <c r="N285" s="25" t="str">
        <f>HYPERLINK("http://slimages.macys.com/is/image/MCY/21278530 ")</f>
        <v xml:space="preserve">http://slimages.macys.com/is/image/MCY/21278530 </v>
      </c>
    </row>
    <row r="286" spans="1:14" ht="24.75" x14ac:dyDescent="0.25">
      <c r="A286" s="21" t="s">
        <v>10079</v>
      </c>
      <c r="B286" s="22" t="s">
        <v>10080</v>
      </c>
      <c r="C286" s="2">
        <v>1</v>
      </c>
      <c r="D286" s="23">
        <v>7.99</v>
      </c>
      <c r="E286" s="3">
        <v>7.99</v>
      </c>
      <c r="F286" s="2" t="s">
        <v>10081</v>
      </c>
      <c r="G286" s="22" t="s">
        <v>19431</v>
      </c>
      <c r="H286" s="24" t="s">
        <v>19907</v>
      </c>
      <c r="I286" s="22" t="s">
        <v>19309</v>
      </c>
      <c r="J286" s="22" t="s">
        <v>19573</v>
      </c>
      <c r="K286" s="22" t="s">
        <v>19574</v>
      </c>
      <c r="L286" s="22"/>
      <c r="M286" s="22"/>
      <c r="N286" s="25" t="str">
        <f>HYPERLINK("http://slimages.macys.com/is/image/MCY/21209149 ")</f>
        <v xml:space="preserve">http://slimages.macys.com/is/image/MCY/21209149 </v>
      </c>
    </row>
    <row r="287" spans="1:14" ht="24.75" x14ac:dyDescent="0.25">
      <c r="A287" s="21" t="s">
        <v>3566</v>
      </c>
      <c r="B287" s="22" t="s">
        <v>3567</v>
      </c>
      <c r="C287" s="2">
        <v>1</v>
      </c>
      <c r="D287" s="23">
        <v>7.99</v>
      </c>
      <c r="E287" s="3">
        <v>7.99</v>
      </c>
      <c r="F287" s="2" t="s">
        <v>10081</v>
      </c>
      <c r="G287" s="22" t="s">
        <v>19431</v>
      </c>
      <c r="H287" s="24" t="s">
        <v>20089</v>
      </c>
      <c r="I287" s="22" t="s">
        <v>19309</v>
      </c>
      <c r="J287" s="22" t="s">
        <v>19573</v>
      </c>
      <c r="K287" s="22" t="s">
        <v>19574</v>
      </c>
      <c r="L287" s="22"/>
      <c r="M287" s="22"/>
      <c r="N287" s="25" t="str">
        <f>HYPERLINK("http://slimages.macys.com/is/image/MCY/21209149 ")</f>
        <v xml:space="preserve">http://slimages.macys.com/is/image/MCY/21209149 </v>
      </c>
    </row>
    <row r="288" spans="1:14" ht="24.75" x14ac:dyDescent="0.25">
      <c r="A288" s="21" t="s">
        <v>1580</v>
      </c>
      <c r="B288" s="22" t="s">
        <v>1581</v>
      </c>
      <c r="C288" s="2">
        <v>2</v>
      </c>
      <c r="D288" s="23">
        <v>7.99</v>
      </c>
      <c r="E288" s="3">
        <v>15.98</v>
      </c>
      <c r="F288" s="2" t="s">
        <v>10081</v>
      </c>
      <c r="G288" s="22" t="s">
        <v>19431</v>
      </c>
      <c r="H288" s="24" t="s">
        <v>20135</v>
      </c>
      <c r="I288" s="22" t="s">
        <v>19309</v>
      </c>
      <c r="J288" s="22" t="s">
        <v>19573</v>
      </c>
      <c r="K288" s="22" t="s">
        <v>19574</v>
      </c>
      <c r="L288" s="22"/>
      <c r="M288" s="22"/>
      <c r="N288" s="25" t="str">
        <f>HYPERLINK("http://slimages.macys.com/is/image/MCY/21209149 ")</f>
        <v xml:space="preserve">http://slimages.macys.com/is/image/MCY/21209149 </v>
      </c>
    </row>
    <row r="289" spans="1:14" ht="24.75" x14ac:dyDescent="0.25">
      <c r="A289" s="21" t="s">
        <v>1582</v>
      </c>
      <c r="B289" s="22" t="s">
        <v>1583</v>
      </c>
      <c r="C289" s="2">
        <v>1</v>
      </c>
      <c r="D289" s="23">
        <v>6.99</v>
      </c>
      <c r="E289" s="3">
        <v>6.99</v>
      </c>
      <c r="F289" s="2" t="s">
        <v>1584</v>
      </c>
      <c r="G289" s="22" t="s">
        <v>19351</v>
      </c>
      <c r="H289" s="24" t="s">
        <v>19907</v>
      </c>
      <c r="I289" s="22" t="s">
        <v>19309</v>
      </c>
      <c r="J289" s="22" t="s">
        <v>19908</v>
      </c>
      <c r="K289" s="22" t="s">
        <v>19354</v>
      </c>
      <c r="L289" s="22"/>
      <c r="M289" s="22"/>
      <c r="N289" s="25" t="str">
        <f>HYPERLINK("http://slimages.macys.com/is/image/MCY/21562988 ")</f>
        <v xml:space="preserve">http://slimages.macys.com/is/image/MCY/21562988 </v>
      </c>
    </row>
    <row r="290" spans="1:14" ht="24.75" x14ac:dyDescent="0.25">
      <c r="A290" s="21" t="s">
        <v>1585</v>
      </c>
      <c r="B290" s="22" t="s">
        <v>1586</v>
      </c>
      <c r="C290" s="2">
        <v>1</v>
      </c>
      <c r="D290" s="23">
        <v>7.99</v>
      </c>
      <c r="E290" s="3">
        <v>7.99</v>
      </c>
      <c r="F290" s="2" t="s">
        <v>1587</v>
      </c>
      <c r="G290" s="22" t="s">
        <v>19477</v>
      </c>
      <c r="H290" s="24" t="s">
        <v>19907</v>
      </c>
      <c r="I290" s="22" t="s">
        <v>19309</v>
      </c>
      <c r="J290" s="22" t="s">
        <v>19573</v>
      </c>
      <c r="K290" s="22" t="s">
        <v>19574</v>
      </c>
      <c r="L290" s="22"/>
      <c r="M290" s="22"/>
      <c r="N290" s="25" t="str">
        <f>HYPERLINK("http://slimages.macys.com/is/image/MCY/1522093 ")</f>
        <v xml:space="preserve">http://slimages.macys.com/is/image/MCY/1522093 </v>
      </c>
    </row>
    <row r="291" spans="1:14" ht="24.75" x14ac:dyDescent="0.25">
      <c r="A291" s="21" t="s">
        <v>1588</v>
      </c>
      <c r="B291" s="22" t="s">
        <v>1589</v>
      </c>
      <c r="C291" s="2">
        <v>1</v>
      </c>
      <c r="D291" s="23">
        <v>7.99</v>
      </c>
      <c r="E291" s="3">
        <v>7.99</v>
      </c>
      <c r="F291" s="2" t="s">
        <v>7102</v>
      </c>
      <c r="G291" s="22" t="s">
        <v>19351</v>
      </c>
      <c r="H291" s="24" t="s">
        <v>20089</v>
      </c>
      <c r="I291" s="22" t="s">
        <v>19309</v>
      </c>
      <c r="J291" s="22" t="s">
        <v>19573</v>
      </c>
      <c r="K291" s="22" t="s">
        <v>19574</v>
      </c>
      <c r="L291" s="22"/>
      <c r="M291" s="22"/>
      <c r="N291" s="25" t="str">
        <f>HYPERLINK("http://slimages.macys.com/is/image/MCY/20547843 ")</f>
        <v xml:space="preserve">http://slimages.macys.com/is/image/MCY/20547843 </v>
      </c>
    </row>
    <row r="292" spans="1:14" ht="24.75" x14ac:dyDescent="0.25">
      <c r="A292" s="21" t="s">
        <v>17076</v>
      </c>
      <c r="B292" s="22" t="s">
        <v>17077</v>
      </c>
      <c r="C292" s="2">
        <v>1</v>
      </c>
      <c r="D292" s="23">
        <v>5.99</v>
      </c>
      <c r="E292" s="3">
        <v>5.99</v>
      </c>
      <c r="F292" s="2" t="s">
        <v>19043</v>
      </c>
      <c r="G292" s="22" t="s">
        <v>19415</v>
      </c>
      <c r="H292" s="24" t="s">
        <v>19324</v>
      </c>
      <c r="I292" s="22" t="s">
        <v>19309</v>
      </c>
      <c r="J292" s="22" t="s">
        <v>19573</v>
      </c>
      <c r="K292" s="22" t="s">
        <v>19574</v>
      </c>
      <c r="L292" s="22"/>
      <c r="M292" s="22"/>
      <c r="N292" s="25" t="str">
        <f>HYPERLINK("http://slimages.macys.com/is/image/MCY/21209612 ")</f>
        <v xml:space="preserve">http://slimages.macys.com/is/image/MCY/21209612 </v>
      </c>
    </row>
    <row r="293" spans="1:14" ht="24.75" x14ac:dyDescent="0.25">
      <c r="A293" s="21" t="s">
        <v>14734</v>
      </c>
      <c r="B293" s="22" t="s">
        <v>14735</v>
      </c>
      <c r="C293" s="2">
        <v>1</v>
      </c>
      <c r="D293" s="23">
        <v>7.99</v>
      </c>
      <c r="E293" s="3">
        <v>7.99</v>
      </c>
      <c r="F293" s="2" t="s">
        <v>19040</v>
      </c>
      <c r="G293" s="22" t="s">
        <v>19906</v>
      </c>
      <c r="H293" s="24" t="s">
        <v>20089</v>
      </c>
      <c r="I293" s="22" t="s">
        <v>19309</v>
      </c>
      <c r="J293" s="22" t="s">
        <v>19573</v>
      </c>
      <c r="K293" s="22" t="s">
        <v>19574</v>
      </c>
      <c r="L293" s="22"/>
      <c r="M293" s="22"/>
      <c r="N293" s="25" t="str">
        <f>HYPERLINK("http://slimages.macys.com/is/image/MCY/21209467 ")</f>
        <v xml:space="preserve">http://slimages.macys.com/is/image/MCY/21209467 </v>
      </c>
    </row>
    <row r="294" spans="1:14" ht="24.75" x14ac:dyDescent="0.25">
      <c r="A294" s="21" t="s">
        <v>1041</v>
      </c>
      <c r="B294" s="22" t="s">
        <v>1042</v>
      </c>
      <c r="C294" s="2">
        <v>1</v>
      </c>
      <c r="D294" s="23">
        <v>7.99</v>
      </c>
      <c r="E294" s="3">
        <v>7.99</v>
      </c>
      <c r="F294" s="2" t="s">
        <v>12577</v>
      </c>
      <c r="G294" s="22" t="s">
        <v>19351</v>
      </c>
      <c r="H294" s="24" t="s">
        <v>20089</v>
      </c>
      <c r="I294" s="22" t="s">
        <v>19309</v>
      </c>
      <c r="J294" s="22" t="s">
        <v>19573</v>
      </c>
      <c r="K294" s="22" t="s">
        <v>19574</v>
      </c>
      <c r="L294" s="22"/>
      <c r="M294" s="22"/>
      <c r="N294" s="25" t="str">
        <f>HYPERLINK("http://slimages.macys.com/is/image/MCY/20753665 ")</f>
        <v xml:space="preserve">http://slimages.macys.com/is/image/MCY/20753665 </v>
      </c>
    </row>
    <row r="295" spans="1:14" ht="24.75" x14ac:dyDescent="0.25">
      <c r="A295" s="21" t="s">
        <v>11137</v>
      </c>
      <c r="B295" s="22" t="s">
        <v>11138</v>
      </c>
      <c r="C295" s="2">
        <v>1</v>
      </c>
      <c r="D295" s="23">
        <v>7.99</v>
      </c>
      <c r="E295" s="3">
        <v>7.99</v>
      </c>
      <c r="F295" s="2" t="s">
        <v>17068</v>
      </c>
      <c r="G295" s="22" t="s">
        <v>19462</v>
      </c>
      <c r="H295" s="24" t="s">
        <v>19907</v>
      </c>
      <c r="I295" s="22" t="s">
        <v>19309</v>
      </c>
      <c r="J295" s="22" t="s">
        <v>19573</v>
      </c>
      <c r="K295" s="22" t="s">
        <v>19574</v>
      </c>
      <c r="L295" s="22"/>
      <c r="M295" s="22"/>
      <c r="N295" s="25" t="str">
        <f>HYPERLINK("http://slimages.macys.com/is/image/MCY/20757991 ")</f>
        <v xml:space="preserve">http://slimages.macys.com/is/image/MCY/20757991 </v>
      </c>
    </row>
    <row r="296" spans="1:14" ht="24.75" x14ac:dyDescent="0.25">
      <c r="A296" s="21" t="s">
        <v>12580</v>
      </c>
      <c r="B296" s="22" t="s">
        <v>12581</v>
      </c>
      <c r="C296" s="2">
        <v>1</v>
      </c>
      <c r="D296" s="23">
        <v>5.99</v>
      </c>
      <c r="E296" s="3">
        <v>5.99</v>
      </c>
      <c r="F296" s="2" t="s">
        <v>14752</v>
      </c>
      <c r="G296" s="22" t="s">
        <v>19713</v>
      </c>
      <c r="H296" s="24" t="s">
        <v>19538</v>
      </c>
      <c r="I296" s="22" t="s">
        <v>19309</v>
      </c>
      <c r="J296" s="22" t="s">
        <v>19573</v>
      </c>
      <c r="K296" s="22" t="s">
        <v>19574</v>
      </c>
      <c r="L296" s="22"/>
      <c r="M296" s="22"/>
      <c r="N296" s="25" t="str">
        <f>HYPERLINK("http://slimages.macys.com/is/image/MCY/1644588 ")</f>
        <v xml:space="preserve">http://slimages.macys.com/is/image/MCY/1644588 </v>
      </c>
    </row>
    <row r="297" spans="1:14" ht="24.75" x14ac:dyDescent="0.25">
      <c r="A297" s="21" t="s">
        <v>14750</v>
      </c>
      <c r="B297" s="22" t="s">
        <v>14751</v>
      </c>
      <c r="C297" s="2">
        <v>1</v>
      </c>
      <c r="D297" s="23">
        <v>5.99</v>
      </c>
      <c r="E297" s="3">
        <v>5.99</v>
      </c>
      <c r="F297" s="2" t="s">
        <v>14752</v>
      </c>
      <c r="G297" s="22" t="s">
        <v>19713</v>
      </c>
      <c r="H297" s="24" t="s">
        <v>19384</v>
      </c>
      <c r="I297" s="22" t="s">
        <v>19309</v>
      </c>
      <c r="J297" s="22" t="s">
        <v>19573</v>
      </c>
      <c r="K297" s="22" t="s">
        <v>19574</v>
      </c>
      <c r="L297" s="22"/>
      <c r="M297" s="22"/>
      <c r="N297" s="25" t="str">
        <f>HYPERLINK("http://slimages.macys.com/is/image/MCY/21730849 ")</f>
        <v xml:space="preserve">http://slimages.macys.com/is/image/MCY/21730849 </v>
      </c>
    </row>
    <row r="298" spans="1:14" ht="24.75" x14ac:dyDescent="0.25">
      <c r="A298" s="21" t="s">
        <v>1590</v>
      </c>
      <c r="B298" s="22" t="s">
        <v>1591</v>
      </c>
      <c r="C298" s="2">
        <v>1</v>
      </c>
      <c r="D298" s="23">
        <v>6.99</v>
      </c>
      <c r="E298" s="3">
        <v>6.99</v>
      </c>
      <c r="F298" s="2" t="s">
        <v>19057</v>
      </c>
      <c r="G298" s="22" t="s">
        <v>19674</v>
      </c>
      <c r="H298" s="24" t="s">
        <v>19361</v>
      </c>
      <c r="I298" s="22" t="s">
        <v>19309</v>
      </c>
      <c r="J298" s="22" t="s">
        <v>19908</v>
      </c>
      <c r="K298" s="22" t="s">
        <v>19354</v>
      </c>
      <c r="L298" s="22"/>
      <c r="M298" s="22"/>
      <c r="N298" s="25" t="str">
        <f>HYPERLINK("http://slimages.macys.com/is/image/MCY/20737470 ")</f>
        <v xml:space="preserve">http://slimages.macys.com/is/image/MCY/20737470 </v>
      </c>
    </row>
    <row r="299" spans="1:14" ht="24.75" x14ac:dyDescent="0.25">
      <c r="A299" s="21" t="s">
        <v>19055</v>
      </c>
      <c r="B299" s="22" t="s">
        <v>19056</v>
      </c>
      <c r="C299" s="2">
        <v>1</v>
      </c>
      <c r="D299" s="23">
        <v>6.99</v>
      </c>
      <c r="E299" s="3">
        <v>6.99</v>
      </c>
      <c r="F299" s="2" t="s">
        <v>19057</v>
      </c>
      <c r="G299" s="22" t="s">
        <v>19674</v>
      </c>
      <c r="H299" s="24" t="s">
        <v>20089</v>
      </c>
      <c r="I299" s="22" t="s">
        <v>19309</v>
      </c>
      <c r="J299" s="22" t="s">
        <v>19908</v>
      </c>
      <c r="K299" s="22" t="s">
        <v>19354</v>
      </c>
      <c r="L299" s="22"/>
      <c r="M299" s="22"/>
      <c r="N299" s="25" t="str">
        <f>HYPERLINK("http://slimages.macys.com/is/image/MCY/20737470 ")</f>
        <v xml:space="preserve">http://slimages.macys.com/is/image/MCY/20737470 </v>
      </c>
    </row>
    <row r="300" spans="1:14" ht="24.75" x14ac:dyDescent="0.25">
      <c r="A300" s="21" t="s">
        <v>1592</v>
      </c>
      <c r="B300" s="22" t="s">
        <v>1593</v>
      </c>
      <c r="C300" s="2">
        <v>1</v>
      </c>
      <c r="D300" s="23">
        <v>6.99</v>
      </c>
      <c r="E300" s="3">
        <v>6.99</v>
      </c>
      <c r="F300" s="2" t="s">
        <v>1594</v>
      </c>
      <c r="G300" s="22" t="s">
        <v>19422</v>
      </c>
      <c r="H300" s="24" t="s">
        <v>19542</v>
      </c>
      <c r="I300" s="22" t="s">
        <v>19309</v>
      </c>
      <c r="J300" s="22" t="s">
        <v>19908</v>
      </c>
      <c r="K300" s="22" t="s">
        <v>19354</v>
      </c>
      <c r="L300" s="22"/>
      <c r="M300" s="22"/>
      <c r="N300" s="25" t="str">
        <f>HYPERLINK("http://slimages.macys.com/is/image/MCY/1597991 ")</f>
        <v xml:space="preserve">http://slimages.macys.com/is/image/MCY/1597991 </v>
      </c>
    </row>
    <row r="301" spans="1:14" ht="24.75" x14ac:dyDescent="0.25">
      <c r="A301" s="21" t="s">
        <v>4396</v>
      </c>
      <c r="B301" s="22" t="s">
        <v>4397</v>
      </c>
      <c r="C301" s="2">
        <v>1</v>
      </c>
      <c r="D301" s="23">
        <v>6.99</v>
      </c>
      <c r="E301" s="3">
        <v>6.99</v>
      </c>
      <c r="F301" s="2" t="s">
        <v>19072</v>
      </c>
      <c r="G301" s="22" t="s">
        <v>19585</v>
      </c>
      <c r="H301" s="24" t="s">
        <v>19352</v>
      </c>
      <c r="I301" s="22" t="s">
        <v>19309</v>
      </c>
      <c r="J301" s="22" t="s">
        <v>19353</v>
      </c>
      <c r="K301" s="22" t="s">
        <v>19354</v>
      </c>
      <c r="L301" s="22"/>
      <c r="M301" s="22"/>
      <c r="N301" s="25" t="str">
        <f>HYPERLINK("http://slimages.macys.com/is/image/MCY/20737633 ")</f>
        <v xml:space="preserve">http://slimages.macys.com/is/image/MCY/20737633 </v>
      </c>
    </row>
    <row r="302" spans="1:14" ht="24.75" x14ac:dyDescent="0.25">
      <c r="A302" s="21" t="s">
        <v>14763</v>
      </c>
      <c r="B302" s="22" t="s">
        <v>14764</v>
      </c>
      <c r="C302" s="2">
        <v>1</v>
      </c>
      <c r="D302" s="23">
        <v>5.99</v>
      </c>
      <c r="E302" s="3">
        <v>5.99</v>
      </c>
      <c r="F302" s="2" t="s">
        <v>19084</v>
      </c>
      <c r="G302" s="22" t="s">
        <v>19518</v>
      </c>
      <c r="H302" s="24" t="s">
        <v>19538</v>
      </c>
      <c r="I302" s="22" t="s">
        <v>19309</v>
      </c>
      <c r="J302" s="22" t="s">
        <v>19573</v>
      </c>
      <c r="K302" s="22" t="s">
        <v>19574</v>
      </c>
      <c r="L302" s="22"/>
      <c r="M302" s="22"/>
      <c r="N302" s="25" t="str">
        <f>HYPERLINK("http://slimages.macys.com/is/image/MCY/21209585 ")</f>
        <v xml:space="preserve">http://slimages.macys.com/is/image/MCY/21209585 </v>
      </c>
    </row>
    <row r="303" spans="1:14" x14ac:dyDescent="0.25">
      <c r="A303" s="21" t="s">
        <v>12595</v>
      </c>
      <c r="B303" s="22" t="s">
        <v>12596</v>
      </c>
      <c r="C303" s="2">
        <v>2</v>
      </c>
      <c r="D303" s="23">
        <v>5.99</v>
      </c>
      <c r="E303" s="3">
        <v>11.98</v>
      </c>
      <c r="F303" s="2" t="s">
        <v>19096</v>
      </c>
      <c r="G303" s="22" t="s">
        <v>19513</v>
      </c>
      <c r="H303" s="24" t="s">
        <v>18530</v>
      </c>
      <c r="I303" s="22" t="s">
        <v>19309</v>
      </c>
      <c r="J303" s="22" t="s">
        <v>19514</v>
      </c>
      <c r="K303" s="22" t="s">
        <v>18514</v>
      </c>
      <c r="L303" s="22" t="s">
        <v>19319</v>
      </c>
      <c r="M303" s="22" t="s">
        <v>20257</v>
      </c>
      <c r="N303" s="25" t="str">
        <f>HYPERLINK("http://slimages.macys.com/is/image/MCY/9337988 ")</f>
        <v xml:space="preserve">http://slimages.macys.com/is/image/MCY/9337988 </v>
      </c>
    </row>
    <row r="304" spans="1:14" x14ac:dyDescent="0.25">
      <c r="A304" s="21" t="s">
        <v>14260</v>
      </c>
      <c r="B304" s="22" t="s">
        <v>14261</v>
      </c>
      <c r="C304" s="2">
        <v>3</v>
      </c>
      <c r="D304" s="23">
        <v>5.99</v>
      </c>
      <c r="E304" s="3">
        <v>17.97</v>
      </c>
      <c r="F304" s="2" t="s">
        <v>19096</v>
      </c>
      <c r="G304" s="22" t="s">
        <v>19513</v>
      </c>
      <c r="H304" s="24" t="s">
        <v>20232</v>
      </c>
      <c r="I304" s="22" t="s">
        <v>19309</v>
      </c>
      <c r="J304" s="22" t="s">
        <v>19514</v>
      </c>
      <c r="K304" s="22" t="s">
        <v>18514</v>
      </c>
      <c r="L304" s="22" t="s">
        <v>19319</v>
      </c>
      <c r="M304" s="22" t="s">
        <v>20257</v>
      </c>
      <c r="N304" s="25" t="str">
        <f>HYPERLINK("http://slimages.macys.com/is/image/MCY/9337988 ")</f>
        <v xml:space="preserve">http://slimages.macys.com/is/image/MCY/9337988 </v>
      </c>
    </row>
    <row r="305" spans="1:14" ht="24.75" x14ac:dyDescent="0.25">
      <c r="A305" s="21" t="s">
        <v>19117</v>
      </c>
      <c r="B305" s="22" t="s">
        <v>19118</v>
      </c>
      <c r="C305" s="2">
        <v>1</v>
      </c>
      <c r="D305" s="23">
        <v>5.99</v>
      </c>
      <c r="E305" s="3">
        <v>5.99</v>
      </c>
      <c r="F305" s="2" t="s">
        <v>19109</v>
      </c>
      <c r="G305" s="22" t="s">
        <v>19670</v>
      </c>
      <c r="H305" s="24" t="s">
        <v>19538</v>
      </c>
      <c r="I305" s="22" t="s">
        <v>19309</v>
      </c>
      <c r="J305" s="22" t="s">
        <v>19573</v>
      </c>
      <c r="K305" s="22" t="s">
        <v>19574</v>
      </c>
      <c r="L305" s="22"/>
      <c r="M305" s="22"/>
      <c r="N305" s="25" t="str">
        <f>HYPERLINK("http://slimages.macys.com/is/image/MCY/21209381 ")</f>
        <v xml:space="preserve">http://slimages.macys.com/is/image/MCY/21209381 </v>
      </c>
    </row>
    <row r="306" spans="1:14" ht="24.75" x14ac:dyDescent="0.25">
      <c r="A306" s="21" t="s">
        <v>19107</v>
      </c>
      <c r="B306" s="22" t="s">
        <v>19108</v>
      </c>
      <c r="C306" s="2">
        <v>1</v>
      </c>
      <c r="D306" s="23">
        <v>5.99</v>
      </c>
      <c r="E306" s="3">
        <v>5.99</v>
      </c>
      <c r="F306" s="2" t="s">
        <v>19109</v>
      </c>
      <c r="G306" s="22" t="s">
        <v>19670</v>
      </c>
      <c r="H306" s="24" t="s">
        <v>19384</v>
      </c>
      <c r="I306" s="22" t="s">
        <v>19309</v>
      </c>
      <c r="J306" s="22" t="s">
        <v>19573</v>
      </c>
      <c r="K306" s="22" t="s">
        <v>19574</v>
      </c>
      <c r="L306" s="22"/>
      <c r="M306" s="22"/>
      <c r="N306" s="25" t="str">
        <f>HYPERLINK("http://slimages.macys.com/is/image/MCY/1734374 ")</f>
        <v xml:space="preserve">http://slimages.macys.com/is/image/MCY/1734374 </v>
      </c>
    </row>
    <row r="307" spans="1:14" ht="24.75" x14ac:dyDescent="0.25">
      <c r="A307" s="21" t="s">
        <v>19112</v>
      </c>
      <c r="B307" s="22" t="s">
        <v>19113</v>
      </c>
      <c r="C307" s="2">
        <v>2</v>
      </c>
      <c r="D307" s="23">
        <v>5.99</v>
      </c>
      <c r="E307" s="3">
        <v>11.98</v>
      </c>
      <c r="F307" s="2" t="s">
        <v>19109</v>
      </c>
      <c r="G307" s="22" t="s">
        <v>19670</v>
      </c>
      <c r="H307" s="24" t="s">
        <v>19324</v>
      </c>
      <c r="I307" s="22" t="s">
        <v>19309</v>
      </c>
      <c r="J307" s="22" t="s">
        <v>19573</v>
      </c>
      <c r="K307" s="22" t="s">
        <v>19574</v>
      </c>
      <c r="L307" s="22"/>
      <c r="M307" s="22"/>
      <c r="N307" s="25" t="str">
        <f>HYPERLINK("http://slimages.macys.com/is/image/MCY/21209381 ")</f>
        <v xml:space="preserve">http://slimages.macys.com/is/image/MCY/21209381 </v>
      </c>
    </row>
    <row r="308" spans="1:14" ht="24.75" x14ac:dyDescent="0.25">
      <c r="A308" s="21" t="s">
        <v>19127</v>
      </c>
      <c r="B308" s="22" t="s">
        <v>19128</v>
      </c>
      <c r="C308" s="2">
        <v>1</v>
      </c>
      <c r="D308" s="23">
        <v>5.99</v>
      </c>
      <c r="E308" s="3">
        <v>5.99</v>
      </c>
      <c r="F308" s="2" t="s">
        <v>19129</v>
      </c>
      <c r="G308" s="22" t="s">
        <v>19467</v>
      </c>
      <c r="H308" s="24" t="s">
        <v>19538</v>
      </c>
      <c r="I308" s="22" t="s">
        <v>19309</v>
      </c>
      <c r="J308" s="22" t="s">
        <v>19573</v>
      </c>
      <c r="K308" s="22" t="s">
        <v>19574</v>
      </c>
      <c r="L308" s="22"/>
      <c r="M308" s="22"/>
      <c r="N308" s="25" t="str">
        <f>HYPERLINK("http://slimages.macys.com/is/image/MCY/1905756 ")</f>
        <v xml:space="preserve">http://slimages.macys.com/is/image/MCY/1905756 </v>
      </c>
    </row>
    <row r="309" spans="1:14" ht="24.75" x14ac:dyDescent="0.25">
      <c r="A309" s="21" t="s">
        <v>1595</v>
      </c>
      <c r="B309" s="22" t="s">
        <v>1596</v>
      </c>
      <c r="C309" s="2">
        <v>1</v>
      </c>
      <c r="D309" s="23">
        <v>7.99</v>
      </c>
      <c r="E309" s="3">
        <v>7.99</v>
      </c>
      <c r="F309" s="2" t="s">
        <v>6270</v>
      </c>
      <c r="G309" s="22" t="s">
        <v>19467</v>
      </c>
      <c r="H309" s="24" t="s">
        <v>19907</v>
      </c>
      <c r="I309" s="22" t="s">
        <v>19309</v>
      </c>
      <c r="J309" s="22" t="s">
        <v>19573</v>
      </c>
      <c r="K309" s="22" t="s">
        <v>19574</v>
      </c>
      <c r="L309" s="22"/>
      <c r="M309" s="22"/>
      <c r="N309" s="25" t="str">
        <f>HYPERLINK("http://slimages.macys.com/is/image/MCY/21970244 ")</f>
        <v xml:space="preserve">http://slimages.macys.com/is/image/MCY/21970244 </v>
      </c>
    </row>
    <row r="310" spans="1:14" ht="24.75" x14ac:dyDescent="0.25">
      <c r="A310" s="21" t="s">
        <v>1597</v>
      </c>
      <c r="B310" s="22" t="s">
        <v>6231</v>
      </c>
      <c r="C310" s="2">
        <v>1</v>
      </c>
      <c r="D310" s="23">
        <v>7.99</v>
      </c>
      <c r="E310" s="3">
        <v>7.99</v>
      </c>
      <c r="F310" s="2" t="s">
        <v>1059</v>
      </c>
      <c r="G310" s="22" t="s">
        <v>19351</v>
      </c>
      <c r="H310" s="24" t="s">
        <v>20135</v>
      </c>
      <c r="I310" s="22" t="s">
        <v>19309</v>
      </c>
      <c r="J310" s="22" t="s">
        <v>19573</v>
      </c>
      <c r="K310" s="22" t="s">
        <v>19574</v>
      </c>
      <c r="L310" s="22"/>
      <c r="M310" s="22"/>
      <c r="N310" s="25" t="str">
        <f>HYPERLINK("http://slimages.macys.com/is/image/MCY/1610403 ")</f>
        <v xml:space="preserve">http://slimages.macys.com/is/image/MCY/1610403 </v>
      </c>
    </row>
    <row r="311" spans="1:14" ht="24.75" x14ac:dyDescent="0.25">
      <c r="A311" s="21" t="s">
        <v>14793</v>
      </c>
      <c r="B311" s="22" t="s">
        <v>14794</v>
      </c>
      <c r="C311" s="2">
        <v>1</v>
      </c>
      <c r="D311" s="23">
        <v>5.99</v>
      </c>
      <c r="E311" s="3">
        <v>5.99</v>
      </c>
      <c r="F311" s="2" t="s">
        <v>19129</v>
      </c>
      <c r="G311" s="22" t="s">
        <v>19467</v>
      </c>
      <c r="H311" s="24" t="s">
        <v>19324</v>
      </c>
      <c r="I311" s="22" t="s">
        <v>19309</v>
      </c>
      <c r="J311" s="22" t="s">
        <v>19573</v>
      </c>
      <c r="K311" s="22" t="s">
        <v>19574</v>
      </c>
      <c r="L311" s="22"/>
      <c r="M311" s="22"/>
      <c r="N311" s="25" t="str">
        <f>HYPERLINK("http://slimages.macys.com/is/image/MCY/1905756 ")</f>
        <v xml:space="preserve">http://slimages.macys.com/is/image/MCY/1905756 </v>
      </c>
    </row>
    <row r="312" spans="1:14" ht="24.75" x14ac:dyDescent="0.25">
      <c r="A312" s="21" t="s">
        <v>13468</v>
      </c>
      <c r="B312" s="22" t="s">
        <v>13469</v>
      </c>
      <c r="C312" s="2">
        <v>1</v>
      </c>
      <c r="D312" s="23">
        <v>5.99</v>
      </c>
      <c r="E312" s="3">
        <v>5.99</v>
      </c>
      <c r="F312" s="2" t="s">
        <v>17140</v>
      </c>
      <c r="G312" s="22" t="s">
        <v>19467</v>
      </c>
      <c r="H312" s="24" t="s">
        <v>19416</v>
      </c>
      <c r="I312" s="22" t="s">
        <v>19309</v>
      </c>
      <c r="J312" s="22" t="s">
        <v>19573</v>
      </c>
      <c r="K312" s="22" t="s">
        <v>19574</v>
      </c>
      <c r="L312" s="22"/>
      <c r="M312" s="22"/>
      <c r="N312" s="25" t="str">
        <f>HYPERLINK("http://slimages.macys.com/is/image/MCY/21209516 ")</f>
        <v xml:space="preserve">http://slimages.macys.com/is/image/MCY/21209516 </v>
      </c>
    </row>
    <row r="313" spans="1:14" ht="24.75" x14ac:dyDescent="0.25">
      <c r="A313" s="21" t="s">
        <v>14841</v>
      </c>
      <c r="B313" s="22" t="s">
        <v>14842</v>
      </c>
      <c r="C313" s="2">
        <v>1</v>
      </c>
      <c r="D313" s="23">
        <v>5.99</v>
      </c>
      <c r="E313" s="3">
        <v>5.99</v>
      </c>
      <c r="F313" s="2" t="s">
        <v>19140</v>
      </c>
      <c r="G313" s="22" t="s">
        <v>19674</v>
      </c>
      <c r="H313" s="24" t="s">
        <v>19384</v>
      </c>
      <c r="I313" s="22" t="s">
        <v>19309</v>
      </c>
      <c r="J313" s="22" t="s">
        <v>19573</v>
      </c>
      <c r="K313" s="22" t="s">
        <v>19574</v>
      </c>
      <c r="L313" s="22"/>
      <c r="M313" s="22"/>
      <c r="N313" s="25" t="str">
        <f>HYPERLINK("http://slimages.macys.com/is/image/MCY/21970109 ")</f>
        <v xml:space="preserve">http://slimages.macys.com/is/image/MCY/21970109 </v>
      </c>
    </row>
    <row r="314" spans="1:14" ht="24.75" x14ac:dyDescent="0.25">
      <c r="A314" s="21" t="s">
        <v>19152</v>
      </c>
      <c r="B314" s="22" t="s">
        <v>19153</v>
      </c>
      <c r="C314" s="2">
        <v>1</v>
      </c>
      <c r="D314" s="23">
        <v>5.99</v>
      </c>
      <c r="E314" s="3">
        <v>5.99</v>
      </c>
      <c r="F314" s="2" t="s">
        <v>19140</v>
      </c>
      <c r="G314" s="22" t="s">
        <v>19674</v>
      </c>
      <c r="H314" s="24" t="s">
        <v>19538</v>
      </c>
      <c r="I314" s="22" t="s">
        <v>19309</v>
      </c>
      <c r="J314" s="22" t="s">
        <v>19573</v>
      </c>
      <c r="K314" s="22" t="s">
        <v>19574</v>
      </c>
      <c r="L314" s="22"/>
      <c r="M314" s="22"/>
      <c r="N314" s="25" t="str">
        <f>HYPERLINK("http://slimages.macys.com/is/image/MCY/21970109 ")</f>
        <v xml:space="preserve">http://slimages.macys.com/is/image/MCY/21970109 </v>
      </c>
    </row>
    <row r="315" spans="1:14" ht="24.75" x14ac:dyDescent="0.25">
      <c r="A315" s="21" t="s">
        <v>19159</v>
      </c>
      <c r="B315" s="22" t="s">
        <v>19160</v>
      </c>
      <c r="C315" s="2">
        <v>1</v>
      </c>
      <c r="D315" s="23">
        <v>6.99</v>
      </c>
      <c r="E315" s="3">
        <v>6.99</v>
      </c>
      <c r="F315" s="2" t="s">
        <v>19161</v>
      </c>
      <c r="G315" s="22" t="s">
        <v>19585</v>
      </c>
      <c r="H315" s="24" t="s">
        <v>20089</v>
      </c>
      <c r="I315" s="22" t="s">
        <v>19309</v>
      </c>
      <c r="J315" s="22" t="s">
        <v>19908</v>
      </c>
      <c r="K315" s="22" t="s">
        <v>19354</v>
      </c>
      <c r="L315" s="22"/>
      <c r="M315" s="22"/>
      <c r="N315" s="25" t="str">
        <f>HYPERLINK("http://slimages.macys.com/is/image/MCY/1368027 ")</f>
        <v xml:space="preserve">http://slimages.macys.com/is/image/MCY/1368027 </v>
      </c>
    </row>
    <row r="316" spans="1:14" ht="24.75" x14ac:dyDescent="0.25">
      <c r="A316" s="21" t="s">
        <v>17174</v>
      </c>
      <c r="B316" s="22" t="s">
        <v>17175</v>
      </c>
      <c r="C316" s="2">
        <v>1</v>
      </c>
      <c r="D316" s="23">
        <v>5.99</v>
      </c>
      <c r="E316" s="3">
        <v>5.99</v>
      </c>
      <c r="F316" s="2" t="s">
        <v>19173</v>
      </c>
      <c r="G316" s="22" t="s">
        <v>19906</v>
      </c>
      <c r="H316" s="24" t="s">
        <v>19324</v>
      </c>
      <c r="I316" s="22" t="s">
        <v>19309</v>
      </c>
      <c r="J316" s="22" t="s">
        <v>19573</v>
      </c>
      <c r="K316" s="22" t="s">
        <v>19574</v>
      </c>
      <c r="L316" s="22"/>
      <c r="M316" s="22"/>
      <c r="N316" s="25" t="str">
        <f>HYPERLINK("http://slimages.macys.com/is/image/MCY/1522011 ")</f>
        <v xml:space="preserve">http://slimages.macys.com/is/image/MCY/1522011 </v>
      </c>
    </row>
    <row r="317" spans="1:14" ht="24.75" x14ac:dyDescent="0.25">
      <c r="A317" s="21" t="s">
        <v>19183</v>
      </c>
      <c r="B317" s="22" t="s">
        <v>19184</v>
      </c>
      <c r="C317" s="2">
        <v>2</v>
      </c>
      <c r="D317" s="23">
        <v>5.99</v>
      </c>
      <c r="E317" s="3">
        <v>11.98</v>
      </c>
      <c r="F317" s="2" t="s">
        <v>19180</v>
      </c>
      <c r="G317" s="22" t="s">
        <v>19477</v>
      </c>
      <c r="H317" s="24" t="s">
        <v>19324</v>
      </c>
      <c r="I317" s="22" t="s">
        <v>19309</v>
      </c>
      <c r="J317" s="22" t="s">
        <v>19573</v>
      </c>
      <c r="K317" s="22" t="s">
        <v>19574</v>
      </c>
      <c r="L317" s="22"/>
      <c r="M317" s="22"/>
      <c r="N317" s="25" t="str">
        <f>HYPERLINK("http://slimages.macys.com/is/image/MCY/1521974 ")</f>
        <v xml:space="preserve">http://slimages.macys.com/is/image/MCY/1521974 </v>
      </c>
    </row>
    <row r="318" spans="1:14" ht="24.75" x14ac:dyDescent="0.25">
      <c r="A318" s="21" t="s">
        <v>17186</v>
      </c>
      <c r="B318" s="22" t="s">
        <v>17187</v>
      </c>
      <c r="C318" s="2">
        <v>1</v>
      </c>
      <c r="D318" s="23">
        <v>5.99</v>
      </c>
      <c r="E318" s="3">
        <v>5.99</v>
      </c>
      <c r="F318" s="2" t="s">
        <v>19180</v>
      </c>
      <c r="G318" s="22" t="s">
        <v>19477</v>
      </c>
      <c r="H318" s="24" t="s">
        <v>19330</v>
      </c>
      <c r="I318" s="22" t="s">
        <v>19309</v>
      </c>
      <c r="J318" s="22" t="s">
        <v>19573</v>
      </c>
      <c r="K318" s="22" t="s">
        <v>19574</v>
      </c>
      <c r="L318" s="22"/>
      <c r="M318" s="22"/>
      <c r="N318" s="25" t="str">
        <f>HYPERLINK("http://slimages.macys.com/is/image/MCY/1521972 ")</f>
        <v xml:space="preserve">http://slimages.macys.com/is/image/MCY/1521972 </v>
      </c>
    </row>
    <row r="319" spans="1:14" ht="24.75" x14ac:dyDescent="0.25">
      <c r="A319" s="21" t="s">
        <v>3983</v>
      </c>
      <c r="B319" s="22" t="s">
        <v>3984</v>
      </c>
      <c r="C319" s="2">
        <v>1</v>
      </c>
      <c r="D319" s="23">
        <v>7.99</v>
      </c>
      <c r="E319" s="3">
        <v>7.99</v>
      </c>
      <c r="F319" s="2" t="s">
        <v>11164</v>
      </c>
      <c r="G319" s="22" t="s">
        <v>19467</v>
      </c>
      <c r="H319" s="24" t="s">
        <v>20089</v>
      </c>
      <c r="I319" s="22" t="s">
        <v>19309</v>
      </c>
      <c r="J319" s="22" t="s">
        <v>19573</v>
      </c>
      <c r="K319" s="22" t="s">
        <v>19574</v>
      </c>
      <c r="L319" s="22"/>
      <c r="M319" s="22"/>
      <c r="N319" s="25" t="str">
        <f>HYPERLINK("http://slimages.macys.com/is/image/MCY/21905243 ")</f>
        <v xml:space="preserve">http://slimages.macys.com/is/image/MCY/21905243 </v>
      </c>
    </row>
    <row r="320" spans="1:14" ht="24.75" x14ac:dyDescent="0.25">
      <c r="A320" s="21" t="s">
        <v>10135</v>
      </c>
      <c r="B320" s="22" t="s">
        <v>10136</v>
      </c>
      <c r="C320" s="2">
        <v>1</v>
      </c>
      <c r="D320" s="23">
        <v>7.99</v>
      </c>
      <c r="E320" s="3">
        <v>7.99</v>
      </c>
      <c r="F320" s="2" t="s">
        <v>10137</v>
      </c>
      <c r="G320" s="22" t="s">
        <v>19713</v>
      </c>
      <c r="H320" s="24"/>
      <c r="I320" s="22" t="s">
        <v>19309</v>
      </c>
      <c r="J320" s="22" t="s">
        <v>19573</v>
      </c>
      <c r="K320" s="22" t="s">
        <v>19574</v>
      </c>
      <c r="L320" s="22"/>
      <c r="M320" s="22"/>
      <c r="N320" s="25" t="str">
        <f>HYPERLINK("http://slimages.macys.com/is/image/MCY/21209389 ")</f>
        <v xml:space="preserve">http://slimages.macys.com/is/image/MCY/21209389 </v>
      </c>
    </row>
    <row r="321" spans="1:14" ht="24.75" x14ac:dyDescent="0.25">
      <c r="A321" s="21" t="s">
        <v>13505</v>
      </c>
      <c r="B321" s="22" t="s">
        <v>13506</v>
      </c>
      <c r="C321" s="2">
        <v>1</v>
      </c>
      <c r="D321" s="23">
        <v>6.99</v>
      </c>
      <c r="E321" s="3">
        <v>6.99</v>
      </c>
      <c r="F321" s="2" t="s">
        <v>19217</v>
      </c>
      <c r="G321" s="22" t="s">
        <v>19906</v>
      </c>
      <c r="H321" s="24" t="s">
        <v>19361</v>
      </c>
      <c r="I321" s="22" t="s">
        <v>19309</v>
      </c>
      <c r="J321" s="22" t="s">
        <v>19454</v>
      </c>
      <c r="K321" s="22" t="s">
        <v>19354</v>
      </c>
      <c r="L321" s="22"/>
      <c r="M321" s="22"/>
      <c r="N321" s="25" t="str">
        <f>HYPERLINK("http://slimages.macys.com/is/image/MCY/20708515 ")</f>
        <v xml:space="preserve">http://slimages.macys.com/is/image/MCY/20708515 </v>
      </c>
    </row>
    <row r="322" spans="1:14" ht="24.75" x14ac:dyDescent="0.25">
      <c r="A322" s="21" t="s">
        <v>17196</v>
      </c>
      <c r="B322" s="22" t="s">
        <v>17197</v>
      </c>
      <c r="C322" s="2">
        <v>1</v>
      </c>
      <c r="D322" s="23">
        <v>5.99</v>
      </c>
      <c r="E322" s="3">
        <v>5.99</v>
      </c>
      <c r="F322" s="2" t="s">
        <v>17198</v>
      </c>
      <c r="G322" s="22" t="s">
        <v>19467</v>
      </c>
      <c r="H322" s="24" t="s">
        <v>19330</v>
      </c>
      <c r="I322" s="22" t="s">
        <v>19309</v>
      </c>
      <c r="J322" s="22" t="s">
        <v>19573</v>
      </c>
      <c r="K322" s="22" t="s">
        <v>19574</v>
      </c>
      <c r="L322" s="22"/>
      <c r="M322" s="22"/>
      <c r="N322" s="25" t="str">
        <f>HYPERLINK("http://slimages.macys.com/is/image/MCY/21209066 ")</f>
        <v xml:space="preserve">http://slimages.macys.com/is/image/MCY/21209066 </v>
      </c>
    </row>
    <row r="323" spans="1:14" ht="24.75" x14ac:dyDescent="0.25">
      <c r="A323" s="21" t="s">
        <v>1598</v>
      </c>
      <c r="B323" s="22" t="s">
        <v>1599</v>
      </c>
      <c r="C323" s="2">
        <v>1</v>
      </c>
      <c r="D323" s="23">
        <v>7.99</v>
      </c>
      <c r="E323" s="3">
        <v>7.99</v>
      </c>
      <c r="F323" s="2" t="s">
        <v>10727</v>
      </c>
      <c r="G323" s="22" t="s">
        <v>19462</v>
      </c>
      <c r="H323" s="24" t="s">
        <v>19907</v>
      </c>
      <c r="I323" s="22" t="s">
        <v>19309</v>
      </c>
      <c r="J323" s="22" t="s">
        <v>19573</v>
      </c>
      <c r="K323" s="22" t="s">
        <v>19574</v>
      </c>
      <c r="L323" s="22"/>
      <c r="M323" s="22"/>
      <c r="N323" s="25" t="str">
        <f>HYPERLINK("http://slimages.macys.com/is/image/MCY/1232305 ")</f>
        <v xml:space="preserve">http://slimages.macys.com/is/image/MCY/1232305 </v>
      </c>
    </row>
    <row r="324" spans="1:14" ht="24.75" x14ac:dyDescent="0.25">
      <c r="A324" s="21" t="s">
        <v>14912</v>
      </c>
      <c r="B324" s="22" t="s">
        <v>14913</v>
      </c>
      <c r="C324" s="2">
        <v>1</v>
      </c>
      <c r="D324" s="23">
        <v>5.99</v>
      </c>
      <c r="E324" s="3">
        <v>5.99</v>
      </c>
      <c r="F324" s="2" t="s">
        <v>19241</v>
      </c>
      <c r="G324" s="22" t="s">
        <v>19415</v>
      </c>
      <c r="H324" s="24" t="s">
        <v>19324</v>
      </c>
      <c r="I324" s="22" t="s">
        <v>19309</v>
      </c>
      <c r="J324" s="22" t="s">
        <v>19573</v>
      </c>
      <c r="K324" s="22" t="s">
        <v>19574</v>
      </c>
      <c r="L324" s="22"/>
      <c r="M324" s="22"/>
      <c r="N324" s="25" t="str">
        <f>HYPERLINK("http://slimages.macys.com/is/image/MCY/21209269 ")</f>
        <v xml:space="preserve">http://slimages.macys.com/is/image/MCY/21209269 </v>
      </c>
    </row>
    <row r="325" spans="1:14" ht="24.75" x14ac:dyDescent="0.25">
      <c r="A325" s="21" t="s">
        <v>19235</v>
      </c>
      <c r="B325" s="22" t="s">
        <v>19236</v>
      </c>
      <c r="C325" s="2">
        <v>1</v>
      </c>
      <c r="D325" s="23">
        <v>5.99</v>
      </c>
      <c r="E325" s="3">
        <v>5.99</v>
      </c>
      <c r="F325" s="2" t="s">
        <v>19232</v>
      </c>
      <c r="G325" s="22" t="s">
        <v>19467</v>
      </c>
      <c r="H325" s="24" t="s">
        <v>19324</v>
      </c>
      <c r="I325" s="22" t="s">
        <v>19309</v>
      </c>
      <c r="J325" s="22" t="s">
        <v>19573</v>
      </c>
      <c r="K325" s="22" t="s">
        <v>19574</v>
      </c>
      <c r="L325" s="22"/>
      <c r="M325" s="22"/>
      <c r="N325" s="25" t="str">
        <f>HYPERLINK("http://slimages.macys.com/is/image/MCY/21209505 ")</f>
        <v xml:space="preserve">http://slimages.macys.com/is/image/MCY/21209505 </v>
      </c>
    </row>
    <row r="326" spans="1:14" ht="24.75" x14ac:dyDescent="0.25">
      <c r="A326" s="21" t="s">
        <v>1600</v>
      </c>
      <c r="B326" s="22" t="s">
        <v>1601</v>
      </c>
      <c r="C326" s="2">
        <v>17</v>
      </c>
      <c r="D326" s="23">
        <v>7.99</v>
      </c>
      <c r="E326" s="3">
        <v>135.83000000000001</v>
      </c>
      <c r="F326" s="2" t="s">
        <v>14930</v>
      </c>
      <c r="G326" s="22" t="s">
        <v>19467</v>
      </c>
      <c r="H326" s="24" t="s">
        <v>19907</v>
      </c>
      <c r="I326" s="22" t="s">
        <v>19309</v>
      </c>
      <c r="J326" s="22" t="s">
        <v>19573</v>
      </c>
      <c r="K326" s="22" t="s">
        <v>19574</v>
      </c>
      <c r="L326" s="22"/>
      <c r="M326" s="22"/>
      <c r="N326" s="25" t="str">
        <f>HYPERLINK("http://slimages.macys.com/is/image/MCY/21209307 ")</f>
        <v xml:space="preserve">http://slimages.macys.com/is/image/MCY/21209307 </v>
      </c>
    </row>
    <row r="327" spans="1:14" ht="24.75" x14ac:dyDescent="0.25">
      <c r="A327" s="21" t="s">
        <v>1602</v>
      </c>
      <c r="B327" s="22" t="s">
        <v>1603</v>
      </c>
      <c r="C327" s="2">
        <v>1</v>
      </c>
      <c r="D327" s="23">
        <v>5.99</v>
      </c>
      <c r="E327" s="3">
        <v>5.99</v>
      </c>
      <c r="F327" s="2" t="s">
        <v>14933</v>
      </c>
      <c r="G327" s="22" t="s">
        <v>19338</v>
      </c>
      <c r="H327" s="24" t="s">
        <v>19542</v>
      </c>
      <c r="I327" s="22" t="s">
        <v>19309</v>
      </c>
      <c r="J327" s="22" t="s">
        <v>19454</v>
      </c>
      <c r="K327" s="22" t="s">
        <v>19524</v>
      </c>
      <c r="L327" s="22"/>
      <c r="M327" s="22"/>
      <c r="N327" s="25" t="str">
        <f>HYPERLINK("http://slimages.macys.com/is/image/MCY/19257912 ")</f>
        <v xml:space="preserve">http://slimages.macys.com/is/image/MCY/19257912 </v>
      </c>
    </row>
    <row r="328" spans="1:14" ht="24.75" x14ac:dyDescent="0.25">
      <c r="A328" s="21" t="s">
        <v>19262</v>
      </c>
      <c r="B328" s="22" t="s">
        <v>19263</v>
      </c>
      <c r="C328" s="2">
        <v>1</v>
      </c>
      <c r="D328" s="23">
        <v>5.99</v>
      </c>
      <c r="E328" s="3">
        <v>5.99</v>
      </c>
      <c r="F328" s="2" t="s">
        <v>19261</v>
      </c>
      <c r="G328" s="22" t="s">
        <v>19674</v>
      </c>
      <c r="H328" s="24" t="s">
        <v>19384</v>
      </c>
      <c r="I328" s="22" t="s">
        <v>19309</v>
      </c>
      <c r="J328" s="22" t="s">
        <v>19573</v>
      </c>
      <c r="K328" s="22" t="s">
        <v>19574</v>
      </c>
      <c r="L328" s="22"/>
      <c r="M328" s="22"/>
      <c r="N328" s="25" t="str">
        <f>HYPERLINK("http://slimages.macys.com/is/image/MCY/21209261 ")</f>
        <v xml:space="preserve">http://slimages.macys.com/is/image/MCY/21209261 </v>
      </c>
    </row>
    <row r="329" spans="1:14" ht="24.75" x14ac:dyDescent="0.25">
      <c r="A329" s="21" t="s">
        <v>14957</v>
      </c>
      <c r="B329" s="22" t="s">
        <v>14958</v>
      </c>
      <c r="C329" s="2">
        <v>1</v>
      </c>
      <c r="D329" s="23">
        <v>7.99</v>
      </c>
      <c r="E329" s="3">
        <v>7.99</v>
      </c>
      <c r="F329" s="2" t="s">
        <v>14959</v>
      </c>
      <c r="G329" s="22" t="s">
        <v>19415</v>
      </c>
      <c r="H329" s="24" t="s">
        <v>19907</v>
      </c>
      <c r="I329" s="22" t="s">
        <v>19309</v>
      </c>
      <c r="J329" s="22" t="s">
        <v>19573</v>
      </c>
      <c r="K329" s="22" t="s">
        <v>19574</v>
      </c>
      <c r="L329" s="22"/>
      <c r="M329" s="22"/>
      <c r="N329" s="25" t="str">
        <f>HYPERLINK("http://slimages.macys.com/is/image/MCY/21209562 ")</f>
        <v xml:space="preserve">http://slimages.macys.com/is/image/MCY/21209562 </v>
      </c>
    </row>
    <row r="330" spans="1:14" ht="24.75" x14ac:dyDescent="0.25">
      <c r="A330" s="21" t="s">
        <v>1604</v>
      </c>
      <c r="B330" s="22" t="s">
        <v>1605</v>
      </c>
      <c r="C330" s="2">
        <v>1</v>
      </c>
      <c r="D330" s="23">
        <v>5.99</v>
      </c>
      <c r="E330" s="3">
        <v>5.99</v>
      </c>
      <c r="F330" s="2" t="s">
        <v>17257</v>
      </c>
      <c r="G330" s="22" t="s">
        <v>19431</v>
      </c>
      <c r="H330" s="24" t="s">
        <v>19324</v>
      </c>
      <c r="I330" s="22" t="s">
        <v>19309</v>
      </c>
      <c r="J330" s="22" t="s">
        <v>19573</v>
      </c>
      <c r="K330" s="22" t="s">
        <v>19574</v>
      </c>
      <c r="L330" s="22"/>
      <c r="M330" s="22"/>
      <c r="N330" s="25" t="str">
        <f>HYPERLINK("http://slimages.macys.com/is/image/MCY/21209617 ")</f>
        <v xml:space="preserve">http://slimages.macys.com/is/image/MCY/21209617 </v>
      </c>
    </row>
    <row r="331" spans="1:14" ht="24.75" x14ac:dyDescent="0.25">
      <c r="A331" s="21" t="s">
        <v>14974</v>
      </c>
      <c r="B331" s="22" t="s">
        <v>14975</v>
      </c>
      <c r="C331" s="2">
        <v>2</v>
      </c>
      <c r="D331" s="23">
        <v>5.99</v>
      </c>
      <c r="E331" s="3">
        <v>11.98</v>
      </c>
      <c r="F331" s="2" t="s">
        <v>19273</v>
      </c>
      <c r="G331" s="22" t="s">
        <v>19794</v>
      </c>
      <c r="H331" s="24" t="s">
        <v>19384</v>
      </c>
      <c r="I331" s="22" t="s">
        <v>19309</v>
      </c>
      <c r="J331" s="22" t="s">
        <v>19573</v>
      </c>
      <c r="K331" s="22" t="s">
        <v>19574</v>
      </c>
      <c r="L331" s="22"/>
      <c r="M331" s="22"/>
      <c r="N331" s="25" t="str">
        <f>HYPERLINK("http://slimages.macys.com/is/image/MCY/21209112 ")</f>
        <v xml:space="preserve">http://slimages.macys.com/is/image/MCY/21209112 </v>
      </c>
    </row>
    <row r="332" spans="1:14" ht="24.75" x14ac:dyDescent="0.25">
      <c r="A332" s="21" t="s">
        <v>1606</v>
      </c>
      <c r="B332" s="22" t="s">
        <v>1607</v>
      </c>
      <c r="C332" s="2">
        <v>1</v>
      </c>
      <c r="D332" s="23">
        <v>5.99</v>
      </c>
      <c r="E332" s="3">
        <v>5.99</v>
      </c>
      <c r="F332" s="2" t="s">
        <v>2187</v>
      </c>
      <c r="G332" s="22" t="s">
        <v>19351</v>
      </c>
      <c r="H332" s="24" t="s">
        <v>19538</v>
      </c>
      <c r="I332" s="22" t="s">
        <v>19309</v>
      </c>
      <c r="J332" s="22" t="s">
        <v>19573</v>
      </c>
      <c r="K332" s="22" t="s">
        <v>19574</v>
      </c>
      <c r="L332" s="22"/>
      <c r="M332" s="22"/>
      <c r="N332" s="25" t="str">
        <f>HYPERLINK("http://slimages.macys.com/is/image/MCY/17663550 ")</f>
        <v xml:space="preserve">http://slimages.macys.com/is/image/MCY/17663550 </v>
      </c>
    </row>
    <row r="333" spans="1:14" ht="24.75" x14ac:dyDescent="0.25">
      <c r="A333" s="21" t="s">
        <v>17391</v>
      </c>
      <c r="B333" s="22" t="s">
        <v>17392</v>
      </c>
      <c r="C333" s="2">
        <v>1</v>
      </c>
      <c r="D333" s="23">
        <v>5.99</v>
      </c>
      <c r="E333" s="3">
        <v>5.99</v>
      </c>
      <c r="F333" s="2" t="s">
        <v>17384</v>
      </c>
      <c r="G333" s="22" t="s">
        <v>18439</v>
      </c>
      <c r="H333" s="24" t="s">
        <v>19324</v>
      </c>
      <c r="I333" s="22" t="s">
        <v>19309</v>
      </c>
      <c r="J333" s="22" t="s">
        <v>19573</v>
      </c>
      <c r="K333" s="22" t="s">
        <v>19574</v>
      </c>
      <c r="L333" s="22"/>
      <c r="M333" s="22"/>
      <c r="N333" s="25" t="str">
        <f>HYPERLINK("http://slimages.macys.com/is/image/MCY/1905756 ")</f>
        <v xml:space="preserve">http://slimages.macys.com/is/image/MCY/1905756 </v>
      </c>
    </row>
    <row r="334" spans="1:14" ht="24.75" x14ac:dyDescent="0.25">
      <c r="A334" s="21" t="s">
        <v>17387</v>
      </c>
      <c r="B334" s="22" t="s">
        <v>17388</v>
      </c>
      <c r="C334" s="2">
        <v>1</v>
      </c>
      <c r="D334" s="23">
        <v>5.99</v>
      </c>
      <c r="E334" s="3">
        <v>5.99</v>
      </c>
      <c r="F334" s="2" t="s">
        <v>17384</v>
      </c>
      <c r="G334" s="22" t="s">
        <v>18439</v>
      </c>
      <c r="H334" s="24" t="s">
        <v>19538</v>
      </c>
      <c r="I334" s="22" t="s">
        <v>19309</v>
      </c>
      <c r="J334" s="22" t="s">
        <v>19573</v>
      </c>
      <c r="K334" s="22" t="s">
        <v>19574</v>
      </c>
      <c r="L334" s="22"/>
      <c r="M334" s="22"/>
      <c r="N334" s="25" t="str">
        <f>HYPERLINK("http://slimages.macys.com/is/image/MCY/1905756 ")</f>
        <v xml:space="preserve">http://slimages.macys.com/is/image/MCY/1905756 </v>
      </c>
    </row>
    <row r="335" spans="1:14" ht="24.75" x14ac:dyDescent="0.25">
      <c r="A335" s="21" t="s">
        <v>1608</v>
      </c>
      <c r="B335" s="22" t="s">
        <v>1609</v>
      </c>
      <c r="C335" s="2">
        <v>1</v>
      </c>
      <c r="D335" s="23">
        <v>5.99</v>
      </c>
      <c r="E335" s="3">
        <v>5.99</v>
      </c>
      <c r="F335" s="2" t="s">
        <v>17402</v>
      </c>
      <c r="G335" s="22" t="s">
        <v>19415</v>
      </c>
      <c r="H335" s="24" t="s">
        <v>19324</v>
      </c>
      <c r="I335" s="22" t="s">
        <v>19309</v>
      </c>
      <c r="J335" s="22" t="s">
        <v>19573</v>
      </c>
      <c r="K335" s="22" t="s">
        <v>19574</v>
      </c>
      <c r="L335" s="22"/>
      <c r="M335" s="22"/>
      <c r="N335" s="25" t="str">
        <f>HYPERLINK("http://slimages.macys.com/is/image/MCY/20736365 ")</f>
        <v xml:space="preserve">http://slimages.macys.com/is/image/MCY/20736365 </v>
      </c>
    </row>
    <row r="336" spans="1:14" ht="24.75" x14ac:dyDescent="0.25">
      <c r="A336" s="21" t="s">
        <v>1610</v>
      </c>
      <c r="B336" s="22" t="s">
        <v>7226</v>
      </c>
      <c r="C336" s="2">
        <v>3</v>
      </c>
      <c r="D336" s="23">
        <v>5.99</v>
      </c>
      <c r="E336" s="3">
        <v>17.97</v>
      </c>
      <c r="F336" s="2" t="s">
        <v>17405</v>
      </c>
      <c r="G336" s="22" t="s">
        <v>19351</v>
      </c>
      <c r="H336" s="24" t="s">
        <v>19384</v>
      </c>
      <c r="I336" s="22" t="s">
        <v>19309</v>
      </c>
      <c r="J336" s="22" t="s">
        <v>19573</v>
      </c>
      <c r="K336" s="22" t="s">
        <v>19574</v>
      </c>
      <c r="L336" s="22"/>
      <c r="M336" s="22"/>
      <c r="N336" s="25" t="str">
        <f>HYPERLINK("http://slimages.macys.com/is/image/MCY/21970228 ")</f>
        <v xml:space="preserve">http://slimages.macys.com/is/image/MCY/21970228 </v>
      </c>
    </row>
    <row r="337" spans="1:14" ht="24.75" x14ac:dyDescent="0.25">
      <c r="A337" s="21" t="s">
        <v>2193</v>
      </c>
      <c r="B337" s="22" t="s">
        <v>2194</v>
      </c>
      <c r="C337" s="2">
        <v>1</v>
      </c>
      <c r="D337" s="23">
        <v>5.99</v>
      </c>
      <c r="E337" s="3">
        <v>5.99</v>
      </c>
      <c r="F337" s="2" t="s">
        <v>13537</v>
      </c>
      <c r="G337" s="22" t="s">
        <v>19713</v>
      </c>
      <c r="H337" s="24" t="s">
        <v>19384</v>
      </c>
      <c r="I337" s="22" t="s">
        <v>19309</v>
      </c>
      <c r="J337" s="22" t="s">
        <v>19573</v>
      </c>
      <c r="K337" s="22" t="s">
        <v>19574</v>
      </c>
      <c r="L337" s="22"/>
      <c r="M337" s="22"/>
      <c r="N337" s="25" t="str">
        <f>HYPERLINK("http://slimages.macys.com/is/image/MCY/17663506 ")</f>
        <v xml:space="preserve">http://slimages.macys.com/is/image/MCY/17663506 </v>
      </c>
    </row>
    <row r="338" spans="1:14" ht="24.75" x14ac:dyDescent="0.25">
      <c r="A338" s="21" t="s">
        <v>13538</v>
      </c>
      <c r="B338" s="22" t="s">
        <v>13539</v>
      </c>
      <c r="C338" s="2">
        <v>1</v>
      </c>
      <c r="D338" s="23">
        <v>5.99</v>
      </c>
      <c r="E338" s="3">
        <v>5.99</v>
      </c>
      <c r="F338" s="2" t="s">
        <v>17455</v>
      </c>
      <c r="G338" s="22" t="s">
        <v>19431</v>
      </c>
      <c r="H338" s="24" t="s">
        <v>19538</v>
      </c>
      <c r="I338" s="22" t="s">
        <v>19309</v>
      </c>
      <c r="J338" s="22" t="s">
        <v>19573</v>
      </c>
      <c r="K338" s="22" t="s">
        <v>19574</v>
      </c>
      <c r="L338" s="22"/>
      <c r="M338" s="22"/>
      <c r="N338" s="25" t="str">
        <f>HYPERLINK("http://slimages.macys.com/is/image/MCY/21089250 ")</f>
        <v xml:space="preserve">http://slimages.macys.com/is/image/MCY/21089250 </v>
      </c>
    </row>
    <row r="339" spans="1:14" ht="24.75" x14ac:dyDescent="0.25">
      <c r="A339" s="21" t="s">
        <v>17305</v>
      </c>
      <c r="B339" s="22" t="s">
        <v>17306</v>
      </c>
      <c r="C339" s="2">
        <v>2</v>
      </c>
      <c r="D339" s="23">
        <v>5.99</v>
      </c>
      <c r="E339" s="3">
        <v>11.98</v>
      </c>
      <c r="F339" s="2" t="s">
        <v>17452</v>
      </c>
      <c r="G339" s="22" t="s">
        <v>19467</v>
      </c>
      <c r="H339" s="24" t="s">
        <v>19538</v>
      </c>
      <c r="I339" s="22" t="s">
        <v>19309</v>
      </c>
      <c r="J339" s="22" t="s">
        <v>19573</v>
      </c>
      <c r="K339" s="22" t="s">
        <v>19574</v>
      </c>
      <c r="L339" s="22"/>
      <c r="M339" s="22"/>
      <c r="N339" s="25" t="str">
        <f>HYPERLINK("http://slimages.macys.com/is/image/MCY/21209018 ")</f>
        <v xml:space="preserve">http://slimages.macys.com/is/image/MCY/21209018 </v>
      </c>
    </row>
    <row r="340" spans="1:14" ht="24.75" x14ac:dyDescent="0.25">
      <c r="A340" s="21" t="s">
        <v>6357</v>
      </c>
      <c r="B340" s="22" t="s">
        <v>6358</v>
      </c>
      <c r="C340" s="2">
        <v>1</v>
      </c>
      <c r="D340" s="23">
        <v>39.99</v>
      </c>
      <c r="E340" s="3">
        <v>39.99</v>
      </c>
      <c r="F340" s="2" t="s">
        <v>17319</v>
      </c>
      <c r="G340" s="22" t="s">
        <v>19630</v>
      </c>
      <c r="H340" s="24" t="s">
        <v>19324</v>
      </c>
      <c r="I340" s="22" t="s">
        <v>19309</v>
      </c>
      <c r="J340" s="22" t="s">
        <v>19385</v>
      </c>
      <c r="K340" s="22" t="s">
        <v>19487</v>
      </c>
      <c r="L340" s="22"/>
      <c r="M340" s="22"/>
      <c r="N340" s="25"/>
    </row>
    <row r="341" spans="1:14" ht="24.75" x14ac:dyDescent="0.25">
      <c r="A341" s="21" t="s">
        <v>4466</v>
      </c>
      <c r="B341" s="22" t="s">
        <v>4467</v>
      </c>
      <c r="C341" s="2">
        <v>1</v>
      </c>
      <c r="D341" s="23">
        <v>39.99</v>
      </c>
      <c r="E341" s="3">
        <v>39.99</v>
      </c>
      <c r="F341" s="2" t="s">
        <v>17319</v>
      </c>
      <c r="G341" s="22" t="s">
        <v>19630</v>
      </c>
      <c r="H341" s="24" t="s">
        <v>19330</v>
      </c>
      <c r="I341" s="22" t="s">
        <v>19309</v>
      </c>
      <c r="J341" s="22" t="s">
        <v>19385</v>
      </c>
      <c r="K341" s="22" t="s">
        <v>19487</v>
      </c>
      <c r="L341" s="22"/>
      <c r="M341" s="22"/>
      <c r="N341" s="25"/>
    </row>
    <row r="342" spans="1:14" ht="24.75" x14ac:dyDescent="0.25">
      <c r="A342" s="21" t="s">
        <v>17317</v>
      </c>
      <c r="B342" s="22" t="s">
        <v>17318</v>
      </c>
      <c r="C342" s="2">
        <v>1</v>
      </c>
      <c r="D342" s="23">
        <v>39.99</v>
      </c>
      <c r="E342" s="3">
        <v>39.99</v>
      </c>
      <c r="F342" s="2" t="s">
        <v>17319</v>
      </c>
      <c r="G342" s="22" t="s">
        <v>19630</v>
      </c>
      <c r="H342" s="24" t="s">
        <v>19538</v>
      </c>
      <c r="I342" s="22" t="s">
        <v>19309</v>
      </c>
      <c r="J342" s="22" t="s">
        <v>19385</v>
      </c>
      <c r="K342" s="22" t="s">
        <v>19487</v>
      </c>
      <c r="L342" s="22"/>
      <c r="M342" s="22"/>
      <c r="N342" s="25"/>
    </row>
    <row r="343" spans="1:14" x14ac:dyDescent="0.25">
      <c r="A343" s="21" t="s">
        <v>1611</v>
      </c>
      <c r="B343" s="22" t="s">
        <v>1612</v>
      </c>
      <c r="C343" s="2">
        <v>1</v>
      </c>
      <c r="D343" s="23">
        <v>32.99</v>
      </c>
      <c r="E343" s="3">
        <v>32.99</v>
      </c>
      <c r="F343" s="2" t="s">
        <v>1613</v>
      </c>
      <c r="G343" s="22" t="s">
        <v>19338</v>
      </c>
      <c r="H343" s="24" t="s">
        <v>19361</v>
      </c>
      <c r="I343" s="22" t="s">
        <v>19309</v>
      </c>
      <c r="J343" s="22" t="s">
        <v>19310</v>
      </c>
      <c r="K343" s="22" t="s">
        <v>19433</v>
      </c>
      <c r="L343" s="22"/>
      <c r="M343" s="22"/>
      <c r="N343" s="25"/>
    </row>
    <row r="344" spans="1:14" ht="24.75" x14ac:dyDescent="0.25">
      <c r="A344" s="21" t="s">
        <v>1614</v>
      </c>
      <c r="B344" s="22" t="s">
        <v>1615</v>
      </c>
      <c r="C344" s="2">
        <v>1</v>
      </c>
      <c r="D344" s="23">
        <v>43</v>
      </c>
      <c r="E344" s="3">
        <v>43</v>
      </c>
      <c r="F344" s="2" t="s">
        <v>1616</v>
      </c>
      <c r="G344" s="22" t="s">
        <v>19794</v>
      </c>
      <c r="H344" s="24" t="s">
        <v>19316</v>
      </c>
      <c r="I344" s="22" t="s">
        <v>19309</v>
      </c>
      <c r="J344" s="22" t="s">
        <v>19400</v>
      </c>
      <c r="K344" s="22" t="s">
        <v>19423</v>
      </c>
      <c r="L344" s="22"/>
      <c r="M344" s="22"/>
      <c r="N344" s="25"/>
    </row>
    <row r="345" spans="1:14" ht="24.75" x14ac:dyDescent="0.25">
      <c r="A345" s="21" t="s">
        <v>1617</v>
      </c>
      <c r="B345" s="22" t="s">
        <v>1618</v>
      </c>
      <c r="C345" s="2">
        <v>1</v>
      </c>
      <c r="D345" s="23">
        <v>43</v>
      </c>
      <c r="E345" s="3">
        <v>43</v>
      </c>
      <c r="F345" s="2" t="s">
        <v>1619</v>
      </c>
      <c r="G345" s="22"/>
      <c r="H345" s="24" t="s">
        <v>19316</v>
      </c>
      <c r="I345" s="22" t="s">
        <v>19309</v>
      </c>
      <c r="J345" s="22" t="s">
        <v>19400</v>
      </c>
      <c r="K345" s="22" t="s">
        <v>19423</v>
      </c>
      <c r="L345" s="22"/>
      <c r="M345" s="22"/>
      <c r="N345" s="25"/>
    </row>
    <row r="346" spans="1:14" ht="24.75" x14ac:dyDescent="0.25">
      <c r="A346" s="21" t="s">
        <v>1129</v>
      </c>
      <c r="B346" s="22" t="s">
        <v>1130</v>
      </c>
      <c r="C346" s="2">
        <v>1</v>
      </c>
      <c r="D346" s="23">
        <v>33.99</v>
      </c>
      <c r="E346" s="3">
        <v>33.99</v>
      </c>
      <c r="F346" s="2" t="s">
        <v>17595</v>
      </c>
      <c r="G346" s="22" t="s">
        <v>19498</v>
      </c>
      <c r="H346" s="24" t="s">
        <v>19538</v>
      </c>
      <c r="I346" s="22" t="s">
        <v>19309</v>
      </c>
      <c r="J346" s="22" t="s">
        <v>19385</v>
      </c>
      <c r="K346" s="22" t="s">
        <v>19386</v>
      </c>
      <c r="L346" s="22"/>
      <c r="M346" s="22"/>
      <c r="N346" s="25"/>
    </row>
    <row r="347" spans="1:14" ht="24.75" x14ac:dyDescent="0.25">
      <c r="A347" s="21" t="s">
        <v>9366</v>
      </c>
      <c r="B347" s="22" t="s">
        <v>9367</v>
      </c>
      <c r="C347" s="2">
        <v>1</v>
      </c>
      <c r="D347" s="23">
        <v>35.99</v>
      </c>
      <c r="E347" s="3">
        <v>35.99</v>
      </c>
      <c r="F347" s="2" t="s">
        <v>17475</v>
      </c>
      <c r="G347" s="22" t="s">
        <v>19674</v>
      </c>
      <c r="H347" s="24" t="s">
        <v>19538</v>
      </c>
      <c r="I347" s="22" t="s">
        <v>19309</v>
      </c>
      <c r="J347" s="22" t="s">
        <v>19385</v>
      </c>
      <c r="K347" s="22" t="s">
        <v>19487</v>
      </c>
      <c r="L347" s="22"/>
      <c r="M347" s="22"/>
      <c r="N347" s="25"/>
    </row>
    <row r="348" spans="1:14" ht="24.75" x14ac:dyDescent="0.25">
      <c r="A348" s="21" t="s">
        <v>1620</v>
      </c>
      <c r="B348" s="22" t="s">
        <v>1621</v>
      </c>
      <c r="C348" s="2">
        <v>1</v>
      </c>
      <c r="D348" s="23">
        <v>26.99</v>
      </c>
      <c r="E348" s="3">
        <v>26.99</v>
      </c>
      <c r="F348" s="2" t="s">
        <v>5369</v>
      </c>
      <c r="G348" s="22" t="s">
        <v>19415</v>
      </c>
      <c r="H348" s="24" t="s">
        <v>19377</v>
      </c>
      <c r="I348" s="22" t="s">
        <v>19309</v>
      </c>
      <c r="J348" s="22" t="s">
        <v>19508</v>
      </c>
      <c r="K348" s="22" t="s">
        <v>17711</v>
      </c>
      <c r="L348" s="22"/>
      <c r="M348" s="22"/>
      <c r="N348" s="25"/>
    </row>
    <row r="349" spans="1:14" ht="24.75" x14ac:dyDescent="0.25">
      <c r="A349" s="21" t="s">
        <v>1622</v>
      </c>
      <c r="B349" s="22" t="s">
        <v>1623</v>
      </c>
      <c r="C349" s="2">
        <v>1</v>
      </c>
      <c r="D349" s="23">
        <v>19.5</v>
      </c>
      <c r="E349" s="3">
        <v>19.5</v>
      </c>
      <c r="F349" s="2">
        <v>310876689001</v>
      </c>
      <c r="G349" s="22" t="s">
        <v>19323</v>
      </c>
      <c r="H349" s="24" t="s">
        <v>18168</v>
      </c>
      <c r="I349" s="22" t="s">
        <v>19309</v>
      </c>
      <c r="J349" s="22" t="s">
        <v>19325</v>
      </c>
      <c r="K349" s="22" t="s">
        <v>19326</v>
      </c>
      <c r="L349" s="22"/>
      <c r="M349" s="22"/>
      <c r="N349" s="25"/>
    </row>
    <row r="350" spans="1:14" ht="24.75" x14ac:dyDescent="0.25">
      <c r="A350" s="21" t="s">
        <v>1624</v>
      </c>
      <c r="B350" s="22" t="s">
        <v>1625</v>
      </c>
      <c r="C350" s="2">
        <v>1</v>
      </c>
      <c r="D350" s="23">
        <v>24</v>
      </c>
      <c r="E350" s="3">
        <v>24</v>
      </c>
      <c r="F350" s="2">
        <v>751172</v>
      </c>
      <c r="G350" s="22" t="s">
        <v>19814</v>
      </c>
      <c r="H350" s="24"/>
      <c r="I350" s="22" t="s">
        <v>19309</v>
      </c>
      <c r="J350" s="22" t="s">
        <v>19417</v>
      </c>
      <c r="K350" s="22" t="s">
        <v>7416</v>
      </c>
      <c r="L350" s="22"/>
      <c r="M350" s="22"/>
      <c r="N350" s="25"/>
    </row>
    <row r="351" spans="1:14" ht="24.75" x14ac:dyDescent="0.25">
      <c r="A351" s="21" t="s">
        <v>1626</v>
      </c>
      <c r="B351" s="22" t="s">
        <v>1627</v>
      </c>
      <c r="C351" s="2">
        <v>1</v>
      </c>
      <c r="D351" s="23">
        <v>21.99</v>
      </c>
      <c r="E351" s="3">
        <v>21.99</v>
      </c>
      <c r="F351" s="2" t="s">
        <v>4639</v>
      </c>
      <c r="G351" s="22" t="s">
        <v>19342</v>
      </c>
      <c r="H351" s="24"/>
      <c r="I351" s="22" t="s">
        <v>19309</v>
      </c>
      <c r="J351" s="22" t="s">
        <v>19385</v>
      </c>
      <c r="K351" s="22" t="s">
        <v>19614</v>
      </c>
      <c r="L351" s="22"/>
      <c r="M351" s="22"/>
      <c r="N351" s="25"/>
    </row>
    <row r="352" spans="1:14" ht="24.75" x14ac:dyDescent="0.25">
      <c r="A352" s="21" t="s">
        <v>1628</v>
      </c>
      <c r="B352" s="22" t="s">
        <v>1629</v>
      </c>
      <c r="C352" s="2">
        <v>1</v>
      </c>
      <c r="D352" s="23">
        <v>15.99</v>
      </c>
      <c r="E352" s="3">
        <v>15.99</v>
      </c>
      <c r="F352" s="2" t="s">
        <v>3420</v>
      </c>
      <c r="G352" s="22"/>
      <c r="H352" s="24" t="s">
        <v>19352</v>
      </c>
      <c r="I352" s="22" t="s">
        <v>19309</v>
      </c>
      <c r="J352" s="22" t="s">
        <v>20076</v>
      </c>
      <c r="K352" s="22" t="s">
        <v>20077</v>
      </c>
      <c r="L352" s="22"/>
      <c r="M352" s="22"/>
      <c r="N352" s="25"/>
    </row>
    <row r="353" spans="1:14" x14ac:dyDescent="0.25">
      <c r="A353" s="21" t="s">
        <v>1630</v>
      </c>
      <c r="B353" s="22" t="s">
        <v>1631</v>
      </c>
      <c r="C353" s="2">
        <v>1</v>
      </c>
      <c r="D353" s="23">
        <v>17.87</v>
      </c>
      <c r="E353" s="3">
        <v>17.87</v>
      </c>
      <c r="F353" s="2" t="s">
        <v>1632</v>
      </c>
      <c r="G353" s="22"/>
      <c r="H353" s="24" t="s">
        <v>20152</v>
      </c>
      <c r="I353" s="22" t="s">
        <v>19309</v>
      </c>
      <c r="J353" s="22" t="s">
        <v>19708</v>
      </c>
      <c r="K353" s="22" t="s">
        <v>19709</v>
      </c>
      <c r="L353" s="22"/>
      <c r="M353" s="22"/>
      <c r="N353" s="25"/>
    </row>
    <row r="354" spans="1:14" ht="24.75" x14ac:dyDescent="0.25">
      <c r="A354" s="21" t="s">
        <v>5388</v>
      </c>
      <c r="B354" s="22" t="s">
        <v>5389</v>
      </c>
      <c r="C354" s="2">
        <v>1</v>
      </c>
      <c r="D354" s="23">
        <v>14.73</v>
      </c>
      <c r="E354" s="3">
        <v>14.73</v>
      </c>
      <c r="F354" s="2" t="s">
        <v>13577</v>
      </c>
      <c r="G354" s="22" t="s">
        <v>17567</v>
      </c>
      <c r="H354" s="24"/>
      <c r="I354" s="22" t="s">
        <v>19309</v>
      </c>
      <c r="J354" s="22" t="s">
        <v>19602</v>
      </c>
      <c r="K354" s="22" t="s">
        <v>20041</v>
      </c>
      <c r="L354" s="22"/>
      <c r="M354" s="22"/>
      <c r="N354" s="25"/>
    </row>
    <row r="355" spans="1:14" ht="24.75" x14ac:dyDescent="0.25">
      <c r="A355" s="21" t="s">
        <v>1633</v>
      </c>
      <c r="B355" s="22" t="s">
        <v>1634</v>
      </c>
      <c r="C355" s="2">
        <v>1</v>
      </c>
      <c r="D355" s="23">
        <v>14.99</v>
      </c>
      <c r="E355" s="3">
        <v>14.99</v>
      </c>
      <c r="F355" s="2" t="s">
        <v>1635</v>
      </c>
      <c r="G355" s="22" t="s">
        <v>19338</v>
      </c>
      <c r="H355" s="24"/>
      <c r="I355" s="22" t="s">
        <v>19309</v>
      </c>
      <c r="J355" s="22" t="s">
        <v>19565</v>
      </c>
      <c r="K355" s="22" t="s">
        <v>17976</v>
      </c>
      <c r="L355" s="22"/>
      <c r="M355" s="22"/>
      <c r="N355" s="25"/>
    </row>
    <row r="356" spans="1:14" ht="24.75" x14ac:dyDescent="0.25">
      <c r="A356" s="21" t="s">
        <v>1636</v>
      </c>
      <c r="B356" s="22" t="s">
        <v>18523</v>
      </c>
      <c r="C356" s="2">
        <v>1</v>
      </c>
      <c r="D356" s="23">
        <v>11.91</v>
      </c>
      <c r="E356" s="3">
        <v>11.91</v>
      </c>
      <c r="F356" s="2" t="s">
        <v>16521</v>
      </c>
      <c r="G356" s="22"/>
      <c r="H356" s="24" t="s">
        <v>19334</v>
      </c>
      <c r="I356" s="22" t="s">
        <v>19309</v>
      </c>
      <c r="J356" s="22" t="s">
        <v>19602</v>
      </c>
      <c r="K356" s="22" t="s">
        <v>20041</v>
      </c>
      <c r="L356" s="22"/>
      <c r="M356" s="22"/>
      <c r="N356" s="25"/>
    </row>
    <row r="357" spans="1:14" ht="24.75" x14ac:dyDescent="0.25">
      <c r="A357" s="21" t="s">
        <v>3684</v>
      </c>
      <c r="B357" s="22" t="s">
        <v>3685</v>
      </c>
      <c r="C357" s="2">
        <v>2</v>
      </c>
      <c r="D357" s="23">
        <v>10.91</v>
      </c>
      <c r="E357" s="3">
        <v>21.82</v>
      </c>
      <c r="F357" s="2" t="s">
        <v>9781</v>
      </c>
      <c r="G357" s="22" t="s">
        <v>19467</v>
      </c>
      <c r="H357" s="24"/>
      <c r="I357" s="22" t="s">
        <v>19309</v>
      </c>
      <c r="J357" s="22" t="s">
        <v>19602</v>
      </c>
      <c r="K357" s="22" t="s">
        <v>20041</v>
      </c>
      <c r="L357" s="22"/>
      <c r="M357" s="22"/>
      <c r="N357" s="25"/>
    </row>
  </sheetData>
  <phoneticPr fontId="0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99"/>
  <sheetViews>
    <sheetView workbookViewId="0">
      <selection activeCell="J10" sqref="J10"/>
    </sheetView>
  </sheetViews>
  <sheetFormatPr defaultRowHeight="15" x14ac:dyDescent="0.25"/>
  <cols>
    <col min="1" max="1" width="14.42578125" customWidth="1"/>
    <col min="2" max="2" width="52.5703125" customWidth="1"/>
    <col min="3" max="4" width="15" customWidth="1"/>
    <col min="5" max="5" width="9.5703125" customWidth="1"/>
    <col min="6" max="6" width="14.42578125" customWidth="1"/>
    <col min="7" max="8" width="11.42578125" customWidth="1"/>
    <col min="9" max="9" width="10.85546875" customWidth="1"/>
    <col min="10" max="10" width="12.140625" customWidth="1"/>
    <col min="11" max="11" width="36.5703125" bestFit="1" customWidth="1"/>
    <col min="12" max="13" width="20.5703125" customWidth="1"/>
    <col min="14" max="14" width="64.42578125" customWidth="1"/>
  </cols>
  <sheetData>
    <row r="1" spans="1:14" ht="36" x14ac:dyDescent="0.25">
      <c r="A1" s="1" t="s">
        <v>19291</v>
      </c>
      <c r="B1" s="1" t="s">
        <v>19292</v>
      </c>
      <c r="C1" s="1" t="s">
        <v>19293</v>
      </c>
      <c r="D1" s="1" t="s">
        <v>19284</v>
      </c>
      <c r="E1" s="1" t="s">
        <v>19294</v>
      </c>
      <c r="F1" s="1" t="s">
        <v>19295</v>
      </c>
      <c r="G1" s="1" t="s">
        <v>19296</v>
      </c>
      <c r="H1" s="1" t="s">
        <v>19297</v>
      </c>
      <c r="I1" s="1" t="s">
        <v>19298</v>
      </c>
      <c r="J1" s="1" t="s">
        <v>19299</v>
      </c>
      <c r="K1" s="1" t="s">
        <v>19300</v>
      </c>
      <c r="L1" s="1" t="s">
        <v>19301</v>
      </c>
      <c r="M1" s="1" t="s">
        <v>19302</v>
      </c>
      <c r="N1" s="1" t="s">
        <v>19303</v>
      </c>
    </row>
    <row r="2" spans="1:14" ht="24.75" x14ac:dyDescent="0.25">
      <c r="A2" s="21" t="s">
        <v>1637</v>
      </c>
      <c r="B2" s="22" t="s">
        <v>1638</v>
      </c>
      <c r="C2" s="2">
        <v>1</v>
      </c>
      <c r="D2" s="23">
        <v>79.5</v>
      </c>
      <c r="E2" s="3">
        <v>79.5</v>
      </c>
      <c r="F2" s="2">
        <v>323870958001</v>
      </c>
      <c r="G2" s="22" t="s">
        <v>19333</v>
      </c>
      <c r="H2" s="24" t="s">
        <v>19364</v>
      </c>
      <c r="I2" s="22" t="s">
        <v>19309</v>
      </c>
      <c r="J2" s="22" t="s">
        <v>19335</v>
      </c>
      <c r="K2" s="22" t="s">
        <v>19326</v>
      </c>
      <c r="L2" s="22"/>
      <c r="M2" s="22"/>
      <c r="N2" s="25" t="str">
        <f>HYPERLINK("http://slimages.macys.com/is/image/MCY/21850691 ")</f>
        <v xml:space="preserve">http://slimages.macys.com/is/image/MCY/21850691 </v>
      </c>
    </row>
    <row r="3" spans="1:14" ht="24.75" x14ac:dyDescent="0.25">
      <c r="A3" s="21" t="s">
        <v>1639</v>
      </c>
      <c r="B3" s="22" t="s">
        <v>1640</v>
      </c>
      <c r="C3" s="2">
        <v>1</v>
      </c>
      <c r="D3" s="23">
        <v>59.5</v>
      </c>
      <c r="E3" s="3">
        <v>59.5</v>
      </c>
      <c r="F3" s="2">
        <v>313853406002</v>
      </c>
      <c r="G3" s="22" t="s">
        <v>19333</v>
      </c>
      <c r="H3" s="24" t="s">
        <v>19797</v>
      </c>
      <c r="I3" s="22" t="s">
        <v>19309</v>
      </c>
      <c r="J3" s="22" t="s">
        <v>19389</v>
      </c>
      <c r="K3" s="22" t="s">
        <v>19326</v>
      </c>
      <c r="L3" s="22"/>
      <c r="M3" s="22"/>
      <c r="N3" s="25" t="str">
        <f>HYPERLINK("http://slimages.macys.com/is/image/MCY/20469897 ")</f>
        <v xml:space="preserve">http://slimages.macys.com/is/image/MCY/20469897 </v>
      </c>
    </row>
    <row r="4" spans="1:14" ht="24.75" x14ac:dyDescent="0.25">
      <c r="A4" s="21" t="s">
        <v>1641</v>
      </c>
      <c r="B4" s="22" t="s">
        <v>1642</v>
      </c>
      <c r="C4" s="2">
        <v>1</v>
      </c>
      <c r="D4" s="23">
        <v>58.99</v>
      </c>
      <c r="E4" s="3">
        <v>58.99</v>
      </c>
      <c r="F4" s="2" t="s">
        <v>19306</v>
      </c>
      <c r="G4" s="22" t="s">
        <v>19338</v>
      </c>
      <c r="H4" s="24" t="s">
        <v>19364</v>
      </c>
      <c r="I4" s="22" t="s">
        <v>19309</v>
      </c>
      <c r="J4" s="22" t="s">
        <v>19310</v>
      </c>
      <c r="K4" s="22" t="s">
        <v>19311</v>
      </c>
      <c r="L4" s="22"/>
      <c r="M4" s="22"/>
      <c r="N4" s="25" t="str">
        <f>HYPERLINK("http://slimages.macys.com/is/image/MCY/18618521 ")</f>
        <v xml:space="preserve">http://slimages.macys.com/is/image/MCY/18618521 </v>
      </c>
    </row>
    <row r="5" spans="1:14" ht="36.75" x14ac:dyDescent="0.25">
      <c r="A5" s="21" t="s">
        <v>1643</v>
      </c>
      <c r="B5" s="22" t="s">
        <v>1644</v>
      </c>
      <c r="C5" s="2">
        <v>1</v>
      </c>
      <c r="D5" s="23">
        <v>49.5</v>
      </c>
      <c r="E5" s="3">
        <v>49.5</v>
      </c>
      <c r="F5" s="2">
        <v>323864092001</v>
      </c>
      <c r="G5" s="22" t="s">
        <v>19351</v>
      </c>
      <c r="H5" s="24" t="s">
        <v>15738</v>
      </c>
      <c r="I5" s="22" t="s">
        <v>19309</v>
      </c>
      <c r="J5" s="22" t="s">
        <v>19335</v>
      </c>
      <c r="K5" s="22" t="s">
        <v>19326</v>
      </c>
      <c r="L5" s="22" t="s">
        <v>19319</v>
      </c>
      <c r="M5" s="22" t="s">
        <v>14512</v>
      </c>
      <c r="N5" s="25" t="str">
        <f>HYPERLINK("http://images.bloomingdales.com/is/image/BLM/12289720 ")</f>
        <v xml:space="preserve">http://images.bloomingdales.com/is/image/BLM/12289720 </v>
      </c>
    </row>
    <row r="6" spans="1:14" ht="24.75" x14ac:dyDescent="0.25">
      <c r="A6" s="21" t="s">
        <v>1645</v>
      </c>
      <c r="B6" s="22" t="s">
        <v>1646</v>
      </c>
      <c r="C6" s="2">
        <v>1</v>
      </c>
      <c r="D6" s="23">
        <v>55</v>
      </c>
      <c r="E6" s="3">
        <v>55</v>
      </c>
      <c r="F6" s="2">
        <v>323870132001</v>
      </c>
      <c r="G6" s="22" t="s">
        <v>19333</v>
      </c>
      <c r="H6" s="24" t="s">
        <v>15803</v>
      </c>
      <c r="I6" s="22" t="s">
        <v>19309</v>
      </c>
      <c r="J6" s="22" t="s">
        <v>19335</v>
      </c>
      <c r="K6" s="22" t="s">
        <v>19326</v>
      </c>
      <c r="L6" s="22"/>
      <c r="M6" s="22"/>
      <c r="N6" s="25" t="str">
        <f>HYPERLINK("http://slimages.macys.com/is/image/MCY/21990669 ")</f>
        <v xml:space="preserve">http://slimages.macys.com/is/image/MCY/21990669 </v>
      </c>
    </row>
    <row r="7" spans="1:14" ht="24.75" x14ac:dyDescent="0.25">
      <c r="A7" s="21" t="s">
        <v>1647</v>
      </c>
      <c r="B7" s="22" t="s">
        <v>1648</v>
      </c>
      <c r="C7" s="2">
        <v>1</v>
      </c>
      <c r="D7" s="23">
        <v>49.5</v>
      </c>
      <c r="E7" s="3">
        <v>49.5</v>
      </c>
      <c r="F7" s="2">
        <v>312856380002</v>
      </c>
      <c r="G7" s="22" t="s">
        <v>19879</v>
      </c>
      <c r="H7" s="24" t="s">
        <v>19377</v>
      </c>
      <c r="I7" s="22" t="s">
        <v>19309</v>
      </c>
      <c r="J7" s="22" t="s">
        <v>19389</v>
      </c>
      <c r="K7" s="22" t="s">
        <v>19326</v>
      </c>
      <c r="L7" s="22"/>
      <c r="M7" s="22"/>
      <c r="N7" s="25" t="str">
        <f>HYPERLINK("http://slimages.macys.com/is/image/MCY/20750405 ")</f>
        <v xml:space="preserve">http://slimages.macys.com/is/image/MCY/20750405 </v>
      </c>
    </row>
    <row r="8" spans="1:14" ht="24.75" x14ac:dyDescent="0.25">
      <c r="A8" s="21" t="s">
        <v>1649</v>
      </c>
      <c r="B8" s="22" t="s">
        <v>1650</v>
      </c>
      <c r="C8" s="2">
        <v>1</v>
      </c>
      <c r="D8" s="23">
        <v>49.5</v>
      </c>
      <c r="E8" s="3">
        <v>49.5</v>
      </c>
      <c r="F8" s="2">
        <v>323870926001</v>
      </c>
      <c r="G8" s="22" t="s">
        <v>19594</v>
      </c>
      <c r="H8" s="24" t="s">
        <v>19364</v>
      </c>
      <c r="I8" s="22" t="s">
        <v>19309</v>
      </c>
      <c r="J8" s="22" t="s">
        <v>19335</v>
      </c>
      <c r="K8" s="22" t="s">
        <v>19326</v>
      </c>
      <c r="L8" s="22"/>
      <c r="M8" s="22"/>
      <c r="N8" s="25" t="str">
        <f>HYPERLINK("http://slimages.macys.com/is/image/MCY/21850617 ")</f>
        <v xml:space="preserve">http://slimages.macys.com/is/image/MCY/21850617 </v>
      </c>
    </row>
    <row r="9" spans="1:14" ht="24.75" x14ac:dyDescent="0.25">
      <c r="A9" s="21" t="s">
        <v>1651</v>
      </c>
      <c r="B9" s="22" t="s">
        <v>0</v>
      </c>
      <c r="C9" s="2">
        <v>1</v>
      </c>
      <c r="D9" s="23">
        <v>49.5</v>
      </c>
      <c r="E9" s="3">
        <v>49.5</v>
      </c>
      <c r="F9" s="2">
        <v>323870967001</v>
      </c>
      <c r="G9" s="22" t="s">
        <v>19333</v>
      </c>
      <c r="H9" s="24" t="s">
        <v>19352</v>
      </c>
      <c r="I9" s="22" t="s">
        <v>19309</v>
      </c>
      <c r="J9" s="22" t="s">
        <v>19335</v>
      </c>
      <c r="K9" s="22" t="s">
        <v>19326</v>
      </c>
      <c r="L9" s="22"/>
      <c r="M9" s="22"/>
      <c r="N9" s="25" t="str">
        <f>HYPERLINK("http://slimages.macys.com/is/image/MCY/21990635 ")</f>
        <v xml:space="preserve">http://slimages.macys.com/is/image/MCY/21990635 </v>
      </c>
    </row>
    <row r="10" spans="1:14" ht="24.75" x14ac:dyDescent="0.25">
      <c r="A10" s="21" t="s">
        <v>1</v>
      </c>
      <c r="B10" s="22" t="s">
        <v>2</v>
      </c>
      <c r="C10" s="2">
        <v>1</v>
      </c>
      <c r="D10" s="23">
        <v>59.99</v>
      </c>
      <c r="E10" s="3">
        <v>59.99</v>
      </c>
      <c r="F10" s="2" t="s">
        <v>3</v>
      </c>
      <c r="G10" s="22" t="s">
        <v>19674</v>
      </c>
      <c r="H10" s="24" t="s">
        <v>11751</v>
      </c>
      <c r="I10" s="22" t="s">
        <v>19309</v>
      </c>
      <c r="J10" s="22" t="s">
        <v>15506</v>
      </c>
      <c r="K10" s="22" t="s">
        <v>19614</v>
      </c>
      <c r="L10" s="22"/>
      <c r="M10" s="22"/>
      <c r="N10" s="25" t="str">
        <f>HYPERLINK("http://slimages.macys.com/is/image/MCY/18006910 ")</f>
        <v xml:space="preserve">http://slimages.macys.com/is/image/MCY/18006910 </v>
      </c>
    </row>
    <row r="11" spans="1:14" ht="24.75" x14ac:dyDescent="0.25">
      <c r="A11" s="21" t="s">
        <v>4</v>
      </c>
      <c r="B11" s="22" t="s">
        <v>5</v>
      </c>
      <c r="C11" s="2">
        <v>1</v>
      </c>
      <c r="D11" s="23">
        <v>45</v>
      </c>
      <c r="E11" s="3">
        <v>45</v>
      </c>
      <c r="F11" s="2">
        <v>313864569001</v>
      </c>
      <c r="G11" s="22" t="s">
        <v>19351</v>
      </c>
      <c r="H11" s="24" t="s">
        <v>19339</v>
      </c>
      <c r="I11" s="22" t="s">
        <v>19309</v>
      </c>
      <c r="J11" s="22" t="s">
        <v>19389</v>
      </c>
      <c r="K11" s="22" t="s">
        <v>19326</v>
      </c>
      <c r="L11" s="22"/>
      <c r="M11" s="22"/>
      <c r="N11" s="25" t="str">
        <f>HYPERLINK("http://slimages.macys.com/is/image/MCY/21793976 ")</f>
        <v xml:space="preserve">http://slimages.macys.com/is/image/MCY/21793976 </v>
      </c>
    </row>
    <row r="12" spans="1:14" ht="24.75" x14ac:dyDescent="0.25">
      <c r="A12" s="21" t="s">
        <v>6</v>
      </c>
      <c r="B12" s="22" t="s">
        <v>7</v>
      </c>
      <c r="C12" s="2">
        <v>1</v>
      </c>
      <c r="D12" s="23">
        <v>45</v>
      </c>
      <c r="E12" s="3">
        <v>45</v>
      </c>
      <c r="F12" s="2">
        <v>322870933001</v>
      </c>
      <c r="G12" s="22" t="s">
        <v>19338</v>
      </c>
      <c r="H12" s="24" t="s">
        <v>19542</v>
      </c>
      <c r="I12" s="22" t="s">
        <v>19309</v>
      </c>
      <c r="J12" s="22" t="s">
        <v>19335</v>
      </c>
      <c r="K12" s="22" t="s">
        <v>19326</v>
      </c>
      <c r="L12" s="22"/>
      <c r="M12" s="22"/>
      <c r="N12" s="25" t="str">
        <f>HYPERLINK("http://slimages.macys.com/is/image/MCY/21850511 ")</f>
        <v xml:space="preserve">http://slimages.macys.com/is/image/MCY/21850511 </v>
      </c>
    </row>
    <row r="13" spans="1:14" ht="24.75" x14ac:dyDescent="0.25">
      <c r="A13" s="21" t="s">
        <v>11300</v>
      </c>
      <c r="B13" s="22" t="s">
        <v>11301</v>
      </c>
      <c r="C13" s="2">
        <v>1</v>
      </c>
      <c r="D13" s="23">
        <v>39.5</v>
      </c>
      <c r="E13" s="3">
        <v>39.5</v>
      </c>
      <c r="F13" s="2">
        <v>323842275003</v>
      </c>
      <c r="G13" s="22" t="s">
        <v>19351</v>
      </c>
      <c r="H13" s="24" t="s">
        <v>19352</v>
      </c>
      <c r="I13" s="22" t="s">
        <v>19309</v>
      </c>
      <c r="J13" s="22" t="s">
        <v>19335</v>
      </c>
      <c r="K13" s="22" t="s">
        <v>19326</v>
      </c>
      <c r="L13" s="22"/>
      <c r="M13" s="22"/>
      <c r="N13" s="25" t="str">
        <f>HYPERLINK("http://slimages.macys.com/is/image/MCY/19469113 ")</f>
        <v xml:space="preserve">http://slimages.macys.com/is/image/MCY/19469113 </v>
      </c>
    </row>
    <row r="14" spans="1:14" x14ac:dyDescent="0.25">
      <c r="A14" s="21" t="s">
        <v>8</v>
      </c>
      <c r="B14" s="22" t="s">
        <v>9</v>
      </c>
      <c r="C14" s="2">
        <v>1</v>
      </c>
      <c r="D14" s="23">
        <v>33.99</v>
      </c>
      <c r="E14" s="3">
        <v>33.99</v>
      </c>
      <c r="F14" s="2" t="s">
        <v>10</v>
      </c>
      <c r="G14" s="22" t="s">
        <v>19338</v>
      </c>
      <c r="H14" s="24" t="s">
        <v>19345</v>
      </c>
      <c r="I14" s="22" t="s">
        <v>19309</v>
      </c>
      <c r="J14" s="22" t="s">
        <v>19310</v>
      </c>
      <c r="K14" s="22" t="s">
        <v>19433</v>
      </c>
      <c r="L14" s="22"/>
      <c r="M14" s="22"/>
      <c r="N14" s="25" t="str">
        <f>HYPERLINK("http://slimages.macys.com/is/image/MCY/20320418 ")</f>
        <v xml:space="preserve">http://slimages.macys.com/is/image/MCY/20320418 </v>
      </c>
    </row>
    <row r="15" spans="1:14" ht="24.75" x14ac:dyDescent="0.25">
      <c r="A15" s="21" t="s">
        <v>11</v>
      </c>
      <c r="B15" s="22" t="s">
        <v>12</v>
      </c>
      <c r="C15" s="2">
        <v>1</v>
      </c>
      <c r="D15" s="23">
        <v>40.99</v>
      </c>
      <c r="E15" s="3">
        <v>40.99</v>
      </c>
      <c r="F15" s="2" t="s">
        <v>13</v>
      </c>
      <c r="G15" s="22" t="s">
        <v>18073</v>
      </c>
      <c r="H15" s="24" t="s">
        <v>19361</v>
      </c>
      <c r="I15" s="22" t="s">
        <v>19309</v>
      </c>
      <c r="J15" s="22" t="s">
        <v>19447</v>
      </c>
      <c r="K15" s="22" t="s">
        <v>13616</v>
      </c>
      <c r="L15" s="22"/>
      <c r="M15" s="22"/>
      <c r="N15" s="25" t="str">
        <f>HYPERLINK("http://slimages.macys.com/is/image/MCY/20789789 ")</f>
        <v xml:space="preserve">http://slimages.macys.com/is/image/MCY/20789789 </v>
      </c>
    </row>
    <row r="16" spans="1:14" ht="24.75" x14ac:dyDescent="0.25">
      <c r="A16" s="21" t="s">
        <v>14</v>
      </c>
      <c r="B16" s="22" t="s">
        <v>15</v>
      </c>
      <c r="C16" s="2">
        <v>1</v>
      </c>
      <c r="D16" s="23">
        <v>40.99</v>
      </c>
      <c r="E16" s="3">
        <v>40.99</v>
      </c>
      <c r="F16" s="2" t="s">
        <v>16</v>
      </c>
      <c r="G16" s="22" t="s">
        <v>19415</v>
      </c>
      <c r="H16" s="24" t="s">
        <v>19345</v>
      </c>
      <c r="I16" s="22" t="s">
        <v>19309</v>
      </c>
      <c r="J16" s="22" t="s">
        <v>19447</v>
      </c>
      <c r="K16" s="22" t="s">
        <v>13616</v>
      </c>
      <c r="L16" s="22"/>
      <c r="M16" s="22"/>
      <c r="N16" s="25" t="str">
        <f>HYPERLINK("http://slimages.macys.com/is/image/MCY/20789822 ")</f>
        <v xml:space="preserve">http://slimages.macys.com/is/image/MCY/20789822 </v>
      </c>
    </row>
    <row r="17" spans="1:14" ht="24.75" x14ac:dyDescent="0.25">
      <c r="A17" s="21" t="s">
        <v>17</v>
      </c>
      <c r="B17" s="22" t="s">
        <v>18</v>
      </c>
      <c r="C17" s="2">
        <v>1</v>
      </c>
      <c r="D17" s="23">
        <v>39.5</v>
      </c>
      <c r="E17" s="3">
        <v>39.5</v>
      </c>
      <c r="F17" s="2">
        <v>322863948006</v>
      </c>
      <c r="G17" s="22" t="s">
        <v>19333</v>
      </c>
      <c r="H17" s="24" t="s">
        <v>19542</v>
      </c>
      <c r="I17" s="22" t="s">
        <v>19309</v>
      </c>
      <c r="J17" s="22" t="s">
        <v>19335</v>
      </c>
      <c r="K17" s="22" t="s">
        <v>19326</v>
      </c>
      <c r="L17" s="22"/>
      <c r="M17" s="22"/>
      <c r="N17" s="25" t="str">
        <f>HYPERLINK("http://slimages.macys.com/is/image/MCY/21177372 ")</f>
        <v xml:space="preserve">http://slimages.macys.com/is/image/MCY/21177372 </v>
      </c>
    </row>
    <row r="18" spans="1:14" ht="24.75" x14ac:dyDescent="0.25">
      <c r="A18" s="21" t="s">
        <v>19</v>
      </c>
      <c r="B18" s="22" t="s">
        <v>20</v>
      </c>
      <c r="C18" s="2">
        <v>1</v>
      </c>
      <c r="D18" s="23">
        <v>39.5</v>
      </c>
      <c r="E18" s="3">
        <v>39.5</v>
      </c>
      <c r="F18" s="2">
        <v>310833416004</v>
      </c>
      <c r="G18" s="22" t="s">
        <v>19333</v>
      </c>
      <c r="H18" s="24" t="s">
        <v>20159</v>
      </c>
      <c r="I18" s="22" t="s">
        <v>19309</v>
      </c>
      <c r="J18" s="22" t="s">
        <v>19325</v>
      </c>
      <c r="K18" s="22" t="s">
        <v>19326</v>
      </c>
      <c r="L18" s="22"/>
      <c r="M18" s="22"/>
      <c r="N18" s="25" t="str">
        <f>HYPERLINK("http://slimages.macys.com/is/image/MCY/18467891 ")</f>
        <v xml:space="preserve">http://slimages.macys.com/is/image/MCY/18467891 </v>
      </c>
    </row>
    <row r="19" spans="1:14" ht="24.75" x14ac:dyDescent="0.25">
      <c r="A19" s="21" t="s">
        <v>11309</v>
      </c>
      <c r="B19" s="22" t="s">
        <v>21</v>
      </c>
      <c r="C19" s="2">
        <v>1</v>
      </c>
      <c r="D19" s="23">
        <v>39.5</v>
      </c>
      <c r="E19" s="3">
        <v>39.5</v>
      </c>
      <c r="F19" s="2">
        <v>323861435003</v>
      </c>
      <c r="G19" s="22" t="s">
        <v>19338</v>
      </c>
      <c r="H19" s="24" t="s">
        <v>19364</v>
      </c>
      <c r="I19" s="22" t="s">
        <v>19309</v>
      </c>
      <c r="J19" s="22" t="s">
        <v>19335</v>
      </c>
      <c r="K19" s="22" t="s">
        <v>19326</v>
      </c>
      <c r="L19" s="22"/>
      <c r="M19" s="22"/>
      <c r="N19" s="25" t="str">
        <f>HYPERLINK("http://slimages.macys.com/is/image/MCY/21850596 ")</f>
        <v xml:space="preserve">http://slimages.macys.com/is/image/MCY/21850596 </v>
      </c>
    </row>
    <row r="20" spans="1:14" ht="24.75" x14ac:dyDescent="0.25">
      <c r="A20" s="21" t="s">
        <v>22</v>
      </c>
      <c r="B20" s="22" t="s">
        <v>23</v>
      </c>
      <c r="C20" s="2">
        <v>1</v>
      </c>
      <c r="D20" s="23">
        <v>39.5</v>
      </c>
      <c r="E20" s="3">
        <v>39.5</v>
      </c>
      <c r="F20" s="2">
        <v>323806003014</v>
      </c>
      <c r="G20" s="22" t="s">
        <v>19333</v>
      </c>
      <c r="H20" s="24" t="s">
        <v>19352</v>
      </c>
      <c r="I20" s="22" t="s">
        <v>19309</v>
      </c>
      <c r="J20" s="22" t="s">
        <v>19335</v>
      </c>
      <c r="K20" s="22" t="s">
        <v>19326</v>
      </c>
      <c r="L20" s="22"/>
      <c r="M20" s="22"/>
      <c r="N20" s="25" t="str">
        <f>HYPERLINK("http://slimages.macys.com/is/image/MCY/20655170 ")</f>
        <v xml:space="preserve">http://slimages.macys.com/is/image/MCY/20655170 </v>
      </c>
    </row>
    <row r="21" spans="1:14" ht="24.75" x14ac:dyDescent="0.25">
      <c r="A21" s="21" t="s">
        <v>24</v>
      </c>
      <c r="B21" s="22" t="s">
        <v>25</v>
      </c>
      <c r="C21" s="2">
        <v>1</v>
      </c>
      <c r="D21" s="23">
        <v>39.5</v>
      </c>
      <c r="E21" s="3">
        <v>39.5</v>
      </c>
      <c r="F21" s="2">
        <v>322844626003</v>
      </c>
      <c r="G21" s="22" t="s">
        <v>19333</v>
      </c>
      <c r="H21" s="24" t="s">
        <v>19432</v>
      </c>
      <c r="I21" s="22" t="s">
        <v>19309</v>
      </c>
      <c r="J21" s="22" t="s">
        <v>19335</v>
      </c>
      <c r="K21" s="22" t="s">
        <v>19326</v>
      </c>
      <c r="L21" s="22"/>
      <c r="M21" s="22"/>
      <c r="N21" s="25" t="str">
        <f>HYPERLINK("http://slimages.macys.com/is/image/MCY/21850438 ")</f>
        <v xml:space="preserve">http://slimages.macys.com/is/image/MCY/21850438 </v>
      </c>
    </row>
    <row r="22" spans="1:14" ht="24.75" x14ac:dyDescent="0.25">
      <c r="A22" s="21" t="s">
        <v>4052</v>
      </c>
      <c r="B22" s="22" t="s">
        <v>4053</v>
      </c>
      <c r="C22" s="2">
        <v>1</v>
      </c>
      <c r="D22" s="23">
        <v>39.5</v>
      </c>
      <c r="E22" s="3">
        <v>39.5</v>
      </c>
      <c r="F22" s="2">
        <v>321866776015</v>
      </c>
      <c r="G22" s="22" t="s">
        <v>19351</v>
      </c>
      <c r="H22" s="24" t="s">
        <v>19392</v>
      </c>
      <c r="I22" s="22" t="s">
        <v>19309</v>
      </c>
      <c r="J22" s="22" t="s">
        <v>19335</v>
      </c>
      <c r="K22" s="22" t="s">
        <v>19326</v>
      </c>
      <c r="L22" s="22"/>
      <c r="M22" s="22"/>
      <c r="N22" s="25" t="str">
        <f>HYPERLINK("http://slimages.macys.com/is/image/MCY/22269125 ")</f>
        <v xml:space="preserve">http://slimages.macys.com/is/image/MCY/22269125 </v>
      </c>
    </row>
    <row r="23" spans="1:14" x14ac:dyDescent="0.25">
      <c r="A23" s="21" t="s">
        <v>26</v>
      </c>
      <c r="B23" s="22" t="s">
        <v>27</v>
      </c>
      <c r="C23" s="2">
        <v>1</v>
      </c>
      <c r="D23" s="23">
        <v>40</v>
      </c>
      <c r="E23" s="3">
        <v>40</v>
      </c>
      <c r="F23" s="2">
        <v>1357577</v>
      </c>
      <c r="G23" s="22" t="s">
        <v>19357</v>
      </c>
      <c r="H23" s="24" t="s">
        <v>19308</v>
      </c>
      <c r="I23" s="22" t="s">
        <v>19309</v>
      </c>
      <c r="J23" s="22" t="s">
        <v>19310</v>
      </c>
      <c r="K23" s="22" t="s">
        <v>17686</v>
      </c>
      <c r="L23" s="22"/>
      <c r="M23" s="22"/>
      <c r="N23" s="25" t="str">
        <f>HYPERLINK("http://slimages.macys.com/is/image/MCY/18072944 ")</f>
        <v xml:space="preserve">http://slimages.macys.com/is/image/MCY/18072944 </v>
      </c>
    </row>
    <row r="24" spans="1:14" ht="24.75" x14ac:dyDescent="0.25">
      <c r="A24" s="21" t="s">
        <v>28</v>
      </c>
      <c r="B24" s="22" t="s">
        <v>29</v>
      </c>
      <c r="C24" s="2">
        <v>2</v>
      </c>
      <c r="D24" s="23">
        <v>29.99</v>
      </c>
      <c r="E24" s="3">
        <v>59.98</v>
      </c>
      <c r="F24" s="2" t="s">
        <v>30</v>
      </c>
      <c r="G24" s="22" t="s">
        <v>19431</v>
      </c>
      <c r="H24" s="24" t="s">
        <v>15803</v>
      </c>
      <c r="I24" s="22" t="s">
        <v>19309</v>
      </c>
      <c r="J24" s="22" t="s">
        <v>19405</v>
      </c>
      <c r="K24" s="22" t="s">
        <v>19406</v>
      </c>
      <c r="L24" s="22" t="s">
        <v>19319</v>
      </c>
      <c r="M24" s="22" t="s">
        <v>20251</v>
      </c>
      <c r="N24" s="25" t="str">
        <f>HYPERLINK("http://slimages.macys.com/is/image/MCY/15967849 ")</f>
        <v xml:space="preserve">http://slimages.macys.com/is/image/MCY/15967849 </v>
      </c>
    </row>
    <row r="25" spans="1:14" ht="24.75" x14ac:dyDescent="0.25">
      <c r="A25" s="21" t="s">
        <v>31</v>
      </c>
      <c r="B25" s="22" t="s">
        <v>32</v>
      </c>
      <c r="C25" s="2">
        <v>1</v>
      </c>
      <c r="D25" s="23">
        <v>44.99</v>
      </c>
      <c r="E25" s="3">
        <v>44.99</v>
      </c>
      <c r="F25" s="2" t="s">
        <v>15090</v>
      </c>
      <c r="G25" s="22" t="s">
        <v>19351</v>
      </c>
      <c r="H25" s="24" t="s">
        <v>19316</v>
      </c>
      <c r="I25" s="22" t="s">
        <v>19309</v>
      </c>
      <c r="J25" s="22" t="s">
        <v>19400</v>
      </c>
      <c r="K25" s="22" t="s">
        <v>19423</v>
      </c>
      <c r="L25" s="22"/>
      <c r="M25" s="22"/>
      <c r="N25" s="25" t="str">
        <f>HYPERLINK("http://slimages.macys.com/is/image/MCY/21306146 ")</f>
        <v xml:space="preserve">http://slimages.macys.com/is/image/MCY/21306146 </v>
      </c>
    </row>
    <row r="26" spans="1:14" ht="24.75" x14ac:dyDescent="0.25">
      <c r="A26" s="21" t="s">
        <v>33</v>
      </c>
      <c r="B26" s="22" t="s">
        <v>34</v>
      </c>
      <c r="C26" s="2">
        <v>1</v>
      </c>
      <c r="D26" s="23">
        <v>32.99</v>
      </c>
      <c r="E26" s="3">
        <v>32.99</v>
      </c>
      <c r="F26" s="2" t="s">
        <v>35</v>
      </c>
      <c r="G26" s="22" t="s">
        <v>19528</v>
      </c>
      <c r="H26" s="24" t="s">
        <v>19501</v>
      </c>
      <c r="I26" s="22" t="s">
        <v>19309</v>
      </c>
      <c r="J26" s="22" t="s">
        <v>19317</v>
      </c>
      <c r="K26" s="22" t="s">
        <v>17515</v>
      </c>
      <c r="L26" s="22" t="s">
        <v>19319</v>
      </c>
      <c r="M26" s="22" t="s">
        <v>13074</v>
      </c>
      <c r="N26" s="25" t="str">
        <f>HYPERLINK("http://slimages.macys.com/is/image/MCY/3727357 ")</f>
        <v xml:space="preserve">http://slimages.macys.com/is/image/MCY/3727357 </v>
      </c>
    </row>
    <row r="27" spans="1:14" ht="24.75" x14ac:dyDescent="0.25">
      <c r="A27" s="21" t="s">
        <v>36</v>
      </c>
      <c r="B27" s="22" t="s">
        <v>37</v>
      </c>
      <c r="C27" s="2">
        <v>1</v>
      </c>
      <c r="D27" s="23">
        <v>35</v>
      </c>
      <c r="E27" s="3">
        <v>35</v>
      </c>
      <c r="F27" s="2">
        <v>322867158053</v>
      </c>
      <c r="G27" s="22" t="s">
        <v>19338</v>
      </c>
      <c r="H27" s="24" t="s">
        <v>19395</v>
      </c>
      <c r="I27" s="22" t="s">
        <v>19309</v>
      </c>
      <c r="J27" s="22" t="s">
        <v>19335</v>
      </c>
      <c r="K27" s="22" t="s">
        <v>19326</v>
      </c>
      <c r="L27" s="22"/>
      <c r="M27" s="22"/>
      <c r="N27" s="25" t="str">
        <f>HYPERLINK("http://slimages.macys.com/is/image/MCY/22540845 ")</f>
        <v xml:space="preserve">http://slimages.macys.com/is/image/MCY/22540845 </v>
      </c>
    </row>
    <row r="28" spans="1:14" ht="24.75" x14ac:dyDescent="0.25">
      <c r="A28" s="21" t="s">
        <v>38</v>
      </c>
      <c r="B28" s="22" t="s">
        <v>39</v>
      </c>
      <c r="C28" s="2">
        <v>1</v>
      </c>
      <c r="D28" s="23">
        <v>35</v>
      </c>
      <c r="E28" s="3">
        <v>35</v>
      </c>
      <c r="F28" s="2">
        <v>321867158072</v>
      </c>
      <c r="G28" s="22" t="s">
        <v>19315</v>
      </c>
      <c r="H28" s="24" t="s">
        <v>19392</v>
      </c>
      <c r="I28" s="22" t="s">
        <v>19309</v>
      </c>
      <c r="J28" s="22" t="s">
        <v>19335</v>
      </c>
      <c r="K28" s="22" t="s">
        <v>19326</v>
      </c>
      <c r="L28" s="22"/>
      <c r="M28" s="22"/>
      <c r="N28" s="25" t="str">
        <f>HYPERLINK("http://slimages.macys.com/is/image/MCY/22269128 ")</f>
        <v xml:space="preserve">http://slimages.macys.com/is/image/MCY/22269128 </v>
      </c>
    </row>
    <row r="29" spans="1:14" ht="24.75" x14ac:dyDescent="0.25">
      <c r="A29" s="21" t="s">
        <v>40</v>
      </c>
      <c r="B29" s="22" t="s">
        <v>41</v>
      </c>
      <c r="C29" s="2">
        <v>1</v>
      </c>
      <c r="D29" s="23">
        <v>35</v>
      </c>
      <c r="E29" s="3">
        <v>35</v>
      </c>
      <c r="F29" s="2">
        <v>322867158068</v>
      </c>
      <c r="G29" s="22" t="s">
        <v>19342</v>
      </c>
      <c r="H29" s="24" t="s">
        <v>19542</v>
      </c>
      <c r="I29" s="22" t="s">
        <v>19309</v>
      </c>
      <c r="J29" s="22" t="s">
        <v>19335</v>
      </c>
      <c r="K29" s="22" t="s">
        <v>19326</v>
      </c>
      <c r="L29" s="22"/>
      <c r="M29" s="22"/>
      <c r="N29" s="25" t="str">
        <f>HYPERLINK("http://slimages.macys.com/is/image/MCY/22268733 ")</f>
        <v xml:space="preserve">http://slimages.macys.com/is/image/MCY/22268733 </v>
      </c>
    </row>
    <row r="30" spans="1:14" ht="24.75" x14ac:dyDescent="0.25">
      <c r="A30" s="21" t="s">
        <v>7272</v>
      </c>
      <c r="B30" s="22" t="s">
        <v>7273</v>
      </c>
      <c r="C30" s="2">
        <v>2</v>
      </c>
      <c r="D30" s="23">
        <v>35</v>
      </c>
      <c r="E30" s="3">
        <v>70</v>
      </c>
      <c r="F30" s="2">
        <v>321867158051</v>
      </c>
      <c r="G30" s="22" t="s">
        <v>19338</v>
      </c>
      <c r="H30" s="24" t="s">
        <v>19392</v>
      </c>
      <c r="I30" s="22" t="s">
        <v>19309</v>
      </c>
      <c r="J30" s="22" t="s">
        <v>19335</v>
      </c>
      <c r="K30" s="22" t="s">
        <v>19326</v>
      </c>
      <c r="L30" s="22"/>
      <c r="M30" s="22"/>
      <c r="N30" s="25" t="str">
        <f>HYPERLINK("http://slimages.macys.com/is/image/MCY/21997344 ")</f>
        <v xml:space="preserve">http://slimages.macys.com/is/image/MCY/21997344 </v>
      </c>
    </row>
    <row r="31" spans="1:14" ht="24.75" x14ac:dyDescent="0.25">
      <c r="A31" s="21" t="s">
        <v>42</v>
      </c>
      <c r="B31" s="22" t="s">
        <v>43</v>
      </c>
      <c r="C31" s="2">
        <v>1</v>
      </c>
      <c r="D31" s="23">
        <v>35</v>
      </c>
      <c r="E31" s="3">
        <v>35</v>
      </c>
      <c r="F31" s="2">
        <v>322873970001</v>
      </c>
      <c r="G31" s="22" t="s">
        <v>19357</v>
      </c>
      <c r="H31" s="24" t="s">
        <v>19361</v>
      </c>
      <c r="I31" s="22" t="s">
        <v>19309</v>
      </c>
      <c r="J31" s="22" t="s">
        <v>19335</v>
      </c>
      <c r="K31" s="22" t="s">
        <v>19326</v>
      </c>
      <c r="L31" s="22" t="s">
        <v>19319</v>
      </c>
      <c r="M31" s="22" t="s">
        <v>19358</v>
      </c>
      <c r="N31" s="25" t="str">
        <f>HYPERLINK("http://images.bloomingdales.com/is/image/BLM/12289183 ")</f>
        <v xml:space="preserve">http://images.bloomingdales.com/is/image/BLM/12289183 </v>
      </c>
    </row>
    <row r="32" spans="1:14" ht="24.75" x14ac:dyDescent="0.25">
      <c r="A32" s="21" t="s">
        <v>44</v>
      </c>
      <c r="B32" s="22" t="s">
        <v>45</v>
      </c>
      <c r="C32" s="2">
        <v>1</v>
      </c>
      <c r="D32" s="23">
        <v>35</v>
      </c>
      <c r="E32" s="3">
        <v>35</v>
      </c>
      <c r="F32" s="2">
        <v>321867158047</v>
      </c>
      <c r="G32" s="22" t="s">
        <v>19351</v>
      </c>
      <c r="H32" s="24" t="s">
        <v>19392</v>
      </c>
      <c r="I32" s="22" t="s">
        <v>19309</v>
      </c>
      <c r="J32" s="22" t="s">
        <v>19335</v>
      </c>
      <c r="K32" s="22" t="s">
        <v>19326</v>
      </c>
      <c r="L32" s="22"/>
      <c r="M32" s="22"/>
      <c r="N32" s="25" t="str">
        <f>HYPERLINK("http://slimages.macys.com/is/image/MCY/21997346 ")</f>
        <v xml:space="preserve">http://slimages.macys.com/is/image/MCY/21997346 </v>
      </c>
    </row>
    <row r="33" spans="1:14" ht="24.75" x14ac:dyDescent="0.25">
      <c r="A33" s="21" t="s">
        <v>46</v>
      </c>
      <c r="B33" s="22" t="s">
        <v>47</v>
      </c>
      <c r="C33" s="2">
        <v>1</v>
      </c>
      <c r="D33" s="23">
        <v>35</v>
      </c>
      <c r="E33" s="3">
        <v>35</v>
      </c>
      <c r="F33" s="2">
        <v>321867158046</v>
      </c>
      <c r="G33" s="22" t="s">
        <v>19333</v>
      </c>
      <c r="H33" s="24" t="s">
        <v>19392</v>
      </c>
      <c r="I33" s="22" t="s">
        <v>19309</v>
      </c>
      <c r="J33" s="22" t="s">
        <v>19335</v>
      </c>
      <c r="K33" s="22" t="s">
        <v>19326</v>
      </c>
      <c r="L33" s="22"/>
      <c r="M33" s="22"/>
      <c r="N33" s="25" t="str">
        <f>HYPERLINK("http://slimages.macys.com/is/image/MCY/21715401 ")</f>
        <v xml:space="preserve">http://slimages.macys.com/is/image/MCY/21715401 </v>
      </c>
    </row>
    <row r="34" spans="1:14" ht="24.75" x14ac:dyDescent="0.25">
      <c r="A34" s="21" t="s">
        <v>48</v>
      </c>
      <c r="B34" s="22" t="s">
        <v>49</v>
      </c>
      <c r="C34" s="2">
        <v>1</v>
      </c>
      <c r="D34" s="23">
        <v>35</v>
      </c>
      <c r="E34" s="3">
        <v>35</v>
      </c>
      <c r="F34" s="2">
        <v>322867158072</v>
      </c>
      <c r="G34" s="22" t="s">
        <v>19315</v>
      </c>
      <c r="H34" s="24" t="s">
        <v>19361</v>
      </c>
      <c r="I34" s="22" t="s">
        <v>19309</v>
      </c>
      <c r="J34" s="22" t="s">
        <v>19335</v>
      </c>
      <c r="K34" s="22" t="s">
        <v>19326</v>
      </c>
      <c r="L34" s="22"/>
      <c r="M34" s="22"/>
      <c r="N34" s="25" t="str">
        <f>HYPERLINK("http://slimages.macys.com/is/image/MCY/22268737 ")</f>
        <v xml:space="preserve">http://slimages.macys.com/is/image/MCY/22268737 </v>
      </c>
    </row>
    <row r="35" spans="1:14" ht="24.75" x14ac:dyDescent="0.25">
      <c r="A35" s="21" t="s">
        <v>50</v>
      </c>
      <c r="B35" s="22" t="s">
        <v>51</v>
      </c>
      <c r="C35" s="2">
        <v>1</v>
      </c>
      <c r="D35" s="23">
        <v>29.99</v>
      </c>
      <c r="E35" s="3">
        <v>29.99</v>
      </c>
      <c r="F35" s="2" t="s">
        <v>52</v>
      </c>
      <c r="G35" s="22" t="s">
        <v>19674</v>
      </c>
      <c r="H35" s="24" t="s">
        <v>19324</v>
      </c>
      <c r="I35" s="22" t="s">
        <v>19309</v>
      </c>
      <c r="J35" s="22" t="s">
        <v>19385</v>
      </c>
      <c r="K35" s="22" t="s">
        <v>19458</v>
      </c>
      <c r="L35" s="22"/>
      <c r="M35" s="22"/>
      <c r="N35" s="25" t="str">
        <f>HYPERLINK("http://slimages.macys.com/is/image/MCY/21183481 ")</f>
        <v xml:space="preserve">http://slimages.macys.com/is/image/MCY/21183481 </v>
      </c>
    </row>
    <row r="36" spans="1:14" ht="24.75" x14ac:dyDescent="0.25">
      <c r="A36" s="21" t="s">
        <v>53</v>
      </c>
      <c r="B36" s="22" t="s">
        <v>54</v>
      </c>
      <c r="C36" s="2">
        <v>1</v>
      </c>
      <c r="D36" s="23">
        <v>29.99</v>
      </c>
      <c r="E36" s="3">
        <v>29.99</v>
      </c>
      <c r="F36" s="2" t="s">
        <v>55</v>
      </c>
      <c r="G36" s="22" t="s">
        <v>19333</v>
      </c>
      <c r="H36" s="24" t="s">
        <v>19330</v>
      </c>
      <c r="I36" s="22" t="s">
        <v>19309</v>
      </c>
      <c r="J36" s="22" t="s">
        <v>19491</v>
      </c>
      <c r="K36" s="22" t="s">
        <v>19458</v>
      </c>
      <c r="L36" s="22"/>
      <c r="M36" s="22"/>
      <c r="N36" s="25" t="str">
        <f>HYPERLINK("http://slimages.macys.com/is/image/MCY/19525043 ")</f>
        <v xml:space="preserve">http://slimages.macys.com/is/image/MCY/19525043 </v>
      </c>
    </row>
    <row r="37" spans="1:14" ht="24.75" x14ac:dyDescent="0.25">
      <c r="A37" s="21" t="s">
        <v>56</v>
      </c>
      <c r="B37" s="22" t="s">
        <v>57</v>
      </c>
      <c r="C37" s="2">
        <v>1</v>
      </c>
      <c r="D37" s="23">
        <v>39.99</v>
      </c>
      <c r="E37" s="3">
        <v>39.99</v>
      </c>
      <c r="F37" s="2" t="s">
        <v>15557</v>
      </c>
      <c r="G37" s="22" t="s">
        <v>19307</v>
      </c>
      <c r="H37" s="24" t="s">
        <v>19364</v>
      </c>
      <c r="I37" s="22" t="s">
        <v>19309</v>
      </c>
      <c r="J37" s="22" t="s">
        <v>19447</v>
      </c>
      <c r="K37" s="22" t="s">
        <v>19533</v>
      </c>
      <c r="L37" s="22"/>
      <c r="M37" s="22"/>
      <c r="N37" s="25" t="str">
        <f>HYPERLINK("http://slimages.macys.com/is/image/MCY/20219975 ")</f>
        <v xml:space="preserve">http://slimages.macys.com/is/image/MCY/20219975 </v>
      </c>
    </row>
    <row r="38" spans="1:14" ht="24.75" x14ac:dyDescent="0.25">
      <c r="A38" s="21" t="s">
        <v>58</v>
      </c>
      <c r="B38" s="22" t="s">
        <v>59</v>
      </c>
      <c r="C38" s="2">
        <v>1</v>
      </c>
      <c r="D38" s="23">
        <v>39.99</v>
      </c>
      <c r="E38" s="3">
        <v>39.99</v>
      </c>
      <c r="F38" s="2" t="s">
        <v>15557</v>
      </c>
      <c r="G38" s="22" t="s">
        <v>19307</v>
      </c>
      <c r="H38" s="24" t="s">
        <v>19797</v>
      </c>
      <c r="I38" s="22" t="s">
        <v>19309</v>
      </c>
      <c r="J38" s="22" t="s">
        <v>19447</v>
      </c>
      <c r="K38" s="22" t="s">
        <v>19533</v>
      </c>
      <c r="L38" s="22"/>
      <c r="M38" s="22"/>
      <c r="N38" s="25" t="str">
        <f>HYPERLINK("http://slimages.macys.com/is/image/MCY/20219975 ")</f>
        <v xml:space="preserve">http://slimages.macys.com/is/image/MCY/20219975 </v>
      </c>
    </row>
    <row r="39" spans="1:14" x14ac:dyDescent="0.25">
      <c r="A39" s="21" t="s">
        <v>5457</v>
      </c>
      <c r="B39" s="22" t="s">
        <v>5458</v>
      </c>
      <c r="C39" s="2">
        <v>1</v>
      </c>
      <c r="D39" s="23">
        <v>29.99</v>
      </c>
      <c r="E39" s="3">
        <v>29.99</v>
      </c>
      <c r="F39" s="2" t="s">
        <v>5459</v>
      </c>
      <c r="G39" s="22" t="s">
        <v>19338</v>
      </c>
      <c r="H39" s="24" t="s">
        <v>19542</v>
      </c>
      <c r="I39" s="22" t="s">
        <v>19309</v>
      </c>
      <c r="J39" s="22" t="s">
        <v>19310</v>
      </c>
      <c r="K39" s="22" t="s">
        <v>19440</v>
      </c>
      <c r="L39" s="22"/>
      <c r="M39" s="22"/>
      <c r="N39" s="25" t="str">
        <f>HYPERLINK("http://slimages.macys.com/is/image/MCY/20782665 ")</f>
        <v xml:space="preserve">http://slimages.macys.com/is/image/MCY/20782665 </v>
      </c>
    </row>
    <row r="40" spans="1:14" ht="24.75" x14ac:dyDescent="0.25">
      <c r="A40" s="21" t="s">
        <v>60</v>
      </c>
      <c r="B40" s="22" t="s">
        <v>61</v>
      </c>
      <c r="C40" s="2">
        <v>1</v>
      </c>
      <c r="D40" s="23">
        <v>33.99</v>
      </c>
      <c r="E40" s="3">
        <v>33.99</v>
      </c>
      <c r="F40" s="2" t="s">
        <v>15573</v>
      </c>
      <c r="G40" s="22"/>
      <c r="H40" s="24" t="s">
        <v>19330</v>
      </c>
      <c r="I40" s="22" t="s">
        <v>19309</v>
      </c>
      <c r="J40" s="22" t="s">
        <v>19385</v>
      </c>
      <c r="K40" s="22" t="s">
        <v>19487</v>
      </c>
      <c r="L40" s="22"/>
      <c r="M40" s="22"/>
      <c r="N40" s="25" t="str">
        <f>HYPERLINK("http://slimages.macys.com/is/image/MCY/21174126 ")</f>
        <v xml:space="preserve">http://slimages.macys.com/is/image/MCY/21174126 </v>
      </c>
    </row>
    <row r="41" spans="1:14" x14ac:dyDescent="0.25">
      <c r="A41" s="21" t="s">
        <v>62</v>
      </c>
      <c r="B41" s="22" t="s">
        <v>63</v>
      </c>
      <c r="C41" s="2">
        <v>1</v>
      </c>
      <c r="D41" s="23">
        <v>29.99</v>
      </c>
      <c r="E41" s="3">
        <v>29.99</v>
      </c>
      <c r="F41" s="2" t="s">
        <v>64</v>
      </c>
      <c r="G41" s="22" t="s">
        <v>19351</v>
      </c>
      <c r="H41" s="24" t="s">
        <v>19395</v>
      </c>
      <c r="I41" s="22" t="s">
        <v>19309</v>
      </c>
      <c r="J41" s="22" t="s">
        <v>19310</v>
      </c>
      <c r="K41" s="22" t="s">
        <v>19440</v>
      </c>
      <c r="L41" s="22"/>
      <c r="M41" s="22"/>
      <c r="N41" s="25" t="str">
        <f>HYPERLINK("http://slimages.macys.com/is/image/MCY/20923516 ")</f>
        <v xml:space="preserve">http://slimages.macys.com/is/image/MCY/20923516 </v>
      </c>
    </row>
    <row r="42" spans="1:14" ht="24.75" x14ac:dyDescent="0.25">
      <c r="A42" s="21" t="s">
        <v>13662</v>
      </c>
      <c r="B42" s="22" t="s">
        <v>11732</v>
      </c>
      <c r="C42" s="2">
        <v>1</v>
      </c>
      <c r="D42" s="23">
        <v>31.99</v>
      </c>
      <c r="E42" s="3">
        <v>31.99</v>
      </c>
      <c r="F42" s="2" t="s">
        <v>11733</v>
      </c>
      <c r="G42" s="22" t="s">
        <v>19307</v>
      </c>
      <c r="H42" s="24" t="s">
        <v>19324</v>
      </c>
      <c r="I42" s="22" t="s">
        <v>19309</v>
      </c>
      <c r="J42" s="22" t="s">
        <v>19385</v>
      </c>
      <c r="K42" s="22" t="s">
        <v>19463</v>
      </c>
      <c r="L42" s="22"/>
      <c r="M42" s="22"/>
      <c r="N42" s="25" t="str">
        <f>HYPERLINK("http://slimages.macys.com/is/image/MCY/21423831 ")</f>
        <v xml:space="preserve">http://slimages.macys.com/is/image/MCY/21423831 </v>
      </c>
    </row>
    <row r="43" spans="1:14" ht="24.75" x14ac:dyDescent="0.25">
      <c r="A43" s="21" t="s">
        <v>65</v>
      </c>
      <c r="B43" s="22" t="s">
        <v>66</v>
      </c>
      <c r="C43" s="2">
        <v>1</v>
      </c>
      <c r="D43" s="23">
        <v>31.99</v>
      </c>
      <c r="E43" s="3">
        <v>31.99</v>
      </c>
      <c r="F43" s="2" t="s">
        <v>11733</v>
      </c>
      <c r="G43" s="22" t="s">
        <v>19307</v>
      </c>
      <c r="H43" s="24" t="s">
        <v>19416</v>
      </c>
      <c r="I43" s="22" t="s">
        <v>19309</v>
      </c>
      <c r="J43" s="22" t="s">
        <v>19385</v>
      </c>
      <c r="K43" s="22" t="s">
        <v>19463</v>
      </c>
      <c r="L43" s="22"/>
      <c r="M43" s="22"/>
      <c r="N43" s="25" t="str">
        <f>HYPERLINK("http://slimages.macys.com/is/image/MCY/21423831 ")</f>
        <v xml:space="preserve">http://slimages.macys.com/is/image/MCY/21423831 </v>
      </c>
    </row>
    <row r="44" spans="1:14" ht="24.75" x14ac:dyDescent="0.25">
      <c r="A44" s="21" t="s">
        <v>67</v>
      </c>
      <c r="B44" s="22" t="s">
        <v>68</v>
      </c>
      <c r="C44" s="2">
        <v>1</v>
      </c>
      <c r="D44" s="23">
        <v>31.99</v>
      </c>
      <c r="E44" s="3">
        <v>31.99</v>
      </c>
      <c r="F44" s="2" t="s">
        <v>11733</v>
      </c>
      <c r="G44" s="22" t="s">
        <v>19307</v>
      </c>
      <c r="H44" s="24" t="s">
        <v>19330</v>
      </c>
      <c r="I44" s="22" t="s">
        <v>19309</v>
      </c>
      <c r="J44" s="22" t="s">
        <v>19385</v>
      </c>
      <c r="K44" s="22" t="s">
        <v>19463</v>
      </c>
      <c r="L44" s="22"/>
      <c r="M44" s="22"/>
      <c r="N44" s="25" t="str">
        <f>HYPERLINK("http://slimages.macys.com/is/image/MCY/21423831 ")</f>
        <v xml:space="preserve">http://slimages.macys.com/is/image/MCY/21423831 </v>
      </c>
    </row>
    <row r="45" spans="1:14" ht="24.75" x14ac:dyDescent="0.25">
      <c r="A45" s="21" t="s">
        <v>69</v>
      </c>
      <c r="B45" s="22" t="s">
        <v>70</v>
      </c>
      <c r="C45" s="2">
        <v>1</v>
      </c>
      <c r="D45" s="23">
        <v>28.99</v>
      </c>
      <c r="E45" s="3">
        <v>28.99</v>
      </c>
      <c r="F45" s="2" t="s">
        <v>19446</v>
      </c>
      <c r="G45" s="22" t="s">
        <v>19307</v>
      </c>
      <c r="H45" s="24" t="s">
        <v>19797</v>
      </c>
      <c r="I45" s="22" t="s">
        <v>19309</v>
      </c>
      <c r="J45" s="22" t="s">
        <v>19447</v>
      </c>
      <c r="K45" s="22" t="s">
        <v>19311</v>
      </c>
      <c r="L45" s="22"/>
      <c r="M45" s="22"/>
      <c r="N45" s="25" t="str">
        <f>HYPERLINK("http://slimages.macys.com/is/image/MCY/19197080 ")</f>
        <v xml:space="preserve">http://slimages.macys.com/is/image/MCY/19197080 </v>
      </c>
    </row>
    <row r="46" spans="1:14" x14ac:dyDescent="0.25">
      <c r="A46" s="21" t="s">
        <v>71</v>
      </c>
      <c r="B46" s="22" t="s">
        <v>72</v>
      </c>
      <c r="C46" s="2">
        <v>1</v>
      </c>
      <c r="D46" s="23">
        <v>38</v>
      </c>
      <c r="E46" s="3">
        <v>38</v>
      </c>
      <c r="F46" s="2" t="s">
        <v>73</v>
      </c>
      <c r="G46" s="22" t="s">
        <v>19315</v>
      </c>
      <c r="H46" s="24" t="s">
        <v>19308</v>
      </c>
      <c r="I46" s="22" t="s">
        <v>19309</v>
      </c>
      <c r="J46" s="22" t="s">
        <v>19559</v>
      </c>
      <c r="K46" s="22" t="s">
        <v>12872</v>
      </c>
      <c r="L46" s="22"/>
      <c r="M46" s="22"/>
      <c r="N46" s="25" t="str">
        <f>HYPERLINK("http://slimages.macys.com/is/image/MCY/21568753 ")</f>
        <v xml:space="preserve">http://slimages.macys.com/is/image/MCY/21568753 </v>
      </c>
    </row>
    <row r="47" spans="1:14" ht="24.75" x14ac:dyDescent="0.25">
      <c r="A47" s="21" t="s">
        <v>74</v>
      </c>
      <c r="B47" s="22" t="s">
        <v>75</v>
      </c>
      <c r="C47" s="2">
        <v>1</v>
      </c>
      <c r="D47" s="23">
        <v>49.5</v>
      </c>
      <c r="E47" s="3">
        <v>49.5</v>
      </c>
      <c r="F47" s="2" t="s">
        <v>1240</v>
      </c>
      <c r="G47" s="22" t="s">
        <v>19404</v>
      </c>
      <c r="H47" s="24" t="s">
        <v>15803</v>
      </c>
      <c r="I47" s="22" t="s">
        <v>19309</v>
      </c>
      <c r="J47" s="22" t="s">
        <v>15149</v>
      </c>
      <c r="K47" s="22" t="s">
        <v>19546</v>
      </c>
      <c r="L47" s="22"/>
      <c r="M47" s="22"/>
      <c r="N47" s="25" t="str">
        <f>HYPERLINK("http://slimages.macys.com/is/image/MCY/21907540 ")</f>
        <v xml:space="preserve">http://slimages.macys.com/is/image/MCY/21907540 </v>
      </c>
    </row>
    <row r="48" spans="1:14" ht="24.75" x14ac:dyDescent="0.25">
      <c r="A48" s="21" t="s">
        <v>76</v>
      </c>
      <c r="B48" s="22" t="s">
        <v>77</v>
      </c>
      <c r="C48" s="2">
        <v>1</v>
      </c>
      <c r="D48" s="23">
        <v>49.5</v>
      </c>
      <c r="E48" s="3">
        <v>49.5</v>
      </c>
      <c r="F48" s="2" t="s">
        <v>1240</v>
      </c>
      <c r="G48" s="22" t="s">
        <v>19404</v>
      </c>
      <c r="H48" s="24" t="s">
        <v>19399</v>
      </c>
      <c r="I48" s="22" t="s">
        <v>19309</v>
      </c>
      <c r="J48" s="22" t="s">
        <v>15149</v>
      </c>
      <c r="K48" s="22" t="s">
        <v>19546</v>
      </c>
      <c r="L48" s="22"/>
      <c r="M48" s="22"/>
      <c r="N48" s="25" t="str">
        <f>HYPERLINK("http://slimages.macys.com/is/image/MCY/21907540 ")</f>
        <v xml:space="preserve">http://slimages.macys.com/is/image/MCY/21907540 </v>
      </c>
    </row>
    <row r="49" spans="1:14" ht="24.75" x14ac:dyDescent="0.25">
      <c r="A49" s="21" t="s">
        <v>78</v>
      </c>
      <c r="B49" s="22" t="s">
        <v>79</v>
      </c>
      <c r="C49" s="2">
        <v>1</v>
      </c>
      <c r="D49" s="23">
        <v>49.5</v>
      </c>
      <c r="E49" s="3">
        <v>49.5</v>
      </c>
      <c r="F49" s="2" t="s">
        <v>1763</v>
      </c>
      <c r="G49" s="22" t="s">
        <v>19351</v>
      </c>
      <c r="H49" s="24" t="s">
        <v>15738</v>
      </c>
      <c r="I49" s="22" t="s">
        <v>19309</v>
      </c>
      <c r="J49" s="22" t="s">
        <v>19613</v>
      </c>
      <c r="K49" s="22" t="s">
        <v>19614</v>
      </c>
      <c r="L49" s="22"/>
      <c r="M49" s="22"/>
      <c r="N49" s="25" t="str">
        <f>HYPERLINK("http://slimages.macys.com/is/image/MCY/21035828 ")</f>
        <v xml:space="preserve">http://slimages.macys.com/is/image/MCY/21035828 </v>
      </c>
    </row>
    <row r="50" spans="1:14" ht="24.75" x14ac:dyDescent="0.25">
      <c r="A50" s="21" t="s">
        <v>80</v>
      </c>
      <c r="B50" s="22" t="s">
        <v>81</v>
      </c>
      <c r="C50" s="2">
        <v>1</v>
      </c>
      <c r="D50" s="23">
        <v>29.99</v>
      </c>
      <c r="E50" s="3">
        <v>29.99</v>
      </c>
      <c r="F50" s="2" t="s">
        <v>15593</v>
      </c>
      <c r="G50" s="22" t="s">
        <v>19528</v>
      </c>
      <c r="H50" s="24" t="s">
        <v>19339</v>
      </c>
      <c r="I50" s="22" t="s">
        <v>19309</v>
      </c>
      <c r="J50" s="22" t="s">
        <v>19310</v>
      </c>
      <c r="K50" s="22" t="s">
        <v>19932</v>
      </c>
      <c r="L50" s="22"/>
      <c r="M50" s="22"/>
      <c r="N50" s="25" t="str">
        <f>HYPERLINK("http://slimages.macys.com/is/image/MCY/21862208 ")</f>
        <v xml:space="preserve">http://slimages.macys.com/is/image/MCY/21862208 </v>
      </c>
    </row>
    <row r="51" spans="1:14" ht="24.75" x14ac:dyDescent="0.25">
      <c r="A51" s="21" t="s">
        <v>15589</v>
      </c>
      <c r="B51" s="22" t="s">
        <v>15590</v>
      </c>
      <c r="C51" s="2">
        <v>1</v>
      </c>
      <c r="D51" s="23">
        <v>28.99</v>
      </c>
      <c r="E51" s="3">
        <v>28.99</v>
      </c>
      <c r="F51" s="2" t="s">
        <v>19461</v>
      </c>
      <c r="G51" s="22" t="s">
        <v>19462</v>
      </c>
      <c r="H51" s="24" t="s">
        <v>19330</v>
      </c>
      <c r="I51" s="22" t="s">
        <v>19309</v>
      </c>
      <c r="J51" s="22" t="s">
        <v>19385</v>
      </c>
      <c r="K51" s="22" t="s">
        <v>19463</v>
      </c>
      <c r="L51" s="22"/>
      <c r="M51" s="22"/>
      <c r="N51" s="25" t="str">
        <f>HYPERLINK("http://slimages.macys.com/is/image/MCY/21423842 ")</f>
        <v xml:space="preserve">http://slimages.macys.com/is/image/MCY/21423842 </v>
      </c>
    </row>
    <row r="52" spans="1:14" ht="24.75" x14ac:dyDescent="0.25">
      <c r="A52" s="21" t="s">
        <v>11746</v>
      </c>
      <c r="B52" s="22" t="s">
        <v>11747</v>
      </c>
      <c r="C52" s="2">
        <v>2</v>
      </c>
      <c r="D52" s="23">
        <v>24.99</v>
      </c>
      <c r="E52" s="3">
        <v>49.98</v>
      </c>
      <c r="F52" s="2" t="s">
        <v>19466</v>
      </c>
      <c r="G52" s="22" t="s">
        <v>19467</v>
      </c>
      <c r="H52" s="24" t="s">
        <v>19395</v>
      </c>
      <c r="I52" s="22" t="s">
        <v>19309</v>
      </c>
      <c r="J52" s="22" t="s">
        <v>19310</v>
      </c>
      <c r="K52" s="22" t="s">
        <v>19468</v>
      </c>
      <c r="L52" s="22"/>
      <c r="M52" s="22"/>
      <c r="N52" s="25" t="str">
        <f>HYPERLINK("http://slimages.macys.com/is/image/MCY/20189640 ")</f>
        <v xml:space="preserve">http://slimages.macys.com/is/image/MCY/20189640 </v>
      </c>
    </row>
    <row r="53" spans="1:14" x14ac:dyDescent="0.25">
      <c r="A53" s="21" t="s">
        <v>82</v>
      </c>
      <c r="B53" s="22" t="s">
        <v>83</v>
      </c>
      <c r="C53" s="2">
        <v>1</v>
      </c>
      <c r="D53" s="23">
        <v>28.99</v>
      </c>
      <c r="E53" s="3">
        <v>28.99</v>
      </c>
      <c r="F53" s="2" t="s">
        <v>84</v>
      </c>
      <c r="G53" s="22" t="s">
        <v>19307</v>
      </c>
      <c r="H53" s="24" t="s">
        <v>19432</v>
      </c>
      <c r="I53" s="22" t="s">
        <v>19309</v>
      </c>
      <c r="J53" s="22" t="s">
        <v>19310</v>
      </c>
      <c r="K53" s="22" t="s">
        <v>19433</v>
      </c>
      <c r="L53" s="22"/>
      <c r="M53" s="22"/>
      <c r="N53" s="25" t="str">
        <f>HYPERLINK("http://slimages.macys.com/is/image/MCY/21354474 ")</f>
        <v xml:space="preserve">http://slimages.macys.com/is/image/MCY/21354474 </v>
      </c>
    </row>
    <row r="54" spans="1:14" ht="24.75" x14ac:dyDescent="0.25">
      <c r="A54" s="21" t="s">
        <v>85</v>
      </c>
      <c r="B54" s="22" t="s">
        <v>86</v>
      </c>
      <c r="C54" s="2">
        <v>1</v>
      </c>
      <c r="D54" s="23">
        <v>25.99</v>
      </c>
      <c r="E54" s="3">
        <v>25.99</v>
      </c>
      <c r="F54" s="2">
        <v>7860</v>
      </c>
      <c r="G54" s="22" t="s">
        <v>19323</v>
      </c>
      <c r="H54" s="24" t="s">
        <v>19352</v>
      </c>
      <c r="I54" s="22" t="s">
        <v>19309</v>
      </c>
      <c r="J54" s="22" t="s">
        <v>20076</v>
      </c>
      <c r="K54" s="22" t="s">
        <v>12019</v>
      </c>
      <c r="L54" s="22"/>
      <c r="M54" s="22"/>
      <c r="N54" s="25" t="str">
        <f>HYPERLINK("http://slimages.macys.com/is/image/MCY/19674903 ")</f>
        <v xml:space="preserve">http://slimages.macys.com/is/image/MCY/19674903 </v>
      </c>
    </row>
    <row r="55" spans="1:14" ht="24.75" x14ac:dyDescent="0.25">
      <c r="A55" s="21" t="s">
        <v>87</v>
      </c>
      <c r="B55" s="22" t="s">
        <v>88</v>
      </c>
      <c r="C55" s="2">
        <v>2</v>
      </c>
      <c r="D55" s="23">
        <v>27.99</v>
      </c>
      <c r="E55" s="3">
        <v>55.98</v>
      </c>
      <c r="F55" s="2" t="s">
        <v>10307</v>
      </c>
      <c r="G55" s="22" t="s">
        <v>19404</v>
      </c>
      <c r="H55" s="24"/>
      <c r="I55" s="22" t="s">
        <v>19309</v>
      </c>
      <c r="J55" s="22" t="s">
        <v>19565</v>
      </c>
      <c r="K55" s="22" t="s">
        <v>17934</v>
      </c>
      <c r="L55" s="22"/>
      <c r="M55" s="22"/>
      <c r="N55" s="25" t="str">
        <f>HYPERLINK("http://slimages.macys.com/is/image/MCY/20818410 ")</f>
        <v xml:space="preserve">http://slimages.macys.com/is/image/MCY/20818410 </v>
      </c>
    </row>
    <row r="56" spans="1:14" ht="24.75" x14ac:dyDescent="0.25">
      <c r="A56" s="21" t="s">
        <v>89</v>
      </c>
      <c r="B56" s="22" t="s">
        <v>90</v>
      </c>
      <c r="C56" s="2">
        <v>2</v>
      </c>
      <c r="D56" s="23">
        <v>27.99</v>
      </c>
      <c r="E56" s="3">
        <v>55.98</v>
      </c>
      <c r="F56" s="2" t="s">
        <v>10307</v>
      </c>
      <c r="G56" s="22" t="s">
        <v>19404</v>
      </c>
      <c r="H56" s="24" t="s">
        <v>15738</v>
      </c>
      <c r="I56" s="22" t="s">
        <v>19309</v>
      </c>
      <c r="J56" s="22" t="s">
        <v>19565</v>
      </c>
      <c r="K56" s="22" t="s">
        <v>17934</v>
      </c>
      <c r="L56" s="22"/>
      <c r="M56" s="22"/>
      <c r="N56" s="25" t="str">
        <f>HYPERLINK("http://slimages.macys.com/is/image/MCY/20818410 ")</f>
        <v xml:space="preserve">http://slimages.macys.com/is/image/MCY/20818410 </v>
      </c>
    </row>
    <row r="57" spans="1:14" ht="24.75" x14ac:dyDescent="0.25">
      <c r="A57" s="21" t="s">
        <v>91</v>
      </c>
      <c r="B57" s="22" t="s">
        <v>92</v>
      </c>
      <c r="C57" s="2">
        <v>2</v>
      </c>
      <c r="D57" s="23">
        <v>27.99</v>
      </c>
      <c r="E57" s="3">
        <v>55.98</v>
      </c>
      <c r="F57" s="2" t="s">
        <v>10307</v>
      </c>
      <c r="G57" s="22" t="s">
        <v>19404</v>
      </c>
      <c r="H57" s="24" t="s">
        <v>19501</v>
      </c>
      <c r="I57" s="22" t="s">
        <v>19309</v>
      </c>
      <c r="J57" s="22" t="s">
        <v>19565</v>
      </c>
      <c r="K57" s="22" t="s">
        <v>17934</v>
      </c>
      <c r="L57" s="22"/>
      <c r="M57" s="22"/>
      <c r="N57" s="25" t="str">
        <f>HYPERLINK("http://slimages.macys.com/is/image/MCY/20818410 ")</f>
        <v xml:space="preserve">http://slimages.macys.com/is/image/MCY/20818410 </v>
      </c>
    </row>
    <row r="58" spans="1:14" ht="24.75" x14ac:dyDescent="0.25">
      <c r="A58" s="21" t="s">
        <v>93</v>
      </c>
      <c r="B58" s="22" t="s">
        <v>94</v>
      </c>
      <c r="C58" s="2">
        <v>1</v>
      </c>
      <c r="D58" s="23">
        <v>27.99</v>
      </c>
      <c r="E58" s="3">
        <v>27.99</v>
      </c>
      <c r="F58" s="2" t="s">
        <v>95</v>
      </c>
      <c r="G58" s="22" t="s">
        <v>19351</v>
      </c>
      <c r="H58" s="24"/>
      <c r="I58" s="22" t="s">
        <v>19309</v>
      </c>
      <c r="J58" s="22" t="s">
        <v>19565</v>
      </c>
      <c r="K58" s="22" t="s">
        <v>17934</v>
      </c>
      <c r="L58" s="22"/>
      <c r="M58" s="22"/>
      <c r="N58" s="25" t="str">
        <f>HYPERLINK("http://slimages.macys.com/is/image/MCY/20604858 ")</f>
        <v xml:space="preserve">http://slimages.macys.com/is/image/MCY/20604858 </v>
      </c>
    </row>
    <row r="59" spans="1:14" ht="24.75" x14ac:dyDescent="0.25">
      <c r="A59" s="21" t="s">
        <v>96</v>
      </c>
      <c r="B59" s="22" t="s">
        <v>97</v>
      </c>
      <c r="C59" s="2">
        <v>1</v>
      </c>
      <c r="D59" s="23">
        <v>27.99</v>
      </c>
      <c r="E59" s="3">
        <v>27.99</v>
      </c>
      <c r="F59" s="2" t="s">
        <v>95</v>
      </c>
      <c r="G59" s="22" t="s">
        <v>19351</v>
      </c>
      <c r="H59" s="24" t="s">
        <v>19399</v>
      </c>
      <c r="I59" s="22" t="s">
        <v>19309</v>
      </c>
      <c r="J59" s="22" t="s">
        <v>19565</v>
      </c>
      <c r="K59" s="22" t="s">
        <v>17934</v>
      </c>
      <c r="L59" s="22"/>
      <c r="M59" s="22"/>
      <c r="N59" s="25" t="str">
        <f>HYPERLINK("http://slimages.macys.com/is/image/MCY/20604858 ")</f>
        <v xml:space="preserve">http://slimages.macys.com/is/image/MCY/20604858 </v>
      </c>
    </row>
    <row r="60" spans="1:14" ht="24.75" x14ac:dyDescent="0.25">
      <c r="A60" s="21" t="s">
        <v>98</v>
      </c>
      <c r="B60" s="22" t="s">
        <v>99</v>
      </c>
      <c r="C60" s="2">
        <v>1</v>
      </c>
      <c r="D60" s="23">
        <v>27.99</v>
      </c>
      <c r="E60" s="3">
        <v>27.99</v>
      </c>
      <c r="F60" s="2" t="s">
        <v>95</v>
      </c>
      <c r="G60" s="22" t="s">
        <v>19351</v>
      </c>
      <c r="H60" s="24" t="s">
        <v>19316</v>
      </c>
      <c r="I60" s="22" t="s">
        <v>19309</v>
      </c>
      <c r="J60" s="22" t="s">
        <v>19565</v>
      </c>
      <c r="K60" s="22" t="s">
        <v>17934</v>
      </c>
      <c r="L60" s="22"/>
      <c r="M60" s="22"/>
      <c r="N60" s="25" t="str">
        <f>HYPERLINK("http://slimages.macys.com/is/image/MCY/20604863 ")</f>
        <v xml:space="preserve">http://slimages.macys.com/is/image/MCY/20604863 </v>
      </c>
    </row>
    <row r="61" spans="1:14" ht="24.75" x14ac:dyDescent="0.25">
      <c r="A61" s="21" t="s">
        <v>100</v>
      </c>
      <c r="B61" s="22" t="s">
        <v>101</v>
      </c>
      <c r="C61" s="2">
        <v>2</v>
      </c>
      <c r="D61" s="23">
        <v>27.99</v>
      </c>
      <c r="E61" s="3">
        <v>55.98</v>
      </c>
      <c r="F61" s="2" t="s">
        <v>10307</v>
      </c>
      <c r="G61" s="22" t="s">
        <v>19404</v>
      </c>
      <c r="H61" s="24" t="s">
        <v>19316</v>
      </c>
      <c r="I61" s="22" t="s">
        <v>19309</v>
      </c>
      <c r="J61" s="22" t="s">
        <v>19565</v>
      </c>
      <c r="K61" s="22" t="s">
        <v>17934</v>
      </c>
      <c r="L61" s="22"/>
      <c r="M61" s="22"/>
      <c r="N61" s="25" t="str">
        <f>HYPERLINK("http://slimages.macys.com/is/image/MCY/20818410 ")</f>
        <v xml:space="preserve">http://slimages.macys.com/is/image/MCY/20818410 </v>
      </c>
    </row>
    <row r="62" spans="1:14" ht="24.75" x14ac:dyDescent="0.25">
      <c r="A62" s="21" t="s">
        <v>10305</v>
      </c>
      <c r="B62" s="22" t="s">
        <v>10306</v>
      </c>
      <c r="C62" s="2">
        <v>2</v>
      </c>
      <c r="D62" s="23">
        <v>27.99</v>
      </c>
      <c r="E62" s="3">
        <v>55.98</v>
      </c>
      <c r="F62" s="2" t="s">
        <v>10307</v>
      </c>
      <c r="G62" s="22" t="s">
        <v>19404</v>
      </c>
      <c r="H62" s="24" t="s">
        <v>19399</v>
      </c>
      <c r="I62" s="22" t="s">
        <v>19309</v>
      </c>
      <c r="J62" s="22" t="s">
        <v>19565</v>
      </c>
      <c r="K62" s="22" t="s">
        <v>17934</v>
      </c>
      <c r="L62" s="22"/>
      <c r="M62" s="22"/>
      <c r="N62" s="25" t="str">
        <f>HYPERLINK("http://slimages.macys.com/is/image/MCY/20818410 ")</f>
        <v xml:space="preserve">http://slimages.macys.com/is/image/MCY/20818410 </v>
      </c>
    </row>
    <row r="63" spans="1:14" ht="24.75" x14ac:dyDescent="0.25">
      <c r="A63" s="21" t="s">
        <v>102</v>
      </c>
      <c r="B63" s="22" t="s">
        <v>103</v>
      </c>
      <c r="C63" s="2">
        <v>2</v>
      </c>
      <c r="D63" s="23">
        <v>27.99</v>
      </c>
      <c r="E63" s="3">
        <v>55.98</v>
      </c>
      <c r="F63" s="2" t="s">
        <v>10307</v>
      </c>
      <c r="G63" s="22" t="s">
        <v>19404</v>
      </c>
      <c r="H63" s="24" t="s">
        <v>19478</v>
      </c>
      <c r="I63" s="22" t="s">
        <v>19309</v>
      </c>
      <c r="J63" s="22" t="s">
        <v>19565</v>
      </c>
      <c r="K63" s="22" t="s">
        <v>17934</v>
      </c>
      <c r="L63" s="22"/>
      <c r="M63" s="22"/>
      <c r="N63" s="25" t="str">
        <f>HYPERLINK("http://slimages.macys.com/is/image/MCY/20818410 ")</f>
        <v xml:space="preserve">http://slimages.macys.com/is/image/MCY/20818410 </v>
      </c>
    </row>
    <row r="64" spans="1:14" ht="24.75" x14ac:dyDescent="0.25">
      <c r="A64" s="21" t="s">
        <v>104</v>
      </c>
      <c r="B64" s="22" t="s">
        <v>105</v>
      </c>
      <c r="C64" s="2">
        <v>1</v>
      </c>
      <c r="D64" s="23">
        <v>27.99</v>
      </c>
      <c r="E64" s="3">
        <v>27.99</v>
      </c>
      <c r="F64" s="2" t="s">
        <v>95</v>
      </c>
      <c r="G64" s="22" t="s">
        <v>19351</v>
      </c>
      <c r="H64" s="24" t="s">
        <v>15738</v>
      </c>
      <c r="I64" s="22" t="s">
        <v>19309</v>
      </c>
      <c r="J64" s="22" t="s">
        <v>19565</v>
      </c>
      <c r="K64" s="22" t="s">
        <v>17934</v>
      </c>
      <c r="L64" s="22"/>
      <c r="M64" s="22"/>
      <c r="N64" s="25" t="str">
        <f>HYPERLINK("http://slimages.macys.com/is/image/MCY/20604858 ")</f>
        <v xml:space="preserve">http://slimages.macys.com/is/image/MCY/20604858 </v>
      </c>
    </row>
    <row r="65" spans="1:14" ht="24.75" x14ac:dyDescent="0.25">
      <c r="A65" s="21" t="s">
        <v>106</v>
      </c>
      <c r="B65" s="22" t="s">
        <v>107</v>
      </c>
      <c r="C65" s="2">
        <v>1</v>
      </c>
      <c r="D65" s="23">
        <v>27.99</v>
      </c>
      <c r="E65" s="3">
        <v>27.99</v>
      </c>
      <c r="F65" s="2" t="s">
        <v>95</v>
      </c>
      <c r="G65" s="22" t="s">
        <v>19351</v>
      </c>
      <c r="H65" s="24" t="s">
        <v>19478</v>
      </c>
      <c r="I65" s="22" t="s">
        <v>19309</v>
      </c>
      <c r="J65" s="22" t="s">
        <v>19565</v>
      </c>
      <c r="K65" s="22" t="s">
        <v>17934</v>
      </c>
      <c r="L65" s="22"/>
      <c r="M65" s="22"/>
      <c r="N65" s="25" t="str">
        <f>HYPERLINK("http://slimages.macys.com/is/image/MCY/20604858 ")</f>
        <v xml:space="preserve">http://slimages.macys.com/is/image/MCY/20604858 </v>
      </c>
    </row>
    <row r="66" spans="1:14" x14ac:dyDescent="0.25">
      <c r="A66" s="21" t="s">
        <v>108</v>
      </c>
      <c r="B66" s="22" t="s">
        <v>109</v>
      </c>
      <c r="C66" s="2">
        <v>2</v>
      </c>
      <c r="D66" s="23">
        <v>27.27</v>
      </c>
      <c r="E66" s="3">
        <v>54.54</v>
      </c>
      <c r="F66" s="2" t="s">
        <v>1249</v>
      </c>
      <c r="G66" s="22" t="s">
        <v>19431</v>
      </c>
      <c r="H66" s="24" t="s">
        <v>19392</v>
      </c>
      <c r="I66" s="22" t="s">
        <v>19309</v>
      </c>
      <c r="J66" s="22" t="s">
        <v>19514</v>
      </c>
      <c r="K66" s="22" t="s">
        <v>19406</v>
      </c>
      <c r="L66" s="22"/>
      <c r="M66" s="22"/>
      <c r="N66" s="25" t="str">
        <f>HYPERLINK("http://slimages.macys.com/is/image/MCY/21443451 ")</f>
        <v xml:space="preserve">http://slimages.macys.com/is/image/MCY/21443451 </v>
      </c>
    </row>
    <row r="67" spans="1:14" x14ac:dyDescent="0.25">
      <c r="A67" s="21" t="s">
        <v>110</v>
      </c>
      <c r="B67" s="22" t="s">
        <v>111</v>
      </c>
      <c r="C67" s="2">
        <v>2</v>
      </c>
      <c r="D67" s="23">
        <v>27.27</v>
      </c>
      <c r="E67" s="3">
        <v>54.54</v>
      </c>
      <c r="F67" s="2" t="s">
        <v>1249</v>
      </c>
      <c r="G67" s="22" t="s">
        <v>19431</v>
      </c>
      <c r="H67" s="24" t="s">
        <v>19334</v>
      </c>
      <c r="I67" s="22" t="s">
        <v>19309</v>
      </c>
      <c r="J67" s="22" t="s">
        <v>19514</v>
      </c>
      <c r="K67" s="22" t="s">
        <v>19406</v>
      </c>
      <c r="L67" s="22"/>
      <c r="M67" s="22"/>
      <c r="N67" s="25" t="str">
        <f>HYPERLINK("http://slimages.macys.com/is/image/MCY/21443451 ")</f>
        <v xml:space="preserve">http://slimages.macys.com/is/image/MCY/21443451 </v>
      </c>
    </row>
    <row r="68" spans="1:14" x14ac:dyDescent="0.25">
      <c r="A68" s="21" t="s">
        <v>1247</v>
      </c>
      <c r="B68" s="22" t="s">
        <v>1248</v>
      </c>
      <c r="C68" s="2">
        <v>2</v>
      </c>
      <c r="D68" s="23">
        <v>27.27</v>
      </c>
      <c r="E68" s="3">
        <v>54.54</v>
      </c>
      <c r="F68" s="2" t="s">
        <v>1249</v>
      </c>
      <c r="G68" s="22" t="s">
        <v>19431</v>
      </c>
      <c r="H68" s="24" t="s">
        <v>19345</v>
      </c>
      <c r="I68" s="22" t="s">
        <v>19309</v>
      </c>
      <c r="J68" s="22" t="s">
        <v>19514</v>
      </c>
      <c r="K68" s="22" t="s">
        <v>19406</v>
      </c>
      <c r="L68" s="22"/>
      <c r="M68" s="22"/>
      <c r="N68" s="25" t="str">
        <f>HYPERLINK("http://slimages.macys.com/is/image/MCY/21443451 ")</f>
        <v xml:space="preserve">http://slimages.macys.com/is/image/MCY/21443451 </v>
      </c>
    </row>
    <row r="69" spans="1:14" ht="24.75" x14ac:dyDescent="0.25">
      <c r="A69" s="21" t="s">
        <v>112</v>
      </c>
      <c r="B69" s="22" t="s">
        <v>113</v>
      </c>
      <c r="C69" s="2">
        <v>1</v>
      </c>
      <c r="D69" s="23">
        <v>34.99</v>
      </c>
      <c r="E69" s="3">
        <v>34.99</v>
      </c>
      <c r="F69" s="2" t="s">
        <v>19497</v>
      </c>
      <c r="G69" s="22" t="s">
        <v>19498</v>
      </c>
      <c r="H69" s="24" t="s">
        <v>19399</v>
      </c>
      <c r="I69" s="22" t="s">
        <v>19309</v>
      </c>
      <c r="J69" s="22" t="s">
        <v>19400</v>
      </c>
      <c r="K69" s="22" t="s">
        <v>19479</v>
      </c>
      <c r="L69" s="22"/>
      <c r="M69" s="22"/>
      <c r="N69" s="25" t="str">
        <f>HYPERLINK("http://slimages.macys.com/is/image/MCY/21683546 ")</f>
        <v xml:space="preserve">http://slimages.macys.com/is/image/MCY/21683546 </v>
      </c>
    </row>
    <row r="70" spans="1:14" ht="24.75" x14ac:dyDescent="0.25">
      <c r="A70" s="21" t="s">
        <v>114</v>
      </c>
      <c r="B70" s="22" t="s">
        <v>115</v>
      </c>
      <c r="C70" s="2">
        <v>1</v>
      </c>
      <c r="D70" s="23">
        <v>27.99</v>
      </c>
      <c r="E70" s="3">
        <v>27.99</v>
      </c>
      <c r="F70" s="2" t="s">
        <v>116</v>
      </c>
      <c r="G70" s="22" t="s">
        <v>19528</v>
      </c>
      <c r="H70" s="24" t="s">
        <v>19339</v>
      </c>
      <c r="I70" s="22" t="s">
        <v>19309</v>
      </c>
      <c r="J70" s="22" t="s">
        <v>19519</v>
      </c>
      <c r="K70" s="22" t="s">
        <v>117</v>
      </c>
      <c r="L70" s="22"/>
      <c r="M70" s="22"/>
      <c r="N70" s="25" t="str">
        <f>HYPERLINK("http://slimages.macys.com/is/image/MCY/18620011 ")</f>
        <v xml:space="preserve">http://slimages.macys.com/is/image/MCY/18620011 </v>
      </c>
    </row>
    <row r="71" spans="1:14" x14ac:dyDescent="0.25">
      <c r="A71" s="21" t="s">
        <v>118</v>
      </c>
      <c r="B71" s="22" t="s">
        <v>119</v>
      </c>
      <c r="C71" s="2">
        <v>1</v>
      </c>
      <c r="D71" s="23">
        <v>31.63</v>
      </c>
      <c r="E71" s="3">
        <v>31.63</v>
      </c>
      <c r="F71" s="2" t="s">
        <v>17646</v>
      </c>
      <c r="G71" s="22" t="s">
        <v>19323</v>
      </c>
      <c r="H71" s="24" t="s">
        <v>19416</v>
      </c>
      <c r="I71" s="22" t="s">
        <v>19309</v>
      </c>
      <c r="J71" s="22" t="s">
        <v>19708</v>
      </c>
      <c r="K71" s="22" t="s">
        <v>19709</v>
      </c>
      <c r="L71" s="22"/>
      <c r="M71" s="22"/>
      <c r="N71" s="25" t="str">
        <f>HYPERLINK("http://slimages.macys.com/is/image/MCY/22296941 ")</f>
        <v xml:space="preserve">http://slimages.macys.com/is/image/MCY/22296941 </v>
      </c>
    </row>
    <row r="72" spans="1:14" x14ac:dyDescent="0.25">
      <c r="A72" s="21" t="s">
        <v>120</v>
      </c>
      <c r="B72" s="22" t="s">
        <v>121</v>
      </c>
      <c r="C72" s="2">
        <v>1</v>
      </c>
      <c r="D72" s="23">
        <v>31.63</v>
      </c>
      <c r="E72" s="3">
        <v>31.63</v>
      </c>
      <c r="F72" s="2" t="s">
        <v>6501</v>
      </c>
      <c r="G72" s="22"/>
      <c r="H72" s="24" t="s">
        <v>19330</v>
      </c>
      <c r="I72" s="22" t="s">
        <v>19309</v>
      </c>
      <c r="J72" s="22" t="s">
        <v>19708</v>
      </c>
      <c r="K72" s="22" t="s">
        <v>19709</v>
      </c>
      <c r="L72" s="22"/>
      <c r="M72" s="22"/>
      <c r="N72" s="25" t="str">
        <f>HYPERLINK("http://slimages.macys.com/is/image/MCY/22296869 ")</f>
        <v xml:space="preserve">http://slimages.macys.com/is/image/MCY/22296869 </v>
      </c>
    </row>
    <row r="73" spans="1:14" ht="24.75" x14ac:dyDescent="0.25">
      <c r="A73" s="21" t="s">
        <v>122</v>
      </c>
      <c r="B73" s="22" t="s">
        <v>123</v>
      </c>
      <c r="C73" s="2">
        <v>1</v>
      </c>
      <c r="D73" s="23">
        <v>24.99</v>
      </c>
      <c r="E73" s="3">
        <v>24.99</v>
      </c>
      <c r="F73" s="2">
        <v>1833201</v>
      </c>
      <c r="G73" s="22" t="s">
        <v>19422</v>
      </c>
      <c r="H73" s="24" t="s">
        <v>19339</v>
      </c>
      <c r="I73" s="22" t="s">
        <v>19309</v>
      </c>
      <c r="J73" s="22" t="s">
        <v>15506</v>
      </c>
      <c r="K73" s="22" t="s">
        <v>15507</v>
      </c>
      <c r="L73" s="22"/>
      <c r="M73" s="22"/>
      <c r="N73" s="25" t="str">
        <f>HYPERLINK("http://slimages.macys.com/is/image/MCY/18528848 ")</f>
        <v xml:space="preserve">http://slimages.macys.com/is/image/MCY/18528848 </v>
      </c>
    </row>
    <row r="74" spans="1:14" ht="24.75" x14ac:dyDescent="0.25">
      <c r="A74" s="21" t="s">
        <v>124</v>
      </c>
      <c r="B74" s="22" t="s">
        <v>125</v>
      </c>
      <c r="C74" s="2">
        <v>1</v>
      </c>
      <c r="D74" s="23">
        <v>24.99</v>
      </c>
      <c r="E74" s="3">
        <v>24.99</v>
      </c>
      <c r="F74" s="2">
        <v>1833201</v>
      </c>
      <c r="G74" s="22" t="s">
        <v>19422</v>
      </c>
      <c r="H74" s="24" t="s">
        <v>19364</v>
      </c>
      <c r="I74" s="22" t="s">
        <v>19309</v>
      </c>
      <c r="J74" s="22" t="s">
        <v>15506</v>
      </c>
      <c r="K74" s="22" t="s">
        <v>15507</v>
      </c>
      <c r="L74" s="22"/>
      <c r="M74" s="22"/>
      <c r="N74" s="25" t="str">
        <f>HYPERLINK("http://slimages.macys.com/is/image/MCY/18528848 ")</f>
        <v xml:space="preserve">http://slimages.macys.com/is/image/MCY/18528848 </v>
      </c>
    </row>
    <row r="75" spans="1:14" ht="24.75" x14ac:dyDescent="0.25">
      <c r="A75" s="21" t="s">
        <v>17647</v>
      </c>
      <c r="B75" s="22" t="s">
        <v>17648</v>
      </c>
      <c r="C75" s="2">
        <v>2</v>
      </c>
      <c r="D75" s="23">
        <v>25.99</v>
      </c>
      <c r="E75" s="3">
        <v>51.98</v>
      </c>
      <c r="F75" s="2" t="s">
        <v>17649</v>
      </c>
      <c r="G75" s="22" t="s">
        <v>19886</v>
      </c>
      <c r="H75" s="24" t="s">
        <v>19324</v>
      </c>
      <c r="I75" s="22" t="s">
        <v>19309</v>
      </c>
      <c r="J75" s="22" t="s">
        <v>19491</v>
      </c>
      <c r="K75" s="22" t="s">
        <v>19463</v>
      </c>
      <c r="L75" s="22"/>
      <c r="M75" s="22"/>
      <c r="N75" s="25" t="str">
        <f>HYPERLINK("http://slimages.macys.com/is/image/MCY/22035970 ")</f>
        <v xml:space="preserve">http://slimages.macys.com/is/image/MCY/22035970 </v>
      </c>
    </row>
    <row r="76" spans="1:14" ht="24.75" x14ac:dyDescent="0.25">
      <c r="A76" s="21" t="s">
        <v>4557</v>
      </c>
      <c r="B76" s="22" t="s">
        <v>4558</v>
      </c>
      <c r="C76" s="2">
        <v>1</v>
      </c>
      <c r="D76" s="23">
        <v>22.99</v>
      </c>
      <c r="E76" s="3">
        <v>22.99</v>
      </c>
      <c r="F76" s="2" t="s">
        <v>4559</v>
      </c>
      <c r="G76" s="22" t="s">
        <v>19886</v>
      </c>
      <c r="H76" s="24" t="s">
        <v>19324</v>
      </c>
      <c r="I76" s="22" t="s">
        <v>19309</v>
      </c>
      <c r="J76" s="22" t="s">
        <v>19491</v>
      </c>
      <c r="K76" s="22" t="s">
        <v>19458</v>
      </c>
      <c r="L76" s="22"/>
      <c r="M76" s="22"/>
      <c r="N76" s="25" t="str">
        <f>HYPERLINK("http://slimages.macys.com/is/image/MCY/21602744 ")</f>
        <v xml:space="preserve">http://slimages.macys.com/is/image/MCY/21602744 </v>
      </c>
    </row>
    <row r="77" spans="1:14" x14ac:dyDescent="0.25">
      <c r="A77" s="21" t="s">
        <v>126</v>
      </c>
      <c r="B77" s="22" t="s">
        <v>127</v>
      </c>
      <c r="C77" s="2">
        <v>1</v>
      </c>
      <c r="D77" s="23">
        <v>17.989999999999998</v>
      </c>
      <c r="E77" s="3">
        <v>17.989999999999998</v>
      </c>
      <c r="F77" s="2">
        <v>56739</v>
      </c>
      <c r="G77" s="22" t="s">
        <v>19879</v>
      </c>
      <c r="H77" s="24" t="s">
        <v>19384</v>
      </c>
      <c r="I77" s="22" t="s">
        <v>19309</v>
      </c>
      <c r="J77" s="22" t="s">
        <v>19417</v>
      </c>
      <c r="K77" s="22" t="s">
        <v>19969</v>
      </c>
      <c r="L77" s="22"/>
      <c r="M77" s="22"/>
      <c r="N77" s="25" t="str">
        <f>HYPERLINK("http://slimages.macys.com/is/image/MCY/16788330 ")</f>
        <v xml:space="preserve">http://slimages.macys.com/is/image/MCY/16788330 </v>
      </c>
    </row>
    <row r="78" spans="1:14" x14ac:dyDescent="0.25">
      <c r="A78" s="21" t="s">
        <v>128</v>
      </c>
      <c r="B78" s="22" t="s">
        <v>129</v>
      </c>
      <c r="C78" s="2">
        <v>1</v>
      </c>
      <c r="D78" s="23">
        <v>22.99</v>
      </c>
      <c r="E78" s="3">
        <v>22.99</v>
      </c>
      <c r="F78" s="2" t="s">
        <v>130</v>
      </c>
      <c r="G78" s="22" t="s">
        <v>19383</v>
      </c>
      <c r="H78" s="24" t="s">
        <v>19364</v>
      </c>
      <c r="I78" s="22" t="s">
        <v>19309</v>
      </c>
      <c r="J78" s="22" t="s">
        <v>19310</v>
      </c>
      <c r="K78" s="22" t="s">
        <v>19311</v>
      </c>
      <c r="L78" s="22" t="s">
        <v>19319</v>
      </c>
      <c r="M78" s="22" t="s">
        <v>19764</v>
      </c>
      <c r="N78" s="25" t="str">
        <f>HYPERLINK("http://slimages.macys.com/is/image/MCY/16610496 ")</f>
        <v xml:space="preserve">http://slimages.macys.com/is/image/MCY/16610496 </v>
      </c>
    </row>
    <row r="79" spans="1:14" x14ac:dyDescent="0.25">
      <c r="A79" s="21" t="s">
        <v>131</v>
      </c>
      <c r="B79" s="22" t="s">
        <v>15997</v>
      </c>
      <c r="C79" s="2">
        <v>1</v>
      </c>
      <c r="D79" s="23">
        <v>30.99</v>
      </c>
      <c r="E79" s="3">
        <v>30.99</v>
      </c>
      <c r="F79" s="2" t="s">
        <v>132</v>
      </c>
      <c r="G79" s="22" t="s">
        <v>19342</v>
      </c>
      <c r="H79" s="24" t="s">
        <v>19395</v>
      </c>
      <c r="I79" s="22" t="s">
        <v>19309</v>
      </c>
      <c r="J79" s="22" t="s">
        <v>19696</v>
      </c>
      <c r="K79" s="22" t="s">
        <v>19965</v>
      </c>
      <c r="L79" s="22"/>
      <c r="M79" s="22"/>
      <c r="N79" s="25" t="str">
        <f>HYPERLINK("http://slimages.macys.com/is/image/MCY/20662535 ")</f>
        <v xml:space="preserve">http://slimages.macys.com/is/image/MCY/20662535 </v>
      </c>
    </row>
    <row r="80" spans="1:14" ht="24.75" x14ac:dyDescent="0.25">
      <c r="A80" s="21" t="s">
        <v>133</v>
      </c>
      <c r="B80" s="22" t="s">
        <v>134</v>
      </c>
      <c r="C80" s="2">
        <v>1</v>
      </c>
      <c r="D80" s="23">
        <v>26.99</v>
      </c>
      <c r="E80" s="3">
        <v>26.99</v>
      </c>
      <c r="F80" s="2" t="s">
        <v>12904</v>
      </c>
      <c r="G80" s="22" t="s">
        <v>19801</v>
      </c>
      <c r="H80" s="24" t="s">
        <v>19334</v>
      </c>
      <c r="I80" s="22" t="s">
        <v>19309</v>
      </c>
      <c r="J80" s="22" t="s">
        <v>19595</v>
      </c>
      <c r="K80" s="22" t="s">
        <v>19596</v>
      </c>
      <c r="L80" s="22"/>
      <c r="M80" s="22"/>
      <c r="N80" s="25" t="str">
        <f>HYPERLINK("http://slimages.macys.com/is/image/MCY/21622984 ")</f>
        <v xml:space="preserve">http://slimages.macys.com/is/image/MCY/21622984 </v>
      </c>
    </row>
    <row r="81" spans="1:14" ht="24.75" x14ac:dyDescent="0.25">
      <c r="A81" s="21" t="s">
        <v>135</v>
      </c>
      <c r="B81" s="22" t="s">
        <v>136</v>
      </c>
      <c r="C81" s="2">
        <v>1</v>
      </c>
      <c r="D81" s="23">
        <v>24.99</v>
      </c>
      <c r="E81" s="3">
        <v>24.99</v>
      </c>
      <c r="F81" s="2" t="s">
        <v>17681</v>
      </c>
      <c r="G81" s="22" t="s">
        <v>19431</v>
      </c>
      <c r="H81" s="24" t="s">
        <v>19339</v>
      </c>
      <c r="I81" s="22" t="s">
        <v>19309</v>
      </c>
      <c r="J81" s="22" t="s">
        <v>19447</v>
      </c>
      <c r="K81" s="22" t="s">
        <v>19533</v>
      </c>
      <c r="L81" s="22"/>
      <c r="M81" s="22"/>
      <c r="N81" s="25" t="str">
        <f>HYPERLINK("http://slimages.macys.com/is/image/MCY/21150450 ")</f>
        <v xml:space="preserve">http://slimages.macys.com/is/image/MCY/21150450 </v>
      </c>
    </row>
    <row r="82" spans="1:14" ht="24.75" x14ac:dyDescent="0.25">
      <c r="A82" s="21" t="s">
        <v>137</v>
      </c>
      <c r="B82" s="22" t="s">
        <v>138</v>
      </c>
      <c r="C82" s="2">
        <v>1</v>
      </c>
      <c r="D82" s="23">
        <v>26.99</v>
      </c>
      <c r="E82" s="3">
        <v>26.99</v>
      </c>
      <c r="F82" s="2" t="s">
        <v>139</v>
      </c>
      <c r="G82" s="22" t="s">
        <v>19315</v>
      </c>
      <c r="H82" s="24" t="s">
        <v>19330</v>
      </c>
      <c r="I82" s="22" t="s">
        <v>19309</v>
      </c>
      <c r="J82" s="22" t="s">
        <v>19491</v>
      </c>
      <c r="K82" s="22" t="s">
        <v>19463</v>
      </c>
      <c r="L82" s="22"/>
      <c r="M82" s="22"/>
      <c r="N82" s="25" t="str">
        <f>HYPERLINK("http://slimages.macys.com/is/image/MCY/19719533 ")</f>
        <v xml:space="preserve">http://slimages.macys.com/is/image/MCY/19719533 </v>
      </c>
    </row>
    <row r="83" spans="1:14" ht="24.75" x14ac:dyDescent="0.25">
      <c r="A83" s="21" t="s">
        <v>140</v>
      </c>
      <c r="B83" s="22" t="s">
        <v>141</v>
      </c>
      <c r="C83" s="2">
        <v>1</v>
      </c>
      <c r="D83" s="23">
        <v>26.07</v>
      </c>
      <c r="E83" s="3">
        <v>26.07</v>
      </c>
      <c r="F83" s="2" t="s">
        <v>142</v>
      </c>
      <c r="G83" s="22"/>
      <c r="H83" s="24" t="s">
        <v>19395</v>
      </c>
      <c r="I83" s="22" t="s">
        <v>19309</v>
      </c>
      <c r="J83" s="22" t="s">
        <v>19602</v>
      </c>
      <c r="K83" s="22" t="s">
        <v>19603</v>
      </c>
      <c r="L83" s="22"/>
      <c r="M83" s="22"/>
      <c r="N83" s="25" t="str">
        <f>HYPERLINK("http://slimages.macys.com/is/image/MCY/22406088 ")</f>
        <v xml:space="preserve">http://slimages.macys.com/is/image/MCY/22406088 </v>
      </c>
    </row>
    <row r="84" spans="1:14" ht="24.75" x14ac:dyDescent="0.25">
      <c r="A84" s="21" t="s">
        <v>143</v>
      </c>
      <c r="B84" s="22" t="s">
        <v>144</v>
      </c>
      <c r="C84" s="2">
        <v>1</v>
      </c>
      <c r="D84" s="23">
        <v>26.07</v>
      </c>
      <c r="E84" s="3">
        <v>26.07</v>
      </c>
      <c r="F84" s="2" t="s">
        <v>19606</v>
      </c>
      <c r="G84" s="22"/>
      <c r="H84" s="24" t="s">
        <v>19542</v>
      </c>
      <c r="I84" s="22" t="s">
        <v>19309</v>
      </c>
      <c r="J84" s="22" t="s">
        <v>19602</v>
      </c>
      <c r="K84" s="22" t="s">
        <v>19603</v>
      </c>
      <c r="L84" s="22"/>
      <c r="M84" s="22"/>
      <c r="N84" s="25" t="str">
        <f>HYPERLINK("http://slimages.macys.com/is/image/MCY/22406057 ")</f>
        <v xml:space="preserve">http://slimages.macys.com/is/image/MCY/22406057 </v>
      </c>
    </row>
    <row r="85" spans="1:14" ht="24.75" x14ac:dyDescent="0.25">
      <c r="A85" s="21" t="s">
        <v>145</v>
      </c>
      <c r="B85" s="22" t="s">
        <v>146</v>
      </c>
      <c r="C85" s="2">
        <v>1</v>
      </c>
      <c r="D85" s="23">
        <v>24.99</v>
      </c>
      <c r="E85" s="3">
        <v>24.99</v>
      </c>
      <c r="F85" s="2" t="s">
        <v>147</v>
      </c>
      <c r="G85" s="22" t="s">
        <v>19342</v>
      </c>
      <c r="H85" s="24" t="s">
        <v>19416</v>
      </c>
      <c r="I85" s="22" t="s">
        <v>19309</v>
      </c>
      <c r="J85" s="22" t="s">
        <v>19385</v>
      </c>
      <c r="K85" s="22" t="s">
        <v>19729</v>
      </c>
      <c r="L85" s="22"/>
      <c r="M85" s="22"/>
      <c r="N85" s="25" t="str">
        <f>HYPERLINK("http://slimages.macys.com/is/image/MCY/21506860 ")</f>
        <v xml:space="preserve">http://slimages.macys.com/is/image/MCY/21506860 </v>
      </c>
    </row>
    <row r="86" spans="1:14" ht="24.75" x14ac:dyDescent="0.25">
      <c r="A86" s="21" t="s">
        <v>148</v>
      </c>
      <c r="B86" s="22" t="s">
        <v>149</v>
      </c>
      <c r="C86" s="2">
        <v>1</v>
      </c>
      <c r="D86" s="23">
        <v>23.99</v>
      </c>
      <c r="E86" s="3">
        <v>23.99</v>
      </c>
      <c r="F86" s="2" t="s">
        <v>150</v>
      </c>
      <c r="G86" s="22" t="s">
        <v>19333</v>
      </c>
      <c r="H86" s="24" t="s">
        <v>19324</v>
      </c>
      <c r="I86" s="22" t="s">
        <v>19309</v>
      </c>
      <c r="J86" s="22" t="s">
        <v>19491</v>
      </c>
      <c r="K86" s="22" t="s">
        <v>19463</v>
      </c>
      <c r="L86" s="22"/>
      <c r="M86" s="22"/>
      <c r="N86" s="25" t="str">
        <f>HYPERLINK("http://slimages.macys.com/is/image/MCY/22021214 ")</f>
        <v xml:space="preserve">http://slimages.macys.com/is/image/MCY/22021214 </v>
      </c>
    </row>
    <row r="87" spans="1:14" ht="24.75" x14ac:dyDescent="0.25">
      <c r="A87" s="21" t="s">
        <v>151</v>
      </c>
      <c r="B87" s="22" t="s">
        <v>152</v>
      </c>
      <c r="C87" s="2">
        <v>1</v>
      </c>
      <c r="D87" s="23">
        <v>25.99</v>
      </c>
      <c r="E87" s="3">
        <v>25.99</v>
      </c>
      <c r="F87" s="2" t="s">
        <v>153</v>
      </c>
      <c r="G87" s="22" t="s">
        <v>19477</v>
      </c>
      <c r="H87" s="24" t="s">
        <v>19364</v>
      </c>
      <c r="I87" s="22" t="s">
        <v>19309</v>
      </c>
      <c r="J87" s="22" t="s">
        <v>19508</v>
      </c>
      <c r="K87" s="22" t="s">
        <v>19509</v>
      </c>
      <c r="L87" s="22"/>
      <c r="M87" s="22"/>
      <c r="N87" s="25" t="str">
        <f>HYPERLINK("http://slimages.macys.com/is/image/MCY/21356813 ")</f>
        <v xml:space="preserve">http://slimages.macys.com/is/image/MCY/21356813 </v>
      </c>
    </row>
    <row r="88" spans="1:14" ht="24.75" x14ac:dyDescent="0.25">
      <c r="A88" s="21" t="s">
        <v>154</v>
      </c>
      <c r="B88" s="22" t="s">
        <v>155</v>
      </c>
      <c r="C88" s="2">
        <v>1</v>
      </c>
      <c r="D88" s="23">
        <v>23.99</v>
      </c>
      <c r="E88" s="3">
        <v>23.99</v>
      </c>
      <c r="F88" s="2" t="s">
        <v>156</v>
      </c>
      <c r="G88" s="22" t="s">
        <v>157</v>
      </c>
      <c r="H88" s="24" t="s">
        <v>19352</v>
      </c>
      <c r="I88" s="22" t="s">
        <v>19309</v>
      </c>
      <c r="J88" s="22" t="s">
        <v>19447</v>
      </c>
      <c r="K88" s="22" t="s">
        <v>19533</v>
      </c>
      <c r="L88" s="22"/>
      <c r="M88" s="22"/>
      <c r="N88" s="25" t="str">
        <f>HYPERLINK("http://slimages.macys.com/is/image/MCY/20219976 ")</f>
        <v xml:space="preserve">http://slimages.macys.com/is/image/MCY/20219976 </v>
      </c>
    </row>
    <row r="89" spans="1:14" ht="24.75" x14ac:dyDescent="0.25">
      <c r="A89" s="21" t="s">
        <v>158</v>
      </c>
      <c r="B89" s="22" t="s">
        <v>17716</v>
      </c>
      <c r="C89" s="2">
        <v>1</v>
      </c>
      <c r="D89" s="23">
        <v>29.99</v>
      </c>
      <c r="E89" s="3">
        <v>29.99</v>
      </c>
      <c r="F89" s="2" t="s">
        <v>10874</v>
      </c>
      <c r="G89" s="22" t="s">
        <v>19342</v>
      </c>
      <c r="H89" s="24"/>
      <c r="I89" s="22" t="s">
        <v>19309</v>
      </c>
      <c r="J89" s="22" t="s">
        <v>19696</v>
      </c>
      <c r="K89" s="22" t="s">
        <v>17718</v>
      </c>
      <c r="L89" s="22"/>
      <c r="M89" s="22"/>
      <c r="N89" s="25" t="str">
        <f>HYPERLINK("http://slimages.macys.com/is/image/MCY/21502553 ")</f>
        <v xml:space="preserve">http://slimages.macys.com/is/image/MCY/21502553 </v>
      </c>
    </row>
    <row r="90" spans="1:14" x14ac:dyDescent="0.25">
      <c r="A90" s="21" t="s">
        <v>159</v>
      </c>
      <c r="B90" s="22" t="s">
        <v>160</v>
      </c>
      <c r="C90" s="2">
        <v>1</v>
      </c>
      <c r="D90" s="23">
        <v>29.99</v>
      </c>
      <c r="E90" s="3">
        <v>29.99</v>
      </c>
      <c r="F90" s="2" t="s">
        <v>161</v>
      </c>
      <c r="G90" s="22" t="s">
        <v>19342</v>
      </c>
      <c r="H90" s="24" t="s">
        <v>19478</v>
      </c>
      <c r="I90" s="22" t="s">
        <v>19309</v>
      </c>
      <c r="J90" s="22" t="s">
        <v>19696</v>
      </c>
      <c r="K90" s="22" t="s">
        <v>19697</v>
      </c>
      <c r="L90" s="22"/>
      <c r="M90" s="22"/>
      <c r="N90" s="25" t="str">
        <f>HYPERLINK("http://slimages.macys.com/is/image/MCY/21614921 ")</f>
        <v xml:space="preserve">http://slimages.macys.com/is/image/MCY/21614921 </v>
      </c>
    </row>
    <row r="91" spans="1:14" ht="24.75" x14ac:dyDescent="0.25">
      <c r="A91" s="21" t="s">
        <v>15674</v>
      </c>
      <c r="B91" s="22" t="s">
        <v>15675</v>
      </c>
      <c r="C91" s="2">
        <v>1</v>
      </c>
      <c r="D91" s="23">
        <v>32.99</v>
      </c>
      <c r="E91" s="3">
        <v>32.99</v>
      </c>
      <c r="F91" s="2" t="s">
        <v>15676</v>
      </c>
      <c r="G91" s="22" t="s">
        <v>19351</v>
      </c>
      <c r="H91" s="24" t="s">
        <v>19797</v>
      </c>
      <c r="I91" s="22" t="s">
        <v>19309</v>
      </c>
      <c r="J91" s="22" t="s">
        <v>19595</v>
      </c>
      <c r="K91" s="22" t="s">
        <v>19423</v>
      </c>
      <c r="L91" s="22"/>
      <c r="M91" s="22"/>
      <c r="N91" s="25" t="str">
        <f>HYPERLINK("http://slimages.macys.com/is/image/MCY/21398450 ")</f>
        <v xml:space="preserve">http://slimages.macys.com/is/image/MCY/21398450 </v>
      </c>
    </row>
    <row r="92" spans="1:14" ht="24.75" x14ac:dyDescent="0.25">
      <c r="A92" s="21" t="s">
        <v>15200</v>
      </c>
      <c r="B92" s="22" t="s">
        <v>15201</v>
      </c>
      <c r="C92" s="2">
        <v>1</v>
      </c>
      <c r="D92" s="23">
        <v>32.99</v>
      </c>
      <c r="E92" s="3">
        <v>32.99</v>
      </c>
      <c r="F92" s="2" t="s">
        <v>15202</v>
      </c>
      <c r="G92" s="22" t="s">
        <v>15203</v>
      </c>
      <c r="H92" s="24" t="s">
        <v>19364</v>
      </c>
      <c r="I92" s="22" t="s">
        <v>19309</v>
      </c>
      <c r="J92" s="22" t="s">
        <v>19595</v>
      </c>
      <c r="K92" s="22" t="s">
        <v>19423</v>
      </c>
      <c r="L92" s="22"/>
      <c r="M92" s="22"/>
      <c r="N92" s="25" t="str">
        <f>HYPERLINK("http://slimages.macys.com/is/image/MCY/21398445 ")</f>
        <v xml:space="preserve">http://slimages.macys.com/is/image/MCY/21398445 </v>
      </c>
    </row>
    <row r="93" spans="1:14" x14ac:dyDescent="0.25">
      <c r="A93" s="21" t="s">
        <v>162</v>
      </c>
      <c r="B93" s="22" t="s">
        <v>163</v>
      </c>
      <c r="C93" s="2">
        <v>1</v>
      </c>
      <c r="D93" s="23">
        <v>19.22</v>
      </c>
      <c r="E93" s="3">
        <v>19.22</v>
      </c>
      <c r="F93" s="2" t="s">
        <v>164</v>
      </c>
      <c r="G93" s="22" t="s">
        <v>19431</v>
      </c>
      <c r="H93" s="24" t="s">
        <v>19542</v>
      </c>
      <c r="I93" s="22" t="s">
        <v>19309</v>
      </c>
      <c r="J93" s="22" t="s">
        <v>19514</v>
      </c>
      <c r="K93" s="22" t="s">
        <v>18514</v>
      </c>
      <c r="L93" s="22"/>
      <c r="M93" s="22"/>
      <c r="N93" s="25" t="str">
        <f>HYPERLINK("http://slimages.macys.com/is/image/MCY/21374456 ")</f>
        <v xml:space="preserve">http://slimages.macys.com/is/image/MCY/21374456 </v>
      </c>
    </row>
    <row r="94" spans="1:14" ht="24.75" x14ac:dyDescent="0.25">
      <c r="A94" s="21" t="s">
        <v>17726</v>
      </c>
      <c r="B94" s="22" t="s">
        <v>17727</v>
      </c>
      <c r="C94" s="2">
        <v>1</v>
      </c>
      <c r="D94" s="23">
        <v>32.99</v>
      </c>
      <c r="E94" s="3">
        <v>32.99</v>
      </c>
      <c r="F94" s="2" t="s">
        <v>17728</v>
      </c>
      <c r="G94" s="22"/>
      <c r="H94" s="24" t="s">
        <v>19797</v>
      </c>
      <c r="I94" s="22" t="s">
        <v>19309</v>
      </c>
      <c r="J94" s="22" t="s">
        <v>19595</v>
      </c>
      <c r="K94" s="22" t="s">
        <v>19423</v>
      </c>
      <c r="L94" s="22"/>
      <c r="M94" s="22"/>
      <c r="N94" s="25" t="str">
        <f>HYPERLINK("http://slimages.macys.com/is/image/MCY/21423347 ")</f>
        <v xml:space="preserve">http://slimages.macys.com/is/image/MCY/21423347 </v>
      </c>
    </row>
    <row r="95" spans="1:14" ht="24.75" x14ac:dyDescent="0.25">
      <c r="A95" s="21" t="s">
        <v>165</v>
      </c>
      <c r="B95" s="22" t="s">
        <v>166</v>
      </c>
      <c r="C95" s="2">
        <v>1</v>
      </c>
      <c r="D95" s="23">
        <v>18.989999999999998</v>
      </c>
      <c r="E95" s="3">
        <v>18.989999999999998</v>
      </c>
      <c r="F95" s="2" t="s">
        <v>167</v>
      </c>
      <c r="G95" s="22" t="s">
        <v>19323</v>
      </c>
      <c r="H95" s="24" t="s">
        <v>19364</v>
      </c>
      <c r="I95" s="22" t="s">
        <v>19309</v>
      </c>
      <c r="J95" s="22" t="s">
        <v>19447</v>
      </c>
      <c r="K95" s="22" t="s">
        <v>19873</v>
      </c>
      <c r="L95" s="22"/>
      <c r="M95" s="22"/>
      <c r="N95" s="25" t="str">
        <f>HYPERLINK("http://slimages.macys.com/is/image/MCY/20670004 ")</f>
        <v xml:space="preserve">http://slimages.macys.com/is/image/MCY/20670004 </v>
      </c>
    </row>
    <row r="96" spans="1:14" ht="24.75" x14ac:dyDescent="0.25">
      <c r="A96" s="21" t="s">
        <v>168</v>
      </c>
      <c r="B96" s="22" t="s">
        <v>169</v>
      </c>
      <c r="C96" s="2">
        <v>1</v>
      </c>
      <c r="D96" s="23">
        <v>25.99</v>
      </c>
      <c r="E96" s="3">
        <v>25.99</v>
      </c>
      <c r="F96" s="2" t="s">
        <v>17752</v>
      </c>
      <c r="G96" s="22" t="s">
        <v>19431</v>
      </c>
      <c r="H96" s="24" t="s">
        <v>19330</v>
      </c>
      <c r="I96" s="22" t="s">
        <v>19309</v>
      </c>
      <c r="J96" s="22" t="s">
        <v>19573</v>
      </c>
      <c r="K96" s="22" t="s">
        <v>19574</v>
      </c>
      <c r="L96" s="22"/>
      <c r="M96" s="22"/>
      <c r="N96" s="25" t="str">
        <f>HYPERLINK("http://slimages.macys.com/is/image/MCY/1554793 ")</f>
        <v xml:space="preserve">http://slimages.macys.com/is/image/MCY/1554793 </v>
      </c>
    </row>
    <row r="97" spans="1:14" ht="24.75" x14ac:dyDescent="0.25">
      <c r="A97" s="21" t="s">
        <v>10361</v>
      </c>
      <c r="B97" s="22" t="s">
        <v>10362</v>
      </c>
      <c r="C97" s="2">
        <v>1</v>
      </c>
      <c r="D97" s="23">
        <v>25.99</v>
      </c>
      <c r="E97" s="3">
        <v>25.99</v>
      </c>
      <c r="F97" s="2" t="s">
        <v>17752</v>
      </c>
      <c r="G97" s="22" t="s">
        <v>19431</v>
      </c>
      <c r="H97" s="24" t="s">
        <v>19384</v>
      </c>
      <c r="I97" s="22" t="s">
        <v>19309</v>
      </c>
      <c r="J97" s="22" t="s">
        <v>19573</v>
      </c>
      <c r="K97" s="22" t="s">
        <v>19574</v>
      </c>
      <c r="L97" s="22"/>
      <c r="M97" s="22"/>
      <c r="N97" s="25" t="str">
        <f>HYPERLINK("http://slimages.macys.com/is/image/MCY/1554793 ")</f>
        <v xml:space="preserve">http://slimages.macys.com/is/image/MCY/1554793 </v>
      </c>
    </row>
    <row r="98" spans="1:14" ht="24.75" x14ac:dyDescent="0.25">
      <c r="A98" s="21" t="s">
        <v>170</v>
      </c>
      <c r="B98" s="22" t="s">
        <v>171</v>
      </c>
      <c r="C98" s="2">
        <v>1</v>
      </c>
      <c r="D98" s="23">
        <v>22.99</v>
      </c>
      <c r="E98" s="3">
        <v>22.99</v>
      </c>
      <c r="F98" s="2" t="s">
        <v>8741</v>
      </c>
      <c r="G98" s="22" t="s">
        <v>19351</v>
      </c>
      <c r="H98" s="24" t="s">
        <v>19330</v>
      </c>
      <c r="I98" s="22" t="s">
        <v>19309</v>
      </c>
      <c r="J98" s="22" t="s">
        <v>19385</v>
      </c>
      <c r="K98" s="22" t="s">
        <v>19463</v>
      </c>
      <c r="L98" s="22"/>
      <c r="M98" s="22"/>
      <c r="N98" s="25" t="str">
        <f>HYPERLINK("http://slimages.macys.com/is/image/MCY/21423788 ")</f>
        <v xml:space="preserve">http://slimages.macys.com/is/image/MCY/21423788 </v>
      </c>
    </row>
    <row r="99" spans="1:14" ht="24.75" x14ac:dyDescent="0.25">
      <c r="A99" s="21" t="s">
        <v>172</v>
      </c>
      <c r="B99" s="22" t="s">
        <v>173</v>
      </c>
      <c r="C99" s="2">
        <v>1</v>
      </c>
      <c r="D99" s="23">
        <v>19.989999999999998</v>
      </c>
      <c r="E99" s="3">
        <v>19.989999999999998</v>
      </c>
      <c r="F99" s="2" t="s">
        <v>174</v>
      </c>
      <c r="G99" s="22" t="s">
        <v>19422</v>
      </c>
      <c r="H99" s="24" t="s">
        <v>19416</v>
      </c>
      <c r="I99" s="22" t="s">
        <v>19309</v>
      </c>
      <c r="J99" s="22" t="s">
        <v>19385</v>
      </c>
      <c r="K99" s="22" t="s">
        <v>19458</v>
      </c>
      <c r="L99" s="22"/>
      <c r="M99" s="22"/>
      <c r="N99" s="25" t="str">
        <f>HYPERLINK("http://slimages.macys.com/is/image/MCY/21423425 ")</f>
        <v xml:space="preserve">http://slimages.macys.com/is/image/MCY/21423425 </v>
      </c>
    </row>
    <row r="100" spans="1:14" ht="24.75" x14ac:dyDescent="0.25">
      <c r="A100" s="21" t="s">
        <v>175</v>
      </c>
      <c r="B100" s="22" t="s">
        <v>176</v>
      </c>
      <c r="C100" s="2">
        <v>2</v>
      </c>
      <c r="D100" s="23">
        <v>19.989999999999998</v>
      </c>
      <c r="E100" s="3">
        <v>39.979999999999997</v>
      </c>
      <c r="F100" s="2" t="s">
        <v>174</v>
      </c>
      <c r="G100" s="22" t="s">
        <v>19422</v>
      </c>
      <c r="H100" s="24" t="s">
        <v>19330</v>
      </c>
      <c r="I100" s="22" t="s">
        <v>19309</v>
      </c>
      <c r="J100" s="22" t="s">
        <v>19385</v>
      </c>
      <c r="K100" s="22" t="s">
        <v>19458</v>
      </c>
      <c r="L100" s="22"/>
      <c r="M100" s="22"/>
      <c r="N100" s="25" t="str">
        <f>HYPERLINK("http://slimages.macys.com/is/image/MCY/21423425 ")</f>
        <v xml:space="preserve">http://slimages.macys.com/is/image/MCY/21423425 </v>
      </c>
    </row>
    <row r="101" spans="1:14" ht="24.75" x14ac:dyDescent="0.25">
      <c r="A101" s="21" t="s">
        <v>177</v>
      </c>
      <c r="B101" s="22" t="s">
        <v>178</v>
      </c>
      <c r="C101" s="2">
        <v>1</v>
      </c>
      <c r="D101" s="23">
        <v>24.99</v>
      </c>
      <c r="E101" s="3">
        <v>24.99</v>
      </c>
      <c r="F101" s="2" t="s">
        <v>10885</v>
      </c>
      <c r="G101" s="22" t="s">
        <v>19660</v>
      </c>
      <c r="H101" s="24" t="s">
        <v>19384</v>
      </c>
      <c r="I101" s="22" t="s">
        <v>19309</v>
      </c>
      <c r="J101" s="22" t="s">
        <v>19385</v>
      </c>
      <c r="K101" s="22" t="s">
        <v>19386</v>
      </c>
      <c r="L101" s="22"/>
      <c r="M101" s="22"/>
      <c r="N101" s="25" t="str">
        <f>HYPERLINK("http://slimages.macys.com/is/image/MCY/21688904 ")</f>
        <v xml:space="preserve">http://slimages.macys.com/is/image/MCY/21688904 </v>
      </c>
    </row>
    <row r="102" spans="1:14" ht="24.75" x14ac:dyDescent="0.25">
      <c r="A102" s="21" t="s">
        <v>179</v>
      </c>
      <c r="B102" s="22" t="s">
        <v>180</v>
      </c>
      <c r="C102" s="2">
        <v>1</v>
      </c>
      <c r="D102" s="23">
        <v>19.989999999999998</v>
      </c>
      <c r="E102" s="3">
        <v>19.989999999999998</v>
      </c>
      <c r="F102" s="2" t="s">
        <v>181</v>
      </c>
      <c r="G102" s="22" t="s">
        <v>19415</v>
      </c>
      <c r="H102" s="24" t="s">
        <v>19416</v>
      </c>
      <c r="I102" s="22" t="s">
        <v>19309</v>
      </c>
      <c r="J102" s="22" t="s">
        <v>19385</v>
      </c>
      <c r="K102" s="22" t="s">
        <v>19458</v>
      </c>
      <c r="L102" s="22"/>
      <c r="M102" s="22"/>
      <c r="N102" s="25" t="str">
        <f>HYPERLINK("http://slimages.macys.com/is/image/MCY/21423429 ")</f>
        <v xml:space="preserve">http://slimages.macys.com/is/image/MCY/21423429 </v>
      </c>
    </row>
    <row r="103" spans="1:14" ht="24.75" x14ac:dyDescent="0.25">
      <c r="A103" s="21" t="s">
        <v>182</v>
      </c>
      <c r="B103" s="22" t="s">
        <v>183</v>
      </c>
      <c r="C103" s="2">
        <v>1</v>
      </c>
      <c r="D103" s="23">
        <v>34.5</v>
      </c>
      <c r="E103" s="3">
        <v>34.5</v>
      </c>
      <c r="F103" s="2" t="s">
        <v>184</v>
      </c>
      <c r="G103" s="22" t="s">
        <v>19518</v>
      </c>
      <c r="H103" s="24" t="s">
        <v>19395</v>
      </c>
      <c r="I103" s="22" t="s">
        <v>19309</v>
      </c>
      <c r="J103" s="22" t="s">
        <v>19688</v>
      </c>
      <c r="K103" s="22" t="s">
        <v>19614</v>
      </c>
      <c r="L103" s="22"/>
      <c r="M103" s="22"/>
      <c r="N103" s="25" t="str">
        <f>HYPERLINK("http://slimages.macys.com/is/image/MCY/21056458 ")</f>
        <v xml:space="preserve">http://slimages.macys.com/is/image/MCY/21056458 </v>
      </c>
    </row>
    <row r="104" spans="1:14" ht="24.75" x14ac:dyDescent="0.25">
      <c r="A104" s="21" t="s">
        <v>185</v>
      </c>
      <c r="B104" s="22" t="s">
        <v>186</v>
      </c>
      <c r="C104" s="2">
        <v>1</v>
      </c>
      <c r="D104" s="23">
        <v>29.99</v>
      </c>
      <c r="E104" s="3">
        <v>29.99</v>
      </c>
      <c r="F104" s="2" t="s">
        <v>1812</v>
      </c>
      <c r="G104" s="22" t="s">
        <v>19342</v>
      </c>
      <c r="H104" s="24" t="s">
        <v>19324</v>
      </c>
      <c r="I104" s="22" t="s">
        <v>19309</v>
      </c>
      <c r="J104" s="22" t="s">
        <v>19491</v>
      </c>
      <c r="K104" s="22" t="s">
        <v>15725</v>
      </c>
      <c r="L104" s="22"/>
      <c r="M104" s="22"/>
      <c r="N104" s="25" t="str">
        <f>HYPERLINK("http://slimages.macys.com/is/image/MCY/21398390 ")</f>
        <v xml:space="preserve">http://slimages.macys.com/is/image/MCY/21398390 </v>
      </c>
    </row>
    <row r="105" spans="1:14" x14ac:dyDescent="0.25">
      <c r="A105" s="21" t="s">
        <v>2363</v>
      </c>
      <c r="B105" s="22" t="s">
        <v>2364</v>
      </c>
      <c r="C105" s="2">
        <v>319</v>
      </c>
      <c r="D105" s="23">
        <v>27.99</v>
      </c>
      <c r="E105" s="3">
        <v>8928.81</v>
      </c>
      <c r="F105" s="2" t="s">
        <v>17777</v>
      </c>
      <c r="G105" s="22" t="s">
        <v>19342</v>
      </c>
      <c r="H105" s="24" t="s">
        <v>19392</v>
      </c>
      <c r="I105" s="22" t="s">
        <v>19309</v>
      </c>
      <c r="J105" s="22" t="s">
        <v>19696</v>
      </c>
      <c r="K105" s="22" t="s">
        <v>19697</v>
      </c>
      <c r="L105" s="22"/>
      <c r="M105" s="22"/>
      <c r="N105" s="25" t="str">
        <f>HYPERLINK("http://slimages.macys.com/is/image/MCY/21364964 ")</f>
        <v xml:space="preserve">http://slimages.macys.com/is/image/MCY/21364964 </v>
      </c>
    </row>
    <row r="106" spans="1:14" x14ac:dyDescent="0.25">
      <c r="A106" s="21" t="s">
        <v>7374</v>
      </c>
      <c r="B106" s="22" t="s">
        <v>7375</v>
      </c>
      <c r="C106" s="2">
        <v>1</v>
      </c>
      <c r="D106" s="23">
        <v>27.99</v>
      </c>
      <c r="E106" s="3">
        <v>27.99</v>
      </c>
      <c r="F106" s="2" t="s">
        <v>17782</v>
      </c>
      <c r="G106" s="22" t="s">
        <v>19342</v>
      </c>
      <c r="H106" s="24" t="s">
        <v>19392</v>
      </c>
      <c r="I106" s="22" t="s">
        <v>19309</v>
      </c>
      <c r="J106" s="22" t="s">
        <v>19696</v>
      </c>
      <c r="K106" s="22" t="s">
        <v>19697</v>
      </c>
      <c r="L106" s="22"/>
      <c r="M106" s="22"/>
      <c r="N106" s="25" t="str">
        <f>HYPERLINK("http://slimages.macys.com/is/image/MCY/21159602 ")</f>
        <v xml:space="preserve">http://slimages.macys.com/is/image/MCY/21159602 </v>
      </c>
    </row>
    <row r="107" spans="1:14" ht="24.75" x14ac:dyDescent="0.25">
      <c r="A107" s="21" t="s">
        <v>187</v>
      </c>
      <c r="B107" s="22" t="s">
        <v>188</v>
      </c>
      <c r="C107" s="2">
        <v>1</v>
      </c>
      <c r="D107" s="23">
        <v>16.989999999999998</v>
      </c>
      <c r="E107" s="3">
        <v>16.989999999999998</v>
      </c>
      <c r="F107" s="2" t="s">
        <v>189</v>
      </c>
      <c r="G107" s="22" t="s">
        <v>19351</v>
      </c>
      <c r="H107" s="24" t="s">
        <v>20089</v>
      </c>
      <c r="I107" s="22" t="s">
        <v>19309</v>
      </c>
      <c r="J107" s="22" t="s">
        <v>19908</v>
      </c>
      <c r="K107" s="22" t="s">
        <v>19524</v>
      </c>
      <c r="L107" s="22"/>
      <c r="M107" s="22"/>
      <c r="N107" s="25" t="str">
        <f>HYPERLINK("http://slimages.macys.com/is/image/MCY/21070303 ")</f>
        <v xml:space="preserve">http://slimages.macys.com/is/image/MCY/21070303 </v>
      </c>
    </row>
    <row r="108" spans="1:14" ht="24.75" x14ac:dyDescent="0.25">
      <c r="A108" s="21" t="s">
        <v>190</v>
      </c>
      <c r="B108" s="22" t="s">
        <v>191</v>
      </c>
      <c r="C108" s="2">
        <v>1</v>
      </c>
      <c r="D108" s="23">
        <v>21.99</v>
      </c>
      <c r="E108" s="3">
        <v>21.99</v>
      </c>
      <c r="F108" s="2" t="s">
        <v>6576</v>
      </c>
      <c r="G108" s="22" t="s">
        <v>19814</v>
      </c>
      <c r="H108" s="24" t="s">
        <v>19377</v>
      </c>
      <c r="I108" s="22" t="s">
        <v>19309</v>
      </c>
      <c r="J108" s="22" t="s">
        <v>19595</v>
      </c>
      <c r="K108" s="22" t="s">
        <v>19596</v>
      </c>
      <c r="L108" s="22"/>
      <c r="M108" s="22"/>
      <c r="N108" s="25" t="str">
        <f>HYPERLINK("http://slimages.macys.com/is/image/MCY/21623062 ")</f>
        <v xml:space="preserve">http://slimages.macys.com/is/image/MCY/21623062 </v>
      </c>
    </row>
    <row r="109" spans="1:14" ht="24.75" x14ac:dyDescent="0.25">
      <c r="A109" s="21" t="s">
        <v>4223</v>
      </c>
      <c r="B109" s="22" t="s">
        <v>4224</v>
      </c>
      <c r="C109" s="2">
        <v>1</v>
      </c>
      <c r="D109" s="23">
        <v>16.989999999999998</v>
      </c>
      <c r="E109" s="3">
        <v>16.989999999999998</v>
      </c>
      <c r="F109" s="2" t="s">
        <v>4225</v>
      </c>
      <c r="G109" s="22" t="s">
        <v>19467</v>
      </c>
      <c r="H109" s="24" t="s">
        <v>19395</v>
      </c>
      <c r="I109" s="22" t="s">
        <v>19309</v>
      </c>
      <c r="J109" s="22" t="s">
        <v>19447</v>
      </c>
      <c r="K109" s="22" t="s">
        <v>20146</v>
      </c>
      <c r="L109" s="22"/>
      <c r="M109" s="22"/>
      <c r="N109" s="25" t="str">
        <f>HYPERLINK("http://slimages.macys.com/is/image/MCY/20016808 ")</f>
        <v xml:space="preserve">http://slimages.macys.com/is/image/MCY/20016808 </v>
      </c>
    </row>
    <row r="110" spans="1:14" x14ac:dyDescent="0.25">
      <c r="A110" s="21" t="s">
        <v>192</v>
      </c>
      <c r="B110" s="22" t="s">
        <v>193</v>
      </c>
      <c r="C110" s="2">
        <v>1</v>
      </c>
      <c r="D110" s="23">
        <v>20.58</v>
      </c>
      <c r="E110" s="3">
        <v>20.58</v>
      </c>
      <c r="F110" s="2" t="s">
        <v>8232</v>
      </c>
      <c r="G110" s="22" t="s">
        <v>19342</v>
      </c>
      <c r="H110" s="24" t="s">
        <v>19392</v>
      </c>
      <c r="I110" s="22" t="s">
        <v>19309</v>
      </c>
      <c r="J110" s="22" t="s">
        <v>19514</v>
      </c>
      <c r="K110" s="22" t="s">
        <v>10909</v>
      </c>
      <c r="L110" s="22"/>
      <c r="M110" s="22"/>
      <c r="N110" s="25" t="str">
        <f>HYPERLINK("http://slimages.macys.com/is/image/MCY/21192199 ")</f>
        <v xml:space="preserve">http://slimages.macys.com/is/image/MCY/21192199 </v>
      </c>
    </row>
    <row r="111" spans="1:14" x14ac:dyDescent="0.25">
      <c r="A111" s="21" t="s">
        <v>8039</v>
      </c>
      <c r="B111" s="22" t="s">
        <v>8040</v>
      </c>
      <c r="C111" s="2">
        <v>1</v>
      </c>
      <c r="D111" s="23">
        <v>20.58</v>
      </c>
      <c r="E111" s="3">
        <v>20.58</v>
      </c>
      <c r="F111" s="2" t="s">
        <v>10908</v>
      </c>
      <c r="G111" s="22" t="s">
        <v>19342</v>
      </c>
      <c r="H111" s="24" t="s">
        <v>19392</v>
      </c>
      <c r="I111" s="22" t="s">
        <v>19309</v>
      </c>
      <c r="J111" s="22" t="s">
        <v>19514</v>
      </c>
      <c r="K111" s="22" t="s">
        <v>10909</v>
      </c>
      <c r="L111" s="22"/>
      <c r="M111" s="22"/>
      <c r="N111" s="25" t="str">
        <f>HYPERLINK("http://slimages.macys.com/is/image/MCY/21192198 ")</f>
        <v xml:space="preserve">http://slimages.macys.com/is/image/MCY/21192198 </v>
      </c>
    </row>
    <row r="112" spans="1:14" ht="24.75" x14ac:dyDescent="0.25">
      <c r="A112" s="21" t="s">
        <v>194</v>
      </c>
      <c r="B112" s="22" t="s">
        <v>195</v>
      </c>
      <c r="C112" s="2">
        <v>1</v>
      </c>
      <c r="D112" s="23">
        <v>31.99</v>
      </c>
      <c r="E112" s="3">
        <v>31.99</v>
      </c>
      <c r="F112" s="2" t="s">
        <v>196</v>
      </c>
      <c r="G112" s="22" t="s">
        <v>19518</v>
      </c>
      <c r="H112" s="24" t="s">
        <v>19324</v>
      </c>
      <c r="I112" s="22" t="s">
        <v>19309</v>
      </c>
      <c r="J112" s="22" t="s">
        <v>19573</v>
      </c>
      <c r="K112" s="22" t="s">
        <v>19574</v>
      </c>
      <c r="L112" s="22"/>
      <c r="M112" s="22"/>
      <c r="N112" s="25" t="str">
        <f>HYPERLINK("http://slimages.macys.com/is/image/MCY/20359933 ")</f>
        <v xml:space="preserve">http://slimages.macys.com/is/image/MCY/20359933 </v>
      </c>
    </row>
    <row r="113" spans="1:14" ht="24.75" x14ac:dyDescent="0.25">
      <c r="A113" s="21" t="s">
        <v>1820</v>
      </c>
      <c r="B113" s="22" t="s">
        <v>1821</v>
      </c>
      <c r="C113" s="2">
        <v>1</v>
      </c>
      <c r="D113" s="23">
        <v>24.99</v>
      </c>
      <c r="E113" s="3">
        <v>24.99</v>
      </c>
      <c r="F113" s="2" t="s">
        <v>17821</v>
      </c>
      <c r="G113" s="22" t="s">
        <v>19713</v>
      </c>
      <c r="H113" s="24" t="s">
        <v>19416</v>
      </c>
      <c r="I113" s="22" t="s">
        <v>19309</v>
      </c>
      <c r="J113" s="22" t="s">
        <v>19573</v>
      </c>
      <c r="K113" s="22" t="s">
        <v>19574</v>
      </c>
      <c r="L113" s="22"/>
      <c r="M113" s="22"/>
      <c r="N113" s="25" t="str">
        <f>HYPERLINK("http://slimages.macys.com/is/image/MCY/1679020 ")</f>
        <v xml:space="preserve">http://slimages.macys.com/is/image/MCY/1679020 </v>
      </c>
    </row>
    <row r="114" spans="1:14" ht="24.75" x14ac:dyDescent="0.25">
      <c r="A114" s="21" t="s">
        <v>17819</v>
      </c>
      <c r="B114" s="22" t="s">
        <v>17820</v>
      </c>
      <c r="C114" s="2">
        <v>1</v>
      </c>
      <c r="D114" s="23">
        <v>24.99</v>
      </c>
      <c r="E114" s="3">
        <v>24.99</v>
      </c>
      <c r="F114" s="2" t="s">
        <v>17821</v>
      </c>
      <c r="G114" s="22" t="s">
        <v>19713</v>
      </c>
      <c r="H114" s="24" t="s">
        <v>19384</v>
      </c>
      <c r="I114" s="22" t="s">
        <v>19309</v>
      </c>
      <c r="J114" s="22" t="s">
        <v>19573</v>
      </c>
      <c r="K114" s="22" t="s">
        <v>19574</v>
      </c>
      <c r="L114" s="22"/>
      <c r="M114" s="22"/>
      <c r="N114" s="25" t="str">
        <f>HYPERLINK("http://slimages.macys.com/is/image/MCY/1679020 ")</f>
        <v xml:space="preserve">http://slimages.macys.com/is/image/MCY/1679020 </v>
      </c>
    </row>
    <row r="115" spans="1:14" ht="24.75" x14ac:dyDescent="0.25">
      <c r="A115" s="21" t="s">
        <v>197</v>
      </c>
      <c r="B115" s="22" t="s">
        <v>198</v>
      </c>
      <c r="C115" s="2">
        <v>1</v>
      </c>
      <c r="D115" s="23">
        <v>37.5</v>
      </c>
      <c r="E115" s="3">
        <v>37.5</v>
      </c>
      <c r="F115" s="2" t="s">
        <v>199</v>
      </c>
      <c r="G115" s="22" t="s">
        <v>19315</v>
      </c>
      <c r="H115" s="24"/>
      <c r="I115" s="22" t="s">
        <v>19309</v>
      </c>
      <c r="J115" s="22" t="s">
        <v>15149</v>
      </c>
      <c r="K115" s="22" t="s">
        <v>19546</v>
      </c>
      <c r="L115" s="22"/>
      <c r="M115" s="22"/>
      <c r="N115" s="25" t="str">
        <f>HYPERLINK("http://slimages.macys.com/is/image/MCY/21168531 ")</f>
        <v xml:space="preserve">http://slimages.macys.com/is/image/MCY/21168531 </v>
      </c>
    </row>
    <row r="116" spans="1:14" ht="24.75" x14ac:dyDescent="0.25">
      <c r="A116" s="21" t="s">
        <v>19741</v>
      </c>
      <c r="B116" s="22" t="s">
        <v>19742</v>
      </c>
      <c r="C116" s="2">
        <v>5</v>
      </c>
      <c r="D116" s="23">
        <v>24.99</v>
      </c>
      <c r="E116" s="3">
        <v>124.95</v>
      </c>
      <c r="F116" s="2" t="s">
        <v>19728</v>
      </c>
      <c r="G116" s="22" t="s">
        <v>19342</v>
      </c>
      <c r="H116" s="24" t="s">
        <v>19416</v>
      </c>
      <c r="I116" s="22" t="s">
        <v>19309</v>
      </c>
      <c r="J116" s="22" t="s">
        <v>19385</v>
      </c>
      <c r="K116" s="22" t="s">
        <v>19729</v>
      </c>
      <c r="L116" s="22"/>
      <c r="M116" s="22"/>
      <c r="N116" s="25" t="str">
        <f>HYPERLINK("http://slimages.macys.com/is/image/MCY/21773792 ")</f>
        <v xml:space="preserve">http://slimages.macys.com/is/image/MCY/21773792 </v>
      </c>
    </row>
    <row r="117" spans="1:14" ht="24.75" x14ac:dyDescent="0.25">
      <c r="A117" s="21" t="s">
        <v>19726</v>
      </c>
      <c r="B117" s="22" t="s">
        <v>19727</v>
      </c>
      <c r="C117" s="2">
        <v>4</v>
      </c>
      <c r="D117" s="23">
        <v>24.99</v>
      </c>
      <c r="E117" s="3">
        <v>99.96</v>
      </c>
      <c r="F117" s="2" t="s">
        <v>19728</v>
      </c>
      <c r="G117" s="22" t="s">
        <v>19342</v>
      </c>
      <c r="H117" s="24" t="s">
        <v>19324</v>
      </c>
      <c r="I117" s="22" t="s">
        <v>19309</v>
      </c>
      <c r="J117" s="22" t="s">
        <v>19385</v>
      </c>
      <c r="K117" s="22" t="s">
        <v>19729</v>
      </c>
      <c r="L117" s="22"/>
      <c r="M117" s="22"/>
      <c r="N117" s="25" t="str">
        <f>HYPERLINK("http://slimages.macys.com/is/image/MCY/21773792 ")</f>
        <v xml:space="preserve">http://slimages.macys.com/is/image/MCY/21773792 </v>
      </c>
    </row>
    <row r="118" spans="1:14" ht="24.75" x14ac:dyDescent="0.25">
      <c r="A118" s="21" t="s">
        <v>200</v>
      </c>
      <c r="B118" s="22" t="s">
        <v>201</v>
      </c>
      <c r="C118" s="2">
        <v>1</v>
      </c>
      <c r="D118" s="23">
        <v>24.99</v>
      </c>
      <c r="E118" s="3">
        <v>24.99</v>
      </c>
      <c r="F118" s="2" t="s">
        <v>202</v>
      </c>
      <c r="G118" s="22" t="s">
        <v>19342</v>
      </c>
      <c r="H118" s="24" t="s">
        <v>19324</v>
      </c>
      <c r="I118" s="22" t="s">
        <v>19309</v>
      </c>
      <c r="J118" s="22" t="s">
        <v>19491</v>
      </c>
      <c r="K118" s="22" t="s">
        <v>19554</v>
      </c>
      <c r="L118" s="22"/>
      <c r="M118" s="22"/>
      <c r="N118" s="25" t="str">
        <f>HYPERLINK("http://slimages.macys.com/is/image/MCY/20389932 ")</f>
        <v xml:space="preserve">http://slimages.macys.com/is/image/MCY/20389932 </v>
      </c>
    </row>
    <row r="119" spans="1:14" ht="24.75" x14ac:dyDescent="0.25">
      <c r="A119" s="21" t="s">
        <v>19743</v>
      </c>
      <c r="B119" s="22" t="s">
        <v>19744</v>
      </c>
      <c r="C119" s="2">
        <v>4</v>
      </c>
      <c r="D119" s="23">
        <v>24.99</v>
      </c>
      <c r="E119" s="3">
        <v>99.96</v>
      </c>
      <c r="F119" s="2" t="s">
        <v>19728</v>
      </c>
      <c r="G119" s="22" t="s">
        <v>19342</v>
      </c>
      <c r="H119" s="24" t="s">
        <v>19330</v>
      </c>
      <c r="I119" s="22" t="s">
        <v>19309</v>
      </c>
      <c r="J119" s="22" t="s">
        <v>19385</v>
      </c>
      <c r="K119" s="22" t="s">
        <v>19729</v>
      </c>
      <c r="L119" s="22"/>
      <c r="M119" s="22"/>
      <c r="N119" s="25" t="str">
        <f>HYPERLINK("http://slimages.macys.com/is/image/MCY/21773792 ")</f>
        <v xml:space="preserve">http://slimages.macys.com/is/image/MCY/21773792 </v>
      </c>
    </row>
    <row r="120" spans="1:14" ht="24.75" x14ac:dyDescent="0.25">
      <c r="A120" s="21" t="s">
        <v>203</v>
      </c>
      <c r="B120" s="22" t="s">
        <v>204</v>
      </c>
      <c r="C120" s="2">
        <v>1</v>
      </c>
      <c r="D120" s="23">
        <v>24.99</v>
      </c>
      <c r="E120" s="3">
        <v>24.99</v>
      </c>
      <c r="F120" s="2" t="s">
        <v>205</v>
      </c>
      <c r="G120" s="22" t="s">
        <v>19342</v>
      </c>
      <c r="H120" s="24" t="s">
        <v>19416</v>
      </c>
      <c r="I120" s="22" t="s">
        <v>19309</v>
      </c>
      <c r="J120" s="22" t="s">
        <v>19385</v>
      </c>
      <c r="K120" s="22" t="s">
        <v>19614</v>
      </c>
      <c r="L120" s="22"/>
      <c r="M120" s="22"/>
      <c r="N120" s="25" t="str">
        <f>HYPERLINK("http://slimages.macys.com/is/image/MCY/20123024 ")</f>
        <v xml:space="preserve">http://slimages.macys.com/is/image/MCY/20123024 </v>
      </c>
    </row>
    <row r="121" spans="1:14" ht="24.75" x14ac:dyDescent="0.25">
      <c r="A121" s="21" t="s">
        <v>206</v>
      </c>
      <c r="B121" s="22" t="s">
        <v>207</v>
      </c>
      <c r="C121" s="2">
        <v>1</v>
      </c>
      <c r="D121" s="23">
        <v>20.99</v>
      </c>
      <c r="E121" s="3">
        <v>20.99</v>
      </c>
      <c r="F121" s="2" t="s">
        <v>15812</v>
      </c>
      <c r="G121" s="22" t="s">
        <v>20306</v>
      </c>
      <c r="H121" s="24" t="s">
        <v>20152</v>
      </c>
      <c r="I121" s="22" t="s">
        <v>19309</v>
      </c>
      <c r="J121" s="22" t="s">
        <v>19385</v>
      </c>
      <c r="K121" s="22" t="s">
        <v>19463</v>
      </c>
      <c r="L121" s="22"/>
      <c r="M121" s="22"/>
      <c r="N121" s="25" t="str">
        <f>HYPERLINK("http://slimages.macys.com/is/image/MCY/21636882 ")</f>
        <v xml:space="preserve">http://slimages.macys.com/is/image/MCY/21636882 </v>
      </c>
    </row>
    <row r="122" spans="1:14" ht="24.75" x14ac:dyDescent="0.25">
      <c r="A122" s="21" t="s">
        <v>19748</v>
      </c>
      <c r="B122" s="22" t="s">
        <v>19749</v>
      </c>
      <c r="C122" s="2">
        <v>1</v>
      </c>
      <c r="D122" s="23">
        <v>21.29</v>
      </c>
      <c r="E122" s="3">
        <v>21.29</v>
      </c>
      <c r="F122" s="2" t="s">
        <v>19750</v>
      </c>
      <c r="G122" s="22"/>
      <c r="H122" s="24" t="s">
        <v>19345</v>
      </c>
      <c r="I122" s="22" t="s">
        <v>19309</v>
      </c>
      <c r="J122" s="22" t="s">
        <v>19602</v>
      </c>
      <c r="K122" s="22" t="s">
        <v>19603</v>
      </c>
      <c r="L122" s="22"/>
      <c r="M122" s="22"/>
      <c r="N122" s="25" t="str">
        <f>HYPERLINK("http://slimages.macys.com/is/image/MCY/22405986 ")</f>
        <v xml:space="preserve">http://slimages.macys.com/is/image/MCY/22405986 </v>
      </c>
    </row>
    <row r="123" spans="1:14" ht="24.75" x14ac:dyDescent="0.25">
      <c r="A123" s="21" t="s">
        <v>17844</v>
      </c>
      <c r="B123" s="22" t="s">
        <v>17845</v>
      </c>
      <c r="C123" s="2">
        <v>1</v>
      </c>
      <c r="D123" s="23">
        <v>21.43</v>
      </c>
      <c r="E123" s="3">
        <v>21.43</v>
      </c>
      <c r="F123" s="2" t="s">
        <v>17846</v>
      </c>
      <c r="G123" s="22"/>
      <c r="H123" s="24" t="s">
        <v>19345</v>
      </c>
      <c r="I123" s="22" t="s">
        <v>19309</v>
      </c>
      <c r="J123" s="22" t="s">
        <v>19602</v>
      </c>
      <c r="K123" s="22" t="s">
        <v>19603</v>
      </c>
      <c r="L123" s="22"/>
      <c r="M123" s="22"/>
      <c r="N123" s="25" t="str">
        <f>HYPERLINK("http://slimages.macys.com/is/image/MCY/21421353 ")</f>
        <v xml:space="preserve">http://slimages.macys.com/is/image/MCY/21421353 </v>
      </c>
    </row>
    <row r="124" spans="1:14" ht="24.75" x14ac:dyDescent="0.25">
      <c r="A124" s="21" t="s">
        <v>208</v>
      </c>
      <c r="B124" s="22" t="s">
        <v>209</v>
      </c>
      <c r="C124" s="2">
        <v>1</v>
      </c>
      <c r="D124" s="23">
        <v>21.43</v>
      </c>
      <c r="E124" s="3">
        <v>21.43</v>
      </c>
      <c r="F124" s="2" t="s">
        <v>11893</v>
      </c>
      <c r="G124" s="22"/>
      <c r="H124" s="24"/>
      <c r="I124" s="22" t="s">
        <v>19309</v>
      </c>
      <c r="J124" s="22" t="s">
        <v>19602</v>
      </c>
      <c r="K124" s="22" t="s">
        <v>19603</v>
      </c>
      <c r="L124" s="22"/>
      <c r="M124" s="22"/>
      <c r="N124" s="25" t="str">
        <f>HYPERLINK("http://slimages.macys.com/is/image/MCY/21421847 ")</f>
        <v xml:space="preserve">http://slimages.macys.com/is/image/MCY/21421847 </v>
      </c>
    </row>
    <row r="125" spans="1:14" ht="24.75" x14ac:dyDescent="0.25">
      <c r="A125" s="21" t="s">
        <v>11891</v>
      </c>
      <c r="B125" s="22" t="s">
        <v>11892</v>
      </c>
      <c r="C125" s="2">
        <v>1</v>
      </c>
      <c r="D125" s="23">
        <v>21.43</v>
      </c>
      <c r="E125" s="3">
        <v>21.43</v>
      </c>
      <c r="F125" s="2" t="s">
        <v>11893</v>
      </c>
      <c r="G125" s="22"/>
      <c r="H125" s="24" t="s">
        <v>19392</v>
      </c>
      <c r="I125" s="22" t="s">
        <v>19309</v>
      </c>
      <c r="J125" s="22" t="s">
        <v>19602</v>
      </c>
      <c r="K125" s="22" t="s">
        <v>19603</v>
      </c>
      <c r="L125" s="22"/>
      <c r="M125" s="22"/>
      <c r="N125" s="25" t="str">
        <f>HYPERLINK("http://slimages.macys.com/is/image/MCY/21421847 ")</f>
        <v xml:space="preserve">http://slimages.macys.com/is/image/MCY/21421847 </v>
      </c>
    </row>
    <row r="126" spans="1:14" x14ac:dyDescent="0.25">
      <c r="A126" s="21" t="s">
        <v>210</v>
      </c>
      <c r="B126" s="22" t="s">
        <v>211</v>
      </c>
      <c r="C126" s="2">
        <v>2</v>
      </c>
      <c r="D126" s="23">
        <v>26.05</v>
      </c>
      <c r="E126" s="3">
        <v>52.1</v>
      </c>
      <c r="F126" s="2" t="s">
        <v>212</v>
      </c>
      <c r="G126" s="22"/>
      <c r="H126" s="24" t="s">
        <v>19330</v>
      </c>
      <c r="I126" s="22" t="s">
        <v>19309</v>
      </c>
      <c r="J126" s="22" t="s">
        <v>19708</v>
      </c>
      <c r="K126" s="22" t="s">
        <v>19754</v>
      </c>
      <c r="L126" s="22"/>
      <c r="M126" s="22"/>
      <c r="N126" s="25" t="str">
        <f>HYPERLINK("http://slimages.macys.com/is/image/MCY/21414756 ")</f>
        <v xml:space="preserve">http://slimages.macys.com/is/image/MCY/21414756 </v>
      </c>
    </row>
    <row r="127" spans="1:14" x14ac:dyDescent="0.25">
      <c r="A127" s="21" t="s">
        <v>213</v>
      </c>
      <c r="B127" s="22" t="s">
        <v>214</v>
      </c>
      <c r="C127" s="2">
        <v>2</v>
      </c>
      <c r="D127" s="23">
        <v>26.05</v>
      </c>
      <c r="E127" s="3">
        <v>52.1</v>
      </c>
      <c r="F127" s="2" t="s">
        <v>212</v>
      </c>
      <c r="G127" s="22"/>
      <c r="H127" s="24" t="s">
        <v>19324</v>
      </c>
      <c r="I127" s="22" t="s">
        <v>19309</v>
      </c>
      <c r="J127" s="22" t="s">
        <v>19708</v>
      </c>
      <c r="K127" s="22" t="s">
        <v>19754</v>
      </c>
      <c r="L127" s="22"/>
      <c r="M127" s="22"/>
      <c r="N127" s="25" t="str">
        <f>HYPERLINK("http://slimages.macys.com/is/image/MCY/21414756 ")</f>
        <v xml:space="preserve">http://slimages.macys.com/is/image/MCY/21414756 </v>
      </c>
    </row>
    <row r="128" spans="1:14" x14ac:dyDescent="0.25">
      <c r="A128" s="21" t="s">
        <v>215</v>
      </c>
      <c r="B128" s="22" t="s">
        <v>216</v>
      </c>
      <c r="C128" s="2">
        <v>2</v>
      </c>
      <c r="D128" s="23">
        <v>26.05</v>
      </c>
      <c r="E128" s="3">
        <v>52.1</v>
      </c>
      <c r="F128" s="2" t="s">
        <v>212</v>
      </c>
      <c r="G128" s="22"/>
      <c r="H128" s="24" t="s">
        <v>19416</v>
      </c>
      <c r="I128" s="22" t="s">
        <v>19309</v>
      </c>
      <c r="J128" s="22" t="s">
        <v>19708</v>
      </c>
      <c r="K128" s="22" t="s">
        <v>19754</v>
      </c>
      <c r="L128" s="22"/>
      <c r="M128" s="22"/>
      <c r="N128" s="25" t="str">
        <f>HYPERLINK("http://slimages.macys.com/is/image/MCY/21414756 ")</f>
        <v xml:space="preserve">http://slimages.macys.com/is/image/MCY/21414756 </v>
      </c>
    </row>
    <row r="129" spans="1:14" ht="24.75" x14ac:dyDescent="0.25">
      <c r="A129" s="21" t="s">
        <v>217</v>
      </c>
      <c r="B129" s="22" t="s">
        <v>218</v>
      </c>
      <c r="C129" s="2">
        <v>1</v>
      </c>
      <c r="D129" s="23">
        <v>21.29</v>
      </c>
      <c r="E129" s="3">
        <v>21.29</v>
      </c>
      <c r="F129" s="2" t="s">
        <v>7394</v>
      </c>
      <c r="G129" s="22"/>
      <c r="H129" s="24" t="s">
        <v>19345</v>
      </c>
      <c r="I129" s="22" t="s">
        <v>19309</v>
      </c>
      <c r="J129" s="22" t="s">
        <v>19602</v>
      </c>
      <c r="K129" s="22" t="s">
        <v>19603</v>
      </c>
      <c r="L129" s="22"/>
      <c r="M129" s="22"/>
      <c r="N129" s="25" t="str">
        <f>HYPERLINK("http://slimages.macys.com/is/image/MCY/22406101 ")</f>
        <v xml:space="preserve">http://slimages.macys.com/is/image/MCY/22406101 </v>
      </c>
    </row>
    <row r="130" spans="1:14" ht="24.75" x14ac:dyDescent="0.25">
      <c r="A130" s="21" t="s">
        <v>219</v>
      </c>
      <c r="B130" s="22" t="s">
        <v>220</v>
      </c>
      <c r="C130" s="2">
        <v>1</v>
      </c>
      <c r="D130" s="23">
        <v>21.29</v>
      </c>
      <c r="E130" s="3">
        <v>21.29</v>
      </c>
      <c r="F130" s="2" t="s">
        <v>7394</v>
      </c>
      <c r="G130" s="22"/>
      <c r="H130" s="24" t="s">
        <v>19334</v>
      </c>
      <c r="I130" s="22" t="s">
        <v>19309</v>
      </c>
      <c r="J130" s="22" t="s">
        <v>19602</v>
      </c>
      <c r="K130" s="22" t="s">
        <v>19603</v>
      </c>
      <c r="L130" s="22"/>
      <c r="M130" s="22"/>
      <c r="N130" s="25" t="str">
        <f>HYPERLINK("http://slimages.macys.com/is/image/MCY/22406101 ")</f>
        <v xml:space="preserve">http://slimages.macys.com/is/image/MCY/22406101 </v>
      </c>
    </row>
    <row r="131" spans="1:14" ht="24.75" x14ac:dyDescent="0.25">
      <c r="A131" s="21" t="s">
        <v>221</v>
      </c>
      <c r="B131" s="22" t="s">
        <v>222</v>
      </c>
      <c r="C131" s="2">
        <v>1</v>
      </c>
      <c r="D131" s="23">
        <v>21.43</v>
      </c>
      <c r="E131" s="3">
        <v>21.43</v>
      </c>
      <c r="F131" s="2" t="s">
        <v>17846</v>
      </c>
      <c r="G131" s="22"/>
      <c r="H131" s="24" t="s">
        <v>19392</v>
      </c>
      <c r="I131" s="22" t="s">
        <v>19309</v>
      </c>
      <c r="J131" s="22" t="s">
        <v>19602</v>
      </c>
      <c r="K131" s="22" t="s">
        <v>19603</v>
      </c>
      <c r="L131" s="22"/>
      <c r="M131" s="22"/>
      <c r="N131" s="25" t="str">
        <f>HYPERLINK("http://slimages.macys.com/is/image/MCY/21421353 ")</f>
        <v xml:space="preserve">http://slimages.macys.com/is/image/MCY/21421353 </v>
      </c>
    </row>
    <row r="132" spans="1:14" ht="24.75" x14ac:dyDescent="0.25">
      <c r="A132" s="21" t="s">
        <v>223</v>
      </c>
      <c r="B132" s="22" t="s">
        <v>224</v>
      </c>
      <c r="C132" s="2">
        <v>1</v>
      </c>
      <c r="D132" s="23">
        <v>18.989999999999998</v>
      </c>
      <c r="E132" s="3">
        <v>18.989999999999998</v>
      </c>
      <c r="F132" s="2" t="s">
        <v>225</v>
      </c>
      <c r="G132" s="22" t="s">
        <v>19307</v>
      </c>
      <c r="H132" s="24" t="s">
        <v>19339</v>
      </c>
      <c r="I132" s="22" t="s">
        <v>19309</v>
      </c>
      <c r="J132" s="22" t="s">
        <v>19447</v>
      </c>
      <c r="K132" s="22" t="s">
        <v>19311</v>
      </c>
      <c r="L132" s="22" t="s">
        <v>19434</v>
      </c>
      <c r="M132" s="22" t="s">
        <v>17531</v>
      </c>
      <c r="N132" s="25" t="str">
        <f>HYPERLINK("http://images.bloomingdales.com/is/image/BLM/11555830 ")</f>
        <v xml:space="preserve">http://images.bloomingdales.com/is/image/BLM/11555830 </v>
      </c>
    </row>
    <row r="133" spans="1:14" x14ac:dyDescent="0.25">
      <c r="A133" s="21" t="s">
        <v>226</v>
      </c>
      <c r="B133" s="22" t="s">
        <v>227</v>
      </c>
      <c r="C133" s="2">
        <v>1</v>
      </c>
      <c r="D133" s="23">
        <v>24.09</v>
      </c>
      <c r="E133" s="3">
        <v>24.09</v>
      </c>
      <c r="F133" s="2" t="s">
        <v>228</v>
      </c>
      <c r="G133" s="22" t="s">
        <v>19323</v>
      </c>
      <c r="H133" s="24" t="s">
        <v>19770</v>
      </c>
      <c r="I133" s="22" t="s">
        <v>19309</v>
      </c>
      <c r="J133" s="22" t="s">
        <v>19708</v>
      </c>
      <c r="K133" s="22" t="s">
        <v>19709</v>
      </c>
      <c r="L133" s="22"/>
      <c r="M133" s="22"/>
      <c r="N133" s="25" t="str">
        <f>HYPERLINK("http://slimages.macys.com/is/image/MCY/22596555 ")</f>
        <v xml:space="preserve">http://slimages.macys.com/is/image/MCY/22596555 </v>
      </c>
    </row>
    <row r="134" spans="1:14" ht="24.75" x14ac:dyDescent="0.25">
      <c r="A134" s="21" t="s">
        <v>19765</v>
      </c>
      <c r="B134" s="22" t="s">
        <v>19766</v>
      </c>
      <c r="C134" s="2">
        <v>1</v>
      </c>
      <c r="D134" s="23">
        <v>19.989999999999998</v>
      </c>
      <c r="E134" s="3">
        <v>19.989999999999998</v>
      </c>
      <c r="F134" s="2" t="s">
        <v>19767</v>
      </c>
      <c r="G134" s="22" t="s">
        <v>19467</v>
      </c>
      <c r="H134" s="24"/>
      <c r="I134" s="22" t="s">
        <v>19309</v>
      </c>
      <c r="J134" s="22" t="s">
        <v>19573</v>
      </c>
      <c r="K134" s="22" t="s">
        <v>19574</v>
      </c>
      <c r="L134" s="22"/>
      <c r="M134" s="22"/>
      <c r="N134" s="25" t="str">
        <f>HYPERLINK("http://slimages.macys.com/is/image/MCY/1646345 ")</f>
        <v xml:space="preserve">http://slimages.macys.com/is/image/MCY/1646345 </v>
      </c>
    </row>
    <row r="135" spans="1:14" ht="24.75" x14ac:dyDescent="0.25">
      <c r="A135" s="21" t="s">
        <v>229</v>
      </c>
      <c r="B135" s="22" t="s">
        <v>230</v>
      </c>
      <c r="C135" s="2">
        <v>1</v>
      </c>
      <c r="D135" s="23">
        <v>20</v>
      </c>
      <c r="E135" s="3">
        <v>20</v>
      </c>
      <c r="F135" s="2" t="s">
        <v>231</v>
      </c>
      <c r="G135" s="22" t="s">
        <v>13313</v>
      </c>
      <c r="H135" s="24"/>
      <c r="I135" s="22" t="s">
        <v>19309</v>
      </c>
      <c r="J135" s="22" t="s">
        <v>15506</v>
      </c>
      <c r="K135" s="22" t="s">
        <v>4049</v>
      </c>
      <c r="L135" s="22"/>
      <c r="M135" s="22"/>
      <c r="N135" s="25" t="str">
        <f>HYPERLINK("http://slimages.macys.com/is/image/MCY/21685064 ")</f>
        <v xml:space="preserve">http://slimages.macys.com/is/image/MCY/21685064 </v>
      </c>
    </row>
    <row r="136" spans="1:14" ht="24.75" x14ac:dyDescent="0.25">
      <c r="A136" s="21" t="s">
        <v>232</v>
      </c>
      <c r="B136" s="22" t="s">
        <v>233</v>
      </c>
      <c r="C136" s="2">
        <v>1</v>
      </c>
      <c r="D136" s="23">
        <v>20</v>
      </c>
      <c r="E136" s="3">
        <v>20</v>
      </c>
      <c r="F136" s="2" t="s">
        <v>234</v>
      </c>
      <c r="G136" s="22" t="s">
        <v>19763</v>
      </c>
      <c r="H136" s="24"/>
      <c r="I136" s="22" t="s">
        <v>19309</v>
      </c>
      <c r="J136" s="22" t="s">
        <v>15506</v>
      </c>
      <c r="K136" s="22" t="s">
        <v>4049</v>
      </c>
      <c r="L136" s="22"/>
      <c r="M136" s="22"/>
      <c r="N136" s="25" t="str">
        <f>HYPERLINK("http://slimages.macys.com/is/image/MCY/21151381 ")</f>
        <v xml:space="preserve">http://slimages.macys.com/is/image/MCY/21151381 </v>
      </c>
    </row>
    <row r="137" spans="1:14" ht="24.75" x14ac:dyDescent="0.25">
      <c r="A137" s="21" t="s">
        <v>235</v>
      </c>
      <c r="B137" s="22" t="s">
        <v>236</v>
      </c>
      <c r="C137" s="2">
        <v>1</v>
      </c>
      <c r="D137" s="23">
        <v>20</v>
      </c>
      <c r="E137" s="3">
        <v>20</v>
      </c>
      <c r="F137" s="2" t="s">
        <v>237</v>
      </c>
      <c r="G137" s="22" t="s">
        <v>19513</v>
      </c>
      <c r="H137" s="24"/>
      <c r="I137" s="22" t="s">
        <v>19309</v>
      </c>
      <c r="J137" s="22" t="s">
        <v>15506</v>
      </c>
      <c r="K137" s="22" t="s">
        <v>4049</v>
      </c>
      <c r="L137" s="22"/>
      <c r="M137" s="22"/>
      <c r="N137" s="25" t="str">
        <f>HYPERLINK("http://slimages.macys.com/is/image/MCY/21685058 ")</f>
        <v xml:space="preserve">http://slimages.macys.com/is/image/MCY/21685058 </v>
      </c>
    </row>
    <row r="138" spans="1:14" ht="24.75" x14ac:dyDescent="0.25">
      <c r="A138" s="21" t="s">
        <v>238</v>
      </c>
      <c r="B138" s="22" t="s">
        <v>239</v>
      </c>
      <c r="C138" s="2">
        <v>1</v>
      </c>
      <c r="D138" s="23">
        <v>21.99</v>
      </c>
      <c r="E138" s="3">
        <v>21.99</v>
      </c>
      <c r="F138" s="2" t="s">
        <v>19804</v>
      </c>
      <c r="G138" s="22" t="s">
        <v>19351</v>
      </c>
      <c r="H138" s="24" t="s">
        <v>19345</v>
      </c>
      <c r="I138" s="22" t="s">
        <v>19309</v>
      </c>
      <c r="J138" s="22" t="s">
        <v>19595</v>
      </c>
      <c r="K138" s="22" t="s">
        <v>19596</v>
      </c>
      <c r="L138" s="22"/>
      <c r="M138" s="22"/>
      <c r="N138" s="25" t="str">
        <f>HYPERLINK("http://slimages.macys.com/is/image/MCY/21623006 ")</f>
        <v xml:space="preserve">http://slimages.macys.com/is/image/MCY/21623006 </v>
      </c>
    </row>
    <row r="139" spans="1:14" ht="24.75" x14ac:dyDescent="0.25">
      <c r="A139" s="21" t="s">
        <v>4269</v>
      </c>
      <c r="B139" s="22" t="s">
        <v>4270</v>
      </c>
      <c r="C139" s="2">
        <v>1</v>
      </c>
      <c r="D139" s="23">
        <v>18.989999999999998</v>
      </c>
      <c r="E139" s="3">
        <v>18.989999999999998</v>
      </c>
      <c r="F139" s="2" t="s">
        <v>19813</v>
      </c>
      <c r="G139" s="22" t="s">
        <v>19315</v>
      </c>
      <c r="H139" s="24" t="s">
        <v>19339</v>
      </c>
      <c r="I139" s="22" t="s">
        <v>19309</v>
      </c>
      <c r="J139" s="22" t="s">
        <v>19815</v>
      </c>
      <c r="K139" s="22" t="s">
        <v>19816</v>
      </c>
      <c r="L139" s="22"/>
      <c r="M139" s="22"/>
      <c r="N139" s="25" t="str">
        <f>HYPERLINK("http://slimages.macys.com/is/image/MCY/20549863 ")</f>
        <v xml:space="preserve">http://slimages.macys.com/is/image/MCY/20549863 </v>
      </c>
    </row>
    <row r="140" spans="1:14" ht="24.75" x14ac:dyDescent="0.25">
      <c r="A140" s="21" t="s">
        <v>15847</v>
      </c>
      <c r="B140" s="22" t="s">
        <v>15848</v>
      </c>
      <c r="C140" s="2">
        <v>1</v>
      </c>
      <c r="D140" s="23">
        <v>18.989999999999998</v>
      </c>
      <c r="E140" s="3">
        <v>18.989999999999998</v>
      </c>
      <c r="F140" s="2" t="s">
        <v>19813</v>
      </c>
      <c r="G140" s="22" t="s">
        <v>19814</v>
      </c>
      <c r="H140" s="24" t="s">
        <v>19364</v>
      </c>
      <c r="I140" s="22" t="s">
        <v>19309</v>
      </c>
      <c r="J140" s="22" t="s">
        <v>19815</v>
      </c>
      <c r="K140" s="22" t="s">
        <v>19816</v>
      </c>
      <c r="L140" s="22"/>
      <c r="M140" s="22"/>
      <c r="N140" s="25" t="str">
        <f>HYPERLINK("http://slimages.macys.com/is/image/MCY/20549863 ")</f>
        <v xml:space="preserve">http://slimages.macys.com/is/image/MCY/20549863 </v>
      </c>
    </row>
    <row r="141" spans="1:14" x14ac:dyDescent="0.25">
      <c r="A141" s="21" t="s">
        <v>12998</v>
      </c>
      <c r="B141" s="22" t="s">
        <v>12999</v>
      </c>
      <c r="C141" s="2">
        <v>1</v>
      </c>
      <c r="D141" s="23">
        <v>23.29</v>
      </c>
      <c r="E141" s="3">
        <v>23.29</v>
      </c>
      <c r="F141" s="2" t="s">
        <v>17890</v>
      </c>
      <c r="G141" s="22" t="s">
        <v>19879</v>
      </c>
      <c r="H141" s="24" t="s">
        <v>20159</v>
      </c>
      <c r="I141" s="22" t="s">
        <v>19309</v>
      </c>
      <c r="J141" s="22" t="s">
        <v>19708</v>
      </c>
      <c r="K141" s="22" t="s">
        <v>19709</v>
      </c>
      <c r="L141" s="22"/>
      <c r="M141" s="22"/>
      <c r="N141" s="25" t="str">
        <f>HYPERLINK("http://slimages.macys.com/is/image/MCY/22407537 ")</f>
        <v xml:space="preserve">http://slimages.macys.com/is/image/MCY/22407537 </v>
      </c>
    </row>
    <row r="142" spans="1:14" x14ac:dyDescent="0.25">
      <c r="A142" s="21" t="s">
        <v>240</v>
      </c>
      <c r="B142" s="22" t="s">
        <v>241</v>
      </c>
      <c r="C142" s="2">
        <v>1</v>
      </c>
      <c r="D142" s="23">
        <v>16.989999999999998</v>
      </c>
      <c r="E142" s="3">
        <v>16.989999999999998</v>
      </c>
      <c r="F142" s="2" t="s">
        <v>11920</v>
      </c>
      <c r="G142" s="22" t="s">
        <v>19618</v>
      </c>
      <c r="H142" s="24" t="s">
        <v>19339</v>
      </c>
      <c r="I142" s="22" t="s">
        <v>19309</v>
      </c>
      <c r="J142" s="22" t="s">
        <v>19849</v>
      </c>
      <c r="K142" s="22" t="s">
        <v>19850</v>
      </c>
      <c r="L142" s="22"/>
      <c r="M142" s="22"/>
      <c r="N142" s="25" t="str">
        <f>HYPERLINK("http://slimages.macys.com/is/image/MCY/20548754 ")</f>
        <v xml:space="preserve">http://slimages.macys.com/is/image/MCY/20548754 </v>
      </c>
    </row>
    <row r="143" spans="1:14" x14ac:dyDescent="0.25">
      <c r="A143" s="21" t="s">
        <v>242</v>
      </c>
      <c r="B143" s="22" t="s">
        <v>243</v>
      </c>
      <c r="C143" s="2">
        <v>1</v>
      </c>
      <c r="D143" s="23">
        <v>16.989999999999998</v>
      </c>
      <c r="E143" s="3">
        <v>16.989999999999998</v>
      </c>
      <c r="F143" s="2" t="s">
        <v>11920</v>
      </c>
      <c r="G143" s="22" t="s">
        <v>19467</v>
      </c>
      <c r="H143" s="24" t="s">
        <v>19339</v>
      </c>
      <c r="I143" s="22" t="s">
        <v>19309</v>
      </c>
      <c r="J143" s="22" t="s">
        <v>19849</v>
      </c>
      <c r="K143" s="22" t="s">
        <v>19850</v>
      </c>
      <c r="L143" s="22"/>
      <c r="M143" s="22"/>
      <c r="N143" s="25" t="str">
        <f>HYPERLINK("http://slimages.macys.com/is/image/MCY/20548754 ")</f>
        <v xml:space="preserve">http://slimages.macys.com/is/image/MCY/20548754 </v>
      </c>
    </row>
    <row r="144" spans="1:14" ht="24.75" x14ac:dyDescent="0.25">
      <c r="A144" s="21" t="s">
        <v>244</v>
      </c>
      <c r="B144" s="22" t="s">
        <v>245</v>
      </c>
      <c r="C144" s="2">
        <v>1</v>
      </c>
      <c r="D144" s="23">
        <v>24.99</v>
      </c>
      <c r="E144" s="3">
        <v>24.99</v>
      </c>
      <c r="F144" s="2" t="s">
        <v>15856</v>
      </c>
      <c r="G144" s="22"/>
      <c r="H144" s="24"/>
      <c r="I144" s="22" t="s">
        <v>19309</v>
      </c>
      <c r="J144" s="22" t="s">
        <v>19519</v>
      </c>
      <c r="K144" s="22" t="s">
        <v>19834</v>
      </c>
      <c r="L144" s="22"/>
      <c r="M144" s="22"/>
      <c r="N144" s="25" t="str">
        <f>HYPERLINK("http://slimages.macys.com/is/image/MCY/21352780 ")</f>
        <v xml:space="preserve">http://slimages.macys.com/is/image/MCY/21352780 </v>
      </c>
    </row>
    <row r="145" spans="1:14" ht="24.75" x14ac:dyDescent="0.25">
      <c r="A145" s="21" t="s">
        <v>4624</v>
      </c>
      <c r="B145" s="22" t="s">
        <v>4625</v>
      </c>
      <c r="C145" s="2">
        <v>1</v>
      </c>
      <c r="D145" s="23">
        <v>21.99</v>
      </c>
      <c r="E145" s="3">
        <v>21.99</v>
      </c>
      <c r="F145" s="2" t="s">
        <v>15851</v>
      </c>
      <c r="G145" s="22" t="s">
        <v>19357</v>
      </c>
      <c r="H145" s="24" t="s">
        <v>19395</v>
      </c>
      <c r="I145" s="22" t="s">
        <v>19309</v>
      </c>
      <c r="J145" s="22" t="s">
        <v>19595</v>
      </c>
      <c r="K145" s="22" t="s">
        <v>19596</v>
      </c>
      <c r="L145" s="22"/>
      <c r="M145" s="22"/>
      <c r="N145" s="25" t="str">
        <f>HYPERLINK("http://slimages.macys.com/is/image/MCY/21909784 ")</f>
        <v xml:space="preserve">http://slimages.macys.com/is/image/MCY/21909784 </v>
      </c>
    </row>
    <row r="146" spans="1:14" ht="24.75" x14ac:dyDescent="0.25">
      <c r="A146" s="21" t="s">
        <v>246</v>
      </c>
      <c r="B146" s="22" t="s">
        <v>247</v>
      </c>
      <c r="C146" s="2">
        <v>1</v>
      </c>
      <c r="D146" s="23">
        <v>20</v>
      </c>
      <c r="E146" s="3">
        <v>20</v>
      </c>
      <c r="F146" s="2" t="s">
        <v>248</v>
      </c>
      <c r="G146" s="22" t="s">
        <v>19680</v>
      </c>
      <c r="H146" s="24"/>
      <c r="I146" s="22" t="s">
        <v>19309</v>
      </c>
      <c r="J146" s="22" t="s">
        <v>19310</v>
      </c>
      <c r="K146" s="22" t="s">
        <v>17538</v>
      </c>
      <c r="L146" s="22" t="s">
        <v>19319</v>
      </c>
      <c r="M146" s="22" t="s">
        <v>249</v>
      </c>
      <c r="N146" s="25" t="str">
        <f>HYPERLINK("http://slimages.macys.com/is/image/MCY/15780941 ")</f>
        <v xml:space="preserve">http://slimages.macys.com/is/image/MCY/15780941 </v>
      </c>
    </row>
    <row r="147" spans="1:14" x14ac:dyDescent="0.25">
      <c r="A147" s="21" t="s">
        <v>250</v>
      </c>
      <c r="B147" s="22" t="s">
        <v>251</v>
      </c>
      <c r="C147" s="2">
        <v>1</v>
      </c>
      <c r="D147" s="23">
        <v>17.82</v>
      </c>
      <c r="E147" s="3">
        <v>17.82</v>
      </c>
      <c r="F147" s="2" t="s">
        <v>5670</v>
      </c>
      <c r="G147" s="22"/>
      <c r="H147" s="24" t="s">
        <v>19324</v>
      </c>
      <c r="I147" s="22" t="s">
        <v>19309</v>
      </c>
      <c r="J147" s="22" t="s">
        <v>19708</v>
      </c>
      <c r="K147" s="22" t="s">
        <v>19709</v>
      </c>
      <c r="L147" s="22"/>
      <c r="M147" s="22"/>
      <c r="N147" s="25" t="str">
        <f>HYPERLINK("http://slimages.macys.com/is/image/MCY/21409177 ")</f>
        <v xml:space="preserve">http://slimages.macys.com/is/image/MCY/21409177 </v>
      </c>
    </row>
    <row r="148" spans="1:14" x14ac:dyDescent="0.25">
      <c r="A148" s="21" t="s">
        <v>252</v>
      </c>
      <c r="B148" s="22" t="s">
        <v>253</v>
      </c>
      <c r="C148" s="2">
        <v>1</v>
      </c>
      <c r="D148" s="23">
        <v>17.82</v>
      </c>
      <c r="E148" s="3">
        <v>17.82</v>
      </c>
      <c r="F148" s="2" t="s">
        <v>254</v>
      </c>
      <c r="G148" s="22" t="s">
        <v>19323</v>
      </c>
      <c r="H148" s="24" t="s">
        <v>19324</v>
      </c>
      <c r="I148" s="22" t="s">
        <v>19309</v>
      </c>
      <c r="J148" s="22" t="s">
        <v>19708</v>
      </c>
      <c r="K148" s="22" t="s">
        <v>19709</v>
      </c>
      <c r="L148" s="22"/>
      <c r="M148" s="22"/>
      <c r="N148" s="25" t="str">
        <f>HYPERLINK("http://slimages.macys.com/is/image/MCY/21409548 ")</f>
        <v xml:space="preserve">http://slimages.macys.com/is/image/MCY/21409548 </v>
      </c>
    </row>
    <row r="149" spans="1:14" x14ac:dyDescent="0.25">
      <c r="A149" s="21" t="s">
        <v>255</v>
      </c>
      <c r="B149" s="22" t="s">
        <v>256</v>
      </c>
      <c r="C149" s="2">
        <v>1</v>
      </c>
      <c r="D149" s="23">
        <v>17.82</v>
      </c>
      <c r="E149" s="3">
        <v>17.82</v>
      </c>
      <c r="F149" s="2" t="s">
        <v>254</v>
      </c>
      <c r="G149" s="22" t="s">
        <v>19323</v>
      </c>
      <c r="H149" s="24" t="s">
        <v>19367</v>
      </c>
      <c r="I149" s="22" t="s">
        <v>19309</v>
      </c>
      <c r="J149" s="22" t="s">
        <v>19708</v>
      </c>
      <c r="K149" s="22" t="s">
        <v>19709</v>
      </c>
      <c r="L149" s="22"/>
      <c r="M149" s="22"/>
      <c r="N149" s="25" t="str">
        <f>HYPERLINK("http://slimages.macys.com/is/image/MCY/21409548 ")</f>
        <v xml:space="preserve">http://slimages.macys.com/is/image/MCY/21409548 </v>
      </c>
    </row>
    <row r="150" spans="1:14" x14ac:dyDescent="0.25">
      <c r="A150" s="21" t="s">
        <v>257</v>
      </c>
      <c r="B150" s="22" t="s">
        <v>17950</v>
      </c>
      <c r="C150" s="2">
        <v>1</v>
      </c>
      <c r="D150" s="23">
        <v>18.329999999999998</v>
      </c>
      <c r="E150" s="3">
        <v>18.329999999999998</v>
      </c>
      <c r="F150" s="2" t="s">
        <v>13026</v>
      </c>
      <c r="G150" s="22" t="s">
        <v>19342</v>
      </c>
      <c r="H150" s="24" t="s">
        <v>19345</v>
      </c>
      <c r="I150" s="22" t="s">
        <v>19309</v>
      </c>
      <c r="J150" s="22" t="s">
        <v>19514</v>
      </c>
      <c r="K150" s="22" t="s">
        <v>17948</v>
      </c>
      <c r="L150" s="22"/>
      <c r="M150" s="22"/>
      <c r="N150" s="25" t="str">
        <f>HYPERLINK("http://slimages.macys.com/is/image/MCY/21701093 ")</f>
        <v xml:space="preserve">http://slimages.macys.com/is/image/MCY/21701093 </v>
      </c>
    </row>
    <row r="151" spans="1:14" ht="24.75" x14ac:dyDescent="0.25">
      <c r="A151" s="21" t="s">
        <v>10470</v>
      </c>
      <c r="B151" s="22" t="s">
        <v>10471</v>
      </c>
      <c r="C151" s="2">
        <v>1</v>
      </c>
      <c r="D151" s="23">
        <v>16.989999999999998</v>
      </c>
      <c r="E151" s="3">
        <v>16.989999999999998</v>
      </c>
      <c r="F151" s="2" t="s">
        <v>19911</v>
      </c>
      <c r="G151" s="22" t="s">
        <v>19422</v>
      </c>
      <c r="H151" s="24" t="s">
        <v>19770</v>
      </c>
      <c r="I151" s="22" t="s">
        <v>19309</v>
      </c>
      <c r="J151" s="22" t="s">
        <v>19573</v>
      </c>
      <c r="K151" s="22" t="s">
        <v>19574</v>
      </c>
      <c r="L151" s="22"/>
      <c r="M151" s="22"/>
      <c r="N151" s="25" t="str">
        <f>HYPERLINK("http://slimages.macys.com/is/image/MCY/1646328 ")</f>
        <v xml:space="preserve">http://slimages.macys.com/is/image/MCY/1646328 </v>
      </c>
    </row>
    <row r="152" spans="1:14" x14ac:dyDescent="0.25">
      <c r="A152" s="21" t="s">
        <v>258</v>
      </c>
      <c r="B152" s="22" t="s">
        <v>259</v>
      </c>
      <c r="C152" s="2">
        <v>1</v>
      </c>
      <c r="D152" s="23">
        <v>13.99</v>
      </c>
      <c r="E152" s="3">
        <v>13.99</v>
      </c>
      <c r="F152" s="2" t="s">
        <v>260</v>
      </c>
      <c r="G152" s="22" t="s">
        <v>19315</v>
      </c>
      <c r="H152" s="24" t="s">
        <v>19334</v>
      </c>
      <c r="I152" s="22" t="s">
        <v>19309</v>
      </c>
      <c r="J152" s="22" t="s">
        <v>19310</v>
      </c>
      <c r="K152" s="22" t="s">
        <v>19468</v>
      </c>
      <c r="L152" s="22"/>
      <c r="M152" s="22"/>
      <c r="N152" s="25" t="str">
        <f>HYPERLINK("http://slimages.macys.com/is/image/MCY/20663261 ")</f>
        <v xml:space="preserve">http://slimages.macys.com/is/image/MCY/20663261 </v>
      </c>
    </row>
    <row r="153" spans="1:14" ht="24.75" x14ac:dyDescent="0.25">
      <c r="A153" s="21" t="s">
        <v>15303</v>
      </c>
      <c r="B153" s="22" t="s">
        <v>15304</v>
      </c>
      <c r="C153" s="2">
        <v>1</v>
      </c>
      <c r="D153" s="23">
        <v>18.989999999999998</v>
      </c>
      <c r="E153" s="3">
        <v>18.989999999999998</v>
      </c>
      <c r="F153" s="2" t="s">
        <v>15302</v>
      </c>
      <c r="G153" s="22" t="s">
        <v>19814</v>
      </c>
      <c r="H153" s="24" t="s">
        <v>19364</v>
      </c>
      <c r="I153" s="22" t="s">
        <v>19309</v>
      </c>
      <c r="J153" s="22" t="s">
        <v>19815</v>
      </c>
      <c r="K153" s="22" t="s">
        <v>19816</v>
      </c>
      <c r="L153" s="22"/>
      <c r="M153" s="22"/>
      <c r="N153" s="25" t="str">
        <f>HYPERLINK("http://slimages.macys.com/is/image/MCY/20549845 ")</f>
        <v xml:space="preserve">http://slimages.macys.com/is/image/MCY/20549845 </v>
      </c>
    </row>
    <row r="154" spans="1:14" ht="24.75" x14ac:dyDescent="0.25">
      <c r="A154" s="21" t="s">
        <v>15315</v>
      </c>
      <c r="B154" s="22" t="s">
        <v>15316</v>
      </c>
      <c r="C154" s="2">
        <v>1</v>
      </c>
      <c r="D154" s="23">
        <v>18.989999999999998</v>
      </c>
      <c r="E154" s="3">
        <v>18.989999999999998</v>
      </c>
      <c r="F154" s="2" t="s">
        <v>15302</v>
      </c>
      <c r="G154" s="22" t="s">
        <v>19814</v>
      </c>
      <c r="H154" s="24" t="s">
        <v>19339</v>
      </c>
      <c r="I154" s="22" t="s">
        <v>19309</v>
      </c>
      <c r="J154" s="22" t="s">
        <v>19815</v>
      </c>
      <c r="K154" s="22" t="s">
        <v>19816</v>
      </c>
      <c r="L154" s="22"/>
      <c r="M154" s="22"/>
      <c r="N154" s="25" t="str">
        <f>HYPERLINK("http://slimages.macys.com/is/image/MCY/20549845 ")</f>
        <v xml:space="preserve">http://slimages.macys.com/is/image/MCY/20549845 </v>
      </c>
    </row>
    <row r="155" spans="1:14" ht="24.75" x14ac:dyDescent="0.25">
      <c r="A155" s="21" t="s">
        <v>15313</v>
      </c>
      <c r="B155" s="22" t="s">
        <v>15314</v>
      </c>
      <c r="C155" s="2">
        <v>1</v>
      </c>
      <c r="D155" s="23">
        <v>18.989999999999998</v>
      </c>
      <c r="E155" s="3">
        <v>18.989999999999998</v>
      </c>
      <c r="F155" s="2" t="s">
        <v>15302</v>
      </c>
      <c r="G155" s="22" t="s">
        <v>19814</v>
      </c>
      <c r="H155" s="24" t="s">
        <v>19352</v>
      </c>
      <c r="I155" s="22" t="s">
        <v>19309</v>
      </c>
      <c r="J155" s="22" t="s">
        <v>19815</v>
      </c>
      <c r="K155" s="22" t="s">
        <v>19816</v>
      </c>
      <c r="L155" s="22"/>
      <c r="M155" s="22"/>
      <c r="N155" s="25" t="str">
        <f>HYPERLINK("http://slimages.macys.com/is/image/MCY/20549845 ")</f>
        <v xml:space="preserve">http://slimages.macys.com/is/image/MCY/20549845 </v>
      </c>
    </row>
    <row r="156" spans="1:14" ht="24.75" x14ac:dyDescent="0.25">
      <c r="A156" s="21" t="s">
        <v>19923</v>
      </c>
      <c r="B156" s="22" t="s">
        <v>19924</v>
      </c>
      <c r="C156" s="2">
        <v>2</v>
      </c>
      <c r="D156" s="23">
        <v>18.989999999999998</v>
      </c>
      <c r="E156" s="3">
        <v>37.979999999999997</v>
      </c>
      <c r="F156" s="2">
        <v>10015242300</v>
      </c>
      <c r="G156" s="22" t="s">
        <v>19518</v>
      </c>
      <c r="H156" s="24" t="s">
        <v>19770</v>
      </c>
      <c r="I156" s="22" t="s">
        <v>19309</v>
      </c>
      <c r="J156" s="22" t="s">
        <v>19573</v>
      </c>
      <c r="K156" s="22" t="s">
        <v>19574</v>
      </c>
      <c r="L156" s="22"/>
      <c r="M156" s="22"/>
      <c r="N156" s="25" t="str">
        <f>HYPERLINK("http://slimages.macys.com/is/image/MCY/1322715 ")</f>
        <v xml:space="preserve">http://slimages.macys.com/is/image/MCY/1322715 </v>
      </c>
    </row>
    <row r="157" spans="1:14" ht="24.75" x14ac:dyDescent="0.25">
      <c r="A157" s="21" t="s">
        <v>17969</v>
      </c>
      <c r="B157" s="22" t="s">
        <v>17970</v>
      </c>
      <c r="C157" s="2">
        <v>1</v>
      </c>
      <c r="D157" s="23">
        <v>18.989999999999998</v>
      </c>
      <c r="E157" s="3">
        <v>18.989999999999998</v>
      </c>
      <c r="F157" s="2">
        <v>10015242200</v>
      </c>
      <c r="G157" s="22" t="s">
        <v>19315</v>
      </c>
      <c r="H157" s="24" t="s">
        <v>19538</v>
      </c>
      <c r="I157" s="22" t="s">
        <v>19309</v>
      </c>
      <c r="J157" s="22" t="s">
        <v>19573</v>
      </c>
      <c r="K157" s="22" t="s">
        <v>19574</v>
      </c>
      <c r="L157" s="22"/>
      <c r="M157" s="22"/>
      <c r="N157" s="25" t="str">
        <f>HYPERLINK("http://slimages.macys.com/is/image/MCY/1322715 ")</f>
        <v xml:space="preserve">http://slimages.macys.com/is/image/MCY/1322715 </v>
      </c>
    </row>
    <row r="158" spans="1:14" ht="24.75" x14ac:dyDescent="0.25">
      <c r="A158" s="21" t="s">
        <v>1373</v>
      </c>
      <c r="B158" s="22" t="s">
        <v>1374</v>
      </c>
      <c r="C158" s="2">
        <v>1</v>
      </c>
      <c r="D158" s="23">
        <v>17.989999999999998</v>
      </c>
      <c r="E158" s="3">
        <v>17.989999999999998</v>
      </c>
      <c r="F158" s="2" t="s">
        <v>1375</v>
      </c>
      <c r="G158" s="22" t="s">
        <v>19315</v>
      </c>
      <c r="H158" s="24" t="s">
        <v>19308</v>
      </c>
      <c r="I158" s="22" t="s">
        <v>19309</v>
      </c>
      <c r="J158" s="22" t="s">
        <v>19565</v>
      </c>
      <c r="K158" s="22" t="s">
        <v>15793</v>
      </c>
      <c r="L158" s="22" t="s">
        <v>19319</v>
      </c>
      <c r="M158" s="22" t="s">
        <v>19689</v>
      </c>
      <c r="N158" s="25" t="str">
        <f>HYPERLINK("http://slimages.macys.com/is/image/MCY/16076760 ")</f>
        <v xml:space="preserve">http://slimages.macys.com/is/image/MCY/16076760 </v>
      </c>
    </row>
    <row r="159" spans="1:14" ht="24.75" x14ac:dyDescent="0.25">
      <c r="A159" s="21" t="s">
        <v>261</v>
      </c>
      <c r="B159" s="22" t="s">
        <v>262</v>
      </c>
      <c r="C159" s="2">
        <v>1</v>
      </c>
      <c r="D159" s="23">
        <v>22</v>
      </c>
      <c r="E159" s="3">
        <v>22</v>
      </c>
      <c r="F159" s="2" t="s">
        <v>4330</v>
      </c>
      <c r="G159" s="22" t="s">
        <v>18821</v>
      </c>
      <c r="H159" s="24" t="s">
        <v>19364</v>
      </c>
      <c r="I159" s="22" t="s">
        <v>19309</v>
      </c>
      <c r="J159" s="22" t="s">
        <v>19595</v>
      </c>
      <c r="K159" s="22" t="s">
        <v>19423</v>
      </c>
      <c r="L159" s="22"/>
      <c r="M159" s="22"/>
      <c r="N159" s="25" t="str">
        <f>HYPERLINK("http://slimages.macys.com/is/image/MCY/20918012 ")</f>
        <v xml:space="preserve">http://slimages.macys.com/is/image/MCY/20918012 </v>
      </c>
    </row>
    <row r="160" spans="1:14" x14ac:dyDescent="0.25">
      <c r="A160" s="21" t="s">
        <v>263</v>
      </c>
      <c r="B160" s="22" t="s">
        <v>264</v>
      </c>
      <c r="C160" s="2">
        <v>1</v>
      </c>
      <c r="D160" s="23">
        <v>21.73</v>
      </c>
      <c r="E160" s="3">
        <v>21.73</v>
      </c>
      <c r="F160" s="2" t="s">
        <v>265</v>
      </c>
      <c r="G160" s="22" t="s">
        <v>19594</v>
      </c>
      <c r="H160" s="24" t="s">
        <v>19416</v>
      </c>
      <c r="I160" s="22" t="s">
        <v>19309</v>
      </c>
      <c r="J160" s="22" t="s">
        <v>19708</v>
      </c>
      <c r="K160" s="22" t="s">
        <v>19709</v>
      </c>
      <c r="L160" s="22"/>
      <c r="M160" s="22"/>
      <c r="N160" s="25" t="str">
        <f>HYPERLINK("http://slimages.macys.com/is/image/MCY/21413982 ")</f>
        <v xml:space="preserve">http://slimages.macys.com/is/image/MCY/21413982 </v>
      </c>
    </row>
    <row r="161" spans="1:14" ht="24.75" x14ac:dyDescent="0.25">
      <c r="A161" s="21" t="s">
        <v>266</v>
      </c>
      <c r="B161" s="22" t="s">
        <v>267</v>
      </c>
      <c r="C161" s="2">
        <v>1</v>
      </c>
      <c r="D161" s="23">
        <v>15.99</v>
      </c>
      <c r="E161" s="3">
        <v>15.99</v>
      </c>
      <c r="F161" s="2" t="s">
        <v>17984</v>
      </c>
      <c r="G161" s="22" t="s">
        <v>19351</v>
      </c>
      <c r="H161" s="24" t="s">
        <v>19538</v>
      </c>
      <c r="I161" s="22" t="s">
        <v>19309</v>
      </c>
      <c r="J161" s="22" t="s">
        <v>19573</v>
      </c>
      <c r="K161" s="22" t="s">
        <v>19574</v>
      </c>
      <c r="L161" s="22"/>
      <c r="M161" s="22"/>
      <c r="N161" s="25" t="str">
        <f>HYPERLINK("http://slimages.macys.com/is/image/MCY/20142456 ")</f>
        <v xml:space="preserve">http://slimages.macys.com/is/image/MCY/20142456 </v>
      </c>
    </row>
    <row r="162" spans="1:14" x14ac:dyDescent="0.25">
      <c r="A162" s="21" t="s">
        <v>268</v>
      </c>
      <c r="B162" s="22" t="s">
        <v>269</v>
      </c>
      <c r="C162" s="2">
        <v>1</v>
      </c>
      <c r="D162" s="23">
        <v>17.100000000000001</v>
      </c>
      <c r="E162" s="3">
        <v>17.100000000000001</v>
      </c>
      <c r="F162" s="2" t="s">
        <v>270</v>
      </c>
      <c r="G162" s="22"/>
      <c r="H162" s="24" t="s">
        <v>19770</v>
      </c>
      <c r="I162" s="22" t="s">
        <v>19309</v>
      </c>
      <c r="J162" s="22" t="s">
        <v>19708</v>
      </c>
      <c r="K162" s="22" t="s">
        <v>19709</v>
      </c>
      <c r="L162" s="22"/>
      <c r="M162" s="22"/>
      <c r="N162" s="25" t="str">
        <f>HYPERLINK("http://slimages.macys.com/is/image/MCY/19160837 ")</f>
        <v xml:space="preserve">http://slimages.macys.com/is/image/MCY/19160837 </v>
      </c>
    </row>
    <row r="163" spans="1:14" x14ac:dyDescent="0.25">
      <c r="A163" s="21" t="s">
        <v>271</v>
      </c>
      <c r="B163" s="22" t="s">
        <v>272</v>
      </c>
      <c r="C163" s="2">
        <v>1</v>
      </c>
      <c r="D163" s="23">
        <v>17.100000000000001</v>
      </c>
      <c r="E163" s="3">
        <v>17.100000000000001</v>
      </c>
      <c r="F163" s="2" t="s">
        <v>7483</v>
      </c>
      <c r="G163" s="22"/>
      <c r="H163" s="24" t="s">
        <v>20159</v>
      </c>
      <c r="I163" s="22" t="s">
        <v>19309</v>
      </c>
      <c r="J163" s="22" t="s">
        <v>19708</v>
      </c>
      <c r="K163" s="22" t="s">
        <v>19709</v>
      </c>
      <c r="L163" s="22"/>
      <c r="M163" s="22"/>
      <c r="N163" s="25" t="str">
        <f>HYPERLINK("http://slimages.macys.com/is/image/MCY/19487598 ")</f>
        <v xml:space="preserve">http://slimages.macys.com/is/image/MCY/19487598 </v>
      </c>
    </row>
    <row r="164" spans="1:14" x14ac:dyDescent="0.25">
      <c r="A164" s="21" t="s">
        <v>4338</v>
      </c>
      <c r="B164" s="22" t="s">
        <v>4339</v>
      </c>
      <c r="C164" s="2">
        <v>1</v>
      </c>
      <c r="D164" s="23">
        <v>17.100000000000001</v>
      </c>
      <c r="E164" s="3">
        <v>17.100000000000001</v>
      </c>
      <c r="F164" s="2" t="s">
        <v>4340</v>
      </c>
      <c r="G164" s="22"/>
      <c r="H164" s="24" t="s">
        <v>19367</v>
      </c>
      <c r="I164" s="22" t="s">
        <v>19309</v>
      </c>
      <c r="J164" s="22" t="s">
        <v>19708</v>
      </c>
      <c r="K164" s="22" t="s">
        <v>19709</v>
      </c>
      <c r="L164" s="22"/>
      <c r="M164" s="22"/>
      <c r="N164" s="25" t="str">
        <f>HYPERLINK("http://slimages.macys.com/is/image/MCY/19063522 ")</f>
        <v xml:space="preserve">http://slimages.macys.com/is/image/MCY/19063522 </v>
      </c>
    </row>
    <row r="165" spans="1:14" x14ac:dyDescent="0.25">
      <c r="A165" s="21" t="s">
        <v>273</v>
      </c>
      <c r="B165" s="22" t="s">
        <v>274</v>
      </c>
      <c r="C165" s="2">
        <v>1</v>
      </c>
      <c r="D165" s="23">
        <v>17.100000000000001</v>
      </c>
      <c r="E165" s="3">
        <v>17.100000000000001</v>
      </c>
      <c r="F165" s="2" t="s">
        <v>11536</v>
      </c>
      <c r="G165" s="22" t="s">
        <v>19342</v>
      </c>
      <c r="H165" s="24" t="s">
        <v>19367</v>
      </c>
      <c r="I165" s="22" t="s">
        <v>19309</v>
      </c>
      <c r="J165" s="22" t="s">
        <v>19708</v>
      </c>
      <c r="K165" s="22" t="s">
        <v>19709</v>
      </c>
      <c r="L165" s="22"/>
      <c r="M165" s="22"/>
      <c r="N165" s="25" t="str">
        <f>HYPERLINK("http://slimages.macys.com/is/image/MCY/19847234 ")</f>
        <v xml:space="preserve">http://slimages.macys.com/is/image/MCY/19847234 </v>
      </c>
    </row>
    <row r="166" spans="1:14" ht="24.75" x14ac:dyDescent="0.25">
      <c r="A166" s="21" t="s">
        <v>275</v>
      </c>
      <c r="B166" s="22" t="s">
        <v>276</v>
      </c>
      <c r="C166" s="2">
        <v>1</v>
      </c>
      <c r="D166" s="23">
        <v>14.99</v>
      </c>
      <c r="E166" s="3">
        <v>14.99</v>
      </c>
      <c r="F166" s="2" t="s">
        <v>277</v>
      </c>
      <c r="G166" s="22" t="s">
        <v>18429</v>
      </c>
      <c r="H166" s="24" t="s">
        <v>19352</v>
      </c>
      <c r="I166" s="22" t="s">
        <v>19309</v>
      </c>
      <c r="J166" s="22" t="s">
        <v>19310</v>
      </c>
      <c r="K166" s="22" t="s">
        <v>19873</v>
      </c>
      <c r="L166" s="22"/>
      <c r="M166" s="22"/>
      <c r="N166" s="25" t="str">
        <f>HYPERLINK("http://slimages.macys.com/is/image/MCY/20663277 ")</f>
        <v xml:space="preserve">http://slimages.macys.com/is/image/MCY/20663277 </v>
      </c>
    </row>
    <row r="167" spans="1:14" ht="24.75" x14ac:dyDescent="0.25">
      <c r="A167" s="21" t="s">
        <v>19959</v>
      </c>
      <c r="B167" s="22" t="s">
        <v>19960</v>
      </c>
      <c r="C167" s="2">
        <v>1</v>
      </c>
      <c r="D167" s="23">
        <v>15.99</v>
      </c>
      <c r="E167" s="3">
        <v>15.99</v>
      </c>
      <c r="F167" s="2" t="s">
        <v>19961</v>
      </c>
      <c r="G167" s="22" t="s">
        <v>19351</v>
      </c>
      <c r="H167" s="24"/>
      <c r="I167" s="22" t="s">
        <v>19309</v>
      </c>
      <c r="J167" s="22" t="s">
        <v>19573</v>
      </c>
      <c r="K167" s="22" t="s">
        <v>19574</v>
      </c>
      <c r="L167" s="22"/>
      <c r="M167" s="22"/>
      <c r="N167" s="25" t="str">
        <f>HYPERLINK("http://slimages.macys.com/is/image/MCY/1312560 ")</f>
        <v xml:space="preserve">http://slimages.macys.com/is/image/MCY/1312560 </v>
      </c>
    </row>
    <row r="168" spans="1:14" ht="24.75" x14ac:dyDescent="0.25">
      <c r="A168" s="21" t="s">
        <v>278</v>
      </c>
      <c r="B168" s="22" t="s">
        <v>279</v>
      </c>
      <c r="C168" s="2">
        <v>2</v>
      </c>
      <c r="D168" s="23">
        <v>15.99</v>
      </c>
      <c r="E168" s="3">
        <v>31.98</v>
      </c>
      <c r="F168" s="2" t="s">
        <v>19961</v>
      </c>
      <c r="G168" s="22" t="s">
        <v>19351</v>
      </c>
      <c r="H168" s="24" t="s">
        <v>19770</v>
      </c>
      <c r="I168" s="22" t="s">
        <v>19309</v>
      </c>
      <c r="J168" s="22" t="s">
        <v>19573</v>
      </c>
      <c r="K168" s="22" t="s">
        <v>19574</v>
      </c>
      <c r="L168" s="22"/>
      <c r="M168" s="22"/>
      <c r="N168" s="25" t="str">
        <f>HYPERLINK("http://slimages.macys.com/is/image/MCY/1312560 ")</f>
        <v xml:space="preserve">http://slimages.macys.com/is/image/MCY/1312560 </v>
      </c>
    </row>
    <row r="169" spans="1:14" ht="24.75" x14ac:dyDescent="0.25">
      <c r="A169" s="21" t="s">
        <v>280</v>
      </c>
      <c r="B169" s="22" t="s">
        <v>281</v>
      </c>
      <c r="C169" s="2">
        <v>1</v>
      </c>
      <c r="D169" s="23">
        <v>15.99</v>
      </c>
      <c r="E169" s="3">
        <v>15.99</v>
      </c>
      <c r="F169" s="2" t="s">
        <v>19961</v>
      </c>
      <c r="G169" s="22" t="s">
        <v>19351</v>
      </c>
      <c r="H169" s="24" t="s">
        <v>19330</v>
      </c>
      <c r="I169" s="22" t="s">
        <v>19309</v>
      </c>
      <c r="J169" s="22" t="s">
        <v>19573</v>
      </c>
      <c r="K169" s="22" t="s">
        <v>19574</v>
      </c>
      <c r="L169" s="22"/>
      <c r="M169" s="22"/>
      <c r="N169" s="25" t="str">
        <f>HYPERLINK("http://slimages.macys.com/is/image/MCY/1312560 ")</f>
        <v xml:space="preserve">http://slimages.macys.com/is/image/MCY/1312560 </v>
      </c>
    </row>
    <row r="170" spans="1:14" ht="24.75" x14ac:dyDescent="0.25">
      <c r="A170" s="21" t="s">
        <v>11977</v>
      </c>
      <c r="B170" s="22" t="s">
        <v>11978</v>
      </c>
      <c r="C170" s="2">
        <v>1</v>
      </c>
      <c r="D170" s="23">
        <v>15.99</v>
      </c>
      <c r="E170" s="3">
        <v>15.99</v>
      </c>
      <c r="F170" s="2">
        <v>10014149900</v>
      </c>
      <c r="G170" s="22" t="s">
        <v>19467</v>
      </c>
      <c r="H170" s="24"/>
      <c r="I170" s="22" t="s">
        <v>19309</v>
      </c>
      <c r="J170" s="22" t="s">
        <v>19573</v>
      </c>
      <c r="K170" s="22" t="s">
        <v>19574</v>
      </c>
      <c r="L170" s="22"/>
      <c r="M170" s="22"/>
      <c r="N170" s="25" t="str">
        <f>HYPERLINK("http://slimages.macys.com/is/image/MCY/20757797 ")</f>
        <v xml:space="preserve">http://slimages.macys.com/is/image/MCY/20757797 </v>
      </c>
    </row>
    <row r="171" spans="1:14" x14ac:dyDescent="0.25">
      <c r="A171" s="21" t="s">
        <v>282</v>
      </c>
      <c r="B171" s="22" t="s">
        <v>283</v>
      </c>
      <c r="C171" s="2">
        <v>1</v>
      </c>
      <c r="D171" s="23">
        <v>21.99</v>
      </c>
      <c r="E171" s="3">
        <v>21.99</v>
      </c>
      <c r="F171" s="2" t="s">
        <v>284</v>
      </c>
      <c r="G171" s="22" t="s">
        <v>19342</v>
      </c>
      <c r="H171" s="24" t="s">
        <v>19478</v>
      </c>
      <c r="I171" s="22" t="s">
        <v>19309</v>
      </c>
      <c r="J171" s="22" t="s">
        <v>19696</v>
      </c>
      <c r="K171" s="22" t="s">
        <v>19965</v>
      </c>
      <c r="L171" s="22"/>
      <c r="M171" s="22"/>
      <c r="N171" s="25" t="str">
        <f>HYPERLINK("http://slimages.macys.com/is/image/MCY/20662568 ")</f>
        <v xml:space="preserve">http://slimages.macys.com/is/image/MCY/20662568 </v>
      </c>
    </row>
    <row r="172" spans="1:14" ht="24.75" x14ac:dyDescent="0.25">
      <c r="A172" s="21" t="s">
        <v>285</v>
      </c>
      <c r="B172" s="22" t="s">
        <v>286</v>
      </c>
      <c r="C172" s="2">
        <v>1</v>
      </c>
      <c r="D172" s="23">
        <v>16.989999999999998</v>
      </c>
      <c r="E172" s="3">
        <v>16.989999999999998</v>
      </c>
      <c r="F172" s="2" t="s">
        <v>19975</v>
      </c>
      <c r="G172" s="22" t="s">
        <v>19528</v>
      </c>
      <c r="H172" s="24" t="s">
        <v>19361</v>
      </c>
      <c r="I172" s="22" t="s">
        <v>19309</v>
      </c>
      <c r="J172" s="22" t="s">
        <v>19310</v>
      </c>
      <c r="K172" s="22" t="s">
        <v>19440</v>
      </c>
      <c r="L172" s="22"/>
      <c r="M172" s="22"/>
      <c r="N172" s="25" t="str">
        <f>HYPERLINK("http://slimages.macys.com/is/image/MCY/21314268 ")</f>
        <v xml:space="preserve">http://slimages.macys.com/is/image/MCY/21314268 </v>
      </c>
    </row>
    <row r="173" spans="1:14" ht="24.75" x14ac:dyDescent="0.25">
      <c r="A173" s="21" t="s">
        <v>7491</v>
      </c>
      <c r="B173" s="22" t="s">
        <v>7492</v>
      </c>
      <c r="C173" s="2">
        <v>1</v>
      </c>
      <c r="D173" s="23">
        <v>14.99</v>
      </c>
      <c r="E173" s="3">
        <v>14.99</v>
      </c>
      <c r="F173" s="2" t="s">
        <v>11992</v>
      </c>
      <c r="G173" s="22" t="s">
        <v>19467</v>
      </c>
      <c r="H173" s="24" t="s">
        <v>19395</v>
      </c>
      <c r="I173" s="22" t="s">
        <v>19309</v>
      </c>
      <c r="J173" s="22" t="s">
        <v>19447</v>
      </c>
      <c r="K173" s="22" t="s">
        <v>20146</v>
      </c>
      <c r="L173" s="22"/>
      <c r="M173" s="22"/>
      <c r="N173" s="25" t="str">
        <f>HYPERLINK("http://slimages.macys.com/is/image/MCY/17614911 ")</f>
        <v xml:space="preserve">http://slimages.macys.com/is/image/MCY/17614911 </v>
      </c>
    </row>
    <row r="174" spans="1:14" ht="24.75" x14ac:dyDescent="0.25">
      <c r="A174" s="21" t="s">
        <v>287</v>
      </c>
      <c r="B174" s="22" t="s">
        <v>288</v>
      </c>
      <c r="C174" s="2">
        <v>1</v>
      </c>
      <c r="D174" s="23">
        <v>19.989999999999998</v>
      </c>
      <c r="E174" s="3">
        <v>19.989999999999998</v>
      </c>
      <c r="F174" s="2" t="s">
        <v>18042</v>
      </c>
      <c r="G174" s="22" t="s">
        <v>19351</v>
      </c>
      <c r="H174" s="24" t="s">
        <v>19384</v>
      </c>
      <c r="I174" s="22" t="s">
        <v>19309</v>
      </c>
      <c r="J174" s="22" t="s">
        <v>19573</v>
      </c>
      <c r="K174" s="22" t="s">
        <v>19574</v>
      </c>
      <c r="L174" s="22"/>
      <c r="M174" s="22"/>
      <c r="N174" s="25" t="str">
        <f>HYPERLINK("http://slimages.macys.com/is/image/MCY/1520489 ")</f>
        <v xml:space="preserve">http://slimages.macys.com/is/image/MCY/1520489 </v>
      </c>
    </row>
    <row r="175" spans="1:14" ht="24.75" x14ac:dyDescent="0.25">
      <c r="A175" s="21" t="s">
        <v>289</v>
      </c>
      <c r="B175" s="22" t="s">
        <v>290</v>
      </c>
      <c r="C175" s="2">
        <v>2</v>
      </c>
      <c r="D175" s="23">
        <v>19.989999999999998</v>
      </c>
      <c r="E175" s="3">
        <v>39.979999999999997</v>
      </c>
      <c r="F175" s="2" t="s">
        <v>18042</v>
      </c>
      <c r="G175" s="22" t="s">
        <v>19351</v>
      </c>
      <c r="H175" s="24" t="s">
        <v>19324</v>
      </c>
      <c r="I175" s="22" t="s">
        <v>19309</v>
      </c>
      <c r="J175" s="22" t="s">
        <v>19573</v>
      </c>
      <c r="K175" s="22" t="s">
        <v>19574</v>
      </c>
      <c r="L175" s="22"/>
      <c r="M175" s="22"/>
      <c r="N175" s="25" t="str">
        <f>HYPERLINK("http://slimages.macys.com/is/image/MCY/1520489 ")</f>
        <v xml:space="preserve">http://slimages.macys.com/is/image/MCY/1520489 </v>
      </c>
    </row>
    <row r="176" spans="1:14" ht="24.75" x14ac:dyDescent="0.25">
      <c r="A176" s="21" t="s">
        <v>291</v>
      </c>
      <c r="B176" s="22" t="s">
        <v>292</v>
      </c>
      <c r="C176" s="2">
        <v>2</v>
      </c>
      <c r="D176" s="23">
        <v>19.989999999999998</v>
      </c>
      <c r="E176" s="3">
        <v>39.979999999999997</v>
      </c>
      <c r="F176" s="2" t="s">
        <v>18042</v>
      </c>
      <c r="G176" s="22" t="s">
        <v>19351</v>
      </c>
      <c r="H176" s="24" t="s">
        <v>19330</v>
      </c>
      <c r="I176" s="22" t="s">
        <v>19309</v>
      </c>
      <c r="J176" s="22" t="s">
        <v>19573</v>
      </c>
      <c r="K176" s="22" t="s">
        <v>19574</v>
      </c>
      <c r="L176" s="22"/>
      <c r="M176" s="22"/>
      <c r="N176" s="25" t="str">
        <f>HYPERLINK("http://slimages.macys.com/is/image/MCY/21209241 ")</f>
        <v xml:space="preserve">http://slimages.macys.com/is/image/MCY/21209241 </v>
      </c>
    </row>
    <row r="177" spans="1:14" ht="24.75" x14ac:dyDescent="0.25">
      <c r="A177" s="21" t="s">
        <v>18040</v>
      </c>
      <c r="B177" s="22" t="s">
        <v>18041</v>
      </c>
      <c r="C177" s="2">
        <v>3</v>
      </c>
      <c r="D177" s="23">
        <v>19.989999999999998</v>
      </c>
      <c r="E177" s="3">
        <v>59.97</v>
      </c>
      <c r="F177" s="2" t="s">
        <v>18042</v>
      </c>
      <c r="G177" s="22" t="s">
        <v>19351</v>
      </c>
      <c r="H177" s="24" t="s">
        <v>19416</v>
      </c>
      <c r="I177" s="22" t="s">
        <v>19309</v>
      </c>
      <c r="J177" s="22" t="s">
        <v>19573</v>
      </c>
      <c r="K177" s="22" t="s">
        <v>19574</v>
      </c>
      <c r="L177" s="22"/>
      <c r="M177" s="22"/>
      <c r="N177" s="25" t="str">
        <f>HYPERLINK("http://slimages.macys.com/is/image/MCY/21209241 ")</f>
        <v xml:space="preserve">http://slimages.macys.com/is/image/MCY/21209241 </v>
      </c>
    </row>
    <row r="178" spans="1:14" ht="24.75" x14ac:dyDescent="0.25">
      <c r="A178" s="21" t="s">
        <v>293</v>
      </c>
      <c r="B178" s="22" t="s">
        <v>294</v>
      </c>
      <c r="C178" s="2">
        <v>1</v>
      </c>
      <c r="D178" s="23">
        <v>19.989999999999998</v>
      </c>
      <c r="E178" s="3">
        <v>19.989999999999998</v>
      </c>
      <c r="F178" s="2" t="s">
        <v>18042</v>
      </c>
      <c r="G178" s="22" t="s">
        <v>19351</v>
      </c>
      <c r="H178" s="24" t="s">
        <v>19538</v>
      </c>
      <c r="I178" s="22" t="s">
        <v>19309</v>
      </c>
      <c r="J178" s="22" t="s">
        <v>19573</v>
      </c>
      <c r="K178" s="22" t="s">
        <v>19574</v>
      </c>
      <c r="L178" s="22"/>
      <c r="M178" s="22"/>
      <c r="N178" s="25" t="str">
        <f>HYPERLINK("http://slimages.macys.com/is/image/MCY/1520489 ")</f>
        <v xml:space="preserve">http://slimages.macys.com/is/image/MCY/1520489 </v>
      </c>
    </row>
    <row r="179" spans="1:14" x14ac:dyDescent="0.25">
      <c r="A179" s="21" t="s">
        <v>295</v>
      </c>
      <c r="B179" s="22" t="s">
        <v>296</v>
      </c>
      <c r="C179" s="2">
        <v>1</v>
      </c>
      <c r="D179" s="23">
        <v>19.989999999999998</v>
      </c>
      <c r="E179" s="3">
        <v>19.989999999999998</v>
      </c>
      <c r="F179" s="2" t="s">
        <v>297</v>
      </c>
      <c r="G179" s="22" t="s">
        <v>19333</v>
      </c>
      <c r="H179" s="24"/>
      <c r="I179" s="22" t="s">
        <v>19309</v>
      </c>
      <c r="J179" s="22" t="s">
        <v>19696</v>
      </c>
      <c r="K179" s="22" t="s">
        <v>18094</v>
      </c>
      <c r="L179" s="22"/>
      <c r="M179" s="22"/>
      <c r="N179" s="25" t="str">
        <f>HYPERLINK("http://slimages.macys.com/is/image/MCY/20291083 ")</f>
        <v xml:space="preserve">http://slimages.macys.com/is/image/MCY/20291083 </v>
      </c>
    </row>
    <row r="180" spans="1:14" x14ac:dyDescent="0.25">
      <c r="A180" s="21" t="s">
        <v>15370</v>
      </c>
      <c r="B180" s="22" t="s">
        <v>15371</v>
      </c>
      <c r="C180" s="2">
        <v>1</v>
      </c>
      <c r="D180" s="23">
        <v>16.989999999999998</v>
      </c>
      <c r="E180" s="3">
        <v>16.989999999999998</v>
      </c>
      <c r="F180" s="2" t="s">
        <v>20002</v>
      </c>
      <c r="G180" s="22" t="s">
        <v>19315</v>
      </c>
      <c r="H180" s="24" t="s">
        <v>19352</v>
      </c>
      <c r="I180" s="22" t="s">
        <v>19309</v>
      </c>
      <c r="J180" s="22" t="s">
        <v>19849</v>
      </c>
      <c r="K180" s="22" t="s">
        <v>19850</v>
      </c>
      <c r="L180" s="22"/>
      <c r="M180" s="22"/>
      <c r="N180" s="25" t="str">
        <f>HYPERLINK("http://slimages.macys.com/is/image/MCY/20549392 ")</f>
        <v xml:space="preserve">http://slimages.macys.com/is/image/MCY/20549392 </v>
      </c>
    </row>
    <row r="181" spans="1:14" x14ac:dyDescent="0.25">
      <c r="A181" s="21" t="s">
        <v>298</v>
      </c>
      <c r="B181" s="22" t="s">
        <v>299</v>
      </c>
      <c r="C181" s="2">
        <v>1</v>
      </c>
      <c r="D181" s="23">
        <v>24</v>
      </c>
      <c r="E181" s="3">
        <v>24</v>
      </c>
      <c r="F181" s="2" t="s">
        <v>2531</v>
      </c>
      <c r="G181" s="22" t="s">
        <v>18439</v>
      </c>
      <c r="H181" s="24" t="s">
        <v>19384</v>
      </c>
      <c r="I181" s="22" t="s">
        <v>19309</v>
      </c>
      <c r="J181" s="22" t="s">
        <v>19417</v>
      </c>
      <c r="K181" s="22" t="s">
        <v>20110</v>
      </c>
      <c r="L181" s="22"/>
      <c r="M181" s="22"/>
      <c r="N181" s="25" t="str">
        <f>HYPERLINK("http://slimages.macys.com/is/image/MCY/22296695 ")</f>
        <v xml:space="preserve">http://slimages.macys.com/is/image/MCY/22296695 </v>
      </c>
    </row>
    <row r="182" spans="1:14" ht="24.75" x14ac:dyDescent="0.25">
      <c r="A182" s="21" t="s">
        <v>15403</v>
      </c>
      <c r="B182" s="22" t="s">
        <v>15404</v>
      </c>
      <c r="C182" s="2">
        <v>1</v>
      </c>
      <c r="D182" s="23">
        <v>17.82</v>
      </c>
      <c r="E182" s="3">
        <v>17.82</v>
      </c>
      <c r="F182" s="2" t="s">
        <v>20040</v>
      </c>
      <c r="G182" s="22" t="s">
        <v>19467</v>
      </c>
      <c r="H182" s="24" t="s">
        <v>19334</v>
      </c>
      <c r="I182" s="22" t="s">
        <v>19309</v>
      </c>
      <c r="J182" s="22" t="s">
        <v>19602</v>
      </c>
      <c r="K182" s="22" t="s">
        <v>20041</v>
      </c>
      <c r="L182" s="22"/>
      <c r="M182" s="22"/>
      <c r="N182" s="25" t="str">
        <f>HYPERLINK("http://slimages.macys.com/is/image/MCY/20529114 ")</f>
        <v xml:space="preserve">http://slimages.macys.com/is/image/MCY/20529114 </v>
      </c>
    </row>
    <row r="183" spans="1:14" x14ac:dyDescent="0.25">
      <c r="A183" s="21" t="s">
        <v>300</v>
      </c>
      <c r="B183" s="22" t="s">
        <v>301</v>
      </c>
      <c r="C183" s="2">
        <v>1</v>
      </c>
      <c r="D183" s="23">
        <v>18.989999999999998</v>
      </c>
      <c r="E183" s="3">
        <v>18.989999999999998</v>
      </c>
      <c r="F183" s="2" t="s">
        <v>6713</v>
      </c>
      <c r="G183" s="22" t="s">
        <v>19323</v>
      </c>
      <c r="H183" s="24"/>
      <c r="I183" s="22" t="s">
        <v>19309</v>
      </c>
      <c r="J183" s="22" t="s">
        <v>19696</v>
      </c>
      <c r="K183" s="22" t="s">
        <v>15978</v>
      </c>
      <c r="L183" s="22"/>
      <c r="M183" s="22"/>
      <c r="N183" s="25" t="str">
        <f>HYPERLINK("http://slimages.macys.com/is/image/MCY/21408731 ")</f>
        <v xml:space="preserve">http://slimages.macys.com/is/image/MCY/21408731 </v>
      </c>
    </row>
    <row r="184" spans="1:14" ht="24.75" x14ac:dyDescent="0.25">
      <c r="A184" s="21" t="s">
        <v>20051</v>
      </c>
      <c r="B184" s="22" t="s">
        <v>20052</v>
      </c>
      <c r="C184" s="2">
        <v>1</v>
      </c>
      <c r="D184" s="23">
        <v>13.99</v>
      </c>
      <c r="E184" s="3">
        <v>13.99</v>
      </c>
      <c r="F184" s="2" t="s">
        <v>20050</v>
      </c>
      <c r="G184" s="22" t="s">
        <v>19467</v>
      </c>
      <c r="H184" s="24" t="s">
        <v>19339</v>
      </c>
      <c r="I184" s="22" t="s">
        <v>19309</v>
      </c>
      <c r="J184" s="22" t="s">
        <v>19447</v>
      </c>
      <c r="K184" s="22" t="s">
        <v>19873</v>
      </c>
      <c r="L184" s="22"/>
      <c r="M184" s="22"/>
      <c r="N184" s="25" t="str">
        <f>HYPERLINK("http://slimages.macys.com/is/image/MCY/20670016 ")</f>
        <v xml:space="preserve">http://slimages.macys.com/is/image/MCY/20670016 </v>
      </c>
    </row>
    <row r="185" spans="1:14" ht="24.75" x14ac:dyDescent="0.25">
      <c r="A185" s="21" t="s">
        <v>15424</v>
      </c>
      <c r="B185" s="22" t="s">
        <v>15425</v>
      </c>
      <c r="C185" s="2">
        <v>1</v>
      </c>
      <c r="D185" s="23">
        <v>23.99</v>
      </c>
      <c r="E185" s="3">
        <v>23.99</v>
      </c>
      <c r="F185" s="2" t="s">
        <v>20055</v>
      </c>
      <c r="G185" s="22" t="s">
        <v>19431</v>
      </c>
      <c r="H185" s="24" t="s">
        <v>19384</v>
      </c>
      <c r="I185" s="22" t="s">
        <v>19309</v>
      </c>
      <c r="J185" s="22" t="s">
        <v>19573</v>
      </c>
      <c r="K185" s="22" t="s">
        <v>19574</v>
      </c>
      <c r="L185" s="22"/>
      <c r="M185" s="22"/>
      <c r="N185" s="25" t="str">
        <f>HYPERLINK("http://slimages.macys.com/is/image/MCY/1485261 ")</f>
        <v xml:space="preserve">http://slimages.macys.com/is/image/MCY/1485261 </v>
      </c>
    </row>
    <row r="186" spans="1:14" x14ac:dyDescent="0.25">
      <c r="A186" s="21" t="s">
        <v>302</v>
      </c>
      <c r="B186" s="22" t="s">
        <v>303</v>
      </c>
      <c r="C186" s="2">
        <v>1</v>
      </c>
      <c r="D186" s="23">
        <v>15.99</v>
      </c>
      <c r="E186" s="3">
        <v>15.99</v>
      </c>
      <c r="F186" s="2" t="s">
        <v>11586</v>
      </c>
      <c r="G186" s="22" t="s">
        <v>19338</v>
      </c>
      <c r="H186" s="24" t="s">
        <v>19345</v>
      </c>
      <c r="I186" s="22" t="s">
        <v>19309</v>
      </c>
      <c r="J186" s="22" t="s">
        <v>19310</v>
      </c>
      <c r="K186" s="22" t="s">
        <v>19440</v>
      </c>
      <c r="L186" s="22"/>
      <c r="M186" s="22"/>
      <c r="N186" s="25" t="str">
        <f>HYPERLINK("http://slimages.macys.com/is/image/MCY/21149110 ")</f>
        <v xml:space="preserve">http://slimages.macys.com/is/image/MCY/21149110 </v>
      </c>
    </row>
    <row r="187" spans="1:14" ht="24.75" x14ac:dyDescent="0.25">
      <c r="A187" s="21" t="s">
        <v>304</v>
      </c>
      <c r="B187" s="22" t="s">
        <v>305</v>
      </c>
      <c r="C187" s="2">
        <v>1</v>
      </c>
      <c r="D187" s="23">
        <v>24</v>
      </c>
      <c r="E187" s="3">
        <v>24</v>
      </c>
      <c r="F187" s="2" t="s">
        <v>306</v>
      </c>
      <c r="G187" s="22" t="s">
        <v>19431</v>
      </c>
      <c r="H187" s="24" t="s">
        <v>19361</v>
      </c>
      <c r="I187" s="22" t="s">
        <v>19309</v>
      </c>
      <c r="J187" s="22" t="s">
        <v>19310</v>
      </c>
      <c r="K187" s="22" t="s">
        <v>15570</v>
      </c>
      <c r="L187" s="22"/>
      <c r="M187" s="22"/>
      <c r="N187" s="25" t="str">
        <f>HYPERLINK("http://slimages.macys.com/is/image/MCY/20219583 ")</f>
        <v xml:space="preserve">http://slimages.macys.com/is/image/MCY/20219583 </v>
      </c>
    </row>
    <row r="188" spans="1:14" ht="24.75" x14ac:dyDescent="0.25">
      <c r="A188" s="21" t="s">
        <v>307</v>
      </c>
      <c r="B188" s="22" t="s">
        <v>308</v>
      </c>
      <c r="C188" s="2">
        <v>1</v>
      </c>
      <c r="D188" s="23">
        <v>24</v>
      </c>
      <c r="E188" s="3">
        <v>24</v>
      </c>
      <c r="F188" s="2" t="s">
        <v>306</v>
      </c>
      <c r="G188" s="22" t="s">
        <v>19431</v>
      </c>
      <c r="H188" s="24" t="s">
        <v>19395</v>
      </c>
      <c r="I188" s="22" t="s">
        <v>19309</v>
      </c>
      <c r="J188" s="22" t="s">
        <v>19310</v>
      </c>
      <c r="K188" s="22" t="s">
        <v>15570</v>
      </c>
      <c r="L188" s="22"/>
      <c r="M188" s="22"/>
      <c r="N188" s="25" t="str">
        <f>HYPERLINK("http://slimages.macys.com/is/image/MCY/20219583 ")</f>
        <v xml:space="preserve">http://slimages.macys.com/is/image/MCY/20219583 </v>
      </c>
    </row>
    <row r="189" spans="1:14" x14ac:dyDescent="0.25">
      <c r="A189" s="21" t="s">
        <v>309</v>
      </c>
      <c r="B189" s="22" t="s">
        <v>310</v>
      </c>
      <c r="C189" s="2">
        <v>1</v>
      </c>
      <c r="D189" s="23">
        <v>15.39</v>
      </c>
      <c r="E189" s="3">
        <v>15.39</v>
      </c>
      <c r="F189" s="2" t="s">
        <v>311</v>
      </c>
      <c r="G189" s="22"/>
      <c r="H189" s="24" t="s">
        <v>20159</v>
      </c>
      <c r="I189" s="22" t="s">
        <v>19309</v>
      </c>
      <c r="J189" s="22" t="s">
        <v>19708</v>
      </c>
      <c r="K189" s="22" t="s">
        <v>19709</v>
      </c>
      <c r="L189" s="22"/>
      <c r="M189" s="22"/>
      <c r="N189" s="25" t="str">
        <f>HYPERLINK("http://slimages.macys.com/is/image/MCY/19160782 ")</f>
        <v xml:space="preserve">http://slimages.macys.com/is/image/MCY/19160782 </v>
      </c>
    </row>
    <row r="190" spans="1:14" x14ac:dyDescent="0.25">
      <c r="A190" s="21" t="s">
        <v>312</v>
      </c>
      <c r="B190" s="22" t="s">
        <v>313</v>
      </c>
      <c r="C190" s="2">
        <v>1</v>
      </c>
      <c r="D190" s="23">
        <v>15.3</v>
      </c>
      <c r="E190" s="3">
        <v>15.3</v>
      </c>
      <c r="F190" s="2" t="s">
        <v>314</v>
      </c>
      <c r="G190" s="22" t="s">
        <v>19431</v>
      </c>
      <c r="H190" s="24" t="s">
        <v>19770</v>
      </c>
      <c r="I190" s="22" t="s">
        <v>19309</v>
      </c>
      <c r="J190" s="22" t="s">
        <v>19708</v>
      </c>
      <c r="K190" s="22" t="s">
        <v>19709</v>
      </c>
      <c r="L190" s="22"/>
      <c r="M190" s="22"/>
      <c r="N190" s="25" t="str">
        <f>HYPERLINK("http://slimages.macys.com/is/image/MCY/21410079 ")</f>
        <v xml:space="preserve">http://slimages.macys.com/is/image/MCY/21410079 </v>
      </c>
    </row>
    <row r="191" spans="1:14" ht="24.75" x14ac:dyDescent="0.25">
      <c r="A191" s="21" t="s">
        <v>20074</v>
      </c>
      <c r="B191" s="22" t="s">
        <v>20075</v>
      </c>
      <c r="C191" s="2">
        <v>1</v>
      </c>
      <c r="D191" s="23">
        <v>15.99</v>
      </c>
      <c r="E191" s="3">
        <v>15.99</v>
      </c>
      <c r="F191" s="2">
        <v>4378</v>
      </c>
      <c r="G191" s="22" t="s">
        <v>19323</v>
      </c>
      <c r="H191" s="24" t="s">
        <v>19352</v>
      </c>
      <c r="I191" s="22" t="s">
        <v>19309</v>
      </c>
      <c r="J191" s="22" t="s">
        <v>20076</v>
      </c>
      <c r="K191" s="22" t="s">
        <v>20077</v>
      </c>
      <c r="L191" s="22"/>
      <c r="M191" s="22"/>
      <c r="N191" s="25" t="str">
        <f>HYPERLINK("http://slimages.macys.com/is/image/MCY/19348122 ")</f>
        <v xml:space="preserve">http://slimages.macys.com/is/image/MCY/19348122 </v>
      </c>
    </row>
    <row r="192" spans="1:14" ht="24.75" x14ac:dyDescent="0.25">
      <c r="A192" s="21" t="s">
        <v>16010</v>
      </c>
      <c r="B192" s="22" t="s">
        <v>16011</v>
      </c>
      <c r="C192" s="2">
        <v>1</v>
      </c>
      <c r="D192" s="23">
        <v>19.989999999999998</v>
      </c>
      <c r="E192" s="3">
        <v>19.989999999999998</v>
      </c>
      <c r="F192" s="2" t="s">
        <v>16012</v>
      </c>
      <c r="G192" s="22" t="s">
        <v>19467</v>
      </c>
      <c r="H192" s="24" t="s">
        <v>19330</v>
      </c>
      <c r="I192" s="22" t="s">
        <v>19309</v>
      </c>
      <c r="J192" s="22" t="s">
        <v>19573</v>
      </c>
      <c r="K192" s="22" t="s">
        <v>19574</v>
      </c>
      <c r="L192" s="22"/>
      <c r="M192" s="22"/>
      <c r="N192" s="25" t="str">
        <f>HYPERLINK("http://slimages.macys.com/is/image/MCY/21361474 ")</f>
        <v xml:space="preserve">http://slimages.macys.com/is/image/MCY/21361474 </v>
      </c>
    </row>
    <row r="193" spans="1:14" ht="24.75" x14ac:dyDescent="0.25">
      <c r="A193" s="21" t="s">
        <v>315</v>
      </c>
      <c r="B193" s="22" t="s">
        <v>316</v>
      </c>
      <c r="C193" s="2">
        <v>1</v>
      </c>
      <c r="D193" s="23">
        <v>15.99</v>
      </c>
      <c r="E193" s="3">
        <v>15.99</v>
      </c>
      <c r="F193" s="2">
        <v>4378</v>
      </c>
      <c r="G193" s="22" t="s">
        <v>19404</v>
      </c>
      <c r="H193" s="24" t="s">
        <v>19364</v>
      </c>
      <c r="I193" s="22" t="s">
        <v>19309</v>
      </c>
      <c r="J193" s="22" t="s">
        <v>20076</v>
      </c>
      <c r="K193" s="22" t="s">
        <v>20077</v>
      </c>
      <c r="L193" s="22"/>
      <c r="M193" s="22"/>
      <c r="N193" s="25" t="str">
        <f>HYPERLINK("http://slimages.macys.com/is/image/MCY/19348122 ")</f>
        <v xml:space="preserve">http://slimages.macys.com/is/image/MCY/19348122 </v>
      </c>
    </row>
    <row r="194" spans="1:14" ht="24.75" x14ac:dyDescent="0.25">
      <c r="A194" s="21" t="s">
        <v>317</v>
      </c>
      <c r="B194" s="22" t="s">
        <v>318</v>
      </c>
      <c r="C194" s="2">
        <v>1</v>
      </c>
      <c r="D194" s="23">
        <v>15.64</v>
      </c>
      <c r="E194" s="3">
        <v>15.64</v>
      </c>
      <c r="F194" s="2" t="s">
        <v>319</v>
      </c>
      <c r="G194" s="22" t="s">
        <v>19404</v>
      </c>
      <c r="H194" s="24" t="s">
        <v>15738</v>
      </c>
      <c r="I194" s="22" t="s">
        <v>19309</v>
      </c>
      <c r="J194" s="22" t="s">
        <v>19565</v>
      </c>
      <c r="K194" s="22" t="s">
        <v>17934</v>
      </c>
      <c r="L194" s="22"/>
      <c r="M194" s="22"/>
      <c r="N194" s="25" t="str">
        <f>HYPERLINK("http://slimages.macys.com/is/image/MCY/21056494 ")</f>
        <v xml:space="preserve">http://slimages.macys.com/is/image/MCY/21056494 </v>
      </c>
    </row>
    <row r="195" spans="1:14" ht="24.75" x14ac:dyDescent="0.25">
      <c r="A195" s="21" t="s">
        <v>320</v>
      </c>
      <c r="B195" s="22" t="s">
        <v>16026</v>
      </c>
      <c r="C195" s="2">
        <v>1</v>
      </c>
      <c r="D195" s="23">
        <v>16.82</v>
      </c>
      <c r="E195" s="3">
        <v>16.82</v>
      </c>
      <c r="F195" s="2" t="s">
        <v>321</v>
      </c>
      <c r="G195" s="22"/>
      <c r="H195" s="24" t="s">
        <v>19334</v>
      </c>
      <c r="I195" s="22" t="s">
        <v>19309</v>
      </c>
      <c r="J195" s="22" t="s">
        <v>19602</v>
      </c>
      <c r="K195" s="22" t="s">
        <v>20041</v>
      </c>
      <c r="L195" s="22"/>
      <c r="M195" s="22"/>
      <c r="N195" s="25" t="str">
        <f>HYPERLINK("http://slimages.macys.com/is/image/MCY/21420976 ")</f>
        <v xml:space="preserve">http://slimages.macys.com/is/image/MCY/21420976 </v>
      </c>
    </row>
    <row r="196" spans="1:14" x14ac:dyDescent="0.25">
      <c r="A196" s="21" t="s">
        <v>322</v>
      </c>
      <c r="B196" s="22" t="s">
        <v>323</v>
      </c>
      <c r="C196" s="2">
        <v>1</v>
      </c>
      <c r="D196" s="23">
        <v>12.99</v>
      </c>
      <c r="E196" s="3">
        <v>12.99</v>
      </c>
      <c r="F196" s="2" t="s">
        <v>324</v>
      </c>
      <c r="G196" s="22" t="s">
        <v>19315</v>
      </c>
      <c r="H196" s="24" t="s">
        <v>19364</v>
      </c>
      <c r="I196" s="22" t="s">
        <v>19309</v>
      </c>
      <c r="J196" s="22" t="s">
        <v>19310</v>
      </c>
      <c r="K196" s="22" t="s">
        <v>19873</v>
      </c>
      <c r="L196" s="22"/>
      <c r="M196" s="22"/>
      <c r="N196" s="25" t="str">
        <f>HYPERLINK("http://slimages.macys.com/is/image/MCY/19718922 ")</f>
        <v xml:space="preserve">http://slimages.macys.com/is/image/MCY/19718922 </v>
      </c>
    </row>
    <row r="197" spans="1:14" ht="24.75" x14ac:dyDescent="0.25">
      <c r="A197" s="21" t="s">
        <v>325</v>
      </c>
      <c r="B197" s="22" t="s">
        <v>326</v>
      </c>
      <c r="C197" s="2">
        <v>1</v>
      </c>
      <c r="D197" s="23">
        <v>16.82</v>
      </c>
      <c r="E197" s="3">
        <v>16.82</v>
      </c>
      <c r="F197" s="2" t="s">
        <v>327</v>
      </c>
      <c r="G197" s="22"/>
      <c r="H197" s="24" t="s">
        <v>19392</v>
      </c>
      <c r="I197" s="22" t="s">
        <v>19309</v>
      </c>
      <c r="J197" s="22" t="s">
        <v>19602</v>
      </c>
      <c r="K197" s="22" t="s">
        <v>20041</v>
      </c>
      <c r="L197" s="22"/>
      <c r="M197" s="22"/>
      <c r="N197" s="25" t="str">
        <f>HYPERLINK("http://slimages.macys.com/is/image/MCY/21420969 ")</f>
        <v xml:space="preserve">http://slimages.macys.com/is/image/MCY/21420969 </v>
      </c>
    </row>
    <row r="198" spans="1:14" ht="24.75" x14ac:dyDescent="0.25">
      <c r="A198" s="21" t="s">
        <v>328</v>
      </c>
      <c r="B198" s="22" t="s">
        <v>329</v>
      </c>
      <c r="C198" s="2">
        <v>1</v>
      </c>
      <c r="D198" s="23">
        <v>16.82</v>
      </c>
      <c r="E198" s="3">
        <v>16.82</v>
      </c>
      <c r="F198" s="2" t="s">
        <v>321</v>
      </c>
      <c r="G198" s="22"/>
      <c r="H198" s="24" t="s">
        <v>19345</v>
      </c>
      <c r="I198" s="22" t="s">
        <v>19309</v>
      </c>
      <c r="J198" s="22" t="s">
        <v>19602</v>
      </c>
      <c r="K198" s="22" t="s">
        <v>20041</v>
      </c>
      <c r="L198" s="22"/>
      <c r="M198" s="22"/>
      <c r="N198" s="25" t="str">
        <f>HYPERLINK("http://slimages.macys.com/is/image/MCY/21420976 ")</f>
        <v xml:space="preserve">http://slimages.macys.com/is/image/MCY/21420976 </v>
      </c>
    </row>
    <row r="199" spans="1:14" ht="24.75" x14ac:dyDescent="0.25">
      <c r="A199" s="21" t="s">
        <v>330</v>
      </c>
      <c r="B199" s="22" t="s">
        <v>331</v>
      </c>
      <c r="C199" s="2">
        <v>2</v>
      </c>
      <c r="D199" s="23">
        <v>14.99</v>
      </c>
      <c r="E199" s="3">
        <v>29.98</v>
      </c>
      <c r="F199" s="2">
        <v>3151</v>
      </c>
      <c r="G199" s="22" t="s">
        <v>19315</v>
      </c>
      <c r="H199" s="24" t="s">
        <v>19339</v>
      </c>
      <c r="I199" s="22" t="s">
        <v>19309</v>
      </c>
      <c r="J199" s="22" t="s">
        <v>20076</v>
      </c>
      <c r="K199" s="22" t="s">
        <v>12080</v>
      </c>
      <c r="L199" s="22"/>
      <c r="M199" s="22"/>
      <c r="N199" s="25" t="str">
        <f t="shared" ref="N199:N205" si="0">HYPERLINK("http://slimages.macys.com/is/image/MCY/21816728 ")</f>
        <v xml:space="preserve">http://slimages.macys.com/is/image/MCY/21816728 </v>
      </c>
    </row>
    <row r="200" spans="1:14" ht="24.75" x14ac:dyDescent="0.25">
      <c r="A200" s="21" t="s">
        <v>332</v>
      </c>
      <c r="B200" s="22" t="s">
        <v>333</v>
      </c>
      <c r="C200" s="2">
        <v>4</v>
      </c>
      <c r="D200" s="23">
        <v>14.99</v>
      </c>
      <c r="E200" s="3">
        <v>59.96</v>
      </c>
      <c r="F200" s="2">
        <v>3151</v>
      </c>
      <c r="G200" s="22" t="s">
        <v>19315</v>
      </c>
      <c r="H200" s="24" t="s">
        <v>19352</v>
      </c>
      <c r="I200" s="22" t="s">
        <v>19309</v>
      </c>
      <c r="J200" s="22" t="s">
        <v>20076</v>
      </c>
      <c r="K200" s="22" t="s">
        <v>12080</v>
      </c>
      <c r="L200" s="22"/>
      <c r="M200" s="22"/>
      <c r="N200" s="25" t="str">
        <f t="shared" si="0"/>
        <v xml:space="preserve">http://slimages.macys.com/is/image/MCY/21816728 </v>
      </c>
    </row>
    <row r="201" spans="1:14" ht="24.75" x14ac:dyDescent="0.25">
      <c r="A201" s="21" t="s">
        <v>334</v>
      </c>
      <c r="B201" s="22" t="s">
        <v>335</v>
      </c>
      <c r="C201" s="2">
        <v>5</v>
      </c>
      <c r="D201" s="23">
        <v>14.99</v>
      </c>
      <c r="E201" s="3">
        <v>74.95</v>
      </c>
      <c r="F201" s="2">
        <v>3151</v>
      </c>
      <c r="G201" s="22" t="s">
        <v>19315</v>
      </c>
      <c r="H201" s="24" t="s">
        <v>19364</v>
      </c>
      <c r="I201" s="22" t="s">
        <v>19309</v>
      </c>
      <c r="J201" s="22" t="s">
        <v>20076</v>
      </c>
      <c r="K201" s="22" t="s">
        <v>12080</v>
      </c>
      <c r="L201" s="22"/>
      <c r="M201" s="22"/>
      <c r="N201" s="25" t="str">
        <f t="shared" si="0"/>
        <v xml:space="preserve">http://slimages.macys.com/is/image/MCY/21816728 </v>
      </c>
    </row>
    <row r="202" spans="1:14" ht="24.75" x14ac:dyDescent="0.25">
      <c r="A202" s="21" t="s">
        <v>12081</v>
      </c>
      <c r="B202" s="22" t="s">
        <v>12082</v>
      </c>
      <c r="C202" s="2">
        <v>1</v>
      </c>
      <c r="D202" s="23">
        <v>14.99</v>
      </c>
      <c r="E202" s="3">
        <v>14.99</v>
      </c>
      <c r="F202" s="2">
        <v>3151</v>
      </c>
      <c r="G202" s="22" t="s">
        <v>19323</v>
      </c>
      <c r="H202" s="24" t="s">
        <v>19364</v>
      </c>
      <c r="I202" s="22" t="s">
        <v>19309</v>
      </c>
      <c r="J202" s="22" t="s">
        <v>20076</v>
      </c>
      <c r="K202" s="22" t="s">
        <v>12080</v>
      </c>
      <c r="L202" s="22"/>
      <c r="M202" s="22"/>
      <c r="N202" s="25" t="str">
        <f t="shared" si="0"/>
        <v xml:space="preserve">http://slimages.macys.com/is/image/MCY/21816728 </v>
      </c>
    </row>
    <row r="203" spans="1:14" ht="24.75" x14ac:dyDescent="0.25">
      <c r="A203" s="21" t="s">
        <v>336</v>
      </c>
      <c r="B203" s="22" t="s">
        <v>337</v>
      </c>
      <c r="C203" s="2">
        <v>2</v>
      </c>
      <c r="D203" s="23">
        <v>14.99</v>
      </c>
      <c r="E203" s="3">
        <v>29.98</v>
      </c>
      <c r="F203" s="2">
        <v>3151</v>
      </c>
      <c r="G203" s="22" t="s">
        <v>19323</v>
      </c>
      <c r="H203" s="24" t="s">
        <v>19352</v>
      </c>
      <c r="I203" s="22" t="s">
        <v>19309</v>
      </c>
      <c r="J203" s="22" t="s">
        <v>20076</v>
      </c>
      <c r="K203" s="22" t="s">
        <v>12080</v>
      </c>
      <c r="L203" s="22"/>
      <c r="M203" s="22"/>
      <c r="N203" s="25" t="str">
        <f t="shared" si="0"/>
        <v xml:space="preserve">http://slimages.macys.com/is/image/MCY/21816728 </v>
      </c>
    </row>
    <row r="204" spans="1:14" ht="24.75" x14ac:dyDescent="0.25">
      <c r="A204" s="21" t="s">
        <v>338</v>
      </c>
      <c r="B204" s="22" t="s">
        <v>339</v>
      </c>
      <c r="C204" s="2">
        <v>1</v>
      </c>
      <c r="D204" s="23">
        <v>14.99</v>
      </c>
      <c r="E204" s="3">
        <v>14.99</v>
      </c>
      <c r="F204" s="2">
        <v>3151</v>
      </c>
      <c r="G204" s="22" t="s">
        <v>19315</v>
      </c>
      <c r="H204" s="24" t="s">
        <v>19797</v>
      </c>
      <c r="I204" s="22" t="s">
        <v>19309</v>
      </c>
      <c r="J204" s="22" t="s">
        <v>20076</v>
      </c>
      <c r="K204" s="22" t="s">
        <v>12080</v>
      </c>
      <c r="L204" s="22"/>
      <c r="M204" s="22"/>
      <c r="N204" s="25" t="str">
        <f t="shared" si="0"/>
        <v xml:space="preserve">http://slimages.macys.com/is/image/MCY/21816728 </v>
      </c>
    </row>
    <row r="205" spans="1:14" ht="24.75" x14ac:dyDescent="0.25">
      <c r="A205" s="21" t="s">
        <v>12078</v>
      </c>
      <c r="B205" s="22" t="s">
        <v>12079</v>
      </c>
      <c r="C205" s="2">
        <v>3</v>
      </c>
      <c r="D205" s="23">
        <v>14.99</v>
      </c>
      <c r="E205" s="3">
        <v>44.97</v>
      </c>
      <c r="F205" s="2">
        <v>3151</v>
      </c>
      <c r="G205" s="22" t="s">
        <v>19323</v>
      </c>
      <c r="H205" s="24" t="s">
        <v>19797</v>
      </c>
      <c r="I205" s="22" t="s">
        <v>19309</v>
      </c>
      <c r="J205" s="22" t="s">
        <v>20076</v>
      </c>
      <c r="K205" s="22" t="s">
        <v>12080</v>
      </c>
      <c r="L205" s="22"/>
      <c r="M205" s="22"/>
      <c r="N205" s="25" t="str">
        <f t="shared" si="0"/>
        <v xml:space="preserve">http://slimages.macys.com/is/image/MCY/21816728 </v>
      </c>
    </row>
    <row r="206" spans="1:14" x14ac:dyDescent="0.25">
      <c r="A206" s="21" t="s">
        <v>340</v>
      </c>
      <c r="B206" s="22" t="s">
        <v>341</v>
      </c>
      <c r="C206" s="2">
        <v>1</v>
      </c>
      <c r="D206" s="23">
        <v>22.99</v>
      </c>
      <c r="E206" s="3">
        <v>22.99</v>
      </c>
      <c r="F206" s="2" t="s">
        <v>13085</v>
      </c>
      <c r="G206" s="22" t="s">
        <v>19467</v>
      </c>
      <c r="H206" s="24" t="s">
        <v>19361</v>
      </c>
      <c r="I206" s="22" t="s">
        <v>19309</v>
      </c>
      <c r="J206" s="22" t="s">
        <v>19849</v>
      </c>
      <c r="K206" s="22" t="s">
        <v>19850</v>
      </c>
      <c r="L206" s="22"/>
      <c r="M206" s="22"/>
      <c r="N206" s="25" t="str">
        <f>HYPERLINK("http://slimages.macys.com/is/image/MCY/20786231 ")</f>
        <v xml:space="preserve">http://slimages.macys.com/is/image/MCY/20786231 </v>
      </c>
    </row>
    <row r="207" spans="1:14" x14ac:dyDescent="0.25">
      <c r="A207" s="21" t="s">
        <v>342</v>
      </c>
      <c r="B207" s="22" t="s">
        <v>343</v>
      </c>
      <c r="C207" s="2">
        <v>1</v>
      </c>
      <c r="D207" s="23">
        <v>16.989999999999998</v>
      </c>
      <c r="E207" s="3">
        <v>16.989999999999998</v>
      </c>
      <c r="F207" s="2" t="s">
        <v>20132</v>
      </c>
      <c r="G207" s="22" t="s">
        <v>19674</v>
      </c>
      <c r="H207" s="24" t="s">
        <v>19542</v>
      </c>
      <c r="I207" s="22" t="s">
        <v>19309</v>
      </c>
      <c r="J207" s="22" t="s">
        <v>19849</v>
      </c>
      <c r="K207" s="22" t="s">
        <v>19850</v>
      </c>
      <c r="L207" s="22"/>
      <c r="M207" s="22"/>
      <c r="N207" s="25" t="str">
        <f>HYPERLINK("http://slimages.macys.com/is/image/MCY/20751998 ")</f>
        <v xml:space="preserve">http://slimages.macys.com/is/image/MCY/20751998 </v>
      </c>
    </row>
    <row r="208" spans="1:14" x14ac:dyDescent="0.25">
      <c r="A208" s="21" t="s">
        <v>344</v>
      </c>
      <c r="B208" s="22" t="s">
        <v>345</v>
      </c>
      <c r="C208" s="2">
        <v>1</v>
      </c>
      <c r="D208" s="23">
        <v>18.66</v>
      </c>
      <c r="E208" s="3">
        <v>18.66</v>
      </c>
      <c r="F208" s="2" t="s">
        <v>18159</v>
      </c>
      <c r="G208" s="22" t="s">
        <v>19879</v>
      </c>
      <c r="H208" s="24" t="s">
        <v>19330</v>
      </c>
      <c r="I208" s="22" t="s">
        <v>19309</v>
      </c>
      <c r="J208" s="22" t="s">
        <v>19708</v>
      </c>
      <c r="K208" s="22" t="s">
        <v>19709</v>
      </c>
      <c r="L208" s="22"/>
      <c r="M208" s="22"/>
      <c r="N208" s="25" t="str">
        <f>HYPERLINK("http://slimages.macys.com/is/image/MCY/21726567 ")</f>
        <v xml:space="preserve">http://slimages.macys.com/is/image/MCY/21726567 </v>
      </c>
    </row>
    <row r="209" spans="1:14" x14ac:dyDescent="0.25">
      <c r="A209" s="21" t="s">
        <v>16044</v>
      </c>
      <c r="B209" s="22" t="s">
        <v>16045</v>
      </c>
      <c r="C209" s="2">
        <v>1</v>
      </c>
      <c r="D209" s="23">
        <v>18.66</v>
      </c>
      <c r="E209" s="3">
        <v>18.66</v>
      </c>
      <c r="F209" s="2" t="s">
        <v>16043</v>
      </c>
      <c r="G209" s="22" t="s">
        <v>19431</v>
      </c>
      <c r="H209" s="24" t="s">
        <v>19324</v>
      </c>
      <c r="I209" s="22" t="s">
        <v>19309</v>
      </c>
      <c r="J209" s="22" t="s">
        <v>19708</v>
      </c>
      <c r="K209" s="22" t="s">
        <v>19709</v>
      </c>
      <c r="L209" s="22"/>
      <c r="M209" s="22"/>
      <c r="N209" s="25" t="str">
        <f>HYPERLINK("http://slimages.macys.com/is/image/MCY/21414270 ")</f>
        <v xml:space="preserve">http://slimages.macys.com/is/image/MCY/21414270 </v>
      </c>
    </row>
    <row r="210" spans="1:14" x14ac:dyDescent="0.25">
      <c r="A210" s="21" t="s">
        <v>7556</v>
      </c>
      <c r="B210" s="22" t="s">
        <v>7557</v>
      </c>
      <c r="C210" s="2">
        <v>1</v>
      </c>
      <c r="D210" s="23">
        <v>18.66</v>
      </c>
      <c r="E210" s="3">
        <v>18.66</v>
      </c>
      <c r="F210" s="2" t="s">
        <v>16043</v>
      </c>
      <c r="G210" s="22" t="s">
        <v>19431</v>
      </c>
      <c r="H210" s="24" t="s">
        <v>20159</v>
      </c>
      <c r="I210" s="22" t="s">
        <v>19309</v>
      </c>
      <c r="J210" s="22" t="s">
        <v>19708</v>
      </c>
      <c r="K210" s="22" t="s">
        <v>19709</v>
      </c>
      <c r="L210" s="22"/>
      <c r="M210" s="22"/>
      <c r="N210" s="25" t="str">
        <f>HYPERLINK("http://slimages.macys.com/is/image/MCY/21414270 ")</f>
        <v xml:space="preserve">http://slimages.macys.com/is/image/MCY/21414270 </v>
      </c>
    </row>
    <row r="211" spans="1:14" x14ac:dyDescent="0.25">
      <c r="A211" s="21" t="s">
        <v>346</v>
      </c>
      <c r="B211" s="22" t="s">
        <v>347</v>
      </c>
      <c r="C211" s="2">
        <v>1</v>
      </c>
      <c r="D211" s="23">
        <v>18.66</v>
      </c>
      <c r="E211" s="3">
        <v>18.66</v>
      </c>
      <c r="F211" s="2" t="s">
        <v>16048</v>
      </c>
      <c r="G211" s="22"/>
      <c r="H211" s="24" t="s">
        <v>19324</v>
      </c>
      <c r="I211" s="22" t="s">
        <v>19309</v>
      </c>
      <c r="J211" s="22" t="s">
        <v>19708</v>
      </c>
      <c r="K211" s="22" t="s">
        <v>19709</v>
      </c>
      <c r="L211" s="22"/>
      <c r="M211" s="22"/>
      <c r="N211" s="25" t="str">
        <f>HYPERLINK("http://slimages.macys.com/is/image/MCY/21414591 ")</f>
        <v xml:space="preserve">http://slimages.macys.com/is/image/MCY/21414591 </v>
      </c>
    </row>
    <row r="212" spans="1:14" x14ac:dyDescent="0.25">
      <c r="A212" s="21" t="s">
        <v>16051</v>
      </c>
      <c r="B212" s="22" t="s">
        <v>16052</v>
      </c>
      <c r="C212" s="2">
        <v>2</v>
      </c>
      <c r="D212" s="23">
        <v>18.66</v>
      </c>
      <c r="E212" s="3">
        <v>37.32</v>
      </c>
      <c r="F212" s="2" t="s">
        <v>16043</v>
      </c>
      <c r="G212" s="22" t="s">
        <v>19431</v>
      </c>
      <c r="H212" s="24" t="s">
        <v>19416</v>
      </c>
      <c r="I212" s="22" t="s">
        <v>19309</v>
      </c>
      <c r="J212" s="22" t="s">
        <v>19708</v>
      </c>
      <c r="K212" s="22" t="s">
        <v>19709</v>
      </c>
      <c r="L212" s="22"/>
      <c r="M212" s="22"/>
      <c r="N212" s="25" t="str">
        <f>HYPERLINK("http://slimages.macys.com/is/image/MCY/21414270 ")</f>
        <v xml:space="preserve">http://slimages.macys.com/is/image/MCY/21414270 </v>
      </c>
    </row>
    <row r="213" spans="1:14" x14ac:dyDescent="0.25">
      <c r="A213" s="21" t="s">
        <v>7561</v>
      </c>
      <c r="B213" s="22" t="s">
        <v>7562</v>
      </c>
      <c r="C213" s="2">
        <v>1</v>
      </c>
      <c r="D213" s="23">
        <v>14.67</v>
      </c>
      <c r="E213" s="3">
        <v>14.67</v>
      </c>
      <c r="F213" s="2" t="s">
        <v>11644</v>
      </c>
      <c r="G213" s="22" t="s">
        <v>19431</v>
      </c>
      <c r="H213" s="24" t="s">
        <v>19367</v>
      </c>
      <c r="I213" s="22" t="s">
        <v>19309</v>
      </c>
      <c r="J213" s="22" t="s">
        <v>19708</v>
      </c>
      <c r="K213" s="22" t="s">
        <v>19709</v>
      </c>
      <c r="L213" s="22"/>
      <c r="M213" s="22"/>
      <c r="N213" s="25" t="str">
        <f>HYPERLINK("http://slimages.macys.com/is/image/MCY/19060484 ")</f>
        <v xml:space="preserve">http://slimages.macys.com/is/image/MCY/19060484 </v>
      </c>
    </row>
    <row r="214" spans="1:14" x14ac:dyDescent="0.25">
      <c r="A214" s="21" t="s">
        <v>20160</v>
      </c>
      <c r="B214" s="22" t="s">
        <v>20161</v>
      </c>
      <c r="C214" s="2">
        <v>1</v>
      </c>
      <c r="D214" s="23">
        <v>14.67</v>
      </c>
      <c r="E214" s="3">
        <v>14.67</v>
      </c>
      <c r="F214" s="2" t="s">
        <v>20162</v>
      </c>
      <c r="G214" s="22" t="s">
        <v>19333</v>
      </c>
      <c r="H214" s="24" t="s">
        <v>19367</v>
      </c>
      <c r="I214" s="22" t="s">
        <v>19309</v>
      </c>
      <c r="J214" s="22" t="s">
        <v>19708</v>
      </c>
      <c r="K214" s="22" t="s">
        <v>19709</v>
      </c>
      <c r="L214" s="22"/>
      <c r="M214" s="22"/>
      <c r="N214" s="25" t="str">
        <f>HYPERLINK("http://slimages.macys.com/is/image/MCY/19063047 ")</f>
        <v xml:space="preserve">http://slimages.macys.com/is/image/MCY/19063047 </v>
      </c>
    </row>
    <row r="215" spans="1:14" x14ac:dyDescent="0.25">
      <c r="A215" s="21" t="s">
        <v>348</v>
      </c>
      <c r="B215" s="22" t="s">
        <v>349</v>
      </c>
      <c r="C215" s="2">
        <v>1</v>
      </c>
      <c r="D215" s="23">
        <v>14.67</v>
      </c>
      <c r="E215" s="3">
        <v>14.67</v>
      </c>
      <c r="F215" s="2" t="s">
        <v>11647</v>
      </c>
      <c r="G215" s="22" t="s">
        <v>19323</v>
      </c>
      <c r="H215" s="24" t="s">
        <v>19324</v>
      </c>
      <c r="I215" s="22" t="s">
        <v>19309</v>
      </c>
      <c r="J215" s="22" t="s">
        <v>19708</v>
      </c>
      <c r="K215" s="22" t="s">
        <v>19709</v>
      </c>
      <c r="L215" s="22"/>
      <c r="M215" s="22"/>
      <c r="N215" s="25" t="str">
        <f>HYPERLINK("http://slimages.macys.com/is/image/MCY/19066933 ")</f>
        <v xml:space="preserve">http://slimages.macys.com/is/image/MCY/19066933 </v>
      </c>
    </row>
    <row r="216" spans="1:14" ht="24.75" x14ac:dyDescent="0.25">
      <c r="A216" s="21" t="s">
        <v>350</v>
      </c>
      <c r="B216" s="22" t="s">
        <v>351</v>
      </c>
      <c r="C216" s="2">
        <v>1</v>
      </c>
      <c r="D216" s="23">
        <v>16.21</v>
      </c>
      <c r="E216" s="3">
        <v>16.21</v>
      </c>
      <c r="F216" s="2" t="s">
        <v>16057</v>
      </c>
      <c r="G216" s="22"/>
      <c r="H216" s="24"/>
      <c r="I216" s="22" t="s">
        <v>19309</v>
      </c>
      <c r="J216" s="22" t="s">
        <v>19602</v>
      </c>
      <c r="K216" s="22" t="s">
        <v>20041</v>
      </c>
      <c r="L216" s="22"/>
      <c r="M216" s="22"/>
      <c r="N216" s="25" t="str">
        <f>HYPERLINK("http://slimages.macys.com/is/image/MCY/21728915 ")</f>
        <v xml:space="preserve">http://slimages.macys.com/is/image/MCY/21728915 </v>
      </c>
    </row>
    <row r="217" spans="1:14" ht="24.75" x14ac:dyDescent="0.25">
      <c r="A217" s="21" t="s">
        <v>352</v>
      </c>
      <c r="B217" s="22" t="s">
        <v>353</v>
      </c>
      <c r="C217" s="2">
        <v>1</v>
      </c>
      <c r="D217" s="23">
        <v>16.21</v>
      </c>
      <c r="E217" s="3">
        <v>16.21</v>
      </c>
      <c r="F217" s="2" t="s">
        <v>16057</v>
      </c>
      <c r="G217" s="22"/>
      <c r="H217" s="24" t="s">
        <v>19334</v>
      </c>
      <c r="I217" s="22" t="s">
        <v>19309</v>
      </c>
      <c r="J217" s="22" t="s">
        <v>19602</v>
      </c>
      <c r="K217" s="22" t="s">
        <v>20041</v>
      </c>
      <c r="L217" s="22"/>
      <c r="M217" s="22"/>
      <c r="N217" s="25" t="str">
        <f>HYPERLINK("http://slimages.macys.com/is/image/MCY/21728915 ")</f>
        <v xml:space="preserve">http://slimages.macys.com/is/image/MCY/21728915 </v>
      </c>
    </row>
    <row r="218" spans="1:14" ht="24.75" x14ac:dyDescent="0.25">
      <c r="A218" s="21" t="s">
        <v>11650</v>
      </c>
      <c r="B218" s="22" t="s">
        <v>11651</v>
      </c>
      <c r="C218" s="2">
        <v>1</v>
      </c>
      <c r="D218" s="23">
        <v>16.21</v>
      </c>
      <c r="E218" s="3">
        <v>16.21</v>
      </c>
      <c r="F218" s="2" t="s">
        <v>16057</v>
      </c>
      <c r="G218" s="22"/>
      <c r="H218" s="24" t="s">
        <v>19392</v>
      </c>
      <c r="I218" s="22" t="s">
        <v>19309</v>
      </c>
      <c r="J218" s="22" t="s">
        <v>19602</v>
      </c>
      <c r="K218" s="22" t="s">
        <v>20041</v>
      </c>
      <c r="L218" s="22"/>
      <c r="M218" s="22"/>
      <c r="N218" s="25" t="str">
        <f>HYPERLINK("http://slimages.macys.com/is/image/MCY/21728915 ")</f>
        <v xml:space="preserve">http://slimages.macys.com/is/image/MCY/21728915 </v>
      </c>
    </row>
    <row r="219" spans="1:14" ht="24.75" x14ac:dyDescent="0.25">
      <c r="A219" s="21" t="s">
        <v>16055</v>
      </c>
      <c r="B219" s="22" t="s">
        <v>16056</v>
      </c>
      <c r="C219" s="2">
        <v>2</v>
      </c>
      <c r="D219" s="23">
        <v>16.21</v>
      </c>
      <c r="E219" s="3">
        <v>32.42</v>
      </c>
      <c r="F219" s="2" t="s">
        <v>16057</v>
      </c>
      <c r="G219" s="22"/>
      <c r="H219" s="24" t="s">
        <v>19345</v>
      </c>
      <c r="I219" s="22" t="s">
        <v>19309</v>
      </c>
      <c r="J219" s="22" t="s">
        <v>19602</v>
      </c>
      <c r="K219" s="22" t="s">
        <v>20041</v>
      </c>
      <c r="L219" s="22"/>
      <c r="M219" s="22"/>
      <c r="N219" s="25" t="str">
        <f>HYPERLINK("http://slimages.macys.com/is/image/MCY/21728915 ")</f>
        <v xml:space="preserve">http://slimages.macys.com/is/image/MCY/21728915 </v>
      </c>
    </row>
    <row r="220" spans="1:14" ht="24.75" x14ac:dyDescent="0.25">
      <c r="A220" s="21" t="s">
        <v>2656</v>
      </c>
      <c r="B220" s="22" t="s">
        <v>2657</v>
      </c>
      <c r="C220" s="2">
        <v>1</v>
      </c>
      <c r="D220" s="23">
        <v>14.99</v>
      </c>
      <c r="E220" s="3">
        <v>14.99</v>
      </c>
      <c r="F220" s="2" t="s">
        <v>2653</v>
      </c>
      <c r="G220" s="22" t="s">
        <v>19383</v>
      </c>
      <c r="H220" s="24" t="s">
        <v>12028</v>
      </c>
      <c r="I220" s="22" t="s">
        <v>19309</v>
      </c>
      <c r="J220" s="22" t="s">
        <v>20076</v>
      </c>
      <c r="K220" s="22" t="s">
        <v>12029</v>
      </c>
      <c r="L220" s="22"/>
      <c r="M220" s="22"/>
      <c r="N220" s="25" t="str">
        <f>HYPERLINK("http://slimages.macys.com/is/image/MCY/21408301 ")</f>
        <v xml:space="preserve">http://slimages.macys.com/is/image/MCY/21408301 </v>
      </c>
    </row>
    <row r="221" spans="1:14" ht="24.75" x14ac:dyDescent="0.25">
      <c r="A221" s="21" t="s">
        <v>354</v>
      </c>
      <c r="B221" s="22" t="s">
        <v>355</v>
      </c>
      <c r="C221" s="2">
        <v>1</v>
      </c>
      <c r="D221" s="23">
        <v>20.99</v>
      </c>
      <c r="E221" s="3">
        <v>20.99</v>
      </c>
      <c r="F221" s="2" t="s">
        <v>356</v>
      </c>
      <c r="G221" s="22" t="s">
        <v>19674</v>
      </c>
      <c r="H221" s="24" t="s">
        <v>18139</v>
      </c>
      <c r="I221" s="22" t="s">
        <v>19309</v>
      </c>
      <c r="J221" s="22" t="s">
        <v>19447</v>
      </c>
      <c r="K221" s="22" t="s">
        <v>18333</v>
      </c>
      <c r="L221" s="22"/>
      <c r="M221" s="22"/>
      <c r="N221" s="25" t="str">
        <f>HYPERLINK("http://slimages.macys.com/is/image/MCY/20643211 ")</f>
        <v xml:space="preserve">http://slimages.macys.com/is/image/MCY/20643211 </v>
      </c>
    </row>
    <row r="222" spans="1:14" x14ac:dyDescent="0.25">
      <c r="A222" s="21" t="s">
        <v>357</v>
      </c>
      <c r="B222" s="22" t="s">
        <v>358</v>
      </c>
      <c r="C222" s="2">
        <v>1</v>
      </c>
      <c r="D222" s="23">
        <v>14.31</v>
      </c>
      <c r="E222" s="3">
        <v>14.31</v>
      </c>
      <c r="F222" s="2" t="s">
        <v>12103</v>
      </c>
      <c r="G222" s="22" t="s">
        <v>19431</v>
      </c>
      <c r="H222" s="24" t="s">
        <v>20159</v>
      </c>
      <c r="I222" s="22" t="s">
        <v>19309</v>
      </c>
      <c r="J222" s="22" t="s">
        <v>19708</v>
      </c>
      <c r="K222" s="22" t="s">
        <v>19709</v>
      </c>
      <c r="L222" s="22"/>
      <c r="M222" s="22"/>
      <c r="N222" s="25" t="str">
        <f>HYPERLINK("http://slimages.macys.com/is/image/MCY/21409151 ")</f>
        <v xml:space="preserve">http://slimages.macys.com/is/image/MCY/21409151 </v>
      </c>
    </row>
    <row r="223" spans="1:14" x14ac:dyDescent="0.25">
      <c r="A223" s="21" t="s">
        <v>359</v>
      </c>
      <c r="B223" s="22" t="s">
        <v>360</v>
      </c>
      <c r="C223" s="2">
        <v>1</v>
      </c>
      <c r="D223" s="23">
        <v>14.31</v>
      </c>
      <c r="E223" s="3">
        <v>14.31</v>
      </c>
      <c r="F223" s="2" t="s">
        <v>361</v>
      </c>
      <c r="G223" s="22" t="s">
        <v>19594</v>
      </c>
      <c r="H223" s="24" t="s">
        <v>19770</v>
      </c>
      <c r="I223" s="22" t="s">
        <v>19309</v>
      </c>
      <c r="J223" s="22" t="s">
        <v>19708</v>
      </c>
      <c r="K223" s="22" t="s">
        <v>19709</v>
      </c>
      <c r="L223" s="22"/>
      <c r="M223" s="22"/>
      <c r="N223" s="25" t="str">
        <f>HYPERLINK("http://slimages.macys.com/is/image/MCY/21409614 ")</f>
        <v xml:space="preserve">http://slimages.macys.com/is/image/MCY/21409614 </v>
      </c>
    </row>
    <row r="224" spans="1:14" x14ac:dyDescent="0.25">
      <c r="A224" s="21" t="s">
        <v>362</v>
      </c>
      <c r="B224" s="22" t="s">
        <v>363</v>
      </c>
      <c r="C224" s="2">
        <v>2</v>
      </c>
      <c r="D224" s="23">
        <v>14.31</v>
      </c>
      <c r="E224" s="3">
        <v>28.62</v>
      </c>
      <c r="F224" s="2" t="s">
        <v>364</v>
      </c>
      <c r="G224" s="22" t="s">
        <v>19431</v>
      </c>
      <c r="H224" s="24" t="s">
        <v>19324</v>
      </c>
      <c r="I224" s="22" t="s">
        <v>19309</v>
      </c>
      <c r="J224" s="22" t="s">
        <v>19708</v>
      </c>
      <c r="K224" s="22" t="s">
        <v>19709</v>
      </c>
      <c r="L224" s="22"/>
      <c r="M224" s="22"/>
      <c r="N224" s="25" t="str">
        <f>HYPERLINK("http://slimages.macys.com/is/image/MCY/21409939 ")</f>
        <v xml:space="preserve">http://slimages.macys.com/is/image/MCY/21409939 </v>
      </c>
    </row>
    <row r="225" spans="1:14" x14ac:dyDescent="0.25">
      <c r="A225" s="21" t="s">
        <v>365</v>
      </c>
      <c r="B225" s="22" t="s">
        <v>366</v>
      </c>
      <c r="C225" s="2">
        <v>1</v>
      </c>
      <c r="D225" s="23">
        <v>14.31</v>
      </c>
      <c r="E225" s="3">
        <v>14.31</v>
      </c>
      <c r="F225" s="2" t="s">
        <v>361</v>
      </c>
      <c r="G225" s="22" t="s">
        <v>19594</v>
      </c>
      <c r="H225" s="24" t="s">
        <v>19416</v>
      </c>
      <c r="I225" s="22" t="s">
        <v>19309</v>
      </c>
      <c r="J225" s="22" t="s">
        <v>19708</v>
      </c>
      <c r="K225" s="22" t="s">
        <v>19709</v>
      </c>
      <c r="L225" s="22"/>
      <c r="M225" s="22"/>
      <c r="N225" s="25" t="str">
        <f>HYPERLINK("http://slimages.macys.com/is/image/MCY/21409614 ")</f>
        <v xml:space="preserve">http://slimages.macys.com/is/image/MCY/21409614 </v>
      </c>
    </row>
    <row r="226" spans="1:14" x14ac:dyDescent="0.25">
      <c r="A226" s="21" t="s">
        <v>16061</v>
      </c>
      <c r="B226" s="22" t="s">
        <v>16062</v>
      </c>
      <c r="C226" s="2">
        <v>1</v>
      </c>
      <c r="D226" s="23">
        <v>24.99</v>
      </c>
      <c r="E226" s="3">
        <v>24.99</v>
      </c>
      <c r="F226" s="2" t="s">
        <v>16063</v>
      </c>
      <c r="G226" s="22" t="s">
        <v>19431</v>
      </c>
      <c r="H226" s="24" t="s">
        <v>19339</v>
      </c>
      <c r="I226" s="22" t="s">
        <v>19309</v>
      </c>
      <c r="J226" s="22" t="s">
        <v>19849</v>
      </c>
      <c r="K226" s="22" t="s">
        <v>19850</v>
      </c>
      <c r="L226" s="22"/>
      <c r="M226" s="22"/>
      <c r="N226" s="25" t="str">
        <f>HYPERLINK("http://slimages.macys.com/is/image/MCY/20751985 ")</f>
        <v xml:space="preserve">http://slimages.macys.com/is/image/MCY/20751985 </v>
      </c>
    </row>
    <row r="227" spans="1:14" x14ac:dyDescent="0.25">
      <c r="A227" s="21" t="s">
        <v>20174</v>
      </c>
      <c r="B227" s="22" t="s">
        <v>20175</v>
      </c>
      <c r="C227" s="2">
        <v>1</v>
      </c>
      <c r="D227" s="23">
        <v>17.87</v>
      </c>
      <c r="E227" s="3">
        <v>17.87</v>
      </c>
      <c r="F227" s="2" t="s">
        <v>20176</v>
      </c>
      <c r="G227" s="22"/>
      <c r="H227" s="24" t="s">
        <v>20159</v>
      </c>
      <c r="I227" s="22" t="s">
        <v>19309</v>
      </c>
      <c r="J227" s="22" t="s">
        <v>19708</v>
      </c>
      <c r="K227" s="22" t="s">
        <v>19709</v>
      </c>
      <c r="L227" s="22"/>
      <c r="M227" s="22"/>
      <c r="N227" s="25" t="str">
        <f>HYPERLINK("http://slimages.macys.com/is/image/MCY/22405968 ")</f>
        <v xml:space="preserve">http://slimages.macys.com/is/image/MCY/22405968 </v>
      </c>
    </row>
    <row r="228" spans="1:14" x14ac:dyDescent="0.25">
      <c r="A228" s="21" t="s">
        <v>13137</v>
      </c>
      <c r="B228" s="22" t="s">
        <v>13138</v>
      </c>
      <c r="C228" s="2">
        <v>1</v>
      </c>
      <c r="D228" s="23">
        <v>17.87</v>
      </c>
      <c r="E228" s="3">
        <v>17.87</v>
      </c>
      <c r="F228" s="2" t="s">
        <v>20176</v>
      </c>
      <c r="G228" s="22"/>
      <c r="H228" s="24" t="s">
        <v>20152</v>
      </c>
      <c r="I228" s="22" t="s">
        <v>19309</v>
      </c>
      <c r="J228" s="22" t="s">
        <v>19708</v>
      </c>
      <c r="K228" s="22" t="s">
        <v>19709</v>
      </c>
      <c r="L228" s="22"/>
      <c r="M228" s="22"/>
      <c r="N228" s="25" t="str">
        <f>HYPERLINK("http://slimages.macys.com/is/image/MCY/22405968 ")</f>
        <v xml:space="preserve">http://slimages.macys.com/is/image/MCY/22405968 </v>
      </c>
    </row>
    <row r="229" spans="1:14" x14ac:dyDescent="0.25">
      <c r="A229" s="21" t="s">
        <v>6784</v>
      </c>
      <c r="B229" s="22" t="s">
        <v>6785</v>
      </c>
      <c r="C229" s="2">
        <v>1</v>
      </c>
      <c r="D229" s="23">
        <v>17.87</v>
      </c>
      <c r="E229" s="3">
        <v>17.87</v>
      </c>
      <c r="F229" s="2" t="s">
        <v>20182</v>
      </c>
      <c r="G229" s="22"/>
      <c r="H229" s="24" t="s">
        <v>19367</v>
      </c>
      <c r="I229" s="22" t="s">
        <v>19309</v>
      </c>
      <c r="J229" s="22" t="s">
        <v>19708</v>
      </c>
      <c r="K229" s="22" t="s">
        <v>19709</v>
      </c>
      <c r="L229" s="22"/>
      <c r="M229" s="22"/>
      <c r="N229" s="25" t="str">
        <f>HYPERLINK("http://slimages.macys.com/is/image/MCY/22405971 ")</f>
        <v xml:space="preserve">http://slimages.macys.com/is/image/MCY/22405971 </v>
      </c>
    </row>
    <row r="230" spans="1:14" x14ac:dyDescent="0.25">
      <c r="A230" s="21" t="s">
        <v>15471</v>
      </c>
      <c r="B230" s="22" t="s">
        <v>15472</v>
      </c>
      <c r="C230" s="2">
        <v>1</v>
      </c>
      <c r="D230" s="23">
        <v>17.87</v>
      </c>
      <c r="E230" s="3">
        <v>17.87</v>
      </c>
      <c r="F230" s="2" t="s">
        <v>20173</v>
      </c>
      <c r="G230" s="22"/>
      <c r="H230" s="24" t="s">
        <v>20152</v>
      </c>
      <c r="I230" s="22" t="s">
        <v>19309</v>
      </c>
      <c r="J230" s="22" t="s">
        <v>19708</v>
      </c>
      <c r="K230" s="22" t="s">
        <v>19709</v>
      </c>
      <c r="L230" s="22"/>
      <c r="M230" s="22"/>
      <c r="N230" s="25" t="str">
        <f>HYPERLINK("http://slimages.macys.com/is/image/MCY/22405672 ")</f>
        <v xml:space="preserve">http://slimages.macys.com/is/image/MCY/22405672 </v>
      </c>
    </row>
    <row r="231" spans="1:14" ht="24.75" x14ac:dyDescent="0.25">
      <c r="A231" s="21" t="s">
        <v>367</v>
      </c>
      <c r="B231" s="22" t="s">
        <v>368</v>
      </c>
      <c r="C231" s="2">
        <v>1</v>
      </c>
      <c r="D231" s="23">
        <v>12.99</v>
      </c>
      <c r="E231" s="3">
        <v>12.99</v>
      </c>
      <c r="F231" s="2" t="s">
        <v>18187</v>
      </c>
      <c r="G231" s="22" t="s">
        <v>19315</v>
      </c>
      <c r="H231" s="24" t="s">
        <v>19395</v>
      </c>
      <c r="I231" s="22" t="s">
        <v>19309</v>
      </c>
      <c r="J231" s="22" t="s">
        <v>19447</v>
      </c>
      <c r="K231" s="22" t="s">
        <v>20146</v>
      </c>
      <c r="L231" s="22"/>
      <c r="M231" s="22"/>
      <c r="N231" s="25" t="str">
        <f>HYPERLINK("http://slimages.macys.com/is/image/MCY/20676949 ")</f>
        <v xml:space="preserve">http://slimages.macys.com/is/image/MCY/20676949 </v>
      </c>
    </row>
    <row r="232" spans="1:14" ht="24.75" x14ac:dyDescent="0.25">
      <c r="A232" s="21" t="s">
        <v>749</v>
      </c>
      <c r="B232" s="22" t="s">
        <v>750</v>
      </c>
      <c r="C232" s="2">
        <v>1</v>
      </c>
      <c r="D232" s="23">
        <v>15.99</v>
      </c>
      <c r="E232" s="3">
        <v>15.99</v>
      </c>
      <c r="F232" s="2" t="s">
        <v>751</v>
      </c>
      <c r="G232" s="22" t="s">
        <v>19323</v>
      </c>
      <c r="H232" s="24" t="s">
        <v>19330</v>
      </c>
      <c r="I232" s="22" t="s">
        <v>19309</v>
      </c>
      <c r="J232" s="22" t="s">
        <v>19385</v>
      </c>
      <c r="K232" s="22" t="s">
        <v>18197</v>
      </c>
      <c r="L232" s="22"/>
      <c r="M232" s="22"/>
      <c r="N232" s="25" t="str">
        <f>HYPERLINK("http://slimages.macys.com/is/image/MCY/21541850 ")</f>
        <v xml:space="preserve">http://slimages.macys.com/is/image/MCY/21541850 </v>
      </c>
    </row>
    <row r="233" spans="1:14" ht="24.75" x14ac:dyDescent="0.25">
      <c r="A233" s="21" t="s">
        <v>369</v>
      </c>
      <c r="B233" s="22" t="s">
        <v>370</v>
      </c>
      <c r="C233" s="2">
        <v>1</v>
      </c>
      <c r="D233" s="23">
        <v>14.77</v>
      </c>
      <c r="E233" s="3">
        <v>14.77</v>
      </c>
      <c r="F233" s="2" t="s">
        <v>371</v>
      </c>
      <c r="G233" s="22" t="s">
        <v>19801</v>
      </c>
      <c r="H233" s="24" t="s">
        <v>19308</v>
      </c>
      <c r="I233" s="22" t="s">
        <v>19309</v>
      </c>
      <c r="J233" s="22" t="s">
        <v>19405</v>
      </c>
      <c r="K233" s="22" t="s">
        <v>19406</v>
      </c>
      <c r="L233" s="22"/>
      <c r="M233" s="22"/>
      <c r="N233" s="25" t="str">
        <f>HYPERLINK("http://slimages.macys.com/is/image/MCY/21889188 ")</f>
        <v xml:space="preserve">http://slimages.macys.com/is/image/MCY/21889188 </v>
      </c>
    </row>
    <row r="234" spans="1:14" ht="24.75" x14ac:dyDescent="0.25">
      <c r="A234" s="21" t="s">
        <v>10565</v>
      </c>
      <c r="B234" s="22" t="s">
        <v>10566</v>
      </c>
      <c r="C234" s="2">
        <v>2</v>
      </c>
      <c r="D234" s="23">
        <v>19.989999999999998</v>
      </c>
      <c r="E234" s="3">
        <v>39.979999999999997</v>
      </c>
      <c r="F234" s="2" t="s">
        <v>16085</v>
      </c>
      <c r="G234" s="22" t="s">
        <v>19342</v>
      </c>
      <c r="H234" s="24" t="s">
        <v>19416</v>
      </c>
      <c r="I234" s="22" t="s">
        <v>19309</v>
      </c>
      <c r="J234" s="22" t="s">
        <v>19385</v>
      </c>
      <c r="K234" s="22" t="s">
        <v>15725</v>
      </c>
      <c r="L234" s="22"/>
      <c r="M234" s="22"/>
      <c r="N234" s="25" t="str">
        <f>HYPERLINK("http://slimages.macys.com/is/image/MCY/21375621 ")</f>
        <v xml:space="preserve">http://slimages.macys.com/is/image/MCY/21375621 </v>
      </c>
    </row>
    <row r="235" spans="1:14" x14ac:dyDescent="0.25">
      <c r="A235" s="21" t="s">
        <v>372</v>
      </c>
      <c r="B235" s="22" t="s">
        <v>373</v>
      </c>
      <c r="C235" s="2">
        <v>1</v>
      </c>
      <c r="D235" s="23">
        <v>13.77</v>
      </c>
      <c r="E235" s="3">
        <v>13.77</v>
      </c>
      <c r="F235" s="2" t="s">
        <v>2693</v>
      </c>
      <c r="G235" s="22"/>
      <c r="H235" s="24" t="s">
        <v>20159</v>
      </c>
      <c r="I235" s="22" t="s">
        <v>19309</v>
      </c>
      <c r="J235" s="22" t="s">
        <v>19708</v>
      </c>
      <c r="K235" s="22" t="s">
        <v>19709</v>
      </c>
      <c r="L235" s="22"/>
      <c r="M235" s="22"/>
      <c r="N235" s="25" t="str">
        <f>HYPERLINK("http://slimages.macys.com/is/image/MCY/19069114 ")</f>
        <v xml:space="preserve">http://slimages.macys.com/is/image/MCY/19069114 </v>
      </c>
    </row>
    <row r="236" spans="1:14" x14ac:dyDescent="0.25">
      <c r="A236" s="21" t="s">
        <v>12140</v>
      </c>
      <c r="B236" s="22" t="s">
        <v>12141</v>
      </c>
      <c r="C236" s="2">
        <v>1</v>
      </c>
      <c r="D236" s="23">
        <v>13.77</v>
      </c>
      <c r="E236" s="3">
        <v>13.77</v>
      </c>
      <c r="F236" s="2" t="s">
        <v>13150</v>
      </c>
      <c r="G236" s="22"/>
      <c r="H236" s="24" t="s">
        <v>19416</v>
      </c>
      <c r="I236" s="22" t="s">
        <v>19309</v>
      </c>
      <c r="J236" s="22" t="s">
        <v>19708</v>
      </c>
      <c r="K236" s="22" t="s">
        <v>19709</v>
      </c>
      <c r="L236" s="22"/>
      <c r="M236" s="22"/>
      <c r="N236" s="25" t="str">
        <f>HYPERLINK("http://slimages.macys.com/is/image/MCY/19067056 ")</f>
        <v xml:space="preserve">http://slimages.macys.com/is/image/MCY/19067056 </v>
      </c>
    </row>
    <row r="237" spans="1:14" ht="24.75" x14ac:dyDescent="0.25">
      <c r="A237" s="21" t="s">
        <v>374</v>
      </c>
      <c r="B237" s="22" t="s">
        <v>375</v>
      </c>
      <c r="C237" s="2">
        <v>1</v>
      </c>
      <c r="D237" s="23">
        <v>14.99</v>
      </c>
      <c r="E237" s="3">
        <v>14.99</v>
      </c>
      <c r="F237" s="2" t="s">
        <v>376</v>
      </c>
      <c r="G237" s="22" t="s">
        <v>8934</v>
      </c>
      <c r="H237" s="24"/>
      <c r="I237" s="22" t="s">
        <v>19309</v>
      </c>
      <c r="J237" s="22" t="s">
        <v>19550</v>
      </c>
      <c r="K237" s="22" t="s">
        <v>16124</v>
      </c>
      <c r="L237" s="22" t="s">
        <v>19319</v>
      </c>
      <c r="M237" s="22" t="s">
        <v>19435</v>
      </c>
      <c r="N237" s="25" t="str">
        <f>HYPERLINK("http://slimages.macys.com/is/image/MCY/2822452 ")</f>
        <v xml:space="preserve">http://slimages.macys.com/is/image/MCY/2822452 </v>
      </c>
    </row>
    <row r="238" spans="1:14" ht="24.75" x14ac:dyDescent="0.25">
      <c r="A238" s="21" t="s">
        <v>377</v>
      </c>
      <c r="B238" s="22" t="s">
        <v>378</v>
      </c>
      <c r="C238" s="2">
        <v>1</v>
      </c>
      <c r="D238" s="23">
        <v>14.99</v>
      </c>
      <c r="E238" s="3">
        <v>14.99</v>
      </c>
      <c r="F238" s="2" t="s">
        <v>13710</v>
      </c>
      <c r="G238" s="22" t="s">
        <v>19315</v>
      </c>
      <c r="H238" s="24" t="s">
        <v>19352</v>
      </c>
      <c r="I238" s="22" t="s">
        <v>19309</v>
      </c>
      <c r="J238" s="22" t="s">
        <v>19815</v>
      </c>
      <c r="K238" s="22" t="s">
        <v>19816</v>
      </c>
      <c r="L238" s="22"/>
      <c r="M238" s="22"/>
      <c r="N238" s="25" t="str">
        <f>HYPERLINK("http://slimages.macys.com/is/image/MCY/20752826 ")</f>
        <v xml:space="preserve">http://slimages.macys.com/is/image/MCY/20752826 </v>
      </c>
    </row>
    <row r="239" spans="1:14" ht="24.75" x14ac:dyDescent="0.25">
      <c r="A239" s="21" t="s">
        <v>379</v>
      </c>
      <c r="B239" s="22" t="s">
        <v>380</v>
      </c>
      <c r="C239" s="2">
        <v>1</v>
      </c>
      <c r="D239" s="23">
        <v>14.99</v>
      </c>
      <c r="E239" s="3">
        <v>14.99</v>
      </c>
      <c r="F239" s="2" t="s">
        <v>13710</v>
      </c>
      <c r="G239" s="22" t="s">
        <v>19315</v>
      </c>
      <c r="H239" s="24" t="s">
        <v>19308</v>
      </c>
      <c r="I239" s="22" t="s">
        <v>19309</v>
      </c>
      <c r="J239" s="22" t="s">
        <v>19815</v>
      </c>
      <c r="K239" s="22" t="s">
        <v>19816</v>
      </c>
      <c r="L239" s="22"/>
      <c r="M239" s="22"/>
      <c r="N239" s="25" t="str">
        <f>HYPERLINK("http://slimages.macys.com/is/image/MCY/20752826 ")</f>
        <v xml:space="preserve">http://slimages.macys.com/is/image/MCY/20752826 </v>
      </c>
    </row>
    <row r="240" spans="1:14" ht="24.75" x14ac:dyDescent="0.25">
      <c r="A240" s="21" t="s">
        <v>381</v>
      </c>
      <c r="B240" s="22" t="s">
        <v>382</v>
      </c>
      <c r="C240" s="2">
        <v>1</v>
      </c>
      <c r="D240" s="23">
        <v>10.99</v>
      </c>
      <c r="E240" s="3">
        <v>10.99</v>
      </c>
      <c r="F240" s="2" t="s">
        <v>2707</v>
      </c>
      <c r="G240" s="22" t="s">
        <v>19467</v>
      </c>
      <c r="H240" s="24" t="s">
        <v>19345</v>
      </c>
      <c r="I240" s="22" t="s">
        <v>19309</v>
      </c>
      <c r="J240" s="22" t="s">
        <v>19447</v>
      </c>
      <c r="K240" s="22" t="s">
        <v>20146</v>
      </c>
      <c r="L240" s="22"/>
      <c r="M240" s="22"/>
      <c r="N240" s="25" t="str">
        <f>HYPERLINK("http://slimages.macys.com/is/image/MCY/20138515 ")</f>
        <v xml:space="preserve">http://slimages.macys.com/is/image/MCY/20138515 </v>
      </c>
    </row>
    <row r="241" spans="1:14" x14ac:dyDescent="0.25">
      <c r="A241" s="21" t="s">
        <v>383</v>
      </c>
      <c r="B241" s="22" t="s">
        <v>384</v>
      </c>
      <c r="C241" s="2">
        <v>1</v>
      </c>
      <c r="D241" s="23">
        <v>16.72</v>
      </c>
      <c r="E241" s="3">
        <v>16.72</v>
      </c>
      <c r="F241" s="2" t="s">
        <v>385</v>
      </c>
      <c r="G241" s="22"/>
      <c r="H241" s="24" t="s">
        <v>20159</v>
      </c>
      <c r="I241" s="22" t="s">
        <v>19309</v>
      </c>
      <c r="J241" s="22" t="s">
        <v>19708</v>
      </c>
      <c r="K241" s="22" t="s">
        <v>19709</v>
      </c>
      <c r="L241" s="22"/>
      <c r="M241" s="22"/>
      <c r="N241" s="25" t="str">
        <f>HYPERLINK("http://slimages.macys.com/is/image/MCY/21409055 ")</f>
        <v xml:space="preserve">http://slimages.macys.com/is/image/MCY/21409055 </v>
      </c>
    </row>
    <row r="242" spans="1:14" ht="24.75" x14ac:dyDescent="0.25">
      <c r="A242" s="21" t="s">
        <v>386</v>
      </c>
      <c r="B242" s="22" t="s">
        <v>387</v>
      </c>
      <c r="C242" s="2">
        <v>1</v>
      </c>
      <c r="D242" s="23">
        <v>21.99</v>
      </c>
      <c r="E242" s="3">
        <v>21.99</v>
      </c>
      <c r="F242" s="2" t="s">
        <v>388</v>
      </c>
      <c r="G242" s="22" t="s">
        <v>19333</v>
      </c>
      <c r="H242" s="24" t="s">
        <v>20089</v>
      </c>
      <c r="I242" s="22" t="s">
        <v>19309</v>
      </c>
      <c r="J242" s="22" t="s">
        <v>19908</v>
      </c>
      <c r="K242" s="22" t="s">
        <v>19524</v>
      </c>
      <c r="L242" s="22"/>
      <c r="M242" s="22"/>
      <c r="N242" s="25" t="str">
        <f>HYPERLINK("http://slimages.macys.com/is/image/MCY/20450204 ")</f>
        <v xml:space="preserve">http://slimages.macys.com/is/image/MCY/20450204 </v>
      </c>
    </row>
    <row r="243" spans="1:14" ht="24.75" x14ac:dyDescent="0.25">
      <c r="A243" s="21" t="s">
        <v>11696</v>
      </c>
      <c r="B243" s="22" t="s">
        <v>11697</v>
      </c>
      <c r="C243" s="2">
        <v>1</v>
      </c>
      <c r="D243" s="23">
        <v>11.99</v>
      </c>
      <c r="E243" s="3">
        <v>11.99</v>
      </c>
      <c r="F243" s="2" t="s">
        <v>18248</v>
      </c>
      <c r="G243" s="22" t="s">
        <v>19357</v>
      </c>
      <c r="H243" s="24" t="s">
        <v>19538</v>
      </c>
      <c r="I243" s="22" t="s">
        <v>19309</v>
      </c>
      <c r="J243" s="22" t="s">
        <v>19573</v>
      </c>
      <c r="K243" s="22" t="s">
        <v>20256</v>
      </c>
      <c r="L243" s="22" t="s">
        <v>19319</v>
      </c>
      <c r="M243" s="22" t="s">
        <v>19358</v>
      </c>
      <c r="N243" s="25" t="str">
        <f>HYPERLINK("http://slimages.macys.com/is/image/MCY/10227910 ")</f>
        <v xml:space="preserve">http://slimages.macys.com/is/image/MCY/10227910 </v>
      </c>
    </row>
    <row r="244" spans="1:14" ht="24.75" x14ac:dyDescent="0.25">
      <c r="A244" s="21" t="s">
        <v>18254</v>
      </c>
      <c r="B244" s="22" t="s">
        <v>18255</v>
      </c>
      <c r="C244" s="2">
        <v>1</v>
      </c>
      <c r="D244" s="23">
        <v>21.99</v>
      </c>
      <c r="E244" s="3">
        <v>21.99</v>
      </c>
      <c r="F244" s="2" t="s">
        <v>20270</v>
      </c>
      <c r="G244" s="22" t="s">
        <v>19467</v>
      </c>
      <c r="H244" s="24" t="s">
        <v>19352</v>
      </c>
      <c r="I244" s="22" t="s">
        <v>19309</v>
      </c>
      <c r="J244" s="22" t="s">
        <v>19849</v>
      </c>
      <c r="K244" s="22" t="s">
        <v>19850</v>
      </c>
      <c r="L244" s="22"/>
      <c r="M244" s="22"/>
      <c r="N244" s="25" t="str">
        <f>HYPERLINK("http://slimages.macys.com/is/image/MCY/20786240 ")</f>
        <v xml:space="preserve">http://slimages.macys.com/is/image/MCY/20786240 </v>
      </c>
    </row>
    <row r="245" spans="1:14" ht="24.75" x14ac:dyDescent="0.25">
      <c r="A245" s="21" t="s">
        <v>389</v>
      </c>
      <c r="B245" s="22" t="s">
        <v>390</v>
      </c>
      <c r="C245" s="2">
        <v>1</v>
      </c>
      <c r="D245" s="23">
        <v>12.99</v>
      </c>
      <c r="E245" s="3">
        <v>12.99</v>
      </c>
      <c r="F245" s="2">
        <v>6101</v>
      </c>
      <c r="G245" s="22" t="s">
        <v>19763</v>
      </c>
      <c r="H245" s="24" t="s">
        <v>19352</v>
      </c>
      <c r="I245" s="22" t="s">
        <v>19309</v>
      </c>
      <c r="J245" s="22" t="s">
        <v>20076</v>
      </c>
      <c r="K245" s="22" t="s">
        <v>12019</v>
      </c>
      <c r="L245" s="22" t="s">
        <v>19319</v>
      </c>
      <c r="M245" s="22" t="s">
        <v>2731</v>
      </c>
      <c r="N245" s="25" t="str">
        <f>HYPERLINK("http://slimages.macys.com/is/image/MCY/18068200 ")</f>
        <v xml:space="preserve">http://slimages.macys.com/is/image/MCY/18068200 </v>
      </c>
    </row>
    <row r="246" spans="1:14" ht="24.75" x14ac:dyDescent="0.25">
      <c r="A246" s="21" t="s">
        <v>391</v>
      </c>
      <c r="B246" s="22" t="s">
        <v>392</v>
      </c>
      <c r="C246" s="2">
        <v>1</v>
      </c>
      <c r="D246" s="23">
        <v>13.99</v>
      </c>
      <c r="E246" s="3">
        <v>13.99</v>
      </c>
      <c r="F246" s="2" t="s">
        <v>393</v>
      </c>
      <c r="G246" s="22" t="s">
        <v>19307</v>
      </c>
      <c r="H246" s="24" t="s">
        <v>19361</v>
      </c>
      <c r="I246" s="22" t="s">
        <v>19309</v>
      </c>
      <c r="J246" s="22" t="s">
        <v>19447</v>
      </c>
      <c r="K246" s="22" t="s">
        <v>19463</v>
      </c>
      <c r="L246" s="22"/>
      <c r="M246" s="22"/>
      <c r="N246" s="25" t="str">
        <f>HYPERLINK("http://slimages.macys.com/is/image/MCY/20951593 ")</f>
        <v xml:space="preserve">http://slimages.macys.com/is/image/MCY/20951593 </v>
      </c>
    </row>
    <row r="247" spans="1:14" ht="24.75" x14ac:dyDescent="0.25">
      <c r="A247" s="21" t="s">
        <v>20289</v>
      </c>
      <c r="B247" s="22" t="s">
        <v>20290</v>
      </c>
      <c r="C247" s="2">
        <v>1</v>
      </c>
      <c r="D247" s="23">
        <v>11.99</v>
      </c>
      <c r="E247" s="3">
        <v>11.99</v>
      </c>
      <c r="F247" s="2" t="s">
        <v>20291</v>
      </c>
      <c r="G247" s="22" t="s">
        <v>19357</v>
      </c>
      <c r="H247" s="24" t="s">
        <v>19538</v>
      </c>
      <c r="I247" s="22" t="s">
        <v>19309</v>
      </c>
      <c r="J247" s="22" t="s">
        <v>19573</v>
      </c>
      <c r="K247" s="22" t="s">
        <v>20256</v>
      </c>
      <c r="L247" s="22" t="s">
        <v>19319</v>
      </c>
      <c r="M247" s="22" t="s">
        <v>19358</v>
      </c>
      <c r="N247" s="25" t="str">
        <f>HYPERLINK("http://slimages.macys.com/is/image/MCY/8018016 ")</f>
        <v xml:space="preserve">http://slimages.macys.com/is/image/MCY/8018016 </v>
      </c>
    </row>
    <row r="248" spans="1:14" ht="24.75" x14ac:dyDescent="0.25">
      <c r="A248" s="21" t="s">
        <v>13178</v>
      </c>
      <c r="B248" s="22" t="s">
        <v>13179</v>
      </c>
      <c r="C248" s="2">
        <v>1</v>
      </c>
      <c r="D248" s="23">
        <v>11.99</v>
      </c>
      <c r="E248" s="3">
        <v>11.99</v>
      </c>
      <c r="F248" s="2" t="s">
        <v>20291</v>
      </c>
      <c r="G248" s="22" t="s">
        <v>19357</v>
      </c>
      <c r="H248" s="24" t="s">
        <v>19770</v>
      </c>
      <c r="I248" s="22" t="s">
        <v>19309</v>
      </c>
      <c r="J248" s="22" t="s">
        <v>19573</v>
      </c>
      <c r="K248" s="22" t="s">
        <v>20256</v>
      </c>
      <c r="L248" s="22" t="s">
        <v>19319</v>
      </c>
      <c r="M248" s="22" t="s">
        <v>19358</v>
      </c>
      <c r="N248" s="25" t="str">
        <f>HYPERLINK("http://slimages.macys.com/is/image/MCY/8018016 ")</f>
        <v xml:space="preserve">http://slimages.macys.com/is/image/MCY/8018016 </v>
      </c>
    </row>
    <row r="249" spans="1:14" ht="24.75" x14ac:dyDescent="0.25">
      <c r="A249" s="21" t="s">
        <v>13174</v>
      </c>
      <c r="B249" s="22" t="s">
        <v>13175</v>
      </c>
      <c r="C249" s="2">
        <v>2</v>
      </c>
      <c r="D249" s="23">
        <v>11.99</v>
      </c>
      <c r="E249" s="3">
        <v>23.98</v>
      </c>
      <c r="F249" s="2">
        <v>100007433</v>
      </c>
      <c r="G249" s="22" t="s">
        <v>19338</v>
      </c>
      <c r="H249" s="24" t="s">
        <v>19538</v>
      </c>
      <c r="I249" s="22" t="s">
        <v>19309</v>
      </c>
      <c r="J249" s="22" t="s">
        <v>19573</v>
      </c>
      <c r="K249" s="22" t="s">
        <v>20256</v>
      </c>
      <c r="L249" s="22" t="s">
        <v>19319</v>
      </c>
      <c r="M249" s="22" t="s">
        <v>20257</v>
      </c>
      <c r="N249" s="25" t="str">
        <f>HYPERLINK("http://slimages.macys.com/is/image/MCY/9157891 ")</f>
        <v xml:space="preserve">http://slimages.macys.com/is/image/MCY/9157891 </v>
      </c>
    </row>
    <row r="250" spans="1:14" x14ac:dyDescent="0.25">
      <c r="A250" s="21" t="s">
        <v>394</v>
      </c>
      <c r="B250" s="22" t="s">
        <v>395</v>
      </c>
      <c r="C250" s="2">
        <v>1</v>
      </c>
      <c r="D250" s="23">
        <v>9.99</v>
      </c>
      <c r="E250" s="3">
        <v>9.99</v>
      </c>
      <c r="F250" s="2" t="s">
        <v>396</v>
      </c>
      <c r="G250" s="22" t="s">
        <v>19333</v>
      </c>
      <c r="H250" s="24" t="s">
        <v>19339</v>
      </c>
      <c r="I250" s="22" t="s">
        <v>19309</v>
      </c>
      <c r="J250" s="22" t="s">
        <v>19310</v>
      </c>
      <c r="K250" s="22" t="s">
        <v>19873</v>
      </c>
      <c r="L250" s="22"/>
      <c r="M250" s="22"/>
      <c r="N250" s="25" t="str">
        <f>HYPERLINK("http://slimages.macys.com/is/image/MCY/21176787 ")</f>
        <v xml:space="preserve">http://slimages.macys.com/is/image/MCY/21176787 </v>
      </c>
    </row>
    <row r="251" spans="1:14" ht="24.75" x14ac:dyDescent="0.25">
      <c r="A251" s="21" t="s">
        <v>1953</v>
      </c>
      <c r="B251" s="22" t="s">
        <v>1954</v>
      </c>
      <c r="C251" s="2">
        <v>1</v>
      </c>
      <c r="D251" s="23">
        <v>14.99</v>
      </c>
      <c r="E251" s="3">
        <v>14.99</v>
      </c>
      <c r="F251" s="2" t="s">
        <v>11727</v>
      </c>
      <c r="G251" s="22" t="s">
        <v>19315</v>
      </c>
      <c r="H251" s="24" t="s">
        <v>19432</v>
      </c>
      <c r="I251" s="22" t="s">
        <v>19309</v>
      </c>
      <c r="J251" s="22" t="s">
        <v>19815</v>
      </c>
      <c r="K251" s="22" t="s">
        <v>19816</v>
      </c>
      <c r="L251" s="22"/>
      <c r="M251" s="22"/>
      <c r="N251" s="25" t="str">
        <f>HYPERLINK("http://slimages.macys.com/is/image/MCY/1107146 ")</f>
        <v xml:space="preserve">http://slimages.macys.com/is/image/MCY/1107146 </v>
      </c>
    </row>
    <row r="252" spans="1:14" ht="24.75" x14ac:dyDescent="0.25">
      <c r="A252" s="21" t="s">
        <v>397</v>
      </c>
      <c r="B252" s="22" t="s">
        <v>398</v>
      </c>
      <c r="C252" s="2">
        <v>1</v>
      </c>
      <c r="D252" s="23">
        <v>14.99</v>
      </c>
      <c r="E252" s="3">
        <v>14.99</v>
      </c>
      <c r="F252" s="2">
        <v>4489</v>
      </c>
      <c r="G252" s="22" t="s">
        <v>19323</v>
      </c>
      <c r="H252" s="24" t="s">
        <v>19364</v>
      </c>
      <c r="I252" s="22" t="s">
        <v>19309</v>
      </c>
      <c r="J252" s="22" t="s">
        <v>20076</v>
      </c>
      <c r="K252" s="22" t="s">
        <v>20077</v>
      </c>
      <c r="L252" s="22"/>
      <c r="M252" s="22"/>
      <c r="N252" s="25" t="str">
        <f>HYPERLINK("http://slimages.macys.com/is/image/MCY/19348139 ")</f>
        <v xml:space="preserve">http://slimages.macys.com/is/image/MCY/19348139 </v>
      </c>
    </row>
    <row r="253" spans="1:14" ht="24.75" x14ac:dyDescent="0.25">
      <c r="A253" s="21" t="s">
        <v>7631</v>
      </c>
      <c r="B253" s="22" t="s">
        <v>7632</v>
      </c>
      <c r="C253" s="2">
        <v>2</v>
      </c>
      <c r="D253" s="23">
        <v>14.99</v>
      </c>
      <c r="E253" s="3">
        <v>29.98</v>
      </c>
      <c r="F253" s="2">
        <v>4489</v>
      </c>
      <c r="G253" s="22"/>
      <c r="H253" s="24" t="s">
        <v>19352</v>
      </c>
      <c r="I253" s="22" t="s">
        <v>19309</v>
      </c>
      <c r="J253" s="22" t="s">
        <v>20076</v>
      </c>
      <c r="K253" s="22" t="s">
        <v>20077</v>
      </c>
      <c r="L253" s="22"/>
      <c r="M253" s="22"/>
      <c r="N253" s="25" t="str">
        <f>HYPERLINK("http://slimages.macys.com/is/image/MCY/19348139 ")</f>
        <v xml:space="preserve">http://slimages.macys.com/is/image/MCY/19348139 </v>
      </c>
    </row>
    <row r="254" spans="1:14" ht="24.75" x14ac:dyDescent="0.25">
      <c r="A254" s="21" t="s">
        <v>399</v>
      </c>
      <c r="B254" s="22" t="s">
        <v>400</v>
      </c>
      <c r="C254" s="2">
        <v>2</v>
      </c>
      <c r="D254" s="23">
        <v>14.99</v>
      </c>
      <c r="E254" s="3">
        <v>29.98</v>
      </c>
      <c r="F254" s="2">
        <v>4489</v>
      </c>
      <c r="G254" s="22"/>
      <c r="H254" s="24" t="s">
        <v>19339</v>
      </c>
      <c r="I254" s="22" t="s">
        <v>19309</v>
      </c>
      <c r="J254" s="22" t="s">
        <v>20076</v>
      </c>
      <c r="K254" s="22" t="s">
        <v>20077</v>
      </c>
      <c r="L254" s="22"/>
      <c r="M254" s="22"/>
      <c r="N254" s="25" t="str">
        <f>HYPERLINK("http://slimages.macys.com/is/image/MCY/19348139 ")</f>
        <v xml:space="preserve">http://slimages.macys.com/is/image/MCY/19348139 </v>
      </c>
    </row>
    <row r="255" spans="1:14" ht="24.75" x14ac:dyDescent="0.25">
      <c r="A255" s="21" t="s">
        <v>2757</v>
      </c>
      <c r="B255" s="22" t="s">
        <v>2758</v>
      </c>
      <c r="C255" s="2">
        <v>1</v>
      </c>
      <c r="D255" s="23">
        <v>14.99</v>
      </c>
      <c r="E255" s="3">
        <v>14.99</v>
      </c>
      <c r="F255" s="2">
        <v>4489</v>
      </c>
      <c r="G255" s="22" t="s">
        <v>19323</v>
      </c>
      <c r="H255" s="24" t="s">
        <v>19339</v>
      </c>
      <c r="I255" s="22" t="s">
        <v>19309</v>
      </c>
      <c r="J255" s="22" t="s">
        <v>20076</v>
      </c>
      <c r="K255" s="22" t="s">
        <v>20077</v>
      </c>
      <c r="L255" s="22"/>
      <c r="M255" s="22"/>
      <c r="N255" s="25" t="str">
        <f>HYPERLINK("http://slimages.macys.com/is/image/MCY/19348139 ")</f>
        <v xml:space="preserve">http://slimages.macys.com/is/image/MCY/19348139 </v>
      </c>
    </row>
    <row r="256" spans="1:14" ht="24.75" x14ac:dyDescent="0.25">
      <c r="A256" s="21" t="s">
        <v>8899</v>
      </c>
      <c r="B256" s="22" t="s">
        <v>8900</v>
      </c>
      <c r="C256" s="2">
        <v>3</v>
      </c>
      <c r="D256" s="23">
        <v>15.99</v>
      </c>
      <c r="E256" s="3">
        <v>47.97</v>
      </c>
      <c r="F256" s="2" t="s">
        <v>20323</v>
      </c>
      <c r="G256" s="22" t="s">
        <v>19415</v>
      </c>
      <c r="H256" s="24"/>
      <c r="I256" s="22" t="s">
        <v>19309</v>
      </c>
      <c r="J256" s="22" t="s">
        <v>19573</v>
      </c>
      <c r="K256" s="22" t="s">
        <v>19574</v>
      </c>
      <c r="L256" s="22"/>
      <c r="M256" s="22"/>
      <c r="N256" s="25" t="str">
        <f t="shared" ref="N256:N261" si="1">HYPERLINK("http://slimages.macys.com/is/image/MCY/20757473 ")</f>
        <v xml:space="preserve">http://slimages.macys.com/is/image/MCY/20757473 </v>
      </c>
    </row>
    <row r="257" spans="1:14" ht="24.75" x14ac:dyDescent="0.25">
      <c r="A257" s="21" t="s">
        <v>401</v>
      </c>
      <c r="B257" s="22" t="s">
        <v>402</v>
      </c>
      <c r="C257" s="2">
        <v>3</v>
      </c>
      <c r="D257" s="23">
        <v>15.99</v>
      </c>
      <c r="E257" s="3">
        <v>47.97</v>
      </c>
      <c r="F257" s="2" t="s">
        <v>20323</v>
      </c>
      <c r="G257" s="22" t="s">
        <v>19415</v>
      </c>
      <c r="H257" s="24" t="s">
        <v>19330</v>
      </c>
      <c r="I257" s="22" t="s">
        <v>19309</v>
      </c>
      <c r="J257" s="22" t="s">
        <v>19573</v>
      </c>
      <c r="K257" s="22" t="s">
        <v>19574</v>
      </c>
      <c r="L257" s="22"/>
      <c r="M257" s="22"/>
      <c r="N257" s="25" t="str">
        <f t="shared" si="1"/>
        <v xml:space="preserve">http://slimages.macys.com/is/image/MCY/20757473 </v>
      </c>
    </row>
    <row r="258" spans="1:14" ht="24.75" x14ac:dyDescent="0.25">
      <c r="A258" s="21" t="s">
        <v>20321</v>
      </c>
      <c r="B258" s="22" t="s">
        <v>20322</v>
      </c>
      <c r="C258" s="2">
        <v>2</v>
      </c>
      <c r="D258" s="23">
        <v>15.99</v>
      </c>
      <c r="E258" s="3">
        <v>31.98</v>
      </c>
      <c r="F258" s="2" t="s">
        <v>20323</v>
      </c>
      <c r="G258" s="22" t="s">
        <v>19415</v>
      </c>
      <c r="H258" s="24" t="s">
        <v>19384</v>
      </c>
      <c r="I258" s="22" t="s">
        <v>19309</v>
      </c>
      <c r="J258" s="22" t="s">
        <v>19573</v>
      </c>
      <c r="K258" s="22" t="s">
        <v>19574</v>
      </c>
      <c r="L258" s="22"/>
      <c r="M258" s="22"/>
      <c r="N258" s="25" t="str">
        <f t="shared" si="1"/>
        <v xml:space="preserve">http://slimages.macys.com/is/image/MCY/20757473 </v>
      </c>
    </row>
    <row r="259" spans="1:14" ht="24.75" x14ac:dyDescent="0.25">
      <c r="A259" s="21" t="s">
        <v>12194</v>
      </c>
      <c r="B259" s="22" t="s">
        <v>12195</v>
      </c>
      <c r="C259" s="2">
        <v>4</v>
      </c>
      <c r="D259" s="23">
        <v>15.99</v>
      </c>
      <c r="E259" s="3">
        <v>63.96</v>
      </c>
      <c r="F259" s="2" t="s">
        <v>20323</v>
      </c>
      <c r="G259" s="22" t="s">
        <v>19415</v>
      </c>
      <c r="H259" s="24" t="s">
        <v>19416</v>
      </c>
      <c r="I259" s="22" t="s">
        <v>19309</v>
      </c>
      <c r="J259" s="22" t="s">
        <v>19573</v>
      </c>
      <c r="K259" s="22" t="s">
        <v>19574</v>
      </c>
      <c r="L259" s="22"/>
      <c r="M259" s="22"/>
      <c r="N259" s="25" t="str">
        <f t="shared" si="1"/>
        <v xml:space="preserve">http://slimages.macys.com/is/image/MCY/20757473 </v>
      </c>
    </row>
    <row r="260" spans="1:14" ht="24.75" x14ac:dyDescent="0.25">
      <c r="A260" s="21" t="s">
        <v>7635</v>
      </c>
      <c r="B260" s="22" t="s">
        <v>7636</v>
      </c>
      <c r="C260" s="2">
        <v>2</v>
      </c>
      <c r="D260" s="23">
        <v>15.99</v>
      </c>
      <c r="E260" s="3">
        <v>31.98</v>
      </c>
      <c r="F260" s="2" t="s">
        <v>20323</v>
      </c>
      <c r="G260" s="22" t="s">
        <v>19415</v>
      </c>
      <c r="H260" s="24" t="s">
        <v>19324</v>
      </c>
      <c r="I260" s="22" t="s">
        <v>19309</v>
      </c>
      <c r="J260" s="22" t="s">
        <v>19573</v>
      </c>
      <c r="K260" s="22" t="s">
        <v>19574</v>
      </c>
      <c r="L260" s="22"/>
      <c r="M260" s="22"/>
      <c r="N260" s="25" t="str">
        <f t="shared" si="1"/>
        <v xml:space="preserve">http://slimages.macys.com/is/image/MCY/20757473 </v>
      </c>
    </row>
    <row r="261" spans="1:14" ht="24.75" x14ac:dyDescent="0.25">
      <c r="A261" s="21" t="s">
        <v>7633</v>
      </c>
      <c r="B261" s="22" t="s">
        <v>7634</v>
      </c>
      <c r="C261" s="2">
        <v>2</v>
      </c>
      <c r="D261" s="23">
        <v>15.99</v>
      </c>
      <c r="E261" s="3">
        <v>31.98</v>
      </c>
      <c r="F261" s="2" t="s">
        <v>20323</v>
      </c>
      <c r="G261" s="22" t="s">
        <v>19415</v>
      </c>
      <c r="H261" s="24" t="s">
        <v>19538</v>
      </c>
      <c r="I261" s="22" t="s">
        <v>19309</v>
      </c>
      <c r="J261" s="22" t="s">
        <v>19573</v>
      </c>
      <c r="K261" s="22" t="s">
        <v>19574</v>
      </c>
      <c r="L261" s="22"/>
      <c r="M261" s="22"/>
      <c r="N261" s="25" t="str">
        <f t="shared" si="1"/>
        <v xml:space="preserve">http://slimages.macys.com/is/image/MCY/20757473 </v>
      </c>
    </row>
    <row r="262" spans="1:14" ht="24.75" x14ac:dyDescent="0.25">
      <c r="A262" s="21" t="s">
        <v>403</v>
      </c>
      <c r="B262" s="22" t="s">
        <v>404</v>
      </c>
      <c r="C262" s="2">
        <v>1</v>
      </c>
      <c r="D262" s="23">
        <v>13.52</v>
      </c>
      <c r="E262" s="3">
        <v>13.52</v>
      </c>
      <c r="F262" s="2" t="s">
        <v>405</v>
      </c>
      <c r="G262" s="22" t="s">
        <v>17567</v>
      </c>
      <c r="H262" s="24"/>
      <c r="I262" s="22" t="s">
        <v>19309</v>
      </c>
      <c r="J262" s="22" t="s">
        <v>19602</v>
      </c>
      <c r="K262" s="22" t="s">
        <v>20041</v>
      </c>
      <c r="L262" s="22"/>
      <c r="M262" s="22"/>
      <c r="N262" s="25" t="str">
        <f>HYPERLINK("http://slimages.macys.com/is/image/MCY/21422100 ")</f>
        <v xml:space="preserve">http://slimages.macys.com/is/image/MCY/21422100 </v>
      </c>
    </row>
    <row r="263" spans="1:14" x14ac:dyDescent="0.25">
      <c r="A263" s="21" t="s">
        <v>13791</v>
      </c>
      <c r="B263" s="22" t="s">
        <v>13792</v>
      </c>
      <c r="C263" s="2">
        <v>1</v>
      </c>
      <c r="D263" s="23">
        <v>15.13</v>
      </c>
      <c r="E263" s="3">
        <v>15.13</v>
      </c>
      <c r="F263" s="2" t="s">
        <v>13793</v>
      </c>
      <c r="G263" s="22"/>
      <c r="H263" s="24" t="s">
        <v>20159</v>
      </c>
      <c r="I263" s="22" t="s">
        <v>19309</v>
      </c>
      <c r="J263" s="22" t="s">
        <v>19708</v>
      </c>
      <c r="K263" s="22" t="s">
        <v>19709</v>
      </c>
      <c r="L263" s="22"/>
      <c r="M263" s="22"/>
      <c r="N263" s="25" t="str">
        <f>HYPERLINK("http://slimages.macys.com/is/image/MCY/21752166 ")</f>
        <v xml:space="preserve">http://slimages.macys.com/is/image/MCY/21752166 </v>
      </c>
    </row>
    <row r="264" spans="1:14" ht="24.75" x14ac:dyDescent="0.25">
      <c r="A264" s="21" t="s">
        <v>406</v>
      </c>
      <c r="B264" s="22" t="s">
        <v>407</v>
      </c>
      <c r="C264" s="2">
        <v>1</v>
      </c>
      <c r="D264" s="23">
        <v>9.99</v>
      </c>
      <c r="E264" s="3">
        <v>9.99</v>
      </c>
      <c r="F264" s="2" t="s">
        <v>408</v>
      </c>
      <c r="G264" s="22" t="s">
        <v>19333</v>
      </c>
      <c r="H264" s="24" t="s">
        <v>19308</v>
      </c>
      <c r="I264" s="22" t="s">
        <v>19309</v>
      </c>
      <c r="J264" s="22" t="s">
        <v>19310</v>
      </c>
      <c r="K264" s="22" t="s">
        <v>19873</v>
      </c>
      <c r="L264" s="22"/>
      <c r="M264" s="22"/>
      <c r="N264" s="25" t="str">
        <f>HYPERLINK("http://slimages.macys.com/is/image/MCY/18921570 ")</f>
        <v xml:space="preserve">http://slimages.macys.com/is/image/MCY/18921570 </v>
      </c>
    </row>
    <row r="265" spans="1:14" x14ac:dyDescent="0.25">
      <c r="A265" s="21" t="s">
        <v>1968</v>
      </c>
      <c r="B265" s="22" t="s">
        <v>1969</v>
      </c>
      <c r="C265" s="2">
        <v>2</v>
      </c>
      <c r="D265" s="23">
        <v>14.93</v>
      </c>
      <c r="E265" s="3">
        <v>29.86</v>
      </c>
      <c r="F265" s="2" t="s">
        <v>18373</v>
      </c>
      <c r="G265" s="22" t="s">
        <v>19333</v>
      </c>
      <c r="H265" s="24" t="s">
        <v>19330</v>
      </c>
      <c r="I265" s="22" t="s">
        <v>19309</v>
      </c>
      <c r="J265" s="22" t="s">
        <v>19708</v>
      </c>
      <c r="K265" s="22" t="s">
        <v>19709</v>
      </c>
      <c r="L265" s="22"/>
      <c r="M265" s="22"/>
      <c r="N265" s="25" t="str">
        <f>HYPERLINK("http://slimages.macys.com/is/image/MCY/22596466 ")</f>
        <v xml:space="preserve">http://slimages.macys.com/is/image/MCY/22596466 </v>
      </c>
    </row>
    <row r="266" spans="1:14" ht="24.75" x14ac:dyDescent="0.25">
      <c r="A266" s="21" t="s">
        <v>409</v>
      </c>
      <c r="B266" s="22" t="s">
        <v>17958</v>
      </c>
      <c r="C266" s="2">
        <v>1</v>
      </c>
      <c r="D266" s="23">
        <v>13.99</v>
      </c>
      <c r="E266" s="3">
        <v>13.99</v>
      </c>
      <c r="F266" s="2" t="s">
        <v>410</v>
      </c>
      <c r="G266" s="22" t="s">
        <v>19477</v>
      </c>
      <c r="H266" s="24" t="s">
        <v>19384</v>
      </c>
      <c r="I266" s="22" t="s">
        <v>19309</v>
      </c>
      <c r="J266" s="22" t="s">
        <v>19573</v>
      </c>
      <c r="K266" s="22" t="s">
        <v>19574</v>
      </c>
      <c r="L266" s="22"/>
      <c r="M266" s="22"/>
      <c r="N266" s="25" t="str">
        <f>HYPERLINK("http://slimages.macys.com/is/image/MCY/20753565 ")</f>
        <v xml:space="preserve">http://slimages.macys.com/is/image/MCY/20753565 </v>
      </c>
    </row>
    <row r="267" spans="1:14" x14ac:dyDescent="0.25">
      <c r="A267" s="21" t="s">
        <v>18379</v>
      </c>
      <c r="B267" s="22" t="s">
        <v>18380</v>
      </c>
      <c r="C267" s="2">
        <v>1</v>
      </c>
      <c r="D267" s="23">
        <v>21.99</v>
      </c>
      <c r="E267" s="3">
        <v>21.99</v>
      </c>
      <c r="F267" s="2" t="s">
        <v>18381</v>
      </c>
      <c r="G267" s="22" t="s">
        <v>19674</v>
      </c>
      <c r="H267" s="24" t="s">
        <v>19339</v>
      </c>
      <c r="I267" s="22" t="s">
        <v>19309</v>
      </c>
      <c r="J267" s="22" t="s">
        <v>19849</v>
      </c>
      <c r="K267" s="22" t="s">
        <v>19850</v>
      </c>
      <c r="L267" s="22"/>
      <c r="M267" s="22"/>
      <c r="N267" s="25" t="str">
        <f>HYPERLINK("http://slimages.macys.com/is/image/MCY/1521091 ")</f>
        <v xml:space="preserve">http://slimages.macys.com/is/image/MCY/1521091 </v>
      </c>
    </row>
    <row r="268" spans="1:14" x14ac:dyDescent="0.25">
      <c r="A268" s="21" t="s">
        <v>411</v>
      </c>
      <c r="B268" s="22" t="s">
        <v>412</v>
      </c>
      <c r="C268" s="2">
        <v>1</v>
      </c>
      <c r="D268" s="23">
        <v>11.79</v>
      </c>
      <c r="E268" s="3">
        <v>11.79</v>
      </c>
      <c r="F268" s="2" t="s">
        <v>7652</v>
      </c>
      <c r="G268" s="22"/>
      <c r="H268" s="24" t="s">
        <v>19416</v>
      </c>
      <c r="I268" s="22" t="s">
        <v>19309</v>
      </c>
      <c r="J268" s="22" t="s">
        <v>19708</v>
      </c>
      <c r="K268" s="22" t="s">
        <v>19709</v>
      </c>
      <c r="L268" s="22"/>
      <c r="M268" s="22"/>
      <c r="N268" s="25" t="str">
        <f>HYPERLINK("http://slimages.macys.com/is/image/MCY/19066765 ")</f>
        <v xml:space="preserve">http://slimages.macys.com/is/image/MCY/19066765 </v>
      </c>
    </row>
    <row r="269" spans="1:14" x14ac:dyDescent="0.25">
      <c r="A269" s="21" t="s">
        <v>13215</v>
      </c>
      <c r="B269" s="22" t="s">
        <v>13216</v>
      </c>
      <c r="C269" s="2">
        <v>1</v>
      </c>
      <c r="D269" s="23">
        <v>11.79</v>
      </c>
      <c r="E269" s="3">
        <v>11.79</v>
      </c>
      <c r="F269" s="2" t="s">
        <v>18402</v>
      </c>
      <c r="G269" s="22" t="s">
        <v>19431</v>
      </c>
      <c r="H269" s="24" t="s">
        <v>19770</v>
      </c>
      <c r="I269" s="22" t="s">
        <v>19309</v>
      </c>
      <c r="J269" s="22" t="s">
        <v>19708</v>
      </c>
      <c r="K269" s="22" t="s">
        <v>19709</v>
      </c>
      <c r="L269" s="22"/>
      <c r="M269" s="22"/>
      <c r="N269" s="25" t="str">
        <f>HYPERLINK("http://slimages.macys.com/is/image/MCY/19066490 ")</f>
        <v xml:space="preserve">http://slimages.macys.com/is/image/MCY/19066490 </v>
      </c>
    </row>
    <row r="270" spans="1:14" x14ac:dyDescent="0.25">
      <c r="A270" s="21" t="s">
        <v>413</v>
      </c>
      <c r="B270" s="22" t="s">
        <v>414</v>
      </c>
      <c r="C270" s="2">
        <v>1</v>
      </c>
      <c r="D270" s="23">
        <v>11.79</v>
      </c>
      <c r="E270" s="3">
        <v>11.79</v>
      </c>
      <c r="F270" s="2" t="s">
        <v>7652</v>
      </c>
      <c r="G270" s="22"/>
      <c r="H270" s="24" t="s">
        <v>19770</v>
      </c>
      <c r="I270" s="22" t="s">
        <v>19309</v>
      </c>
      <c r="J270" s="22" t="s">
        <v>19708</v>
      </c>
      <c r="K270" s="22" t="s">
        <v>19709</v>
      </c>
      <c r="L270" s="22"/>
      <c r="M270" s="22"/>
      <c r="N270" s="25" t="str">
        <f>HYPERLINK("http://slimages.macys.com/is/image/MCY/19066765 ")</f>
        <v xml:space="preserve">http://slimages.macys.com/is/image/MCY/19066765 </v>
      </c>
    </row>
    <row r="271" spans="1:14" x14ac:dyDescent="0.25">
      <c r="A271" s="21" t="s">
        <v>415</v>
      </c>
      <c r="B271" s="22" t="s">
        <v>416</v>
      </c>
      <c r="C271" s="2">
        <v>1</v>
      </c>
      <c r="D271" s="23">
        <v>11.79</v>
      </c>
      <c r="E271" s="3">
        <v>11.79</v>
      </c>
      <c r="F271" s="2" t="s">
        <v>13804</v>
      </c>
      <c r="G271" s="22"/>
      <c r="H271" s="24" t="s">
        <v>19330</v>
      </c>
      <c r="I271" s="22" t="s">
        <v>19309</v>
      </c>
      <c r="J271" s="22" t="s">
        <v>19708</v>
      </c>
      <c r="K271" s="22" t="s">
        <v>19709</v>
      </c>
      <c r="L271" s="22"/>
      <c r="M271" s="22"/>
      <c r="N271" s="25" t="str">
        <f>HYPERLINK("http://slimages.macys.com/is/image/MCY/19063832 ")</f>
        <v xml:space="preserve">http://slimages.macys.com/is/image/MCY/19063832 </v>
      </c>
    </row>
    <row r="272" spans="1:14" x14ac:dyDescent="0.25">
      <c r="A272" s="21" t="s">
        <v>417</v>
      </c>
      <c r="B272" s="22" t="s">
        <v>418</v>
      </c>
      <c r="C272" s="2">
        <v>1</v>
      </c>
      <c r="D272" s="23">
        <v>11.79</v>
      </c>
      <c r="E272" s="3">
        <v>11.79</v>
      </c>
      <c r="F272" s="2" t="s">
        <v>13804</v>
      </c>
      <c r="G272" s="22"/>
      <c r="H272" s="24" t="s">
        <v>20152</v>
      </c>
      <c r="I272" s="22" t="s">
        <v>19309</v>
      </c>
      <c r="J272" s="22" t="s">
        <v>19708</v>
      </c>
      <c r="K272" s="22" t="s">
        <v>19709</v>
      </c>
      <c r="L272" s="22"/>
      <c r="M272" s="22"/>
      <c r="N272" s="25" t="str">
        <f>HYPERLINK("http://slimages.macys.com/is/image/MCY/19063832 ")</f>
        <v xml:space="preserve">http://slimages.macys.com/is/image/MCY/19063832 </v>
      </c>
    </row>
    <row r="273" spans="1:14" x14ac:dyDescent="0.25">
      <c r="A273" s="21" t="s">
        <v>419</v>
      </c>
      <c r="B273" s="22" t="s">
        <v>420</v>
      </c>
      <c r="C273" s="2">
        <v>1</v>
      </c>
      <c r="D273" s="23">
        <v>11.79</v>
      </c>
      <c r="E273" s="3">
        <v>11.79</v>
      </c>
      <c r="F273" s="2" t="s">
        <v>18326</v>
      </c>
      <c r="G273" s="22"/>
      <c r="H273" s="24" t="s">
        <v>19770</v>
      </c>
      <c r="I273" s="22" t="s">
        <v>19309</v>
      </c>
      <c r="J273" s="22" t="s">
        <v>19708</v>
      </c>
      <c r="K273" s="22" t="s">
        <v>19709</v>
      </c>
      <c r="L273" s="22"/>
      <c r="M273" s="22"/>
      <c r="N273" s="25" t="str">
        <f>HYPERLINK("http://slimages.macys.com/is/image/MCY/19066797 ")</f>
        <v xml:space="preserve">http://slimages.macys.com/is/image/MCY/19066797 </v>
      </c>
    </row>
    <row r="274" spans="1:14" x14ac:dyDescent="0.25">
      <c r="A274" s="21" t="s">
        <v>18400</v>
      </c>
      <c r="B274" s="22" t="s">
        <v>18401</v>
      </c>
      <c r="C274" s="2">
        <v>1</v>
      </c>
      <c r="D274" s="23">
        <v>11.79</v>
      </c>
      <c r="E274" s="3">
        <v>11.79</v>
      </c>
      <c r="F274" s="2" t="s">
        <v>18402</v>
      </c>
      <c r="G274" s="22" t="s">
        <v>19431</v>
      </c>
      <c r="H274" s="24" t="s">
        <v>20159</v>
      </c>
      <c r="I274" s="22" t="s">
        <v>19309</v>
      </c>
      <c r="J274" s="22" t="s">
        <v>19708</v>
      </c>
      <c r="K274" s="22" t="s">
        <v>19709</v>
      </c>
      <c r="L274" s="22"/>
      <c r="M274" s="22"/>
      <c r="N274" s="25" t="str">
        <f>HYPERLINK("http://slimages.macys.com/is/image/MCY/19066490 ")</f>
        <v xml:space="preserve">http://slimages.macys.com/is/image/MCY/19066490 </v>
      </c>
    </row>
    <row r="275" spans="1:14" x14ac:dyDescent="0.25">
      <c r="A275" s="21" t="s">
        <v>18324</v>
      </c>
      <c r="B275" s="22" t="s">
        <v>18325</v>
      </c>
      <c r="C275" s="2">
        <v>1</v>
      </c>
      <c r="D275" s="23">
        <v>11.79</v>
      </c>
      <c r="E275" s="3">
        <v>11.79</v>
      </c>
      <c r="F275" s="2" t="s">
        <v>18326</v>
      </c>
      <c r="G275" s="22"/>
      <c r="H275" s="24" t="s">
        <v>20159</v>
      </c>
      <c r="I275" s="22" t="s">
        <v>19309</v>
      </c>
      <c r="J275" s="22" t="s">
        <v>19708</v>
      </c>
      <c r="K275" s="22" t="s">
        <v>19709</v>
      </c>
      <c r="L275" s="22"/>
      <c r="M275" s="22"/>
      <c r="N275" s="25" t="str">
        <f>HYPERLINK("http://slimages.macys.com/is/image/MCY/19066797 ")</f>
        <v xml:space="preserve">http://slimages.macys.com/is/image/MCY/19066797 </v>
      </c>
    </row>
    <row r="276" spans="1:14" x14ac:dyDescent="0.25">
      <c r="A276" s="21" t="s">
        <v>421</v>
      </c>
      <c r="B276" s="22" t="s">
        <v>422</v>
      </c>
      <c r="C276" s="2">
        <v>1</v>
      </c>
      <c r="D276" s="23">
        <v>11.79</v>
      </c>
      <c r="E276" s="3">
        <v>11.79</v>
      </c>
      <c r="F276" s="2" t="s">
        <v>13804</v>
      </c>
      <c r="G276" s="22"/>
      <c r="H276" s="24" t="s">
        <v>19416</v>
      </c>
      <c r="I276" s="22" t="s">
        <v>19309</v>
      </c>
      <c r="J276" s="22" t="s">
        <v>19708</v>
      </c>
      <c r="K276" s="22" t="s">
        <v>19709</v>
      </c>
      <c r="L276" s="22"/>
      <c r="M276" s="22"/>
      <c r="N276" s="25" t="str">
        <f>HYPERLINK("http://slimages.macys.com/is/image/MCY/19063832 ")</f>
        <v xml:space="preserve">http://slimages.macys.com/is/image/MCY/19063832 </v>
      </c>
    </row>
    <row r="277" spans="1:14" ht="24.75" x14ac:dyDescent="0.25">
      <c r="A277" s="21" t="s">
        <v>423</v>
      </c>
      <c r="B277" s="22" t="s">
        <v>424</v>
      </c>
      <c r="C277" s="2">
        <v>1</v>
      </c>
      <c r="D277" s="23">
        <v>13.02</v>
      </c>
      <c r="E277" s="3">
        <v>13.02</v>
      </c>
      <c r="F277" s="2" t="s">
        <v>425</v>
      </c>
      <c r="G277" s="22" t="s">
        <v>19357</v>
      </c>
      <c r="H277" s="24" t="s">
        <v>19361</v>
      </c>
      <c r="I277" s="22" t="s">
        <v>19309</v>
      </c>
      <c r="J277" s="22" t="s">
        <v>19602</v>
      </c>
      <c r="K277" s="22" t="s">
        <v>20041</v>
      </c>
      <c r="L277" s="22"/>
      <c r="M277" s="22"/>
      <c r="N277" s="25" t="str">
        <f>HYPERLINK("http://slimages.macys.com/is/image/MCY/21420564 ")</f>
        <v xml:space="preserve">http://slimages.macys.com/is/image/MCY/21420564 </v>
      </c>
    </row>
    <row r="278" spans="1:14" ht="24.75" x14ac:dyDescent="0.25">
      <c r="A278" s="21" t="s">
        <v>12252</v>
      </c>
      <c r="B278" s="22" t="s">
        <v>12253</v>
      </c>
      <c r="C278" s="2">
        <v>1</v>
      </c>
      <c r="D278" s="23">
        <v>13.99</v>
      </c>
      <c r="E278" s="3">
        <v>13.99</v>
      </c>
      <c r="F278" s="2" t="s">
        <v>18412</v>
      </c>
      <c r="G278" s="22" t="s">
        <v>19351</v>
      </c>
      <c r="H278" s="24" t="s">
        <v>19416</v>
      </c>
      <c r="I278" s="22" t="s">
        <v>19309</v>
      </c>
      <c r="J278" s="22" t="s">
        <v>19573</v>
      </c>
      <c r="K278" s="22" t="s">
        <v>19574</v>
      </c>
      <c r="L278" s="22"/>
      <c r="M278" s="22"/>
      <c r="N278" s="25" t="str">
        <f>HYPERLINK("http://slimages.macys.com/is/image/MCY/1554795 ")</f>
        <v xml:space="preserve">http://slimages.macys.com/is/image/MCY/1554795 </v>
      </c>
    </row>
    <row r="279" spans="1:14" ht="24.75" x14ac:dyDescent="0.25">
      <c r="A279" s="21" t="s">
        <v>426</v>
      </c>
      <c r="B279" s="22" t="s">
        <v>427</v>
      </c>
      <c r="C279" s="2">
        <v>1</v>
      </c>
      <c r="D279" s="23">
        <v>13.99</v>
      </c>
      <c r="E279" s="3">
        <v>13.99</v>
      </c>
      <c r="F279" s="2" t="s">
        <v>1484</v>
      </c>
      <c r="G279" s="22" t="s">
        <v>19431</v>
      </c>
      <c r="H279" s="24" t="s">
        <v>19330</v>
      </c>
      <c r="I279" s="22" t="s">
        <v>19309</v>
      </c>
      <c r="J279" s="22" t="s">
        <v>19573</v>
      </c>
      <c r="K279" s="22" t="s">
        <v>19574</v>
      </c>
      <c r="L279" s="22"/>
      <c r="M279" s="22"/>
      <c r="N279" s="25" t="str">
        <f>HYPERLINK("http://slimages.macys.com/is/image/MCY/20753653 ")</f>
        <v xml:space="preserve">http://slimages.macys.com/is/image/MCY/20753653 </v>
      </c>
    </row>
    <row r="280" spans="1:14" ht="24.75" x14ac:dyDescent="0.25">
      <c r="A280" s="21" t="s">
        <v>1482</v>
      </c>
      <c r="B280" s="22" t="s">
        <v>1483</v>
      </c>
      <c r="C280" s="2">
        <v>1</v>
      </c>
      <c r="D280" s="23">
        <v>13.99</v>
      </c>
      <c r="E280" s="3">
        <v>13.99</v>
      </c>
      <c r="F280" s="2" t="s">
        <v>1484</v>
      </c>
      <c r="G280" s="22" t="s">
        <v>19431</v>
      </c>
      <c r="H280" s="24" t="s">
        <v>19416</v>
      </c>
      <c r="I280" s="22" t="s">
        <v>19309</v>
      </c>
      <c r="J280" s="22" t="s">
        <v>19573</v>
      </c>
      <c r="K280" s="22" t="s">
        <v>19574</v>
      </c>
      <c r="L280" s="22"/>
      <c r="M280" s="22"/>
      <c r="N280" s="25" t="str">
        <f>HYPERLINK("http://slimages.macys.com/is/image/MCY/20753653 ")</f>
        <v xml:space="preserve">http://slimages.macys.com/is/image/MCY/20753653 </v>
      </c>
    </row>
    <row r="281" spans="1:14" ht="24.75" x14ac:dyDescent="0.25">
      <c r="A281" s="21" t="s">
        <v>428</v>
      </c>
      <c r="B281" s="22" t="s">
        <v>429</v>
      </c>
      <c r="C281" s="2">
        <v>1</v>
      </c>
      <c r="D281" s="23">
        <v>13.99</v>
      </c>
      <c r="E281" s="3">
        <v>13.99</v>
      </c>
      <c r="F281" s="2" t="s">
        <v>1484</v>
      </c>
      <c r="G281" s="22" t="s">
        <v>19431</v>
      </c>
      <c r="H281" s="24"/>
      <c r="I281" s="22" t="s">
        <v>19309</v>
      </c>
      <c r="J281" s="22" t="s">
        <v>19573</v>
      </c>
      <c r="K281" s="22" t="s">
        <v>19574</v>
      </c>
      <c r="L281" s="22"/>
      <c r="M281" s="22"/>
      <c r="N281" s="25" t="str">
        <f>HYPERLINK("http://slimages.macys.com/is/image/MCY/20753653 ")</f>
        <v xml:space="preserve">http://slimages.macys.com/is/image/MCY/20753653 </v>
      </c>
    </row>
    <row r="282" spans="1:14" ht="24.75" x14ac:dyDescent="0.25">
      <c r="A282" s="21" t="s">
        <v>430</v>
      </c>
      <c r="B282" s="22" t="s">
        <v>431</v>
      </c>
      <c r="C282" s="2">
        <v>1</v>
      </c>
      <c r="D282" s="23">
        <v>12.81</v>
      </c>
      <c r="E282" s="3">
        <v>12.81</v>
      </c>
      <c r="F282" s="2" t="s">
        <v>432</v>
      </c>
      <c r="G282" s="22" t="s">
        <v>19333</v>
      </c>
      <c r="H282" s="24" t="s">
        <v>19392</v>
      </c>
      <c r="I282" s="22" t="s">
        <v>19309</v>
      </c>
      <c r="J282" s="22" t="s">
        <v>19602</v>
      </c>
      <c r="K282" s="22" t="s">
        <v>20041</v>
      </c>
      <c r="L282" s="22"/>
      <c r="M282" s="22"/>
      <c r="N282" s="25" t="str">
        <f>HYPERLINK("http://slimages.macys.com/is/image/MCY/21723886 ")</f>
        <v xml:space="preserve">http://slimages.macys.com/is/image/MCY/21723886 </v>
      </c>
    </row>
    <row r="283" spans="1:14" ht="24.75" x14ac:dyDescent="0.25">
      <c r="A283" s="21" t="s">
        <v>433</v>
      </c>
      <c r="B283" s="22" t="s">
        <v>434</v>
      </c>
      <c r="C283" s="2">
        <v>1</v>
      </c>
      <c r="D283" s="23">
        <v>12.81</v>
      </c>
      <c r="E283" s="3">
        <v>12.81</v>
      </c>
      <c r="F283" s="2" t="s">
        <v>13237</v>
      </c>
      <c r="G283" s="22" t="s">
        <v>19467</v>
      </c>
      <c r="H283" s="24" t="s">
        <v>19334</v>
      </c>
      <c r="I283" s="22" t="s">
        <v>19309</v>
      </c>
      <c r="J283" s="22" t="s">
        <v>19602</v>
      </c>
      <c r="K283" s="22" t="s">
        <v>20041</v>
      </c>
      <c r="L283" s="22"/>
      <c r="M283" s="22"/>
      <c r="N283" s="25" t="str">
        <f>HYPERLINK("http://slimages.macys.com/is/image/MCY/21723886 ")</f>
        <v xml:space="preserve">http://slimages.macys.com/is/image/MCY/21723886 </v>
      </c>
    </row>
    <row r="284" spans="1:14" ht="24.75" x14ac:dyDescent="0.25">
      <c r="A284" s="21" t="s">
        <v>2825</v>
      </c>
      <c r="B284" s="22" t="s">
        <v>2826</v>
      </c>
      <c r="C284" s="2">
        <v>1</v>
      </c>
      <c r="D284" s="23">
        <v>9.99</v>
      </c>
      <c r="E284" s="3">
        <v>9.99</v>
      </c>
      <c r="F284" s="2" t="s">
        <v>2827</v>
      </c>
      <c r="G284" s="22" t="s">
        <v>19585</v>
      </c>
      <c r="H284" s="24" t="s">
        <v>19352</v>
      </c>
      <c r="I284" s="22" t="s">
        <v>19309</v>
      </c>
      <c r="J284" s="22" t="s">
        <v>19310</v>
      </c>
      <c r="K284" s="22" t="s">
        <v>19873</v>
      </c>
      <c r="L284" s="22"/>
      <c r="M284" s="22"/>
      <c r="N284" s="25" t="str">
        <f>HYPERLINK("http://slimages.macys.com/is/image/MCY/21551467 ")</f>
        <v xml:space="preserve">http://slimages.macys.com/is/image/MCY/21551467 </v>
      </c>
    </row>
    <row r="285" spans="1:14" ht="24.75" x14ac:dyDescent="0.25">
      <c r="A285" s="21" t="s">
        <v>18426</v>
      </c>
      <c r="B285" s="22" t="s">
        <v>18427</v>
      </c>
      <c r="C285" s="2">
        <v>1</v>
      </c>
      <c r="D285" s="23">
        <v>8.99</v>
      </c>
      <c r="E285" s="3">
        <v>8.99</v>
      </c>
      <c r="F285" s="2" t="s">
        <v>18428</v>
      </c>
      <c r="G285" s="22" t="s">
        <v>18429</v>
      </c>
      <c r="H285" s="24" t="s">
        <v>19361</v>
      </c>
      <c r="I285" s="22" t="s">
        <v>19309</v>
      </c>
      <c r="J285" s="22" t="s">
        <v>19310</v>
      </c>
      <c r="K285" s="22" t="s">
        <v>19468</v>
      </c>
      <c r="L285" s="22"/>
      <c r="M285" s="22"/>
      <c r="N285" s="25" t="str">
        <f>HYPERLINK("http://slimages.macys.com/is/image/MCY/21184204 ")</f>
        <v xml:space="preserve">http://slimages.macys.com/is/image/MCY/21184204 </v>
      </c>
    </row>
    <row r="286" spans="1:14" ht="24.75" x14ac:dyDescent="0.25">
      <c r="A286" s="21" t="s">
        <v>18423</v>
      </c>
      <c r="B286" s="22" t="s">
        <v>18424</v>
      </c>
      <c r="C286" s="2">
        <v>2</v>
      </c>
      <c r="D286" s="23">
        <v>9.99</v>
      </c>
      <c r="E286" s="3">
        <v>19.98</v>
      </c>
      <c r="F286" s="2" t="s">
        <v>18425</v>
      </c>
      <c r="G286" s="22" t="s">
        <v>20306</v>
      </c>
      <c r="H286" s="24" t="s">
        <v>19797</v>
      </c>
      <c r="I286" s="22" t="s">
        <v>19309</v>
      </c>
      <c r="J286" s="22" t="s">
        <v>19447</v>
      </c>
      <c r="K286" s="22" t="s">
        <v>19873</v>
      </c>
      <c r="L286" s="22"/>
      <c r="M286" s="22"/>
      <c r="N286" s="25" t="str">
        <f>HYPERLINK("http://slimages.macys.com/is/image/MCY/21465717 ")</f>
        <v xml:space="preserve">http://slimages.macys.com/is/image/MCY/21465717 </v>
      </c>
    </row>
    <row r="287" spans="1:14" ht="24.75" x14ac:dyDescent="0.25">
      <c r="A287" s="21" t="s">
        <v>18442</v>
      </c>
      <c r="B287" s="22" t="s">
        <v>18443</v>
      </c>
      <c r="C287" s="2">
        <v>1</v>
      </c>
      <c r="D287" s="23">
        <v>8.99</v>
      </c>
      <c r="E287" s="3">
        <v>8.99</v>
      </c>
      <c r="F287" s="2" t="s">
        <v>18428</v>
      </c>
      <c r="G287" s="22" t="s">
        <v>18429</v>
      </c>
      <c r="H287" s="24" t="s">
        <v>19542</v>
      </c>
      <c r="I287" s="22" t="s">
        <v>19309</v>
      </c>
      <c r="J287" s="22" t="s">
        <v>19310</v>
      </c>
      <c r="K287" s="22" t="s">
        <v>19468</v>
      </c>
      <c r="L287" s="22"/>
      <c r="M287" s="22"/>
      <c r="N287" s="25" t="str">
        <f>HYPERLINK("http://slimages.macys.com/is/image/MCY/21184204 ")</f>
        <v xml:space="preserve">http://slimages.macys.com/is/image/MCY/21184204 </v>
      </c>
    </row>
    <row r="288" spans="1:14" x14ac:dyDescent="0.25">
      <c r="A288" s="21" t="s">
        <v>435</v>
      </c>
      <c r="B288" s="22" t="s">
        <v>436</v>
      </c>
      <c r="C288" s="2">
        <v>1</v>
      </c>
      <c r="D288" s="23">
        <v>9.99</v>
      </c>
      <c r="E288" s="3">
        <v>9.99</v>
      </c>
      <c r="F288" s="2" t="s">
        <v>2827</v>
      </c>
      <c r="G288" s="22" t="s">
        <v>19618</v>
      </c>
      <c r="H288" s="24" t="s">
        <v>19364</v>
      </c>
      <c r="I288" s="22" t="s">
        <v>19309</v>
      </c>
      <c r="J288" s="22" t="s">
        <v>19310</v>
      </c>
      <c r="K288" s="22" t="s">
        <v>19873</v>
      </c>
      <c r="L288" s="22"/>
      <c r="M288" s="22"/>
      <c r="N288" s="25" t="str">
        <f>HYPERLINK("http://slimages.macys.com/is/image/MCY/21551467 ")</f>
        <v xml:space="preserve">http://slimages.macys.com/is/image/MCY/21551467 </v>
      </c>
    </row>
    <row r="289" spans="1:14" ht="24.75" x14ac:dyDescent="0.25">
      <c r="A289" s="21" t="s">
        <v>437</v>
      </c>
      <c r="B289" s="22" t="s">
        <v>438</v>
      </c>
      <c r="C289" s="2">
        <v>1</v>
      </c>
      <c r="D289" s="23">
        <v>11.99</v>
      </c>
      <c r="E289" s="3">
        <v>11.99</v>
      </c>
      <c r="F289" s="2" t="s">
        <v>439</v>
      </c>
      <c r="G289" s="22" t="s">
        <v>19342</v>
      </c>
      <c r="H289" s="24"/>
      <c r="I289" s="22" t="s">
        <v>19309</v>
      </c>
      <c r="J289" s="22" t="s">
        <v>20076</v>
      </c>
      <c r="K289" s="22" t="s">
        <v>3861</v>
      </c>
      <c r="L289" s="22"/>
      <c r="M289" s="22"/>
      <c r="N289" s="25" t="str">
        <f>HYPERLINK("http://slimages.macys.com/is/image/MCY/16479445 ")</f>
        <v xml:space="preserve">http://slimages.macys.com/is/image/MCY/16479445 </v>
      </c>
    </row>
    <row r="290" spans="1:14" ht="24.75" x14ac:dyDescent="0.25">
      <c r="A290" s="21" t="s">
        <v>440</v>
      </c>
      <c r="B290" s="22" t="s">
        <v>441</v>
      </c>
      <c r="C290" s="2">
        <v>1</v>
      </c>
      <c r="D290" s="23">
        <v>9.99</v>
      </c>
      <c r="E290" s="3">
        <v>9.99</v>
      </c>
      <c r="F290" s="2" t="s">
        <v>5950</v>
      </c>
      <c r="G290" s="22" t="s">
        <v>20145</v>
      </c>
      <c r="H290" s="24" t="s">
        <v>19352</v>
      </c>
      <c r="I290" s="22" t="s">
        <v>19309</v>
      </c>
      <c r="J290" s="22" t="s">
        <v>19310</v>
      </c>
      <c r="K290" s="22" t="s">
        <v>19873</v>
      </c>
      <c r="L290" s="22"/>
      <c r="M290" s="22"/>
      <c r="N290" s="25" t="str">
        <f>HYPERLINK("http://slimages.macys.com/is/image/MCY/21551329 ")</f>
        <v xml:space="preserve">http://slimages.macys.com/is/image/MCY/21551329 </v>
      </c>
    </row>
    <row r="291" spans="1:14" ht="24.75" x14ac:dyDescent="0.25">
      <c r="A291" s="21" t="s">
        <v>13238</v>
      </c>
      <c r="B291" s="22" t="s">
        <v>13239</v>
      </c>
      <c r="C291" s="2">
        <v>1</v>
      </c>
      <c r="D291" s="23">
        <v>12.35</v>
      </c>
      <c r="E291" s="3">
        <v>12.35</v>
      </c>
      <c r="F291" s="2" t="s">
        <v>18454</v>
      </c>
      <c r="G291" s="22"/>
      <c r="H291" s="24" t="s">
        <v>19392</v>
      </c>
      <c r="I291" s="22" t="s">
        <v>19309</v>
      </c>
      <c r="J291" s="22" t="s">
        <v>19602</v>
      </c>
      <c r="K291" s="22" t="s">
        <v>19603</v>
      </c>
      <c r="L291" s="22"/>
      <c r="M291" s="22"/>
      <c r="N291" s="25" t="str">
        <f>HYPERLINK("http://slimages.macys.com/is/image/MCY/22405799 ")</f>
        <v xml:space="preserve">http://slimages.macys.com/is/image/MCY/22405799 </v>
      </c>
    </row>
    <row r="292" spans="1:14" x14ac:dyDescent="0.25">
      <c r="A292" s="21" t="s">
        <v>16205</v>
      </c>
      <c r="B292" s="22" t="s">
        <v>16206</v>
      </c>
      <c r="C292" s="2">
        <v>1</v>
      </c>
      <c r="D292" s="23">
        <v>15.99</v>
      </c>
      <c r="E292" s="3">
        <v>15.99</v>
      </c>
      <c r="F292" s="2" t="s">
        <v>18462</v>
      </c>
      <c r="G292" s="22" t="s">
        <v>19477</v>
      </c>
      <c r="H292" s="24" t="s">
        <v>20135</v>
      </c>
      <c r="I292" s="22" t="s">
        <v>19309</v>
      </c>
      <c r="J292" s="22" t="s">
        <v>19849</v>
      </c>
      <c r="K292" s="22" t="s">
        <v>19850</v>
      </c>
      <c r="L292" s="22"/>
      <c r="M292" s="22"/>
      <c r="N292" s="25" t="str">
        <f>HYPERLINK("http://slimages.macys.com/is/image/MCY/20549437 ")</f>
        <v xml:space="preserve">http://slimages.macys.com/is/image/MCY/20549437 </v>
      </c>
    </row>
    <row r="293" spans="1:14" x14ac:dyDescent="0.25">
      <c r="A293" s="21" t="s">
        <v>10699</v>
      </c>
      <c r="B293" s="22" t="s">
        <v>10700</v>
      </c>
      <c r="C293" s="2">
        <v>1</v>
      </c>
      <c r="D293" s="23">
        <v>13.68</v>
      </c>
      <c r="E293" s="3">
        <v>13.68</v>
      </c>
      <c r="F293" s="2" t="s">
        <v>10238</v>
      </c>
      <c r="G293" s="22" t="s">
        <v>19594</v>
      </c>
      <c r="H293" s="24" t="s">
        <v>19330</v>
      </c>
      <c r="I293" s="22" t="s">
        <v>19309</v>
      </c>
      <c r="J293" s="22" t="s">
        <v>19708</v>
      </c>
      <c r="K293" s="22" t="s">
        <v>19709</v>
      </c>
      <c r="L293" s="22"/>
      <c r="M293" s="22"/>
      <c r="N293" s="25" t="str">
        <f>HYPERLINK("http://slimages.macys.com/is/image/MCY/22405516 ")</f>
        <v xml:space="preserve">http://slimages.macys.com/is/image/MCY/22405516 </v>
      </c>
    </row>
    <row r="294" spans="1:14" x14ac:dyDescent="0.25">
      <c r="A294" s="21" t="s">
        <v>442</v>
      </c>
      <c r="B294" s="22" t="s">
        <v>443</v>
      </c>
      <c r="C294" s="2">
        <v>1</v>
      </c>
      <c r="D294" s="23">
        <v>13.77</v>
      </c>
      <c r="E294" s="3">
        <v>13.77</v>
      </c>
      <c r="F294" s="2" t="s">
        <v>16217</v>
      </c>
      <c r="G294" s="22" t="s">
        <v>19333</v>
      </c>
      <c r="H294" s="24" t="s">
        <v>19367</v>
      </c>
      <c r="I294" s="22" t="s">
        <v>19309</v>
      </c>
      <c r="J294" s="22" t="s">
        <v>19708</v>
      </c>
      <c r="K294" s="22" t="s">
        <v>19709</v>
      </c>
      <c r="L294" s="22"/>
      <c r="M294" s="22"/>
      <c r="N294" s="25" t="str">
        <f>HYPERLINK("http://slimages.macys.com/is/image/MCY/21413620 ")</f>
        <v xml:space="preserve">http://slimages.macys.com/is/image/MCY/21413620 </v>
      </c>
    </row>
    <row r="295" spans="1:14" x14ac:dyDescent="0.25">
      <c r="A295" s="21" t="s">
        <v>444</v>
      </c>
      <c r="B295" s="22" t="s">
        <v>445</v>
      </c>
      <c r="C295" s="2">
        <v>1</v>
      </c>
      <c r="D295" s="23">
        <v>13.77</v>
      </c>
      <c r="E295" s="3">
        <v>13.77</v>
      </c>
      <c r="F295" s="2" t="s">
        <v>12296</v>
      </c>
      <c r="G295" s="22" t="s">
        <v>19594</v>
      </c>
      <c r="H295" s="24" t="s">
        <v>20159</v>
      </c>
      <c r="I295" s="22" t="s">
        <v>19309</v>
      </c>
      <c r="J295" s="22" t="s">
        <v>19708</v>
      </c>
      <c r="K295" s="22" t="s">
        <v>19709</v>
      </c>
      <c r="L295" s="22"/>
      <c r="M295" s="22"/>
      <c r="N295" s="25" t="str">
        <f>HYPERLINK("http://slimages.macys.com/is/image/MCY/21758198 ")</f>
        <v xml:space="preserve">http://slimages.macys.com/is/image/MCY/21758198 </v>
      </c>
    </row>
    <row r="296" spans="1:14" x14ac:dyDescent="0.25">
      <c r="A296" s="21" t="s">
        <v>6887</v>
      </c>
      <c r="B296" s="22" t="s">
        <v>6888</v>
      </c>
      <c r="C296" s="2">
        <v>1</v>
      </c>
      <c r="D296" s="23">
        <v>13.68</v>
      </c>
      <c r="E296" s="3">
        <v>13.68</v>
      </c>
      <c r="F296" s="2" t="s">
        <v>6889</v>
      </c>
      <c r="G296" s="22" t="s">
        <v>19357</v>
      </c>
      <c r="H296" s="24" t="s">
        <v>20159</v>
      </c>
      <c r="I296" s="22" t="s">
        <v>19309</v>
      </c>
      <c r="J296" s="22" t="s">
        <v>19708</v>
      </c>
      <c r="K296" s="22" t="s">
        <v>19709</v>
      </c>
      <c r="L296" s="22"/>
      <c r="M296" s="22"/>
      <c r="N296" s="25" t="str">
        <f>HYPERLINK("http://slimages.macys.com/is/image/MCY/22405578 ")</f>
        <v xml:space="preserve">http://slimages.macys.com/is/image/MCY/22405578 </v>
      </c>
    </row>
    <row r="297" spans="1:14" x14ac:dyDescent="0.25">
      <c r="A297" s="21" t="s">
        <v>18484</v>
      </c>
      <c r="B297" s="22" t="s">
        <v>18485</v>
      </c>
      <c r="C297" s="2">
        <v>1</v>
      </c>
      <c r="D297" s="23">
        <v>13.77</v>
      </c>
      <c r="E297" s="3">
        <v>13.77</v>
      </c>
      <c r="F297" s="2" t="s">
        <v>18476</v>
      </c>
      <c r="G297" s="22"/>
      <c r="H297" s="24" t="s">
        <v>20159</v>
      </c>
      <c r="I297" s="22" t="s">
        <v>19309</v>
      </c>
      <c r="J297" s="22" t="s">
        <v>19708</v>
      </c>
      <c r="K297" s="22" t="s">
        <v>19709</v>
      </c>
      <c r="L297" s="22"/>
      <c r="M297" s="22"/>
      <c r="N297" s="25" t="str">
        <f>HYPERLINK("http://slimages.macys.com/is/image/MCY/21758809 ")</f>
        <v xml:space="preserve">http://slimages.macys.com/is/image/MCY/21758809 </v>
      </c>
    </row>
    <row r="298" spans="1:14" ht="24.75" x14ac:dyDescent="0.25">
      <c r="A298" s="21" t="s">
        <v>446</v>
      </c>
      <c r="B298" s="22" t="s">
        <v>447</v>
      </c>
      <c r="C298" s="2">
        <v>1</v>
      </c>
      <c r="D298" s="23">
        <v>11.94</v>
      </c>
      <c r="E298" s="3">
        <v>11.94</v>
      </c>
      <c r="F298" s="2" t="s">
        <v>7702</v>
      </c>
      <c r="G298" s="22" t="s">
        <v>18644</v>
      </c>
      <c r="H298" s="24"/>
      <c r="I298" s="22" t="s">
        <v>19309</v>
      </c>
      <c r="J298" s="22" t="s">
        <v>19602</v>
      </c>
      <c r="K298" s="22" t="s">
        <v>20041</v>
      </c>
      <c r="L298" s="22"/>
      <c r="M298" s="22"/>
      <c r="N298" s="25" t="str">
        <f>HYPERLINK("http://slimages.macys.com/is/image/MCY/22405999 ")</f>
        <v xml:space="preserve">http://slimages.macys.com/is/image/MCY/22405999 </v>
      </c>
    </row>
    <row r="299" spans="1:14" ht="24.75" x14ac:dyDescent="0.25">
      <c r="A299" s="21" t="s">
        <v>18509</v>
      </c>
      <c r="B299" s="22" t="s">
        <v>18510</v>
      </c>
      <c r="C299" s="2">
        <v>2</v>
      </c>
      <c r="D299" s="23">
        <v>14.99</v>
      </c>
      <c r="E299" s="3">
        <v>29.98</v>
      </c>
      <c r="F299" s="2" t="s">
        <v>18496</v>
      </c>
      <c r="G299" s="22" t="s">
        <v>19422</v>
      </c>
      <c r="H299" s="24" t="s">
        <v>18497</v>
      </c>
      <c r="I299" s="22" t="s">
        <v>19309</v>
      </c>
      <c r="J299" s="22" t="s">
        <v>19595</v>
      </c>
      <c r="K299" s="22" t="s">
        <v>18498</v>
      </c>
      <c r="L299" s="22"/>
      <c r="M299" s="22"/>
      <c r="N299" s="25" t="str">
        <f>HYPERLINK("http://slimages.macys.com/is/image/MCY/21693788 ")</f>
        <v xml:space="preserve">http://slimages.macys.com/is/image/MCY/21693788 </v>
      </c>
    </row>
    <row r="300" spans="1:14" ht="24.75" x14ac:dyDescent="0.25">
      <c r="A300" s="21" t="s">
        <v>16514</v>
      </c>
      <c r="B300" s="22" t="s">
        <v>16515</v>
      </c>
      <c r="C300" s="2">
        <v>2</v>
      </c>
      <c r="D300" s="23">
        <v>14.99</v>
      </c>
      <c r="E300" s="3">
        <v>29.98</v>
      </c>
      <c r="F300" s="2" t="s">
        <v>18496</v>
      </c>
      <c r="G300" s="22" t="s">
        <v>19422</v>
      </c>
      <c r="H300" s="24" t="s">
        <v>19797</v>
      </c>
      <c r="I300" s="22" t="s">
        <v>19309</v>
      </c>
      <c r="J300" s="22" t="s">
        <v>19595</v>
      </c>
      <c r="K300" s="22" t="s">
        <v>18498</v>
      </c>
      <c r="L300" s="22"/>
      <c r="M300" s="22"/>
      <c r="N300" s="25" t="str">
        <f>HYPERLINK("http://slimages.macys.com/is/image/MCY/21366694 ")</f>
        <v xml:space="preserve">http://slimages.macys.com/is/image/MCY/21366694 </v>
      </c>
    </row>
    <row r="301" spans="1:14" ht="24.75" x14ac:dyDescent="0.25">
      <c r="A301" s="21" t="s">
        <v>16224</v>
      </c>
      <c r="B301" s="22" t="s">
        <v>16225</v>
      </c>
      <c r="C301" s="2">
        <v>4</v>
      </c>
      <c r="D301" s="23">
        <v>14.99</v>
      </c>
      <c r="E301" s="3">
        <v>59.96</v>
      </c>
      <c r="F301" s="2" t="s">
        <v>18496</v>
      </c>
      <c r="G301" s="22" t="s">
        <v>19422</v>
      </c>
      <c r="H301" s="24" t="s">
        <v>18507</v>
      </c>
      <c r="I301" s="22" t="s">
        <v>19309</v>
      </c>
      <c r="J301" s="22" t="s">
        <v>19595</v>
      </c>
      <c r="K301" s="22" t="s">
        <v>18498</v>
      </c>
      <c r="L301" s="22"/>
      <c r="M301" s="22"/>
      <c r="N301" s="25" t="str">
        <f>HYPERLINK("http://slimages.macys.com/is/image/MCY/21693788 ")</f>
        <v xml:space="preserve">http://slimages.macys.com/is/image/MCY/21693788 </v>
      </c>
    </row>
    <row r="302" spans="1:14" ht="24.75" x14ac:dyDescent="0.25">
      <c r="A302" s="21" t="s">
        <v>448</v>
      </c>
      <c r="B302" s="22" t="s">
        <v>449</v>
      </c>
      <c r="C302" s="2">
        <v>3</v>
      </c>
      <c r="D302" s="23">
        <v>14.99</v>
      </c>
      <c r="E302" s="3">
        <v>44.97</v>
      </c>
      <c r="F302" s="2" t="s">
        <v>18496</v>
      </c>
      <c r="G302" s="22" t="s">
        <v>19422</v>
      </c>
      <c r="H302" s="24" t="s">
        <v>18502</v>
      </c>
      <c r="I302" s="22" t="s">
        <v>19309</v>
      </c>
      <c r="J302" s="22" t="s">
        <v>19595</v>
      </c>
      <c r="K302" s="22" t="s">
        <v>18498</v>
      </c>
      <c r="L302" s="22"/>
      <c r="M302" s="22"/>
      <c r="N302" s="25" t="str">
        <f>HYPERLINK("http://slimages.macys.com/is/image/MCY/21693788 ")</f>
        <v xml:space="preserve">http://slimages.macys.com/is/image/MCY/21693788 </v>
      </c>
    </row>
    <row r="303" spans="1:14" ht="24.75" x14ac:dyDescent="0.25">
      <c r="A303" s="21" t="s">
        <v>450</v>
      </c>
      <c r="B303" s="22" t="s">
        <v>451</v>
      </c>
      <c r="C303" s="2">
        <v>1</v>
      </c>
      <c r="D303" s="23">
        <v>11.92</v>
      </c>
      <c r="E303" s="3">
        <v>11.92</v>
      </c>
      <c r="F303" s="2" t="s">
        <v>16233</v>
      </c>
      <c r="G303" s="22" t="s">
        <v>19357</v>
      </c>
      <c r="H303" s="24" t="s">
        <v>19392</v>
      </c>
      <c r="I303" s="22" t="s">
        <v>19309</v>
      </c>
      <c r="J303" s="22" t="s">
        <v>19602</v>
      </c>
      <c r="K303" s="22" t="s">
        <v>20041</v>
      </c>
      <c r="L303" s="22"/>
      <c r="M303" s="22"/>
      <c r="N303" s="25" t="str">
        <f>HYPERLINK("http://slimages.macys.com/is/image/MCY/21728874 ")</f>
        <v xml:space="preserve">http://slimages.macys.com/is/image/MCY/21728874 </v>
      </c>
    </row>
    <row r="304" spans="1:14" ht="24.75" x14ac:dyDescent="0.25">
      <c r="A304" s="21" t="s">
        <v>16519</v>
      </c>
      <c r="B304" s="22" t="s">
        <v>16520</v>
      </c>
      <c r="C304" s="2">
        <v>1</v>
      </c>
      <c r="D304" s="23">
        <v>11.91</v>
      </c>
      <c r="E304" s="3">
        <v>11.91</v>
      </c>
      <c r="F304" s="2" t="s">
        <v>16521</v>
      </c>
      <c r="G304" s="22"/>
      <c r="H304" s="24" t="s">
        <v>19392</v>
      </c>
      <c r="I304" s="22" t="s">
        <v>19309</v>
      </c>
      <c r="J304" s="22" t="s">
        <v>19602</v>
      </c>
      <c r="K304" s="22" t="s">
        <v>20041</v>
      </c>
      <c r="L304" s="22"/>
      <c r="M304" s="22"/>
      <c r="N304" s="25" t="str">
        <f>HYPERLINK("http://slimages.macys.com/is/image/MCY/21420666 ")</f>
        <v xml:space="preserve">http://slimages.macys.com/is/image/MCY/21420666 </v>
      </c>
    </row>
    <row r="305" spans="1:14" ht="24.75" x14ac:dyDescent="0.25">
      <c r="A305" s="21" t="s">
        <v>13254</v>
      </c>
      <c r="B305" s="22" t="s">
        <v>13255</v>
      </c>
      <c r="C305" s="2">
        <v>1</v>
      </c>
      <c r="D305" s="23">
        <v>11.91</v>
      </c>
      <c r="E305" s="3">
        <v>11.91</v>
      </c>
      <c r="F305" s="2" t="s">
        <v>18524</v>
      </c>
      <c r="G305" s="22"/>
      <c r="H305" s="24" t="s">
        <v>19345</v>
      </c>
      <c r="I305" s="22" t="s">
        <v>19309</v>
      </c>
      <c r="J305" s="22" t="s">
        <v>19602</v>
      </c>
      <c r="K305" s="22" t="s">
        <v>20041</v>
      </c>
      <c r="L305" s="22"/>
      <c r="M305" s="22"/>
      <c r="N305" s="25" t="str">
        <f>HYPERLINK("http://slimages.macys.com/is/image/MCY/21420574 ")</f>
        <v xml:space="preserve">http://slimages.macys.com/is/image/MCY/21420574 </v>
      </c>
    </row>
    <row r="306" spans="1:14" ht="24.75" x14ac:dyDescent="0.25">
      <c r="A306" s="21" t="s">
        <v>9894</v>
      </c>
      <c r="B306" s="22" t="s">
        <v>9895</v>
      </c>
      <c r="C306" s="2">
        <v>3</v>
      </c>
      <c r="D306" s="23">
        <v>13.99</v>
      </c>
      <c r="E306" s="3">
        <v>41.97</v>
      </c>
      <c r="F306" s="2" t="s">
        <v>18536</v>
      </c>
      <c r="G306" s="22" t="s">
        <v>19674</v>
      </c>
      <c r="H306" s="24" t="s">
        <v>19324</v>
      </c>
      <c r="I306" s="22" t="s">
        <v>19309</v>
      </c>
      <c r="J306" s="22" t="s">
        <v>19573</v>
      </c>
      <c r="K306" s="22" t="s">
        <v>19574</v>
      </c>
      <c r="L306" s="22"/>
      <c r="M306" s="22"/>
      <c r="N306" s="25" t="str">
        <f>HYPERLINK("http://slimages.macys.com/is/image/MCY/22037419 ")</f>
        <v xml:space="preserve">http://slimages.macys.com/is/image/MCY/22037419 </v>
      </c>
    </row>
    <row r="307" spans="1:14" ht="24.75" x14ac:dyDescent="0.25">
      <c r="A307" s="21" t="s">
        <v>18534</v>
      </c>
      <c r="B307" s="22" t="s">
        <v>18535</v>
      </c>
      <c r="C307" s="2">
        <v>2</v>
      </c>
      <c r="D307" s="23">
        <v>13.99</v>
      </c>
      <c r="E307" s="3">
        <v>27.98</v>
      </c>
      <c r="F307" s="2" t="s">
        <v>18536</v>
      </c>
      <c r="G307" s="22" t="s">
        <v>19674</v>
      </c>
      <c r="H307" s="24" t="s">
        <v>19384</v>
      </c>
      <c r="I307" s="22" t="s">
        <v>19309</v>
      </c>
      <c r="J307" s="22" t="s">
        <v>19573</v>
      </c>
      <c r="K307" s="22" t="s">
        <v>19574</v>
      </c>
      <c r="L307" s="22"/>
      <c r="M307" s="22"/>
      <c r="N307" s="25" t="str">
        <f>HYPERLINK("http://slimages.macys.com/is/image/MCY/22037419 ")</f>
        <v xml:space="preserve">http://slimages.macys.com/is/image/MCY/22037419 </v>
      </c>
    </row>
    <row r="308" spans="1:14" ht="24.75" x14ac:dyDescent="0.25">
      <c r="A308" s="21" t="s">
        <v>13863</v>
      </c>
      <c r="B308" s="22" t="s">
        <v>13864</v>
      </c>
      <c r="C308" s="2">
        <v>2</v>
      </c>
      <c r="D308" s="23">
        <v>13.99</v>
      </c>
      <c r="E308" s="3">
        <v>27.98</v>
      </c>
      <c r="F308" s="2" t="s">
        <v>18536</v>
      </c>
      <c r="G308" s="22" t="s">
        <v>19674</v>
      </c>
      <c r="H308" s="24" t="s">
        <v>19538</v>
      </c>
      <c r="I308" s="22" t="s">
        <v>19309</v>
      </c>
      <c r="J308" s="22" t="s">
        <v>19573</v>
      </c>
      <c r="K308" s="22" t="s">
        <v>19574</v>
      </c>
      <c r="L308" s="22"/>
      <c r="M308" s="22"/>
      <c r="N308" s="25" t="str">
        <f>HYPERLINK("http://slimages.macys.com/is/image/MCY/22037419 ")</f>
        <v xml:space="preserve">http://slimages.macys.com/is/image/MCY/22037419 </v>
      </c>
    </row>
    <row r="309" spans="1:14" ht="24.75" x14ac:dyDescent="0.25">
      <c r="A309" s="21" t="s">
        <v>16241</v>
      </c>
      <c r="B309" s="22" t="s">
        <v>16242</v>
      </c>
      <c r="C309" s="2">
        <v>2</v>
      </c>
      <c r="D309" s="23">
        <v>13.99</v>
      </c>
      <c r="E309" s="3">
        <v>27.98</v>
      </c>
      <c r="F309" s="2" t="s">
        <v>18536</v>
      </c>
      <c r="G309" s="22" t="s">
        <v>19674</v>
      </c>
      <c r="H309" s="24" t="s">
        <v>19416</v>
      </c>
      <c r="I309" s="22" t="s">
        <v>19309</v>
      </c>
      <c r="J309" s="22" t="s">
        <v>19573</v>
      </c>
      <c r="K309" s="22" t="s">
        <v>19574</v>
      </c>
      <c r="L309" s="22"/>
      <c r="M309" s="22"/>
      <c r="N309" s="25" t="str">
        <f>HYPERLINK("http://slimages.macys.com/is/image/MCY/22037419 ")</f>
        <v xml:space="preserve">http://slimages.macys.com/is/image/MCY/22037419 </v>
      </c>
    </row>
    <row r="310" spans="1:14" ht="24.75" x14ac:dyDescent="0.25">
      <c r="A310" s="21" t="s">
        <v>18537</v>
      </c>
      <c r="B310" s="22" t="s">
        <v>18538</v>
      </c>
      <c r="C310" s="2">
        <v>2</v>
      </c>
      <c r="D310" s="23">
        <v>13.99</v>
      </c>
      <c r="E310" s="3">
        <v>27.98</v>
      </c>
      <c r="F310" s="2" t="s">
        <v>18536</v>
      </c>
      <c r="G310" s="22" t="s">
        <v>19674</v>
      </c>
      <c r="H310" s="24" t="s">
        <v>19330</v>
      </c>
      <c r="I310" s="22" t="s">
        <v>19309</v>
      </c>
      <c r="J310" s="22" t="s">
        <v>19573</v>
      </c>
      <c r="K310" s="22" t="s">
        <v>19574</v>
      </c>
      <c r="L310" s="22"/>
      <c r="M310" s="22"/>
      <c r="N310" s="25" t="str">
        <f>HYPERLINK("http://slimages.macys.com/is/image/MCY/22037419 ")</f>
        <v xml:space="preserve">http://slimages.macys.com/is/image/MCY/22037419 </v>
      </c>
    </row>
    <row r="311" spans="1:14" ht="24.75" x14ac:dyDescent="0.25">
      <c r="A311" s="21" t="s">
        <v>13869</v>
      </c>
      <c r="B311" s="22" t="s">
        <v>13870</v>
      </c>
      <c r="C311" s="2">
        <v>1</v>
      </c>
      <c r="D311" s="23">
        <v>11.99</v>
      </c>
      <c r="E311" s="3">
        <v>11.99</v>
      </c>
      <c r="F311" s="2" t="s">
        <v>16530</v>
      </c>
      <c r="G311" s="22" t="s">
        <v>19814</v>
      </c>
      <c r="H311" s="24" t="s">
        <v>19361</v>
      </c>
      <c r="I311" s="22" t="s">
        <v>19309</v>
      </c>
      <c r="J311" s="22" t="s">
        <v>19908</v>
      </c>
      <c r="K311" s="22" t="s">
        <v>19524</v>
      </c>
      <c r="L311" s="22"/>
      <c r="M311" s="22"/>
      <c r="N311" s="25" t="str">
        <f>HYPERLINK("http://slimages.macys.com/is/image/MCY/21569943 ")</f>
        <v xml:space="preserve">http://slimages.macys.com/is/image/MCY/21569943 </v>
      </c>
    </row>
    <row r="312" spans="1:14" ht="24.75" x14ac:dyDescent="0.25">
      <c r="A312" s="21" t="s">
        <v>452</v>
      </c>
      <c r="B312" s="22" t="s">
        <v>453</v>
      </c>
      <c r="C312" s="2">
        <v>1</v>
      </c>
      <c r="D312" s="23">
        <v>11.99</v>
      </c>
      <c r="E312" s="3">
        <v>11.99</v>
      </c>
      <c r="F312" s="2" t="s">
        <v>16530</v>
      </c>
      <c r="G312" s="22" t="s">
        <v>19814</v>
      </c>
      <c r="H312" s="24" t="s">
        <v>19907</v>
      </c>
      <c r="I312" s="22" t="s">
        <v>19309</v>
      </c>
      <c r="J312" s="22" t="s">
        <v>19908</v>
      </c>
      <c r="K312" s="22" t="s">
        <v>19524</v>
      </c>
      <c r="L312" s="22"/>
      <c r="M312" s="22"/>
      <c r="N312" s="25" t="str">
        <f>HYPERLINK("http://slimages.macys.com/is/image/MCY/21570047 ")</f>
        <v xml:space="preserve">http://slimages.macys.com/is/image/MCY/21570047 </v>
      </c>
    </row>
    <row r="313" spans="1:14" ht="24.75" x14ac:dyDescent="0.25">
      <c r="A313" s="21" t="s">
        <v>7716</v>
      </c>
      <c r="B313" s="22" t="s">
        <v>7717</v>
      </c>
      <c r="C313" s="2">
        <v>1</v>
      </c>
      <c r="D313" s="23">
        <v>8.99</v>
      </c>
      <c r="E313" s="3">
        <v>8.99</v>
      </c>
      <c r="F313" s="2" t="s">
        <v>7715</v>
      </c>
      <c r="G313" s="22" t="s">
        <v>19333</v>
      </c>
      <c r="H313" s="24" t="s">
        <v>19542</v>
      </c>
      <c r="I313" s="22" t="s">
        <v>19309</v>
      </c>
      <c r="J313" s="22" t="s">
        <v>19447</v>
      </c>
      <c r="K313" s="22" t="s">
        <v>20146</v>
      </c>
      <c r="L313" s="22"/>
      <c r="M313" s="22"/>
      <c r="N313" s="25" t="str">
        <f>HYPERLINK("http://slimages.macys.com/is/image/MCY/20676960 ")</f>
        <v xml:space="preserve">http://slimages.macys.com/is/image/MCY/20676960 </v>
      </c>
    </row>
    <row r="314" spans="1:14" ht="24.75" x14ac:dyDescent="0.25">
      <c r="A314" s="21" t="s">
        <v>6895</v>
      </c>
      <c r="B314" s="22" t="s">
        <v>6896</v>
      </c>
      <c r="C314" s="2">
        <v>1</v>
      </c>
      <c r="D314" s="23">
        <v>14.99</v>
      </c>
      <c r="E314" s="3">
        <v>14.99</v>
      </c>
      <c r="F314" s="2" t="s">
        <v>18584</v>
      </c>
      <c r="G314" s="22" t="s">
        <v>19814</v>
      </c>
      <c r="H314" s="24" t="s">
        <v>19432</v>
      </c>
      <c r="I314" s="22" t="s">
        <v>19309</v>
      </c>
      <c r="J314" s="22" t="s">
        <v>19815</v>
      </c>
      <c r="K314" s="22" t="s">
        <v>19816</v>
      </c>
      <c r="L314" s="22"/>
      <c r="M314" s="22"/>
      <c r="N314" s="25" t="str">
        <f>HYPERLINK("http://slimages.macys.com/is/image/MCY/20815181 ")</f>
        <v xml:space="preserve">http://slimages.macys.com/is/image/MCY/20815181 </v>
      </c>
    </row>
    <row r="315" spans="1:14" x14ac:dyDescent="0.25">
      <c r="A315" s="21" t="s">
        <v>454</v>
      </c>
      <c r="B315" s="22" t="s">
        <v>455</v>
      </c>
      <c r="C315" s="2">
        <v>1</v>
      </c>
      <c r="D315" s="23">
        <v>7.99</v>
      </c>
      <c r="E315" s="3">
        <v>7.99</v>
      </c>
      <c r="F315" s="2" t="s">
        <v>16253</v>
      </c>
      <c r="G315" s="22" t="s">
        <v>19315</v>
      </c>
      <c r="H315" s="24" t="s">
        <v>19352</v>
      </c>
      <c r="I315" s="22" t="s">
        <v>19309</v>
      </c>
      <c r="J315" s="22" t="s">
        <v>19310</v>
      </c>
      <c r="K315" s="22" t="s">
        <v>19873</v>
      </c>
      <c r="L315" s="22"/>
      <c r="M315" s="22"/>
      <c r="N315" s="25" t="str">
        <f>HYPERLINK("http://slimages.macys.com/is/image/MCY/21694325 ")</f>
        <v xml:space="preserve">http://slimages.macys.com/is/image/MCY/21694325 </v>
      </c>
    </row>
    <row r="316" spans="1:14" x14ac:dyDescent="0.25">
      <c r="A316" s="21" t="s">
        <v>456</v>
      </c>
      <c r="B316" s="22" t="s">
        <v>457</v>
      </c>
      <c r="C316" s="2">
        <v>1</v>
      </c>
      <c r="D316" s="23">
        <v>7.99</v>
      </c>
      <c r="E316" s="3">
        <v>7.99</v>
      </c>
      <c r="F316" s="2" t="s">
        <v>16253</v>
      </c>
      <c r="G316" s="22" t="s">
        <v>19315</v>
      </c>
      <c r="H316" s="24" t="s">
        <v>19308</v>
      </c>
      <c r="I316" s="22" t="s">
        <v>19309</v>
      </c>
      <c r="J316" s="22" t="s">
        <v>19310</v>
      </c>
      <c r="K316" s="22" t="s">
        <v>19873</v>
      </c>
      <c r="L316" s="22"/>
      <c r="M316" s="22"/>
      <c r="N316" s="25" t="str">
        <f>HYPERLINK("http://slimages.macys.com/is/image/MCY/21694325 ")</f>
        <v xml:space="preserve">http://slimages.macys.com/is/image/MCY/21694325 </v>
      </c>
    </row>
    <row r="317" spans="1:14" x14ac:dyDescent="0.25">
      <c r="A317" s="21" t="s">
        <v>458</v>
      </c>
      <c r="B317" s="22" t="s">
        <v>459</v>
      </c>
      <c r="C317" s="2">
        <v>1</v>
      </c>
      <c r="D317" s="23">
        <v>7.99</v>
      </c>
      <c r="E317" s="3">
        <v>7.99</v>
      </c>
      <c r="F317" s="2" t="s">
        <v>13883</v>
      </c>
      <c r="G317" s="22" t="s">
        <v>19357</v>
      </c>
      <c r="H317" s="24" t="s">
        <v>19364</v>
      </c>
      <c r="I317" s="22" t="s">
        <v>19309</v>
      </c>
      <c r="J317" s="22" t="s">
        <v>19310</v>
      </c>
      <c r="K317" s="22" t="s">
        <v>19873</v>
      </c>
      <c r="L317" s="22"/>
      <c r="M317" s="22"/>
      <c r="N317" s="25" t="str">
        <f>HYPERLINK("http://slimages.macys.com/is/image/MCY/21030926 ")</f>
        <v xml:space="preserve">http://slimages.macys.com/is/image/MCY/21030926 </v>
      </c>
    </row>
    <row r="318" spans="1:14" ht="24.75" x14ac:dyDescent="0.25">
      <c r="A318" s="21" t="s">
        <v>5992</v>
      </c>
      <c r="B318" s="22" t="s">
        <v>5993</v>
      </c>
      <c r="C318" s="2">
        <v>2</v>
      </c>
      <c r="D318" s="23">
        <v>7.99</v>
      </c>
      <c r="E318" s="3">
        <v>15.98</v>
      </c>
      <c r="F318" s="2" t="s">
        <v>6902</v>
      </c>
      <c r="G318" s="22" t="s">
        <v>19467</v>
      </c>
      <c r="H318" s="24" t="s">
        <v>19364</v>
      </c>
      <c r="I318" s="22" t="s">
        <v>19309</v>
      </c>
      <c r="J318" s="22" t="s">
        <v>19310</v>
      </c>
      <c r="K318" s="22" t="s">
        <v>19873</v>
      </c>
      <c r="L318" s="22"/>
      <c r="M318" s="22"/>
      <c r="N318" s="25" t="str">
        <f>HYPERLINK("http://slimages.macys.com/is/image/MCY/21030922 ")</f>
        <v xml:space="preserve">http://slimages.macys.com/is/image/MCY/21030922 </v>
      </c>
    </row>
    <row r="319" spans="1:14" x14ac:dyDescent="0.25">
      <c r="A319" s="21" t="s">
        <v>460</v>
      </c>
      <c r="B319" s="22" t="s">
        <v>461</v>
      </c>
      <c r="C319" s="2">
        <v>1</v>
      </c>
      <c r="D319" s="23">
        <v>8.31</v>
      </c>
      <c r="E319" s="3">
        <v>8.31</v>
      </c>
      <c r="F319" s="2" t="s">
        <v>462</v>
      </c>
      <c r="G319" s="22" t="s">
        <v>19618</v>
      </c>
      <c r="H319" s="24" t="s">
        <v>18530</v>
      </c>
      <c r="I319" s="22" t="s">
        <v>19309</v>
      </c>
      <c r="J319" s="22" t="s">
        <v>19514</v>
      </c>
      <c r="K319" s="22" t="s">
        <v>18514</v>
      </c>
      <c r="L319" s="22"/>
      <c r="M319" s="22"/>
      <c r="N319" s="25" t="str">
        <f>HYPERLINK("http://slimages.macys.com/is/image/MCY/20876632 ")</f>
        <v xml:space="preserve">http://slimages.macys.com/is/image/MCY/20876632 </v>
      </c>
    </row>
    <row r="320" spans="1:14" x14ac:dyDescent="0.25">
      <c r="A320" s="21" t="s">
        <v>16567</v>
      </c>
      <c r="B320" s="22" t="s">
        <v>16568</v>
      </c>
      <c r="C320" s="2">
        <v>1</v>
      </c>
      <c r="D320" s="23">
        <v>8.31</v>
      </c>
      <c r="E320" s="3">
        <v>8.31</v>
      </c>
      <c r="F320" s="2" t="s">
        <v>16569</v>
      </c>
      <c r="G320" s="22" t="s">
        <v>19383</v>
      </c>
      <c r="H320" s="24" t="s">
        <v>19432</v>
      </c>
      <c r="I320" s="22" t="s">
        <v>19309</v>
      </c>
      <c r="J320" s="22" t="s">
        <v>19514</v>
      </c>
      <c r="K320" s="22" t="s">
        <v>18514</v>
      </c>
      <c r="L320" s="22"/>
      <c r="M320" s="22"/>
      <c r="N320" s="25" t="str">
        <f>HYPERLINK("http://slimages.macys.com/is/image/MCY/20876630 ")</f>
        <v xml:space="preserve">http://slimages.macys.com/is/image/MCY/20876630 </v>
      </c>
    </row>
    <row r="321" spans="1:14" ht="24.75" x14ac:dyDescent="0.25">
      <c r="A321" s="21" t="s">
        <v>463</v>
      </c>
      <c r="B321" s="22" t="s">
        <v>464</v>
      </c>
      <c r="C321" s="2">
        <v>2</v>
      </c>
      <c r="D321" s="23">
        <v>8.99</v>
      </c>
      <c r="E321" s="3">
        <v>17.98</v>
      </c>
      <c r="F321" s="2" t="s">
        <v>16637</v>
      </c>
      <c r="G321" s="22" t="s">
        <v>19585</v>
      </c>
      <c r="H321" s="24" t="s">
        <v>19364</v>
      </c>
      <c r="I321" s="22" t="s">
        <v>19309</v>
      </c>
      <c r="J321" s="22" t="s">
        <v>19815</v>
      </c>
      <c r="K321" s="22" t="s">
        <v>19816</v>
      </c>
      <c r="L321" s="22"/>
      <c r="M321" s="22"/>
      <c r="N321" s="25" t="str">
        <f>HYPERLINK("http://slimages.macys.com/is/image/MCY/1424941 ")</f>
        <v xml:space="preserve">http://slimages.macys.com/is/image/MCY/1424941 </v>
      </c>
    </row>
    <row r="322" spans="1:14" ht="24.75" x14ac:dyDescent="0.25">
      <c r="A322" s="21" t="s">
        <v>16635</v>
      </c>
      <c r="B322" s="22" t="s">
        <v>16636</v>
      </c>
      <c r="C322" s="2">
        <v>1</v>
      </c>
      <c r="D322" s="23">
        <v>8.99</v>
      </c>
      <c r="E322" s="3">
        <v>8.99</v>
      </c>
      <c r="F322" s="2" t="s">
        <v>16637</v>
      </c>
      <c r="G322" s="22" t="s">
        <v>19585</v>
      </c>
      <c r="H322" s="24" t="s">
        <v>19339</v>
      </c>
      <c r="I322" s="22" t="s">
        <v>19309</v>
      </c>
      <c r="J322" s="22" t="s">
        <v>19815</v>
      </c>
      <c r="K322" s="22" t="s">
        <v>19816</v>
      </c>
      <c r="L322" s="22"/>
      <c r="M322" s="22"/>
      <c r="N322" s="25" t="str">
        <f>HYPERLINK("http://slimages.macys.com/is/image/MCY/1424941 ")</f>
        <v xml:space="preserve">http://slimages.macys.com/is/image/MCY/1424941 </v>
      </c>
    </row>
    <row r="323" spans="1:14" x14ac:dyDescent="0.25">
      <c r="A323" s="21" t="s">
        <v>16574</v>
      </c>
      <c r="B323" s="22" t="s">
        <v>16575</v>
      </c>
      <c r="C323" s="2">
        <v>1</v>
      </c>
      <c r="D323" s="23">
        <v>16.989999999999998</v>
      </c>
      <c r="E323" s="3">
        <v>16.989999999999998</v>
      </c>
      <c r="F323" s="2" t="s">
        <v>18666</v>
      </c>
      <c r="G323" s="22" t="s">
        <v>19351</v>
      </c>
      <c r="H323" s="24" t="s">
        <v>19364</v>
      </c>
      <c r="I323" s="22" t="s">
        <v>19309</v>
      </c>
      <c r="J323" s="22" t="s">
        <v>19849</v>
      </c>
      <c r="K323" s="22" t="s">
        <v>19850</v>
      </c>
      <c r="L323" s="22"/>
      <c r="M323" s="22"/>
      <c r="N323" s="25" t="str">
        <f>HYPERLINK("http://slimages.macys.com/is/image/MCY/20751778 ")</f>
        <v xml:space="preserve">http://slimages.macys.com/is/image/MCY/20751778 </v>
      </c>
    </row>
    <row r="324" spans="1:14" x14ac:dyDescent="0.25">
      <c r="A324" s="21" t="s">
        <v>465</v>
      </c>
      <c r="B324" s="22" t="s">
        <v>466</v>
      </c>
      <c r="C324" s="2">
        <v>1</v>
      </c>
      <c r="D324" s="23">
        <v>9.99</v>
      </c>
      <c r="E324" s="3">
        <v>9.99</v>
      </c>
      <c r="F324" s="2" t="s">
        <v>467</v>
      </c>
      <c r="G324" s="22" t="s">
        <v>19635</v>
      </c>
      <c r="H324" s="24" t="s">
        <v>19345</v>
      </c>
      <c r="I324" s="22" t="s">
        <v>19309</v>
      </c>
      <c r="J324" s="22" t="s">
        <v>19310</v>
      </c>
      <c r="K324" s="22" t="s">
        <v>19468</v>
      </c>
      <c r="L324" s="22"/>
      <c r="M324" s="22"/>
      <c r="N324" s="25" t="str">
        <f>HYPERLINK("http://slimages.macys.com/is/image/MCY/19501976 ")</f>
        <v xml:space="preserve">http://slimages.macys.com/is/image/MCY/19501976 </v>
      </c>
    </row>
    <row r="325" spans="1:14" ht="24.75" x14ac:dyDescent="0.25">
      <c r="A325" s="21" t="s">
        <v>468</v>
      </c>
      <c r="B325" s="22" t="s">
        <v>469</v>
      </c>
      <c r="C325" s="2">
        <v>1</v>
      </c>
      <c r="D325" s="23">
        <v>8.25</v>
      </c>
      <c r="E325" s="3">
        <v>8.25</v>
      </c>
      <c r="F325" s="2" t="s">
        <v>12341</v>
      </c>
      <c r="G325" s="22" t="s">
        <v>19323</v>
      </c>
      <c r="H325" s="24" t="s">
        <v>19334</v>
      </c>
      <c r="I325" s="22" t="s">
        <v>19309</v>
      </c>
      <c r="J325" s="22" t="s">
        <v>19447</v>
      </c>
      <c r="K325" s="22" t="s">
        <v>20146</v>
      </c>
      <c r="L325" s="22"/>
      <c r="M325" s="22"/>
      <c r="N325" s="25" t="str">
        <f>HYPERLINK("http://slimages.macys.com/is/image/MCY/20099678 ")</f>
        <v xml:space="preserve">http://slimages.macys.com/is/image/MCY/20099678 </v>
      </c>
    </row>
    <row r="326" spans="1:14" x14ac:dyDescent="0.25">
      <c r="A326" s="21" t="s">
        <v>470</v>
      </c>
      <c r="B326" s="22" t="s">
        <v>471</v>
      </c>
      <c r="C326" s="2">
        <v>1</v>
      </c>
      <c r="D326" s="23">
        <v>8.99</v>
      </c>
      <c r="E326" s="3">
        <v>8.99</v>
      </c>
      <c r="F326" s="2" t="s">
        <v>16264</v>
      </c>
      <c r="G326" s="22" t="s">
        <v>19315</v>
      </c>
      <c r="H326" s="24" t="s">
        <v>19361</v>
      </c>
      <c r="I326" s="22" t="s">
        <v>19309</v>
      </c>
      <c r="J326" s="22" t="s">
        <v>19310</v>
      </c>
      <c r="K326" s="22" t="s">
        <v>19468</v>
      </c>
      <c r="L326" s="22"/>
      <c r="M326" s="22"/>
      <c r="N326" s="25" t="str">
        <f>HYPERLINK("http://slimages.macys.com/is/image/MCY/20189633 ")</f>
        <v xml:space="preserve">http://slimages.macys.com/is/image/MCY/20189633 </v>
      </c>
    </row>
    <row r="327" spans="1:14" ht="24.75" x14ac:dyDescent="0.25">
      <c r="A327" s="21" t="s">
        <v>472</v>
      </c>
      <c r="B327" s="22" t="s">
        <v>473</v>
      </c>
      <c r="C327" s="2">
        <v>1</v>
      </c>
      <c r="D327" s="23">
        <v>8.25</v>
      </c>
      <c r="E327" s="3">
        <v>8.25</v>
      </c>
      <c r="F327" s="2" t="s">
        <v>16596</v>
      </c>
      <c r="G327" s="22" t="s">
        <v>19351</v>
      </c>
      <c r="H327" s="24" t="s">
        <v>19334</v>
      </c>
      <c r="I327" s="22" t="s">
        <v>19309</v>
      </c>
      <c r="J327" s="22" t="s">
        <v>19447</v>
      </c>
      <c r="K327" s="22" t="s">
        <v>20146</v>
      </c>
      <c r="L327" s="22"/>
      <c r="M327" s="22"/>
      <c r="N327" s="25" t="str">
        <f>HYPERLINK("http://slimages.macys.com/is/image/MCY/19941190 ")</f>
        <v xml:space="preserve">http://slimages.macys.com/is/image/MCY/19941190 </v>
      </c>
    </row>
    <row r="328" spans="1:14" ht="24.75" x14ac:dyDescent="0.25">
      <c r="A328" s="21" t="s">
        <v>9935</v>
      </c>
      <c r="B328" s="22" t="s">
        <v>9936</v>
      </c>
      <c r="C328" s="2">
        <v>2</v>
      </c>
      <c r="D328" s="23">
        <v>13.27</v>
      </c>
      <c r="E328" s="3">
        <v>26.54</v>
      </c>
      <c r="F328" s="2" t="s">
        <v>12358</v>
      </c>
      <c r="G328" s="22"/>
      <c r="H328" s="24" t="s">
        <v>19330</v>
      </c>
      <c r="I328" s="22" t="s">
        <v>19309</v>
      </c>
      <c r="J328" s="22" t="s">
        <v>19708</v>
      </c>
      <c r="K328" s="22" t="s">
        <v>19754</v>
      </c>
      <c r="L328" s="22"/>
      <c r="M328" s="22"/>
      <c r="N328" s="25" t="str">
        <f>HYPERLINK("http://slimages.macys.com/is/image/MCY/21758696 ")</f>
        <v xml:space="preserve">http://slimages.macys.com/is/image/MCY/21758696 </v>
      </c>
    </row>
    <row r="329" spans="1:14" ht="24.75" x14ac:dyDescent="0.25">
      <c r="A329" s="21" t="s">
        <v>16265</v>
      </c>
      <c r="B329" s="22" t="s">
        <v>16266</v>
      </c>
      <c r="C329" s="2">
        <v>1</v>
      </c>
      <c r="D329" s="23">
        <v>10.91</v>
      </c>
      <c r="E329" s="3">
        <v>10.91</v>
      </c>
      <c r="F329" s="2" t="s">
        <v>16267</v>
      </c>
      <c r="G329" s="22"/>
      <c r="H329" s="24" t="s">
        <v>19334</v>
      </c>
      <c r="I329" s="22" t="s">
        <v>19309</v>
      </c>
      <c r="J329" s="22" t="s">
        <v>19602</v>
      </c>
      <c r="K329" s="22" t="s">
        <v>19603</v>
      </c>
      <c r="L329" s="22"/>
      <c r="M329" s="22"/>
      <c r="N329" s="25" t="str">
        <f>HYPERLINK("http://slimages.macys.com/is/image/MCY/21421177 ")</f>
        <v xml:space="preserve">http://slimages.macys.com/is/image/MCY/21421177 </v>
      </c>
    </row>
    <row r="330" spans="1:14" ht="24.75" x14ac:dyDescent="0.25">
      <c r="A330" s="21" t="s">
        <v>13279</v>
      </c>
      <c r="B330" s="22" t="s">
        <v>13280</v>
      </c>
      <c r="C330" s="2">
        <v>1</v>
      </c>
      <c r="D330" s="23">
        <v>10.91</v>
      </c>
      <c r="E330" s="3">
        <v>10.91</v>
      </c>
      <c r="F330" s="2" t="s">
        <v>16602</v>
      </c>
      <c r="G330" s="22" t="s">
        <v>19357</v>
      </c>
      <c r="H330" s="24" t="s">
        <v>19345</v>
      </c>
      <c r="I330" s="22" t="s">
        <v>19309</v>
      </c>
      <c r="J330" s="22" t="s">
        <v>19602</v>
      </c>
      <c r="K330" s="22" t="s">
        <v>20041</v>
      </c>
      <c r="L330" s="22"/>
      <c r="M330" s="22"/>
      <c r="N330" s="25" t="str">
        <f>HYPERLINK("http://slimages.macys.com/is/image/MCY/21723141 ")</f>
        <v xml:space="preserve">http://slimages.macys.com/is/image/MCY/21723141 </v>
      </c>
    </row>
    <row r="331" spans="1:14" ht="24.75" x14ac:dyDescent="0.25">
      <c r="A331" s="21" t="s">
        <v>9920</v>
      </c>
      <c r="B331" s="22" t="s">
        <v>9921</v>
      </c>
      <c r="C331" s="2">
        <v>3</v>
      </c>
      <c r="D331" s="23">
        <v>13.27</v>
      </c>
      <c r="E331" s="3">
        <v>39.81</v>
      </c>
      <c r="F331" s="2" t="s">
        <v>12358</v>
      </c>
      <c r="G331" s="22"/>
      <c r="H331" s="24" t="s">
        <v>19324</v>
      </c>
      <c r="I331" s="22" t="s">
        <v>19309</v>
      </c>
      <c r="J331" s="22" t="s">
        <v>19708</v>
      </c>
      <c r="K331" s="22" t="s">
        <v>19754</v>
      </c>
      <c r="L331" s="22"/>
      <c r="M331" s="22"/>
      <c r="N331" s="25" t="str">
        <f>HYPERLINK("http://slimages.macys.com/is/image/MCY/21758696 ")</f>
        <v xml:space="preserve">http://slimages.macys.com/is/image/MCY/21758696 </v>
      </c>
    </row>
    <row r="332" spans="1:14" ht="24.75" x14ac:dyDescent="0.25">
      <c r="A332" s="21" t="s">
        <v>1497</v>
      </c>
      <c r="B332" s="22" t="s">
        <v>1498</v>
      </c>
      <c r="C332" s="2">
        <v>2</v>
      </c>
      <c r="D332" s="23">
        <v>10.91</v>
      </c>
      <c r="E332" s="3">
        <v>21.82</v>
      </c>
      <c r="F332" s="2" t="s">
        <v>18643</v>
      </c>
      <c r="G332" s="22" t="s">
        <v>18644</v>
      </c>
      <c r="H332" s="24"/>
      <c r="I332" s="22" t="s">
        <v>19309</v>
      </c>
      <c r="J332" s="22" t="s">
        <v>19602</v>
      </c>
      <c r="K332" s="22" t="s">
        <v>20041</v>
      </c>
      <c r="L332" s="22"/>
      <c r="M332" s="22"/>
      <c r="N332" s="25" t="str">
        <f t="shared" ref="N332:N338" si="2">HYPERLINK("http://slimages.macys.com/is/image/MCY/21723141 ")</f>
        <v xml:space="preserve">http://slimages.macys.com/is/image/MCY/21723141 </v>
      </c>
    </row>
    <row r="333" spans="1:14" ht="24.75" x14ac:dyDescent="0.25">
      <c r="A333" s="21" t="s">
        <v>16284</v>
      </c>
      <c r="B333" s="22" t="s">
        <v>16285</v>
      </c>
      <c r="C333" s="2">
        <v>1</v>
      </c>
      <c r="D333" s="23">
        <v>10.91</v>
      </c>
      <c r="E333" s="3">
        <v>10.91</v>
      </c>
      <c r="F333" s="2" t="s">
        <v>18643</v>
      </c>
      <c r="G333" s="22" t="s">
        <v>18644</v>
      </c>
      <c r="H333" s="24" t="s">
        <v>19345</v>
      </c>
      <c r="I333" s="22" t="s">
        <v>19309</v>
      </c>
      <c r="J333" s="22" t="s">
        <v>19602</v>
      </c>
      <c r="K333" s="22" t="s">
        <v>20041</v>
      </c>
      <c r="L333" s="22"/>
      <c r="M333" s="22"/>
      <c r="N333" s="25" t="str">
        <f t="shared" si="2"/>
        <v xml:space="preserve">http://slimages.macys.com/is/image/MCY/21723141 </v>
      </c>
    </row>
    <row r="334" spans="1:14" ht="24.75" x14ac:dyDescent="0.25">
      <c r="A334" s="21" t="s">
        <v>16288</v>
      </c>
      <c r="B334" s="22" t="s">
        <v>16289</v>
      </c>
      <c r="C334" s="2">
        <v>2</v>
      </c>
      <c r="D334" s="23">
        <v>10.91</v>
      </c>
      <c r="E334" s="3">
        <v>21.82</v>
      </c>
      <c r="F334" s="2" t="s">
        <v>16599</v>
      </c>
      <c r="G334" s="22" t="s">
        <v>19323</v>
      </c>
      <c r="H334" s="24" t="s">
        <v>19392</v>
      </c>
      <c r="I334" s="22" t="s">
        <v>19309</v>
      </c>
      <c r="J334" s="22" t="s">
        <v>19602</v>
      </c>
      <c r="K334" s="22" t="s">
        <v>20041</v>
      </c>
      <c r="L334" s="22"/>
      <c r="M334" s="22"/>
      <c r="N334" s="25" t="str">
        <f t="shared" si="2"/>
        <v xml:space="preserve">http://slimages.macys.com/is/image/MCY/21723141 </v>
      </c>
    </row>
    <row r="335" spans="1:14" ht="24.75" x14ac:dyDescent="0.25">
      <c r="A335" s="21" t="s">
        <v>16282</v>
      </c>
      <c r="B335" s="22" t="s">
        <v>16283</v>
      </c>
      <c r="C335" s="2">
        <v>1</v>
      </c>
      <c r="D335" s="23">
        <v>10.91</v>
      </c>
      <c r="E335" s="3">
        <v>10.91</v>
      </c>
      <c r="F335" s="2" t="s">
        <v>16599</v>
      </c>
      <c r="G335" s="22" t="s">
        <v>19323</v>
      </c>
      <c r="H335" s="24"/>
      <c r="I335" s="22" t="s">
        <v>19309</v>
      </c>
      <c r="J335" s="22" t="s">
        <v>19602</v>
      </c>
      <c r="K335" s="22" t="s">
        <v>20041</v>
      </c>
      <c r="L335" s="22"/>
      <c r="M335" s="22"/>
      <c r="N335" s="25" t="str">
        <f t="shared" si="2"/>
        <v xml:space="preserve">http://slimages.macys.com/is/image/MCY/21723141 </v>
      </c>
    </row>
    <row r="336" spans="1:14" ht="24.75" x14ac:dyDescent="0.25">
      <c r="A336" s="21" t="s">
        <v>16597</v>
      </c>
      <c r="B336" s="22" t="s">
        <v>16598</v>
      </c>
      <c r="C336" s="2">
        <v>2</v>
      </c>
      <c r="D336" s="23">
        <v>10.91</v>
      </c>
      <c r="E336" s="3">
        <v>21.82</v>
      </c>
      <c r="F336" s="2" t="s">
        <v>16599</v>
      </c>
      <c r="G336" s="22" t="s">
        <v>19323</v>
      </c>
      <c r="H336" s="24" t="s">
        <v>19334</v>
      </c>
      <c r="I336" s="22" t="s">
        <v>19309</v>
      </c>
      <c r="J336" s="22" t="s">
        <v>19602</v>
      </c>
      <c r="K336" s="22" t="s">
        <v>20041</v>
      </c>
      <c r="L336" s="22"/>
      <c r="M336" s="22"/>
      <c r="N336" s="25" t="str">
        <f t="shared" si="2"/>
        <v xml:space="preserve">http://slimages.macys.com/is/image/MCY/21723141 </v>
      </c>
    </row>
    <row r="337" spans="1:14" ht="24.75" x14ac:dyDescent="0.25">
      <c r="A337" s="21" t="s">
        <v>18641</v>
      </c>
      <c r="B337" s="22" t="s">
        <v>18642</v>
      </c>
      <c r="C337" s="2">
        <v>3</v>
      </c>
      <c r="D337" s="23">
        <v>10.91</v>
      </c>
      <c r="E337" s="3">
        <v>32.729999999999997</v>
      </c>
      <c r="F337" s="2" t="s">
        <v>18643</v>
      </c>
      <c r="G337" s="22" t="s">
        <v>18644</v>
      </c>
      <c r="H337" s="24" t="s">
        <v>19334</v>
      </c>
      <c r="I337" s="22" t="s">
        <v>19309</v>
      </c>
      <c r="J337" s="22" t="s">
        <v>19602</v>
      </c>
      <c r="K337" s="22" t="s">
        <v>20041</v>
      </c>
      <c r="L337" s="22"/>
      <c r="M337" s="22"/>
      <c r="N337" s="25" t="str">
        <f t="shared" si="2"/>
        <v xml:space="preserve">http://slimages.macys.com/is/image/MCY/21723141 </v>
      </c>
    </row>
    <row r="338" spans="1:14" ht="24.75" x14ac:dyDescent="0.25">
      <c r="A338" s="21" t="s">
        <v>16600</v>
      </c>
      <c r="B338" s="22" t="s">
        <v>16601</v>
      </c>
      <c r="C338" s="2">
        <v>1</v>
      </c>
      <c r="D338" s="23">
        <v>10.91</v>
      </c>
      <c r="E338" s="3">
        <v>10.91</v>
      </c>
      <c r="F338" s="2" t="s">
        <v>16602</v>
      </c>
      <c r="G338" s="22" t="s">
        <v>19357</v>
      </c>
      <c r="H338" s="24" t="s">
        <v>19334</v>
      </c>
      <c r="I338" s="22" t="s">
        <v>19309</v>
      </c>
      <c r="J338" s="22" t="s">
        <v>19602</v>
      </c>
      <c r="K338" s="22" t="s">
        <v>20041</v>
      </c>
      <c r="L338" s="22"/>
      <c r="M338" s="22"/>
      <c r="N338" s="25" t="str">
        <f t="shared" si="2"/>
        <v xml:space="preserve">http://slimages.macys.com/is/image/MCY/21723141 </v>
      </c>
    </row>
    <row r="339" spans="1:14" x14ac:dyDescent="0.25">
      <c r="A339" s="21" t="s">
        <v>474</v>
      </c>
      <c r="B339" s="22" t="s">
        <v>475</v>
      </c>
      <c r="C339" s="2">
        <v>1</v>
      </c>
      <c r="D339" s="23">
        <v>9.81</v>
      </c>
      <c r="E339" s="3">
        <v>9.81</v>
      </c>
      <c r="F339" s="2" t="s">
        <v>476</v>
      </c>
      <c r="G339" s="22" t="s">
        <v>19338</v>
      </c>
      <c r="H339" s="24" t="s">
        <v>13107</v>
      </c>
      <c r="I339" s="22" t="s">
        <v>19309</v>
      </c>
      <c r="J339" s="22" t="s">
        <v>19708</v>
      </c>
      <c r="K339" s="22" t="s">
        <v>19709</v>
      </c>
      <c r="L339" s="22"/>
      <c r="M339" s="22"/>
      <c r="N339" s="25" t="str">
        <f>HYPERLINK("http://slimages.macys.com/is/image/MCY/21409116 ")</f>
        <v xml:space="preserve">http://slimages.macys.com/is/image/MCY/21409116 </v>
      </c>
    </row>
    <row r="340" spans="1:14" x14ac:dyDescent="0.25">
      <c r="A340" s="21" t="s">
        <v>16295</v>
      </c>
      <c r="B340" s="22" t="s">
        <v>16296</v>
      </c>
      <c r="C340" s="2">
        <v>1</v>
      </c>
      <c r="D340" s="23">
        <v>13.27</v>
      </c>
      <c r="E340" s="3">
        <v>13.27</v>
      </c>
      <c r="F340" s="2" t="s">
        <v>16292</v>
      </c>
      <c r="G340" s="22"/>
      <c r="H340" s="24" t="s">
        <v>19330</v>
      </c>
      <c r="I340" s="22" t="s">
        <v>19309</v>
      </c>
      <c r="J340" s="22" t="s">
        <v>19708</v>
      </c>
      <c r="K340" s="22" t="s">
        <v>19754</v>
      </c>
      <c r="L340" s="22"/>
      <c r="M340" s="22"/>
      <c r="N340" s="25" t="str">
        <f>HYPERLINK("http://slimages.macys.com/is/image/MCY/21758168 ")</f>
        <v xml:space="preserve">http://slimages.macys.com/is/image/MCY/21758168 </v>
      </c>
    </row>
    <row r="341" spans="1:14" x14ac:dyDescent="0.25">
      <c r="A341" s="21" t="s">
        <v>477</v>
      </c>
      <c r="B341" s="22" t="s">
        <v>478</v>
      </c>
      <c r="C341" s="2">
        <v>1</v>
      </c>
      <c r="D341" s="23">
        <v>9.74</v>
      </c>
      <c r="E341" s="3">
        <v>9.74</v>
      </c>
      <c r="F341" s="2" t="s">
        <v>479</v>
      </c>
      <c r="G341" s="22"/>
      <c r="H341" s="24" t="s">
        <v>19367</v>
      </c>
      <c r="I341" s="22" t="s">
        <v>19309</v>
      </c>
      <c r="J341" s="22" t="s">
        <v>19708</v>
      </c>
      <c r="K341" s="22" t="s">
        <v>19709</v>
      </c>
      <c r="L341" s="22"/>
      <c r="M341" s="22"/>
      <c r="N341" s="25" t="str">
        <f>HYPERLINK("http://slimages.macys.com/is/image/MCY/22596571 ")</f>
        <v xml:space="preserve">http://slimages.macys.com/is/image/MCY/22596571 </v>
      </c>
    </row>
    <row r="342" spans="1:14" x14ac:dyDescent="0.25">
      <c r="A342" s="21" t="s">
        <v>12354</v>
      </c>
      <c r="B342" s="22" t="s">
        <v>12355</v>
      </c>
      <c r="C342" s="2">
        <v>1</v>
      </c>
      <c r="D342" s="23">
        <v>13.27</v>
      </c>
      <c r="E342" s="3">
        <v>13.27</v>
      </c>
      <c r="F342" s="2" t="s">
        <v>13897</v>
      </c>
      <c r="G342" s="22"/>
      <c r="H342" s="24" t="s">
        <v>19416</v>
      </c>
      <c r="I342" s="22" t="s">
        <v>19309</v>
      </c>
      <c r="J342" s="22" t="s">
        <v>19708</v>
      </c>
      <c r="K342" s="22" t="s">
        <v>19754</v>
      </c>
      <c r="L342" s="22"/>
      <c r="M342" s="22"/>
      <c r="N342" s="25" t="str">
        <f>HYPERLINK("http://slimages.macys.com/is/image/MCY/21414718 ")</f>
        <v xml:space="preserve">http://slimages.macys.com/is/image/MCY/21414718 </v>
      </c>
    </row>
    <row r="343" spans="1:14" ht="24.75" x14ac:dyDescent="0.25">
      <c r="A343" s="21" t="s">
        <v>12356</v>
      </c>
      <c r="B343" s="22" t="s">
        <v>12357</v>
      </c>
      <c r="C343" s="2">
        <v>3</v>
      </c>
      <c r="D343" s="23">
        <v>13.27</v>
      </c>
      <c r="E343" s="3">
        <v>39.81</v>
      </c>
      <c r="F343" s="2" t="s">
        <v>12358</v>
      </c>
      <c r="G343" s="22"/>
      <c r="H343" s="24" t="s">
        <v>19416</v>
      </c>
      <c r="I343" s="22" t="s">
        <v>19309</v>
      </c>
      <c r="J343" s="22" t="s">
        <v>19708</v>
      </c>
      <c r="K343" s="22" t="s">
        <v>19754</v>
      </c>
      <c r="L343" s="22"/>
      <c r="M343" s="22"/>
      <c r="N343" s="25" t="str">
        <f>HYPERLINK("http://slimages.macys.com/is/image/MCY/21758696 ")</f>
        <v xml:space="preserve">http://slimages.macys.com/is/image/MCY/21758696 </v>
      </c>
    </row>
    <row r="344" spans="1:14" x14ac:dyDescent="0.25">
      <c r="A344" s="21" t="s">
        <v>480</v>
      </c>
      <c r="B344" s="22" t="s">
        <v>481</v>
      </c>
      <c r="C344" s="2">
        <v>1</v>
      </c>
      <c r="D344" s="23">
        <v>9.7200000000000006</v>
      </c>
      <c r="E344" s="3">
        <v>9.7200000000000006</v>
      </c>
      <c r="F344" s="2" t="s">
        <v>7742</v>
      </c>
      <c r="G344" s="22" t="s">
        <v>19323</v>
      </c>
      <c r="H344" s="24" t="s">
        <v>19770</v>
      </c>
      <c r="I344" s="22" t="s">
        <v>19309</v>
      </c>
      <c r="J344" s="22" t="s">
        <v>19708</v>
      </c>
      <c r="K344" s="22" t="s">
        <v>19709</v>
      </c>
      <c r="L344" s="22"/>
      <c r="M344" s="22"/>
      <c r="N344" s="25" t="str">
        <f>HYPERLINK("http://slimages.macys.com/is/image/MCY/19060676 ")</f>
        <v xml:space="preserve">http://slimages.macys.com/is/image/MCY/19060676 </v>
      </c>
    </row>
    <row r="345" spans="1:14" ht="24.75" x14ac:dyDescent="0.25">
      <c r="A345" s="21" t="s">
        <v>2062</v>
      </c>
      <c r="B345" s="22" t="s">
        <v>2063</v>
      </c>
      <c r="C345" s="2">
        <v>1</v>
      </c>
      <c r="D345" s="23">
        <v>7.99</v>
      </c>
      <c r="E345" s="3">
        <v>7.99</v>
      </c>
      <c r="F345" s="2" t="s">
        <v>2064</v>
      </c>
      <c r="G345" s="22" t="s">
        <v>19315</v>
      </c>
      <c r="H345" s="24" t="s">
        <v>19339</v>
      </c>
      <c r="I345" s="22" t="s">
        <v>19309</v>
      </c>
      <c r="J345" s="22" t="s">
        <v>19447</v>
      </c>
      <c r="K345" s="22" t="s">
        <v>19873</v>
      </c>
      <c r="L345" s="22"/>
      <c r="M345" s="22"/>
      <c r="N345" s="25" t="str">
        <f>HYPERLINK("http://slimages.macys.com/is/image/MCY/19575716 ")</f>
        <v xml:space="preserve">http://slimages.macys.com/is/image/MCY/19575716 </v>
      </c>
    </row>
    <row r="346" spans="1:14" ht="24.75" x14ac:dyDescent="0.25">
      <c r="A346" s="21" t="s">
        <v>16644</v>
      </c>
      <c r="B346" s="22" t="s">
        <v>16645</v>
      </c>
      <c r="C346" s="2">
        <v>3</v>
      </c>
      <c r="D346" s="23">
        <v>11.99</v>
      </c>
      <c r="E346" s="3">
        <v>35.97</v>
      </c>
      <c r="F346" s="2" t="s">
        <v>16646</v>
      </c>
      <c r="G346" s="22" t="s">
        <v>19794</v>
      </c>
      <c r="H346" s="24"/>
      <c r="I346" s="22" t="s">
        <v>19309</v>
      </c>
      <c r="J346" s="22" t="s">
        <v>19573</v>
      </c>
      <c r="K346" s="22" t="s">
        <v>19574</v>
      </c>
      <c r="L346" s="22"/>
      <c r="M346" s="22"/>
      <c r="N346" s="25" t="str">
        <f>HYPERLINK("http://slimages.macys.com/is/image/MCY/1956290 ")</f>
        <v xml:space="preserve">http://slimages.macys.com/is/image/MCY/1956290 </v>
      </c>
    </row>
    <row r="347" spans="1:14" ht="24.75" x14ac:dyDescent="0.25">
      <c r="A347" s="21" t="s">
        <v>16647</v>
      </c>
      <c r="B347" s="22" t="s">
        <v>16648</v>
      </c>
      <c r="C347" s="2">
        <v>4</v>
      </c>
      <c r="D347" s="23">
        <v>11.99</v>
      </c>
      <c r="E347" s="3">
        <v>47.96</v>
      </c>
      <c r="F347" s="2" t="s">
        <v>16646</v>
      </c>
      <c r="G347" s="22" t="s">
        <v>19794</v>
      </c>
      <c r="H347" s="24" t="s">
        <v>19384</v>
      </c>
      <c r="I347" s="22" t="s">
        <v>19309</v>
      </c>
      <c r="J347" s="22" t="s">
        <v>19573</v>
      </c>
      <c r="K347" s="22" t="s">
        <v>19574</v>
      </c>
      <c r="L347" s="22"/>
      <c r="M347" s="22"/>
      <c r="N347" s="25" t="str">
        <f>HYPERLINK("http://slimages.macys.com/is/image/MCY/1956290 ")</f>
        <v xml:space="preserve">http://slimages.macys.com/is/image/MCY/1956290 </v>
      </c>
    </row>
    <row r="348" spans="1:14" ht="24.75" x14ac:dyDescent="0.25">
      <c r="A348" s="21" t="s">
        <v>16649</v>
      </c>
      <c r="B348" s="22" t="s">
        <v>16650</v>
      </c>
      <c r="C348" s="2">
        <v>3</v>
      </c>
      <c r="D348" s="23">
        <v>11.99</v>
      </c>
      <c r="E348" s="3">
        <v>35.97</v>
      </c>
      <c r="F348" s="2" t="s">
        <v>16646</v>
      </c>
      <c r="G348" s="22" t="s">
        <v>19794</v>
      </c>
      <c r="H348" s="24" t="s">
        <v>19416</v>
      </c>
      <c r="I348" s="22" t="s">
        <v>19309</v>
      </c>
      <c r="J348" s="22" t="s">
        <v>19573</v>
      </c>
      <c r="K348" s="22" t="s">
        <v>19574</v>
      </c>
      <c r="L348" s="22"/>
      <c r="M348" s="22"/>
      <c r="N348" s="25" t="str">
        <f>HYPERLINK("http://slimages.macys.com/is/image/MCY/1956290 ")</f>
        <v xml:space="preserve">http://slimages.macys.com/is/image/MCY/1956290 </v>
      </c>
    </row>
    <row r="349" spans="1:14" ht="24.75" x14ac:dyDescent="0.25">
      <c r="A349" s="21" t="s">
        <v>16653</v>
      </c>
      <c r="B349" s="22" t="s">
        <v>16654</v>
      </c>
      <c r="C349" s="2">
        <v>3</v>
      </c>
      <c r="D349" s="23">
        <v>11.99</v>
      </c>
      <c r="E349" s="3">
        <v>35.97</v>
      </c>
      <c r="F349" s="2" t="s">
        <v>18672</v>
      </c>
      <c r="G349" s="22" t="s">
        <v>19670</v>
      </c>
      <c r="H349" s="24"/>
      <c r="I349" s="22" t="s">
        <v>19309</v>
      </c>
      <c r="J349" s="22" t="s">
        <v>19573</v>
      </c>
      <c r="K349" s="22" t="s">
        <v>19574</v>
      </c>
      <c r="L349" s="22"/>
      <c r="M349" s="22"/>
      <c r="N349" s="25" t="str">
        <f>HYPERLINK("http://slimages.macys.com/is/image/MCY/21209478 ")</f>
        <v xml:space="preserve">http://slimages.macys.com/is/image/MCY/21209478 </v>
      </c>
    </row>
    <row r="350" spans="1:14" ht="24.75" x14ac:dyDescent="0.25">
      <c r="A350" s="21" t="s">
        <v>16661</v>
      </c>
      <c r="B350" s="22" t="s">
        <v>16662</v>
      </c>
      <c r="C350" s="2">
        <v>3</v>
      </c>
      <c r="D350" s="23">
        <v>11.99</v>
      </c>
      <c r="E350" s="3">
        <v>35.97</v>
      </c>
      <c r="F350" s="2" t="s">
        <v>18672</v>
      </c>
      <c r="G350" s="22" t="s">
        <v>19670</v>
      </c>
      <c r="H350" s="24" t="s">
        <v>19324</v>
      </c>
      <c r="I350" s="22" t="s">
        <v>19309</v>
      </c>
      <c r="J350" s="22" t="s">
        <v>19573</v>
      </c>
      <c r="K350" s="22" t="s">
        <v>19574</v>
      </c>
      <c r="L350" s="22"/>
      <c r="M350" s="22"/>
      <c r="N350" s="25" t="str">
        <f>HYPERLINK("http://slimages.macys.com/is/image/MCY/21209478 ")</f>
        <v xml:space="preserve">http://slimages.macys.com/is/image/MCY/21209478 </v>
      </c>
    </row>
    <row r="351" spans="1:14" ht="24.75" x14ac:dyDescent="0.25">
      <c r="A351" s="21" t="s">
        <v>16651</v>
      </c>
      <c r="B351" s="22" t="s">
        <v>16652</v>
      </c>
      <c r="C351" s="2">
        <v>5</v>
      </c>
      <c r="D351" s="23">
        <v>11.99</v>
      </c>
      <c r="E351" s="3">
        <v>59.95</v>
      </c>
      <c r="F351" s="2" t="s">
        <v>18672</v>
      </c>
      <c r="G351" s="22" t="s">
        <v>19670</v>
      </c>
      <c r="H351" s="24" t="s">
        <v>19538</v>
      </c>
      <c r="I351" s="22" t="s">
        <v>19309</v>
      </c>
      <c r="J351" s="22" t="s">
        <v>19573</v>
      </c>
      <c r="K351" s="22" t="s">
        <v>19574</v>
      </c>
      <c r="L351" s="22"/>
      <c r="M351" s="22"/>
      <c r="N351" s="25" t="str">
        <f>HYPERLINK("http://slimages.macys.com/is/image/MCY/21209478 ")</f>
        <v xml:space="preserve">http://slimages.macys.com/is/image/MCY/21209478 </v>
      </c>
    </row>
    <row r="352" spans="1:14" ht="24.75" x14ac:dyDescent="0.25">
      <c r="A352" s="21" t="s">
        <v>16659</v>
      </c>
      <c r="B352" s="22" t="s">
        <v>16660</v>
      </c>
      <c r="C352" s="2">
        <v>2</v>
      </c>
      <c r="D352" s="23">
        <v>11.99</v>
      </c>
      <c r="E352" s="3">
        <v>23.98</v>
      </c>
      <c r="F352" s="2" t="s">
        <v>18672</v>
      </c>
      <c r="G352" s="22" t="s">
        <v>19670</v>
      </c>
      <c r="H352" s="24" t="s">
        <v>19416</v>
      </c>
      <c r="I352" s="22" t="s">
        <v>19309</v>
      </c>
      <c r="J352" s="22" t="s">
        <v>19573</v>
      </c>
      <c r="K352" s="22" t="s">
        <v>19574</v>
      </c>
      <c r="L352" s="22"/>
      <c r="M352" s="22"/>
      <c r="N352" s="25" t="str">
        <f>HYPERLINK("http://slimages.macys.com/is/image/MCY/21209478 ")</f>
        <v xml:space="preserve">http://slimages.macys.com/is/image/MCY/21209478 </v>
      </c>
    </row>
    <row r="353" spans="1:14" ht="24.75" x14ac:dyDescent="0.25">
      <c r="A353" s="21" t="s">
        <v>18670</v>
      </c>
      <c r="B353" s="22" t="s">
        <v>18671</v>
      </c>
      <c r="C353" s="2">
        <v>4</v>
      </c>
      <c r="D353" s="23">
        <v>11.99</v>
      </c>
      <c r="E353" s="3">
        <v>47.96</v>
      </c>
      <c r="F353" s="2" t="s">
        <v>18672</v>
      </c>
      <c r="G353" s="22" t="s">
        <v>19670</v>
      </c>
      <c r="H353" s="24" t="s">
        <v>19384</v>
      </c>
      <c r="I353" s="22" t="s">
        <v>19309</v>
      </c>
      <c r="J353" s="22" t="s">
        <v>19573</v>
      </c>
      <c r="K353" s="22" t="s">
        <v>19574</v>
      </c>
      <c r="L353" s="22"/>
      <c r="M353" s="22"/>
      <c r="N353" s="25" t="str">
        <f>HYPERLINK("http://slimages.macys.com/is/image/MCY/21209478 ")</f>
        <v xml:space="preserve">http://slimages.macys.com/is/image/MCY/21209478 </v>
      </c>
    </row>
    <row r="354" spans="1:14" ht="24.75" x14ac:dyDescent="0.25">
      <c r="A354" s="21" t="s">
        <v>16655</v>
      </c>
      <c r="B354" s="22" t="s">
        <v>16656</v>
      </c>
      <c r="C354" s="2">
        <v>4</v>
      </c>
      <c r="D354" s="23">
        <v>11.99</v>
      </c>
      <c r="E354" s="3">
        <v>47.96</v>
      </c>
      <c r="F354" s="2" t="s">
        <v>16646</v>
      </c>
      <c r="G354" s="22" t="s">
        <v>19794</v>
      </c>
      <c r="H354" s="24" t="s">
        <v>19538</v>
      </c>
      <c r="I354" s="22" t="s">
        <v>19309</v>
      </c>
      <c r="J354" s="22" t="s">
        <v>19573</v>
      </c>
      <c r="K354" s="22" t="s">
        <v>19574</v>
      </c>
      <c r="L354" s="22"/>
      <c r="M354" s="22"/>
      <c r="N354" s="25" t="str">
        <f>HYPERLINK("http://slimages.macys.com/is/image/MCY/1956290 ")</f>
        <v xml:space="preserve">http://slimages.macys.com/is/image/MCY/1956290 </v>
      </c>
    </row>
    <row r="355" spans="1:14" x14ac:dyDescent="0.25">
      <c r="A355" s="21" t="s">
        <v>9951</v>
      </c>
      <c r="B355" s="22" t="s">
        <v>9952</v>
      </c>
      <c r="C355" s="2">
        <v>1</v>
      </c>
      <c r="D355" s="23">
        <v>11.99</v>
      </c>
      <c r="E355" s="3">
        <v>11.99</v>
      </c>
      <c r="F355" s="2" t="s">
        <v>16330</v>
      </c>
      <c r="G355" s="22" t="s">
        <v>19315</v>
      </c>
      <c r="H355" s="24" t="s">
        <v>19542</v>
      </c>
      <c r="I355" s="22" t="s">
        <v>19309</v>
      </c>
      <c r="J355" s="22" t="s">
        <v>19849</v>
      </c>
      <c r="K355" s="22" t="s">
        <v>19850</v>
      </c>
      <c r="L355" s="22"/>
      <c r="M355" s="22"/>
      <c r="N355" s="25" t="str">
        <f>HYPERLINK("http://slimages.macys.com/is/image/MCY/21251264 ")</f>
        <v xml:space="preserve">http://slimages.macys.com/is/image/MCY/21251264 </v>
      </c>
    </row>
    <row r="356" spans="1:14" ht="24.75" x14ac:dyDescent="0.25">
      <c r="A356" s="21" t="s">
        <v>16657</v>
      </c>
      <c r="B356" s="22" t="s">
        <v>16658</v>
      </c>
      <c r="C356" s="2">
        <v>2</v>
      </c>
      <c r="D356" s="23">
        <v>11.99</v>
      </c>
      <c r="E356" s="3">
        <v>23.98</v>
      </c>
      <c r="F356" s="2" t="s">
        <v>16646</v>
      </c>
      <c r="G356" s="22" t="s">
        <v>19794</v>
      </c>
      <c r="H356" s="24" t="s">
        <v>19330</v>
      </c>
      <c r="I356" s="22" t="s">
        <v>19309</v>
      </c>
      <c r="J356" s="22" t="s">
        <v>19573</v>
      </c>
      <c r="K356" s="22" t="s">
        <v>19574</v>
      </c>
      <c r="L356" s="22"/>
      <c r="M356" s="22"/>
      <c r="N356" s="25" t="str">
        <f>HYPERLINK("http://slimages.macys.com/is/image/MCY/1956290 ")</f>
        <v xml:space="preserve">http://slimages.macys.com/is/image/MCY/1956290 </v>
      </c>
    </row>
    <row r="357" spans="1:14" ht="24.75" x14ac:dyDescent="0.25">
      <c r="A357" s="21" t="s">
        <v>12370</v>
      </c>
      <c r="B357" s="22" t="s">
        <v>12371</v>
      </c>
      <c r="C357" s="2">
        <v>3</v>
      </c>
      <c r="D357" s="23">
        <v>11.99</v>
      </c>
      <c r="E357" s="3">
        <v>35.97</v>
      </c>
      <c r="F357" s="2" t="s">
        <v>18672</v>
      </c>
      <c r="G357" s="22" t="s">
        <v>19670</v>
      </c>
      <c r="H357" s="24" t="s">
        <v>19330</v>
      </c>
      <c r="I357" s="22" t="s">
        <v>19309</v>
      </c>
      <c r="J357" s="22" t="s">
        <v>19573</v>
      </c>
      <c r="K357" s="22" t="s">
        <v>19574</v>
      </c>
      <c r="L357" s="22"/>
      <c r="M357" s="22"/>
      <c r="N357" s="25" t="str">
        <f>HYPERLINK("http://slimages.macys.com/is/image/MCY/21209478 ")</f>
        <v xml:space="preserve">http://slimages.macys.com/is/image/MCY/21209478 </v>
      </c>
    </row>
    <row r="358" spans="1:14" ht="24.75" x14ac:dyDescent="0.25">
      <c r="A358" s="21" t="s">
        <v>13914</v>
      </c>
      <c r="B358" s="22" t="s">
        <v>13915</v>
      </c>
      <c r="C358" s="2">
        <v>2</v>
      </c>
      <c r="D358" s="23">
        <v>11.99</v>
      </c>
      <c r="E358" s="3">
        <v>23.98</v>
      </c>
      <c r="F358" s="2" t="s">
        <v>16646</v>
      </c>
      <c r="G358" s="22" t="s">
        <v>19794</v>
      </c>
      <c r="H358" s="24" t="s">
        <v>19324</v>
      </c>
      <c r="I358" s="22" t="s">
        <v>19309</v>
      </c>
      <c r="J358" s="22" t="s">
        <v>19573</v>
      </c>
      <c r="K358" s="22" t="s">
        <v>19574</v>
      </c>
      <c r="L358" s="22"/>
      <c r="M358" s="22"/>
      <c r="N358" s="25" t="str">
        <f>HYPERLINK("http://slimages.macys.com/is/image/MCY/21209521 ")</f>
        <v xml:space="preserve">http://slimages.macys.com/is/image/MCY/21209521 </v>
      </c>
    </row>
    <row r="359" spans="1:14" ht="24.75" x14ac:dyDescent="0.25">
      <c r="A359" s="21" t="s">
        <v>13294</v>
      </c>
      <c r="B359" s="22" t="s">
        <v>13295</v>
      </c>
      <c r="C359" s="2">
        <v>1</v>
      </c>
      <c r="D359" s="23">
        <v>10.61</v>
      </c>
      <c r="E359" s="3">
        <v>10.61</v>
      </c>
      <c r="F359" s="2" t="s">
        <v>13296</v>
      </c>
      <c r="G359" s="22" t="s">
        <v>19431</v>
      </c>
      <c r="H359" s="24" t="s">
        <v>19345</v>
      </c>
      <c r="I359" s="22" t="s">
        <v>19309</v>
      </c>
      <c r="J359" s="22" t="s">
        <v>19602</v>
      </c>
      <c r="K359" s="22" t="s">
        <v>20041</v>
      </c>
      <c r="L359" s="22"/>
      <c r="M359" s="22"/>
      <c r="N359" s="25" t="str">
        <f>HYPERLINK("http://slimages.macys.com/is/image/MCY/20529127 ")</f>
        <v xml:space="preserve">http://slimages.macys.com/is/image/MCY/20529127 </v>
      </c>
    </row>
    <row r="360" spans="1:14" ht="24.75" x14ac:dyDescent="0.25">
      <c r="A360" s="21" t="s">
        <v>482</v>
      </c>
      <c r="B360" s="22" t="s">
        <v>483</v>
      </c>
      <c r="C360" s="2">
        <v>1</v>
      </c>
      <c r="D360" s="23">
        <v>10.99</v>
      </c>
      <c r="E360" s="3">
        <v>10.99</v>
      </c>
      <c r="F360" s="2" t="s">
        <v>12379</v>
      </c>
      <c r="G360" s="22" t="s">
        <v>19585</v>
      </c>
      <c r="H360" s="24" t="s">
        <v>19324</v>
      </c>
      <c r="I360" s="22" t="s">
        <v>19309</v>
      </c>
      <c r="J360" s="22" t="s">
        <v>19573</v>
      </c>
      <c r="K360" s="22" t="s">
        <v>19574</v>
      </c>
      <c r="L360" s="22"/>
      <c r="M360" s="22"/>
      <c r="N360" s="25" t="str">
        <f>HYPERLINK("http://slimages.macys.com/is/image/MCY/20757685 ")</f>
        <v xml:space="preserve">http://slimages.macys.com/is/image/MCY/20757685 </v>
      </c>
    </row>
    <row r="361" spans="1:14" ht="24.75" x14ac:dyDescent="0.25">
      <c r="A361" s="21" t="s">
        <v>484</v>
      </c>
      <c r="B361" s="22" t="s">
        <v>485</v>
      </c>
      <c r="C361" s="2">
        <v>1</v>
      </c>
      <c r="D361" s="23">
        <v>10.99</v>
      </c>
      <c r="E361" s="3">
        <v>10.99</v>
      </c>
      <c r="F361" s="2" t="s">
        <v>12379</v>
      </c>
      <c r="G361" s="22" t="s">
        <v>19585</v>
      </c>
      <c r="H361" s="24" t="s">
        <v>19416</v>
      </c>
      <c r="I361" s="22" t="s">
        <v>19309</v>
      </c>
      <c r="J361" s="22" t="s">
        <v>19573</v>
      </c>
      <c r="K361" s="22" t="s">
        <v>19574</v>
      </c>
      <c r="L361" s="22"/>
      <c r="M361" s="22"/>
      <c r="N361" s="25" t="str">
        <f>HYPERLINK("http://slimages.macys.com/is/image/MCY/20757685 ")</f>
        <v xml:space="preserve">http://slimages.macys.com/is/image/MCY/20757685 </v>
      </c>
    </row>
    <row r="362" spans="1:14" x14ac:dyDescent="0.25">
      <c r="A362" s="21" t="s">
        <v>13982</v>
      </c>
      <c r="B362" s="22" t="s">
        <v>13983</v>
      </c>
      <c r="C362" s="2">
        <v>1</v>
      </c>
      <c r="D362" s="23">
        <v>8.99</v>
      </c>
      <c r="E362" s="3">
        <v>8.99</v>
      </c>
      <c r="F362" s="2" t="s">
        <v>16396</v>
      </c>
      <c r="G362" s="22" t="s">
        <v>19618</v>
      </c>
      <c r="H362" s="24" t="s">
        <v>19361</v>
      </c>
      <c r="I362" s="22" t="s">
        <v>19309</v>
      </c>
      <c r="J362" s="22" t="s">
        <v>19849</v>
      </c>
      <c r="K362" s="22" t="s">
        <v>19850</v>
      </c>
      <c r="L362" s="22"/>
      <c r="M362" s="22"/>
      <c r="N362" s="25" t="str">
        <f>HYPERLINK("http://slimages.macys.com/is/image/MCY/19068331 ")</f>
        <v xml:space="preserve">http://slimages.macys.com/is/image/MCY/19068331 </v>
      </c>
    </row>
    <row r="363" spans="1:14" x14ac:dyDescent="0.25">
      <c r="A363" s="21" t="s">
        <v>4854</v>
      </c>
      <c r="B363" s="22" t="s">
        <v>4855</v>
      </c>
      <c r="C363" s="2">
        <v>1</v>
      </c>
      <c r="D363" s="23">
        <v>9.99</v>
      </c>
      <c r="E363" s="3">
        <v>9.99</v>
      </c>
      <c r="F363" s="2" t="s">
        <v>16396</v>
      </c>
      <c r="G363" s="22" t="s">
        <v>19670</v>
      </c>
      <c r="H363" s="24" t="s">
        <v>19377</v>
      </c>
      <c r="I363" s="22" t="s">
        <v>19309</v>
      </c>
      <c r="J363" s="22" t="s">
        <v>19849</v>
      </c>
      <c r="K363" s="22" t="s">
        <v>19850</v>
      </c>
      <c r="L363" s="22"/>
      <c r="M363" s="22"/>
      <c r="N363" s="25" t="str">
        <f>HYPERLINK("http://slimages.macys.com/is/image/MCY/19068331 ")</f>
        <v xml:space="preserve">http://slimages.macys.com/is/image/MCY/19068331 </v>
      </c>
    </row>
    <row r="364" spans="1:14" x14ac:dyDescent="0.25">
      <c r="A364" s="21" t="s">
        <v>9080</v>
      </c>
      <c r="B364" s="22" t="s">
        <v>9081</v>
      </c>
      <c r="C364" s="2">
        <v>1</v>
      </c>
      <c r="D364" s="23">
        <v>8.99</v>
      </c>
      <c r="E364" s="3">
        <v>8.99</v>
      </c>
      <c r="F364" s="2" t="s">
        <v>16396</v>
      </c>
      <c r="G364" s="22" t="s">
        <v>19618</v>
      </c>
      <c r="H364" s="24" t="s">
        <v>19377</v>
      </c>
      <c r="I364" s="22" t="s">
        <v>19309</v>
      </c>
      <c r="J364" s="22" t="s">
        <v>19849</v>
      </c>
      <c r="K364" s="22" t="s">
        <v>19850</v>
      </c>
      <c r="L364" s="22"/>
      <c r="M364" s="22"/>
      <c r="N364" s="25" t="str">
        <f>HYPERLINK("http://slimages.macys.com/is/image/MCY/19068331 ")</f>
        <v xml:space="preserve">http://slimages.macys.com/is/image/MCY/19068331 </v>
      </c>
    </row>
    <row r="365" spans="1:14" ht="24.75" x14ac:dyDescent="0.25">
      <c r="A365" s="21" t="s">
        <v>16351</v>
      </c>
      <c r="B365" s="22" t="s">
        <v>16352</v>
      </c>
      <c r="C365" s="2">
        <v>2</v>
      </c>
      <c r="D365" s="23">
        <v>10.99</v>
      </c>
      <c r="E365" s="3">
        <v>21.98</v>
      </c>
      <c r="F365" s="2" t="s">
        <v>16353</v>
      </c>
      <c r="G365" s="22" t="s">
        <v>19315</v>
      </c>
      <c r="H365" s="24" t="s">
        <v>19364</v>
      </c>
      <c r="I365" s="22" t="s">
        <v>19309</v>
      </c>
      <c r="J365" s="22" t="s">
        <v>19353</v>
      </c>
      <c r="K365" s="22" t="s">
        <v>19524</v>
      </c>
      <c r="L365" s="22"/>
      <c r="M365" s="22"/>
      <c r="N365" s="25" t="str">
        <f>HYPERLINK("http://slimages.macys.com/is/image/MCY/20846574 ")</f>
        <v xml:space="preserve">http://slimages.macys.com/is/image/MCY/20846574 </v>
      </c>
    </row>
    <row r="366" spans="1:14" ht="24.75" x14ac:dyDescent="0.25">
      <c r="A366" s="21" t="s">
        <v>6936</v>
      </c>
      <c r="B366" s="22" t="s">
        <v>6937</v>
      </c>
      <c r="C366" s="2">
        <v>1</v>
      </c>
      <c r="D366" s="23">
        <v>7.99</v>
      </c>
      <c r="E366" s="3">
        <v>7.99</v>
      </c>
      <c r="F366" s="2" t="s">
        <v>18723</v>
      </c>
      <c r="G366" s="22" t="s">
        <v>19467</v>
      </c>
      <c r="H366" s="24" t="s">
        <v>19361</v>
      </c>
      <c r="I366" s="22" t="s">
        <v>19309</v>
      </c>
      <c r="J366" s="22" t="s">
        <v>19447</v>
      </c>
      <c r="K366" s="22" t="s">
        <v>20146</v>
      </c>
      <c r="L366" s="22"/>
      <c r="M366" s="22"/>
      <c r="N366" s="25" t="str">
        <f>HYPERLINK("http://slimages.macys.com/is/image/MCY/21008517 ")</f>
        <v xml:space="preserve">http://slimages.macys.com/is/image/MCY/21008517 </v>
      </c>
    </row>
    <row r="367" spans="1:14" ht="24.75" x14ac:dyDescent="0.25">
      <c r="A367" s="21" t="s">
        <v>18721</v>
      </c>
      <c r="B367" s="22" t="s">
        <v>18722</v>
      </c>
      <c r="C367" s="2">
        <v>2</v>
      </c>
      <c r="D367" s="23">
        <v>7.99</v>
      </c>
      <c r="E367" s="3">
        <v>15.98</v>
      </c>
      <c r="F367" s="2" t="s">
        <v>18723</v>
      </c>
      <c r="G367" s="22" t="s">
        <v>19467</v>
      </c>
      <c r="H367" s="24" t="s">
        <v>19345</v>
      </c>
      <c r="I367" s="22" t="s">
        <v>19309</v>
      </c>
      <c r="J367" s="22" t="s">
        <v>19447</v>
      </c>
      <c r="K367" s="22" t="s">
        <v>20146</v>
      </c>
      <c r="L367" s="22"/>
      <c r="M367" s="22"/>
      <c r="N367" s="25" t="str">
        <f>HYPERLINK("http://slimages.macys.com/is/image/MCY/21008516 ")</f>
        <v xml:space="preserve">http://slimages.macys.com/is/image/MCY/21008516 </v>
      </c>
    </row>
    <row r="368" spans="1:14" ht="24.75" x14ac:dyDescent="0.25">
      <c r="A368" s="21" t="s">
        <v>7760</v>
      </c>
      <c r="B368" s="22" t="s">
        <v>7761</v>
      </c>
      <c r="C368" s="2">
        <v>1</v>
      </c>
      <c r="D368" s="23">
        <v>7.99</v>
      </c>
      <c r="E368" s="3">
        <v>7.99</v>
      </c>
      <c r="F368" s="2" t="s">
        <v>18723</v>
      </c>
      <c r="G368" s="22" t="s">
        <v>19467</v>
      </c>
      <c r="H368" s="24" t="s">
        <v>19395</v>
      </c>
      <c r="I368" s="22" t="s">
        <v>19309</v>
      </c>
      <c r="J368" s="22" t="s">
        <v>19447</v>
      </c>
      <c r="K368" s="22" t="s">
        <v>20146</v>
      </c>
      <c r="L368" s="22"/>
      <c r="M368" s="22"/>
      <c r="N368" s="25" t="str">
        <f>HYPERLINK("http://slimages.macys.com/is/image/MCY/21008517 ")</f>
        <v xml:space="preserve">http://slimages.macys.com/is/image/MCY/21008517 </v>
      </c>
    </row>
    <row r="369" spans="1:14" ht="24.75" x14ac:dyDescent="0.25">
      <c r="A369" s="21" t="s">
        <v>486</v>
      </c>
      <c r="B369" s="22" t="s">
        <v>487</v>
      </c>
      <c r="C369" s="2">
        <v>1</v>
      </c>
      <c r="D369" s="23">
        <v>7.99</v>
      </c>
      <c r="E369" s="3">
        <v>7.99</v>
      </c>
      <c r="F369" s="2" t="s">
        <v>7759</v>
      </c>
      <c r="G369" s="22" t="s">
        <v>19351</v>
      </c>
      <c r="H369" s="24" t="s">
        <v>19345</v>
      </c>
      <c r="I369" s="22" t="s">
        <v>19309</v>
      </c>
      <c r="J369" s="22" t="s">
        <v>19447</v>
      </c>
      <c r="K369" s="22" t="s">
        <v>20146</v>
      </c>
      <c r="L369" s="22"/>
      <c r="M369" s="22"/>
      <c r="N369" s="25" t="str">
        <f>HYPERLINK("http://slimages.macys.com/is/image/MCY/19091743 ")</f>
        <v xml:space="preserve">http://slimages.macys.com/is/image/MCY/19091743 </v>
      </c>
    </row>
    <row r="370" spans="1:14" ht="24.75" x14ac:dyDescent="0.25">
      <c r="A370" s="21" t="s">
        <v>488</v>
      </c>
      <c r="B370" s="22" t="s">
        <v>489</v>
      </c>
      <c r="C370" s="2">
        <v>1</v>
      </c>
      <c r="D370" s="23">
        <v>7.99</v>
      </c>
      <c r="E370" s="3">
        <v>7.99</v>
      </c>
      <c r="F370" s="2" t="s">
        <v>7759</v>
      </c>
      <c r="G370" s="22" t="s">
        <v>19351</v>
      </c>
      <c r="H370" s="24" t="s">
        <v>19542</v>
      </c>
      <c r="I370" s="22" t="s">
        <v>19309</v>
      </c>
      <c r="J370" s="22" t="s">
        <v>19447</v>
      </c>
      <c r="K370" s="22" t="s">
        <v>20146</v>
      </c>
      <c r="L370" s="22"/>
      <c r="M370" s="22"/>
      <c r="N370" s="25" t="str">
        <f>HYPERLINK("http://slimages.macys.com/is/image/MCY/19091743 ")</f>
        <v xml:space="preserve">http://slimages.macys.com/is/image/MCY/19091743 </v>
      </c>
    </row>
    <row r="371" spans="1:14" ht="24.75" x14ac:dyDescent="0.25">
      <c r="A371" s="21" t="s">
        <v>490</v>
      </c>
      <c r="B371" s="22" t="s">
        <v>491</v>
      </c>
      <c r="C371" s="2">
        <v>1</v>
      </c>
      <c r="D371" s="23">
        <v>7.99</v>
      </c>
      <c r="E371" s="3">
        <v>7.99</v>
      </c>
      <c r="F371" s="2" t="s">
        <v>18723</v>
      </c>
      <c r="G371" s="22" t="s">
        <v>19670</v>
      </c>
      <c r="H371" s="24" t="s">
        <v>19334</v>
      </c>
      <c r="I371" s="22" t="s">
        <v>19309</v>
      </c>
      <c r="J371" s="22" t="s">
        <v>19447</v>
      </c>
      <c r="K371" s="22" t="s">
        <v>20146</v>
      </c>
      <c r="L371" s="22"/>
      <c r="M371" s="22"/>
      <c r="N371" s="25" t="str">
        <f>HYPERLINK("http://slimages.macys.com/is/image/MCY/21161776 ")</f>
        <v xml:space="preserve">http://slimages.macys.com/is/image/MCY/21161776 </v>
      </c>
    </row>
    <row r="372" spans="1:14" x14ac:dyDescent="0.25">
      <c r="A372" s="21" t="s">
        <v>492</v>
      </c>
      <c r="B372" s="22" t="s">
        <v>493</v>
      </c>
      <c r="C372" s="2">
        <v>1</v>
      </c>
      <c r="D372" s="23">
        <v>7.99</v>
      </c>
      <c r="E372" s="3">
        <v>7.99</v>
      </c>
      <c r="F372" s="2" t="s">
        <v>494</v>
      </c>
      <c r="G372" s="22" t="s">
        <v>19618</v>
      </c>
      <c r="H372" s="24" t="s">
        <v>19432</v>
      </c>
      <c r="I372" s="22" t="s">
        <v>19309</v>
      </c>
      <c r="J372" s="22" t="s">
        <v>19310</v>
      </c>
      <c r="K372" s="22" t="s">
        <v>19468</v>
      </c>
      <c r="L372" s="22"/>
      <c r="M372" s="22"/>
      <c r="N372" s="25" t="str">
        <f>HYPERLINK("http://slimages.macys.com/is/image/MCY/21616114 ")</f>
        <v xml:space="preserve">http://slimages.macys.com/is/image/MCY/21616114 </v>
      </c>
    </row>
    <row r="373" spans="1:14" ht="24.75" x14ac:dyDescent="0.25">
      <c r="A373" s="21" t="s">
        <v>495</v>
      </c>
      <c r="B373" s="22" t="s">
        <v>496</v>
      </c>
      <c r="C373" s="2">
        <v>1</v>
      </c>
      <c r="D373" s="23">
        <v>10.99</v>
      </c>
      <c r="E373" s="3">
        <v>10.99</v>
      </c>
      <c r="F373" s="2" t="s">
        <v>1516</v>
      </c>
      <c r="G373" s="22" t="s">
        <v>19462</v>
      </c>
      <c r="H373" s="24" t="s">
        <v>19352</v>
      </c>
      <c r="I373" s="22" t="s">
        <v>19309</v>
      </c>
      <c r="J373" s="22" t="s">
        <v>19353</v>
      </c>
      <c r="K373" s="22" t="s">
        <v>19524</v>
      </c>
      <c r="L373" s="22"/>
      <c r="M373" s="22"/>
      <c r="N373" s="25" t="str">
        <f>HYPERLINK("http://slimages.macys.com/is/image/MCY/22125224 ")</f>
        <v xml:space="preserve">http://slimages.macys.com/is/image/MCY/22125224 </v>
      </c>
    </row>
    <row r="374" spans="1:14" ht="24.75" x14ac:dyDescent="0.25">
      <c r="A374" s="21" t="s">
        <v>497</v>
      </c>
      <c r="B374" s="22" t="s">
        <v>498</v>
      </c>
      <c r="C374" s="2">
        <v>1</v>
      </c>
      <c r="D374" s="23">
        <v>10.99</v>
      </c>
      <c r="E374" s="3">
        <v>10.99</v>
      </c>
      <c r="F374" s="2" t="s">
        <v>18711</v>
      </c>
      <c r="G374" s="22" t="s">
        <v>19338</v>
      </c>
      <c r="H374" s="24" t="s">
        <v>19797</v>
      </c>
      <c r="I374" s="22" t="s">
        <v>19309</v>
      </c>
      <c r="J374" s="22" t="s">
        <v>19353</v>
      </c>
      <c r="K374" s="22" t="s">
        <v>19524</v>
      </c>
      <c r="L374" s="22"/>
      <c r="M374" s="22"/>
      <c r="N374" s="25" t="str">
        <f>HYPERLINK("http://slimages.macys.com/is/image/MCY/21694514 ")</f>
        <v xml:space="preserve">http://slimages.macys.com/is/image/MCY/21694514 </v>
      </c>
    </row>
    <row r="375" spans="1:14" ht="24.75" x14ac:dyDescent="0.25">
      <c r="A375" s="21" t="s">
        <v>919</v>
      </c>
      <c r="B375" s="22" t="s">
        <v>920</v>
      </c>
      <c r="C375" s="2">
        <v>2</v>
      </c>
      <c r="D375" s="23">
        <v>7.99</v>
      </c>
      <c r="E375" s="3">
        <v>15.98</v>
      </c>
      <c r="F375" s="2" t="s">
        <v>18723</v>
      </c>
      <c r="G375" s="22" t="s">
        <v>19467</v>
      </c>
      <c r="H375" s="24" t="s">
        <v>19377</v>
      </c>
      <c r="I375" s="22" t="s">
        <v>19309</v>
      </c>
      <c r="J375" s="22" t="s">
        <v>19447</v>
      </c>
      <c r="K375" s="22" t="s">
        <v>20146</v>
      </c>
      <c r="L375" s="22"/>
      <c r="M375" s="22"/>
      <c r="N375" s="25" t="str">
        <f>HYPERLINK("http://slimages.macys.com/is/image/MCY/21008517 ")</f>
        <v xml:space="preserve">http://slimages.macys.com/is/image/MCY/21008517 </v>
      </c>
    </row>
    <row r="376" spans="1:14" x14ac:dyDescent="0.25">
      <c r="A376" s="21" t="s">
        <v>499</v>
      </c>
      <c r="B376" s="22" t="s">
        <v>500</v>
      </c>
      <c r="C376" s="2">
        <v>1</v>
      </c>
      <c r="D376" s="23">
        <v>9.99</v>
      </c>
      <c r="E376" s="3">
        <v>9.99</v>
      </c>
      <c r="F376" s="2" t="s">
        <v>16356</v>
      </c>
      <c r="G376" s="22" t="s">
        <v>19351</v>
      </c>
      <c r="H376" s="24" t="s">
        <v>19542</v>
      </c>
      <c r="I376" s="22" t="s">
        <v>19309</v>
      </c>
      <c r="J376" s="22" t="s">
        <v>19849</v>
      </c>
      <c r="K376" s="22" t="s">
        <v>19850</v>
      </c>
      <c r="L376" s="22"/>
      <c r="M376" s="22"/>
      <c r="N376" s="25" t="str">
        <f>HYPERLINK("http://slimages.macys.com/is/image/MCY/1249852 ")</f>
        <v xml:space="preserve">http://slimages.macys.com/is/image/MCY/1249852 </v>
      </c>
    </row>
    <row r="377" spans="1:14" ht="24.75" x14ac:dyDescent="0.25">
      <c r="A377" s="21" t="s">
        <v>16729</v>
      </c>
      <c r="B377" s="22" t="s">
        <v>16730</v>
      </c>
      <c r="C377" s="2">
        <v>1</v>
      </c>
      <c r="D377" s="23">
        <v>10.99</v>
      </c>
      <c r="E377" s="3">
        <v>10.99</v>
      </c>
      <c r="F377" s="2" t="s">
        <v>16709</v>
      </c>
      <c r="G377" s="22" t="s">
        <v>19431</v>
      </c>
      <c r="H377" s="24" t="s">
        <v>19352</v>
      </c>
      <c r="I377" s="22" t="s">
        <v>19309</v>
      </c>
      <c r="J377" s="22" t="s">
        <v>19353</v>
      </c>
      <c r="K377" s="22" t="s">
        <v>19524</v>
      </c>
      <c r="L377" s="22"/>
      <c r="M377" s="22"/>
      <c r="N377" s="25" t="str">
        <f>HYPERLINK("http://slimages.macys.com/is/image/MCY/1472528 ")</f>
        <v xml:space="preserve">http://slimages.macys.com/is/image/MCY/1472528 </v>
      </c>
    </row>
    <row r="378" spans="1:14" x14ac:dyDescent="0.25">
      <c r="A378" s="21" t="s">
        <v>12413</v>
      </c>
      <c r="B378" s="22" t="s">
        <v>12414</v>
      </c>
      <c r="C378" s="2">
        <v>1</v>
      </c>
      <c r="D378" s="23">
        <v>11.38</v>
      </c>
      <c r="E378" s="3">
        <v>11.38</v>
      </c>
      <c r="F378" s="2" t="s">
        <v>16739</v>
      </c>
      <c r="G378" s="22" t="s">
        <v>19594</v>
      </c>
      <c r="H378" s="24" t="s">
        <v>19324</v>
      </c>
      <c r="I378" s="22" t="s">
        <v>19309</v>
      </c>
      <c r="J378" s="22" t="s">
        <v>19708</v>
      </c>
      <c r="K378" s="22" t="s">
        <v>19709</v>
      </c>
      <c r="L378" s="22"/>
      <c r="M378" s="22"/>
      <c r="N378" s="25" t="str">
        <f>HYPERLINK("http://slimages.macys.com/is/image/MCY/21414308 ")</f>
        <v xml:space="preserve">http://slimages.macys.com/is/image/MCY/21414308 </v>
      </c>
    </row>
    <row r="379" spans="1:14" ht="24.75" x14ac:dyDescent="0.25">
      <c r="A379" s="21" t="s">
        <v>18744</v>
      </c>
      <c r="B379" s="22" t="s">
        <v>18745</v>
      </c>
      <c r="C379" s="2">
        <v>1</v>
      </c>
      <c r="D379" s="23">
        <v>14.99</v>
      </c>
      <c r="E379" s="3">
        <v>14.99</v>
      </c>
      <c r="F379" s="2" t="s">
        <v>18746</v>
      </c>
      <c r="G379" s="22" t="s">
        <v>19315</v>
      </c>
      <c r="H379" s="24" t="s">
        <v>19339</v>
      </c>
      <c r="I379" s="22" t="s">
        <v>19309</v>
      </c>
      <c r="J379" s="22" t="s">
        <v>19815</v>
      </c>
      <c r="K379" s="22" t="s">
        <v>19816</v>
      </c>
      <c r="L379" s="22"/>
      <c r="M379" s="22"/>
      <c r="N379" s="25" t="str">
        <f>HYPERLINK("http://slimages.macys.com/is/image/MCY/20815259 ")</f>
        <v xml:space="preserve">http://slimages.macys.com/is/image/MCY/20815259 </v>
      </c>
    </row>
    <row r="380" spans="1:14" ht="24.75" x14ac:dyDescent="0.25">
      <c r="A380" s="21" t="s">
        <v>501</v>
      </c>
      <c r="B380" s="22" t="s">
        <v>502</v>
      </c>
      <c r="C380" s="2">
        <v>1</v>
      </c>
      <c r="D380" s="23">
        <v>14.99</v>
      </c>
      <c r="E380" s="3">
        <v>14.99</v>
      </c>
      <c r="F380" s="2" t="s">
        <v>18746</v>
      </c>
      <c r="G380" s="22" t="s">
        <v>19315</v>
      </c>
      <c r="H380" s="24" t="s">
        <v>19352</v>
      </c>
      <c r="I380" s="22" t="s">
        <v>19309</v>
      </c>
      <c r="J380" s="22" t="s">
        <v>19815</v>
      </c>
      <c r="K380" s="22" t="s">
        <v>19816</v>
      </c>
      <c r="L380" s="22"/>
      <c r="M380" s="22"/>
      <c r="N380" s="25" t="str">
        <f>HYPERLINK("http://slimages.macys.com/is/image/MCY/20815259 ")</f>
        <v xml:space="preserve">http://slimages.macys.com/is/image/MCY/20815259 </v>
      </c>
    </row>
    <row r="381" spans="1:14" ht="24.75" x14ac:dyDescent="0.25">
      <c r="A381" s="21" t="s">
        <v>13332</v>
      </c>
      <c r="B381" s="22" t="s">
        <v>13333</v>
      </c>
      <c r="C381" s="2">
        <v>1</v>
      </c>
      <c r="D381" s="23">
        <v>10.99</v>
      </c>
      <c r="E381" s="3">
        <v>10.99</v>
      </c>
      <c r="F381" s="2" t="s">
        <v>18763</v>
      </c>
      <c r="G381" s="22" t="s">
        <v>18764</v>
      </c>
      <c r="H381" s="24" t="s">
        <v>19538</v>
      </c>
      <c r="I381" s="22" t="s">
        <v>19309</v>
      </c>
      <c r="J381" s="22" t="s">
        <v>19573</v>
      </c>
      <c r="K381" s="22" t="s">
        <v>19574</v>
      </c>
      <c r="L381" s="22"/>
      <c r="M381" s="22"/>
      <c r="N381" s="25" t="str">
        <f>HYPERLINK("http://slimages.macys.com/is/image/MCY/17720840 ")</f>
        <v xml:space="preserve">http://slimages.macys.com/is/image/MCY/17720840 </v>
      </c>
    </row>
    <row r="382" spans="1:14" ht="24.75" x14ac:dyDescent="0.25">
      <c r="A382" s="21" t="s">
        <v>13339</v>
      </c>
      <c r="B382" s="22" t="s">
        <v>13340</v>
      </c>
      <c r="C382" s="2">
        <v>1</v>
      </c>
      <c r="D382" s="23">
        <v>9.81</v>
      </c>
      <c r="E382" s="3">
        <v>9.81</v>
      </c>
      <c r="F382" s="2" t="s">
        <v>13338</v>
      </c>
      <c r="G382" s="22" t="s">
        <v>19879</v>
      </c>
      <c r="H382" s="24" t="s">
        <v>19334</v>
      </c>
      <c r="I382" s="22" t="s">
        <v>19309</v>
      </c>
      <c r="J382" s="22" t="s">
        <v>19602</v>
      </c>
      <c r="K382" s="22" t="s">
        <v>20041</v>
      </c>
      <c r="L382" s="22"/>
      <c r="M382" s="22"/>
      <c r="N382" s="25" t="str">
        <f>HYPERLINK("http://slimages.macys.com/is/image/MCY/21728867 ")</f>
        <v xml:space="preserve">http://slimages.macys.com/is/image/MCY/21728867 </v>
      </c>
    </row>
    <row r="383" spans="1:14" ht="24.75" x14ac:dyDescent="0.25">
      <c r="A383" s="21" t="s">
        <v>18771</v>
      </c>
      <c r="B383" s="22" t="s">
        <v>18772</v>
      </c>
      <c r="C383" s="2">
        <v>1</v>
      </c>
      <c r="D383" s="23">
        <v>9.99</v>
      </c>
      <c r="E383" s="3">
        <v>9.99</v>
      </c>
      <c r="F383" s="2" t="s">
        <v>18773</v>
      </c>
      <c r="G383" s="22" t="s">
        <v>19422</v>
      </c>
      <c r="H383" s="24" t="s">
        <v>19538</v>
      </c>
      <c r="I383" s="22" t="s">
        <v>19309</v>
      </c>
      <c r="J383" s="22" t="s">
        <v>19573</v>
      </c>
      <c r="K383" s="22" t="s">
        <v>19574</v>
      </c>
      <c r="L383" s="22"/>
      <c r="M383" s="22"/>
      <c r="N383" s="25" t="str">
        <f>HYPERLINK("http://slimages.macys.com/is/image/MCY/1322715 ")</f>
        <v xml:space="preserve">http://slimages.macys.com/is/image/MCY/1322715 </v>
      </c>
    </row>
    <row r="384" spans="1:14" ht="24.75" x14ac:dyDescent="0.25">
      <c r="A384" s="21" t="s">
        <v>503</v>
      </c>
      <c r="B384" s="22" t="s">
        <v>504</v>
      </c>
      <c r="C384" s="2">
        <v>1</v>
      </c>
      <c r="D384" s="23">
        <v>11.99</v>
      </c>
      <c r="E384" s="3">
        <v>11.99</v>
      </c>
      <c r="F384" s="2" t="s">
        <v>505</v>
      </c>
      <c r="G384" s="22" t="s">
        <v>19351</v>
      </c>
      <c r="H384" s="24" t="s">
        <v>19384</v>
      </c>
      <c r="I384" s="22" t="s">
        <v>19309</v>
      </c>
      <c r="J384" s="22" t="s">
        <v>19573</v>
      </c>
      <c r="K384" s="22" t="s">
        <v>19574</v>
      </c>
      <c r="L384" s="22"/>
      <c r="M384" s="22"/>
      <c r="N384" s="25" t="str">
        <f>HYPERLINK("http://slimages.macys.com/is/image/MCY/1427627 ")</f>
        <v xml:space="preserve">http://slimages.macys.com/is/image/MCY/1427627 </v>
      </c>
    </row>
    <row r="385" spans="1:14" ht="24.75" x14ac:dyDescent="0.25">
      <c r="A385" s="21" t="s">
        <v>506</v>
      </c>
      <c r="B385" s="22" t="s">
        <v>507</v>
      </c>
      <c r="C385" s="2">
        <v>1</v>
      </c>
      <c r="D385" s="23">
        <v>11.99</v>
      </c>
      <c r="E385" s="3">
        <v>11.99</v>
      </c>
      <c r="F385" s="2" t="s">
        <v>505</v>
      </c>
      <c r="G385" s="22" t="s">
        <v>19351</v>
      </c>
      <c r="H385" s="24" t="s">
        <v>19330</v>
      </c>
      <c r="I385" s="22" t="s">
        <v>19309</v>
      </c>
      <c r="J385" s="22" t="s">
        <v>19573</v>
      </c>
      <c r="K385" s="22" t="s">
        <v>19574</v>
      </c>
      <c r="L385" s="22"/>
      <c r="M385" s="22"/>
      <c r="N385" s="25" t="str">
        <f>HYPERLINK("http://slimages.macys.com/is/image/MCY/1427627 ")</f>
        <v xml:space="preserve">http://slimages.macys.com/is/image/MCY/1427627 </v>
      </c>
    </row>
    <row r="386" spans="1:14" ht="24.75" x14ac:dyDescent="0.25">
      <c r="A386" s="21" t="s">
        <v>9998</v>
      </c>
      <c r="B386" s="22" t="s">
        <v>9999</v>
      </c>
      <c r="C386" s="2">
        <v>1</v>
      </c>
      <c r="D386" s="23">
        <v>10.99</v>
      </c>
      <c r="E386" s="3">
        <v>10.99</v>
      </c>
      <c r="F386" s="2" t="s">
        <v>16765</v>
      </c>
      <c r="G386" s="22" t="s">
        <v>19351</v>
      </c>
      <c r="H386" s="24"/>
      <c r="I386" s="22" t="s">
        <v>19309</v>
      </c>
      <c r="J386" s="22" t="s">
        <v>19573</v>
      </c>
      <c r="K386" s="22" t="s">
        <v>19574</v>
      </c>
      <c r="L386" s="22"/>
      <c r="M386" s="22"/>
      <c r="N386" s="25" t="str">
        <f>HYPERLINK("http://slimages.macys.com/is/image/MCY/20757944 ")</f>
        <v xml:space="preserve">http://slimages.macys.com/is/image/MCY/20757944 </v>
      </c>
    </row>
    <row r="387" spans="1:14" x14ac:dyDescent="0.25">
      <c r="A387" s="21" t="s">
        <v>508</v>
      </c>
      <c r="B387" s="22" t="s">
        <v>509</v>
      </c>
      <c r="C387" s="2">
        <v>1</v>
      </c>
      <c r="D387" s="23">
        <v>8.64</v>
      </c>
      <c r="E387" s="3">
        <v>8.64</v>
      </c>
      <c r="F387" s="2" t="s">
        <v>16777</v>
      </c>
      <c r="G387" s="22" t="s">
        <v>19431</v>
      </c>
      <c r="H387" s="24" t="s">
        <v>20152</v>
      </c>
      <c r="I387" s="22" t="s">
        <v>19309</v>
      </c>
      <c r="J387" s="22" t="s">
        <v>19708</v>
      </c>
      <c r="K387" s="22" t="s">
        <v>19709</v>
      </c>
      <c r="L387" s="22"/>
      <c r="M387" s="22"/>
      <c r="N387" s="25" t="str">
        <f>HYPERLINK("http://slimages.macys.com/is/image/MCY/19146265 ")</f>
        <v xml:space="preserve">http://slimages.macys.com/is/image/MCY/19146265 </v>
      </c>
    </row>
    <row r="388" spans="1:14" ht="24.75" x14ac:dyDescent="0.25">
      <c r="A388" s="21" t="s">
        <v>510</v>
      </c>
      <c r="B388" s="22" t="s">
        <v>511</v>
      </c>
      <c r="C388" s="2">
        <v>1</v>
      </c>
      <c r="D388" s="23">
        <v>8.31</v>
      </c>
      <c r="E388" s="3">
        <v>8.31</v>
      </c>
      <c r="F388" s="2" t="s">
        <v>512</v>
      </c>
      <c r="G388" s="22" t="s">
        <v>19886</v>
      </c>
      <c r="H388" s="24" t="s">
        <v>19308</v>
      </c>
      <c r="I388" s="22" t="s">
        <v>19309</v>
      </c>
      <c r="J388" s="22" t="s">
        <v>19565</v>
      </c>
      <c r="K388" s="22" t="s">
        <v>18514</v>
      </c>
      <c r="L388" s="22"/>
      <c r="M388" s="22"/>
      <c r="N388" s="25" t="str">
        <f>HYPERLINK("http://slimages.macys.com/is/image/MCY/20726391 ")</f>
        <v xml:space="preserve">http://slimages.macys.com/is/image/MCY/20726391 </v>
      </c>
    </row>
    <row r="389" spans="1:14" ht="24.75" x14ac:dyDescent="0.25">
      <c r="A389" s="21" t="s">
        <v>513</v>
      </c>
      <c r="B389" s="22" t="s">
        <v>514</v>
      </c>
      <c r="C389" s="2">
        <v>1</v>
      </c>
      <c r="D389" s="23">
        <v>11.99</v>
      </c>
      <c r="E389" s="3">
        <v>11.99</v>
      </c>
      <c r="F389" s="2">
        <v>4217</v>
      </c>
      <c r="G389" s="22" t="s">
        <v>18073</v>
      </c>
      <c r="H389" s="24" t="s">
        <v>19797</v>
      </c>
      <c r="I389" s="22" t="s">
        <v>19309</v>
      </c>
      <c r="J389" s="22" t="s">
        <v>20076</v>
      </c>
      <c r="K389" s="22" t="s">
        <v>20077</v>
      </c>
      <c r="L389" s="22" t="s">
        <v>19319</v>
      </c>
      <c r="M389" s="22" t="s">
        <v>19209</v>
      </c>
      <c r="N389" s="25" t="str">
        <f>HYPERLINK("http://slimages.macys.com/is/image/MCY/13050192 ")</f>
        <v xml:space="preserve">http://slimages.macys.com/is/image/MCY/13050192 </v>
      </c>
    </row>
    <row r="390" spans="1:14" ht="24.75" x14ac:dyDescent="0.25">
      <c r="A390" s="21" t="s">
        <v>515</v>
      </c>
      <c r="B390" s="22" t="s">
        <v>516</v>
      </c>
      <c r="C390" s="2">
        <v>1</v>
      </c>
      <c r="D390" s="23">
        <v>10.99</v>
      </c>
      <c r="E390" s="3">
        <v>10.99</v>
      </c>
      <c r="F390" s="2" t="s">
        <v>517</v>
      </c>
      <c r="G390" s="22" t="s">
        <v>19467</v>
      </c>
      <c r="H390" s="24" t="s">
        <v>19330</v>
      </c>
      <c r="I390" s="22" t="s">
        <v>19309</v>
      </c>
      <c r="J390" s="22" t="s">
        <v>19573</v>
      </c>
      <c r="K390" s="22" t="s">
        <v>19574</v>
      </c>
      <c r="L390" s="22"/>
      <c r="M390" s="22"/>
      <c r="N390" s="25" t="str">
        <f>HYPERLINK("http://slimages.macys.com/is/image/MCY/1248252 ")</f>
        <v xml:space="preserve">http://slimages.macys.com/is/image/MCY/1248252 </v>
      </c>
    </row>
    <row r="391" spans="1:14" ht="24.75" x14ac:dyDescent="0.25">
      <c r="A391" s="21" t="s">
        <v>518</v>
      </c>
      <c r="B391" s="22" t="s">
        <v>519</v>
      </c>
      <c r="C391" s="2">
        <v>1</v>
      </c>
      <c r="D391" s="23">
        <v>10.99</v>
      </c>
      <c r="E391" s="3">
        <v>10.99</v>
      </c>
      <c r="F391" s="2" t="s">
        <v>18814</v>
      </c>
      <c r="G391" s="22" t="s">
        <v>19585</v>
      </c>
      <c r="H391" s="24" t="s">
        <v>19384</v>
      </c>
      <c r="I391" s="22" t="s">
        <v>19309</v>
      </c>
      <c r="J391" s="22" t="s">
        <v>19573</v>
      </c>
      <c r="K391" s="22" t="s">
        <v>19574</v>
      </c>
      <c r="L391" s="22"/>
      <c r="M391" s="22"/>
      <c r="N391" s="25" t="str">
        <f>HYPERLINK("http://slimages.macys.com/is/image/MCY/18117481 ")</f>
        <v xml:space="preserve">http://slimages.macys.com/is/image/MCY/18117481 </v>
      </c>
    </row>
    <row r="392" spans="1:14" ht="24.75" x14ac:dyDescent="0.25">
      <c r="A392" s="21" t="s">
        <v>520</v>
      </c>
      <c r="B392" s="22" t="s">
        <v>521</v>
      </c>
      <c r="C392" s="2">
        <v>1</v>
      </c>
      <c r="D392" s="23">
        <v>9.99</v>
      </c>
      <c r="E392" s="3">
        <v>9.99</v>
      </c>
      <c r="F392" s="2" t="s">
        <v>7799</v>
      </c>
      <c r="G392" s="22" t="s">
        <v>19513</v>
      </c>
      <c r="H392" s="24" t="s">
        <v>19377</v>
      </c>
      <c r="I392" s="22" t="s">
        <v>19309</v>
      </c>
      <c r="J392" s="22" t="s">
        <v>19595</v>
      </c>
      <c r="K392" s="22" t="s">
        <v>19596</v>
      </c>
      <c r="L392" s="22" t="s">
        <v>19319</v>
      </c>
      <c r="M392" s="22" t="s">
        <v>16844</v>
      </c>
      <c r="N392" s="25" t="str">
        <f>HYPERLINK("http://slimages.macys.com/is/image/MCY/16444063 ")</f>
        <v xml:space="preserve">http://slimages.macys.com/is/image/MCY/16444063 </v>
      </c>
    </row>
    <row r="393" spans="1:14" ht="24.75" x14ac:dyDescent="0.25">
      <c r="A393" s="21" t="s">
        <v>522</v>
      </c>
      <c r="B393" s="22" t="s">
        <v>523</v>
      </c>
      <c r="C393" s="2">
        <v>1</v>
      </c>
      <c r="D393" s="23">
        <v>9.99</v>
      </c>
      <c r="E393" s="3">
        <v>9.99</v>
      </c>
      <c r="F393" s="2" t="s">
        <v>524</v>
      </c>
      <c r="G393" s="22" t="s">
        <v>19422</v>
      </c>
      <c r="H393" s="24" t="s">
        <v>19345</v>
      </c>
      <c r="I393" s="22" t="s">
        <v>19309</v>
      </c>
      <c r="J393" s="22" t="s">
        <v>19595</v>
      </c>
      <c r="K393" s="22" t="s">
        <v>19596</v>
      </c>
      <c r="L393" s="22"/>
      <c r="M393" s="22"/>
      <c r="N393" s="25" t="str">
        <f>HYPERLINK("http://slimages.macys.com/is/image/MCY/17820393 ")</f>
        <v xml:space="preserve">http://slimages.macys.com/is/image/MCY/17820393 </v>
      </c>
    </row>
    <row r="394" spans="1:14" ht="24.75" x14ac:dyDescent="0.25">
      <c r="A394" s="21" t="s">
        <v>525</v>
      </c>
      <c r="B394" s="22" t="s">
        <v>526</v>
      </c>
      <c r="C394" s="2">
        <v>1</v>
      </c>
      <c r="D394" s="23">
        <v>10.99</v>
      </c>
      <c r="E394" s="3">
        <v>10.99</v>
      </c>
      <c r="F394" s="2" t="s">
        <v>16825</v>
      </c>
      <c r="G394" s="22" t="s">
        <v>19518</v>
      </c>
      <c r="H394" s="24" t="s">
        <v>19384</v>
      </c>
      <c r="I394" s="22" t="s">
        <v>19309</v>
      </c>
      <c r="J394" s="22" t="s">
        <v>19573</v>
      </c>
      <c r="K394" s="22" t="s">
        <v>19574</v>
      </c>
      <c r="L394" s="22"/>
      <c r="M394" s="22"/>
      <c r="N394" s="25" t="str">
        <f>HYPERLINK("http://slimages.macys.com/is/image/MCY/21089280 ")</f>
        <v xml:space="preserve">http://slimages.macys.com/is/image/MCY/21089280 </v>
      </c>
    </row>
    <row r="395" spans="1:14" ht="24.75" x14ac:dyDescent="0.25">
      <c r="A395" s="21" t="s">
        <v>16823</v>
      </c>
      <c r="B395" s="22" t="s">
        <v>16824</v>
      </c>
      <c r="C395" s="2">
        <v>1</v>
      </c>
      <c r="D395" s="23">
        <v>10.99</v>
      </c>
      <c r="E395" s="3">
        <v>10.99</v>
      </c>
      <c r="F395" s="2" t="s">
        <v>16825</v>
      </c>
      <c r="G395" s="22" t="s">
        <v>19518</v>
      </c>
      <c r="H395" s="24" t="s">
        <v>19416</v>
      </c>
      <c r="I395" s="22" t="s">
        <v>19309</v>
      </c>
      <c r="J395" s="22" t="s">
        <v>19573</v>
      </c>
      <c r="K395" s="22" t="s">
        <v>19574</v>
      </c>
      <c r="L395" s="22"/>
      <c r="M395" s="22"/>
      <c r="N395" s="25" t="str">
        <f>HYPERLINK("http://slimages.macys.com/is/image/MCY/21089280 ")</f>
        <v xml:space="preserve">http://slimages.macys.com/is/image/MCY/21089280 </v>
      </c>
    </row>
    <row r="396" spans="1:14" ht="24.75" x14ac:dyDescent="0.25">
      <c r="A396" s="21" t="s">
        <v>12472</v>
      </c>
      <c r="B396" s="22" t="s">
        <v>12473</v>
      </c>
      <c r="C396" s="2">
        <v>1</v>
      </c>
      <c r="D396" s="23">
        <v>10.99</v>
      </c>
      <c r="E396" s="3">
        <v>10.99</v>
      </c>
      <c r="F396" s="2" t="s">
        <v>16825</v>
      </c>
      <c r="G396" s="22" t="s">
        <v>19518</v>
      </c>
      <c r="H396" s="24"/>
      <c r="I396" s="22" t="s">
        <v>19309</v>
      </c>
      <c r="J396" s="22" t="s">
        <v>19573</v>
      </c>
      <c r="K396" s="22" t="s">
        <v>19574</v>
      </c>
      <c r="L396" s="22"/>
      <c r="M396" s="22"/>
      <c r="N396" s="25" t="str">
        <f>HYPERLINK("http://slimages.macys.com/is/image/MCY/21089280 ")</f>
        <v xml:space="preserve">http://slimages.macys.com/is/image/MCY/21089280 </v>
      </c>
    </row>
    <row r="397" spans="1:14" x14ac:dyDescent="0.25">
      <c r="A397" s="21" t="s">
        <v>527</v>
      </c>
      <c r="B397" s="22" t="s">
        <v>528</v>
      </c>
      <c r="C397" s="2">
        <v>1</v>
      </c>
      <c r="D397" s="23">
        <v>10.47</v>
      </c>
      <c r="E397" s="3">
        <v>10.47</v>
      </c>
      <c r="F397" s="2" t="s">
        <v>529</v>
      </c>
      <c r="G397" s="22" t="s">
        <v>19338</v>
      </c>
      <c r="H397" s="24" t="s">
        <v>19330</v>
      </c>
      <c r="I397" s="22" t="s">
        <v>19309</v>
      </c>
      <c r="J397" s="22" t="s">
        <v>19708</v>
      </c>
      <c r="K397" s="22" t="s">
        <v>19709</v>
      </c>
      <c r="L397" s="22"/>
      <c r="M397" s="22"/>
      <c r="N397" s="25" t="str">
        <f>HYPERLINK("http://slimages.macys.com/is/image/MCY/21184032 ")</f>
        <v xml:space="preserve">http://slimages.macys.com/is/image/MCY/21184032 </v>
      </c>
    </row>
    <row r="398" spans="1:14" x14ac:dyDescent="0.25">
      <c r="A398" s="21" t="s">
        <v>530</v>
      </c>
      <c r="B398" s="22" t="s">
        <v>531</v>
      </c>
      <c r="C398" s="2">
        <v>1</v>
      </c>
      <c r="D398" s="23">
        <v>10.47</v>
      </c>
      <c r="E398" s="3">
        <v>10.47</v>
      </c>
      <c r="F398" s="2" t="s">
        <v>532</v>
      </c>
      <c r="G398" s="22" t="s">
        <v>19594</v>
      </c>
      <c r="H398" s="24" t="s">
        <v>20159</v>
      </c>
      <c r="I398" s="22" t="s">
        <v>19309</v>
      </c>
      <c r="J398" s="22" t="s">
        <v>19708</v>
      </c>
      <c r="K398" s="22" t="s">
        <v>19709</v>
      </c>
      <c r="L398" s="22"/>
      <c r="M398" s="22"/>
      <c r="N398" s="25" t="str">
        <f>HYPERLINK("http://slimages.macys.com/is/image/MCY/21411366 ")</f>
        <v xml:space="preserve">http://slimages.macys.com/is/image/MCY/21411366 </v>
      </c>
    </row>
    <row r="399" spans="1:14" x14ac:dyDescent="0.25">
      <c r="A399" s="21" t="s">
        <v>533</v>
      </c>
      <c r="B399" s="22" t="s">
        <v>534</v>
      </c>
      <c r="C399" s="2">
        <v>2</v>
      </c>
      <c r="D399" s="23">
        <v>9.99</v>
      </c>
      <c r="E399" s="3">
        <v>19.98</v>
      </c>
      <c r="F399" s="2" t="s">
        <v>16837</v>
      </c>
      <c r="G399" s="22" t="s">
        <v>19351</v>
      </c>
      <c r="H399" s="24" t="s">
        <v>19542</v>
      </c>
      <c r="I399" s="22" t="s">
        <v>19309</v>
      </c>
      <c r="J399" s="22" t="s">
        <v>19849</v>
      </c>
      <c r="K399" s="22" t="s">
        <v>19850</v>
      </c>
      <c r="L399" s="22"/>
      <c r="M399" s="22"/>
      <c r="N399" s="25" t="str">
        <f>HYPERLINK("http://slimages.macys.com/is/image/MCY/20949730 ")</f>
        <v xml:space="preserve">http://slimages.macys.com/is/image/MCY/20949730 </v>
      </c>
    </row>
    <row r="400" spans="1:14" x14ac:dyDescent="0.25">
      <c r="A400" s="21" t="s">
        <v>535</v>
      </c>
      <c r="B400" s="22" t="s">
        <v>536</v>
      </c>
      <c r="C400" s="2">
        <v>1</v>
      </c>
      <c r="D400" s="23">
        <v>9.99</v>
      </c>
      <c r="E400" s="3">
        <v>9.99</v>
      </c>
      <c r="F400" s="2" t="s">
        <v>16837</v>
      </c>
      <c r="G400" s="22" t="s">
        <v>19351</v>
      </c>
      <c r="H400" s="24" t="s">
        <v>19907</v>
      </c>
      <c r="I400" s="22" t="s">
        <v>19309</v>
      </c>
      <c r="J400" s="22" t="s">
        <v>19849</v>
      </c>
      <c r="K400" s="22" t="s">
        <v>19850</v>
      </c>
      <c r="L400" s="22"/>
      <c r="M400" s="22"/>
      <c r="N400" s="25" t="str">
        <f>HYPERLINK("http://slimages.macys.com/is/image/MCY/20949730 ")</f>
        <v xml:space="preserve">http://slimages.macys.com/is/image/MCY/20949730 </v>
      </c>
    </row>
    <row r="401" spans="1:14" x14ac:dyDescent="0.25">
      <c r="A401" s="21" t="s">
        <v>537</v>
      </c>
      <c r="B401" s="22" t="s">
        <v>538</v>
      </c>
      <c r="C401" s="2">
        <v>2</v>
      </c>
      <c r="D401" s="23">
        <v>9.99</v>
      </c>
      <c r="E401" s="3">
        <v>19.98</v>
      </c>
      <c r="F401" s="2" t="s">
        <v>16837</v>
      </c>
      <c r="G401" s="22" t="s">
        <v>19351</v>
      </c>
      <c r="H401" s="24" t="s">
        <v>19361</v>
      </c>
      <c r="I401" s="22" t="s">
        <v>19309</v>
      </c>
      <c r="J401" s="22" t="s">
        <v>19849</v>
      </c>
      <c r="K401" s="22" t="s">
        <v>19850</v>
      </c>
      <c r="L401" s="22"/>
      <c r="M401" s="22"/>
      <c r="N401" s="25" t="str">
        <f>HYPERLINK("http://slimages.macys.com/is/image/MCY/20949730 ")</f>
        <v xml:space="preserve">http://slimages.macys.com/is/image/MCY/20949730 </v>
      </c>
    </row>
    <row r="402" spans="1:14" x14ac:dyDescent="0.25">
      <c r="A402" s="21" t="s">
        <v>16835</v>
      </c>
      <c r="B402" s="22" t="s">
        <v>16836</v>
      </c>
      <c r="C402" s="2">
        <v>3</v>
      </c>
      <c r="D402" s="23">
        <v>9.99</v>
      </c>
      <c r="E402" s="3">
        <v>29.97</v>
      </c>
      <c r="F402" s="2" t="s">
        <v>16837</v>
      </c>
      <c r="G402" s="22" t="s">
        <v>19351</v>
      </c>
      <c r="H402" s="24" t="s">
        <v>20089</v>
      </c>
      <c r="I402" s="22" t="s">
        <v>19309</v>
      </c>
      <c r="J402" s="22" t="s">
        <v>19849</v>
      </c>
      <c r="K402" s="22" t="s">
        <v>19850</v>
      </c>
      <c r="L402" s="22"/>
      <c r="M402" s="22"/>
      <c r="N402" s="25" t="str">
        <f>HYPERLINK("http://slimages.macys.com/is/image/MCY/20949730 ")</f>
        <v xml:space="preserve">http://slimages.macys.com/is/image/MCY/20949730 </v>
      </c>
    </row>
    <row r="403" spans="1:14" x14ac:dyDescent="0.25">
      <c r="A403" s="21" t="s">
        <v>16422</v>
      </c>
      <c r="B403" s="22" t="s">
        <v>16423</v>
      </c>
      <c r="C403" s="2">
        <v>2</v>
      </c>
      <c r="D403" s="23">
        <v>9.99</v>
      </c>
      <c r="E403" s="3">
        <v>19.98</v>
      </c>
      <c r="F403" s="2" t="s">
        <v>16837</v>
      </c>
      <c r="G403" s="22" t="s">
        <v>19351</v>
      </c>
      <c r="H403" s="24" t="s">
        <v>20135</v>
      </c>
      <c r="I403" s="22" t="s">
        <v>19309</v>
      </c>
      <c r="J403" s="22" t="s">
        <v>19849</v>
      </c>
      <c r="K403" s="22" t="s">
        <v>19850</v>
      </c>
      <c r="L403" s="22"/>
      <c r="M403" s="22"/>
      <c r="N403" s="25" t="str">
        <f>HYPERLINK("http://slimages.macys.com/is/image/MCY/20949730 ")</f>
        <v xml:space="preserve">http://slimages.macys.com/is/image/MCY/20949730 </v>
      </c>
    </row>
    <row r="404" spans="1:14" x14ac:dyDescent="0.25">
      <c r="A404" s="21" t="s">
        <v>539</v>
      </c>
      <c r="B404" s="22" t="s">
        <v>540</v>
      </c>
      <c r="C404" s="2">
        <v>1</v>
      </c>
      <c r="D404" s="23">
        <v>9.99</v>
      </c>
      <c r="E404" s="3">
        <v>9.99</v>
      </c>
      <c r="F404" s="2" t="s">
        <v>16837</v>
      </c>
      <c r="G404" s="22" t="s">
        <v>19351</v>
      </c>
      <c r="H404" s="24" t="s">
        <v>19377</v>
      </c>
      <c r="I404" s="22" t="s">
        <v>19309</v>
      </c>
      <c r="J404" s="22" t="s">
        <v>19849</v>
      </c>
      <c r="K404" s="22" t="s">
        <v>19850</v>
      </c>
      <c r="L404" s="22"/>
      <c r="M404" s="22"/>
      <c r="N404" s="25" t="str">
        <f>HYPERLINK("http://slimages.macys.com/is/image/MCY/1449793 ")</f>
        <v xml:space="preserve">http://slimages.macys.com/is/image/MCY/1449793 </v>
      </c>
    </row>
    <row r="405" spans="1:14" ht="24.75" x14ac:dyDescent="0.25">
      <c r="A405" s="21" t="s">
        <v>541</v>
      </c>
      <c r="B405" s="22" t="s">
        <v>542</v>
      </c>
      <c r="C405" s="2">
        <v>1</v>
      </c>
      <c r="D405" s="23">
        <v>11.99</v>
      </c>
      <c r="E405" s="3">
        <v>11.99</v>
      </c>
      <c r="F405" s="2">
        <v>64827</v>
      </c>
      <c r="G405" s="22" t="s">
        <v>19333</v>
      </c>
      <c r="H405" s="24"/>
      <c r="I405" s="22" t="s">
        <v>19309</v>
      </c>
      <c r="J405" s="22" t="s">
        <v>20076</v>
      </c>
      <c r="K405" s="22" t="s">
        <v>18822</v>
      </c>
      <c r="L405" s="22"/>
      <c r="M405" s="22"/>
      <c r="N405" s="25" t="str">
        <f>HYPERLINK("http://slimages.macys.com/is/image/MCY/19598486 ")</f>
        <v xml:space="preserve">http://slimages.macys.com/is/image/MCY/19598486 </v>
      </c>
    </row>
    <row r="406" spans="1:14" ht="24.75" x14ac:dyDescent="0.25">
      <c r="A406" s="21" t="s">
        <v>543</v>
      </c>
      <c r="B406" s="22" t="s">
        <v>544</v>
      </c>
      <c r="C406" s="2">
        <v>1</v>
      </c>
      <c r="D406" s="23">
        <v>8.99</v>
      </c>
      <c r="E406" s="3">
        <v>8.99</v>
      </c>
      <c r="F406" s="2" t="s">
        <v>18909</v>
      </c>
      <c r="G406" s="22" t="s">
        <v>19763</v>
      </c>
      <c r="H406" s="24" t="s">
        <v>19339</v>
      </c>
      <c r="I406" s="22" t="s">
        <v>19309</v>
      </c>
      <c r="J406" s="22" t="s">
        <v>19815</v>
      </c>
      <c r="K406" s="22" t="s">
        <v>19816</v>
      </c>
      <c r="L406" s="22"/>
      <c r="M406" s="22"/>
      <c r="N406" s="25" t="str">
        <f>HYPERLINK("http://slimages.macys.com/is/image/MCY/21185858 ")</f>
        <v xml:space="preserve">http://slimages.macys.com/is/image/MCY/21185858 </v>
      </c>
    </row>
    <row r="407" spans="1:14" ht="24.75" x14ac:dyDescent="0.25">
      <c r="A407" s="21" t="s">
        <v>545</v>
      </c>
      <c r="B407" s="22" t="s">
        <v>546</v>
      </c>
      <c r="C407" s="2">
        <v>1</v>
      </c>
      <c r="D407" s="23">
        <v>8.99</v>
      </c>
      <c r="E407" s="3">
        <v>8.99</v>
      </c>
      <c r="F407" s="2" t="s">
        <v>18909</v>
      </c>
      <c r="G407" s="22" t="s">
        <v>19763</v>
      </c>
      <c r="H407" s="24" t="s">
        <v>19352</v>
      </c>
      <c r="I407" s="22" t="s">
        <v>19309</v>
      </c>
      <c r="J407" s="22" t="s">
        <v>19815</v>
      </c>
      <c r="K407" s="22" t="s">
        <v>19816</v>
      </c>
      <c r="L407" s="22"/>
      <c r="M407" s="22"/>
      <c r="N407" s="25" t="str">
        <f>HYPERLINK("http://slimages.macys.com/is/image/MCY/21769938 ")</f>
        <v xml:space="preserve">http://slimages.macys.com/is/image/MCY/21769938 </v>
      </c>
    </row>
    <row r="408" spans="1:14" x14ac:dyDescent="0.25">
      <c r="A408" s="21" t="s">
        <v>9099</v>
      </c>
      <c r="B408" s="22" t="s">
        <v>9100</v>
      </c>
      <c r="C408" s="2">
        <v>1</v>
      </c>
      <c r="D408" s="23">
        <v>6.99</v>
      </c>
      <c r="E408" s="3">
        <v>6.99</v>
      </c>
      <c r="F408" s="2" t="s">
        <v>18841</v>
      </c>
      <c r="G408" s="22" t="s">
        <v>19618</v>
      </c>
      <c r="H408" s="24" t="s">
        <v>19339</v>
      </c>
      <c r="I408" s="22" t="s">
        <v>19309</v>
      </c>
      <c r="J408" s="22" t="s">
        <v>19849</v>
      </c>
      <c r="K408" s="22" t="s">
        <v>19850</v>
      </c>
      <c r="L408" s="22"/>
      <c r="M408" s="22"/>
      <c r="N408" s="25" t="str">
        <f>HYPERLINK("http://slimages.macys.com/is/image/MCY/19965819 ")</f>
        <v xml:space="preserve">http://slimages.macys.com/is/image/MCY/19965819 </v>
      </c>
    </row>
    <row r="409" spans="1:14" ht="24.75" x14ac:dyDescent="0.25">
      <c r="A409" s="21" t="s">
        <v>547</v>
      </c>
      <c r="B409" s="22" t="s">
        <v>548</v>
      </c>
      <c r="C409" s="2">
        <v>1</v>
      </c>
      <c r="D409" s="23">
        <v>10.99</v>
      </c>
      <c r="E409" s="3">
        <v>10.99</v>
      </c>
      <c r="F409" s="2" t="s">
        <v>549</v>
      </c>
      <c r="G409" s="22" t="s">
        <v>19351</v>
      </c>
      <c r="H409" s="24" t="s">
        <v>19416</v>
      </c>
      <c r="I409" s="22" t="s">
        <v>19309</v>
      </c>
      <c r="J409" s="22" t="s">
        <v>19573</v>
      </c>
      <c r="K409" s="22" t="s">
        <v>19574</v>
      </c>
      <c r="L409" s="22"/>
      <c r="M409" s="22"/>
      <c r="N409" s="25" t="str">
        <f>HYPERLINK("http://slimages.macys.com/is/image/MCY/18117755 ")</f>
        <v xml:space="preserve">http://slimages.macys.com/is/image/MCY/18117755 </v>
      </c>
    </row>
    <row r="410" spans="1:14" ht="24.75" x14ac:dyDescent="0.25">
      <c r="A410" s="21" t="s">
        <v>550</v>
      </c>
      <c r="B410" s="22" t="s">
        <v>551</v>
      </c>
      <c r="C410" s="2">
        <v>1</v>
      </c>
      <c r="D410" s="23">
        <v>10.99</v>
      </c>
      <c r="E410" s="3">
        <v>10.99</v>
      </c>
      <c r="F410" s="2" t="s">
        <v>549</v>
      </c>
      <c r="G410" s="22" t="s">
        <v>19351</v>
      </c>
      <c r="H410" s="24" t="s">
        <v>19324</v>
      </c>
      <c r="I410" s="22" t="s">
        <v>19309</v>
      </c>
      <c r="J410" s="22" t="s">
        <v>19573</v>
      </c>
      <c r="K410" s="22" t="s">
        <v>19574</v>
      </c>
      <c r="L410" s="22"/>
      <c r="M410" s="22"/>
      <c r="N410" s="25" t="str">
        <f>HYPERLINK("http://slimages.macys.com/is/image/MCY/18117755 ")</f>
        <v xml:space="preserve">http://slimages.macys.com/is/image/MCY/18117755 </v>
      </c>
    </row>
    <row r="411" spans="1:14" x14ac:dyDescent="0.25">
      <c r="A411" s="21" t="s">
        <v>6108</v>
      </c>
      <c r="B411" s="22" t="s">
        <v>6109</v>
      </c>
      <c r="C411" s="2">
        <v>1</v>
      </c>
      <c r="D411" s="23">
        <v>9.99</v>
      </c>
      <c r="E411" s="3">
        <v>9.99</v>
      </c>
      <c r="F411" s="2" t="s">
        <v>16855</v>
      </c>
      <c r="G411" s="22" t="s">
        <v>19670</v>
      </c>
      <c r="H411" s="24" t="s">
        <v>19542</v>
      </c>
      <c r="I411" s="22" t="s">
        <v>19309</v>
      </c>
      <c r="J411" s="22" t="s">
        <v>19849</v>
      </c>
      <c r="K411" s="22" t="s">
        <v>19850</v>
      </c>
      <c r="L411" s="22"/>
      <c r="M411" s="22"/>
      <c r="N411" s="25" t="str">
        <f>HYPERLINK("http://slimages.macys.com/is/image/MCY/20549003 ")</f>
        <v xml:space="preserve">http://slimages.macys.com/is/image/MCY/20549003 </v>
      </c>
    </row>
    <row r="412" spans="1:14" x14ac:dyDescent="0.25">
      <c r="A412" s="21" t="s">
        <v>18849</v>
      </c>
      <c r="B412" s="22" t="s">
        <v>18850</v>
      </c>
      <c r="C412" s="2">
        <v>1</v>
      </c>
      <c r="D412" s="23">
        <v>11.99</v>
      </c>
      <c r="E412" s="3">
        <v>11.99</v>
      </c>
      <c r="F412" s="2" t="s">
        <v>18851</v>
      </c>
      <c r="G412" s="22" t="s">
        <v>19674</v>
      </c>
      <c r="H412" s="24" t="s">
        <v>19339</v>
      </c>
      <c r="I412" s="22" t="s">
        <v>19309</v>
      </c>
      <c r="J412" s="22" t="s">
        <v>19849</v>
      </c>
      <c r="K412" s="22" t="s">
        <v>19850</v>
      </c>
      <c r="L412" s="22"/>
      <c r="M412" s="22"/>
      <c r="N412" s="25" t="str">
        <f>HYPERLINK("http://slimages.macys.com/is/image/MCY/21251022 ")</f>
        <v xml:space="preserve">http://slimages.macys.com/is/image/MCY/21251022 </v>
      </c>
    </row>
    <row r="413" spans="1:14" ht="24.75" x14ac:dyDescent="0.25">
      <c r="A413" s="21" t="s">
        <v>552</v>
      </c>
      <c r="B413" s="22" t="s">
        <v>553</v>
      </c>
      <c r="C413" s="2">
        <v>1</v>
      </c>
      <c r="D413" s="23">
        <v>11.99</v>
      </c>
      <c r="E413" s="3">
        <v>11.99</v>
      </c>
      <c r="F413" s="2" t="s">
        <v>554</v>
      </c>
      <c r="G413" s="22" t="s">
        <v>19674</v>
      </c>
      <c r="H413" s="24" t="s">
        <v>19538</v>
      </c>
      <c r="I413" s="22" t="s">
        <v>19309</v>
      </c>
      <c r="J413" s="22" t="s">
        <v>19573</v>
      </c>
      <c r="K413" s="22" t="s">
        <v>19574</v>
      </c>
      <c r="L413" s="22"/>
      <c r="M413" s="22"/>
      <c r="N413" s="25" t="str">
        <f>HYPERLINK("http://slimages.macys.com/is/image/MCY/1860490 ")</f>
        <v xml:space="preserve">http://slimages.macys.com/is/image/MCY/1860490 </v>
      </c>
    </row>
    <row r="414" spans="1:14" ht="24.75" x14ac:dyDescent="0.25">
      <c r="A414" s="21" t="s">
        <v>555</v>
      </c>
      <c r="B414" s="22" t="s">
        <v>556</v>
      </c>
      <c r="C414" s="2">
        <v>1</v>
      </c>
      <c r="D414" s="23">
        <v>8.32</v>
      </c>
      <c r="E414" s="3">
        <v>8.32</v>
      </c>
      <c r="F414" s="2" t="s">
        <v>557</v>
      </c>
      <c r="G414" s="22" t="s">
        <v>19462</v>
      </c>
      <c r="H414" s="24"/>
      <c r="I414" s="22" t="s">
        <v>19309</v>
      </c>
      <c r="J414" s="22" t="s">
        <v>19602</v>
      </c>
      <c r="K414" s="22" t="s">
        <v>20041</v>
      </c>
      <c r="L414" s="22"/>
      <c r="M414" s="22"/>
      <c r="N414" s="25" t="str">
        <f>HYPERLINK("http://slimages.macys.com/is/image/MCY/21669767 ")</f>
        <v xml:space="preserve">http://slimages.macys.com/is/image/MCY/21669767 </v>
      </c>
    </row>
    <row r="415" spans="1:14" x14ac:dyDescent="0.25">
      <c r="A415" s="21" t="s">
        <v>558</v>
      </c>
      <c r="B415" s="22" t="s">
        <v>559</v>
      </c>
      <c r="C415" s="2">
        <v>1</v>
      </c>
      <c r="D415" s="23">
        <v>9.99</v>
      </c>
      <c r="E415" s="3">
        <v>9.99</v>
      </c>
      <c r="F415" s="2" t="s">
        <v>18892</v>
      </c>
      <c r="G415" s="22" t="s">
        <v>19670</v>
      </c>
      <c r="H415" s="24" t="s">
        <v>19907</v>
      </c>
      <c r="I415" s="22" t="s">
        <v>19309</v>
      </c>
      <c r="J415" s="22" t="s">
        <v>19849</v>
      </c>
      <c r="K415" s="22" t="s">
        <v>19850</v>
      </c>
      <c r="L415" s="22"/>
      <c r="M415" s="22"/>
      <c r="N415" s="25" t="str">
        <f>HYPERLINK("http://slimages.macys.com/is/image/MCY/1521210 ")</f>
        <v xml:space="preserve">http://slimages.macys.com/is/image/MCY/1521210 </v>
      </c>
    </row>
    <row r="416" spans="1:14" x14ac:dyDescent="0.25">
      <c r="A416" s="21" t="s">
        <v>18900</v>
      </c>
      <c r="B416" s="22" t="s">
        <v>18901</v>
      </c>
      <c r="C416" s="2">
        <v>1</v>
      </c>
      <c r="D416" s="23">
        <v>9.99</v>
      </c>
      <c r="E416" s="3">
        <v>9.99</v>
      </c>
      <c r="F416" s="2" t="s">
        <v>18895</v>
      </c>
      <c r="G416" s="22" t="s">
        <v>19462</v>
      </c>
      <c r="H416" s="24" t="s">
        <v>20089</v>
      </c>
      <c r="I416" s="22" t="s">
        <v>19309</v>
      </c>
      <c r="J416" s="22" t="s">
        <v>19849</v>
      </c>
      <c r="K416" s="22" t="s">
        <v>19850</v>
      </c>
      <c r="L416" s="22"/>
      <c r="M416" s="22"/>
      <c r="N416" s="25" t="str">
        <f>HYPERLINK("http://slimages.macys.com/is/image/MCY/21251249 ")</f>
        <v xml:space="preserve">http://slimages.macys.com/is/image/MCY/21251249 </v>
      </c>
    </row>
    <row r="417" spans="1:14" x14ac:dyDescent="0.25">
      <c r="A417" s="21" t="s">
        <v>9647</v>
      </c>
      <c r="B417" s="22" t="s">
        <v>9648</v>
      </c>
      <c r="C417" s="2">
        <v>1</v>
      </c>
      <c r="D417" s="23">
        <v>9.99</v>
      </c>
      <c r="E417" s="3">
        <v>9.99</v>
      </c>
      <c r="F417" s="2" t="s">
        <v>18895</v>
      </c>
      <c r="G417" s="22" t="s">
        <v>19462</v>
      </c>
      <c r="H417" s="24" t="s">
        <v>19542</v>
      </c>
      <c r="I417" s="22" t="s">
        <v>19309</v>
      </c>
      <c r="J417" s="22" t="s">
        <v>19849</v>
      </c>
      <c r="K417" s="22" t="s">
        <v>19850</v>
      </c>
      <c r="L417" s="22"/>
      <c r="M417" s="22"/>
      <c r="N417" s="25" t="str">
        <f>HYPERLINK("http://slimages.macys.com/is/image/MCY/21251249 ")</f>
        <v xml:space="preserve">http://slimages.macys.com/is/image/MCY/21251249 </v>
      </c>
    </row>
    <row r="418" spans="1:14" x14ac:dyDescent="0.25">
      <c r="A418" s="21" t="s">
        <v>18893</v>
      </c>
      <c r="B418" s="22" t="s">
        <v>18894</v>
      </c>
      <c r="C418" s="2">
        <v>1</v>
      </c>
      <c r="D418" s="23">
        <v>9.99</v>
      </c>
      <c r="E418" s="3">
        <v>9.99</v>
      </c>
      <c r="F418" s="2" t="s">
        <v>18895</v>
      </c>
      <c r="G418" s="22" t="s">
        <v>19462</v>
      </c>
      <c r="H418" s="24" t="s">
        <v>19361</v>
      </c>
      <c r="I418" s="22" t="s">
        <v>19309</v>
      </c>
      <c r="J418" s="22" t="s">
        <v>19849</v>
      </c>
      <c r="K418" s="22" t="s">
        <v>19850</v>
      </c>
      <c r="L418" s="22"/>
      <c r="M418" s="22"/>
      <c r="N418" s="25" t="str">
        <f>HYPERLINK("http://slimages.macys.com/is/image/MCY/21251249 ")</f>
        <v xml:space="preserve">http://slimages.macys.com/is/image/MCY/21251249 </v>
      </c>
    </row>
    <row r="419" spans="1:14" x14ac:dyDescent="0.25">
      <c r="A419" s="21" t="s">
        <v>18896</v>
      </c>
      <c r="B419" s="22" t="s">
        <v>18897</v>
      </c>
      <c r="C419" s="2">
        <v>1</v>
      </c>
      <c r="D419" s="23">
        <v>9.99</v>
      </c>
      <c r="E419" s="3">
        <v>9.99</v>
      </c>
      <c r="F419" s="2" t="s">
        <v>18895</v>
      </c>
      <c r="G419" s="22" t="s">
        <v>19462</v>
      </c>
      <c r="H419" s="24" t="s">
        <v>19907</v>
      </c>
      <c r="I419" s="22" t="s">
        <v>19309</v>
      </c>
      <c r="J419" s="22" t="s">
        <v>19849</v>
      </c>
      <c r="K419" s="22" t="s">
        <v>19850</v>
      </c>
      <c r="L419" s="22"/>
      <c r="M419" s="22"/>
      <c r="N419" s="25" t="str">
        <f>HYPERLINK("http://slimages.macys.com/is/image/MCY/21251249 ")</f>
        <v xml:space="preserve">http://slimages.macys.com/is/image/MCY/21251249 </v>
      </c>
    </row>
    <row r="420" spans="1:14" x14ac:dyDescent="0.25">
      <c r="A420" s="21" t="s">
        <v>9148</v>
      </c>
      <c r="B420" s="22" t="s">
        <v>9149</v>
      </c>
      <c r="C420" s="2">
        <v>1</v>
      </c>
      <c r="D420" s="23">
        <v>9.99</v>
      </c>
      <c r="E420" s="3">
        <v>9.99</v>
      </c>
      <c r="F420" s="2" t="s">
        <v>9150</v>
      </c>
      <c r="G420" s="22" t="s">
        <v>19674</v>
      </c>
      <c r="H420" s="24" t="s">
        <v>19361</v>
      </c>
      <c r="I420" s="22" t="s">
        <v>19309</v>
      </c>
      <c r="J420" s="22" t="s">
        <v>19849</v>
      </c>
      <c r="K420" s="22" t="s">
        <v>19850</v>
      </c>
      <c r="L420" s="22"/>
      <c r="M420" s="22"/>
      <c r="N420" s="25" t="str">
        <f>HYPERLINK("http://slimages.macys.com/is/image/MCY/21351632 ")</f>
        <v xml:space="preserve">http://slimages.macys.com/is/image/MCY/21351632 </v>
      </c>
    </row>
    <row r="421" spans="1:14" x14ac:dyDescent="0.25">
      <c r="A421" s="21" t="s">
        <v>18902</v>
      </c>
      <c r="B421" s="22" t="s">
        <v>18903</v>
      </c>
      <c r="C421" s="2">
        <v>1</v>
      </c>
      <c r="D421" s="23">
        <v>9.99</v>
      </c>
      <c r="E421" s="3">
        <v>9.99</v>
      </c>
      <c r="F421" s="2" t="s">
        <v>18895</v>
      </c>
      <c r="G421" s="22" t="s">
        <v>19462</v>
      </c>
      <c r="H421" s="24" t="s">
        <v>20135</v>
      </c>
      <c r="I421" s="22" t="s">
        <v>19309</v>
      </c>
      <c r="J421" s="22" t="s">
        <v>19849</v>
      </c>
      <c r="K421" s="22" t="s">
        <v>19850</v>
      </c>
      <c r="L421" s="22"/>
      <c r="M421" s="22"/>
      <c r="N421" s="25" t="str">
        <f>HYPERLINK("http://slimages.macys.com/is/image/MCY/21251249 ")</f>
        <v xml:space="preserve">http://slimages.macys.com/is/image/MCY/21251249 </v>
      </c>
    </row>
    <row r="422" spans="1:14" ht="24.75" x14ac:dyDescent="0.25">
      <c r="A422" s="21" t="s">
        <v>560</v>
      </c>
      <c r="B422" s="22" t="s">
        <v>561</v>
      </c>
      <c r="C422" s="2">
        <v>1</v>
      </c>
      <c r="D422" s="23">
        <v>7.99</v>
      </c>
      <c r="E422" s="3">
        <v>7.99</v>
      </c>
      <c r="F422" s="2" t="s">
        <v>18906</v>
      </c>
      <c r="G422" s="22" t="s">
        <v>19333</v>
      </c>
      <c r="H422" s="24" t="s">
        <v>19377</v>
      </c>
      <c r="I422" s="22" t="s">
        <v>19309</v>
      </c>
      <c r="J422" s="22" t="s">
        <v>19908</v>
      </c>
      <c r="K422" s="22" t="s">
        <v>19524</v>
      </c>
      <c r="L422" s="22"/>
      <c r="M422" s="22"/>
      <c r="N422" s="25" t="str">
        <f>HYPERLINK("http://slimages.macys.com/is/image/MCY/1415038 ")</f>
        <v xml:space="preserve">http://slimages.macys.com/is/image/MCY/1415038 </v>
      </c>
    </row>
    <row r="423" spans="1:14" ht="24.75" x14ac:dyDescent="0.25">
      <c r="A423" s="21" t="s">
        <v>7030</v>
      </c>
      <c r="B423" s="22" t="s">
        <v>7031</v>
      </c>
      <c r="C423" s="2">
        <v>1</v>
      </c>
      <c r="D423" s="23">
        <v>7.99</v>
      </c>
      <c r="E423" s="3">
        <v>7.99</v>
      </c>
      <c r="F423" s="2" t="s">
        <v>14652</v>
      </c>
      <c r="G423" s="22" t="s">
        <v>19422</v>
      </c>
      <c r="H423" s="24" t="s">
        <v>20089</v>
      </c>
      <c r="I423" s="22" t="s">
        <v>19309</v>
      </c>
      <c r="J423" s="22" t="s">
        <v>19908</v>
      </c>
      <c r="K423" s="22" t="s">
        <v>19524</v>
      </c>
      <c r="L423" s="22"/>
      <c r="M423" s="22"/>
      <c r="N423" s="25" t="str">
        <f>HYPERLINK("http://slimages.macys.com/is/image/MCY/21070282 ")</f>
        <v xml:space="preserve">http://slimages.macys.com/is/image/MCY/21070282 </v>
      </c>
    </row>
    <row r="424" spans="1:14" ht="24.75" x14ac:dyDescent="0.25">
      <c r="A424" s="21" t="s">
        <v>977</v>
      </c>
      <c r="B424" s="22" t="s">
        <v>978</v>
      </c>
      <c r="C424" s="2">
        <v>1</v>
      </c>
      <c r="D424" s="23">
        <v>7.99</v>
      </c>
      <c r="E424" s="3">
        <v>7.99</v>
      </c>
      <c r="F424" s="2" t="s">
        <v>14652</v>
      </c>
      <c r="G424" s="22" t="s">
        <v>19422</v>
      </c>
      <c r="H424" s="24" t="s">
        <v>19377</v>
      </c>
      <c r="I424" s="22" t="s">
        <v>19309</v>
      </c>
      <c r="J424" s="22" t="s">
        <v>19908</v>
      </c>
      <c r="K424" s="22" t="s">
        <v>19524</v>
      </c>
      <c r="L424" s="22"/>
      <c r="M424" s="22"/>
      <c r="N424" s="25" t="str">
        <f>HYPERLINK("http://slimages.macys.com/is/image/MCY/21070282 ")</f>
        <v xml:space="preserve">http://slimages.macys.com/is/image/MCY/21070282 </v>
      </c>
    </row>
    <row r="425" spans="1:14" ht="24.75" x14ac:dyDescent="0.25">
      <c r="A425" s="21" t="s">
        <v>13404</v>
      </c>
      <c r="B425" s="22" t="s">
        <v>13405</v>
      </c>
      <c r="C425" s="2">
        <v>1</v>
      </c>
      <c r="D425" s="23">
        <v>8.06</v>
      </c>
      <c r="E425" s="3">
        <v>8.06</v>
      </c>
      <c r="F425" s="2" t="s">
        <v>16923</v>
      </c>
      <c r="G425" s="22" t="s">
        <v>19315</v>
      </c>
      <c r="H425" s="24" t="s">
        <v>19392</v>
      </c>
      <c r="I425" s="22" t="s">
        <v>19309</v>
      </c>
      <c r="J425" s="22" t="s">
        <v>19602</v>
      </c>
      <c r="K425" s="22" t="s">
        <v>20041</v>
      </c>
      <c r="L425" s="22"/>
      <c r="M425" s="22"/>
      <c r="N425" s="25" t="str">
        <f>HYPERLINK("http://slimages.macys.com/is/image/MCY/22406209 ")</f>
        <v xml:space="preserve">http://slimages.macys.com/is/image/MCY/22406209 </v>
      </c>
    </row>
    <row r="426" spans="1:14" ht="24.75" x14ac:dyDescent="0.25">
      <c r="A426" s="21" t="s">
        <v>562</v>
      </c>
      <c r="B426" s="22" t="s">
        <v>563</v>
      </c>
      <c r="C426" s="2">
        <v>2</v>
      </c>
      <c r="D426" s="23">
        <v>7.99</v>
      </c>
      <c r="E426" s="3">
        <v>15.98</v>
      </c>
      <c r="F426" s="2" t="s">
        <v>18914</v>
      </c>
      <c r="G426" s="22" t="s">
        <v>19431</v>
      </c>
      <c r="H426" s="24" t="s">
        <v>20135</v>
      </c>
      <c r="I426" s="22" t="s">
        <v>19309</v>
      </c>
      <c r="J426" s="22" t="s">
        <v>19573</v>
      </c>
      <c r="K426" s="22" t="s">
        <v>19574</v>
      </c>
      <c r="L426" s="22"/>
      <c r="M426" s="22"/>
      <c r="N426" s="25" t="str">
        <f>HYPERLINK("http://slimages.macys.com/is/image/MCY/21209393 ")</f>
        <v xml:space="preserve">http://slimages.macys.com/is/image/MCY/21209393 </v>
      </c>
    </row>
    <row r="427" spans="1:14" ht="24.75" x14ac:dyDescent="0.25">
      <c r="A427" s="21" t="s">
        <v>16933</v>
      </c>
      <c r="B427" s="22" t="s">
        <v>16934</v>
      </c>
      <c r="C427" s="2">
        <v>8</v>
      </c>
      <c r="D427" s="23">
        <v>7.99</v>
      </c>
      <c r="E427" s="3">
        <v>63.92</v>
      </c>
      <c r="F427" s="2" t="s">
        <v>16935</v>
      </c>
      <c r="G427" s="22" t="s">
        <v>19415</v>
      </c>
      <c r="H427" s="24" t="s">
        <v>19907</v>
      </c>
      <c r="I427" s="22" t="s">
        <v>19309</v>
      </c>
      <c r="J427" s="22" t="s">
        <v>19573</v>
      </c>
      <c r="K427" s="22" t="s">
        <v>19574</v>
      </c>
      <c r="L427" s="22"/>
      <c r="M427" s="22"/>
      <c r="N427" s="25" t="str">
        <f>HYPERLINK("http://slimages.macys.com/is/image/MCY/21209612 ")</f>
        <v xml:space="preserve">http://slimages.macys.com/is/image/MCY/21209612 </v>
      </c>
    </row>
    <row r="428" spans="1:14" ht="24.75" x14ac:dyDescent="0.25">
      <c r="A428" s="21" t="s">
        <v>564</v>
      </c>
      <c r="B428" s="22" t="s">
        <v>565</v>
      </c>
      <c r="C428" s="2">
        <v>4</v>
      </c>
      <c r="D428" s="23">
        <v>7.99</v>
      </c>
      <c r="E428" s="3">
        <v>31.96</v>
      </c>
      <c r="F428" s="2" t="s">
        <v>16935</v>
      </c>
      <c r="G428" s="22" t="s">
        <v>19415</v>
      </c>
      <c r="H428" s="24" t="s">
        <v>20135</v>
      </c>
      <c r="I428" s="22" t="s">
        <v>19309</v>
      </c>
      <c r="J428" s="22" t="s">
        <v>19573</v>
      </c>
      <c r="K428" s="22" t="s">
        <v>19574</v>
      </c>
      <c r="L428" s="22"/>
      <c r="M428" s="22"/>
      <c r="N428" s="25" t="str">
        <f>HYPERLINK("http://slimages.macys.com/is/image/MCY/21209612 ")</f>
        <v xml:space="preserve">http://slimages.macys.com/is/image/MCY/21209612 </v>
      </c>
    </row>
    <row r="429" spans="1:14" ht="24.75" x14ac:dyDescent="0.25">
      <c r="A429" s="21" t="s">
        <v>16938</v>
      </c>
      <c r="B429" s="22" t="s">
        <v>16939</v>
      </c>
      <c r="C429" s="2">
        <v>6</v>
      </c>
      <c r="D429" s="23">
        <v>7.99</v>
      </c>
      <c r="E429" s="3">
        <v>47.94</v>
      </c>
      <c r="F429" s="2" t="s">
        <v>16935</v>
      </c>
      <c r="G429" s="22" t="s">
        <v>19415</v>
      </c>
      <c r="H429" s="24" t="s">
        <v>20089</v>
      </c>
      <c r="I429" s="22" t="s">
        <v>19309</v>
      </c>
      <c r="J429" s="22" t="s">
        <v>19573</v>
      </c>
      <c r="K429" s="22" t="s">
        <v>19574</v>
      </c>
      <c r="L429" s="22"/>
      <c r="M429" s="22"/>
      <c r="N429" s="25" t="str">
        <f>HYPERLINK("http://slimages.macys.com/is/image/MCY/21209612 ")</f>
        <v xml:space="preserve">http://slimages.macys.com/is/image/MCY/21209612 </v>
      </c>
    </row>
    <row r="430" spans="1:14" ht="24.75" x14ac:dyDescent="0.25">
      <c r="A430" s="21" t="s">
        <v>16943</v>
      </c>
      <c r="B430" s="22" t="s">
        <v>16944</v>
      </c>
      <c r="C430" s="2">
        <v>1</v>
      </c>
      <c r="D430" s="23">
        <v>7.99</v>
      </c>
      <c r="E430" s="3">
        <v>7.99</v>
      </c>
      <c r="F430" s="2" t="s">
        <v>18935</v>
      </c>
      <c r="G430" s="22" t="s">
        <v>19333</v>
      </c>
      <c r="H430" s="24" t="s">
        <v>20089</v>
      </c>
      <c r="I430" s="22" t="s">
        <v>19309</v>
      </c>
      <c r="J430" s="22" t="s">
        <v>19908</v>
      </c>
      <c r="K430" s="22" t="s">
        <v>19524</v>
      </c>
      <c r="L430" s="22"/>
      <c r="M430" s="22"/>
      <c r="N430" s="25" t="str">
        <f>HYPERLINK("http://slimages.macys.com/is/image/MCY/21070276 ")</f>
        <v xml:space="preserve">http://slimages.macys.com/is/image/MCY/21070276 </v>
      </c>
    </row>
    <row r="431" spans="1:14" ht="24.75" x14ac:dyDescent="0.25">
      <c r="A431" s="21" t="s">
        <v>566</v>
      </c>
      <c r="B431" s="22" t="s">
        <v>567</v>
      </c>
      <c r="C431" s="2">
        <v>1</v>
      </c>
      <c r="D431" s="23">
        <v>7.99</v>
      </c>
      <c r="E431" s="3">
        <v>7.99</v>
      </c>
      <c r="F431" s="2" t="s">
        <v>7886</v>
      </c>
      <c r="G431" s="22" t="s">
        <v>19338</v>
      </c>
      <c r="H431" s="24" t="s">
        <v>20089</v>
      </c>
      <c r="I431" s="22" t="s">
        <v>19309</v>
      </c>
      <c r="J431" s="22" t="s">
        <v>19908</v>
      </c>
      <c r="K431" s="22" t="s">
        <v>19524</v>
      </c>
      <c r="L431" s="22"/>
      <c r="M431" s="22"/>
      <c r="N431" s="25" t="str">
        <f>HYPERLINK("http://slimages.macys.com/is/image/MCY/1092107 ")</f>
        <v xml:space="preserve">http://slimages.macys.com/is/image/MCY/1092107 </v>
      </c>
    </row>
    <row r="432" spans="1:14" ht="24.75" x14ac:dyDescent="0.25">
      <c r="A432" s="21" t="s">
        <v>568</v>
      </c>
      <c r="B432" s="22" t="s">
        <v>569</v>
      </c>
      <c r="C432" s="2">
        <v>1</v>
      </c>
      <c r="D432" s="23">
        <v>7.99</v>
      </c>
      <c r="E432" s="3">
        <v>7.99</v>
      </c>
      <c r="F432" s="2" t="s">
        <v>18943</v>
      </c>
      <c r="G432" s="22" t="s">
        <v>19431</v>
      </c>
      <c r="H432" s="24" t="s">
        <v>20135</v>
      </c>
      <c r="I432" s="22" t="s">
        <v>19309</v>
      </c>
      <c r="J432" s="22" t="s">
        <v>19908</v>
      </c>
      <c r="K432" s="22" t="s">
        <v>19524</v>
      </c>
      <c r="L432" s="22"/>
      <c r="M432" s="22"/>
      <c r="N432" s="25" t="str">
        <f>HYPERLINK("http://slimages.macys.com/is/image/MCY/22163962 ")</f>
        <v xml:space="preserve">http://slimages.macys.com/is/image/MCY/22163962 </v>
      </c>
    </row>
    <row r="433" spans="1:14" ht="24.75" x14ac:dyDescent="0.25">
      <c r="A433" s="21" t="s">
        <v>570</v>
      </c>
      <c r="B433" s="22" t="s">
        <v>571</v>
      </c>
      <c r="C433" s="2">
        <v>1</v>
      </c>
      <c r="D433" s="23">
        <v>7.99</v>
      </c>
      <c r="E433" s="3">
        <v>7.99</v>
      </c>
      <c r="F433" s="2" t="s">
        <v>18943</v>
      </c>
      <c r="G433" s="22" t="s">
        <v>19431</v>
      </c>
      <c r="H433" s="24" t="s">
        <v>19907</v>
      </c>
      <c r="I433" s="22" t="s">
        <v>19309</v>
      </c>
      <c r="J433" s="22" t="s">
        <v>19908</v>
      </c>
      <c r="K433" s="22" t="s">
        <v>19524</v>
      </c>
      <c r="L433" s="22"/>
      <c r="M433" s="22"/>
      <c r="N433" s="25" t="str">
        <f>HYPERLINK("http://slimages.macys.com/is/image/MCY/22163962 ")</f>
        <v xml:space="preserve">http://slimages.macys.com/is/image/MCY/22163962 </v>
      </c>
    </row>
    <row r="434" spans="1:14" ht="24.75" x14ac:dyDescent="0.25">
      <c r="A434" s="21" t="s">
        <v>572</v>
      </c>
      <c r="B434" s="22" t="s">
        <v>573</v>
      </c>
      <c r="C434" s="2">
        <v>1</v>
      </c>
      <c r="D434" s="23">
        <v>7.99</v>
      </c>
      <c r="E434" s="3">
        <v>7.99</v>
      </c>
      <c r="F434" s="2" t="s">
        <v>574</v>
      </c>
      <c r="G434" s="22" t="s">
        <v>19338</v>
      </c>
      <c r="H434" s="24" t="s">
        <v>19377</v>
      </c>
      <c r="I434" s="22" t="s">
        <v>19309</v>
      </c>
      <c r="J434" s="22" t="s">
        <v>19908</v>
      </c>
      <c r="K434" s="22" t="s">
        <v>19524</v>
      </c>
      <c r="L434" s="22"/>
      <c r="M434" s="22"/>
      <c r="N434" s="25" t="str">
        <f>HYPERLINK("http://slimages.macys.com/is/image/MCY/21569865 ")</f>
        <v xml:space="preserve">http://slimages.macys.com/is/image/MCY/21569865 </v>
      </c>
    </row>
    <row r="435" spans="1:14" ht="24.75" x14ac:dyDescent="0.25">
      <c r="A435" s="21" t="s">
        <v>575</v>
      </c>
      <c r="B435" s="22" t="s">
        <v>576</v>
      </c>
      <c r="C435" s="2">
        <v>1</v>
      </c>
      <c r="D435" s="23">
        <v>7.99</v>
      </c>
      <c r="E435" s="3">
        <v>7.99</v>
      </c>
      <c r="F435" s="2" t="s">
        <v>14664</v>
      </c>
      <c r="G435" s="22" t="s">
        <v>19585</v>
      </c>
      <c r="H435" s="24" t="s">
        <v>19907</v>
      </c>
      <c r="I435" s="22" t="s">
        <v>19309</v>
      </c>
      <c r="J435" s="22" t="s">
        <v>19908</v>
      </c>
      <c r="K435" s="22" t="s">
        <v>19524</v>
      </c>
      <c r="L435" s="22"/>
      <c r="M435" s="22"/>
      <c r="N435" s="25" t="str">
        <f>HYPERLINK("http://slimages.macys.com/is/image/MCY/21569992 ")</f>
        <v xml:space="preserve">http://slimages.macys.com/is/image/MCY/21569992 </v>
      </c>
    </row>
    <row r="436" spans="1:14" ht="24.75" x14ac:dyDescent="0.25">
      <c r="A436" s="21" t="s">
        <v>577</v>
      </c>
      <c r="B436" s="22" t="s">
        <v>578</v>
      </c>
      <c r="C436" s="2">
        <v>1</v>
      </c>
      <c r="D436" s="23">
        <v>7.99</v>
      </c>
      <c r="E436" s="3">
        <v>7.99</v>
      </c>
      <c r="F436" s="2" t="s">
        <v>14664</v>
      </c>
      <c r="G436" s="22" t="s">
        <v>19585</v>
      </c>
      <c r="H436" s="24" t="s">
        <v>20089</v>
      </c>
      <c r="I436" s="22" t="s">
        <v>19309</v>
      </c>
      <c r="J436" s="22" t="s">
        <v>19908</v>
      </c>
      <c r="K436" s="22" t="s">
        <v>19524</v>
      </c>
      <c r="L436" s="22"/>
      <c r="M436" s="22"/>
      <c r="N436" s="25" t="str">
        <f>HYPERLINK("http://slimages.macys.com/is/image/MCY/21569992 ")</f>
        <v xml:space="preserve">http://slimages.macys.com/is/image/MCY/21569992 </v>
      </c>
    </row>
    <row r="437" spans="1:14" ht="24.75" x14ac:dyDescent="0.25">
      <c r="A437" s="21" t="s">
        <v>14662</v>
      </c>
      <c r="B437" s="22" t="s">
        <v>14663</v>
      </c>
      <c r="C437" s="2">
        <v>1</v>
      </c>
      <c r="D437" s="23">
        <v>7.99</v>
      </c>
      <c r="E437" s="3">
        <v>7.99</v>
      </c>
      <c r="F437" s="2" t="s">
        <v>14664</v>
      </c>
      <c r="G437" s="22" t="s">
        <v>19585</v>
      </c>
      <c r="H437" s="24" t="s">
        <v>19542</v>
      </c>
      <c r="I437" s="22" t="s">
        <v>19309</v>
      </c>
      <c r="J437" s="22" t="s">
        <v>19908</v>
      </c>
      <c r="K437" s="22" t="s">
        <v>19524</v>
      </c>
      <c r="L437" s="22"/>
      <c r="M437" s="22"/>
      <c r="N437" s="25" t="str">
        <f>HYPERLINK("http://slimages.macys.com/is/image/MCY/21569869 ")</f>
        <v xml:space="preserve">http://slimages.macys.com/is/image/MCY/21569869 </v>
      </c>
    </row>
    <row r="438" spans="1:14" ht="24.75" x14ac:dyDescent="0.25">
      <c r="A438" s="21" t="s">
        <v>1568</v>
      </c>
      <c r="B438" s="22" t="s">
        <v>1569</v>
      </c>
      <c r="C438" s="2">
        <v>1</v>
      </c>
      <c r="D438" s="23">
        <v>7.99</v>
      </c>
      <c r="E438" s="3">
        <v>7.99</v>
      </c>
      <c r="F438" s="2" t="s">
        <v>16952</v>
      </c>
      <c r="G438" s="22" t="s">
        <v>19422</v>
      </c>
      <c r="H438" s="24" t="s">
        <v>20089</v>
      </c>
      <c r="I438" s="22" t="s">
        <v>19309</v>
      </c>
      <c r="J438" s="22" t="s">
        <v>19908</v>
      </c>
      <c r="K438" s="22" t="s">
        <v>19524</v>
      </c>
      <c r="L438" s="22"/>
      <c r="M438" s="22"/>
      <c r="N438" s="25" t="str">
        <f>HYPERLINK("http://slimages.macys.com/is/image/MCY/1570622 ")</f>
        <v xml:space="preserve">http://slimages.macys.com/is/image/MCY/1570622 </v>
      </c>
    </row>
    <row r="439" spans="1:14" ht="24.75" x14ac:dyDescent="0.25">
      <c r="A439" s="21" t="s">
        <v>579</v>
      </c>
      <c r="B439" s="22" t="s">
        <v>580</v>
      </c>
      <c r="C439" s="2">
        <v>1</v>
      </c>
      <c r="D439" s="23">
        <v>7.99</v>
      </c>
      <c r="E439" s="3">
        <v>7.99</v>
      </c>
      <c r="F439" s="2" t="s">
        <v>7900</v>
      </c>
      <c r="G439" s="22" t="s">
        <v>19315</v>
      </c>
      <c r="H439" s="24" t="s">
        <v>19361</v>
      </c>
      <c r="I439" s="22" t="s">
        <v>19309</v>
      </c>
      <c r="J439" s="22" t="s">
        <v>19908</v>
      </c>
      <c r="K439" s="22" t="s">
        <v>19524</v>
      </c>
      <c r="L439" s="22"/>
      <c r="M439" s="22"/>
      <c r="N439" s="25" t="str">
        <f>HYPERLINK("http://slimages.macys.com/is/image/MCY/20691823 ")</f>
        <v xml:space="preserve">http://slimages.macys.com/is/image/MCY/20691823 </v>
      </c>
    </row>
    <row r="440" spans="1:14" ht="24.75" x14ac:dyDescent="0.25">
      <c r="A440" s="21" t="s">
        <v>7065</v>
      </c>
      <c r="B440" s="22" t="s">
        <v>7066</v>
      </c>
      <c r="C440" s="2">
        <v>1</v>
      </c>
      <c r="D440" s="23">
        <v>7.99</v>
      </c>
      <c r="E440" s="3">
        <v>7.99</v>
      </c>
      <c r="F440" s="2" t="s">
        <v>18935</v>
      </c>
      <c r="G440" s="22" t="s">
        <v>19814</v>
      </c>
      <c r="H440" s="24" t="s">
        <v>20135</v>
      </c>
      <c r="I440" s="22" t="s">
        <v>19309</v>
      </c>
      <c r="J440" s="22" t="s">
        <v>19908</v>
      </c>
      <c r="K440" s="22" t="s">
        <v>19524</v>
      </c>
      <c r="L440" s="22"/>
      <c r="M440" s="22"/>
      <c r="N440" s="25" t="str">
        <f>HYPERLINK("http://slimages.macys.com/is/image/MCY/21070276 ")</f>
        <v xml:space="preserve">http://slimages.macys.com/is/image/MCY/21070276 </v>
      </c>
    </row>
    <row r="441" spans="1:14" ht="24.75" x14ac:dyDescent="0.25">
      <c r="A441" s="21" t="s">
        <v>6152</v>
      </c>
      <c r="B441" s="22" t="s">
        <v>6153</v>
      </c>
      <c r="C441" s="2">
        <v>1</v>
      </c>
      <c r="D441" s="23">
        <v>7.99</v>
      </c>
      <c r="E441" s="3">
        <v>7.99</v>
      </c>
      <c r="F441" s="2" t="s">
        <v>18935</v>
      </c>
      <c r="G441" s="22" t="s">
        <v>19333</v>
      </c>
      <c r="H441" s="24" t="s">
        <v>19542</v>
      </c>
      <c r="I441" s="22" t="s">
        <v>19309</v>
      </c>
      <c r="J441" s="22" t="s">
        <v>19908</v>
      </c>
      <c r="K441" s="22" t="s">
        <v>19524</v>
      </c>
      <c r="L441" s="22"/>
      <c r="M441" s="22"/>
      <c r="N441" s="25" t="str">
        <f>HYPERLINK("http://slimages.macys.com/is/image/MCY/21070276 ")</f>
        <v xml:space="preserve">http://slimages.macys.com/is/image/MCY/21070276 </v>
      </c>
    </row>
    <row r="442" spans="1:14" ht="24.75" x14ac:dyDescent="0.25">
      <c r="A442" s="21" t="s">
        <v>18933</v>
      </c>
      <c r="B442" s="22" t="s">
        <v>18934</v>
      </c>
      <c r="C442" s="2">
        <v>1</v>
      </c>
      <c r="D442" s="23">
        <v>7.99</v>
      </c>
      <c r="E442" s="3">
        <v>7.99</v>
      </c>
      <c r="F442" s="2" t="s">
        <v>18935</v>
      </c>
      <c r="G442" s="22" t="s">
        <v>19333</v>
      </c>
      <c r="H442" s="24" t="s">
        <v>20135</v>
      </c>
      <c r="I442" s="22" t="s">
        <v>19309</v>
      </c>
      <c r="J442" s="22" t="s">
        <v>19908</v>
      </c>
      <c r="K442" s="22" t="s">
        <v>19524</v>
      </c>
      <c r="L442" s="22"/>
      <c r="M442" s="22"/>
      <c r="N442" s="25" t="str">
        <f>HYPERLINK("http://slimages.macys.com/is/image/MCY/21070276 ")</f>
        <v xml:space="preserve">http://slimages.macys.com/is/image/MCY/21070276 </v>
      </c>
    </row>
    <row r="443" spans="1:14" ht="24.75" x14ac:dyDescent="0.25">
      <c r="A443" s="21" t="s">
        <v>1566</v>
      </c>
      <c r="B443" s="22" t="s">
        <v>1567</v>
      </c>
      <c r="C443" s="2">
        <v>2</v>
      </c>
      <c r="D443" s="23">
        <v>7.99</v>
      </c>
      <c r="E443" s="3">
        <v>15.98</v>
      </c>
      <c r="F443" s="2" t="s">
        <v>7900</v>
      </c>
      <c r="G443" s="22" t="s">
        <v>19315</v>
      </c>
      <c r="H443" s="24" t="s">
        <v>20089</v>
      </c>
      <c r="I443" s="22" t="s">
        <v>19309</v>
      </c>
      <c r="J443" s="22" t="s">
        <v>19908</v>
      </c>
      <c r="K443" s="22" t="s">
        <v>19524</v>
      </c>
      <c r="L443" s="22"/>
      <c r="M443" s="22"/>
      <c r="N443" s="25" t="str">
        <f>HYPERLINK("http://slimages.macys.com/is/image/MCY/20691825 ")</f>
        <v xml:space="preserve">http://slimages.macys.com/is/image/MCY/20691825 </v>
      </c>
    </row>
    <row r="444" spans="1:14" ht="24.75" x14ac:dyDescent="0.25">
      <c r="A444" s="21" t="s">
        <v>18941</v>
      </c>
      <c r="B444" s="22" t="s">
        <v>18942</v>
      </c>
      <c r="C444" s="2">
        <v>1</v>
      </c>
      <c r="D444" s="23">
        <v>7.99</v>
      </c>
      <c r="E444" s="3">
        <v>7.99</v>
      </c>
      <c r="F444" s="2" t="s">
        <v>18943</v>
      </c>
      <c r="G444" s="22" t="s">
        <v>19431</v>
      </c>
      <c r="H444" s="24" t="s">
        <v>20089</v>
      </c>
      <c r="I444" s="22" t="s">
        <v>19309</v>
      </c>
      <c r="J444" s="22" t="s">
        <v>19908</v>
      </c>
      <c r="K444" s="22" t="s">
        <v>19524</v>
      </c>
      <c r="L444" s="22"/>
      <c r="M444" s="22"/>
      <c r="N444" s="25" t="str">
        <f>HYPERLINK("http://slimages.macys.com/is/image/MCY/22163962 ")</f>
        <v xml:space="preserve">http://slimages.macys.com/is/image/MCY/22163962 </v>
      </c>
    </row>
    <row r="445" spans="1:14" ht="24.75" x14ac:dyDescent="0.25">
      <c r="A445" s="21" t="s">
        <v>581</v>
      </c>
      <c r="B445" s="22" t="s">
        <v>582</v>
      </c>
      <c r="C445" s="2">
        <v>1</v>
      </c>
      <c r="D445" s="23">
        <v>7.99</v>
      </c>
      <c r="E445" s="3">
        <v>7.99</v>
      </c>
      <c r="F445" s="2" t="s">
        <v>583</v>
      </c>
      <c r="G445" s="22" t="s">
        <v>19351</v>
      </c>
      <c r="H445" s="24" t="s">
        <v>19361</v>
      </c>
      <c r="I445" s="22" t="s">
        <v>19309</v>
      </c>
      <c r="J445" s="22" t="s">
        <v>19908</v>
      </c>
      <c r="K445" s="22" t="s">
        <v>19524</v>
      </c>
      <c r="L445" s="22"/>
      <c r="M445" s="22"/>
      <c r="N445" s="25" t="str">
        <f>HYPERLINK("http://slimages.macys.com/is/image/MCY/21434547 ")</f>
        <v xml:space="preserve">http://slimages.macys.com/is/image/MCY/21434547 </v>
      </c>
    </row>
    <row r="446" spans="1:14" ht="24.75" x14ac:dyDescent="0.25">
      <c r="A446" s="21" t="s">
        <v>584</v>
      </c>
      <c r="B446" s="22" t="s">
        <v>585</v>
      </c>
      <c r="C446" s="2">
        <v>1</v>
      </c>
      <c r="D446" s="23">
        <v>7.99</v>
      </c>
      <c r="E446" s="3">
        <v>7.99</v>
      </c>
      <c r="F446" s="2" t="s">
        <v>13427</v>
      </c>
      <c r="G446" s="22" t="s">
        <v>19351</v>
      </c>
      <c r="H446" s="24" t="s">
        <v>19361</v>
      </c>
      <c r="I446" s="22" t="s">
        <v>19309</v>
      </c>
      <c r="J446" s="22" t="s">
        <v>19908</v>
      </c>
      <c r="K446" s="22" t="s">
        <v>19524</v>
      </c>
      <c r="L446" s="22"/>
      <c r="M446" s="22"/>
      <c r="N446" s="25" t="str">
        <f>HYPERLINK("http://slimages.macys.com/is/image/MCY/21434652 ")</f>
        <v xml:space="preserve">http://slimages.macys.com/is/image/MCY/21434652 </v>
      </c>
    </row>
    <row r="447" spans="1:14" ht="24.75" x14ac:dyDescent="0.25">
      <c r="A447" s="21" t="s">
        <v>16979</v>
      </c>
      <c r="B447" s="22" t="s">
        <v>16980</v>
      </c>
      <c r="C447" s="2">
        <v>1</v>
      </c>
      <c r="D447" s="23">
        <v>7.99</v>
      </c>
      <c r="E447" s="3">
        <v>7.99</v>
      </c>
      <c r="F447" s="2" t="s">
        <v>16981</v>
      </c>
      <c r="G447" s="22" t="s">
        <v>19351</v>
      </c>
      <c r="H447" s="24" t="s">
        <v>19907</v>
      </c>
      <c r="I447" s="22" t="s">
        <v>19309</v>
      </c>
      <c r="J447" s="22" t="s">
        <v>19908</v>
      </c>
      <c r="K447" s="22" t="s">
        <v>19524</v>
      </c>
      <c r="L447" s="22"/>
      <c r="M447" s="22"/>
      <c r="N447" s="25" t="str">
        <f>HYPERLINK("http://slimages.macys.com/is/image/MCY/21433867 ")</f>
        <v xml:space="preserve">http://slimages.macys.com/is/image/MCY/21433867 </v>
      </c>
    </row>
    <row r="448" spans="1:14" ht="24.75" x14ac:dyDescent="0.25">
      <c r="A448" s="21" t="s">
        <v>6184</v>
      </c>
      <c r="B448" s="22" t="s">
        <v>6185</v>
      </c>
      <c r="C448" s="2">
        <v>1</v>
      </c>
      <c r="D448" s="23">
        <v>7.99</v>
      </c>
      <c r="E448" s="3">
        <v>7.99</v>
      </c>
      <c r="F448" s="2" t="s">
        <v>16984</v>
      </c>
      <c r="G448" s="22" t="s">
        <v>19431</v>
      </c>
      <c r="H448" s="24" t="s">
        <v>19377</v>
      </c>
      <c r="I448" s="22" t="s">
        <v>19309</v>
      </c>
      <c r="J448" s="22" t="s">
        <v>19908</v>
      </c>
      <c r="K448" s="22" t="s">
        <v>19524</v>
      </c>
      <c r="L448" s="22"/>
      <c r="M448" s="22"/>
      <c r="N448" s="25" t="str">
        <f t="shared" ref="N448:N453" si="3">HYPERLINK("http://slimages.macys.com/is/image/MCY/1554688 ")</f>
        <v xml:space="preserve">http://slimages.macys.com/is/image/MCY/1554688 </v>
      </c>
    </row>
    <row r="449" spans="1:14" ht="24.75" x14ac:dyDescent="0.25">
      <c r="A449" s="21" t="s">
        <v>16982</v>
      </c>
      <c r="B449" s="22" t="s">
        <v>16983</v>
      </c>
      <c r="C449" s="2">
        <v>2</v>
      </c>
      <c r="D449" s="23">
        <v>7.99</v>
      </c>
      <c r="E449" s="3">
        <v>15.98</v>
      </c>
      <c r="F449" s="2" t="s">
        <v>16984</v>
      </c>
      <c r="G449" s="22" t="s">
        <v>19431</v>
      </c>
      <c r="H449" s="24" t="s">
        <v>19542</v>
      </c>
      <c r="I449" s="22" t="s">
        <v>19309</v>
      </c>
      <c r="J449" s="22" t="s">
        <v>19908</v>
      </c>
      <c r="K449" s="22" t="s">
        <v>19524</v>
      </c>
      <c r="L449" s="22"/>
      <c r="M449" s="22"/>
      <c r="N449" s="25" t="str">
        <f t="shared" si="3"/>
        <v xml:space="preserve">http://slimages.macys.com/is/image/MCY/1554688 </v>
      </c>
    </row>
    <row r="450" spans="1:14" ht="24.75" x14ac:dyDescent="0.25">
      <c r="A450" s="21" t="s">
        <v>586</v>
      </c>
      <c r="B450" s="22" t="s">
        <v>587</v>
      </c>
      <c r="C450" s="2">
        <v>2</v>
      </c>
      <c r="D450" s="23">
        <v>7.99</v>
      </c>
      <c r="E450" s="3">
        <v>15.98</v>
      </c>
      <c r="F450" s="2" t="s">
        <v>16984</v>
      </c>
      <c r="G450" s="22" t="s">
        <v>19431</v>
      </c>
      <c r="H450" s="24" t="s">
        <v>19361</v>
      </c>
      <c r="I450" s="22" t="s">
        <v>19309</v>
      </c>
      <c r="J450" s="22" t="s">
        <v>19908</v>
      </c>
      <c r="K450" s="22" t="s">
        <v>19524</v>
      </c>
      <c r="L450" s="22"/>
      <c r="M450" s="22"/>
      <c r="N450" s="25" t="str">
        <f t="shared" si="3"/>
        <v xml:space="preserve">http://slimages.macys.com/is/image/MCY/1554688 </v>
      </c>
    </row>
    <row r="451" spans="1:14" ht="24.75" x14ac:dyDescent="0.25">
      <c r="A451" s="21" t="s">
        <v>16992</v>
      </c>
      <c r="B451" s="22" t="s">
        <v>16993</v>
      </c>
      <c r="C451" s="2">
        <v>2</v>
      </c>
      <c r="D451" s="23">
        <v>7.99</v>
      </c>
      <c r="E451" s="3">
        <v>15.98</v>
      </c>
      <c r="F451" s="2" t="s">
        <v>16984</v>
      </c>
      <c r="G451" s="22" t="s">
        <v>19431</v>
      </c>
      <c r="H451" s="24" t="s">
        <v>20089</v>
      </c>
      <c r="I451" s="22" t="s">
        <v>19309</v>
      </c>
      <c r="J451" s="22" t="s">
        <v>19908</v>
      </c>
      <c r="K451" s="22" t="s">
        <v>19524</v>
      </c>
      <c r="L451" s="22"/>
      <c r="M451" s="22"/>
      <c r="N451" s="25" t="str">
        <f t="shared" si="3"/>
        <v xml:space="preserve">http://slimages.macys.com/is/image/MCY/1554688 </v>
      </c>
    </row>
    <row r="452" spans="1:14" ht="24.75" x14ac:dyDescent="0.25">
      <c r="A452" s="21" t="s">
        <v>16997</v>
      </c>
      <c r="B452" s="22" t="s">
        <v>16998</v>
      </c>
      <c r="C452" s="2">
        <v>1</v>
      </c>
      <c r="D452" s="23">
        <v>7.99</v>
      </c>
      <c r="E452" s="3">
        <v>7.99</v>
      </c>
      <c r="F452" s="2" t="s">
        <v>16984</v>
      </c>
      <c r="G452" s="22" t="s">
        <v>19431</v>
      </c>
      <c r="H452" s="24" t="s">
        <v>19907</v>
      </c>
      <c r="I452" s="22" t="s">
        <v>19309</v>
      </c>
      <c r="J452" s="22" t="s">
        <v>19908</v>
      </c>
      <c r="K452" s="22" t="s">
        <v>19524</v>
      </c>
      <c r="L452" s="22"/>
      <c r="M452" s="22"/>
      <c r="N452" s="25" t="str">
        <f t="shared" si="3"/>
        <v xml:space="preserve">http://slimages.macys.com/is/image/MCY/1554688 </v>
      </c>
    </row>
    <row r="453" spans="1:14" ht="24.75" x14ac:dyDescent="0.25">
      <c r="A453" s="21" t="s">
        <v>16990</v>
      </c>
      <c r="B453" s="22" t="s">
        <v>16991</v>
      </c>
      <c r="C453" s="2">
        <v>1</v>
      </c>
      <c r="D453" s="23">
        <v>7.99</v>
      </c>
      <c r="E453" s="3">
        <v>7.99</v>
      </c>
      <c r="F453" s="2" t="s">
        <v>16984</v>
      </c>
      <c r="G453" s="22" t="s">
        <v>19431</v>
      </c>
      <c r="H453" s="24" t="s">
        <v>20135</v>
      </c>
      <c r="I453" s="22" t="s">
        <v>19309</v>
      </c>
      <c r="J453" s="22" t="s">
        <v>19908</v>
      </c>
      <c r="K453" s="22" t="s">
        <v>19524</v>
      </c>
      <c r="L453" s="22"/>
      <c r="M453" s="22"/>
      <c r="N453" s="25" t="str">
        <f t="shared" si="3"/>
        <v xml:space="preserve">http://slimages.macys.com/is/image/MCY/1554688 </v>
      </c>
    </row>
    <row r="454" spans="1:14" ht="24.75" x14ac:dyDescent="0.25">
      <c r="A454" s="21" t="s">
        <v>17004</v>
      </c>
      <c r="B454" s="22" t="s">
        <v>17005</v>
      </c>
      <c r="C454" s="2">
        <v>1</v>
      </c>
      <c r="D454" s="23">
        <v>7.99</v>
      </c>
      <c r="E454" s="3">
        <v>7.99</v>
      </c>
      <c r="F454" s="2" t="s">
        <v>18969</v>
      </c>
      <c r="G454" s="22" t="s">
        <v>18439</v>
      </c>
      <c r="H454" s="24" t="s">
        <v>20135</v>
      </c>
      <c r="I454" s="22" t="s">
        <v>19309</v>
      </c>
      <c r="J454" s="22" t="s">
        <v>19908</v>
      </c>
      <c r="K454" s="22" t="s">
        <v>19524</v>
      </c>
      <c r="L454" s="22"/>
      <c r="M454" s="22"/>
      <c r="N454" s="25" t="str">
        <f>HYPERLINK("http://slimages.macys.com/is/image/MCY/22159414 ")</f>
        <v xml:space="preserve">http://slimages.macys.com/is/image/MCY/22159414 </v>
      </c>
    </row>
    <row r="455" spans="1:14" ht="24.75" x14ac:dyDescent="0.25">
      <c r="A455" s="21" t="s">
        <v>588</v>
      </c>
      <c r="B455" s="22" t="s">
        <v>589</v>
      </c>
      <c r="C455" s="2">
        <v>1</v>
      </c>
      <c r="D455" s="23">
        <v>7.99</v>
      </c>
      <c r="E455" s="3">
        <v>7.99</v>
      </c>
      <c r="F455" s="2" t="s">
        <v>18969</v>
      </c>
      <c r="G455" s="22" t="s">
        <v>18439</v>
      </c>
      <c r="H455" s="24" t="s">
        <v>19907</v>
      </c>
      <c r="I455" s="22" t="s">
        <v>19309</v>
      </c>
      <c r="J455" s="22" t="s">
        <v>19908</v>
      </c>
      <c r="K455" s="22" t="s">
        <v>19524</v>
      </c>
      <c r="L455" s="22"/>
      <c r="M455" s="22"/>
      <c r="N455" s="25" t="str">
        <f>HYPERLINK("http://slimages.macys.com/is/image/MCY/22159414 ")</f>
        <v xml:space="preserve">http://slimages.macys.com/is/image/MCY/22159414 </v>
      </c>
    </row>
    <row r="456" spans="1:14" ht="24.75" x14ac:dyDescent="0.25">
      <c r="A456" s="21" t="s">
        <v>590</v>
      </c>
      <c r="B456" s="22" t="s">
        <v>591</v>
      </c>
      <c r="C456" s="2">
        <v>1</v>
      </c>
      <c r="D456" s="23">
        <v>7.99</v>
      </c>
      <c r="E456" s="3">
        <v>7.99</v>
      </c>
      <c r="F456" s="2" t="s">
        <v>7973</v>
      </c>
      <c r="G456" s="22" t="s">
        <v>19338</v>
      </c>
      <c r="H456" s="24" t="s">
        <v>19907</v>
      </c>
      <c r="I456" s="22" t="s">
        <v>19309</v>
      </c>
      <c r="J456" s="22" t="s">
        <v>19908</v>
      </c>
      <c r="K456" s="22" t="s">
        <v>19524</v>
      </c>
      <c r="L456" s="22"/>
      <c r="M456" s="22"/>
      <c r="N456" s="25" t="str">
        <f>HYPERLINK("http://slimages.macys.com/is/image/MCY/21243366 ")</f>
        <v xml:space="preserve">http://slimages.macys.com/is/image/MCY/21243366 </v>
      </c>
    </row>
    <row r="457" spans="1:14" ht="24.75" x14ac:dyDescent="0.25">
      <c r="A457" s="21" t="s">
        <v>17010</v>
      </c>
      <c r="B457" s="22" t="s">
        <v>17011</v>
      </c>
      <c r="C457" s="2">
        <v>1</v>
      </c>
      <c r="D457" s="23">
        <v>7.99</v>
      </c>
      <c r="E457" s="3">
        <v>7.99</v>
      </c>
      <c r="F457" s="2" t="s">
        <v>18966</v>
      </c>
      <c r="G457" s="22" t="s">
        <v>19351</v>
      </c>
      <c r="H457" s="24" t="s">
        <v>20135</v>
      </c>
      <c r="I457" s="22" t="s">
        <v>19309</v>
      </c>
      <c r="J457" s="22" t="s">
        <v>19908</v>
      </c>
      <c r="K457" s="22" t="s">
        <v>19524</v>
      </c>
      <c r="L457" s="22"/>
      <c r="M457" s="22"/>
      <c r="N457" s="25" t="str">
        <f>HYPERLINK("http://slimages.macys.com/is/image/MCY/1537727 ")</f>
        <v xml:space="preserve">http://slimages.macys.com/is/image/MCY/1537727 </v>
      </c>
    </row>
    <row r="458" spans="1:14" ht="24.75" x14ac:dyDescent="0.25">
      <c r="A458" s="21" t="s">
        <v>14109</v>
      </c>
      <c r="B458" s="22" t="s">
        <v>14110</v>
      </c>
      <c r="C458" s="2">
        <v>1</v>
      </c>
      <c r="D458" s="23">
        <v>7.99</v>
      </c>
      <c r="E458" s="3">
        <v>7.99</v>
      </c>
      <c r="F458" s="2" t="s">
        <v>16987</v>
      </c>
      <c r="G458" s="22" t="s">
        <v>19351</v>
      </c>
      <c r="H458" s="24" t="s">
        <v>20135</v>
      </c>
      <c r="I458" s="22" t="s">
        <v>19309</v>
      </c>
      <c r="J458" s="22" t="s">
        <v>19908</v>
      </c>
      <c r="K458" s="22" t="s">
        <v>19524</v>
      </c>
      <c r="L458" s="22"/>
      <c r="M458" s="22"/>
      <c r="N458" s="25" t="str">
        <f>HYPERLINK("http://slimages.macys.com/is/image/MCY/1472593 ")</f>
        <v xml:space="preserve">http://slimages.macys.com/is/image/MCY/1472593 </v>
      </c>
    </row>
    <row r="459" spans="1:14" ht="24.75" x14ac:dyDescent="0.25">
      <c r="A459" s="21" t="s">
        <v>592</v>
      </c>
      <c r="B459" s="22" t="s">
        <v>593</v>
      </c>
      <c r="C459" s="2">
        <v>1</v>
      </c>
      <c r="D459" s="23">
        <v>7.99</v>
      </c>
      <c r="E459" s="3">
        <v>7.99</v>
      </c>
      <c r="F459" s="2" t="s">
        <v>594</v>
      </c>
      <c r="G459" s="22" t="s">
        <v>19351</v>
      </c>
      <c r="H459" s="24" t="s">
        <v>19907</v>
      </c>
      <c r="I459" s="22" t="s">
        <v>19309</v>
      </c>
      <c r="J459" s="22" t="s">
        <v>19908</v>
      </c>
      <c r="K459" s="22" t="s">
        <v>19524</v>
      </c>
      <c r="L459" s="22"/>
      <c r="M459" s="22"/>
      <c r="N459" s="25" t="str">
        <f>HYPERLINK("http://slimages.macys.com/is/image/MCY/21679580 ")</f>
        <v xml:space="preserve">http://slimages.macys.com/is/image/MCY/21679580 </v>
      </c>
    </row>
    <row r="460" spans="1:14" ht="24.75" x14ac:dyDescent="0.25">
      <c r="A460" s="21" t="s">
        <v>7961</v>
      </c>
      <c r="B460" s="22" t="s">
        <v>7962</v>
      </c>
      <c r="C460" s="2">
        <v>2</v>
      </c>
      <c r="D460" s="23">
        <v>7.99</v>
      </c>
      <c r="E460" s="3">
        <v>15.98</v>
      </c>
      <c r="F460" s="2" t="s">
        <v>18969</v>
      </c>
      <c r="G460" s="22" t="s">
        <v>18439</v>
      </c>
      <c r="H460" s="24" t="s">
        <v>19542</v>
      </c>
      <c r="I460" s="22" t="s">
        <v>19309</v>
      </c>
      <c r="J460" s="22" t="s">
        <v>19908</v>
      </c>
      <c r="K460" s="22" t="s">
        <v>19524</v>
      </c>
      <c r="L460" s="22"/>
      <c r="M460" s="22"/>
      <c r="N460" s="25" t="str">
        <f>HYPERLINK("http://slimages.macys.com/is/image/MCY/22158981 ")</f>
        <v xml:space="preserve">http://slimages.macys.com/is/image/MCY/22158981 </v>
      </c>
    </row>
    <row r="461" spans="1:14" ht="24.75" x14ac:dyDescent="0.25">
      <c r="A461" s="21" t="s">
        <v>595</v>
      </c>
      <c r="B461" s="22" t="s">
        <v>596</v>
      </c>
      <c r="C461" s="2">
        <v>1</v>
      </c>
      <c r="D461" s="23">
        <v>7.99</v>
      </c>
      <c r="E461" s="3">
        <v>7.99</v>
      </c>
      <c r="F461" s="2" t="s">
        <v>594</v>
      </c>
      <c r="G461" s="22" t="s">
        <v>19351</v>
      </c>
      <c r="H461" s="24" t="s">
        <v>19377</v>
      </c>
      <c r="I461" s="22" t="s">
        <v>19309</v>
      </c>
      <c r="J461" s="22" t="s">
        <v>19908</v>
      </c>
      <c r="K461" s="22" t="s">
        <v>19524</v>
      </c>
      <c r="L461" s="22"/>
      <c r="M461" s="22"/>
      <c r="N461" s="25" t="str">
        <f>HYPERLINK("http://slimages.macys.com/is/image/MCY/21679580 ")</f>
        <v xml:space="preserve">http://slimages.macys.com/is/image/MCY/21679580 </v>
      </c>
    </row>
    <row r="462" spans="1:14" ht="24.75" x14ac:dyDescent="0.25">
      <c r="A462" s="21" t="s">
        <v>7963</v>
      </c>
      <c r="B462" s="22" t="s">
        <v>7964</v>
      </c>
      <c r="C462" s="2">
        <v>1</v>
      </c>
      <c r="D462" s="23">
        <v>7.99</v>
      </c>
      <c r="E462" s="3">
        <v>7.99</v>
      </c>
      <c r="F462" s="2" t="s">
        <v>18969</v>
      </c>
      <c r="G462" s="22" t="s">
        <v>18439</v>
      </c>
      <c r="H462" s="24" t="s">
        <v>20089</v>
      </c>
      <c r="I462" s="22" t="s">
        <v>19309</v>
      </c>
      <c r="J462" s="22" t="s">
        <v>19908</v>
      </c>
      <c r="K462" s="22" t="s">
        <v>19524</v>
      </c>
      <c r="L462" s="22"/>
      <c r="M462" s="22"/>
      <c r="N462" s="25" t="str">
        <f>HYPERLINK("http://slimages.macys.com/is/image/MCY/22159414 ")</f>
        <v xml:space="preserve">http://slimages.macys.com/is/image/MCY/22159414 </v>
      </c>
    </row>
    <row r="463" spans="1:14" ht="24.75" x14ac:dyDescent="0.25">
      <c r="A463" s="21" t="s">
        <v>597</v>
      </c>
      <c r="B463" s="22" t="s">
        <v>598</v>
      </c>
      <c r="C463" s="2">
        <v>2</v>
      </c>
      <c r="D463" s="23">
        <v>7.99</v>
      </c>
      <c r="E463" s="3">
        <v>15.98</v>
      </c>
      <c r="F463" s="2" t="s">
        <v>18969</v>
      </c>
      <c r="G463" s="22" t="s">
        <v>18439</v>
      </c>
      <c r="H463" s="24" t="s">
        <v>19377</v>
      </c>
      <c r="I463" s="22" t="s">
        <v>19309</v>
      </c>
      <c r="J463" s="22" t="s">
        <v>19908</v>
      </c>
      <c r="K463" s="22" t="s">
        <v>19524</v>
      </c>
      <c r="L463" s="22"/>
      <c r="M463" s="22"/>
      <c r="N463" s="25" t="str">
        <f>HYPERLINK("http://slimages.macys.com/is/image/MCY/22158981 ")</f>
        <v xml:space="preserve">http://slimages.macys.com/is/image/MCY/22158981 </v>
      </c>
    </row>
    <row r="464" spans="1:14" ht="24.75" x14ac:dyDescent="0.25">
      <c r="A464" s="21" t="s">
        <v>18967</v>
      </c>
      <c r="B464" s="22" t="s">
        <v>18968</v>
      </c>
      <c r="C464" s="2">
        <v>1</v>
      </c>
      <c r="D464" s="23">
        <v>7.99</v>
      </c>
      <c r="E464" s="3">
        <v>7.99</v>
      </c>
      <c r="F464" s="2" t="s">
        <v>18969</v>
      </c>
      <c r="G464" s="22" t="s">
        <v>18439</v>
      </c>
      <c r="H464" s="24" t="s">
        <v>19361</v>
      </c>
      <c r="I464" s="22" t="s">
        <v>19309</v>
      </c>
      <c r="J464" s="22" t="s">
        <v>19908</v>
      </c>
      <c r="K464" s="22" t="s">
        <v>19524</v>
      </c>
      <c r="L464" s="22"/>
      <c r="M464" s="22"/>
      <c r="N464" s="25" t="str">
        <f>HYPERLINK("http://slimages.macys.com/is/image/MCY/22158981 ")</f>
        <v xml:space="preserve">http://slimages.macys.com/is/image/MCY/22158981 </v>
      </c>
    </row>
    <row r="465" spans="1:14" ht="24.75" x14ac:dyDescent="0.25">
      <c r="A465" s="21" t="s">
        <v>17025</v>
      </c>
      <c r="B465" s="22" t="s">
        <v>17026</v>
      </c>
      <c r="C465" s="2">
        <v>1</v>
      </c>
      <c r="D465" s="23">
        <v>7.99</v>
      </c>
      <c r="E465" s="3">
        <v>7.99</v>
      </c>
      <c r="F465" s="2" t="s">
        <v>17027</v>
      </c>
      <c r="G465" s="22" t="s">
        <v>19333</v>
      </c>
      <c r="H465" s="24" t="s">
        <v>20089</v>
      </c>
      <c r="I465" s="22" t="s">
        <v>19309</v>
      </c>
      <c r="J465" s="22" t="s">
        <v>19908</v>
      </c>
      <c r="K465" s="22" t="s">
        <v>19524</v>
      </c>
      <c r="L465" s="22"/>
      <c r="M465" s="22"/>
      <c r="N465" s="25" t="str">
        <f>HYPERLINK("http://slimages.macys.com/is/image/MCY/21433876 ")</f>
        <v xml:space="preserve">http://slimages.macys.com/is/image/MCY/21433876 </v>
      </c>
    </row>
    <row r="466" spans="1:14" ht="24.75" x14ac:dyDescent="0.25">
      <c r="A466" s="21" t="s">
        <v>599</v>
      </c>
      <c r="B466" s="22" t="s">
        <v>600</v>
      </c>
      <c r="C466" s="2">
        <v>1</v>
      </c>
      <c r="D466" s="23">
        <v>7.99</v>
      </c>
      <c r="E466" s="3">
        <v>7.99</v>
      </c>
      <c r="F466" s="2" t="s">
        <v>17027</v>
      </c>
      <c r="G466" s="22" t="s">
        <v>19333</v>
      </c>
      <c r="H466" s="24" t="s">
        <v>20135</v>
      </c>
      <c r="I466" s="22" t="s">
        <v>19309</v>
      </c>
      <c r="J466" s="22" t="s">
        <v>19908</v>
      </c>
      <c r="K466" s="22" t="s">
        <v>19524</v>
      </c>
      <c r="L466" s="22"/>
      <c r="M466" s="22"/>
      <c r="N466" s="25" t="str">
        <f>HYPERLINK("http://slimages.macys.com/is/image/MCY/21433876 ")</f>
        <v xml:space="preserve">http://slimages.macys.com/is/image/MCY/21433876 </v>
      </c>
    </row>
    <row r="467" spans="1:14" ht="24.75" x14ac:dyDescent="0.25">
      <c r="A467" s="21" t="s">
        <v>601</v>
      </c>
      <c r="B467" s="22" t="s">
        <v>602</v>
      </c>
      <c r="C467" s="2">
        <v>1</v>
      </c>
      <c r="D467" s="23">
        <v>7.99</v>
      </c>
      <c r="E467" s="3">
        <v>7.99</v>
      </c>
      <c r="F467" s="2" t="s">
        <v>14120</v>
      </c>
      <c r="G467" s="22" t="s">
        <v>19351</v>
      </c>
      <c r="H467" s="24" t="s">
        <v>20135</v>
      </c>
      <c r="I467" s="22" t="s">
        <v>19309</v>
      </c>
      <c r="J467" s="22" t="s">
        <v>19908</v>
      </c>
      <c r="K467" s="22" t="s">
        <v>19524</v>
      </c>
      <c r="L467" s="22"/>
      <c r="M467" s="22"/>
      <c r="N467" s="25" t="str">
        <f>HYPERLINK("http://slimages.macys.com/is/image/MCY/21433854 ")</f>
        <v xml:space="preserve">http://slimages.macys.com/is/image/MCY/21433854 </v>
      </c>
    </row>
    <row r="468" spans="1:14" ht="24.75" x14ac:dyDescent="0.25">
      <c r="A468" s="21" t="s">
        <v>13425</v>
      </c>
      <c r="B468" s="22" t="s">
        <v>13426</v>
      </c>
      <c r="C468" s="2">
        <v>1</v>
      </c>
      <c r="D468" s="23">
        <v>7.99</v>
      </c>
      <c r="E468" s="3">
        <v>7.99</v>
      </c>
      <c r="F468" s="2" t="s">
        <v>13427</v>
      </c>
      <c r="G468" s="22" t="s">
        <v>19351</v>
      </c>
      <c r="H468" s="24" t="s">
        <v>20089</v>
      </c>
      <c r="I468" s="22" t="s">
        <v>19309</v>
      </c>
      <c r="J468" s="22" t="s">
        <v>19908</v>
      </c>
      <c r="K468" s="22" t="s">
        <v>19524</v>
      </c>
      <c r="L468" s="22"/>
      <c r="M468" s="22"/>
      <c r="N468" s="25" t="str">
        <f>HYPERLINK("http://slimages.macys.com/is/image/MCY/21433893 ")</f>
        <v xml:space="preserve">http://slimages.macys.com/is/image/MCY/21433893 </v>
      </c>
    </row>
    <row r="469" spans="1:14" ht="24.75" x14ac:dyDescent="0.25">
      <c r="A469" s="21" t="s">
        <v>603</v>
      </c>
      <c r="B469" s="22" t="s">
        <v>6589</v>
      </c>
      <c r="C469" s="2">
        <v>1</v>
      </c>
      <c r="D469" s="23">
        <v>7.99</v>
      </c>
      <c r="E469" s="3">
        <v>7.99</v>
      </c>
      <c r="F469" s="2" t="s">
        <v>604</v>
      </c>
      <c r="G469" s="22" t="s">
        <v>19351</v>
      </c>
      <c r="H469" s="24" t="s">
        <v>19361</v>
      </c>
      <c r="I469" s="22" t="s">
        <v>19309</v>
      </c>
      <c r="J469" s="22" t="s">
        <v>19908</v>
      </c>
      <c r="K469" s="22" t="s">
        <v>19524</v>
      </c>
      <c r="L469" s="22"/>
      <c r="M469" s="22"/>
      <c r="N469" s="25" t="str">
        <f>HYPERLINK("http://slimages.macys.com/is/image/MCY/21569878 ")</f>
        <v xml:space="preserve">http://slimages.macys.com/is/image/MCY/21569878 </v>
      </c>
    </row>
    <row r="470" spans="1:14" ht="24.75" x14ac:dyDescent="0.25">
      <c r="A470" s="21" t="s">
        <v>605</v>
      </c>
      <c r="B470" s="22" t="s">
        <v>606</v>
      </c>
      <c r="C470" s="2">
        <v>1</v>
      </c>
      <c r="D470" s="23">
        <v>7.99</v>
      </c>
      <c r="E470" s="3">
        <v>7.99</v>
      </c>
      <c r="F470" s="2" t="s">
        <v>18975</v>
      </c>
      <c r="G470" s="22" t="s">
        <v>19518</v>
      </c>
      <c r="H470" s="24" t="s">
        <v>19392</v>
      </c>
      <c r="I470" s="22" t="s">
        <v>19309</v>
      </c>
      <c r="J470" s="22" t="s">
        <v>19815</v>
      </c>
      <c r="K470" s="22" t="s">
        <v>19816</v>
      </c>
      <c r="L470" s="22"/>
      <c r="M470" s="22"/>
      <c r="N470" s="25" t="str">
        <f>HYPERLINK("http://slimages.macys.com/is/image/MCY/23423563 ")</f>
        <v xml:space="preserve">http://slimages.macys.com/is/image/MCY/23423563 </v>
      </c>
    </row>
    <row r="471" spans="1:14" ht="24.75" x14ac:dyDescent="0.25">
      <c r="A471" s="21" t="s">
        <v>607</v>
      </c>
      <c r="B471" s="22" t="s">
        <v>608</v>
      </c>
      <c r="C471" s="2">
        <v>1</v>
      </c>
      <c r="D471" s="23">
        <v>8.99</v>
      </c>
      <c r="E471" s="3">
        <v>8.99</v>
      </c>
      <c r="F471" s="2" t="s">
        <v>9656</v>
      </c>
      <c r="G471" s="22" t="s">
        <v>19315</v>
      </c>
      <c r="H471" s="24" t="s">
        <v>19324</v>
      </c>
      <c r="I471" s="22" t="s">
        <v>19309</v>
      </c>
      <c r="J471" s="22" t="s">
        <v>19573</v>
      </c>
      <c r="K471" s="22" t="s">
        <v>19574</v>
      </c>
      <c r="L471" s="22"/>
      <c r="M471" s="22"/>
      <c r="N471" s="25" t="str">
        <f>HYPERLINK("http://slimages.macys.com/is/image/MCY/1537013 ")</f>
        <v xml:space="preserve">http://slimages.macys.com/is/image/MCY/1537013 </v>
      </c>
    </row>
    <row r="472" spans="1:14" ht="24.75" x14ac:dyDescent="0.25">
      <c r="A472" s="21" t="s">
        <v>609</v>
      </c>
      <c r="B472" s="22" t="s">
        <v>610</v>
      </c>
      <c r="C472" s="2">
        <v>3</v>
      </c>
      <c r="D472" s="23">
        <v>7.99</v>
      </c>
      <c r="E472" s="3">
        <v>23.97</v>
      </c>
      <c r="F472" s="2" t="s">
        <v>8607</v>
      </c>
      <c r="G472" s="22" t="s">
        <v>19518</v>
      </c>
      <c r="H472" s="24" t="s">
        <v>19907</v>
      </c>
      <c r="I472" s="22" t="s">
        <v>19309</v>
      </c>
      <c r="J472" s="22" t="s">
        <v>19573</v>
      </c>
      <c r="K472" s="22" t="s">
        <v>19574</v>
      </c>
      <c r="L472" s="22"/>
      <c r="M472" s="22"/>
      <c r="N472" s="25" t="str">
        <f>HYPERLINK("http://slimages.macys.com/is/image/MCY/21089263 ")</f>
        <v xml:space="preserve">http://slimages.macys.com/is/image/MCY/21089263 </v>
      </c>
    </row>
    <row r="473" spans="1:14" ht="24.75" x14ac:dyDescent="0.25">
      <c r="A473" s="21" t="s">
        <v>8605</v>
      </c>
      <c r="B473" s="22" t="s">
        <v>8606</v>
      </c>
      <c r="C473" s="2">
        <v>1</v>
      </c>
      <c r="D473" s="23">
        <v>7.99</v>
      </c>
      <c r="E473" s="3">
        <v>7.99</v>
      </c>
      <c r="F473" s="2" t="s">
        <v>8607</v>
      </c>
      <c r="G473" s="22" t="s">
        <v>19518</v>
      </c>
      <c r="H473" s="24" t="s">
        <v>20089</v>
      </c>
      <c r="I473" s="22" t="s">
        <v>19309</v>
      </c>
      <c r="J473" s="22" t="s">
        <v>19573</v>
      </c>
      <c r="K473" s="22" t="s">
        <v>19574</v>
      </c>
      <c r="L473" s="22"/>
      <c r="M473" s="22"/>
      <c r="N473" s="25" t="str">
        <f>HYPERLINK("http://slimages.macys.com/is/image/MCY/21089263 ")</f>
        <v xml:space="preserve">http://slimages.macys.com/is/image/MCY/21089263 </v>
      </c>
    </row>
    <row r="474" spans="1:14" ht="24.75" x14ac:dyDescent="0.25">
      <c r="A474" s="21" t="s">
        <v>3128</v>
      </c>
      <c r="B474" s="22" t="s">
        <v>3129</v>
      </c>
      <c r="C474" s="2">
        <v>1</v>
      </c>
      <c r="D474" s="23">
        <v>7.99</v>
      </c>
      <c r="E474" s="3">
        <v>7.99</v>
      </c>
      <c r="F474" s="2" t="s">
        <v>14691</v>
      </c>
      <c r="G474" s="22" t="s">
        <v>19323</v>
      </c>
      <c r="H474" s="24" t="s">
        <v>19352</v>
      </c>
      <c r="I474" s="22" t="s">
        <v>19309</v>
      </c>
      <c r="J474" s="22" t="s">
        <v>19353</v>
      </c>
      <c r="K474" s="22" t="s">
        <v>19524</v>
      </c>
      <c r="L474" s="22"/>
      <c r="M474" s="22"/>
      <c r="N474" s="25" t="str">
        <f>HYPERLINK("http://slimages.macys.com/is/image/MCY/19266430 ")</f>
        <v xml:space="preserve">http://slimages.macys.com/is/image/MCY/19266430 </v>
      </c>
    </row>
    <row r="475" spans="1:14" ht="24.75" x14ac:dyDescent="0.25">
      <c r="A475" s="21" t="s">
        <v>611</v>
      </c>
      <c r="B475" s="22" t="s">
        <v>612</v>
      </c>
      <c r="C475" s="2">
        <v>2</v>
      </c>
      <c r="D475" s="23">
        <v>8.99</v>
      </c>
      <c r="E475" s="3">
        <v>17.98</v>
      </c>
      <c r="F475" s="2" t="s">
        <v>613</v>
      </c>
      <c r="G475" s="22" t="s">
        <v>19477</v>
      </c>
      <c r="H475" s="24" t="s">
        <v>19538</v>
      </c>
      <c r="I475" s="22" t="s">
        <v>19309</v>
      </c>
      <c r="J475" s="22" t="s">
        <v>19573</v>
      </c>
      <c r="K475" s="22" t="s">
        <v>19574</v>
      </c>
      <c r="L475" s="22"/>
      <c r="M475" s="22"/>
      <c r="N475" s="25" t="str">
        <f>HYPERLINK("http://slimages.macys.com/is/image/MCY/1537013 ")</f>
        <v xml:space="preserve">http://slimages.macys.com/is/image/MCY/1537013 </v>
      </c>
    </row>
    <row r="476" spans="1:14" ht="24.75" x14ac:dyDescent="0.25">
      <c r="A476" s="21" t="s">
        <v>614</v>
      </c>
      <c r="B476" s="22" t="s">
        <v>615</v>
      </c>
      <c r="C476" s="2">
        <v>4</v>
      </c>
      <c r="D476" s="23">
        <v>8.99</v>
      </c>
      <c r="E476" s="3">
        <v>35.96</v>
      </c>
      <c r="F476" s="2" t="s">
        <v>613</v>
      </c>
      <c r="G476" s="22" t="s">
        <v>19477</v>
      </c>
      <c r="H476" s="24" t="s">
        <v>19324</v>
      </c>
      <c r="I476" s="22" t="s">
        <v>19309</v>
      </c>
      <c r="J476" s="22" t="s">
        <v>19573</v>
      </c>
      <c r="K476" s="22" t="s">
        <v>19574</v>
      </c>
      <c r="L476" s="22"/>
      <c r="M476" s="22"/>
      <c r="N476" s="25" t="str">
        <f>HYPERLINK("http://slimages.macys.com/is/image/MCY/1537013 ")</f>
        <v xml:space="preserve">http://slimages.macys.com/is/image/MCY/1537013 </v>
      </c>
    </row>
    <row r="477" spans="1:14" ht="24.75" x14ac:dyDescent="0.25">
      <c r="A477" s="21" t="s">
        <v>12540</v>
      </c>
      <c r="B477" s="22" t="s">
        <v>12541</v>
      </c>
      <c r="C477" s="2">
        <v>2</v>
      </c>
      <c r="D477" s="23">
        <v>8.99</v>
      </c>
      <c r="E477" s="3">
        <v>17.98</v>
      </c>
      <c r="F477" s="2" t="s">
        <v>12542</v>
      </c>
      <c r="G477" s="22" t="s">
        <v>19462</v>
      </c>
      <c r="H477" s="24" t="s">
        <v>19416</v>
      </c>
      <c r="I477" s="22" t="s">
        <v>19309</v>
      </c>
      <c r="J477" s="22" t="s">
        <v>19573</v>
      </c>
      <c r="K477" s="22" t="s">
        <v>19574</v>
      </c>
      <c r="L477" s="22"/>
      <c r="M477" s="22"/>
      <c r="N477" s="25" t="str">
        <f t="shared" ref="N477:N482" si="4">HYPERLINK("http://slimages.macys.com/is/image/MCY/1520532 ")</f>
        <v xml:space="preserve">http://slimages.macys.com/is/image/MCY/1520532 </v>
      </c>
    </row>
    <row r="478" spans="1:14" ht="24.75" x14ac:dyDescent="0.25">
      <c r="A478" s="21" t="s">
        <v>616</v>
      </c>
      <c r="B478" s="22" t="s">
        <v>617</v>
      </c>
      <c r="C478" s="2">
        <v>4</v>
      </c>
      <c r="D478" s="23">
        <v>8.99</v>
      </c>
      <c r="E478" s="3">
        <v>35.96</v>
      </c>
      <c r="F478" s="2" t="s">
        <v>12542</v>
      </c>
      <c r="G478" s="22" t="s">
        <v>19462</v>
      </c>
      <c r="H478" s="24" t="s">
        <v>19384</v>
      </c>
      <c r="I478" s="22" t="s">
        <v>19309</v>
      </c>
      <c r="J478" s="22" t="s">
        <v>19573</v>
      </c>
      <c r="K478" s="22" t="s">
        <v>19574</v>
      </c>
      <c r="L478" s="22"/>
      <c r="M478" s="22"/>
      <c r="N478" s="25" t="str">
        <f t="shared" si="4"/>
        <v xml:space="preserve">http://slimages.macys.com/is/image/MCY/1520532 </v>
      </c>
    </row>
    <row r="479" spans="1:14" ht="24.75" x14ac:dyDescent="0.25">
      <c r="A479" s="21" t="s">
        <v>12543</v>
      </c>
      <c r="B479" s="22" t="s">
        <v>12544</v>
      </c>
      <c r="C479" s="2">
        <v>4</v>
      </c>
      <c r="D479" s="23">
        <v>8.99</v>
      </c>
      <c r="E479" s="3">
        <v>35.96</v>
      </c>
      <c r="F479" s="2" t="s">
        <v>12542</v>
      </c>
      <c r="G479" s="22" t="s">
        <v>19462</v>
      </c>
      <c r="H479" s="24" t="s">
        <v>19324</v>
      </c>
      <c r="I479" s="22" t="s">
        <v>19309</v>
      </c>
      <c r="J479" s="22" t="s">
        <v>19573</v>
      </c>
      <c r="K479" s="22" t="s">
        <v>19574</v>
      </c>
      <c r="L479" s="22"/>
      <c r="M479" s="22"/>
      <c r="N479" s="25" t="str">
        <f t="shared" si="4"/>
        <v xml:space="preserve">http://slimages.macys.com/is/image/MCY/1520532 </v>
      </c>
    </row>
    <row r="480" spans="1:14" ht="24.75" x14ac:dyDescent="0.25">
      <c r="A480" s="21" t="s">
        <v>618</v>
      </c>
      <c r="B480" s="22" t="s">
        <v>619</v>
      </c>
      <c r="C480" s="2">
        <v>3</v>
      </c>
      <c r="D480" s="23">
        <v>8.99</v>
      </c>
      <c r="E480" s="3">
        <v>26.97</v>
      </c>
      <c r="F480" s="2" t="s">
        <v>12542</v>
      </c>
      <c r="G480" s="22" t="s">
        <v>19462</v>
      </c>
      <c r="H480" s="24" t="s">
        <v>19330</v>
      </c>
      <c r="I480" s="22" t="s">
        <v>19309</v>
      </c>
      <c r="J480" s="22" t="s">
        <v>19573</v>
      </c>
      <c r="K480" s="22" t="s">
        <v>19574</v>
      </c>
      <c r="L480" s="22"/>
      <c r="M480" s="22"/>
      <c r="N480" s="25" t="str">
        <f t="shared" si="4"/>
        <v xml:space="preserve">http://slimages.macys.com/is/image/MCY/1520532 </v>
      </c>
    </row>
    <row r="481" spans="1:14" ht="24.75" x14ac:dyDescent="0.25">
      <c r="A481" s="21" t="s">
        <v>3559</v>
      </c>
      <c r="B481" s="22" t="s">
        <v>3560</v>
      </c>
      <c r="C481" s="2">
        <v>3</v>
      </c>
      <c r="D481" s="23">
        <v>8.99</v>
      </c>
      <c r="E481" s="3">
        <v>26.97</v>
      </c>
      <c r="F481" s="2" t="s">
        <v>12542</v>
      </c>
      <c r="G481" s="22" t="s">
        <v>19462</v>
      </c>
      <c r="H481" s="24"/>
      <c r="I481" s="22" t="s">
        <v>19309</v>
      </c>
      <c r="J481" s="22" t="s">
        <v>19573</v>
      </c>
      <c r="K481" s="22" t="s">
        <v>19574</v>
      </c>
      <c r="L481" s="22"/>
      <c r="M481" s="22"/>
      <c r="N481" s="25" t="str">
        <f t="shared" si="4"/>
        <v xml:space="preserve">http://slimages.macys.com/is/image/MCY/1520532 </v>
      </c>
    </row>
    <row r="482" spans="1:14" ht="24.75" x14ac:dyDescent="0.25">
      <c r="A482" s="21" t="s">
        <v>3130</v>
      </c>
      <c r="B482" s="22" t="s">
        <v>3131</v>
      </c>
      <c r="C482" s="2">
        <v>4</v>
      </c>
      <c r="D482" s="23">
        <v>8.99</v>
      </c>
      <c r="E482" s="3">
        <v>35.96</v>
      </c>
      <c r="F482" s="2" t="s">
        <v>12542</v>
      </c>
      <c r="G482" s="22" t="s">
        <v>19462</v>
      </c>
      <c r="H482" s="24" t="s">
        <v>19538</v>
      </c>
      <c r="I482" s="22" t="s">
        <v>19309</v>
      </c>
      <c r="J482" s="22" t="s">
        <v>19573</v>
      </c>
      <c r="K482" s="22" t="s">
        <v>19574</v>
      </c>
      <c r="L482" s="22"/>
      <c r="M482" s="22"/>
      <c r="N482" s="25" t="str">
        <f t="shared" si="4"/>
        <v xml:space="preserve">http://slimages.macys.com/is/image/MCY/1520532 </v>
      </c>
    </row>
    <row r="483" spans="1:14" ht="24.75" x14ac:dyDescent="0.25">
      <c r="A483" s="21" t="s">
        <v>620</v>
      </c>
      <c r="B483" s="22" t="s">
        <v>621</v>
      </c>
      <c r="C483" s="2">
        <v>3</v>
      </c>
      <c r="D483" s="23">
        <v>8.99</v>
      </c>
      <c r="E483" s="3">
        <v>26.97</v>
      </c>
      <c r="F483" s="2" t="s">
        <v>613</v>
      </c>
      <c r="G483" s="22" t="s">
        <v>19477</v>
      </c>
      <c r="H483" s="24" t="s">
        <v>19416</v>
      </c>
      <c r="I483" s="22" t="s">
        <v>19309</v>
      </c>
      <c r="J483" s="22" t="s">
        <v>19573</v>
      </c>
      <c r="K483" s="22" t="s">
        <v>19574</v>
      </c>
      <c r="L483" s="22"/>
      <c r="M483" s="22"/>
      <c r="N483" s="25" t="str">
        <f>HYPERLINK("http://slimages.macys.com/is/image/MCY/1537013 ")</f>
        <v xml:space="preserve">http://slimages.macys.com/is/image/MCY/1537013 </v>
      </c>
    </row>
    <row r="484" spans="1:14" ht="24.75" x14ac:dyDescent="0.25">
      <c r="A484" s="21" t="s">
        <v>622</v>
      </c>
      <c r="B484" s="22" t="s">
        <v>623</v>
      </c>
      <c r="C484" s="2">
        <v>2</v>
      </c>
      <c r="D484" s="23">
        <v>8.99</v>
      </c>
      <c r="E484" s="3">
        <v>17.98</v>
      </c>
      <c r="F484" s="2" t="s">
        <v>613</v>
      </c>
      <c r="G484" s="22" t="s">
        <v>19477</v>
      </c>
      <c r="H484" s="24"/>
      <c r="I484" s="22" t="s">
        <v>19309</v>
      </c>
      <c r="J484" s="22" t="s">
        <v>19573</v>
      </c>
      <c r="K484" s="22" t="s">
        <v>19574</v>
      </c>
      <c r="L484" s="22"/>
      <c r="M484" s="22"/>
      <c r="N484" s="25" t="str">
        <f>HYPERLINK("http://slimages.macys.com/is/image/MCY/1537013 ")</f>
        <v xml:space="preserve">http://slimages.macys.com/is/image/MCY/1537013 </v>
      </c>
    </row>
    <row r="485" spans="1:14" ht="24.75" x14ac:dyDescent="0.25">
      <c r="A485" s="21" t="s">
        <v>624</v>
      </c>
      <c r="B485" s="22" t="s">
        <v>625</v>
      </c>
      <c r="C485" s="2">
        <v>4</v>
      </c>
      <c r="D485" s="23">
        <v>8.99</v>
      </c>
      <c r="E485" s="3">
        <v>35.96</v>
      </c>
      <c r="F485" s="2" t="s">
        <v>613</v>
      </c>
      <c r="G485" s="22" t="s">
        <v>19477</v>
      </c>
      <c r="H485" s="24" t="s">
        <v>19384</v>
      </c>
      <c r="I485" s="22" t="s">
        <v>19309</v>
      </c>
      <c r="J485" s="22" t="s">
        <v>19573</v>
      </c>
      <c r="K485" s="22" t="s">
        <v>19574</v>
      </c>
      <c r="L485" s="22"/>
      <c r="M485" s="22"/>
      <c r="N485" s="25" t="str">
        <f>HYPERLINK("http://slimages.macys.com/is/image/MCY/1537013 ")</f>
        <v xml:space="preserve">http://slimages.macys.com/is/image/MCY/1537013 </v>
      </c>
    </row>
    <row r="486" spans="1:14" ht="24.75" x14ac:dyDescent="0.25">
      <c r="A486" s="21" t="s">
        <v>626</v>
      </c>
      <c r="B486" s="22" t="s">
        <v>627</v>
      </c>
      <c r="C486" s="2">
        <v>1</v>
      </c>
      <c r="D486" s="23">
        <v>8.99</v>
      </c>
      <c r="E486" s="3">
        <v>8.99</v>
      </c>
      <c r="F486" s="2" t="s">
        <v>613</v>
      </c>
      <c r="G486" s="22" t="s">
        <v>19477</v>
      </c>
      <c r="H486" s="24" t="s">
        <v>19330</v>
      </c>
      <c r="I486" s="22" t="s">
        <v>19309</v>
      </c>
      <c r="J486" s="22" t="s">
        <v>19573</v>
      </c>
      <c r="K486" s="22" t="s">
        <v>19574</v>
      </c>
      <c r="L486" s="22"/>
      <c r="M486" s="22"/>
      <c r="N486" s="25" t="str">
        <f>HYPERLINK("http://slimages.macys.com/is/image/MCY/1537013 ")</f>
        <v xml:space="preserve">http://slimages.macys.com/is/image/MCY/1537013 </v>
      </c>
    </row>
    <row r="487" spans="1:14" ht="24.75" x14ac:dyDescent="0.25">
      <c r="A487" s="21" t="s">
        <v>14133</v>
      </c>
      <c r="B487" s="22" t="s">
        <v>14134</v>
      </c>
      <c r="C487" s="2">
        <v>3</v>
      </c>
      <c r="D487" s="23">
        <v>8.99</v>
      </c>
      <c r="E487" s="3">
        <v>26.97</v>
      </c>
      <c r="F487" s="2" t="s">
        <v>18984</v>
      </c>
      <c r="G487" s="22" t="s">
        <v>19814</v>
      </c>
      <c r="H487" s="24" t="s">
        <v>19364</v>
      </c>
      <c r="I487" s="22" t="s">
        <v>19309</v>
      </c>
      <c r="J487" s="22" t="s">
        <v>19815</v>
      </c>
      <c r="K487" s="22" t="s">
        <v>19816</v>
      </c>
      <c r="L487" s="22"/>
      <c r="M487" s="22"/>
      <c r="N487" s="25" t="str">
        <f>HYPERLINK("http://slimages.macys.com/is/image/MCY/21278530 ")</f>
        <v xml:space="preserve">http://slimages.macys.com/is/image/MCY/21278530 </v>
      </c>
    </row>
    <row r="488" spans="1:14" ht="24.75" x14ac:dyDescent="0.25">
      <c r="A488" s="21" t="s">
        <v>628</v>
      </c>
      <c r="B488" s="22" t="s">
        <v>629</v>
      </c>
      <c r="C488" s="2">
        <v>1</v>
      </c>
      <c r="D488" s="23">
        <v>8.99</v>
      </c>
      <c r="E488" s="3">
        <v>8.99</v>
      </c>
      <c r="F488" s="2" t="s">
        <v>18984</v>
      </c>
      <c r="G488" s="22" t="s">
        <v>19518</v>
      </c>
      <c r="H488" s="24" t="s">
        <v>19308</v>
      </c>
      <c r="I488" s="22" t="s">
        <v>19309</v>
      </c>
      <c r="J488" s="22" t="s">
        <v>19815</v>
      </c>
      <c r="K488" s="22" t="s">
        <v>19816</v>
      </c>
      <c r="L488" s="22"/>
      <c r="M488" s="22"/>
      <c r="N488" s="25" t="str">
        <f>HYPERLINK("http://slimages.macys.com/is/image/MCY/1520506 ")</f>
        <v xml:space="preserve">http://slimages.macys.com/is/image/MCY/1520506 </v>
      </c>
    </row>
    <row r="489" spans="1:14" ht="24.75" x14ac:dyDescent="0.25">
      <c r="A489" s="21" t="s">
        <v>9660</v>
      </c>
      <c r="B489" s="22" t="s">
        <v>9661</v>
      </c>
      <c r="C489" s="2">
        <v>1</v>
      </c>
      <c r="D489" s="23">
        <v>8.99</v>
      </c>
      <c r="E489" s="3">
        <v>8.99</v>
      </c>
      <c r="F489" s="2" t="s">
        <v>18984</v>
      </c>
      <c r="G489" s="22" t="s">
        <v>18429</v>
      </c>
      <c r="H489" s="24" t="s">
        <v>19339</v>
      </c>
      <c r="I489" s="22" t="s">
        <v>19309</v>
      </c>
      <c r="J489" s="22" t="s">
        <v>19815</v>
      </c>
      <c r="K489" s="22" t="s">
        <v>19816</v>
      </c>
      <c r="L489" s="22"/>
      <c r="M489" s="22"/>
      <c r="N489" s="25" t="str">
        <f>HYPERLINK("http://slimages.macys.com/is/image/MCY/21278530 ")</f>
        <v xml:space="preserve">http://slimages.macys.com/is/image/MCY/21278530 </v>
      </c>
    </row>
    <row r="490" spans="1:14" ht="24.75" x14ac:dyDescent="0.25">
      <c r="A490" s="21" t="s">
        <v>14131</v>
      </c>
      <c r="B490" s="22" t="s">
        <v>14132</v>
      </c>
      <c r="C490" s="2">
        <v>2</v>
      </c>
      <c r="D490" s="23">
        <v>8.99</v>
      </c>
      <c r="E490" s="3">
        <v>17.98</v>
      </c>
      <c r="F490" s="2" t="s">
        <v>18984</v>
      </c>
      <c r="G490" s="22" t="s">
        <v>18429</v>
      </c>
      <c r="H490" s="24" t="s">
        <v>19364</v>
      </c>
      <c r="I490" s="22" t="s">
        <v>19309</v>
      </c>
      <c r="J490" s="22" t="s">
        <v>19815</v>
      </c>
      <c r="K490" s="22" t="s">
        <v>19816</v>
      </c>
      <c r="L490" s="22"/>
      <c r="M490" s="22"/>
      <c r="N490" s="25" t="str">
        <f>HYPERLINK("http://slimages.macys.com/is/image/MCY/21278530 ")</f>
        <v xml:space="preserve">http://slimages.macys.com/is/image/MCY/21278530 </v>
      </c>
    </row>
    <row r="491" spans="1:14" ht="24.75" x14ac:dyDescent="0.25">
      <c r="A491" s="21" t="s">
        <v>630</v>
      </c>
      <c r="B491" s="22" t="s">
        <v>631</v>
      </c>
      <c r="C491" s="2">
        <v>1</v>
      </c>
      <c r="D491" s="23">
        <v>7.99</v>
      </c>
      <c r="E491" s="3">
        <v>7.99</v>
      </c>
      <c r="F491" s="2" t="s">
        <v>632</v>
      </c>
      <c r="G491" s="22" t="s">
        <v>19467</v>
      </c>
      <c r="H491" s="24" t="s">
        <v>19907</v>
      </c>
      <c r="I491" s="22" t="s">
        <v>19309</v>
      </c>
      <c r="J491" s="22" t="s">
        <v>19573</v>
      </c>
      <c r="K491" s="22" t="s">
        <v>19574</v>
      </c>
      <c r="L491" s="22"/>
      <c r="M491" s="22"/>
      <c r="N491" s="25" t="str">
        <f>HYPERLINK("http://slimages.macys.com/is/image/MCY/21209516 ")</f>
        <v xml:space="preserve">http://slimages.macys.com/is/image/MCY/21209516 </v>
      </c>
    </row>
    <row r="492" spans="1:14" ht="24.75" x14ac:dyDescent="0.25">
      <c r="A492" s="21" t="s">
        <v>633</v>
      </c>
      <c r="B492" s="22" t="s">
        <v>634</v>
      </c>
      <c r="C492" s="2">
        <v>1</v>
      </c>
      <c r="D492" s="23">
        <v>7.99</v>
      </c>
      <c r="E492" s="3">
        <v>7.99</v>
      </c>
      <c r="F492" s="2" t="s">
        <v>632</v>
      </c>
      <c r="G492" s="22" t="s">
        <v>19467</v>
      </c>
      <c r="H492" s="24" t="s">
        <v>20135</v>
      </c>
      <c r="I492" s="22" t="s">
        <v>19309</v>
      </c>
      <c r="J492" s="22" t="s">
        <v>19573</v>
      </c>
      <c r="K492" s="22" t="s">
        <v>19574</v>
      </c>
      <c r="L492" s="22"/>
      <c r="M492" s="22"/>
      <c r="N492" s="25" t="str">
        <f>HYPERLINK("http://slimages.macys.com/is/image/MCY/21209516 ")</f>
        <v xml:space="preserve">http://slimages.macys.com/is/image/MCY/21209516 </v>
      </c>
    </row>
    <row r="493" spans="1:14" ht="24.75" x14ac:dyDescent="0.25">
      <c r="A493" s="21" t="s">
        <v>635</v>
      </c>
      <c r="B493" s="22" t="s">
        <v>636</v>
      </c>
      <c r="C493" s="2">
        <v>1</v>
      </c>
      <c r="D493" s="23">
        <v>7.99</v>
      </c>
      <c r="E493" s="3">
        <v>7.99</v>
      </c>
      <c r="F493" s="2" t="s">
        <v>632</v>
      </c>
      <c r="G493" s="22" t="s">
        <v>19467</v>
      </c>
      <c r="H493" s="24" t="s">
        <v>20089</v>
      </c>
      <c r="I493" s="22" t="s">
        <v>19309</v>
      </c>
      <c r="J493" s="22" t="s">
        <v>19573</v>
      </c>
      <c r="K493" s="22" t="s">
        <v>19574</v>
      </c>
      <c r="L493" s="22"/>
      <c r="M493" s="22"/>
      <c r="N493" s="25" t="str">
        <f>HYPERLINK("http://slimages.macys.com/is/image/MCY/21209516 ")</f>
        <v xml:space="preserve">http://slimages.macys.com/is/image/MCY/21209516 </v>
      </c>
    </row>
    <row r="494" spans="1:14" ht="24.75" x14ac:dyDescent="0.25">
      <c r="A494" s="21" t="s">
        <v>13439</v>
      </c>
      <c r="B494" s="22" t="s">
        <v>13440</v>
      </c>
      <c r="C494" s="2">
        <v>1</v>
      </c>
      <c r="D494" s="23">
        <v>7.99</v>
      </c>
      <c r="E494" s="3">
        <v>7.99</v>
      </c>
      <c r="F494" s="2" t="s">
        <v>14712</v>
      </c>
      <c r="G494" s="22" t="s">
        <v>19467</v>
      </c>
      <c r="H494" s="24" t="s">
        <v>20089</v>
      </c>
      <c r="I494" s="22" t="s">
        <v>19309</v>
      </c>
      <c r="J494" s="22" t="s">
        <v>19573</v>
      </c>
      <c r="K494" s="22" t="s">
        <v>19574</v>
      </c>
      <c r="L494" s="22"/>
      <c r="M494" s="22"/>
      <c r="N494" s="25" t="str">
        <f>HYPERLINK("http://slimages.macys.com/is/image/MCY/22290702 ")</f>
        <v xml:space="preserve">http://slimages.macys.com/is/image/MCY/22290702 </v>
      </c>
    </row>
    <row r="495" spans="1:14" ht="24.75" x14ac:dyDescent="0.25">
      <c r="A495" s="21" t="s">
        <v>10079</v>
      </c>
      <c r="B495" s="22" t="s">
        <v>10080</v>
      </c>
      <c r="C495" s="2">
        <v>3</v>
      </c>
      <c r="D495" s="23">
        <v>7.99</v>
      </c>
      <c r="E495" s="3">
        <v>23.97</v>
      </c>
      <c r="F495" s="2" t="s">
        <v>10081</v>
      </c>
      <c r="G495" s="22" t="s">
        <v>19431</v>
      </c>
      <c r="H495" s="24" t="s">
        <v>19907</v>
      </c>
      <c r="I495" s="22" t="s">
        <v>19309</v>
      </c>
      <c r="J495" s="22" t="s">
        <v>19573</v>
      </c>
      <c r="K495" s="22" t="s">
        <v>19574</v>
      </c>
      <c r="L495" s="22"/>
      <c r="M495" s="22"/>
      <c r="N495" s="25" t="str">
        <f>HYPERLINK("http://slimages.macys.com/is/image/MCY/21209149 ")</f>
        <v xml:space="preserve">http://slimages.macys.com/is/image/MCY/21209149 </v>
      </c>
    </row>
    <row r="496" spans="1:14" ht="24.75" x14ac:dyDescent="0.25">
      <c r="A496" s="21" t="s">
        <v>3566</v>
      </c>
      <c r="B496" s="22" t="s">
        <v>3567</v>
      </c>
      <c r="C496" s="2">
        <v>2</v>
      </c>
      <c r="D496" s="23">
        <v>7.99</v>
      </c>
      <c r="E496" s="3">
        <v>15.98</v>
      </c>
      <c r="F496" s="2" t="s">
        <v>10081</v>
      </c>
      <c r="G496" s="22" t="s">
        <v>19431</v>
      </c>
      <c r="H496" s="24" t="s">
        <v>20089</v>
      </c>
      <c r="I496" s="22" t="s">
        <v>19309</v>
      </c>
      <c r="J496" s="22" t="s">
        <v>19573</v>
      </c>
      <c r="K496" s="22" t="s">
        <v>19574</v>
      </c>
      <c r="L496" s="22"/>
      <c r="M496" s="22"/>
      <c r="N496" s="25" t="str">
        <f>HYPERLINK("http://slimages.macys.com/is/image/MCY/21209149 ")</f>
        <v xml:space="preserve">http://slimages.macys.com/is/image/MCY/21209149 </v>
      </c>
    </row>
    <row r="497" spans="1:14" ht="24.75" x14ac:dyDescent="0.25">
      <c r="A497" s="21" t="s">
        <v>637</v>
      </c>
      <c r="B497" s="22" t="s">
        <v>638</v>
      </c>
      <c r="C497" s="2">
        <v>1</v>
      </c>
      <c r="D497" s="23">
        <v>7.99</v>
      </c>
      <c r="E497" s="3">
        <v>7.99</v>
      </c>
      <c r="F497" s="2" t="s">
        <v>639</v>
      </c>
      <c r="G497" s="22" t="s">
        <v>19618</v>
      </c>
      <c r="H497" s="24" t="s">
        <v>20089</v>
      </c>
      <c r="I497" s="22" t="s">
        <v>19309</v>
      </c>
      <c r="J497" s="22" t="s">
        <v>19573</v>
      </c>
      <c r="K497" s="22" t="s">
        <v>19574</v>
      </c>
      <c r="L497" s="22"/>
      <c r="M497" s="22"/>
      <c r="N497" s="25" t="str">
        <f>HYPERLINK("http://slimages.macys.com/is/image/MCY/1610403 ")</f>
        <v xml:space="preserve">http://slimages.macys.com/is/image/MCY/1610403 </v>
      </c>
    </row>
    <row r="498" spans="1:14" ht="24.75" x14ac:dyDescent="0.25">
      <c r="A498" s="21" t="s">
        <v>640</v>
      </c>
      <c r="B498" s="22" t="s">
        <v>641</v>
      </c>
      <c r="C498" s="2">
        <v>1</v>
      </c>
      <c r="D498" s="23">
        <v>7.99</v>
      </c>
      <c r="E498" s="3">
        <v>7.99</v>
      </c>
      <c r="F498" s="2" t="s">
        <v>639</v>
      </c>
      <c r="G498" s="22" t="s">
        <v>19618</v>
      </c>
      <c r="H498" s="24" t="s">
        <v>20135</v>
      </c>
      <c r="I498" s="22" t="s">
        <v>19309</v>
      </c>
      <c r="J498" s="22" t="s">
        <v>19573</v>
      </c>
      <c r="K498" s="22" t="s">
        <v>19574</v>
      </c>
      <c r="L498" s="22"/>
      <c r="M498" s="22"/>
      <c r="N498" s="25" t="str">
        <f>HYPERLINK("http://slimages.macys.com/is/image/MCY/1610403 ")</f>
        <v xml:space="preserve">http://slimages.macys.com/is/image/MCY/1610403 </v>
      </c>
    </row>
    <row r="499" spans="1:14" ht="24.75" x14ac:dyDescent="0.25">
      <c r="A499" s="21" t="s">
        <v>642</v>
      </c>
      <c r="B499" s="22" t="s">
        <v>643</v>
      </c>
      <c r="C499" s="2">
        <v>1</v>
      </c>
      <c r="D499" s="23">
        <v>7.99</v>
      </c>
      <c r="E499" s="3">
        <v>7.99</v>
      </c>
      <c r="F499" s="2" t="s">
        <v>19012</v>
      </c>
      <c r="G499" s="22" t="s">
        <v>19422</v>
      </c>
      <c r="H499" s="24" t="s">
        <v>19416</v>
      </c>
      <c r="I499" s="22" t="s">
        <v>19309</v>
      </c>
      <c r="J499" s="22" t="s">
        <v>19573</v>
      </c>
      <c r="K499" s="22" t="s">
        <v>19574</v>
      </c>
      <c r="L499" s="22"/>
      <c r="M499" s="22"/>
      <c r="N499" s="25" t="str">
        <f>HYPERLINK("http://slimages.macys.com/is/image/MCY/1554787 ")</f>
        <v xml:space="preserve">http://slimages.macys.com/is/image/MCY/1554787 </v>
      </c>
    </row>
    <row r="500" spans="1:14" ht="24.75" x14ac:dyDescent="0.25">
      <c r="A500" s="21" t="s">
        <v>644</v>
      </c>
      <c r="B500" s="22" t="s">
        <v>645</v>
      </c>
      <c r="C500" s="2">
        <v>3</v>
      </c>
      <c r="D500" s="23">
        <v>7.99</v>
      </c>
      <c r="E500" s="3">
        <v>23.97</v>
      </c>
      <c r="F500" s="2" t="s">
        <v>19012</v>
      </c>
      <c r="G500" s="22" t="s">
        <v>19422</v>
      </c>
      <c r="H500" s="24"/>
      <c r="I500" s="22" t="s">
        <v>19309</v>
      </c>
      <c r="J500" s="22" t="s">
        <v>19573</v>
      </c>
      <c r="K500" s="22" t="s">
        <v>19574</v>
      </c>
      <c r="L500" s="22"/>
      <c r="M500" s="22"/>
      <c r="N500" s="25" t="str">
        <f>HYPERLINK("http://slimages.macys.com/is/image/MCY/1554787 ")</f>
        <v xml:space="preserve">http://slimages.macys.com/is/image/MCY/1554787 </v>
      </c>
    </row>
    <row r="501" spans="1:14" ht="24.75" x14ac:dyDescent="0.25">
      <c r="A501" s="21" t="s">
        <v>8015</v>
      </c>
      <c r="B501" s="22" t="s">
        <v>8016</v>
      </c>
      <c r="C501" s="2">
        <v>2</v>
      </c>
      <c r="D501" s="23">
        <v>7.99</v>
      </c>
      <c r="E501" s="3">
        <v>15.98</v>
      </c>
      <c r="F501" s="2" t="s">
        <v>10086</v>
      </c>
      <c r="G501" s="22" t="s">
        <v>19415</v>
      </c>
      <c r="H501" s="24" t="s">
        <v>19907</v>
      </c>
      <c r="I501" s="22" t="s">
        <v>19309</v>
      </c>
      <c r="J501" s="22" t="s">
        <v>19573</v>
      </c>
      <c r="K501" s="22" t="s">
        <v>19574</v>
      </c>
      <c r="L501" s="22"/>
      <c r="M501" s="22"/>
      <c r="N501" s="25" t="str">
        <f>HYPERLINK("http://slimages.macys.com/is/image/MCY/1610409 ")</f>
        <v xml:space="preserve">http://slimages.macys.com/is/image/MCY/1610409 </v>
      </c>
    </row>
    <row r="502" spans="1:14" ht="24.75" x14ac:dyDescent="0.25">
      <c r="A502" s="21" t="s">
        <v>646</v>
      </c>
      <c r="B502" s="22" t="s">
        <v>647</v>
      </c>
      <c r="C502" s="2">
        <v>4</v>
      </c>
      <c r="D502" s="23">
        <v>7.99</v>
      </c>
      <c r="E502" s="3">
        <v>31.96</v>
      </c>
      <c r="F502" s="2" t="s">
        <v>13449</v>
      </c>
      <c r="G502" s="22" t="s">
        <v>19431</v>
      </c>
      <c r="H502" s="24" t="s">
        <v>19907</v>
      </c>
      <c r="I502" s="22" t="s">
        <v>19309</v>
      </c>
      <c r="J502" s="22" t="s">
        <v>19573</v>
      </c>
      <c r="K502" s="22" t="s">
        <v>19574</v>
      </c>
      <c r="L502" s="22"/>
      <c r="M502" s="22"/>
      <c r="N502" s="25" t="str">
        <f>HYPERLINK("http://slimages.macys.com/is/image/MCY/21209169 ")</f>
        <v xml:space="preserve">http://slimages.macys.com/is/image/MCY/21209169 </v>
      </c>
    </row>
    <row r="503" spans="1:14" ht="24.75" x14ac:dyDescent="0.25">
      <c r="A503" s="21" t="s">
        <v>7103</v>
      </c>
      <c r="B503" s="22" t="s">
        <v>7104</v>
      </c>
      <c r="C503" s="2">
        <v>3</v>
      </c>
      <c r="D503" s="23">
        <v>7.99</v>
      </c>
      <c r="E503" s="3">
        <v>23.97</v>
      </c>
      <c r="F503" s="2" t="s">
        <v>13449</v>
      </c>
      <c r="G503" s="22" t="s">
        <v>19431</v>
      </c>
      <c r="H503" s="24" t="s">
        <v>20135</v>
      </c>
      <c r="I503" s="22" t="s">
        <v>19309</v>
      </c>
      <c r="J503" s="22" t="s">
        <v>19573</v>
      </c>
      <c r="K503" s="22" t="s">
        <v>19574</v>
      </c>
      <c r="L503" s="22"/>
      <c r="M503" s="22"/>
      <c r="N503" s="25" t="str">
        <f>HYPERLINK("http://slimages.macys.com/is/image/MCY/21209169 ")</f>
        <v xml:space="preserve">http://slimages.macys.com/is/image/MCY/21209169 </v>
      </c>
    </row>
    <row r="504" spans="1:14" ht="24.75" x14ac:dyDescent="0.25">
      <c r="A504" s="21" t="s">
        <v>13447</v>
      </c>
      <c r="B504" s="22" t="s">
        <v>13448</v>
      </c>
      <c r="C504" s="2">
        <v>4</v>
      </c>
      <c r="D504" s="23">
        <v>7.99</v>
      </c>
      <c r="E504" s="3">
        <v>31.96</v>
      </c>
      <c r="F504" s="2" t="s">
        <v>13449</v>
      </c>
      <c r="G504" s="22" t="s">
        <v>19431</v>
      </c>
      <c r="H504" s="24" t="s">
        <v>20089</v>
      </c>
      <c r="I504" s="22" t="s">
        <v>19309</v>
      </c>
      <c r="J504" s="22" t="s">
        <v>19573</v>
      </c>
      <c r="K504" s="22" t="s">
        <v>19574</v>
      </c>
      <c r="L504" s="22"/>
      <c r="M504" s="22"/>
      <c r="N504" s="25" t="str">
        <f>HYPERLINK("http://slimages.macys.com/is/image/MCY/21209169 ")</f>
        <v xml:space="preserve">http://slimages.macys.com/is/image/MCY/21209169 </v>
      </c>
    </row>
    <row r="505" spans="1:14" ht="24.75" x14ac:dyDescent="0.25">
      <c r="A505" s="21" t="s">
        <v>648</v>
      </c>
      <c r="B505" s="22" t="s">
        <v>649</v>
      </c>
      <c r="C505" s="2">
        <v>1</v>
      </c>
      <c r="D505" s="23">
        <v>7.99</v>
      </c>
      <c r="E505" s="3">
        <v>7.99</v>
      </c>
      <c r="F505" s="2" t="s">
        <v>650</v>
      </c>
      <c r="G505" s="22" t="s">
        <v>19585</v>
      </c>
      <c r="H505" s="24" t="s">
        <v>20089</v>
      </c>
      <c r="I505" s="22" t="s">
        <v>19309</v>
      </c>
      <c r="J505" s="22" t="s">
        <v>19573</v>
      </c>
      <c r="K505" s="22" t="s">
        <v>19574</v>
      </c>
      <c r="L505" s="22"/>
      <c r="M505" s="22"/>
      <c r="N505" s="25" t="str">
        <f>HYPERLINK("http://slimages.macys.com/is/image/MCY/20753421 ")</f>
        <v xml:space="preserve">http://slimages.macys.com/is/image/MCY/20753421 </v>
      </c>
    </row>
    <row r="506" spans="1:14" ht="24.75" x14ac:dyDescent="0.25">
      <c r="A506" s="21" t="s">
        <v>14734</v>
      </c>
      <c r="B506" s="22" t="s">
        <v>14735</v>
      </c>
      <c r="C506" s="2">
        <v>1</v>
      </c>
      <c r="D506" s="23">
        <v>7.99</v>
      </c>
      <c r="E506" s="3">
        <v>7.99</v>
      </c>
      <c r="F506" s="2" t="s">
        <v>19040</v>
      </c>
      <c r="G506" s="22" t="s">
        <v>19906</v>
      </c>
      <c r="H506" s="24" t="s">
        <v>20089</v>
      </c>
      <c r="I506" s="22" t="s">
        <v>19309</v>
      </c>
      <c r="J506" s="22" t="s">
        <v>19573</v>
      </c>
      <c r="K506" s="22" t="s">
        <v>19574</v>
      </c>
      <c r="L506" s="22"/>
      <c r="M506" s="22"/>
      <c r="N506" s="25" t="str">
        <f>HYPERLINK("http://slimages.macys.com/is/image/MCY/21209467 ")</f>
        <v xml:space="preserve">http://slimages.macys.com/is/image/MCY/21209467 </v>
      </c>
    </row>
    <row r="507" spans="1:14" ht="24.75" x14ac:dyDescent="0.25">
      <c r="A507" s="21" t="s">
        <v>17076</v>
      </c>
      <c r="B507" s="22" t="s">
        <v>17077</v>
      </c>
      <c r="C507" s="2">
        <v>4</v>
      </c>
      <c r="D507" s="23">
        <v>5.99</v>
      </c>
      <c r="E507" s="3">
        <v>23.96</v>
      </c>
      <c r="F507" s="2" t="s">
        <v>19043</v>
      </c>
      <c r="G507" s="22" t="s">
        <v>19415</v>
      </c>
      <c r="H507" s="24" t="s">
        <v>19324</v>
      </c>
      <c r="I507" s="22" t="s">
        <v>19309</v>
      </c>
      <c r="J507" s="22" t="s">
        <v>19573</v>
      </c>
      <c r="K507" s="22" t="s">
        <v>19574</v>
      </c>
      <c r="L507" s="22"/>
      <c r="M507" s="22"/>
      <c r="N507" s="25" t="str">
        <f>HYPERLINK("http://slimages.macys.com/is/image/MCY/21209612 ")</f>
        <v xml:space="preserve">http://slimages.macys.com/is/image/MCY/21209612 </v>
      </c>
    </row>
    <row r="508" spans="1:14" ht="24.75" x14ac:dyDescent="0.25">
      <c r="A508" s="21" t="s">
        <v>14185</v>
      </c>
      <c r="B508" s="22" t="s">
        <v>14186</v>
      </c>
      <c r="C508" s="2">
        <v>5</v>
      </c>
      <c r="D508" s="23">
        <v>5.99</v>
      </c>
      <c r="E508" s="3">
        <v>29.95</v>
      </c>
      <c r="F508" s="2" t="s">
        <v>19043</v>
      </c>
      <c r="G508" s="22" t="s">
        <v>19415</v>
      </c>
      <c r="H508" s="24" t="s">
        <v>19330</v>
      </c>
      <c r="I508" s="22" t="s">
        <v>19309</v>
      </c>
      <c r="J508" s="22" t="s">
        <v>19573</v>
      </c>
      <c r="K508" s="22" t="s">
        <v>19574</v>
      </c>
      <c r="L508" s="22"/>
      <c r="M508" s="22"/>
      <c r="N508" s="25" t="str">
        <f>HYPERLINK("http://slimages.macys.com/is/image/MCY/21209612 ")</f>
        <v xml:space="preserve">http://slimages.macys.com/is/image/MCY/21209612 </v>
      </c>
    </row>
    <row r="509" spans="1:14" ht="24.75" x14ac:dyDescent="0.25">
      <c r="A509" s="21" t="s">
        <v>19041</v>
      </c>
      <c r="B509" s="22" t="s">
        <v>19042</v>
      </c>
      <c r="C509" s="2">
        <v>2</v>
      </c>
      <c r="D509" s="23">
        <v>5.99</v>
      </c>
      <c r="E509" s="3">
        <v>11.98</v>
      </c>
      <c r="F509" s="2" t="s">
        <v>19043</v>
      </c>
      <c r="G509" s="22" t="s">
        <v>19415</v>
      </c>
      <c r="H509" s="24" t="s">
        <v>19538</v>
      </c>
      <c r="I509" s="22" t="s">
        <v>19309</v>
      </c>
      <c r="J509" s="22" t="s">
        <v>19573</v>
      </c>
      <c r="K509" s="22" t="s">
        <v>19574</v>
      </c>
      <c r="L509" s="22"/>
      <c r="M509" s="22"/>
      <c r="N509" s="25" t="str">
        <f>HYPERLINK("http://slimages.macys.com/is/image/MCY/21209612 ")</f>
        <v xml:space="preserve">http://slimages.macys.com/is/image/MCY/21209612 </v>
      </c>
    </row>
    <row r="510" spans="1:14" ht="24.75" x14ac:dyDescent="0.25">
      <c r="A510" s="21" t="s">
        <v>651</v>
      </c>
      <c r="B510" s="22" t="s">
        <v>652</v>
      </c>
      <c r="C510" s="2">
        <v>1</v>
      </c>
      <c r="D510" s="23">
        <v>5.99</v>
      </c>
      <c r="E510" s="3">
        <v>5.99</v>
      </c>
      <c r="F510" s="2" t="s">
        <v>14180</v>
      </c>
      <c r="G510" s="22" t="s">
        <v>19431</v>
      </c>
      <c r="H510" s="24" t="s">
        <v>19384</v>
      </c>
      <c r="I510" s="22" t="s">
        <v>19309</v>
      </c>
      <c r="J510" s="22" t="s">
        <v>19573</v>
      </c>
      <c r="K510" s="22" t="s">
        <v>19574</v>
      </c>
      <c r="L510" s="22"/>
      <c r="M510" s="22"/>
      <c r="N510" s="25" t="str">
        <f>HYPERLINK("http://slimages.macys.com/is/image/MCY/21209393 ")</f>
        <v xml:space="preserve">http://slimages.macys.com/is/image/MCY/21209393 </v>
      </c>
    </row>
    <row r="511" spans="1:14" ht="24.75" x14ac:dyDescent="0.25">
      <c r="A511" s="21" t="s">
        <v>2156</v>
      </c>
      <c r="B511" s="22" t="s">
        <v>2157</v>
      </c>
      <c r="C511" s="2">
        <v>4</v>
      </c>
      <c r="D511" s="23">
        <v>5.99</v>
      </c>
      <c r="E511" s="3">
        <v>23.96</v>
      </c>
      <c r="F511" s="2" t="s">
        <v>19043</v>
      </c>
      <c r="G511" s="22" t="s">
        <v>19415</v>
      </c>
      <c r="H511" s="24" t="s">
        <v>19416</v>
      </c>
      <c r="I511" s="22" t="s">
        <v>19309</v>
      </c>
      <c r="J511" s="22" t="s">
        <v>19573</v>
      </c>
      <c r="K511" s="22" t="s">
        <v>19574</v>
      </c>
      <c r="L511" s="22"/>
      <c r="M511" s="22"/>
      <c r="N511" s="25" t="str">
        <f>HYPERLINK("http://slimages.macys.com/is/image/MCY/21209612 ")</f>
        <v xml:space="preserve">http://slimages.macys.com/is/image/MCY/21209612 </v>
      </c>
    </row>
    <row r="512" spans="1:14" ht="24.75" x14ac:dyDescent="0.25">
      <c r="A512" s="21" t="s">
        <v>19044</v>
      </c>
      <c r="B512" s="22" t="s">
        <v>19045</v>
      </c>
      <c r="C512" s="2">
        <v>4</v>
      </c>
      <c r="D512" s="23">
        <v>5.99</v>
      </c>
      <c r="E512" s="3">
        <v>23.96</v>
      </c>
      <c r="F512" s="2" t="s">
        <v>19043</v>
      </c>
      <c r="G512" s="22" t="s">
        <v>19415</v>
      </c>
      <c r="H512" s="24" t="s">
        <v>19384</v>
      </c>
      <c r="I512" s="22" t="s">
        <v>19309</v>
      </c>
      <c r="J512" s="22" t="s">
        <v>19573</v>
      </c>
      <c r="K512" s="22" t="s">
        <v>19574</v>
      </c>
      <c r="L512" s="22"/>
      <c r="M512" s="22"/>
      <c r="N512" s="25" t="str">
        <f>HYPERLINK("http://slimages.macys.com/is/image/MCY/21209612 ")</f>
        <v xml:space="preserve">http://slimages.macys.com/is/image/MCY/21209612 </v>
      </c>
    </row>
    <row r="513" spans="1:14" ht="24.75" x14ac:dyDescent="0.25">
      <c r="A513" s="21" t="s">
        <v>653</v>
      </c>
      <c r="B513" s="22" t="s">
        <v>654</v>
      </c>
      <c r="C513" s="2">
        <v>1</v>
      </c>
      <c r="D513" s="23">
        <v>6.99</v>
      </c>
      <c r="E513" s="3">
        <v>6.99</v>
      </c>
      <c r="F513" s="2" t="s">
        <v>655</v>
      </c>
      <c r="G513" s="22" t="s">
        <v>19518</v>
      </c>
      <c r="H513" s="24" t="s">
        <v>19416</v>
      </c>
      <c r="I513" s="22" t="s">
        <v>19309</v>
      </c>
      <c r="J513" s="22" t="s">
        <v>19573</v>
      </c>
      <c r="K513" s="22" t="s">
        <v>19574</v>
      </c>
      <c r="L513" s="22"/>
      <c r="M513" s="22"/>
      <c r="N513" s="25" t="str">
        <f>HYPERLINK("http://slimages.macys.com/is/image/MCY/19746506 ")</f>
        <v xml:space="preserve">http://slimages.macys.com/is/image/MCY/19746506 </v>
      </c>
    </row>
    <row r="514" spans="1:14" ht="24.75" x14ac:dyDescent="0.25">
      <c r="A514" s="21" t="s">
        <v>1039</v>
      </c>
      <c r="B514" s="22" t="s">
        <v>1040</v>
      </c>
      <c r="C514" s="2">
        <v>3</v>
      </c>
      <c r="D514" s="23">
        <v>7.99</v>
      </c>
      <c r="E514" s="3">
        <v>23.97</v>
      </c>
      <c r="F514" s="2" t="s">
        <v>10095</v>
      </c>
      <c r="G514" s="22" t="s">
        <v>19467</v>
      </c>
      <c r="H514" s="24" t="s">
        <v>19907</v>
      </c>
      <c r="I514" s="22" t="s">
        <v>19309</v>
      </c>
      <c r="J514" s="22" t="s">
        <v>19573</v>
      </c>
      <c r="K514" s="22" t="s">
        <v>19574</v>
      </c>
      <c r="L514" s="22"/>
      <c r="M514" s="22"/>
      <c r="N514" s="25" t="str">
        <f>HYPERLINK("http://slimages.macys.com/is/image/MCY/21209066 ")</f>
        <v xml:space="preserve">http://slimages.macys.com/is/image/MCY/21209066 </v>
      </c>
    </row>
    <row r="515" spans="1:14" ht="24.75" x14ac:dyDescent="0.25">
      <c r="A515" s="21" t="s">
        <v>10093</v>
      </c>
      <c r="B515" s="22" t="s">
        <v>10094</v>
      </c>
      <c r="C515" s="2">
        <v>3</v>
      </c>
      <c r="D515" s="23">
        <v>7.99</v>
      </c>
      <c r="E515" s="3">
        <v>23.97</v>
      </c>
      <c r="F515" s="2" t="s">
        <v>10095</v>
      </c>
      <c r="G515" s="22" t="s">
        <v>19467</v>
      </c>
      <c r="H515" s="24" t="s">
        <v>20135</v>
      </c>
      <c r="I515" s="22" t="s">
        <v>19309</v>
      </c>
      <c r="J515" s="22" t="s">
        <v>19573</v>
      </c>
      <c r="K515" s="22" t="s">
        <v>19574</v>
      </c>
      <c r="L515" s="22"/>
      <c r="M515" s="22"/>
      <c r="N515" s="25" t="str">
        <f>HYPERLINK("http://slimages.macys.com/is/image/MCY/21209066 ")</f>
        <v xml:space="preserve">http://slimages.macys.com/is/image/MCY/21209066 </v>
      </c>
    </row>
    <row r="516" spans="1:14" ht="24.75" x14ac:dyDescent="0.25">
      <c r="A516" s="21" t="s">
        <v>656</v>
      </c>
      <c r="B516" s="22" t="s">
        <v>1058</v>
      </c>
      <c r="C516" s="2">
        <v>1</v>
      </c>
      <c r="D516" s="23">
        <v>7.99</v>
      </c>
      <c r="E516" s="3">
        <v>7.99</v>
      </c>
      <c r="F516" s="2" t="s">
        <v>6232</v>
      </c>
      <c r="G516" s="22" t="s">
        <v>19351</v>
      </c>
      <c r="H516" s="24" t="s">
        <v>20089</v>
      </c>
      <c r="I516" s="22" t="s">
        <v>19309</v>
      </c>
      <c r="J516" s="22" t="s">
        <v>19573</v>
      </c>
      <c r="K516" s="22" t="s">
        <v>19574</v>
      </c>
      <c r="L516" s="22"/>
      <c r="M516" s="22"/>
      <c r="N516" s="25" t="str">
        <f>HYPERLINK("http://slimages.macys.com/is/image/MCY/1610403 ")</f>
        <v xml:space="preserve">http://slimages.macys.com/is/image/MCY/1610403 </v>
      </c>
    </row>
    <row r="517" spans="1:14" ht="24.75" x14ac:dyDescent="0.25">
      <c r="A517" s="21" t="s">
        <v>12582</v>
      </c>
      <c r="B517" s="22" t="s">
        <v>12583</v>
      </c>
      <c r="C517" s="2">
        <v>1</v>
      </c>
      <c r="D517" s="23">
        <v>7.99</v>
      </c>
      <c r="E517" s="3">
        <v>7.99</v>
      </c>
      <c r="F517" s="2" t="s">
        <v>12584</v>
      </c>
      <c r="G517" s="22" t="s">
        <v>19467</v>
      </c>
      <c r="H517" s="24" t="s">
        <v>20135</v>
      </c>
      <c r="I517" s="22" t="s">
        <v>19309</v>
      </c>
      <c r="J517" s="22" t="s">
        <v>19573</v>
      </c>
      <c r="K517" s="22" t="s">
        <v>19574</v>
      </c>
      <c r="L517" s="22"/>
      <c r="M517" s="22"/>
      <c r="N517" s="25" t="str">
        <f>HYPERLINK("http://slimages.macys.com/is/image/MCY/21209505 ")</f>
        <v xml:space="preserve">http://slimages.macys.com/is/image/MCY/21209505 </v>
      </c>
    </row>
    <row r="518" spans="1:14" ht="24.75" x14ac:dyDescent="0.25">
      <c r="A518" s="21" t="s">
        <v>19070</v>
      </c>
      <c r="B518" s="22" t="s">
        <v>19071</v>
      </c>
      <c r="C518" s="2">
        <v>1</v>
      </c>
      <c r="D518" s="23">
        <v>6.99</v>
      </c>
      <c r="E518" s="3">
        <v>6.99</v>
      </c>
      <c r="F518" s="2" t="s">
        <v>19072</v>
      </c>
      <c r="G518" s="22" t="s">
        <v>19431</v>
      </c>
      <c r="H518" s="24" t="s">
        <v>19352</v>
      </c>
      <c r="I518" s="22" t="s">
        <v>19309</v>
      </c>
      <c r="J518" s="22" t="s">
        <v>19353</v>
      </c>
      <c r="K518" s="22" t="s">
        <v>19354</v>
      </c>
      <c r="L518" s="22"/>
      <c r="M518" s="22"/>
      <c r="N518" s="25" t="str">
        <f>HYPERLINK("http://slimages.macys.com/is/image/MCY/20708621 ")</f>
        <v xml:space="preserve">http://slimages.macys.com/is/image/MCY/20708621 </v>
      </c>
    </row>
    <row r="519" spans="1:14" ht="24.75" x14ac:dyDescent="0.25">
      <c r="A519" s="21" t="s">
        <v>5273</v>
      </c>
      <c r="B519" s="22" t="s">
        <v>5274</v>
      </c>
      <c r="C519" s="2">
        <v>1</v>
      </c>
      <c r="D519" s="23">
        <v>4.99</v>
      </c>
      <c r="E519" s="3">
        <v>4.99</v>
      </c>
      <c r="F519" s="2">
        <v>4101</v>
      </c>
      <c r="G519" s="22" t="s">
        <v>19422</v>
      </c>
      <c r="H519" s="24" t="s">
        <v>19352</v>
      </c>
      <c r="I519" s="22" t="s">
        <v>19309</v>
      </c>
      <c r="J519" s="22" t="s">
        <v>20076</v>
      </c>
      <c r="K519" s="22" t="s">
        <v>20077</v>
      </c>
      <c r="L519" s="22"/>
      <c r="M519" s="22"/>
      <c r="N519" s="25" t="str">
        <f>HYPERLINK("http://slimages.macys.com/is/image/MCY/19939990 ")</f>
        <v xml:space="preserve">http://slimages.macys.com/is/image/MCY/19939990 </v>
      </c>
    </row>
    <row r="520" spans="1:14" ht="24.75" x14ac:dyDescent="0.25">
      <c r="A520" s="21" t="s">
        <v>657</v>
      </c>
      <c r="B520" s="22" t="s">
        <v>658</v>
      </c>
      <c r="C520" s="2">
        <v>2</v>
      </c>
      <c r="D520" s="23">
        <v>5.99</v>
      </c>
      <c r="E520" s="3">
        <v>11.98</v>
      </c>
      <c r="F520" s="2" t="s">
        <v>17110</v>
      </c>
      <c r="G520" s="22" t="s">
        <v>19670</v>
      </c>
      <c r="H520" s="24" t="s">
        <v>19384</v>
      </c>
      <c r="I520" s="22" t="s">
        <v>19309</v>
      </c>
      <c r="J520" s="22" t="s">
        <v>19573</v>
      </c>
      <c r="K520" s="22" t="s">
        <v>19574</v>
      </c>
      <c r="L520" s="22"/>
      <c r="M520" s="22"/>
      <c r="N520" s="25" t="str">
        <f>HYPERLINK("http://slimages.macys.com/is/image/MCY/21209050 ")</f>
        <v xml:space="preserve">http://slimages.macys.com/is/image/MCY/21209050 </v>
      </c>
    </row>
    <row r="521" spans="1:14" x14ac:dyDescent="0.25">
      <c r="A521" s="21" t="s">
        <v>14260</v>
      </c>
      <c r="B521" s="22" t="s">
        <v>14261</v>
      </c>
      <c r="C521" s="2">
        <v>1</v>
      </c>
      <c r="D521" s="23">
        <v>5.99</v>
      </c>
      <c r="E521" s="3">
        <v>5.99</v>
      </c>
      <c r="F521" s="2" t="s">
        <v>19096</v>
      </c>
      <c r="G521" s="22" t="s">
        <v>19513</v>
      </c>
      <c r="H521" s="24" t="s">
        <v>20232</v>
      </c>
      <c r="I521" s="22" t="s">
        <v>19309</v>
      </c>
      <c r="J521" s="22" t="s">
        <v>19514</v>
      </c>
      <c r="K521" s="22" t="s">
        <v>18514</v>
      </c>
      <c r="L521" s="22" t="s">
        <v>19319</v>
      </c>
      <c r="M521" s="22" t="s">
        <v>20257</v>
      </c>
      <c r="N521" s="25" t="str">
        <f>HYPERLINK("http://slimages.macys.com/is/image/MCY/9337988 ")</f>
        <v xml:space="preserve">http://slimages.macys.com/is/image/MCY/9337988 </v>
      </c>
    </row>
    <row r="522" spans="1:14" ht="24.75" x14ac:dyDescent="0.25">
      <c r="A522" s="21" t="s">
        <v>659</v>
      </c>
      <c r="B522" s="22" t="s">
        <v>660</v>
      </c>
      <c r="C522" s="2">
        <v>1</v>
      </c>
      <c r="D522" s="23">
        <v>5.99</v>
      </c>
      <c r="E522" s="3">
        <v>5.99</v>
      </c>
      <c r="F522" s="2" t="s">
        <v>14264</v>
      </c>
      <c r="G522" s="22" t="s">
        <v>19315</v>
      </c>
      <c r="H522" s="24" t="s">
        <v>19392</v>
      </c>
      <c r="I522" s="22" t="s">
        <v>19309</v>
      </c>
      <c r="J522" s="22" t="s">
        <v>19454</v>
      </c>
      <c r="K522" s="22" t="s">
        <v>19524</v>
      </c>
      <c r="L522" s="22"/>
      <c r="M522" s="22"/>
      <c r="N522" s="25" t="str">
        <f>HYPERLINK("http://slimages.macys.com/is/image/MCY/19239511 ")</f>
        <v xml:space="preserve">http://slimages.macys.com/is/image/MCY/19239511 </v>
      </c>
    </row>
    <row r="523" spans="1:14" ht="24.75" x14ac:dyDescent="0.25">
      <c r="A523" s="21" t="s">
        <v>661</v>
      </c>
      <c r="B523" s="22" t="s">
        <v>662</v>
      </c>
      <c r="C523" s="2">
        <v>1</v>
      </c>
      <c r="D523" s="23">
        <v>6.99</v>
      </c>
      <c r="E523" s="3">
        <v>6.99</v>
      </c>
      <c r="F523" s="2" t="s">
        <v>663</v>
      </c>
      <c r="G523" s="22" t="s">
        <v>19315</v>
      </c>
      <c r="H523" s="24" t="s">
        <v>19907</v>
      </c>
      <c r="I523" s="22" t="s">
        <v>19309</v>
      </c>
      <c r="J523" s="22" t="s">
        <v>19908</v>
      </c>
      <c r="K523" s="22" t="s">
        <v>19354</v>
      </c>
      <c r="L523" s="22"/>
      <c r="M523" s="22"/>
      <c r="N523" s="25" t="str">
        <f>HYPERLINK("http://slimages.macys.com/is/image/MCY/20737579 ")</f>
        <v xml:space="preserve">http://slimages.macys.com/is/image/MCY/20737579 </v>
      </c>
    </row>
    <row r="524" spans="1:14" ht="24.75" x14ac:dyDescent="0.25">
      <c r="A524" s="21" t="s">
        <v>664</v>
      </c>
      <c r="B524" s="22" t="s">
        <v>665</v>
      </c>
      <c r="C524" s="2">
        <v>2</v>
      </c>
      <c r="D524" s="23">
        <v>6.99</v>
      </c>
      <c r="E524" s="3">
        <v>13.98</v>
      </c>
      <c r="F524" s="2" t="s">
        <v>663</v>
      </c>
      <c r="G524" s="22" t="s">
        <v>19315</v>
      </c>
      <c r="H524" s="24" t="s">
        <v>19377</v>
      </c>
      <c r="I524" s="22" t="s">
        <v>19309</v>
      </c>
      <c r="J524" s="22" t="s">
        <v>19908</v>
      </c>
      <c r="K524" s="22" t="s">
        <v>19354</v>
      </c>
      <c r="L524" s="22"/>
      <c r="M524" s="22"/>
      <c r="N524" s="25" t="str">
        <f>HYPERLINK("http://slimages.macys.com/is/image/MCY/20737579 ")</f>
        <v xml:space="preserve">http://slimages.macys.com/is/image/MCY/20737579 </v>
      </c>
    </row>
    <row r="525" spans="1:14" ht="24.75" x14ac:dyDescent="0.25">
      <c r="A525" s="21" t="s">
        <v>666</v>
      </c>
      <c r="B525" s="22" t="s">
        <v>667</v>
      </c>
      <c r="C525" s="2">
        <v>2</v>
      </c>
      <c r="D525" s="23">
        <v>6.99</v>
      </c>
      <c r="E525" s="3">
        <v>13.98</v>
      </c>
      <c r="F525" s="2" t="s">
        <v>663</v>
      </c>
      <c r="G525" s="22" t="s">
        <v>19315</v>
      </c>
      <c r="H525" s="24" t="s">
        <v>20089</v>
      </c>
      <c r="I525" s="22" t="s">
        <v>19309</v>
      </c>
      <c r="J525" s="22" t="s">
        <v>19908</v>
      </c>
      <c r="K525" s="22" t="s">
        <v>19354</v>
      </c>
      <c r="L525" s="22"/>
      <c r="M525" s="22"/>
      <c r="N525" s="25" t="str">
        <f>HYPERLINK("http://slimages.macys.com/is/image/MCY/20737579 ")</f>
        <v xml:space="preserve">http://slimages.macys.com/is/image/MCY/20737579 </v>
      </c>
    </row>
    <row r="526" spans="1:14" ht="24.75" x14ac:dyDescent="0.25">
      <c r="A526" s="21" t="s">
        <v>668</v>
      </c>
      <c r="B526" s="22" t="s">
        <v>669</v>
      </c>
      <c r="C526" s="2">
        <v>1</v>
      </c>
      <c r="D526" s="23">
        <v>6.99</v>
      </c>
      <c r="E526" s="3">
        <v>6.99</v>
      </c>
      <c r="F526" s="2" t="s">
        <v>663</v>
      </c>
      <c r="G526" s="22" t="s">
        <v>19315</v>
      </c>
      <c r="H526" s="24" t="s">
        <v>20135</v>
      </c>
      <c r="I526" s="22" t="s">
        <v>19309</v>
      </c>
      <c r="J526" s="22" t="s">
        <v>19908</v>
      </c>
      <c r="K526" s="22" t="s">
        <v>19354</v>
      </c>
      <c r="L526" s="22"/>
      <c r="M526" s="22"/>
      <c r="N526" s="25" t="str">
        <f>HYPERLINK("http://slimages.macys.com/is/image/MCY/20737579 ")</f>
        <v xml:space="preserve">http://slimages.macys.com/is/image/MCY/20737579 </v>
      </c>
    </row>
    <row r="527" spans="1:14" ht="24.75" x14ac:dyDescent="0.25">
      <c r="A527" s="21" t="s">
        <v>670</v>
      </c>
      <c r="B527" s="22" t="s">
        <v>671</v>
      </c>
      <c r="C527" s="2">
        <v>1</v>
      </c>
      <c r="D527" s="23">
        <v>6.99</v>
      </c>
      <c r="E527" s="3">
        <v>6.99</v>
      </c>
      <c r="F527" s="2" t="s">
        <v>663</v>
      </c>
      <c r="G527" s="22" t="s">
        <v>19315</v>
      </c>
      <c r="H527" s="24" t="s">
        <v>19542</v>
      </c>
      <c r="I527" s="22" t="s">
        <v>19309</v>
      </c>
      <c r="J527" s="22" t="s">
        <v>19908</v>
      </c>
      <c r="K527" s="22" t="s">
        <v>19354</v>
      </c>
      <c r="L527" s="22"/>
      <c r="M527" s="22"/>
      <c r="N527" s="25" t="str">
        <f>HYPERLINK("http://slimages.macys.com/is/image/MCY/20737579 ")</f>
        <v xml:space="preserve">http://slimages.macys.com/is/image/MCY/20737579 </v>
      </c>
    </row>
    <row r="528" spans="1:14" ht="24.75" x14ac:dyDescent="0.25">
      <c r="A528" s="21" t="s">
        <v>17138</v>
      </c>
      <c r="B528" s="22" t="s">
        <v>17139</v>
      </c>
      <c r="C528" s="2">
        <v>1</v>
      </c>
      <c r="D528" s="23">
        <v>5.99</v>
      </c>
      <c r="E528" s="3">
        <v>5.99</v>
      </c>
      <c r="F528" s="2" t="s">
        <v>17140</v>
      </c>
      <c r="G528" s="22" t="s">
        <v>19467</v>
      </c>
      <c r="H528" s="24" t="s">
        <v>19330</v>
      </c>
      <c r="I528" s="22" t="s">
        <v>19309</v>
      </c>
      <c r="J528" s="22" t="s">
        <v>19573</v>
      </c>
      <c r="K528" s="22" t="s">
        <v>19574</v>
      </c>
      <c r="L528" s="22"/>
      <c r="M528" s="22"/>
      <c r="N528" s="25" t="str">
        <f>HYPERLINK("http://slimages.macys.com/is/image/MCY/21209516 ")</f>
        <v xml:space="preserve">http://slimages.macys.com/is/image/MCY/21209516 </v>
      </c>
    </row>
    <row r="529" spans="1:14" ht="24.75" x14ac:dyDescent="0.25">
      <c r="A529" s="21" t="s">
        <v>14805</v>
      </c>
      <c r="B529" s="22" t="s">
        <v>14806</v>
      </c>
      <c r="C529" s="2">
        <v>1</v>
      </c>
      <c r="D529" s="23">
        <v>5.99</v>
      </c>
      <c r="E529" s="3">
        <v>5.99</v>
      </c>
      <c r="F529" s="2" t="s">
        <v>17147</v>
      </c>
      <c r="G529" s="22" t="s">
        <v>19431</v>
      </c>
      <c r="H529" s="24" t="s">
        <v>19416</v>
      </c>
      <c r="I529" s="22" t="s">
        <v>19309</v>
      </c>
      <c r="J529" s="22" t="s">
        <v>19573</v>
      </c>
      <c r="K529" s="22" t="s">
        <v>19574</v>
      </c>
      <c r="L529" s="22"/>
      <c r="M529" s="22"/>
      <c r="N529" s="25" t="str">
        <f>HYPERLINK("http://slimages.macys.com/is/image/MCY/21209149 ")</f>
        <v xml:space="preserve">http://slimages.macys.com/is/image/MCY/21209149 </v>
      </c>
    </row>
    <row r="530" spans="1:14" ht="24.75" x14ac:dyDescent="0.25">
      <c r="A530" s="21" t="s">
        <v>17145</v>
      </c>
      <c r="B530" s="22" t="s">
        <v>17146</v>
      </c>
      <c r="C530" s="2">
        <v>2</v>
      </c>
      <c r="D530" s="23">
        <v>5.99</v>
      </c>
      <c r="E530" s="3">
        <v>11.98</v>
      </c>
      <c r="F530" s="2" t="s">
        <v>17147</v>
      </c>
      <c r="G530" s="22" t="s">
        <v>19431</v>
      </c>
      <c r="H530" s="24" t="s">
        <v>19538</v>
      </c>
      <c r="I530" s="22" t="s">
        <v>19309</v>
      </c>
      <c r="J530" s="22" t="s">
        <v>19573</v>
      </c>
      <c r="K530" s="22" t="s">
        <v>19574</v>
      </c>
      <c r="L530" s="22"/>
      <c r="M530" s="22"/>
      <c r="N530" s="25" t="str">
        <f>HYPERLINK("http://slimages.macys.com/is/image/MCY/21209149 ")</f>
        <v xml:space="preserve">http://slimages.macys.com/is/image/MCY/21209149 </v>
      </c>
    </row>
    <row r="531" spans="1:14" ht="24.75" x14ac:dyDescent="0.25">
      <c r="A531" s="21" t="s">
        <v>13470</v>
      </c>
      <c r="B531" s="22" t="s">
        <v>13471</v>
      </c>
      <c r="C531" s="2">
        <v>2</v>
      </c>
      <c r="D531" s="23">
        <v>5.99</v>
      </c>
      <c r="E531" s="3">
        <v>11.98</v>
      </c>
      <c r="F531" s="2" t="s">
        <v>17147</v>
      </c>
      <c r="G531" s="22" t="s">
        <v>19431</v>
      </c>
      <c r="H531" s="24" t="s">
        <v>19324</v>
      </c>
      <c r="I531" s="22" t="s">
        <v>19309</v>
      </c>
      <c r="J531" s="22" t="s">
        <v>19573</v>
      </c>
      <c r="K531" s="22" t="s">
        <v>19574</v>
      </c>
      <c r="L531" s="22"/>
      <c r="M531" s="22"/>
      <c r="N531" s="25" t="str">
        <f>HYPERLINK("http://slimages.macys.com/is/image/MCY/21209149 ")</f>
        <v xml:space="preserve">http://slimages.macys.com/is/image/MCY/21209149 </v>
      </c>
    </row>
    <row r="532" spans="1:14" ht="24.75" x14ac:dyDescent="0.25">
      <c r="A532" s="21" t="s">
        <v>17151</v>
      </c>
      <c r="B532" s="22" t="s">
        <v>17152</v>
      </c>
      <c r="C532" s="2">
        <v>2</v>
      </c>
      <c r="D532" s="23">
        <v>5.99</v>
      </c>
      <c r="E532" s="3">
        <v>11.98</v>
      </c>
      <c r="F532" s="2" t="s">
        <v>17147</v>
      </c>
      <c r="G532" s="22" t="s">
        <v>19431</v>
      </c>
      <c r="H532" s="24" t="s">
        <v>19384</v>
      </c>
      <c r="I532" s="22" t="s">
        <v>19309</v>
      </c>
      <c r="J532" s="22" t="s">
        <v>19573</v>
      </c>
      <c r="K532" s="22" t="s">
        <v>19574</v>
      </c>
      <c r="L532" s="22"/>
      <c r="M532" s="22"/>
      <c r="N532" s="25" t="str">
        <f>HYPERLINK("http://slimages.macys.com/is/image/MCY/21209149 ")</f>
        <v xml:space="preserve">http://slimages.macys.com/is/image/MCY/21209149 </v>
      </c>
    </row>
    <row r="533" spans="1:14" ht="24.75" x14ac:dyDescent="0.25">
      <c r="A533" s="21" t="s">
        <v>14803</v>
      </c>
      <c r="B533" s="22" t="s">
        <v>14804</v>
      </c>
      <c r="C533" s="2">
        <v>2</v>
      </c>
      <c r="D533" s="23">
        <v>5.99</v>
      </c>
      <c r="E533" s="3">
        <v>11.98</v>
      </c>
      <c r="F533" s="2" t="s">
        <v>17147</v>
      </c>
      <c r="G533" s="22" t="s">
        <v>19431</v>
      </c>
      <c r="H533" s="24" t="s">
        <v>19330</v>
      </c>
      <c r="I533" s="22" t="s">
        <v>19309</v>
      </c>
      <c r="J533" s="22" t="s">
        <v>19573</v>
      </c>
      <c r="K533" s="22" t="s">
        <v>19574</v>
      </c>
      <c r="L533" s="22"/>
      <c r="M533" s="22"/>
      <c r="N533" s="25" t="str">
        <f>HYPERLINK("http://slimages.macys.com/is/image/MCY/21209149 ")</f>
        <v xml:space="preserve">http://slimages.macys.com/is/image/MCY/21209149 </v>
      </c>
    </row>
    <row r="534" spans="1:14" ht="24.75" x14ac:dyDescent="0.25">
      <c r="A534" s="21" t="s">
        <v>5297</v>
      </c>
      <c r="B534" s="22" t="s">
        <v>5298</v>
      </c>
      <c r="C534" s="2">
        <v>1</v>
      </c>
      <c r="D534" s="23">
        <v>7.99</v>
      </c>
      <c r="E534" s="3">
        <v>7.99</v>
      </c>
      <c r="F534" s="2" t="s">
        <v>9270</v>
      </c>
      <c r="G534" s="22" t="s">
        <v>19618</v>
      </c>
      <c r="H534" s="24" t="s">
        <v>20135</v>
      </c>
      <c r="I534" s="22" t="s">
        <v>19309</v>
      </c>
      <c r="J534" s="22" t="s">
        <v>19573</v>
      </c>
      <c r="K534" s="22" t="s">
        <v>19574</v>
      </c>
      <c r="L534" s="22"/>
      <c r="M534" s="22"/>
      <c r="N534" s="25" t="str">
        <f>HYPERLINK("http://slimages.macys.com/is/image/MCY/21089253 ")</f>
        <v xml:space="preserve">http://slimages.macys.com/is/image/MCY/21089253 </v>
      </c>
    </row>
    <row r="535" spans="1:14" ht="24.75" x14ac:dyDescent="0.25">
      <c r="A535" s="21" t="s">
        <v>19138</v>
      </c>
      <c r="B535" s="22" t="s">
        <v>19139</v>
      </c>
      <c r="C535" s="2">
        <v>1</v>
      </c>
      <c r="D535" s="23">
        <v>5.99</v>
      </c>
      <c r="E535" s="3">
        <v>5.99</v>
      </c>
      <c r="F535" s="2" t="s">
        <v>19140</v>
      </c>
      <c r="G535" s="22" t="s">
        <v>19674</v>
      </c>
      <c r="H535" s="24" t="s">
        <v>19330</v>
      </c>
      <c r="I535" s="22" t="s">
        <v>19309</v>
      </c>
      <c r="J535" s="22" t="s">
        <v>19573</v>
      </c>
      <c r="K535" s="22" t="s">
        <v>19574</v>
      </c>
      <c r="L535" s="22"/>
      <c r="M535" s="22"/>
      <c r="N535" s="25" t="str">
        <f>HYPERLINK("http://slimages.macys.com/is/image/MCY/21970109 ")</f>
        <v xml:space="preserve">http://slimages.macys.com/is/image/MCY/21970109 </v>
      </c>
    </row>
    <row r="536" spans="1:14" ht="24.75" x14ac:dyDescent="0.25">
      <c r="A536" s="21" t="s">
        <v>19157</v>
      </c>
      <c r="B536" s="22" t="s">
        <v>19158</v>
      </c>
      <c r="C536" s="2">
        <v>1</v>
      </c>
      <c r="D536" s="23">
        <v>7.99</v>
      </c>
      <c r="E536" s="3">
        <v>7.99</v>
      </c>
      <c r="F536" s="2" t="s">
        <v>19156</v>
      </c>
      <c r="G536" s="22" t="s">
        <v>19906</v>
      </c>
      <c r="H536" s="24" t="s">
        <v>20135</v>
      </c>
      <c r="I536" s="22" t="s">
        <v>19309</v>
      </c>
      <c r="J536" s="22" t="s">
        <v>19573</v>
      </c>
      <c r="K536" s="22" t="s">
        <v>19574</v>
      </c>
      <c r="L536" s="22"/>
      <c r="M536" s="22"/>
      <c r="N536" s="25" t="str">
        <f>HYPERLINK("http://slimages.macys.com/is/image/MCY/21209295 ")</f>
        <v xml:space="preserve">http://slimages.macys.com/is/image/MCY/21209295 </v>
      </c>
    </row>
    <row r="537" spans="1:14" ht="24.75" x14ac:dyDescent="0.25">
      <c r="A537" s="21" t="s">
        <v>672</v>
      </c>
      <c r="B537" s="22" t="s">
        <v>673</v>
      </c>
      <c r="C537" s="2">
        <v>1</v>
      </c>
      <c r="D537" s="23">
        <v>6.99</v>
      </c>
      <c r="E537" s="3">
        <v>6.99</v>
      </c>
      <c r="F537" s="2" t="s">
        <v>6288</v>
      </c>
      <c r="G537" s="22" t="s">
        <v>19351</v>
      </c>
      <c r="H537" s="24" t="s">
        <v>20135</v>
      </c>
      <c r="I537" s="22" t="s">
        <v>19309</v>
      </c>
      <c r="J537" s="22" t="s">
        <v>19908</v>
      </c>
      <c r="K537" s="22" t="s">
        <v>19354</v>
      </c>
      <c r="L537" s="22"/>
      <c r="M537" s="22"/>
      <c r="N537" s="25" t="str">
        <f>HYPERLINK("http://slimages.macys.com/is/image/MCY/1597991 ")</f>
        <v xml:space="preserve">http://slimages.macys.com/is/image/MCY/1597991 </v>
      </c>
    </row>
    <row r="538" spans="1:14" ht="24.75" x14ac:dyDescent="0.25">
      <c r="A538" s="21" t="s">
        <v>674</v>
      </c>
      <c r="B538" s="22" t="s">
        <v>675</v>
      </c>
      <c r="C538" s="2">
        <v>1</v>
      </c>
      <c r="D538" s="23">
        <v>6.99</v>
      </c>
      <c r="E538" s="3">
        <v>6.99</v>
      </c>
      <c r="F538" s="2" t="s">
        <v>19161</v>
      </c>
      <c r="G538" s="22" t="s">
        <v>19585</v>
      </c>
      <c r="H538" s="24" t="s">
        <v>19361</v>
      </c>
      <c r="I538" s="22" t="s">
        <v>19309</v>
      </c>
      <c r="J538" s="22" t="s">
        <v>19908</v>
      </c>
      <c r="K538" s="22" t="s">
        <v>19354</v>
      </c>
      <c r="L538" s="22"/>
      <c r="M538" s="22"/>
      <c r="N538" s="25" t="str">
        <f>HYPERLINK("http://slimages.macys.com/is/image/MCY/20708690 ")</f>
        <v xml:space="preserve">http://slimages.macys.com/is/image/MCY/20708690 </v>
      </c>
    </row>
    <row r="539" spans="1:14" ht="24.75" x14ac:dyDescent="0.25">
      <c r="A539" s="21" t="s">
        <v>676</v>
      </c>
      <c r="B539" s="22" t="s">
        <v>5272</v>
      </c>
      <c r="C539" s="2">
        <v>1</v>
      </c>
      <c r="D539" s="23">
        <v>4.99</v>
      </c>
      <c r="E539" s="3">
        <v>4.99</v>
      </c>
      <c r="F539" s="2">
        <v>4101</v>
      </c>
      <c r="G539" s="22" t="s">
        <v>19415</v>
      </c>
      <c r="H539" s="24" t="s">
        <v>19364</v>
      </c>
      <c r="I539" s="22" t="s">
        <v>19309</v>
      </c>
      <c r="J539" s="22" t="s">
        <v>20076</v>
      </c>
      <c r="K539" s="22" t="s">
        <v>20077</v>
      </c>
      <c r="L539" s="22"/>
      <c r="M539" s="22"/>
      <c r="N539" s="25" t="str">
        <f>HYPERLINK("http://slimages.macys.com/is/image/MCY/19939990 ")</f>
        <v xml:space="preserve">http://slimages.macys.com/is/image/MCY/19939990 </v>
      </c>
    </row>
    <row r="540" spans="1:14" ht="24.75" x14ac:dyDescent="0.25">
      <c r="A540" s="21" t="s">
        <v>12629</v>
      </c>
      <c r="B540" s="22" t="s">
        <v>12630</v>
      </c>
      <c r="C540" s="2">
        <v>1</v>
      </c>
      <c r="D540" s="23">
        <v>7.99</v>
      </c>
      <c r="E540" s="3">
        <v>7.99</v>
      </c>
      <c r="F540" s="2" t="s">
        <v>13483</v>
      </c>
      <c r="G540" s="22" t="s">
        <v>19415</v>
      </c>
      <c r="H540" s="24" t="s">
        <v>20135</v>
      </c>
      <c r="I540" s="22" t="s">
        <v>19309</v>
      </c>
      <c r="J540" s="22" t="s">
        <v>19573</v>
      </c>
      <c r="K540" s="22" t="s">
        <v>19574</v>
      </c>
      <c r="L540" s="22"/>
      <c r="M540" s="22"/>
      <c r="N540" s="25" t="str">
        <f>HYPERLINK("http://slimages.macys.com/is/image/MCY/22078179 ")</f>
        <v xml:space="preserve">http://slimages.macys.com/is/image/MCY/22078179 </v>
      </c>
    </row>
    <row r="541" spans="1:14" ht="24.75" x14ac:dyDescent="0.25">
      <c r="A541" s="21" t="s">
        <v>677</v>
      </c>
      <c r="B541" s="22" t="s">
        <v>678</v>
      </c>
      <c r="C541" s="2">
        <v>1</v>
      </c>
      <c r="D541" s="23">
        <v>5.99</v>
      </c>
      <c r="E541" s="3">
        <v>5.99</v>
      </c>
      <c r="F541" s="2" t="s">
        <v>4987</v>
      </c>
      <c r="G541" s="22" t="s">
        <v>19351</v>
      </c>
      <c r="H541" s="24" t="s">
        <v>19538</v>
      </c>
      <c r="I541" s="22" t="s">
        <v>19309</v>
      </c>
      <c r="J541" s="22" t="s">
        <v>19573</v>
      </c>
      <c r="K541" s="22" t="s">
        <v>19574</v>
      </c>
      <c r="L541" s="22"/>
      <c r="M541" s="22"/>
      <c r="N541" s="25" t="str">
        <f>HYPERLINK("http://slimages.macys.com/is/image/MCY/20385953 ")</f>
        <v xml:space="preserve">http://slimages.macys.com/is/image/MCY/20385953 </v>
      </c>
    </row>
    <row r="542" spans="1:14" ht="24.75" x14ac:dyDescent="0.25">
      <c r="A542" s="21" t="s">
        <v>679</v>
      </c>
      <c r="B542" s="22" t="s">
        <v>680</v>
      </c>
      <c r="C542" s="2">
        <v>2</v>
      </c>
      <c r="D542" s="23">
        <v>6.99</v>
      </c>
      <c r="E542" s="3">
        <v>13.98</v>
      </c>
      <c r="F542" s="2" t="s">
        <v>4441</v>
      </c>
      <c r="G542" s="22" t="s">
        <v>19674</v>
      </c>
      <c r="H542" s="24" t="s">
        <v>19361</v>
      </c>
      <c r="I542" s="22" t="s">
        <v>19309</v>
      </c>
      <c r="J542" s="22" t="s">
        <v>19908</v>
      </c>
      <c r="K542" s="22" t="s">
        <v>19354</v>
      </c>
      <c r="L542" s="22"/>
      <c r="M542" s="22"/>
      <c r="N542" s="25" t="str">
        <f>HYPERLINK("http://slimages.macys.com/is/image/MCY/20737537 ")</f>
        <v xml:space="preserve">http://slimages.macys.com/is/image/MCY/20737537 </v>
      </c>
    </row>
    <row r="543" spans="1:14" ht="24.75" x14ac:dyDescent="0.25">
      <c r="A543" s="21" t="s">
        <v>681</v>
      </c>
      <c r="B543" s="22" t="s">
        <v>682</v>
      </c>
      <c r="C543" s="2">
        <v>1</v>
      </c>
      <c r="D543" s="23">
        <v>6.99</v>
      </c>
      <c r="E543" s="3">
        <v>6.99</v>
      </c>
      <c r="F543" s="2" t="s">
        <v>4441</v>
      </c>
      <c r="G543" s="22" t="s">
        <v>19674</v>
      </c>
      <c r="H543" s="24" t="s">
        <v>19542</v>
      </c>
      <c r="I543" s="22" t="s">
        <v>19309</v>
      </c>
      <c r="J543" s="22" t="s">
        <v>19908</v>
      </c>
      <c r="K543" s="22" t="s">
        <v>19354</v>
      </c>
      <c r="L543" s="22"/>
      <c r="M543" s="22"/>
      <c r="N543" s="25" t="str">
        <f>HYPERLINK("http://slimages.macys.com/is/image/MCY/20737537 ")</f>
        <v xml:space="preserve">http://slimages.macys.com/is/image/MCY/20737537 </v>
      </c>
    </row>
    <row r="544" spans="1:14" ht="24.75" x14ac:dyDescent="0.25">
      <c r="A544" s="21" t="s">
        <v>13495</v>
      </c>
      <c r="B544" s="22" t="s">
        <v>13496</v>
      </c>
      <c r="C544" s="2">
        <v>2</v>
      </c>
      <c r="D544" s="23">
        <v>5.99</v>
      </c>
      <c r="E544" s="3">
        <v>11.98</v>
      </c>
      <c r="F544" s="2" t="s">
        <v>19204</v>
      </c>
      <c r="G544" s="22" t="s">
        <v>19431</v>
      </c>
      <c r="H544" s="24" t="s">
        <v>19330</v>
      </c>
      <c r="I544" s="22" t="s">
        <v>19309</v>
      </c>
      <c r="J544" s="22" t="s">
        <v>19573</v>
      </c>
      <c r="K544" s="22" t="s">
        <v>19574</v>
      </c>
      <c r="L544" s="22"/>
      <c r="M544" s="22"/>
      <c r="N544" s="25" t="str">
        <f>HYPERLINK("http://slimages.macys.com/is/image/MCY/1537013 ")</f>
        <v xml:space="preserve">http://slimages.macys.com/is/image/MCY/1537013 </v>
      </c>
    </row>
    <row r="545" spans="1:14" ht="24.75" x14ac:dyDescent="0.25">
      <c r="A545" s="21" t="s">
        <v>14886</v>
      </c>
      <c r="B545" s="22" t="s">
        <v>14887</v>
      </c>
      <c r="C545" s="2">
        <v>1</v>
      </c>
      <c r="D545" s="23">
        <v>5.99</v>
      </c>
      <c r="E545" s="3">
        <v>5.99</v>
      </c>
      <c r="F545" s="2" t="s">
        <v>19204</v>
      </c>
      <c r="G545" s="22" t="s">
        <v>19431</v>
      </c>
      <c r="H545" s="24" t="s">
        <v>19416</v>
      </c>
      <c r="I545" s="22" t="s">
        <v>19309</v>
      </c>
      <c r="J545" s="22" t="s">
        <v>19573</v>
      </c>
      <c r="K545" s="22" t="s">
        <v>19574</v>
      </c>
      <c r="L545" s="22"/>
      <c r="M545" s="22"/>
      <c r="N545" s="25" t="str">
        <f>HYPERLINK("http://slimages.macys.com/is/image/MCY/1537013 ")</f>
        <v xml:space="preserve">http://slimages.macys.com/is/image/MCY/1537013 </v>
      </c>
    </row>
    <row r="546" spans="1:14" ht="24.75" x14ac:dyDescent="0.25">
      <c r="A546" s="21" t="s">
        <v>6307</v>
      </c>
      <c r="B546" s="22" t="s">
        <v>6308</v>
      </c>
      <c r="C546" s="2">
        <v>2</v>
      </c>
      <c r="D546" s="23">
        <v>5.99</v>
      </c>
      <c r="E546" s="3">
        <v>11.98</v>
      </c>
      <c r="F546" s="2" t="s">
        <v>19204</v>
      </c>
      <c r="G546" s="22" t="s">
        <v>19431</v>
      </c>
      <c r="H546" s="24" t="s">
        <v>19324</v>
      </c>
      <c r="I546" s="22" t="s">
        <v>19309</v>
      </c>
      <c r="J546" s="22" t="s">
        <v>19573</v>
      </c>
      <c r="K546" s="22" t="s">
        <v>19574</v>
      </c>
      <c r="L546" s="22"/>
      <c r="M546" s="22"/>
      <c r="N546" s="25" t="str">
        <f>HYPERLINK("http://slimages.macys.com/is/image/MCY/1537013 ")</f>
        <v xml:space="preserve">http://slimages.macys.com/is/image/MCY/1537013 </v>
      </c>
    </row>
    <row r="547" spans="1:14" ht="24.75" x14ac:dyDescent="0.25">
      <c r="A547" s="21" t="s">
        <v>19202</v>
      </c>
      <c r="B547" s="22" t="s">
        <v>19203</v>
      </c>
      <c r="C547" s="2">
        <v>1</v>
      </c>
      <c r="D547" s="23">
        <v>5.99</v>
      </c>
      <c r="E547" s="3">
        <v>5.99</v>
      </c>
      <c r="F547" s="2" t="s">
        <v>19204</v>
      </c>
      <c r="G547" s="22" t="s">
        <v>19431</v>
      </c>
      <c r="H547" s="24" t="s">
        <v>19384</v>
      </c>
      <c r="I547" s="22" t="s">
        <v>19309</v>
      </c>
      <c r="J547" s="22" t="s">
        <v>19573</v>
      </c>
      <c r="K547" s="22" t="s">
        <v>19574</v>
      </c>
      <c r="L547" s="22"/>
      <c r="M547" s="22"/>
      <c r="N547" s="25" t="str">
        <f>HYPERLINK("http://slimages.macys.com/is/image/MCY/1537013 ")</f>
        <v xml:space="preserve">http://slimages.macys.com/is/image/MCY/1537013 </v>
      </c>
    </row>
    <row r="548" spans="1:14" ht="24.75" x14ac:dyDescent="0.25">
      <c r="A548" s="21" t="s">
        <v>19205</v>
      </c>
      <c r="B548" s="22" t="s">
        <v>19206</v>
      </c>
      <c r="C548" s="2">
        <v>1</v>
      </c>
      <c r="D548" s="23">
        <v>5.99</v>
      </c>
      <c r="E548" s="3">
        <v>5.99</v>
      </c>
      <c r="F548" s="2" t="s">
        <v>19204</v>
      </c>
      <c r="G548" s="22" t="s">
        <v>19431</v>
      </c>
      <c r="H548" s="24" t="s">
        <v>19538</v>
      </c>
      <c r="I548" s="22" t="s">
        <v>19309</v>
      </c>
      <c r="J548" s="22" t="s">
        <v>19573</v>
      </c>
      <c r="K548" s="22" t="s">
        <v>19574</v>
      </c>
      <c r="L548" s="22"/>
      <c r="M548" s="22"/>
      <c r="N548" s="25" t="str">
        <f>HYPERLINK("http://slimages.macys.com/is/image/MCY/1537013 ")</f>
        <v xml:space="preserve">http://slimages.macys.com/is/image/MCY/1537013 </v>
      </c>
    </row>
    <row r="549" spans="1:14" ht="24.75" x14ac:dyDescent="0.25">
      <c r="A549" s="21" t="s">
        <v>9297</v>
      </c>
      <c r="B549" s="22" t="s">
        <v>9298</v>
      </c>
      <c r="C549" s="2">
        <v>1</v>
      </c>
      <c r="D549" s="23">
        <v>5.99</v>
      </c>
      <c r="E549" s="3">
        <v>5.99</v>
      </c>
      <c r="F549" s="2" t="s">
        <v>10722</v>
      </c>
      <c r="G549" s="22" t="s">
        <v>19674</v>
      </c>
      <c r="H549" s="24" t="s">
        <v>19324</v>
      </c>
      <c r="I549" s="22" t="s">
        <v>19309</v>
      </c>
      <c r="J549" s="22" t="s">
        <v>19573</v>
      </c>
      <c r="K549" s="22" t="s">
        <v>19574</v>
      </c>
      <c r="L549" s="22"/>
      <c r="M549" s="22"/>
      <c r="N549" s="25" t="str">
        <f>HYPERLINK("http://slimages.macys.com/is/image/MCY/1126196 ")</f>
        <v xml:space="preserve">http://slimages.macys.com/is/image/MCY/1126196 </v>
      </c>
    </row>
    <row r="550" spans="1:14" ht="24.75" x14ac:dyDescent="0.25">
      <c r="A550" s="21" t="s">
        <v>683</v>
      </c>
      <c r="B550" s="22" t="s">
        <v>684</v>
      </c>
      <c r="C550" s="2">
        <v>1</v>
      </c>
      <c r="D550" s="23">
        <v>5.99</v>
      </c>
      <c r="E550" s="3">
        <v>5.99</v>
      </c>
      <c r="F550" s="2" t="s">
        <v>17198</v>
      </c>
      <c r="G550" s="22" t="s">
        <v>19467</v>
      </c>
      <c r="H550" s="24" t="s">
        <v>19416</v>
      </c>
      <c r="I550" s="22" t="s">
        <v>19309</v>
      </c>
      <c r="J550" s="22" t="s">
        <v>19573</v>
      </c>
      <c r="K550" s="22" t="s">
        <v>19574</v>
      </c>
      <c r="L550" s="22"/>
      <c r="M550" s="22"/>
      <c r="N550" s="25" t="str">
        <f>HYPERLINK("http://slimages.macys.com/is/image/MCY/21209066 ")</f>
        <v xml:space="preserve">http://slimages.macys.com/is/image/MCY/21209066 </v>
      </c>
    </row>
    <row r="551" spans="1:14" ht="24.75" x14ac:dyDescent="0.25">
      <c r="A551" s="21" t="s">
        <v>685</v>
      </c>
      <c r="B551" s="22" t="s">
        <v>686</v>
      </c>
      <c r="C551" s="2">
        <v>1</v>
      </c>
      <c r="D551" s="23">
        <v>5.99</v>
      </c>
      <c r="E551" s="3">
        <v>5.99</v>
      </c>
      <c r="F551" s="2" t="s">
        <v>17203</v>
      </c>
      <c r="G551" s="22" t="s">
        <v>19674</v>
      </c>
      <c r="H551" s="24" t="s">
        <v>19384</v>
      </c>
      <c r="I551" s="22" t="s">
        <v>19309</v>
      </c>
      <c r="J551" s="22" t="s">
        <v>19573</v>
      </c>
      <c r="K551" s="22" t="s">
        <v>19574</v>
      </c>
      <c r="L551" s="22"/>
      <c r="M551" s="22"/>
      <c r="N551" s="25" t="str">
        <f>HYPERLINK("http://slimages.macys.com/is/image/MCY/20757989 ")</f>
        <v xml:space="preserve">http://slimages.macys.com/is/image/MCY/20757989 </v>
      </c>
    </row>
    <row r="552" spans="1:14" ht="24.75" x14ac:dyDescent="0.25">
      <c r="A552" s="21" t="s">
        <v>687</v>
      </c>
      <c r="B552" s="22" t="s">
        <v>688</v>
      </c>
      <c r="C552" s="2">
        <v>1</v>
      </c>
      <c r="D552" s="23">
        <v>5.99</v>
      </c>
      <c r="E552" s="3">
        <v>5.99</v>
      </c>
      <c r="F552" s="2" t="s">
        <v>17203</v>
      </c>
      <c r="G552" s="22" t="s">
        <v>19462</v>
      </c>
      <c r="H552" s="24" t="s">
        <v>19416</v>
      </c>
      <c r="I552" s="22" t="s">
        <v>19309</v>
      </c>
      <c r="J552" s="22" t="s">
        <v>19573</v>
      </c>
      <c r="K552" s="22" t="s">
        <v>19574</v>
      </c>
      <c r="L552" s="22"/>
      <c r="M552" s="22"/>
      <c r="N552" s="25" t="str">
        <f>HYPERLINK("http://slimages.macys.com/is/image/MCY/1181198 ")</f>
        <v xml:space="preserve">http://slimages.macys.com/is/image/MCY/1181198 </v>
      </c>
    </row>
    <row r="553" spans="1:14" ht="24.75" x14ac:dyDescent="0.25">
      <c r="A553" s="21" t="s">
        <v>689</v>
      </c>
      <c r="B553" s="22" t="s">
        <v>690</v>
      </c>
      <c r="C553" s="2">
        <v>2</v>
      </c>
      <c r="D553" s="23">
        <v>5.99</v>
      </c>
      <c r="E553" s="3">
        <v>11.98</v>
      </c>
      <c r="F553" s="2" t="s">
        <v>10169</v>
      </c>
      <c r="G553" s="22" t="s">
        <v>19906</v>
      </c>
      <c r="H553" s="24" t="s">
        <v>19538</v>
      </c>
      <c r="I553" s="22" t="s">
        <v>19309</v>
      </c>
      <c r="J553" s="22" t="s">
        <v>19573</v>
      </c>
      <c r="K553" s="22" t="s">
        <v>19574</v>
      </c>
      <c r="L553" s="22"/>
      <c r="M553" s="22"/>
      <c r="N553" s="25" t="str">
        <f>HYPERLINK("http://slimages.macys.com/is/image/MCY/21209412 ")</f>
        <v xml:space="preserve">http://slimages.macys.com/is/image/MCY/21209412 </v>
      </c>
    </row>
    <row r="554" spans="1:14" ht="24.75" x14ac:dyDescent="0.25">
      <c r="A554" s="21" t="s">
        <v>691</v>
      </c>
      <c r="B554" s="22" t="s">
        <v>692</v>
      </c>
      <c r="C554" s="2">
        <v>1</v>
      </c>
      <c r="D554" s="23">
        <v>6.99</v>
      </c>
      <c r="E554" s="3">
        <v>6.99</v>
      </c>
      <c r="F554" s="2" t="s">
        <v>19229</v>
      </c>
      <c r="G554" s="22" t="s">
        <v>19462</v>
      </c>
      <c r="H554" s="24" t="s">
        <v>19907</v>
      </c>
      <c r="I554" s="22" t="s">
        <v>19309</v>
      </c>
      <c r="J554" s="22" t="s">
        <v>19908</v>
      </c>
      <c r="K554" s="22" t="s">
        <v>19354</v>
      </c>
      <c r="L554" s="22"/>
      <c r="M554" s="22"/>
      <c r="N554" s="25" t="str">
        <f>HYPERLINK("http://slimages.macys.com/is/image/MCY/20708625 ")</f>
        <v xml:space="preserve">http://slimages.macys.com/is/image/MCY/20708625 </v>
      </c>
    </row>
    <row r="555" spans="1:14" ht="24.75" x14ac:dyDescent="0.25">
      <c r="A555" s="21" t="s">
        <v>14918</v>
      </c>
      <c r="B555" s="22" t="s">
        <v>14919</v>
      </c>
      <c r="C555" s="2">
        <v>1</v>
      </c>
      <c r="D555" s="23">
        <v>5.99</v>
      </c>
      <c r="E555" s="3">
        <v>5.99</v>
      </c>
      <c r="F555" s="2" t="s">
        <v>17219</v>
      </c>
      <c r="G555" s="22" t="s">
        <v>19415</v>
      </c>
      <c r="H555" s="24" t="s">
        <v>19538</v>
      </c>
      <c r="I555" s="22" t="s">
        <v>19309</v>
      </c>
      <c r="J555" s="22" t="s">
        <v>19573</v>
      </c>
      <c r="K555" s="22" t="s">
        <v>19574</v>
      </c>
      <c r="L555" s="22"/>
      <c r="M555" s="22"/>
      <c r="N555" s="25" t="str">
        <f>HYPERLINK("http://slimages.macys.com/is/image/MCY/21209249 ")</f>
        <v xml:space="preserve">http://slimages.macys.com/is/image/MCY/21209249 </v>
      </c>
    </row>
    <row r="556" spans="1:14" ht="24.75" x14ac:dyDescent="0.25">
      <c r="A556" s="21" t="s">
        <v>19237</v>
      </c>
      <c r="B556" s="22" t="s">
        <v>19238</v>
      </c>
      <c r="C556" s="2">
        <v>1</v>
      </c>
      <c r="D556" s="23">
        <v>5.99</v>
      </c>
      <c r="E556" s="3">
        <v>5.99</v>
      </c>
      <c r="F556" s="2" t="s">
        <v>19232</v>
      </c>
      <c r="G556" s="22" t="s">
        <v>19467</v>
      </c>
      <c r="H556" s="24" t="s">
        <v>19330</v>
      </c>
      <c r="I556" s="22" t="s">
        <v>19309</v>
      </c>
      <c r="J556" s="22" t="s">
        <v>19573</v>
      </c>
      <c r="K556" s="22" t="s">
        <v>19574</v>
      </c>
      <c r="L556" s="22"/>
      <c r="M556" s="22"/>
      <c r="N556" s="25" t="str">
        <f>HYPERLINK("http://slimages.macys.com/is/image/MCY/21209505 ")</f>
        <v xml:space="preserve">http://slimages.macys.com/is/image/MCY/21209505 </v>
      </c>
    </row>
    <row r="557" spans="1:14" ht="24.75" x14ac:dyDescent="0.25">
      <c r="A557" s="21" t="s">
        <v>14909</v>
      </c>
      <c r="B557" s="22" t="s">
        <v>14910</v>
      </c>
      <c r="C557" s="2">
        <v>1</v>
      </c>
      <c r="D557" s="23">
        <v>5.99</v>
      </c>
      <c r="E557" s="3">
        <v>5.99</v>
      </c>
      <c r="F557" s="2" t="s">
        <v>14911</v>
      </c>
      <c r="G557" s="22" t="s">
        <v>19415</v>
      </c>
      <c r="H557" s="24" t="s">
        <v>19324</v>
      </c>
      <c r="I557" s="22" t="s">
        <v>19309</v>
      </c>
      <c r="J557" s="22" t="s">
        <v>19573</v>
      </c>
      <c r="K557" s="22" t="s">
        <v>19574</v>
      </c>
      <c r="L557" s="22"/>
      <c r="M557" s="22"/>
      <c r="N557" s="25" t="str">
        <f>HYPERLINK("http://slimages.macys.com/is/image/MCY/21371388 ")</f>
        <v xml:space="preserve">http://slimages.macys.com/is/image/MCY/21371388 </v>
      </c>
    </row>
    <row r="558" spans="1:14" ht="24.75" x14ac:dyDescent="0.25">
      <c r="A558" s="21" t="s">
        <v>19246</v>
      </c>
      <c r="B558" s="22" t="s">
        <v>19247</v>
      </c>
      <c r="C558" s="2">
        <v>1</v>
      </c>
      <c r="D558" s="23">
        <v>5.99</v>
      </c>
      <c r="E558" s="3">
        <v>5.99</v>
      </c>
      <c r="F558" s="2" t="s">
        <v>19248</v>
      </c>
      <c r="G558" s="22" t="s">
        <v>19585</v>
      </c>
      <c r="H558" s="24" t="s">
        <v>19384</v>
      </c>
      <c r="I558" s="22" t="s">
        <v>19309</v>
      </c>
      <c r="J558" s="22" t="s">
        <v>19573</v>
      </c>
      <c r="K558" s="22" t="s">
        <v>19574</v>
      </c>
      <c r="L558" s="22"/>
      <c r="M558" s="22"/>
      <c r="N558" s="25" t="str">
        <f>HYPERLINK("http://slimages.macys.com/is/image/MCY/20757535 ")</f>
        <v xml:space="preserve">http://slimages.macys.com/is/image/MCY/20757535 </v>
      </c>
    </row>
    <row r="559" spans="1:14" ht="24.75" x14ac:dyDescent="0.25">
      <c r="A559" s="21" t="s">
        <v>693</v>
      </c>
      <c r="B559" s="22" t="s">
        <v>694</v>
      </c>
      <c r="C559" s="2">
        <v>1</v>
      </c>
      <c r="D559" s="23">
        <v>5.99</v>
      </c>
      <c r="E559" s="3">
        <v>5.99</v>
      </c>
      <c r="F559" s="2" t="s">
        <v>14933</v>
      </c>
      <c r="G559" s="22" t="s">
        <v>19886</v>
      </c>
      <c r="H559" s="24" t="s">
        <v>19392</v>
      </c>
      <c r="I559" s="22" t="s">
        <v>19309</v>
      </c>
      <c r="J559" s="22" t="s">
        <v>19454</v>
      </c>
      <c r="K559" s="22" t="s">
        <v>19524</v>
      </c>
      <c r="L559" s="22"/>
      <c r="M559" s="22"/>
      <c r="N559" s="25" t="str">
        <f>HYPERLINK("http://slimages.macys.com/is/image/MCY/21099931 ")</f>
        <v xml:space="preserve">http://slimages.macys.com/is/image/MCY/21099931 </v>
      </c>
    </row>
    <row r="560" spans="1:14" ht="24.75" x14ac:dyDescent="0.25">
      <c r="A560" s="21" t="s">
        <v>14950</v>
      </c>
      <c r="B560" s="22" t="s">
        <v>14951</v>
      </c>
      <c r="C560" s="2">
        <v>1</v>
      </c>
      <c r="D560" s="23">
        <v>5.99</v>
      </c>
      <c r="E560" s="3">
        <v>5.99</v>
      </c>
      <c r="F560" s="2" t="s">
        <v>14949</v>
      </c>
      <c r="G560" s="22" t="s">
        <v>18764</v>
      </c>
      <c r="H560" s="24" t="s">
        <v>19324</v>
      </c>
      <c r="I560" s="22" t="s">
        <v>19309</v>
      </c>
      <c r="J560" s="22" t="s">
        <v>19573</v>
      </c>
      <c r="K560" s="22" t="s">
        <v>19574</v>
      </c>
      <c r="L560" s="22"/>
      <c r="M560" s="22"/>
      <c r="N560" s="25" t="str">
        <f>HYPERLINK("http://slimages.macys.com/is/image/MCY/21155761 ")</f>
        <v xml:space="preserve">http://slimages.macys.com/is/image/MCY/21155761 </v>
      </c>
    </row>
    <row r="561" spans="1:14" ht="24.75" x14ac:dyDescent="0.25">
      <c r="A561" s="21" t="s">
        <v>695</v>
      </c>
      <c r="B561" s="22" t="s">
        <v>696</v>
      </c>
      <c r="C561" s="2">
        <v>1</v>
      </c>
      <c r="D561" s="23">
        <v>7.99</v>
      </c>
      <c r="E561" s="3">
        <v>7.99</v>
      </c>
      <c r="F561" s="2" t="s">
        <v>17234</v>
      </c>
      <c r="G561" s="22" t="s">
        <v>19618</v>
      </c>
      <c r="H561" s="24" t="s">
        <v>19907</v>
      </c>
      <c r="I561" s="22" t="s">
        <v>19309</v>
      </c>
      <c r="J561" s="22" t="s">
        <v>19573</v>
      </c>
      <c r="K561" s="22" t="s">
        <v>19574</v>
      </c>
      <c r="L561" s="22"/>
      <c r="M561" s="22"/>
      <c r="N561" s="25" t="str">
        <f>HYPERLINK("http://slimages.macys.com/is/image/MCY/20839692 ")</f>
        <v xml:space="preserve">http://slimages.macys.com/is/image/MCY/20839692 </v>
      </c>
    </row>
    <row r="562" spans="1:14" ht="24.75" x14ac:dyDescent="0.25">
      <c r="A562" s="21" t="s">
        <v>14972</v>
      </c>
      <c r="B562" s="22" t="s">
        <v>14973</v>
      </c>
      <c r="C562" s="2">
        <v>2</v>
      </c>
      <c r="D562" s="23">
        <v>5.99</v>
      </c>
      <c r="E562" s="3">
        <v>11.98</v>
      </c>
      <c r="F562" s="2" t="s">
        <v>19273</v>
      </c>
      <c r="G562" s="22" t="s">
        <v>19794</v>
      </c>
      <c r="H562" s="24" t="s">
        <v>19324</v>
      </c>
      <c r="I562" s="22" t="s">
        <v>19309</v>
      </c>
      <c r="J562" s="22" t="s">
        <v>19573</v>
      </c>
      <c r="K562" s="22" t="s">
        <v>19574</v>
      </c>
      <c r="L562" s="22"/>
      <c r="M562" s="22"/>
      <c r="N562" s="25" t="str">
        <f>HYPERLINK("http://slimages.macys.com/is/image/MCY/21209112 ")</f>
        <v xml:space="preserve">http://slimages.macys.com/is/image/MCY/21209112 </v>
      </c>
    </row>
    <row r="563" spans="1:14" ht="24.75" x14ac:dyDescent="0.25">
      <c r="A563" s="21" t="s">
        <v>14978</v>
      </c>
      <c r="B563" s="22" t="s">
        <v>14979</v>
      </c>
      <c r="C563" s="2">
        <v>2</v>
      </c>
      <c r="D563" s="23">
        <v>5.99</v>
      </c>
      <c r="E563" s="3">
        <v>11.98</v>
      </c>
      <c r="F563" s="2" t="s">
        <v>19273</v>
      </c>
      <c r="G563" s="22" t="s">
        <v>19794</v>
      </c>
      <c r="H563" s="24" t="s">
        <v>19330</v>
      </c>
      <c r="I563" s="22" t="s">
        <v>19309</v>
      </c>
      <c r="J563" s="22" t="s">
        <v>19573</v>
      </c>
      <c r="K563" s="22" t="s">
        <v>19574</v>
      </c>
      <c r="L563" s="22"/>
      <c r="M563" s="22"/>
      <c r="N563" s="25" t="str">
        <f>HYPERLINK("http://slimages.macys.com/is/image/MCY/21209112 ")</f>
        <v xml:space="preserve">http://slimages.macys.com/is/image/MCY/21209112 </v>
      </c>
    </row>
    <row r="564" spans="1:14" ht="24.75" x14ac:dyDescent="0.25">
      <c r="A564" s="21" t="s">
        <v>19271</v>
      </c>
      <c r="B564" s="22" t="s">
        <v>19272</v>
      </c>
      <c r="C564" s="2">
        <v>1</v>
      </c>
      <c r="D564" s="23">
        <v>5.99</v>
      </c>
      <c r="E564" s="3">
        <v>5.99</v>
      </c>
      <c r="F564" s="2" t="s">
        <v>19273</v>
      </c>
      <c r="G564" s="22" t="s">
        <v>19794</v>
      </c>
      <c r="H564" s="24" t="s">
        <v>19538</v>
      </c>
      <c r="I564" s="22" t="s">
        <v>19309</v>
      </c>
      <c r="J564" s="22" t="s">
        <v>19573</v>
      </c>
      <c r="K564" s="22" t="s">
        <v>19574</v>
      </c>
      <c r="L564" s="22"/>
      <c r="M564" s="22"/>
      <c r="N564" s="25" t="str">
        <f>HYPERLINK("http://slimages.macys.com/is/image/MCY/21209112 ")</f>
        <v xml:space="preserve">http://slimages.macys.com/is/image/MCY/21209112 </v>
      </c>
    </row>
    <row r="565" spans="1:14" ht="24.75" x14ac:dyDescent="0.25">
      <c r="A565" s="21" t="s">
        <v>14974</v>
      </c>
      <c r="B565" s="22" t="s">
        <v>14975</v>
      </c>
      <c r="C565" s="2">
        <v>2</v>
      </c>
      <c r="D565" s="23">
        <v>5.99</v>
      </c>
      <c r="E565" s="3">
        <v>11.98</v>
      </c>
      <c r="F565" s="2" t="s">
        <v>19273</v>
      </c>
      <c r="G565" s="22" t="s">
        <v>19794</v>
      </c>
      <c r="H565" s="24" t="s">
        <v>19384</v>
      </c>
      <c r="I565" s="22" t="s">
        <v>19309</v>
      </c>
      <c r="J565" s="22" t="s">
        <v>19573</v>
      </c>
      <c r="K565" s="22" t="s">
        <v>19574</v>
      </c>
      <c r="L565" s="22"/>
      <c r="M565" s="22"/>
      <c r="N565" s="25" t="str">
        <f>HYPERLINK("http://slimages.macys.com/is/image/MCY/21209112 ")</f>
        <v xml:space="preserve">http://slimages.macys.com/is/image/MCY/21209112 </v>
      </c>
    </row>
    <row r="566" spans="1:14" ht="24.75" x14ac:dyDescent="0.25">
      <c r="A566" s="21" t="s">
        <v>14976</v>
      </c>
      <c r="B566" s="22" t="s">
        <v>14977</v>
      </c>
      <c r="C566" s="2">
        <v>3</v>
      </c>
      <c r="D566" s="23">
        <v>5.99</v>
      </c>
      <c r="E566" s="3">
        <v>17.97</v>
      </c>
      <c r="F566" s="2" t="s">
        <v>19273</v>
      </c>
      <c r="G566" s="22" t="s">
        <v>19794</v>
      </c>
      <c r="H566" s="24" t="s">
        <v>19416</v>
      </c>
      <c r="I566" s="22" t="s">
        <v>19309</v>
      </c>
      <c r="J566" s="22" t="s">
        <v>19573</v>
      </c>
      <c r="K566" s="22" t="s">
        <v>19574</v>
      </c>
      <c r="L566" s="22"/>
      <c r="M566" s="22"/>
      <c r="N566" s="25" t="str">
        <f>HYPERLINK("http://slimages.macys.com/is/image/MCY/21209112 ")</f>
        <v xml:space="preserve">http://slimages.macys.com/is/image/MCY/21209112 </v>
      </c>
    </row>
    <row r="567" spans="1:14" ht="24.75" x14ac:dyDescent="0.25">
      <c r="A567" s="21" t="s">
        <v>697</v>
      </c>
      <c r="B567" s="22" t="s">
        <v>698</v>
      </c>
      <c r="C567" s="2">
        <v>1</v>
      </c>
      <c r="D567" s="23">
        <v>5.99</v>
      </c>
      <c r="E567" s="3">
        <v>5.99</v>
      </c>
      <c r="F567" s="2" t="s">
        <v>699</v>
      </c>
      <c r="G567" s="22" t="s">
        <v>18439</v>
      </c>
      <c r="H567" s="24" t="s">
        <v>19416</v>
      </c>
      <c r="I567" s="22" t="s">
        <v>19309</v>
      </c>
      <c r="J567" s="22" t="s">
        <v>19573</v>
      </c>
      <c r="K567" s="22" t="s">
        <v>19574</v>
      </c>
      <c r="L567" s="22"/>
      <c r="M567" s="22"/>
      <c r="N567" s="25" t="str">
        <f>HYPERLINK("http://slimages.macys.com/is/image/MCY/21923132 ")</f>
        <v xml:space="preserve">http://slimages.macys.com/is/image/MCY/21923132 </v>
      </c>
    </row>
    <row r="568" spans="1:14" ht="24.75" x14ac:dyDescent="0.25">
      <c r="A568" s="21" t="s">
        <v>10191</v>
      </c>
      <c r="B568" s="22" t="s">
        <v>10192</v>
      </c>
      <c r="C568" s="2">
        <v>2</v>
      </c>
      <c r="D568" s="23">
        <v>5.99</v>
      </c>
      <c r="E568" s="3">
        <v>11.98</v>
      </c>
      <c r="F568" s="2" t="s">
        <v>14999</v>
      </c>
      <c r="G568" s="22" t="s">
        <v>19794</v>
      </c>
      <c r="H568" s="24" t="s">
        <v>19538</v>
      </c>
      <c r="I568" s="22" t="s">
        <v>19309</v>
      </c>
      <c r="J568" s="22" t="s">
        <v>19573</v>
      </c>
      <c r="K568" s="22" t="s">
        <v>19574</v>
      </c>
      <c r="L568" s="22"/>
      <c r="M568" s="22"/>
      <c r="N568" s="25" t="str">
        <f>HYPERLINK("http://slimages.macys.com/is/image/MCY/1522322 ")</f>
        <v xml:space="preserve">http://slimages.macys.com/is/image/MCY/1522322 </v>
      </c>
    </row>
    <row r="569" spans="1:14" ht="24.75" x14ac:dyDescent="0.25">
      <c r="A569" s="21" t="s">
        <v>14997</v>
      </c>
      <c r="B569" s="22" t="s">
        <v>14998</v>
      </c>
      <c r="C569" s="2">
        <v>2</v>
      </c>
      <c r="D569" s="23">
        <v>5.99</v>
      </c>
      <c r="E569" s="3">
        <v>11.98</v>
      </c>
      <c r="F569" s="2" t="s">
        <v>14999</v>
      </c>
      <c r="G569" s="22" t="s">
        <v>19794</v>
      </c>
      <c r="H569" s="24" t="s">
        <v>19384</v>
      </c>
      <c r="I569" s="22" t="s">
        <v>19309</v>
      </c>
      <c r="J569" s="22" t="s">
        <v>19573</v>
      </c>
      <c r="K569" s="22" t="s">
        <v>19574</v>
      </c>
      <c r="L569" s="22"/>
      <c r="M569" s="22"/>
      <c r="N569" s="25" t="str">
        <f>HYPERLINK("http://slimages.macys.com/is/image/MCY/1522322 ")</f>
        <v xml:space="preserve">http://slimages.macys.com/is/image/MCY/1522322 </v>
      </c>
    </row>
    <row r="570" spans="1:14" ht="24.75" x14ac:dyDescent="0.25">
      <c r="A570" s="21" t="s">
        <v>15000</v>
      </c>
      <c r="B570" s="22" t="s">
        <v>15001</v>
      </c>
      <c r="C570" s="2">
        <v>2</v>
      </c>
      <c r="D570" s="23">
        <v>5.99</v>
      </c>
      <c r="E570" s="3">
        <v>11.98</v>
      </c>
      <c r="F570" s="2" t="s">
        <v>14999</v>
      </c>
      <c r="G570" s="22" t="s">
        <v>19794</v>
      </c>
      <c r="H570" s="24" t="s">
        <v>19324</v>
      </c>
      <c r="I570" s="22" t="s">
        <v>19309</v>
      </c>
      <c r="J570" s="22" t="s">
        <v>19573</v>
      </c>
      <c r="K570" s="22" t="s">
        <v>19574</v>
      </c>
      <c r="L570" s="22"/>
      <c r="M570" s="22"/>
      <c r="N570" s="25" t="str">
        <f>HYPERLINK("http://slimages.macys.com/is/image/MCY/1522322 ")</f>
        <v xml:space="preserve">http://slimages.macys.com/is/image/MCY/1522322 </v>
      </c>
    </row>
    <row r="571" spans="1:14" ht="24.75" x14ac:dyDescent="0.25">
      <c r="A571" s="21" t="s">
        <v>700</v>
      </c>
      <c r="B571" s="22" t="s">
        <v>701</v>
      </c>
      <c r="C571" s="2">
        <v>2</v>
      </c>
      <c r="D571" s="23">
        <v>5.99</v>
      </c>
      <c r="E571" s="3">
        <v>11.98</v>
      </c>
      <c r="F571" s="2" t="s">
        <v>14999</v>
      </c>
      <c r="G571" s="22" t="s">
        <v>19794</v>
      </c>
      <c r="H571" s="24" t="s">
        <v>19416</v>
      </c>
      <c r="I571" s="22" t="s">
        <v>19309</v>
      </c>
      <c r="J571" s="22" t="s">
        <v>19573</v>
      </c>
      <c r="K571" s="22" t="s">
        <v>19574</v>
      </c>
      <c r="L571" s="22"/>
      <c r="M571" s="22"/>
      <c r="N571" s="25" t="str">
        <f>HYPERLINK("http://slimages.macys.com/is/image/MCY/1522322 ")</f>
        <v xml:space="preserve">http://slimages.macys.com/is/image/MCY/1522322 </v>
      </c>
    </row>
    <row r="572" spans="1:14" ht="24.75" x14ac:dyDescent="0.25">
      <c r="A572" s="21" t="s">
        <v>702</v>
      </c>
      <c r="B572" s="22" t="s">
        <v>703</v>
      </c>
      <c r="C572" s="2">
        <v>1</v>
      </c>
      <c r="D572" s="23">
        <v>5.99</v>
      </c>
      <c r="E572" s="3">
        <v>5.99</v>
      </c>
      <c r="F572" s="2" t="s">
        <v>14999</v>
      </c>
      <c r="G572" s="22" t="s">
        <v>19794</v>
      </c>
      <c r="H572" s="24" t="s">
        <v>19330</v>
      </c>
      <c r="I572" s="22" t="s">
        <v>19309</v>
      </c>
      <c r="J572" s="22" t="s">
        <v>19573</v>
      </c>
      <c r="K572" s="22" t="s">
        <v>19574</v>
      </c>
      <c r="L572" s="22"/>
      <c r="M572" s="22"/>
      <c r="N572" s="25" t="str">
        <f>HYPERLINK("http://slimages.macys.com/is/image/MCY/1522322 ")</f>
        <v xml:space="preserve">http://slimages.macys.com/is/image/MCY/1522322 </v>
      </c>
    </row>
    <row r="573" spans="1:14" ht="24.75" x14ac:dyDescent="0.25">
      <c r="A573" s="21" t="s">
        <v>17294</v>
      </c>
      <c r="B573" s="22" t="s">
        <v>17295</v>
      </c>
      <c r="C573" s="2">
        <v>3</v>
      </c>
      <c r="D573" s="23">
        <v>5.99</v>
      </c>
      <c r="E573" s="3">
        <v>17.97</v>
      </c>
      <c r="F573" s="2" t="s">
        <v>17449</v>
      </c>
      <c r="G573" s="22" t="s">
        <v>19415</v>
      </c>
      <c r="H573" s="24" t="s">
        <v>19384</v>
      </c>
      <c r="I573" s="22" t="s">
        <v>19309</v>
      </c>
      <c r="J573" s="22" t="s">
        <v>19573</v>
      </c>
      <c r="K573" s="22" t="s">
        <v>19574</v>
      </c>
      <c r="L573" s="22"/>
      <c r="M573" s="22"/>
      <c r="N573" s="25" t="str">
        <f>HYPERLINK("http://slimages.macys.com/is/image/MCY/21209295 ")</f>
        <v xml:space="preserve">http://slimages.macys.com/is/image/MCY/21209295 </v>
      </c>
    </row>
    <row r="574" spans="1:14" ht="24.75" x14ac:dyDescent="0.25">
      <c r="A574" s="21" t="s">
        <v>17447</v>
      </c>
      <c r="B574" s="22" t="s">
        <v>17448</v>
      </c>
      <c r="C574" s="2">
        <v>3</v>
      </c>
      <c r="D574" s="23">
        <v>5.99</v>
      </c>
      <c r="E574" s="3">
        <v>17.97</v>
      </c>
      <c r="F574" s="2" t="s">
        <v>17449</v>
      </c>
      <c r="G574" s="22" t="s">
        <v>19415</v>
      </c>
      <c r="H574" s="24" t="s">
        <v>19324</v>
      </c>
      <c r="I574" s="22" t="s">
        <v>19309</v>
      </c>
      <c r="J574" s="22" t="s">
        <v>19573</v>
      </c>
      <c r="K574" s="22" t="s">
        <v>19574</v>
      </c>
      <c r="L574" s="22"/>
      <c r="M574" s="22"/>
      <c r="N574" s="25" t="str">
        <f>HYPERLINK("http://slimages.macys.com/is/image/MCY/21209295 ")</f>
        <v xml:space="preserve">http://slimages.macys.com/is/image/MCY/21209295 </v>
      </c>
    </row>
    <row r="575" spans="1:14" ht="24.75" x14ac:dyDescent="0.25">
      <c r="A575" s="21" t="s">
        <v>17292</v>
      </c>
      <c r="B575" s="22" t="s">
        <v>17293</v>
      </c>
      <c r="C575" s="2">
        <v>2</v>
      </c>
      <c r="D575" s="23">
        <v>5.99</v>
      </c>
      <c r="E575" s="3">
        <v>11.98</v>
      </c>
      <c r="F575" s="2" t="s">
        <v>17449</v>
      </c>
      <c r="G575" s="22" t="s">
        <v>19415</v>
      </c>
      <c r="H575" s="24" t="s">
        <v>19538</v>
      </c>
      <c r="I575" s="22" t="s">
        <v>19309</v>
      </c>
      <c r="J575" s="22" t="s">
        <v>19573</v>
      </c>
      <c r="K575" s="22" t="s">
        <v>19574</v>
      </c>
      <c r="L575" s="22"/>
      <c r="M575" s="22"/>
      <c r="N575" s="25" t="str">
        <f>HYPERLINK("http://slimages.macys.com/is/image/MCY/21209295 ")</f>
        <v xml:space="preserve">http://slimages.macys.com/is/image/MCY/21209295 </v>
      </c>
    </row>
    <row r="576" spans="1:14" ht="24.75" x14ac:dyDescent="0.25">
      <c r="A576" s="21" t="s">
        <v>704</v>
      </c>
      <c r="B576" s="22" t="s">
        <v>705</v>
      </c>
      <c r="C576" s="2">
        <v>1</v>
      </c>
      <c r="D576" s="23">
        <v>5.99</v>
      </c>
      <c r="E576" s="3">
        <v>5.99</v>
      </c>
      <c r="F576" s="2" t="s">
        <v>706</v>
      </c>
      <c r="G576" s="22" t="s">
        <v>19315</v>
      </c>
      <c r="H576" s="24" t="s">
        <v>19538</v>
      </c>
      <c r="I576" s="22" t="s">
        <v>19309</v>
      </c>
      <c r="J576" s="22" t="s">
        <v>19573</v>
      </c>
      <c r="K576" s="22" t="s">
        <v>19574</v>
      </c>
      <c r="L576" s="22"/>
      <c r="M576" s="22"/>
      <c r="N576" s="25" t="str">
        <f>HYPERLINK("http://slimages.macys.com/is/image/MCY/20385801 ")</f>
        <v xml:space="preserve">http://slimages.macys.com/is/image/MCY/20385801 </v>
      </c>
    </row>
    <row r="577" spans="1:14" ht="24.75" x14ac:dyDescent="0.25">
      <c r="A577" s="21" t="s">
        <v>707</v>
      </c>
      <c r="B577" s="22" t="s">
        <v>14357</v>
      </c>
      <c r="C577" s="2">
        <v>1</v>
      </c>
      <c r="D577" s="23">
        <v>75</v>
      </c>
      <c r="E577" s="3">
        <v>75</v>
      </c>
      <c r="F577" s="2">
        <v>726108385671</v>
      </c>
      <c r="G577" s="22" t="s">
        <v>17504</v>
      </c>
      <c r="H577" s="24" t="s">
        <v>17505</v>
      </c>
      <c r="I577" s="22" t="s">
        <v>19309</v>
      </c>
      <c r="J577" s="22" t="s">
        <v>15506</v>
      </c>
      <c r="K577" s="22" t="s">
        <v>15219</v>
      </c>
      <c r="L577" s="22"/>
      <c r="M577" s="22"/>
      <c r="N577" s="25"/>
    </row>
    <row r="578" spans="1:14" ht="24.75" x14ac:dyDescent="0.25">
      <c r="A578" s="21" t="s">
        <v>5354</v>
      </c>
      <c r="B578" s="22" t="s">
        <v>5355</v>
      </c>
      <c r="C578" s="2">
        <v>1</v>
      </c>
      <c r="D578" s="23">
        <v>39.99</v>
      </c>
      <c r="E578" s="3">
        <v>39.99</v>
      </c>
      <c r="F578" s="2" t="s">
        <v>17319</v>
      </c>
      <c r="G578" s="22" t="s">
        <v>19630</v>
      </c>
      <c r="H578" s="24" t="s">
        <v>19384</v>
      </c>
      <c r="I578" s="22" t="s">
        <v>19309</v>
      </c>
      <c r="J578" s="22" t="s">
        <v>19385</v>
      </c>
      <c r="K578" s="22" t="s">
        <v>19487</v>
      </c>
      <c r="L578" s="22"/>
      <c r="M578" s="22"/>
      <c r="N578" s="25"/>
    </row>
    <row r="579" spans="1:14" ht="24.75" x14ac:dyDescent="0.25">
      <c r="A579" s="21" t="s">
        <v>708</v>
      </c>
      <c r="B579" s="22" t="s">
        <v>709</v>
      </c>
      <c r="C579" s="2">
        <v>1</v>
      </c>
      <c r="D579" s="23">
        <v>35.99</v>
      </c>
      <c r="E579" s="3">
        <v>35.99</v>
      </c>
      <c r="F579" s="2" t="s">
        <v>17475</v>
      </c>
      <c r="G579" s="22" t="s">
        <v>19674</v>
      </c>
      <c r="H579" s="24" t="s">
        <v>19324</v>
      </c>
      <c r="I579" s="22" t="s">
        <v>19309</v>
      </c>
      <c r="J579" s="22" t="s">
        <v>19385</v>
      </c>
      <c r="K579" s="22" t="s">
        <v>19487</v>
      </c>
      <c r="L579" s="22"/>
      <c r="M579" s="22"/>
      <c r="N579" s="25"/>
    </row>
    <row r="580" spans="1:14" ht="24.75" x14ac:dyDescent="0.25">
      <c r="A580" s="21" t="s">
        <v>710</v>
      </c>
      <c r="B580" s="22" t="s">
        <v>711</v>
      </c>
      <c r="C580" s="2">
        <v>1</v>
      </c>
      <c r="D580" s="23">
        <v>34.99</v>
      </c>
      <c r="E580" s="3">
        <v>34.99</v>
      </c>
      <c r="F580" s="2" t="s">
        <v>17478</v>
      </c>
      <c r="G580" s="22" t="s">
        <v>19333</v>
      </c>
      <c r="H580" s="24" t="s">
        <v>19324</v>
      </c>
      <c r="I580" s="22" t="s">
        <v>19309</v>
      </c>
      <c r="J580" s="22" t="s">
        <v>19385</v>
      </c>
      <c r="K580" s="22" t="s">
        <v>19487</v>
      </c>
      <c r="L580" s="22"/>
      <c r="M580" s="22"/>
      <c r="N580" s="25"/>
    </row>
    <row r="581" spans="1:14" ht="24.75" x14ac:dyDescent="0.25">
      <c r="A581" s="21" t="s">
        <v>712</v>
      </c>
      <c r="B581" s="22" t="s">
        <v>713</v>
      </c>
      <c r="C581" s="2">
        <v>1</v>
      </c>
      <c r="D581" s="23">
        <v>33.99</v>
      </c>
      <c r="E581" s="3">
        <v>33.99</v>
      </c>
      <c r="F581" s="2" t="s">
        <v>11743</v>
      </c>
      <c r="G581" s="22"/>
      <c r="H581" s="24" t="s">
        <v>19538</v>
      </c>
      <c r="I581" s="22" t="s">
        <v>19309</v>
      </c>
      <c r="J581" s="22" t="s">
        <v>19385</v>
      </c>
      <c r="K581" s="22" t="s">
        <v>19487</v>
      </c>
      <c r="L581" s="22"/>
      <c r="M581" s="22"/>
      <c r="N581" s="25"/>
    </row>
    <row r="582" spans="1:14" ht="24.75" x14ac:dyDescent="0.25">
      <c r="A582" s="21" t="s">
        <v>714</v>
      </c>
      <c r="B582" s="22" t="s">
        <v>715</v>
      </c>
      <c r="C582" s="2">
        <v>1</v>
      </c>
      <c r="D582" s="23">
        <v>32.99</v>
      </c>
      <c r="E582" s="3">
        <v>32.99</v>
      </c>
      <c r="F582" s="2" t="s">
        <v>716</v>
      </c>
      <c r="G582" s="22" t="s">
        <v>19333</v>
      </c>
      <c r="H582" s="24" t="s">
        <v>19334</v>
      </c>
      <c r="I582" s="22" t="s">
        <v>19309</v>
      </c>
      <c r="J582" s="22" t="s">
        <v>19491</v>
      </c>
      <c r="K582" s="22" t="s">
        <v>717</v>
      </c>
      <c r="L582" s="22"/>
      <c r="M582" s="22"/>
      <c r="N582" s="25"/>
    </row>
    <row r="583" spans="1:14" ht="24.75" x14ac:dyDescent="0.25">
      <c r="A583" s="21" t="s">
        <v>718</v>
      </c>
      <c r="B583" s="22" t="s">
        <v>719</v>
      </c>
      <c r="C583" s="2">
        <v>1</v>
      </c>
      <c r="D583" s="23">
        <v>29.99</v>
      </c>
      <c r="E583" s="3">
        <v>29.99</v>
      </c>
      <c r="F583" s="2" t="s">
        <v>10213</v>
      </c>
      <c r="G583" s="22" t="s">
        <v>19801</v>
      </c>
      <c r="H583" s="24" t="s">
        <v>19330</v>
      </c>
      <c r="I583" s="22" t="s">
        <v>19309</v>
      </c>
      <c r="J583" s="22" t="s">
        <v>19385</v>
      </c>
      <c r="K583" s="22" t="s">
        <v>19487</v>
      </c>
      <c r="L583" s="22"/>
      <c r="M583" s="22"/>
      <c r="N583" s="25"/>
    </row>
    <row r="584" spans="1:14" x14ac:dyDescent="0.25">
      <c r="A584" s="21" t="s">
        <v>10785</v>
      </c>
      <c r="B584" s="22" t="s">
        <v>10786</v>
      </c>
      <c r="C584" s="2">
        <v>1</v>
      </c>
      <c r="D584" s="23">
        <v>40</v>
      </c>
      <c r="E584" s="3">
        <v>40</v>
      </c>
      <c r="F584" s="2" t="s">
        <v>10787</v>
      </c>
      <c r="G584" s="22" t="s">
        <v>19342</v>
      </c>
      <c r="H584" s="24" t="s">
        <v>19361</v>
      </c>
      <c r="I584" s="22" t="s">
        <v>19309</v>
      </c>
      <c r="J584" s="22" t="s">
        <v>17328</v>
      </c>
      <c r="K584" s="22" t="s">
        <v>17329</v>
      </c>
      <c r="L584" s="22"/>
      <c r="M584" s="22"/>
      <c r="N584" s="25"/>
    </row>
    <row r="585" spans="1:14" x14ac:dyDescent="0.25">
      <c r="A585" s="21" t="s">
        <v>720</v>
      </c>
      <c r="B585" s="22" t="s">
        <v>721</v>
      </c>
      <c r="C585" s="2">
        <v>1</v>
      </c>
      <c r="D585" s="23">
        <v>17.100000000000001</v>
      </c>
      <c r="E585" s="3">
        <v>17.100000000000001</v>
      </c>
      <c r="F585" s="2" t="s">
        <v>11539</v>
      </c>
      <c r="G585" s="22"/>
      <c r="H585" s="24" t="s">
        <v>19330</v>
      </c>
      <c r="I585" s="22" t="s">
        <v>19309</v>
      </c>
      <c r="J585" s="22" t="s">
        <v>19708</v>
      </c>
      <c r="K585" s="22" t="s">
        <v>19709</v>
      </c>
      <c r="L585" s="22"/>
      <c r="M585" s="22"/>
      <c r="N585" s="25"/>
    </row>
    <row r="586" spans="1:14" ht="24.75" x14ac:dyDescent="0.25">
      <c r="A586" s="21" t="s">
        <v>722</v>
      </c>
      <c r="B586" s="22" t="s">
        <v>723</v>
      </c>
      <c r="C586" s="2">
        <v>1</v>
      </c>
      <c r="D586" s="23">
        <v>18.12</v>
      </c>
      <c r="E586" s="3">
        <v>18.12</v>
      </c>
      <c r="F586" s="2" t="s">
        <v>724</v>
      </c>
      <c r="G586" s="22" t="s">
        <v>19351</v>
      </c>
      <c r="H586" s="24" t="s">
        <v>19432</v>
      </c>
      <c r="I586" s="22" t="s">
        <v>19309</v>
      </c>
      <c r="J586" s="22" t="s">
        <v>19602</v>
      </c>
      <c r="K586" s="22" t="s">
        <v>20041</v>
      </c>
      <c r="L586" s="22"/>
      <c r="M586" s="22"/>
      <c r="N586" s="25"/>
    </row>
    <row r="587" spans="1:14" ht="24.75" x14ac:dyDescent="0.25">
      <c r="A587" s="21" t="s">
        <v>10214</v>
      </c>
      <c r="B587" s="22" t="s">
        <v>10215</v>
      </c>
      <c r="C587" s="2">
        <v>1</v>
      </c>
      <c r="D587" s="23">
        <v>17.72</v>
      </c>
      <c r="E587" s="3">
        <v>17.72</v>
      </c>
      <c r="F587" s="2" t="s">
        <v>10216</v>
      </c>
      <c r="G587" s="22"/>
      <c r="H587" s="24" t="s">
        <v>19345</v>
      </c>
      <c r="I587" s="22" t="s">
        <v>19309</v>
      </c>
      <c r="J587" s="22" t="s">
        <v>19602</v>
      </c>
      <c r="K587" s="22" t="s">
        <v>19603</v>
      </c>
      <c r="L587" s="22"/>
      <c r="M587" s="22"/>
      <c r="N587" s="25"/>
    </row>
    <row r="588" spans="1:14" ht="24.75" x14ac:dyDescent="0.25">
      <c r="A588" s="21" t="s">
        <v>725</v>
      </c>
      <c r="B588" s="22" t="s">
        <v>726</v>
      </c>
      <c r="C588" s="2">
        <v>1</v>
      </c>
      <c r="D588" s="23">
        <v>15.99</v>
      </c>
      <c r="E588" s="3">
        <v>15.99</v>
      </c>
      <c r="F588" s="2" t="s">
        <v>3420</v>
      </c>
      <c r="G588" s="22"/>
      <c r="H588" s="24" t="s">
        <v>19339</v>
      </c>
      <c r="I588" s="22" t="s">
        <v>19309</v>
      </c>
      <c r="J588" s="22" t="s">
        <v>20076</v>
      </c>
      <c r="K588" s="22" t="s">
        <v>20077</v>
      </c>
      <c r="L588" s="22"/>
      <c r="M588" s="22"/>
      <c r="N588" s="25"/>
    </row>
    <row r="589" spans="1:14" ht="24.75" x14ac:dyDescent="0.25">
      <c r="A589" s="21" t="s">
        <v>1628</v>
      </c>
      <c r="B589" s="22" t="s">
        <v>1629</v>
      </c>
      <c r="C589" s="2">
        <v>1</v>
      </c>
      <c r="D589" s="23">
        <v>15.99</v>
      </c>
      <c r="E589" s="3">
        <v>15.99</v>
      </c>
      <c r="F589" s="2" t="s">
        <v>3420</v>
      </c>
      <c r="G589" s="22"/>
      <c r="H589" s="24" t="s">
        <v>19352</v>
      </c>
      <c r="I589" s="22" t="s">
        <v>19309</v>
      </c>
      <c r="J589" s="22" t="s">
        <v>20076</v>
      </c>
      <c r="K589" s="22" t="s">
        <v>20077</v>
      </c>
      <c r="L589" s="22"/>
      <c r="M589" s="22"/>
      <c r="N589" s="25"/>
    </row>
    <row r="590" spans="1:14" ht="24.75" x14ac:dyDescent="0.25">
      <c r="A590" s="21" t="s">
        <v>727</v>
      </c>
      <c r="B590" s="22" t="s">
        <v>728</v>
      </c>
      <c r="C590" s="2">
        <v>1</v>
      </c>
      <c r="D590" s="23">
        <v>13.99</v>
      </c>
      <c r="E590" s="3">
        <v>13.99</v>
      </c>
      <c r="F590" s="2" t="s">
        <v>729</v>
      </c>
      <c r="G590" s="22" t="s">
        <v>19415</v>
      </c>
      <c r="H590" s="24" t="s">
        <v>19367</v>
      </c>
      <c r="I590" s="22" t="s">
        <v>19309</v>
      </c>
      <c r="J590" s="22" t="s">
        <v>19385</v>
      </c>
      <c r="K590" s="22" t="s">
        <v>19458</v>
      </c>
      <c r="L590" s="22"/>
      <c r="M590" s="22"/>
      <c r="N590" s="25"/>
    </row>
    <row r="591" spans="1:14" x14ac:dyDescent="0.25">
      <c r="A591" s="21" t="s">
        <v>730</v>
      </c>
      <c r="B591" s="22" t="s">
        <v>731</v>
      </c>
      <c r="C591" s="2">
        <v>1</v>
      </c>
      <c r="D591" s="23">
        <v>17.87</v>
      </c>
      <c r="E591" s="3">
        <v>17.87</v>
      </c>
      <c r="F591" s="2" t="s">
        <v>20176</v>
      </c>
      <c r="G591" s="22"/>
      <c r="H591" s="24" t="s">
        <v>19416</v>
      </c>
      <c r="I591" s="22" t="s">
        <v>19309</v>
      </c>
      <c r="J591" s="22" t="s">
        <v>19708</v>
      </c>
      <c r="K591" s="22" t="s">
        <v>19709</v>
      </c>
      <c r="L591" s="22"/>
      <c r="M591" s="22"/>
      <c r="N591" s="25"/>
    </row>
    <row r="592" spans="1:14" x14ac:dyDescent="0.25">
      <c r="A592" s="21" t="s">
        <v>732</v>
      </c>
      <c r="B592" s="22" t="s">
        <v>733</v>
      </c>
      <c r="C592" s="2">
        <v>1</v>
      </c>
      <c r="D592" s="23">
        <v>17.87</v>
      </c>
      <c r="E592" s="3">
        <v>17.87</v>
      </c>
      <c r="F592" s="2" t="s">
        <v>1632</v>
      </c>
      <c r="G592" s="22"/>
      <c r="H592" s="24" t="s">
        <v>19416</v>
      </c>
      <c r="I592" s="22" t="s">
        <v>19309</v>
      </c>
      <c r="J592" s="22" t="s">
        <v>19708</v>
      </c>
      <c r="K592" s="22" t="s">
        <v>19709</v>
      </c>
      <c r="L592" s="22"/>
      <c r="M592" s="22"/>
      <c r="N592" s="25"/>
    </row>
    <row r="593" spans="1:14" x14ac:dyDescent="0.25">
      <c r="A593" s="21" t="s">
        <v>734</v>
      </c>
      <c r="B593" s="22" t="s">
        <v>735</v>
      </c>
      <c r="C593" s="2">
        <v>1</v>
      </c>
      <c r="D593" s="23">
        <v>17.87</v>
      </c>
      <c r="E593" s="3">
        <v>17.87</v>
      </c>
      <c r="F593" s="2" t="s">
        <v>1632</v>
      </c>
      <c r="G593" s="22"/>
      <c r="H593" s="24" t="s">
        <v>19367</v>
      </c>
      <c r="I593" s="22" t="s">
        <v>19309</v>
      </c>
      <c r="J593" s="22" t="s">
        <v>19708</v>
      </c>
      <c r="K593" s="22" t="s">
        <v>19709</v>
      </c>
      <c r="L593" s="22"/>
      <c r="M593" s="22"/>
      <c r="N593" s="25"/>
    </row>
    <row r="594" spans="1:14" ht="24.75" x14ac:dyDescent="0.25">
      <c r="A594" s="21" t="s">
        <v>8400</v>
      </c>
      <c r="B594" s="22" t="s">
        <v>8401</v>
      </c>
      <c r="C594" s="2">
        <v>1</v>
      </c>
      <c r="D594" s="23">
        <v>11.55</v>
      </c>
      <c r="E594" s="3">
        <v>11.55</v>
      </c>
      <c r="F594" s="2" t="s">
        <v>17372</v>
      </c>
      <c r="G594" s="22" t="s">
        <v>19618</v>
      </c>
      <c r="H594" s="24" t="s">
        <v>19352</v>
      </c>
      <c r="I594" s="22" t="s">
        <v>19309</v>
      </c>
      <c r="J594" s="22" t="s">
        <v>19565</v>
      </c>
      <c r="K594" s="22" t="s">
        <v>18548</v>
      </c>
      <c r="L594" s="22"/>
      <c r="M594" s="22"/>
      <c r="N594" s="25"/>
    </row>
    <row r="595" spans="1:14" x14ac:dyDescent="0.25">
      <c r="A595" s="21" t="s">
        <v>10236</v>
      </c>
      <c r="B595" s="22" t="s">
        <v>10237</v>
      </c>
      <c r="C595" s="2">
        <v>1</v>
      </c>
      <c r="D595" s="23">
        <v>13.68</v>
      </c>
      <c r="E595" s="3">
        <v>13.68</v>
      </c>
      <c r="F595" s="2" t="s">
        <v>10238</v>
      </c>
      <c r="G595" s="22" t="s">
        <v>19594</v>
      </c>
      <c r="H595" s="24" t="s">
        <v>19324</v>
      </c>
      <c r="I595" s="22" t="s">
        <v>19309</v>
      </c>
      <c r="J595" s="22" t="s">
        <v>19708</v>
      </c>
      <c r="K595" s="22" t="s">
        <v>19709</v>
      </c>
      <c r="L595" s="22"/>
      <c r="M595" s="22"/>
      <c r="N595" s="25"/>
    </row>
    <row r="596" spans="1:14" x14ac:dyDescent="0.25">
      <c r="A596" s="21" t="s">
        <v>736</v>
      </c>
      <c r="B596" s="22" t="s">
        <v>737</v>
      </c>
      <c r="C596" s="2">
        <v>1</v>
      </c>
      <c r="D596" s="23">
        <v>13.68</v>
      </c>
      <c r="E596" s="3">
        <v>13.68</v>
      </c>
      <c r="F596" s="2" t="s">
        <v>10238</v>
      </c>
      <c r="G596" s="22" t="s">
        <v>19594</v>
      </c>
      <c r="H596" s="24" t="s">
        <v>19416</v>
      </c>
      <c r="I596" s="22" t="s">
        <v>19309</v>
      </c>
      <c r="J596" s="22" t="s">
        <v>19708</v>
      </c>
      <c r="K596" s="22" t="s">
        <v>19709</v>
      </c>
      <c r="L596" s="22"/>
      <c r="M596" s="22"/>
      <c r="N596" s="25"/>
    </row>
    <row r="597" spans="1:14" ht="24.75" x14ac:dyDescent="0.25">
      <c r="A597" s="21" t="s">
        <v>738</v>
      </c>
      <c r="B597" s="22" t="s">
        <v>13587</v>
      </c>
      <c r="C597" s="2">
        <v>1</v>
      </c>
      <c r="D597" s="23">
        <v>8.99</v>
      </c>
      <c r="E597" s="3">
        <v>8.99</v>
      </c>
      <c r="F597" s="2" t="s">
        <v>13588</v>
      </c>
      <c r="G597" s="22" t="s">
        <v>15203</v>
      </c>
      <c r="H597" s="24" t="s">
        <v>19334</v>
      </c>
      <c r="I597" s="22" t="s">
        <v>19309</v>
      </c>
      <c r="J597" s="22" t="s">
        <v>19447</v>
      </c>
      <c r="K597" s="22" t="s">
        <v>20146</v>
      </c>
      <c r="L597" s="22"/>
      <c r="M597" s="22"/>
      <c r="N597" s="25"/>
    </row>
    <row r="598" spans="1:14" ht="24.75" x14ac:dyDescent="0.25">
      <c r="A598" s="21" t="s">
        <v>13586</v>
      </c>
      <c r="B598" s="22" t="s">
        <v>13587</v>
      </c>
      <c r="C598" s="2">
        <v>2</v>
      </c>
      <c r="D598" s="23">
        <v>8.99</v>
      </c>
      <c r="E598" s="3">
        <v>17.98</v>
      </c>
      <c r="F598" s="2" t="s">
        <v>13588</v>
      </c>
      <c r="G598" s="22" t="s">
        <v>15203</v>
      </c>
      <c r="H598" s="24" t="s">
        <v>19377</v>
      </c>
      <c r="I598" s="22" t="s">
        <v>19309</v>
      </c>
      <c r="J598" s="22" t="s">
        <v>19447</v>
      </c>
      <c r="K598" s="22" t="s">
        <v>20146</v>
      </c>
      <c r="L598" s="22"/>
      <c r="M598" s="22"/>
      <c r="N598" s="25"/>
    </row>
    <row r="599" spans="1:14" ht="24.75" x14ac:dyDescent="0.25">
      <c r="A599" s="21" t="s">
        <v>739</v>
      </c>
      <c r="B599" s="22" t="s">
        <v>740</v>
      </c>
      <c r="C599" s="2">
        <v>1</v>
      </c>
      <c r="D599" s="23">
        <v>7.99</v>
      </c>
      <c r="E599" s="3">
        <v>7.99</v>
      </c>
      <c r="F599" s="2" t="s">
        <v>741</v>
      </c>
      <c r="G599" s="22" t="s">
        <v>19338</v>
      </c>
      <c r="H599" s="24" t="s">
        <v>19907</v>
      </c>
      <c r="I599" s="22" t="s">
        <v>19309</v>
      </c>
      <c r="J599" s="22" t="s">
        <v>19908</v>
      </c>
      <c r="K599" s="22" t="s">
        <v>19524</v>
      </c>
      <c r="L599" s="22"/>
      <c r="M599" s="22"/>
      <c r="N599" s="25"/>
    </row>
  </sheetData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78"/>
  <sheetViews>
    <sheetView workbookViewId="0">
      <selection activeCell="C17" sqref="C17"/>
    </sheetView>
  </sheetViews>
  <sheetFormatPr defaultRowHeight="15" x14ac:dyDescent="0.25"/>
  <cols>
    <col min="1" max="1" width="14.42578125" customWidth="1"/>
    <col min="2" max="2" width="55.42578125" customWidth="1"/>
    <col min="3" max="4" width="15" customWidth="1"/>
    <col min="5" max="5" width="10.42578125" customWidth="1"/>
    <col min="6" max="6" width="17.140625" customWidth="1"/>
    <col min="7" max="8" width="11.42578125" customWidth="1"/>
    <col min="9" max="9" width="10.85546875" customWidth="1"/>
    <col min="10" max="10" width="12.140625" customWidth="1"/>
    <col min="11" max="11" width="36.5703125" bestFit="1" customWidth="1"/>
    <col min="12" max="13" width="20.5703125" customWidth="1"/>
    <col min="14" max="14" width="64.42578125" customWidth="1"/>
  </cols>
  <sheetData>
    <row r="1" spans="1:14" ht="36" x14ac:dyDescent="0.25">
      <c r="A1" s="1" t="s">
        <v>19291</v>
      </c>
      <c r="B1" s="1" t="s">
        <v>19292</v>
      </c>
      <c r="C1" s="1" t="s">
        <v>17511</v>
      </c>
      <c r="D1" s="1" t="s">
        <v>19284</v>
      </c>
      <c r="E1" s="1" t="s">
        <v>19294</v>
      </c>
      <c r="F1" s="1" t="s">
        <v>19295</v>
      </c>
      <c r="G1" s="1" t="s">
        <v>19296</v>
      </c>
      <c r="H1" s="1" t="s">
        <v>19297</v>
      </c>
      <c r="I1" s="1" t="s">
        <v>19298</v>
      </c>
      <c r="J1" s="1" t="s">
        <v>19299</v>
      </c>
      <c r="K1" s="1" t="s">
        <v>19300</v>
      </c>
      <c r="L1" s="1" t="s">
        <v>19301</v>
      </c>
      <c r="M1" s="1" t="s">
        <v>19302</v>
      </c>
      <c r="N1" s="1" t="s">
        <v>19303</v>
      </c>
    </row>
    <row r="2" spans="1:14" ht="24.75" x14ac:dyDescent="0.25">
      <c r="A2" s="21" t="s">
        <v>17512</v>
      </c>
      <c r="B2" s="22" t="s">
        <v>17513</v>
      </c>
      <c r="C2" s="3">
        <v>45.25</v>
      </c>
      <c r="D2" s="23">
        <v>93.75</v>
      </c>
      <c r="E2" s="3">
        <v>93.75</v>
      </c>
      <c r="F2" s="2" t="s">
        <v>17514</v>
      </c>
      <c r="G2" s="22" t="s">
        <v>19513</v>
      </c>
      <c r="H2" s="24" t="s">
        <v>19501</v>
      </c>
      <c r="I2" s="22" t="s">
        <v>19309</v>
      </c>
      <c r="J2" s="22" t="s">
        <v>19317</v>
      </c>
      <c r="K2" s="22" t="s">
        <v>17515</v>
      </c>
      <c r="L2" s="22"/>
      <c r="M2" s="22"/>
      <c r="N2" s="25" t="str">
        <f>HYPERLINK("http://slimages.macys.com/is/image/MCY/21211150 ")</f>
        <v xml:space="preserve">http://slimages.macys.com/is/image/MCY/21211150 </v>
      </c>
    </row>
    <row r="3" spans="1:14" ht="24.75" x14ac:dyDescent="0.25">
      <c r="A3" s="21" t="s">
        <v>17516</v>
      </c>
      <c r="B3" s="22" t="s">
        <v>17517</v>
      </c>
      <c r="C3" s="3">
        <v>45.25</v>
      </c>
      <c r="D3" s="23">
        <v>93.75</v>
      </c>
      <c r="E3" s="3">
        <v>93.75</v>
      </c>
      <c r="F3" s="2" t="s">
        <v>17514</v>
      </c>
      <c r="G3" s="22" t="s">
        <v>19513</v>
      </c>
      <c r="H3" s="24" t="s">
        <v>19478</v>
      </c>
      <c r="I3" s="22" t="s">
        <v>19309</v>
      </c>
      <c r="J3" s="22" t="s">
        <v>19317</v>
      </c>
      <c r="K3" s="22" t="s">
        <v>17515</v>
      </c>
      <c r="L3" s="22"/>
      <c r="M3" s="22"/>
      <c r="N3" s="25" t="str">
        <f>HYPERLINK("http://slimages.macys.com/is/image/MCY/21211150 ")</f>
        <v xml:space="preserve">http://slimages.macys.com/is/image/MCY/21211150 </v>
      </c>
    </row>
    <row r="4" spans="1:14" ht="24.75" x14ac:dyDescent="0.25">
      <c r="A4" s="21" t="s">
        <v>17518</v>
      </c>
      <c r="B4" s="22" t="s">
        <v>17519</v>
      </c>
      <c r="C4" s="3">
        <v>31.28</v>
      </c>
      <c r="D4" s="23">
        <v>69.5</v>
      </c>
      <c r="E4" s="3">
        <v>69.5</v>
      </c>
      <c r="F4" s="2">
        <v>313871483001</v>
      </c>
      <c r="G4" s="22" t="s">
        <v>19323</v>
      </c>
      <c r="H4" s="24" t="s">
        <v>19501</v>
      </c>
      <c r="I4" s="22" t="s">
        <v>19309</v>
      </c>
      <c r="J4" s="22" t="s">
        <v>19389</v>
      </c>
      <c r="K4" s="22" t="s">
        <v>19326</v>
      </c>
      <c r="L4" s="22"/>
      <c r="M4" s="22"/>
      <c r="N4" s="25" t="str">
        <f>HYPERLINK("http://slimages.macys.com/is/image/MCY/22313077 ")</f>
        <v xml:space="preserve">http://slimages.macys.com/is/image/MCY/22313077 </v>
      </c>
    </row>
    <row r="5" spans="1:14" ht="24.75" x14ac:dyDescent="0.25">
      <c r="A5" s="21" t="s">
        <v>17520</v>
      </c>
      <c r="B5" s="22" t="s">
        <v>17521</v>
      </c>
      <c r="C5" s="3">
        <v>26.78</v>
      </c>
      <c r="D5" s="23">
        <v>59.5</v>
      </c>
      <c r="E5" s="3">
        <v>59.5</v>
      </c>
      <c r="F5" s="2">
        <v>313862760001</v>
      </c>
      <c r="G5" s="22" t="s">
        <v>19333</v>
      </c>
      <c r="H5" s="24" t="s">
        <v>19339</v>
      </c>
      <c r="I5" s="22" t="s">
        <v>19309</v>
      </c>
      <c r="J5" s="22" t="s">
        <v>19389</v>
      </c>
      <c r="K5" s="22" t="s">
        <v>19326</v>
      </c>
      <c r="L5" s="22"/>
      <c r="M5" s="22"/>
      <c r="N5" s="25" t="str">
        <f>HYPERLINK("http://slimages.macys.com/is/image/MCY/21346912 ")</f>
        <v xml:space="preserve">http://slimages.macys.com/is/image/MCY/21346912 </v>
      </c>
    </row>
    <row r="6" spans="1:14" ht="24.75" x14ac:dyDescent="0.25">
      <c r="A6" s="21" t="s">
        <v>17522</v>
      </c>
      <c r="B6" s="22" t="s">
        <v>17523</v>
      </c>
      <c r="C6" s="3">
        <v>26.78</v>
      </c>
      <c r="D6" s="23">
        <v>59.5</v>
      </c>
      <c r="E6" s="3">
        <v>59.5</v>
      </c>
      <c r="F6" s="2">
        <v>321870966001</v>
      </c>
      <c r="G6" s="22" t="s">
        <v>19333</v>
      </c>
      <c r="H6" s="24" t="s">
        <v>19392</v>
      </c>
      <c r="I6" s="22" t="s">
        <v>19309</v>
      </c>
      <c r="J6" s="22" t="s">
        <v>19335</v>
      </c>
      <c r="K6" s="22" t="s">
        <v>19326</v>
      </c>
      <c r="L6" s="22"/>
      <c r="M6" s="22"/>
      <c r="N6" s="25" t="str">
        <f>HYPERLINK("http://slimages.macys.com/is/image/MCY/21850387 ")</f>
        <v xml:space="preserve">http://slimages.macys.com/is/image/MCY/21850387 </v>
      </c>
    </row>
    <row r="7" spans="1:14" ht="24.75" x14ac:dyDescent="0.25">
      <c r="A7" s="21" t="s">
        <v>17524</v>
      </c>
      <c r="B7" s="22" t="s">
        <v>17525</v>
      </c>
      <c r="C7" s="3">
        <v>26.7</v>
      </c>
      <c r="D7" s="23">
        <v>58.99</v>
      </c>
      <c r="E7" s="3">
        <v>58.99</v>
      </c>
      <c r="F7" s="2" t="s">
        <v>19306</v>
      </c>
      <c r="G7" s="22" t="s">
        <v>19338</v>
      </c>
      <c r="H7" s="24" t="s">
        <v>19352</v>
      </c>
      <c r="I7" s="22" t="s">
        <v>19309</v>
      </c>
      <c r="J7" s="22" t="s">
        <v>19310</v>
      </c>
      <c r="K7" s="22" t="s">
        <v>19311</v>
      </c>
      <c r="L7" s="22"/>
      <c r="M7" s="22"/>
      <c r="N7" s="25" t="str">
        <f>HYPERLINK("http://slimages.macys.com/is/image/MCY/18618521 ")</f>
        <v xml:space="preserve">http://slimages.macys.com/is/image/MCY/18618521 </v>
      </c>
    </row>
    <row r="8" spans="1:14" ht="24.75" x14ac:dyDescent="0.25">
      <c r="A8" s="21" t="s">
        <v>17526</v>
      </c>
      <c r="B8" s="22" t="s">
        <v>17527</v>
      </c>
      <c r="C8" s="3">
        <v>24.75</v>
      </c>
      <c r="D8" s="23">
        <v>55</v>
      </c>
      <c r="E8" s="3">
        <v>55</v>
      </c>
      <c r="F8" s="2">
        <v>310862504001</v>
      </c>
      <c r="G8" s="22" t="s">
        <v>19351</v>
      </c>
      <c r="H8" s="24" t="s">
        <v>20152</v>
      </c>
      <c r="I8" s="22" t="s">
        <v>19309</v>
      </c>
      <c r="J8" s="22" t="s">
        <v>19325</v>
      </c>
      <c r="K8" s="22" t="s">
        <v>19326</v>
      </c>
      <c r="L8" s="22"/>
      <c r="M8" s="22"/>
      <c r="N8" s="25" t="str">
        <f>HYPERLINK("http://slimages.macys.com/is/image/MCY/21502465 ")</f>
        <v xml:space="preserve">http://slimages.macys.com/is/image/MCY/21502465 </v>
      </c>
    </row>
    <row r="9" spans="1:14" ht="24.75" x14ac:dyDescent="0.25">
      <c r="A9" s="21" t="s">
        <v>17528</v>
      </c>
      <c r="B9" s="22" t="s">
        <v>17529</v>
      </c>
      <c r="C9" s="3">
        <v>24.75</v>
      </c>
      <c r="D9" s="23">
        <v>55</v>
      </c>
      <c r="E9" s="3">
        <v>55</v>
      </c>
      <c r="F9" s="2">
        <v>310862504001</v>
      </c>
      <c r="G9" s="22" t="s">
        <v>19351</v>
      </c>
      <c r="H9" s="24" t="s">
        <v>19324</v>
      </c>
      <c r="I9" s="22" t="s">
        <v>19309</v>
      </c>
      <c r="J9" s="22" t="s">
        <v>19325</v>
      </c>
      <c r="K9" s="22" t="s">
        <v>19326</v>
      </c>
      <c r="L9" s="22" t="s">
        <v>17530</v>
      </c>
      <c r="M9" s="22" t="s">
        <v>17531</v>
      </c>
      <c r="N9" s="25" t="str">
        <f>HYPERLINK("http://images.bloomingdales.com/is/image/BLM/12180706 ")</f>
        <v xml:space="preserve">http://images.bloomingdales.com/is/image/BLM/12180706 </v>
      </c>
    </row>
    <row r="10" spans="1:14" ht="24.75" x14ac:dyDescent="0.25">
      <c r="A10" s="21" t="s">
        <v>17532</v>
      </c>
      <c r="B10" s="22" t="s">
        <v>17533</v>
      </c>
      <c r="C10" s="3">
        <v>22.28</v>
      </c>
      <c r="D10" s="23">
        <v>49.5</v>
      </c>
      <c r="E10" s="3">
        <v>49.5</v>
      </c>
      <c r="F10" s="2">
        <v>313869583001</v>
      </c>
      <c r="G10" s="22" t="s">
        <v>19333</v>
      </c>
      <c r="H10" s="24" t="s">
        <v>19352</v>
      </c>
      <c r="I10" s="22" t="s">
        <v>19309</v>
      </c>
      <c r="J10" s="22" t="s">
        <v>19389</v>
      </c>
      <c r="K10" s="22" t="s">
        <v>19326</v>
      </c>
      <c r="L10" s="22"/>
      <c r="M10" s="22"/>
      <c r="N10" s="25" t="str">
        <f>HYPERLINK("http://slimages.macys.com/is/image/MCY/21955119 ")</f>
        <v xml:space="preserve">http://slimages.macys.com/is/image/MCY/21955119 </v>
      </c>
    </row>
    <row r="11" spans="1:14" ht="24.75" x14ac:dyDescent="0.25">
      <c r="A11" s="21" t="s">
        <v>17534</v>
      </c>
      <c r="B11" s="22" t="s">
        <v>17535</v>
      </c>
      <c r="C11" s="3">
        <v>21</v>
      </c>
      <c r="D11" s="23">
        <v>50</v>
      </c>
      <c r="E11" s="3">
        <v>50</v>
      </c>
      <c r="F11" s="2" t="s">
        <v>17536</v>
      </c>
      <c r="G11" s="22" t="s">
        <v>19383</v>
      </c>
      <c r="H11" s="24" t="s">
        <v>17537</v>
      </c>
      <c r="I11" s="22" t="s">
        <v>19309</v>
      </c>
      <c r="J11" s="22" t="s">
        <v>19447</v>
      </c>
      <c r="K11" s="22" t="s">
        <v>17538</v>
      </c>
      <c r="L11" s="22"/>
      <c r="M11" s="22"/>
      <c r="N11" s="25" t="str">
        <f>HYPERLINK("http://slimages.macys.com/is/image/MCY/18642635 ")</f>
        <v xml:space="preserve">http://slimages.macys.com/is/image/MCY/18642635 </v>
      </c>
    </row>
    <row r="12" spans="1:14" ht="24.75" x14ac:dyDescent="0.25">
      <c r="A12" s="21" t="s">
        <v>17539</v>
      </c>
      <c r="B12" s="22" t="s">
        <v>17540</v>
      </c>
      <c r="C12" s="3">
        <v>63</v>
      </c>
      <c r="D12" s="23">
        <v>50</v>
      </c>
      <c r="E12" s="3">
        <v>150</v>
      </c>
      <c r="F12" s="2" t="s">
        <v>17536</v>
      </c>
      <c r="G12" s="22" t="s">
        <v>19383</v>
      </c>
      <c r="H12" s="24" t="s">
        <v>17541</v>
      </c>
      <c r="I12" s="22" t="s">
        <v>19309</v>
      </c>
      <c r="J12" s="22" t="s">
        <v>19447</v>
      </c>
      <c r="K12" s="22" t="s">
        <v>17538</v>
      </c>
      <c r="L12" s="22"/>
      <c r="M12" s="22"/>
      <c r="N12" s="25" t="str">
        <f>HYPERLINK("http://slimages.macys.com/is/image/MCY/18642635 ")</f>
        <v xml:space="preserve">http://slimages.macys.com/is/image/MCY/18642635 </v>
      </c>
    </row>
    <row r="13" spans="1:14" ht="24.75" x14ac:dyDescent="0.25">
      <c r="A13" s="21" t="s">
        <v>17542</v>
      </c>
      <c r="B13" s="22" t="s">
        <v>17543</v>
      </c>
      <c r="C13" s="3">
        <v>21</v>
      </c>
      <c r="D13" s="23">
        <v>50</v>
      </c>
      <c r="E13" s="3">
        <v>50</v>
      </c>
      <c r="F13" s="2" t="s">
        <v>17536</v>
      </c>
      <c r="G13" s="22" t="s">
        <v>19383</v>
      </c>
      <c r="H13" s="24" t="s">
        <v>17544</v>
      </c>
      <c r="I13" s="22" t="s">
        <v>19309</v>
      </c>
      <c r="J13" s="22" t="s">
        <v>19447</v>
      </c>
      <c r="K13" s="22" t="s">
        <v>17538</v>
      </c>
      <c r="L13" s="22"/>
      <c r="M13" s="22"/>
      <c r="N13" s="25" t="str">
        <f>HYPERLINK("http://slimages.macys.com/is/image/MCY/18642635 ")</f>
        <v xml:space="preserve">http://slimages.macys.com/is/image/MCY/18642635 </v>
      </c>
    </row>
    <row r="14" spans="1:14" ht="24.75" x14ac:dyDescent="0.25">
      <c r="A14" s="21" t="s">
        <v>17545</v>
      </c>
      <c r="B14" s="22" t="s">
        <v>17546</v>
      </c>
      <c r="C14" s="3">
        <v>20.25</v>
      </c>
      <c r="D14" s="23">
        <v>45</v>
      </c>
      <c r="E14" s="3">
        <v>45</v>
      </c>
      <c r="F14" s="2">
        <v>320850750005</v>
      </c>
      <c r="G14" s="22" t="s">
        <v>19801</v>
      </c>
      <c r="H14" s="24" t="s">
        <v>19367</v>
      </c>
      <c r="I14" s="22" t="s">
        <v>19309</v>
      </c>
      <c r="J14" s="22" t="s">
        <v>19325</v>
      </c>
      <c r="K14" s="22" t="s">
        <v>19326</v>
      </c>
      <c r="L14" s="22"/>
      <c r="M14" s="22"/>
      <c r="N14" s="25" t="str">
        <f>HYPERLINK("http://slimages.macys.com/is/image/MCY/20095021 ")</f>
        <v xml:space="preserve">http://slimages.macys.com/is/image/MCY/20095021 </v>
      </c>
    </row>
    <row r="15" spans="1:14" ht="24.75" x14ac:dyDescent="0.25">
      <c r="A15" s="21" t="s">
        <v>17547</v>
      </c>
      <c r="B15" s="22" t="s">
        <v>17548</v>
      </c>
      <c r="C15" s="3">
        <v>20.25</v>
      </c>
      <c r="D15" s="23">
        <v>45</v>
      </c>
      <c r="E15" s="3">
        <v>45</v>
      </c>
      <c r="F15" s="2">
        <v>320851030005</v>
      </c>
      <c r="G15" s="22" t="s">
        <v>19879</v>
      </c>
      <c r="H15" s="24" t="s">
        <v>20159</v>
      </c>
      <c r="I15" s="22" t="s">
        <v>19309</v>
      </c>
      <c r="J15" s="22" t="s">
        <v>19325</v>
      </c>
      <c r="K15" s="22" t="s">
        <v>19326</v>
      </c>
      <c r="L15" s="22"/>
      <c r="M15" s="22"/>
      <c r="N15" s="25" t="str">
        <f>HYPERLINK("http://slimages.macys.com/is/image/MCY/20057814 ")</f>
        <v xml:space="preserve">http://slimages.macys.com/is/image/MCY/20057814 </v>
      </c>
    </row>
    <row r="16" spans="1:14" x14ac:dyDescent="0.25">
      <c r="A16" s="21" t="s">
        <v>17549</v>
      </c>
      <c r="B16" s="22" t="s">
        <v>17550</v>
      </c>
      <c r="C16" s="3">
        <v>17.8</v>
      </c>
      <c r="D16" s="23">
        <v>36.99</v>
      </c>
      <c r="E16" s="3">
        <v>36.99</v>
      </c>
      <c r="F16" s="2" t="s">
        <v>17551</v>
      </c>
      <c r="G16" s="22" t="s">
        <v>19307</v>
      </c>
      <c r="H16" s="24" t="s">
        <v>19339</v>
      </c>
      <c r="I16" s="22" t="s">
        <v>19309</v>
      </c>
      <c r="J16" s="22" t="s">
        <v>19310</v>
      </c>
      <c r="K16" s="22" t="s">
        <v>19311</v>
      </c>
      <c r="L16" s="22"/>
      <c r="M16" s="22"/>
      <c r="N16" s="25" t="str">
        <f>HYPERLINK("http://slimages.macys.com/is/image/MCY/17974754 ")</f>
        <v xml:space="preserve">http://slimages.macys.com/is/image/MCY/17974754 </v>
      </c>
    </row>
    <row r="17" spans="1:14" ht="24.75" x14ac:dyDescent="0.25">
      <c r="A17" s="21" t="s">
        <v>17552</v>
      </c>
      <c r="B17" s="22" t="s">
        <v>17553</v>
      </c>
      <c r="C17" s="3">
        <v>17.78</v>
      </c>
      <c r="D17" s="23">
        <v>39.5</v>
      </c>
      <c r="E17" s="3">
        <v>39.5</v>
      </c>
      <c r="F17" s="2">
        <v>310833416004</v>
      </c>
      <c r="G17" s="22" t="s">
        <v>19333</v>
      </c>
      <c r="H17" s="24" t="s">
        <v>19770</v>
      </c>
      <c r="I17" s="22" t="s">
        <v>19309</v>
      </c>
      <c r="J17" s="22" t="s">
        <v>19325</v>
      </c>
      <c r="K17" s="22" t="s">
        <v>19326</v>
      </c>
      <c r="L17" s="22" t="s">
        <v>17554</v>
      </c>
      <c r="M17" s="22" t="s">
        <v>17531</v>
      </c>
      <c r="N17" s="25" t="str">
        <f>HYPERLINK("http://images.bloomingdales.com/is/image/BLM/11278831 ")</f>
        <v xml:space="preserve">http://images.bloomingdales.com/is/image/BLM/11278831 </v>
      </c>
    </row>
    <row r="18" spans="1:14" ht="24.75" x14ac:dyDescent="0.25">
      <c r="A18" s="21" t="s">
        <v>17555</v>
      </c>
      <c r="B18" s="22" t="s">
        <v>17556</v>
      </c>
      <c r="C18" s="3">
        <v>17.78</v>
      </c>
      <c r="D18" s="23">
        <v>39.5</v>
      </c>
      <c r="E18" s="3">
        <v>39.5</v>
      </c>
      <c r="F18" s="2">
        <v>310872189001</v>
      </c>
      <c r="G18" s="22" t="s">
        <v>19594</v>
      </c>
      <c r="H18" s="24" t="s">
        <v>19367</v>
      </c>
      <c r="I18" s="22" t="s">
        <v>19309</v>
      </c>
      <c r="J18" s="22" t="s">
        <v>19325</v>
      </c>
      <c r="K18" s="22" t="s">
        <v>19326</v>
      </c>
      <c r="L18" s="22"/>
      <c r="M18" s="22"/>
      <c r="N18" s="25" t="str">
        <f>HYPERLINK("http://slimages.macys.com/is/image/MCY/22118857 ")</f>
        <v xml:space="preserve">http://slimages.macys.com/is/image/MCY/22118857 </v>
      </c>
    </row>
    <row r="19" spans="1:14" ht="24.75" x14ac:dyDescent="0.25">
      <c r="A19" s="21" t="s">
        <v>17557</v>
      </c>
      <c r="B19" s="22" t="s">
        <v>17558</v>
      </c>
      <c r="C19" s="3">
        <v>17.78</v>
      </c>
      <c r="D19" s="23">
        <v>39.5</v>
      </c>
      <c r="E19" s="3">
        <v>39.5</v>
      </c>
      <c r="F19" s="2">
        <v>320873936001</v>
      </c>
      <c r="G19" s="22" t="s">
        <v>19351</v>
      </c>
      <c r="H19" s="24" t="s">
        <v>19367</v>
      </c>
      <c r="I19" s="22" t="s">
        <v>19309</v>
      </c>
      <c r="J19" s="22" t="s">
        <v>19325</v>
      </c>
      <c r="K19" s="22" t="s">
        <v>19326</v>
      </c>
      <c r="L19" s="22"/>
      <c r="M19" s="22"/>
      <c r="N19" s="25" t="str">
        <f>HYPERLINK("http://slimages.macys.com/is/image/MCY/22167424 ")</f>
        <v xml:space="preserve">http://slimages.macys.com/is/image/MCY/22167424 </v>
      </c>
    </row>
    <row r="20" spans="1:14" ht="24.75" x14ac:dyDescent="0.25">
      <c r="A20" s="21" t="s">
        <v>19365</v>
      </c>
      <c r="B20" s="22" t="s">
        <v>19366</v>
      </c>
      <c r="C20" s="3">
        <v>17.78</v>
      </c>
      <c r="D20" s="23">
        <v>39.5</v>
      </c>
      <c r="E20" s="3">
        <v>39.5</v>
      </c>
      <c r="F20" s="2">
        <v>310873356001</v>
      </c>
      <c r="G20" s="22" t="s">
        <v>19323</v>
      </c>
      <c r="H20" s="24" t="s">
        <v>19367</v>
      </c>
      <c r="I20" s="22" t="s">
        <v>19309</v>
      </c>
      <c r="J20" s="22" t="s">
        <v>19325</v>
      </c>
      <c r="K20" s="22" t="s">
        <v>19326</v>
      </c>
      <c r="L20" s="22"/>
      <c r="M20" s="22"/>
      <c r="N20" s="25" t="str">
        <f>HYPERLINK("http://slimages.macys.com/is/image/MCY/22118864 ")</f>
        <v xml:space="preserve">http://slimages.macys.com/is/image/MCY/22118864 </v>
      </c>
    </row>
    <row r="21" spans="1:14" ht="24.75" x14ac:dyDescent="0.25">
      <c r="A21" s="21" t="s">
        <v>17559</v>
      </c>
      <c r="B21" s="22" t="s">
        <v>17560</v>
      </c>
      <c r="C21" s="3">
        <v>35.56</v>
      </c>
      <c r="D21" s="23">
        <v>39.5</v>
      </c>
      <c r="E21" s="3">
        <v>79</v>
      </c>
      <c r="F21" s="2">
        <v>320867159010</v>
      </c>
      <c r="G21" s="22" t="s">
        <v>19338</v>
      </c>
      <c r="H21" s="24" t="s">
        <v>19770</v>
      </c>
      <c r="I21" s="22" t="s">
        <v>19309</v>
      </c>
      <c r="J21" s="22" t="s">
        <v>19325</v>
      </c>
      <c r="K21" s="22" t="s">
        <v>19326</v>
      </c>
      <c r="L21" s="22"/>
      <c r="M21" s="22"/>
      <c r="N21" s="25" t="str">
        <f>HYPERLINK("http://slimages.macys.com/is/image/MCY/22118890 ")</f>
        <v xml:space="preserve">http://slimages.macys.com/is/image/MCY/22118890 </v>
      </c>
    </row>
    <row r="22" spans="1:14" x14ac:dyDescent="0.25">
      <c r="A22" s="21" t="s">
        <v>17561</v>
      </c>
      <c r="B22" s="22" t="s">
        <v>17562</v>
      </c>
      <c r="C22" s="3">
        <v>17.600000000000001</v>
      </c>
      <c r="D22" s="23">
        <v>38.99</v>
      </c>
      <c r="E22" s="3">
        <v>38.99</v>
      </c>
      <c r="F22" s="2" t="s">
        <v>17563</v>
      </c>
      <c r="G22" s="22" t="s">
        <v>19307</v>
      </c>
      <c r="H22" s="24" t="s">
        <v>19395</v>
      </c>
      <c r="I22" s="22" t="s">
        <v>19309</v>
      </c>
      <c r="J22" s="22" t="s">
        <v>19310</v>
      </c>
      <c r="K22" s="22" t="s">
        <v>19433</v>
      </c>
      <c r="L22" s="22"/>
      <c r="M22" s="22"/>
      <c r="N22" s="25" t="str">
        <f>HYPERLINK("http://slimages.macys.com/is/image/MCY/19688226 ")</f>
        <v xml:space="preserve">http://slimages.macys.com/is/image/MCY/19688226 </v>
      </c>
    </row>
    <row r="23" spans="1:14" ht="24.75" x14ac:dyDescent="0.25">
      <c r="A23" s="21" t="s">
        <v>17564</v>
      </c>
      <c r="B23" s="22" t="s">
        <v>17565</v>
      </c>
      <c r="C23" s="3">
        <v>16.5</v>
      </c>
      <c r="D23" s="23">
        <v>42.99</v>
      </c>
      <c r="E23" s="3">
        <v>42.99</v>
      </c>
      <c r="F23" s="2" t="s">
        <v>17566</v>
      </c>
      <c r="G23" s="22" t="s">
        <v>17567</v>
      </c>
      <c r="H23" s="24" t="s">
        <v>19538</v>
      </c>
      <c r="I23" s="22" t="s">
        <v>19309</v>
      </c>
      <c r="J23" s="22" t="s">
        <v>19385</v>
      </c>
      <c r="K23" s="22" t="s">
        <v>19386</v>
      </c>
      <c r="L23" s="22"/>
      <c r="M23" s="22"/>
      <c r="N23" s="25" t="str">
        <f>HYPERLINK("http://slimages.macys.com/is/image/MCY/21878287 ")</f>
        <v xml:space="preserve">http://slimages.macys.com/is/image/MCY/21878287 </v>
      </c>
    </row>
    <row r="24" spans="1:14" ht="24.75" x14ac:dyDescent="0.25">
      <c r="A24" s="21" t="s">
        <v>17568</v>
      </c>
      <c r="B24" s="22" t="s">
        <v>17569</v>
      </c>
      <c r="C24" s="3">
        <v>16</v>
      </c>
      <c r="D24" s="23">
        <v>44.99</v>
      </c>
      <c r="E24" s="3">
        <v>44.99</v>
      </c>
      <c r="F24" s="2" t="s">
        <v>17570</v>
      </c>
      <c r="G24" s="22" t="s">
        <v>19333</v>
      </c>
      <c r="H24" s="24" t="s">
        <v>19501</v>
      </c>
      <c r="I24" s="22" t="s">
        <v>19309</v>
      </c>
      <c r="J24" s="22" t="s">
        <v>19400</v>
      </c>
      <c r="K24" s="22" t="s">
        <v>19386</v>
      </c>
      <c r="L24" s="22"/>
      <c r="M24" s="22"/>
      <c r="N24" s="25" t="str">
        <f>HYPERLINK("http://slimages.macys.com/is/image/MCY/20536067 ")</f>
        <v xml:space="preserve">http://slimages.macys.com/is/image/MCY/20536067 </v>
      </c>
    </row>
    <row r="25" spans="1:14" ht="24.75" x14ac:dyDescent="0.25">
      <c r="A25" s="21" t="s">
        <v>17571</v>
      </c>
      <c r="B25" s="22" t="s">
        <v>17572</v>
      </c>
      <c r="C25" s="3">
        <v>15.75</v>
      </c>
      <c r="D25" s="23">
        <v>35</v>
      </c>
      <c r="E25" s="3">
        <v>35</v>
      </c>
      <c r="F25" s="2">
        <v>322873970001</v>
      </c>
      <c r="G25" s="22" t="s">
        <v>19357</v>
      </c>
      <c r="H25" s="24" t="s">
        <v>19542</v>
      </c>
      <c r="I25" s="22" t="s">
        <v>19309</v>
      </c>
      <c r="J25" s="22" t="s">
        <v>19335</v>
      </c>
      <c r="K25" s="22" t="s">
        <v>19326</v>
      </c>
      <c r="L25" s="22" t="s">
        <v>19319</v>
      </c>
      <c r="M25" s="22" t="s">
        <v>19358</v>
      </c>
      <c r="N25" s="25" t="str">
        <f>HYPERLINK("http://images.bloomingdales.com/is/image/BLM/12289183 ")</f>
        <v xml:space="preserve">http://images.bloomingdales.com/is/image/BLM/12289183 </v>
      </c>
    </row>
    <row r="26" spans="1:14" ht="24.75" x14ac:dyDescent="0.25">
      <c r="A26" s="21" t="s">
        <v>17573</v>
      </c>
      <c r="B26" s="22" t="s">
        <v>17574</v>
      </c>
      <c r="C26" s="3">
        <v>15.5</v>
      </c>
      <c r="D26" s="23">
        <v>39.549999999999997</v>
      </c>
      <c r="E26" s="3">
        <v>39.549999999999997</v>
      </c>
      <c r="F26" s="2" t="s">
        <v>17575</v>
      </c>
      <c r="G26" s="22" t="s">
        <v>19315</v>
      </c>
      <c r="H26" s="24" t="s">
        <v>17576</v>
      </c>
      <c r="I26" s="22" t="s">
        <v>19309</v>
      </c>
      <c r="J26" s="22" t="s">
        <v>19405</v>
      </c>
      <c r="K26" s="22" t="s">
        <v>19406</v>
      </c>
      <c r="L26" s="22" t="s">
        <v>19319</v>
      </c>
      <c r="M26" s="22" t="s">
        <v>19435</v>
      </c>
      <c r="N26" s="25" t="str">
        <f>HYPERLINK("http://slimages.macys.com/is/image/MCY/9712846 ")</f>
        <v xml:space="preserve">http://slimages.macys.com/is/image/MCY/9712846 </v>
      </c>
    </row>
    <row r="27" spans="1:14" ht="24.75" x14ac:dyDescent="0.25">
      <c r="A27" s="21" t="s">
        <v>17577</v>
      </c>
      <c r="B27" s="22" t="s">
        <v>17578</v>
      </c>
      <c r="C27" s="3">
        <v>15</v>
      </c>
      <c r="D27" s="23">
        <v>39.99</v>
      </c>
      <c r="E27" s="3">
        <v>39.99</v>
      </c>
      <c r="F27" s="2" t="s">
        <v>17579</v>
      </c>
      <c r="G27" s="22" t="s">
        <v>19879</v>
      </c>
      <c r="H27" s="24" t="s">
        <v>19324</v>
      </c>
      <c r="I27" s="22" t="s">
        <v>19309</v>
      </c>
      <c r="J27" s="22" t="s">
        <v>19385</v>
      </c>
      <c r="K27" s="22" t="s">
        <v>19386</v>
      </c>
      <c r="L27" s="22"/>
      <c r="M27" s="22"/>
      <c r="N27" s="25" t="str">
        <f>HYPERLINK("http://slimages.macys.com/is/image/MCY/19849700 ")</f>
        <v xml:space="preserve">http://slimages.macys.com/is/image/MCY/19849700 </v>
      </c>
    </row>
    <row r="28" spans="1:14" ht="24.75" x14ac:dyDescent="0.25">
      <c r="A28" s="21" t="s">
        <v>17580</v>
      </c>
      <c r="B28" s="22" t="s">
        <v>17581</v>
      </c>
      <c r="C28" s="3">
        <v>14.7</v>
      </c>
      <c r="D28" s="23">
        <v>35</v>
      </c>
      <c r="E28" s="3">
        <v>35</v>
      </c>
      <c r="F28" s="2" t="s">
        <v>17582</v>
      </c>
      <c r="G28" s="22" t="s">
        <v>19674</v>
      </c>
      <c r="H28" s="24" t="s">
        <v>17544</v>
      </c>
      <c r="I28" s="22" t="s">
        <v>19309</v>
      </c>
      <c r="J28" s="22" t="s">
        <v>19447</v>
      </c>
      <c r="K28" s="22" t="s">
        <v>17538</v>
      </c>
      <c r="L28" s="22"/>
      <c r="M28" s="22"/>
      <c r="N28" s="25" t="str">
        <f>HYPERLINK("http://slimages.macys.com/is/image/MCY/18695672 ")</f>
        <v xml:space="preserve">http://slimages.macys.com/is/image/MCY/18695672 </v>
      </c>
    </row>
    <row r="29" spans="1:14" ht="24.75" x14ac:dyDescent="0.25">
      <c r="A29" s="21" t="s">
        <v>17583</v>
      </c>
      <c r="B29" s="22" t="s">
        <v>17584</v>
      </c>
      <c r="C29" s="3">
        <v>13.95</v>
      </c>
      <c r="D29" s="23">
        <v>43.59</v>
      </c>
      <c r="E29" s="3">
        <v>43.59</v>
      </c>
      <c r="F29" s="2" t="s">
        <v>17585</v>
      </c>
      <c r="G29" s="22" t="s">
        <v>19357</v>
      </c>
      <c r="H29" s="24" t="s">
        <v>19364</v>
      </c>
      <c r="I29" s="22" t="s">
        <v>19309</v>
      </c>
      <c r="J29" s="22" t="s">
        <v>19595</v>
      </c>
      <c r="K29" s="22" t="s">
        <v>19423</v>
      </c>
      <c r="L29" s="22"/>
      <c r="M29" s="22"/>
      <c r="N29" s="25" t="str">
        <f>HYPERLINK("http://slimages.macys.com/is/image/MCY/20918672 ")</f>
        <v xml:space="preserve">http://slimages.macys.com/is/image/MCY/20918672 </v>
      </c>
    </row>
    <row r="30" spans="1:14" ht="24.75" x14ac:dyDescent="0.25">
      <c r="A30" s="21" t="s">
        <v>17586</v>
      </c>
      <c r="B30" s="22" t="s">
        <v>17587</v>
      </c>
      <c r="C30" s="3">
        <v>13.5</v>
      </c>
      <c r="D30" s="23">
        <v>39.99</v>
      </c>
      <c r="E30" s="3">
        <v>39.99</v>
      </c>
      <c r="F30" s="2" t="s">
        <v>17588</v>
      </c>
      <c r="G30" s="22" t="s">
        <v>19415</v>
      </c>
      <c r="H30" s="24" t="s">
        <v>19478</v>
      </c>
      <c r="I30" s="22" t="s">
        <v>19309</v>
      </c>
      <c r="J30" s="22" t="s">
        <v>19400</v>
      </c>
      <c r="K30" s="22" t="s">
        <v>17589</v>
      </c>
      <c r="L30" s="22"/>
      <c r="M30" s="22"/>
      <c r="N30" s="25" t="str">
        <f>HYPERLINK("http://slimages.macys.com/is/image/MCY/21736435 ")</f>
        <v xml:space="preserve">http://slimages.macys.com/is/image/MCY/21736435 </v>
      </c>
    </row>
    <row r="31" spans="1:14" ht="24.75" x14ac:dyDescent="0.25">
      <c r="A31" s="21" t="s">
        <v>17590</v>
      </c>
      <c r="B31" s="22" t="s">
        <v>17591</v>
      </c>
      <c r="C31" s="3">
        <v>13.5</v>
      </c>
      <c r="D31" s="23">
        <v>33.99</v>
      </c>
      <c r="E31" s="3">
        <v>33.99</v>
      </c>
      <c r="F31" s="2" t="s">
        <v>17592</v>
      </c>
      <c r="G31" s="22" t="s">
        <v>19422</v>
      </c>
      <c r="H31" s="24" t="s">
        <v>19330</v>
      </c>
      <c r="I31" s="22" t="s">
        <v>19309</v>
      </c>
      <c r="J31" s="22" t="s">
        <v>19385</v>
      </c>
      <c r="K31" s="22" t="s">
        <v>19386</v>
      </c>
      <c r="L31" s="22"/>
      <c r="M31" s="22"/>
      <c r="N31" s="25" t="str">
        <f>HYPERLINK("http://slimages.macys.com/is/image/MCY/22175295 ")</f>
        <v xml:space="preserve">http://slimages.macys.com/is/image/MCY/22175295 </v>
      </c>
    </row>
    <row r="32" spans="1:14" ht="24.75" x14ac:dyDescent="0.25">
      <c r="A32" s="21" t="s">
        <v>17593</v>
      </c>
      <c r="B32" s="22" t="s">
        <v>17594</v>
      </c>
      <c r="C32" s="3">
        <v>13.5</v>
      </c>
      <c r="D32" s="23">
        <v>33.99</v>
      </c>
      <c r="E32" s="3">
        <v>33.99</v>
      </c>
      <c r="F32" s="2" t="s">
        <v>17595</v>
      </c>
      <c r="G32" s="22" t="s">
        <v>19498</v>
      </c>
      <c r="H32" s="24" t="s">
        <v>19330</v>
      </c>
      <c r="I32" s="22" t="s">
        <v>19309</v>
      </c>
      <c r="J32" s="22" t="s">
        <v>19385</v>
      </c>
      <c r="K32" s="22" t="s">
        <v>19386</v>
      </c>
      <c r="L32" s="22"/>
      <c r="M32" s="22"/>
      <c r="N32" s="25" t="str">
        <f>HYPERLINK("http://slimages.macys.com/is/image/MCY/22175293 ")</f>
        <v xml:space="preserve">http://slimages.macys.com/is/image/MCY/22175293 </v>
      </c>
    </row>
    <row r="33" spans="1:14" ht="24.75" x14ac:dyDescent="0.25">
      <c r="A33" s="21" t="s">
        <v>17596</v>
      </c>
      <c r="B33" s="22" t="s">
        <v>17597</v>
      </c>
      <c r="C33" s="3">
        <v>13.5</v>
      </c>
      <c r="D33" s="23">
        <v>33.99</v>
      </c>
      <c r="E33" s="3">
        <v>33.99</v>
      </c>
      <c r="F33" s="2" t="s">
        <v>17592</v>
      </c>
      <c r="G33" s="22" t="s">
        <v>19422</v>
      </c>
      <c r="H33" s="24" t="s">
        <v>19416</v>
      </c>
      <c r="I33" s="22" t="s">
        <v>19309</v>
      </c>
      <c r="J33" s="22" t="s">
        <v>19385</v>
      </c>
      <c r="K33" s="22" t="s">
        <v>19386</v>
      </c>
      <c r="L33" s="22"/>
      <c r="M33" s="22"/>
      <c r="N33" s="25" t="str">
        <f>HYPERLINK("http://slimages.macys.com/is/image/MCY/22175295 ")</f>
        <v xml:space="preserve">http://slimages.macys.com/is/image/MCY/22175295 </v>
      </c>
    </row>
    <row r="34" spans="1:14" ht="24.75" x14ac:dyDescent="0.25">
      <c r="A34" s="21" t="s">
        <v>17598</v>
      </c>
      <c r="B34" s="22" t="s">
        <v>17599</v>
      </c>
      <c r="C34" s="3">
        <v>13.5</v>
      </c>
      <c r="D34" s="23">
        <v>29.99</v>
      </c>
      <c r="E34" s="3">
        <v>29.99</v>
      </c>
      <c r="F34" s="2" t="s">
        <v>17600</v>
      </c>
      <c r="G34" s="22" t="s">
        <v>19680</v>
      </c>
      <c r="H34" s="24" t="s">
        <v>19395</v>
      </c>
      <c r="I34" s="22" t="s">
        <v>19309</v>
      </c>
      <c r="J34" s="22" t="s">
        <v>19310</v>
      </c>
      <c r="K34" s="22" t="s">
        <v>19440</v>
      </c>
      <c r="L34" s="22"/>
      <c r="M34" s="22"/>
      <c r="N34" s="25" t="str">
        <f>HYPERLINK("http://slimages.macys.com/is/image/MCY/21634357 ")</f>
        <v xml:space="preserve">http://slimages.macys.com/is/image/MCY/21634357 </v>
      </c>
    </row>
    <row r="35" spans="1:14" ht="24.75" x14ac:dyDescent="0.25">
      <c r="A35" s="21" t="s">
        <v>17601</v>
      </c>
      <c r="B35" s="22" t="s">
        <v>17602</v>
      </c>
      <c r="C35" s="3">
        <v>13.28</v>
      </c>
      <c r="D35" s="23">
        <v>29.5</v>
      </c>
      <c r="E35" s="3">
        <v>29.5</v>
      </c>
      <c r="F35" s="2">
        <v>310875408001</v>
      </c>
      <c r="G35" s="22" t="s">
        <v>19351</v>
      </c>
      <c r="H35" s="24" t="s">
        <v>19416</v>
      </c>
      <c r="I35" s="22" t="s">
        <v>19309</v>
      </c>
      <c r="J35" s="22" t="s">
        <v>19325</v>
      </c>
      <c r="K35" s="22" t="s">
        <v>19326</v>
      </c>
      <c r="L35" s="22"/>
      <c r="M35" s="22"/>
      <c r="N35" s="25" t="str">
        <f>HYPERLINK("http://slimages.macys.com/is/image/MCY/22118881 ")</f>
        <v xml:space="preserve">http://slimages.macys.com/is/image/MCY/22118881 </v>
      </c>
    </row>
    <row r="36" spans="1:14" ht="24.75" x14ac:dyDescent="0.25">
      <c r="A36" s="21" t="s">
        <v>17603</v>
      </c>
      <c r="B36" s="22" t="s">
        <v>17604</v>
      </c>
      <c r="C36" s="3">
        <v>13.28</v>
      </c>
      <c r="D36" s="23">
        <v>29.5</v>
      </c>
      <c r="E36" s="3">
        <v>29.5</v>
      </c>
      <c r="F36" s="2">
        <v>310875408001</v>
      </c>
      <c r="G36" s="22" t="s">
        <v>19351</v>
      </c>
      <c r="H36" s="24" t="s">
        <v>19367</v>
      </c>
      <c r="I36" s="22" t="s">
        <v>19309</v>
      </c>
      <c r="J36" s="22" t="s">
        <v>19325</v>
      </c>
      <c r="K36" s="22" t="s">
        <v>19326</v>
      </c>
      <c r="L36" s="22"/>
      <c r="M36" s="22"/>
      <c r="N36" s="25" t="str">
        <f>HYPERLINK("http://slimages.macys.com/is/image/MCY/22118881 ")</f>
        <v xml:space="preserve">http://slimages.macys.com/is/image/MCY/22118881 </v>
      </c>
    </row>
    <row r="37" spans="1:14" ht="24.75" x14ac:dyDescent="0.25">
      <c r="A37" s="21" t="s">
        <v>17605</v>
      </c>
      <c r="B37" s="22" t="s">
        <v>17606</v>
      </c>
      <c r="C37" s="3">
        <v>13.28</v>
      </c>
      <c r="D37" s="23">
        <v>29.5</v>
      </c>
      <c r="E37" s="3">
        <v>29.5</v>
      </c>
      <c r="F37" s="2">
        <v>320867158034</v>
      </c>
      <c r="G37" s="22" t="s">
        <v>19338</v>
      </c>
      <c r="H37" s="24" t="s">
        <v>19416</v>
      </c>
      <c r="I37" s="22" t="s">
        <v>19309</v>
      </c>
      <c r="J37" s="22" t="s">
        <v>19325</v>
      </c>
      <c r="K37" s="22" t="s">
        <v>19326</v>
      </c>
      <c r="L37" s="22"/>
      <c r="M37" s="22"/>
      <c r="N37" s="25" t="str">
        <f>HYPERLINK("http://slimages.macys.com/is/image/MCY/22118887 ")</f>
        <v xml:space="preserve">http://slimages.macys.com/is/image/MCY/22118887 </v>
      </c>
    </row>
    <row r="38" spans="1:14" x14ac:dyDescent="0.25">
      <c r="A38" s="21" t="s">
        <v>17607</v>
      </c>
      <c r="B38" s="22" t="s">
        <v>17608</v>
      </c>
      <c r="C38" s="3">
        <v>13.2</v>
      </c>
      <c r="D38" s="23">
        <v>30.99</v>
      </c>
      <c r="E38" s="3">
        <v>30.99</v>
      </c>
      <c r="F38" s="2" t="s">
        <v>17609</v>
      </c>
      <c r="G38" s="22" t="s">
        <v>19333</v>
      </c>
      <c r="H38" s="24" t="s">
        <v>19392</v>
      </c>
      <c r="I38" s="22" t="s">
        <v>19309</v>
      </c>
      <c r="J38" s="22" t="s">
        <v>19310</v>
      </c>
      <c r="K38" s="22" t="s">
        <v>19433</v>
      </c>
      <c r="L38" s="22"/>
      <c r="M38" s="22"/>
      <c r="N38" s="25" t="str">
        <f>HYPERLINK("http://slimages.macys.com/is/image/MCY/21921581 ")</f>
        <v xml:space="preserve">http://slimages.macys.com/is/image/MCY/21921581 </v>
      </c>
    </row>
    <row r="39" spans="1:14" ht="24.75" x14ac:dyDescent="0.25">
      <c r="A39" s="21" t="s">
        <v>17610</v>
      </c>
      <c r="B39" s="22" t="s">
        <v>17611</v>
      </c>
      <c r="C39" s="3">
        <v>12.55</v>
      </c>
      <c r="D39" s="23">
        <v>49.5</v>
      </c>
      <c r="E39" s="3">
        <v>49.5</v>
      </c>
      <c r="F39" s="2" t="s">
        <v>17612</v>
      </c>
      <c r="G39" s="22" t="s">
        <v>19618</v>
      </c>
      <c r="H39" s="24" t="s">
        <v>19432</v>
      </c>
      <c r="I39" s="22" t="s">
        <v>19309</v>
      </c>
      <c r="J39" s="22" t="s">
        <v>20104</v>
      </c>
      <c r="K39" s="22" t="s">
        <v>20105</v>
      </c>
      <c r="L39" s="22"/>
      <c r="M39" s="22"/>
      <c r="N39" s="25" t="str">
        <f>HYPERLINK("http://slimages.macys.com/is/image/MCY/18878559 ")</f>
        <v xml:space="preserve">http://slimages.macys.com/is/image/MCY/18878559 </v>
      </c>
    </row>
    <row r="40" spans="1:14" ht="24.75" x14ac:dyDescent="0.25">
      <c r="A40" s="21" t="s">
        <v>17613</v>
      </c>
      <c r="B40" s="22" t="s">
        <v>17614</v>
      </c>
      <c r="C40" s="3">
        <v>12.54</v>
      </c>
      <c r="D40" s="23">
        <v>28.99</v>
      </c>
      <c r="E40" s="3">
        <v>28.99</v>
      </c>
      <c r="F40" s="2" t="s">
        <v>17615</v>
      </c>
      <c r="G40" s="22" t="s">
        <v>19307</v>
      </c>
      <c r="H40" s="24" t="s">
        <v>19334</v>
      </c>
      <c r="I40" s="22" t="s">
        <v>19309</v>
      </c>
      <c r="J40" s="22" t="s">
        <v>19447</v>
      </c>
      <c r="K40" s="22" t="s">
        <v>19463</v>
      </c>
      <c r="L40" s="22"/>
      <c r="M40" s="22"/>
      <c r="N40" s="25" t="str">
        <f>HYPERLINK("http://slimages.macys.com/is/image/MCY/21682345 ")</f>
        <v xml:space="preserve">http://slimages.macys.com/is/image/MCY/21682345 </v>
      </c>
    </row>
    <row r="41" spans="1:14" x14ac:dyDescent="0.25">
      <c r="A41" s="21" t="s">
        <v>17616</v>
      </c>
      <c r="B41" s="22" t="s">
        <v>17617</v>
      </c>
      <c r="C41" s="3">
        <v>12.54</v>
      </c>
      <c r="D41" s="23">
        <v>28.99</v>
      </c>
      <c r="E41" s="3">
        <v>28.99</v>
      </c>
      <c r="F41" s="2" t="s">
        <v>17618</v>
      </c>
      <c r="G41" s="22" t="s">
        <v>19431</v>
      </c>
      <c r="H41" s="24" t="s">
        <v>19345</v>
      </c>
      <c r="I41" s="22" t="s">
        <v>19309</v>
      </c>
      <c r="J41" s="22" t="s">
        <v>19310</v>
      </c>
      <c r="K41" s="22" t="s">
        <v>19433</v>
      </c>
      <c r="L41" s="22"/>
      <c r="M41" s="22"/>
      <c r="N41" s="25" t="str">
        <f>HYPERLINK("http://slimages.macys.com/is/image/MCY/21784642 ")</f>
        <v xml:space="preserve">http://slimages.macys.com/is/image/MCY/21784642 </v>
      </c>
    </row>
    <row r="42" spans="1:14" ht="24.75" x14ac:dyDescent="0.25">
      <c r="A42" s="21" t="s">
        <v>17619</v>
      </c>
      <c r="B42" s="22" t="s">
        <v>17620</v>
      </c>
      <c r="C42" s="3">
        <v>12.5</v>
      </c>
      <c r="D42" s="23">
        <v>32.99</v>
      </c>
      <c r="E42" s="3">
        <v>32.99</v>
      </c>
      <c r="F42" s="2" t="s">
        <v>17481</v>
      </c>
      <c r="G42" s="22" t="s">
        <v>19415</v>
      </c>
      <c r="H42" s="24" t="s">
        <v>19416</v>
      </c>
      <c r="I42" s="22" t="s">
        <v>19309</v>
      </c>
      <c r="J42" s="22" t="s">
        <v>19385</v>
      </c>
      <c r="K42" s="22" t="s">
        <v>19487</v>
      </c>
      <c r="L42" s="22"/>
      <c r="M42" s="22"/>
      <c r="N42" s="25" t="str">
        <f>HYPERLINK("http://slimages.macys.com/is/image/MCY/21008172 ")</f>
        <v xml:space="preserve">http://slimages.macys.com/is/image/MCY/21008172 </v>
      </c>
    </row>
    <row r="43" spans="1:14" ht="24.75" x14ac:dyDescent="0.25">
      <c r="A43" s="21" t="s">
        <v>17621</v>
      </c>
      <c r="B43" s="22" t="s">
        <v>17622</v>
      </c>
      <c r="C43" s="3">
        <v>12.5</v>
      </c>
      <c r="D43" s="23">
        <v>36.99</v>
      </c>
      <c r="E43" s="3">
        <v>36.99</v>
      </c>
      <c r="F43" s="2" t="s">
        <v>17623</v>
      </c>
      <c r="G43" s="22" t="s">
        <v>19415</v>
      </c>
      <c r="H43" s="24" t="s">
        <v>19316</v>
      </c>
      <c r="I43" s="22" t="s">
        <v>19309</v>
      </c>
      <c r="J43" s="22" t="s">
        <v>19400</v>
      </c>
      <c r="K43" s="22" t="s">
        <v>17589</v>
      </c>
      <c r="L43" s="22"/>
      <c r="M43" s="22"/>
      <c r="N43" s="25" t="str">
        <f>HYPERLINK("http://slimages.macys.com/is/image/MCY/21736448 ")</f>
        <v xml:space="preserve">http://slimages.macys.com/is/image/MCY/21736448 </v>
      </c>
    </row>
    <row r="44" spans="1:14" ht="24.75" x14ac:dyDescent="0.25">
      <c r="A44" s="21" t="s">
        <v>17624</v>
      </c>
      <c r="B44" s="22" t="s">
        <v>17625</v>
      </c>
      <c r="C44" s="3">
        <v>12.5</v>
      </c>
      <c r="D44" s="23">
        <v>29.99</v>
      </c>
      <c r="E44" s="3">
        <v>29.99</v>
      </c>
      <c r="F44" s="2" t="s">
        <v>17626</v>
      </c>
      <c r="G44" s="22" t="s">
        <v>19315</v>
      </c>
      <c r="H44" s="24" t="s">
        <v>19330</v>
      </c>
      <c r="I44" s="22" t="s">
        <v>19309</v>
      </c>
      <c r="J44" s="22" t="s">
        <v>19385</v>
      </c>
      <c r="K44" s="22" t="s">
        <v>19386</v>
      </c>
      <c r="L44" s="22"/>
      <c r="M44" s="22"/>
      <c r="N44" s="25" t="str">
        <f>HYPERLINK("http://slimages.macys.com/is/image/MCY/22297124 ")</f>
        <v xml:space="preserve">http://slimages.macys.com/is/image/MCY/22297124 </v>
      </c>
    </row>
    <row r="45" spans="1:14" x14ac:dyDescent="0.25">
      <c r="A45" s="21" t="s">
        <v>17627</v>
      </c>
      <c r="B45" s="22" t="s">
        <v>17628</v>
      </c>
      <c r="C45" s="3">
        <v>12.25</v>
      </c>
      <c r="D45" s="23">
        <v>25.99</v>
      </c>
      <c r="E45" s="3">
        <v>25.99</v>
      </c>
      <c r="F45" s="2" t="s">
        <v>17629</v>
      </c>
      <c r="G45" s="22" t="s">
        <v>19622</v>
      </c>
      <c r="H45" s="24" t="s">
        <v>19308</v>
      </c>
      <c r="I45" s="22" t="s">
        <v>19309</v>
      </c>
      <c r="J45" s="22" t="s">
        <v>19310</v>
      </c>
      <c r="K45" s="22" t="s">
        <v>19631</v>
      </c>
      <c r="L45" s="22" t="s">
        <v>19319</v>
      </c>
      <c r="M45" s="22" t="s">
        <v>19435</v>
      </c>
      <c r="N45" s="25" t="str">
        <f>HYPERLINK("http://slimages.macys.com/is/image/MCY/12336482 ")</f>
        <v xml:space="preserve">http://slimages.macys.com/is/image/MCY/12336482 </v>
      </c>
    </row>
    <row r="46" spans="1:14" ht="24.75" x14ac:dyDescent="0.25">
      <c r="A46" s="21" t="s">
        <v>19502</v>
      </c>
      <c r="B46" s="22" t="s">
        <v>19503</v>
      </c>
      <c r="C46" s="3">
        <v>12</v>
      </c>
      <c r="D46" s="23">
        <v>34.99</v>
      </c>
      <c r="E46" s="3">
        <v>34.99</v>
      </c>
      <c r="F46" s="2" t="s">
        <v>19504</v>
      </c>
      <c r="G46" s="22" t="s">
        <v>19351</v>
      </c>
      <c r="H46" s="24" t="s">
        <v>19316</v>
      </c>
      <c r="I46" s="22" t="s">
        <v>19309</v>
      </c>
      <c r="J46" s="22" t="s">
        <v>19400</v>
      </c>
      <c r="K46" s="22" t="s">
        <v>19479</v>
      </c>
      <c r="L46" s="22"/>
      <c r="M46" s="22"/>
      <c r="N46" s="25" t="str">
        <f>HYPERLINK("http://slimages.macys.com/is/image/MCY/21683538 ")</f>
        <v xml:space="preserve">http://slimages.macys.com/is/image/MCY/21683538 </v>
      </c>
    </row>
    <row r="47" spans="1:14" x14ac:dyDescent="0.25">
      <c r="A47" s="21" t="s">
        <v>17630</v>
      </c>
      <c r="B47" s="22" t="s">
        <v>17631</v>
      </c>
      <c r="C47" s="3">
        <v>12</v>
      </c>
      <c r="D47" s="23">
        <v>36</v>
      </c>
      <c r="E47" s="3">
        <v>36</v>
      </c>
      <c r="F47" s="2" t="s">
        <v>17632</v>
      </c>
      <c r="G47" s="22" t="s">
        <v>19415</v>
      </c>
      <c r="H47" s="24" t="s">
        <v>19416</v>
      </c>
      <c r="I47" s="22" t="s">
        <v>19309</v>
      </c>
      <c r="J47" s="22" t="s">
        <v>19417</v>
      </c>
      <c r="K47" s="22" t="s">
        <v>19418</v>
      </c>
      <c r="L47" s="22"/>
      <c r="M47" s="22"/>
      <c r="N47" s="25" t="str">
        <f>HYPERLINK("http://slimages.macys.com/is/image/MCY/21205981 ")</f>
        <v xml:space="preserve">http://slimages.macys.com/is/image/MCY/21205981 </v>
      </c>
    </row>
    <row r="48" spans="1:14" ht="24.75" x14ac:dyDescent="0.25">
      <c r="A48" s="21" t="s">
        <v>17633</v>
      </c>
      <c r="B48" s="22" t="s">
        <v>17634</v>
      </c>
      <c r="C48" s="3">
        <v>11.93</v>
      </c>
      <c r="D48" s="23">
        <v>49.5</v>
      </c>
      <c r="E48" s="3">
        <v>49.5</v>
      </c>
      <c r="F48" s="2" t="s">
        <v>17635</v>
      </c>
      <c r="G48" s="22" t="s">
        <v>19404</v>
      </c>
      <c r="H48" s="24"/>
      <c r="I48" s="22" t="s">
        <v>19309</v>
      </c>
      <c r="J48" s="22" t="s">
        <v>19613</v>
      </c>
      <c r="K48" s="22" t="s">
        <v>19614</v>
      </c>
      <c r="L48" s="22"/>
      <c r="M48" s="22"/>
      <c r="N48" s="25" t="str">
        <f>HYPERLINK("http://slimages.macys.com/is/image/MCY/22183661 ")</f>
        <v xml:space="preserve">http://slimages.macys.com/is/image/MCY/22183661 </v>
      </c>
    </row>
    <row r="49" spans="1:14" ht="24.75" x14ac:dyDescent="0.25">
      <c r="A49" s="21" t="s">
        <v>17636</v>
      </c>
      <c r="B49" s="22" t="s">
        <v>17637</v>
      </c>
      <c r="C49" s="3">
        <v>11.93</v>
      </c>
      <c r="D49" s="23">
        <v>49.5</v>
      </c>
      <c r="E49" s="3">
        <v>49.5</v>
      </c>
      <c r="F49" s="2" t="s">
        <v>17635</v>
      </c>
      <c r="G49" s="22" t="s">
        <v>19404</v>
      </c>
      <c r="H49" s="24"/>
      <c r="I49" s="22" t="s">
        <v>19309</v>
      </c>
      <c r="J49" s="22" t="s">
        <v>19613</v>
      </c>
      <c r="K49" s="22" t="s">
        <v>19614</v>
      </c>
      <c r="L49" s="22"/>
      <c r="M49" s="22"/>
      <c r="N49" s="25" t="str">
        <f>HYPERLINK("http://slimages.macys.com/is/image/MCY/22183661 ")</f>
        <v xml:space="preserve">http://slimages.macys.com/is/image/MCY/22183661 </v>
      </c>
    </row>
    <row r="50" spans="1:14" ht="24.75" x14ac:dyDescent="0.25">
      <c r="A50" s="21" t="s">
        <v>17638</v>
      </c>
      <c r="B50" s="22" t="s">
        <v>17639</v>
      </c>
      <c r="C50" s="3">
        <v>11.87</v>
      </c>
      <c r="D50" s="23">
        <v>26.99</v>
      </c>
      <c r="E50" s="3">
        <v>26.99</v>
      </c>
      <c r="F50" s="2" t="s">
        <v>17640</v>
      </c>
      <c r="G50" s="22" t="s">
        <v>19518</v>
      </c>
      <c r="H50" s="24" t="s">
        <v>19384</v>
      </c>
      <c r="I50" s="22" t="s">
        <v>19309</v>
      </c>
      <c r="J50" s="22" t="s">
        <v>19573</v>
      </c>
      <c r="K50" s="22" t="s">
        <v>19574</v>
      </c>
      <c r="L50" s="22"/>
      <c r="M50" s="22"/>
      <c r="N50" s="25" t="str">
        <f>HYPERLINK("http://slimages.macys.com/is/image/MCY/21731881 ")</f>
        <v xml:space="preserve">http://slimages.macys.com/is/image/MCY/21731881 </v>
      </c>
    </row>
    <row r="51" spans="1:14" ht="24.75" x14ac:dyDescent="0.25">
      <c r="A51" s="21" t="s">
        <v>17641</v>
      </c>
      <c r="B51" s="22" t="s">
        <v>17642</v>
      </c>
      <c r="C51" s="3">
        <v>11.75</v>
      </c>
      <c r="D51" s="23">
        <v>30.99</v>
      </c>
      <c r="E51" s="3">
        <v>30.99</v>
      </c>
      <c r="F51" s="2" t="s">
        <v>17643</v>
      </c>
      <c r="G51" s="22" t="s">
        <v>19342</v>
      </c>
      <c r="H51" s="24" t="s">
        <v>19324</v>
      </c>
      <c r="I51" s="22" t="s">
        <v>19309</v>
      </c>
      <c r="J51" s="22" t="s">
        <v>19491</v>
      </c>
      <c r="K51" s="22" t="s">
        <v>19554</v>
      </c>
      <c r="L51" s="22"/>
      <c r="M51" s="22"/>
      <c r="N51" s="25" t="str">
        <f>HYPERLINK("http://slimages.macys.com/is/image/MCY/22825008 ")</f>
        <v xml:space="preserve">http://slimages.macys.com/is/image/MCY/22825008 </v>
      </c>
    </row>
    <row r="52" spans="1:14" x14ac:dyDescent="0.25">
      <c r="A52" s="21" t="s">
        <v>17644</v>
      </c>
      <c r="B52" s="22" t="s">
        <v>17645</v>
      </c>
      <c r="C52" s="3">
        <v>11.61</v>
      </c>
      <c r="D52" s="23">
        <v>31.63</v>
      </c>
      <c r="E52" s="3">
        <v>31.63</v>
      </c>
      <c r="F52" s="2" t="s">
        <v>17646</v>
      </c>
      <c r="G52" s="22" t="s">
        <v>19323</v>
      </c>
      <c r="H52" s="24" t="s">
        <v>19384</v>
      </c>
      <c r="I52" s="22" t="s">
        <v>19309</v>
      </c>
      <c r="J52" s="22" t="s">
        <v>19708</v>
      </c>
      <c r="K52" s="22" t="s">
        <v>19709</v>
      </c>
      <c r="L52" s="22"/>
      <c r="M52" s="22"/>
      <c r="N52" s="25" t="str">
        <f>HYPERLINK("http://slimages.macys.com/is/image/MCY/22296941 ")</f>
        <v xml:space="preserve">http://slimages.macys.com/is/image/MCY/22296941 </v>
      </c>
    </row>
    <row r="53" spans="1:14" ht="24.75" x14ac:dyDescent="0.25">
      <c r="A53" s="21" t="s">
        <v>17647</v>
      </c>
      <c r="B53" s="22" t="s">
        <v>17648</v>
      </c>
      <c r="C53" s="3">
        <v>11.52</v>
      </c>
      <c r="D53" s="23">
        <v>25.99</v>
      </c>
      <c r="E53" s="3">
        <v>25.99</v>
      </c>
      <c r="F53" s="2" t="s">
        <v>17649</v>
      </c>
      <c r="G53" s="22" t="s">
        <v>19886</v>
      </c>
      <c r="H53" s="24" t="s">
        <v>19324</v>
      </c>
      <c r="I53" s="22" t="s">
        <v>19309</v>
      </c>
      <c r="J53" s="22" t="s">
        <v>19491</v>
      </c>
      <c r="K53" s="22" t="s">
        <v>19463</v>
      </c>
      <c r="L53" s="22"/>
      <c r="M53" s="22"/>
      <c r="N53" s="25" t="str">
        <f>HYPERLINK("http://slimages.macys.com/is/image/MCY/22035970 ")</f>
        <v xml:space="preserve">http://slimages.macys.com/is/image/MCY/22035970 </v>
      </c>
    </row>
    <row r="54" spans="1:14" ht="24.75" x14ac:dyDescent="0.25">
      <c r="A54" s="21" t="s">
        <v>17650</v>
      </c>
      <c r="B54" s="22" t="s">
        <v>17651</v>
      </c>
      <c r="C54" s="3">
        <v>11.5</v>
      </c>
      <c r="D54" s="23">
        <v>25.99</v>
      </c>
      <c r="E54" s="3">
        <v>25.99</v>
      </c>
      <c r="F54" s="2" t="s">
        <v>17652</v>
      </c>
      <c r="G54" s="22" t="s">
        <v>19307</v>
      </c>
      <c r="H54" s="24" t="s">
        <v>19364</v>
      </c>
      <c r="I54" s="22" t="s">
        <v>19309</v>
      </c>
      <c r="J54" s="22" t="s">
        <v>19447</v>
      </c>
      <c r="K54" s="22" t="s">
        <v>19533</v>
      </c>
      <c r="L54" s="22"/>
      <c r="M54" s="22"/>
      <c r="N54" s="25" t="str">
        <f>HYPERLINK("http://slimages.macys.com/is/image/MCY/20219971 ")</f>
        <v xml:space="preserve">http://slimages.macys.com/is/image/MCY/20219971 </v>
      </c>
    </row>
    <row r="55" spans="1:14" ht="24.75" x14ac:dyDescent="0.25">
      <c r="A55" s="21" t="s">
        <v>17653</v>
      </c>
      <c r="B55" s="22" t="s">
        <v>17654</v>
      </c>
      <c r="C55" s="3">
        <v>11.4</v>
      </c>
      <c r="D55" s="23">
        <v>28.99</v>
      </c>
      <c r="E55" s="3">
        <v>28.99</v>
      </c>
      <c r="F55" s="2" t="s">
        <v>17655</v>
      </c>
      <c r="G55" s="22" t="s">
        <v>19342</v>
      </c>
      <c r="H55" s="24" t="s">
        <v>19395</v>
      </c>
      <c r="I55" s="22" t="s">
        <v>19309</v>
      </c>
      <c r="J55" s="22" t="s">
        <v>19550</v>
      </c>
      <c r="K55" s="22" t="s">
        <v>19554</v>
      </c>
      <c r="L55" s="22"/>
      <c r="M55" s="22"/>
      <c r="N55" s="25" t="str">
        <f>HYPERLINK("http://slimages.macys.com/is/image/MCY/21204888 ")</f>
        <v xml:space="preserve">http://slimages.macys.com/is/image/MCY/21204888 </v>
      </c>
    </row>
    <row r="56" spans="1:14" ht="24.75" x14ac:dyDescent="0.25">
      <c r="A56" s="21" t="s">
        <v>17656</v>
      </c>
      <c r="B56" s="22" t="s">
        <v>17657</v>
      </c>
      <c r="C56" s="3">
        <v>11.4</v>
      </c>
      <c r="D56" s="23">
        <v>21.99</v>
      </c>
      <c r="E56" s="3">
        <v>21.99</v>
      </c>
      <c r="F56" s="2" t="s">
        <v>17658</v>
      </c>
      <c r="G56" s="22" t="s">
        <v>19415</v>
      </c>
      <c r="H56" s="24" t="s">
        <v>19416</v>
      </c>
      <c r="I56" s="22" t="s">
        <v>19309</v>
      </c>
      <c r="J56" s="22" t="s">
        <v>19491</v>
      </c>
      <c r="K56" s="22" t="s">
        <v>19631</v>
      </c>
      <c r="L56" s="22"/>
      <c r="M56" s="22"/>
      <c r="N56" s="25" t="str">
        <f>HYPERLINK("http://slimages.macys.com/is/image/MCY/23221193 ")</f>
        <v xml:space="preserve">http://slimages.macys.com/is/image/MCY/23221193 </v>
      </c>
    </row>
    <row r="57" spans="1:14" ht="24.75" x14ac:dyDescent="0.25">
      <c r="A57" s="21" t="s">
        <v>17659</v>
      </c>
      <c r="B57" s="22" t="s">
        <v>17660</v>
      </c>
      <c r="C57" s="3">
        <v>11.4</v>
      </c>
      <c r="D57" s="23">
        <v>28.99</v>
      </c>
      <c r="E57" s="3">
        <v>28.99</v>
      </c>
      <c r="F57" s="2" t="s">
        <v>17661</v>
      </c>
      <c r="G57" s="22" t="s">
        <v>19342</v>
      </c>
      <c r="H57" s="24" t="s">
        <v>19361</v>
      </c>
      <c r="I57" s="22" t="s">
        <v>19309</v>
      </c>
      <c r="J57" s="22" t="s">
        <v>19550</v>
      </c>
      <c r="K57" s="22" t="s">
        <v>19554</v>
      </c>
      <c r="L57" s="22"/>
      <c r="M57" s="22"/>
      <c r="N57" s="25" t="str">
        <f>HYPERLINK("http://slimages.macys.com/is/image/MCY/21204887 ")</f>
        <v xml:space="preserve">http://slimages.macys.com/is/image/MCY/21204887 </v>
      </c>
    </row>
    <row r="58" spans="1:14" ht="24.75" x14ac:dyDescent="0.25">
      <c r="A58" s="21" t="s">
        <v>17662</v>
      </c>
      <c r="B58" s="22" t="s">
        <v>17663</v>
      </c>
      <c r="C58" s="3">
        <v>11.4</v>
      </c>
      <c r="D58" s="23">
        <v>28.99</v>
      </c>
      <c r="E58" s="3">
        <v>28.99</v>
      </c>
      <c r="F58" s="2" t="s">
        <v>17664</v>
      </c>
      <c r="G58" s="22" t="s">
        <v>19342</v>
      </c>
      <c r="H58" s="24" t="s">
        <v>19392</v>
      </c>
      <c r="I58" s="22" t="s">
        <v>19309</v>
      </c>
      <c r="J58" s="22" t="s">
        <v>19550</v>
      </c>
      <c r="K58" s="22" t="s">
        <v>19554</v>
      </c>
      <c r="L58" s="22"/>
      <c r="M58" s="22"/>
      <c r="N58" s="25" t="str">
        <f>HYPERLINK("http://slimages.macys.com/is/image/MCY/21204846 ")</f>
        <v xml:space="preserve">http://slimages.macys.com/is/image/MCY/21204846 </v>
      </c>
    </row>
    <row r="59" spans="1:14" ht="24.75" x14ac:dyDescent="0.25">
      <c r="A59" s="21" t="s">
        <v>17665</v>
      </c>
      <c r="B59" s="22" t="s">
        <v>17666</v>
      </c>
      <c r="C59" s="3">
        <v>11.4</v>
      </c>
      <c r="D59" s="23">
        <v>28.99</v>
      </c>
      <c r="E59" s="3">
        <v>28.99</v>
      </c>
      <c r="F59" s="2" t="s">
        <v>19549</v>
      </c>
      <c r="G59" s="22" t="s">
        <v>19342</v>
      </c>
      <c r="H59" s="24" t="s">
        <v>19377</v>
      </c>
      <c r="I59" s="22" t="s">
        <v>19309</v>
      </c>
      <c r="J59" s="22" t="s">
        <v>19550</v>
      </c>
      <c r="K59" s="22" t="s">
        <v>19546</v>
      </c>
      <c r="L59" s="22"/>
      <c r="M59" s="22"/>
      <c r="N59" s="25" t="str">
        <f>HYPERLINK("http://slimages.macys.com/is/image/MCY/21210093 ")</f>
        <v xml:space="preserve">http://slimages.macys.com/is/image/MCY/21210093 </v>
      </c>
    </row>
    <row r="60" spans="1:14" ht="24.75" x14ac:dyDescent="0.25">
      <c r="A60" s="21" t="s">
        <v>17667</v>
      </c>
      <c r="B60" s="22" t="s">
        <v>17668</v>
      </c>
      <c r="C60" s="3">
        <v>11.4</v>
      </c>
      <c r="D60" s="23">
        <v>28.99</v>
      </c>
      <c r="E60" s="3">
        <v>28.99</v>
      </c>
      <c r="F60" s="2" t="s">
        <v>17655</v>
      </c>
      <c r="G60" s="22" t="s">
        <v>19342</v>
      </c>
      <c r="H60" s="24" t="s">
        <v>19542</v>
      </c>
      <c r="I60" s="22" t="s">
        <v>19309</v>
      </c>
      <c r="J60" s="22" t="s">
        <v>19550</v>
      </c>
      <c r="K60" s="22" t="s">
        <v>19554</v>
      </c>
      <c r="L60" s="22"/>
      <c r="M60" s="22"/>
      <c r="N60" s="25" t="str">
        <f>HYPERLINK("http://slimages.macys.com/is/image/MCY/21204888 ")</f>
        <v xml:space="preserve">http://slimages.macys.com/is/image/MCY/21204888 </v>
      </c>
    </row>
    <row r="61" spans="1:14" ht="24.75" x14ac:dyDescent="0.25">
      <c r="A61" s="21" t="s">
        <v>17669</v>
      </c>
      <c r="B61" s="22" t="s">
        <v>17670</v>
      </c>
      <c r="C61" s="3">
        <v>11.22</v>
      </c>
      <c r="D61" s="23">
        <v>42.5</v>
      </c>
      <c r="E61" s="3">
        <v>42.5</v>
      </c>
      <c r="F61" s="2" t="s">
        <v>17671</v>
      </c>
      <c r="G61" s="22" t="s">
        <v>19415</v>
      </c>
      <c r="H61" s="24"/>
      <c r="I61" s="22" t="s">
        <v>19309</v>
      </c>
      <c r="J61" s="22" t="s">
        <v>19613</v>
      </c>
      <c r="K61" s="22" t="s">
        <v>19614</v>
      </c>
      <c r="L61" s="22"/>
      <c r="M61" s="22"/>
      <c r="N61" s="25" t="str">
        <f>HYPERLINK("http://slimages.macys.com/is/image/MCY/21345672 ")</f>
        <v xml:space="preserve">http://slimages.macys.com/is/image/MCY/21345672 </v>
      </c>
    </row>
    <row r="62" spans="1:14" x14ac:dyDescent="0.25">
      <c r="A62" s="21" t="s">
        <v>17672</v>
      </c>
      <c r="B62" s="22" t="s">
        <v>17673</v>
      </c>
      <c r="C62" s="3">
        <v>11.2</v>
      </c>
      <c r="D62" s="23">
        <v>25.99</v>
      </c>
      <c r="E62" s="3">
        <v>25.99</v>
      </c>
      <c r="F62" s="2" t="s">
        <v>17674</v>
      </c>
      <c r="G62" s="22" t="s">
        <v>19431</v>
      </c>
      <c r="H62" s="24" t="s">
        <v>19392</v>
      </c>
      <c r="I62" s="22" t="s">
        <v>19309</v>
      </c>
      <c r="J62" s="22" t="s">
        <v>19310</v>
      </c>
      <c r="K62" s="22" t="s">
        <v>19433</v>
      </c>
      <c r="L62" s="22"/>
      <c r="M62" s="22"/>
      <c r="N62" s="25" t="str">
        <f>HYPERLINK("http://slimages.macys.com/is/image/MCY/21397016 ")</f>
        <v xml:space="preserve">http://slimages.macys.com/is/image/MCY/21397016 </v>
      </c>
    </row>
    <row r="63" spans="1:14" x14ac:dyDescent="0.25">
      <c r="A63" s="21" t="s">
        <v>19567</v>
      </c>
      <c r="B63" s="22" t="s">
        <v>19568</v>
      </c>
      <c r="C63" s="3">
        <v>11.2</v>
      </c>
      <c r="D63" s="23">
        <v>25.99</v>
      </c>
      <c r="E63" s="3">
        <v>25.99</v>
      </c>
      <c r="F63" s="2" t="s">
        <v>19569</v>
      </c>
      <c r="G63" s="22" t="s">
        <v>19333</v>
      </c>
      <c r="H63" s="24" t="s">
        <v>19395</v>
      </c>
      <c r="I63" s="22" t="s">
        <v>19309</v>
      </c>
      <c r="J63" s="22" t="s">
        <v>19310</v>
      </c>
      <c r="K63" s="22" t="s">
        <v>19433</v>
      </c>
      <c r="L63" s="22"/>
      <c r="M63" s="22"/>
      <c r="N63" s="25" t="str">
        <f>HYPERLINK("http://slimages.macys.com/is/image/MCY/21964510 ")</f>
        <v xml:space="preserve">http://slimages.macys.com/is/image/MCY/21964510 </v>
      </c>
    </row>
    <row r="64" spans="1:14" x14ac:dyDescent="0.25">
      <c r="A64" s="21" t="s">
        <v>17675</v>
      </c>
      <c r="B64" s="22" t="s">
        <v>17676</v>
      </c>
      <c r="C64" s="3">
        <v>22.4</v>
      </c>
      <c r="D64" s="23">
        <v>25.99</v>
      </c>
      <c r="E64" s="3">
        <v>51.98</v>
      </c>
      <c r="F64" s="2" t="s">
        <v>19569</v>
      </c>
      <c r="G64" s="22" t="s">
        <v>19333</v>
      </c>
      <c r="H64" s="24" t="s">
        <v>19432</v>
      </c>
      <c r="I64" s="22" t="s">
        <v>19309</v>
      </c>
      <c r="J64" s="22" t="s">
        <v>19310</v>
      </c>
      <c r="K64" s="22" t="s">
        <v>19433</v>
      </c>
      <c r="L64" s="22"/>
      <c r="M64" s="22"/>
      <c r="N64" s="25" t="str">
        <f>HYPERLINK("http://slimages.macys.com/is/image/MCY/21964510 ")</f>
        <v xml:space="preserve">http://slimages.macys.com/is/image/MCY/21964510 </v>
      </c>
    </row>
    <row r="65" spans="1:14" ht="24.75" x14ac:dyDescent="0.25">
      <c r="A65" s="21" t="s">
        <v>19589</v>
      </c>
      <c r="B65" s="22" t="s">
        <v>19590</v>
      </c>
      <c r="C65" s="3">
        <v>22.14</v>
      </c>
      <c r="D65" s="23">
        <v>26.99</v>
      </c>
      <c r="E65" s="3">
        <v>53.98</v>
      </c>
      <c r="F65" s="2" t="s">
        <v>19588</v>
      </c>
      <c r="G65" s="22" t="s">
        <v>19351</v>
      </c>
      <c r="H65" s="24" t="s">
        <v>19330</v>
      </c>
      <c r="I65" s="22" t="s">
        <v>19309</v>
      </c>
      <c r="J65" s="22" t="s">
        <v>19573</v>
      </c>
      <c r="K65" s="22" t="s">
        <v>19574</v>
      </c>
      <c r="L65" s="22"/>
      <c r="M65" s="22"/>
      <c r="N65" s="25" t="str">
        <f>HYPERLINK("http://slimages.macys.com/is/image/MCY/20142463 ")</f>
        <v xml:space="preserve">http://slimages.macys.com/is/image/MCY/20142463 </v>
      </c>
    </row>
    <row r="66" spans="1:14" ht="24.75" x14ac:dyDescent="0.25">
      <c r="A66" s="21" t="s">
        <v>17677</v>
      </c>
      <c r="B66" s="22" t="s">
        <v>17678</v>
      </c>
      <c r="C66" s="3">
        <v>11.07</v>
      </c>
      <c r="D66" s="23">
        <v>26.99</v>
      </c>
      <c r="E66" s="3">
        <v>26.99</v>
      </c>
      <c r="F66" s="2" t="s">
        <v>19588</v>
      </c>
      <c r="G66" s="22" t="s">
        <v>19351</v>
      </c>
      <c r="H66" s="24" t="s">
        <v>19384</v>
      </c>
      <c r="I66" s="22" t="s">
        <v>19309</v>
      </c>
      <c r="J66" s="22" t="s">
        <v>19573</v>
      </c>
      <c r="K66" s="22" t="s">
        <v>19574</v>
      </c>
      <c r="L66" s="22"/>
      <c r="M66" s="22"/>
      <c r="N66" s="25" t="str">
        <f>HYPERLINK("http://slimages.macys.com/is/image/MCY/20142463 ")</f>
        <v xml:space="preserve">http://slimages.macys.com/is/image/MCY/20142463 </v>
      </c>
    </row>
    <row r="67" spans="1:14" ht="24.75" x14ac:dyDescent="0.25">
      <c r="A67" s="21" t="s">
        <v>19597</v>
      </c>
      <c r="B67" s="22" t="s">
        <v>19598</v>
      </c>
      <c r="C67" s="3">
        <v>11</v>
      </c>
      <c r="D67" s="23">
        <v>26.99</v>
      </c>
      <c r="E67" s="3">
        <v>26.99</v>
      </c>
      <c r="F67" s="2" t="s">
        <v>19593</v>
      </c>
      <c r="G67" s="22" t="s">
        <v>19594</v>
      </c>
      <c r="H67" s="24" t="s">
        <v>19334</v>
      </c>
      <c r="I67" s="22" t="s">
        <v>19309</v>
      </c>
      <c r="J67" s="22" t="s">
        <v>19595</v>
      </c>
      <c r="K67" s="22" t="s">
        <v>19596</v>
      </c>
      <c r="L67" s="22"/>
      <c r="M67" s="22"/>
      <c r="N67" s="25" t="str">
        <f>HYPERLINK("http://slimages.macys.com/is/image/MCY/21622966 ")</f>
        <v xml:space="preserve">http://slimages.macys.com/is/image/MCY/21622966 </v>
      </c>
    </row>
    <row r="68" spans="1:14" ht="24.75" x14ac:dyDescent="0.25">
      <c r="A68" s="21" t="s">
        <v>17679</v>
      </c>
      <c r="B68" s="22" t="s">
        <v>17680</v>
      </c>
      <c r="C68" s="3">
        <v>11</v>
      </c>
      <c r="D68" s="23">
        <v>24.99</v>
      </c>
      <c r="E68" s="3">
        <v>24.99</v>
      </c>
      <c r="F68" s="2" t="s">
        <v>17681</v>
      </c>
      <c r="G68" s="22" t="s">
        <v>19431</v>
      </c>
      <c r="H68" s="24" t="s">
        <v>19797</v>
      </c>
      <c r="I68" s="22" t="s">
        <v>19309</v>
      </c>
      <c r="J68" s="22" t="s">
        <v>19447</v>
      </c>
      <c r="K68" s="22" t="s">
        <v>19533</v>
      </c>
      <c r="L68" s="22"/>
      <c r="M68" s="22"/>
      <c r="N68" s="25" t="str">
        <f>HYPERLINK("http://slimages.macys.com/is/image/MCY/21150450 ")</f>
        <v xml:space="preserve">http://slimages.macys.com/is/image/MCY/21150450 </v>
      </c>
    </row>
    <row r="69" spans="1:14" ht="24.75" x14ac:dyDescent="0.25">
      <c r="A69" s="21" t="s">
        <v>17682</v>
      </c>
      <c r="B69" s="22" t="s">
        <v>17683</v>
      </c>
      <c r="C69" s="3">
        <v>22</v>
      </c>
      <c r="D69" s="23">
        <v>24.99</v>
      </c>
      <c r="E69" s="3">
        <v>49.98</v>
      </c>
      <c r="F69" s="2" t="s">
        <v>17681</v>
      </c>
      <c r="G69" s="22" t="s">
        <v>19431</v>
      </c>
      <c r="H69" s="24" t="s">
        <v>19364</v>
      </c>
      <c r="I69" s="22" t="s">
        <v>19309</v>
      </c>
      <c r="J69" s="22" t="s">
        <v>19447</v>
      </c>
      <c r="K69" s="22" t="s">
        <v>19533</v>
      </c>
      <c r="L69" s="22"/>
      <c r="M69" s="22"/>
      <c r="N69" s="25" t="str">
        <f>HYPERLINK("http://slimages.macys.com/is/image/MCY/21150450 ")</f>
        <v xml:space="preserve">http://slimages.macys.com/is/image/MCY/21150450 </v>
      </c>
    </row>
    <row r="70" spans="1:14" x14ac:dyDescent="0.25">
      <c r="A70" s="21" t="s">
        <v>17684</v>
      </c>
      <c r="B70" s="22" t="s">
        <v>17685</v>
      </c>
      <c r="C70" s="3">
        <v>11</v>
      </c>
      <c r="D70" s="23">
        <v>25</v>
      </c>
      <c r="E70" s="3">
        <v>25</v>
      </c>
      <c r="F70" s="2">
        <v>1357601</v>
      </c>
      <c r="G70" s="22" t="s">
        <v>19333</v>
      </c>
      <c r="H70" s="24" t="s">
        <v>19339</v>
      </c>
      <c r="I70" s="22" t="s">
        <v>19309</v>
      </c>
      <c r="J70" s="22" t="s">
        <v>19310</v>
      </c>
      <c r="K70" s="22" t="s">
        <v>17686</v>
      </c>
      <c r="L70" s="22"/>
      <c r="M70" s="22"/>
      <c r="N70" s="25" t="str">
        <f>HYPERLINK("http://slimages.macys.com/is/image/MCY/20266582 ")</f>
        <v xml:space="preserve">http://slimages.macys.com/is/image/MCY/20266582 </v>
      </c>
    </row>
    <row r="71" spans="1:14" ht="24.75" x14ac:dyDescent="0.25">
      <c r="A71" s="21" t="s">
        <v>17687</v>
      </c>
      <c r="B71" s="22" t="s">
        <v>17688</v>
      </c>
      <c r="C71" s="3">
        <v>21.88</v>
      </c>
      <c r="D71" s="23">
        <v>26.23</v>
      </c>
      <c r="E71" s="3">
        <v>52.46</v>
      </c>
      <c r="F71" s="2" t="s">
        <v>17689</v>
      </c>
      <c r="G71" s="22"/>
      <c r="H71" s="24" t="s">
        <v>19478</v>
      </c>
      <c r="I71" s="22" t="s">
        <v>19309</v>
      </c>
      <c r="J71" s="22" t="s">
        <v>19602</v>
      </c>
      <c r="K71" s="22" t="s">
        <v>19603</v>
      </c>
      <c r="L71" s="22"/>
      <c r="M71" s="22"/>
      <c r="N71" s="25" t="str">
        <f>HYPERLINK("http://slimages.macys.com/is/image/MCY/21421630 ")</f>
        <v xml:space="preserve">http://slimages.macys.com/is/image/MCY/21421630 </v>
      </c>
    </row>
    <row r="72" spans="1:14" ht="24.75" x14ac:dyDescent="0.25">
      <c r="A72" s="21" t="s">
        <v>17690</v>
      </c>
      <c r="B72" s="22" t="s">
        <v>17691</v>
      </c>
      <c r="C72" s="3">
        <v>10.93</v>
      </c>
      <c r="D72" s="23">
        <v>19.989999999999998</v>
      </c>
      <c r="E72" s="3">
        <v>19.989999999999998</v>
      </c>
      <c r="F72" s="2" t="s">
        <v>17692</v>
      </c>
      <c r="G72" s="22" t="s">
        <v>19674</v>
      </c>
      <c r="H72" s="24" t="s">
        <v>19334</v>
      </c>
      <c r="I72" s="22" t="s">
        <v>19309</v>
      </c>
      <c r="J72" s="22" t="s">
        <v>19447</v>
      </c>
      <c r="K72" s="22" t="s">
        <v>20146</v>
      </c>
      <c r="L72" s="22"/>
      <c r="M72" s="22"/>
      <c r="N72" s="25" t="str">
        <f>HYPERLINK("http://slimages.macys.com/is/image/MCY/20469944 ")</f>
        <v xml:space="preserve">http://slimages.macys.com/is/image/MCY/20469944 </v>
      </c>
    </row>
    <row r="73" spans="1:14" x14ac:dyDescent="0.25">
      <c r="A73" s="21" t="s">
        <v>17693</v>
      </c>
      <c r="B73" s="22" t="s">
        <v>17694</v>
      </c>
      <c r="C73" s="3">
        <v>10.93</v>
      </c>
      <c r="D73" s="23">
        <v>20.99</v>
      </c>
      <c r="E73" s="3">
        <v>20.99</v>
      </c>
      <c r="F73" s="2" t="s">
        <v>17695</v>
      </c>
      <c r="G73" s="22" t="s">
        <v>19801</v>
      </c>
      <c r="H73" s="24" t="s">
        <v>19542</v>
      </c>
      <c r="I73" s="22" t="s">
        <v>19309</v>
      </c>
      <c r="J73" s="22" t="s">
        <v>19310</v>
      </c>
      <c r="K73" s="22" t="s">
        <v>19468</v>
      </c>
      <c r="L73" s="22"/>
      <c r="M73" s="22"/>
      <c r="N73" s="25" t="str">
        <f>HYPERLINK("http://slimages.macys.com/is/image/MCY/19921810 ")</f>
        <v xml:space="preserve">http://slimages.macys.com/is/image/MCY/19921810 </v>
      </c>
    </row>
    <row r="74" spans="1:14" ht="24.75" x14ac:dyDescent="0.25">
      <c r="A74" s="21" t="s">
        <v>17696</v>
      </c>
      <c r="B74" s="22" t="s">
        <v>17697</v>
      </c>
      <c r="C74" s="3">
        <v>21.86</v>
      </c>
      <c r="D74" s="23">
        <v>24.99</v>
      </c>
      <c r="E74" s="3">
        <v>49.98</v>
      </c>
      <c r="F74" s="2" t="s">
        <v>19609</v>
      </c>
      <c r="G74" s="22" t="s">
        <v>19342</v>
      </c>
      <c r="H74" s="24" t="s">
        <v>19324</v>
      </c>
      <c r="I74" s="22" t="s">
        <v>19309</v>
      </c>
      <c r="J74" s="22" t="s">
        <v>19491</v>
      </c>
      <c r="K74" s="22" t="s">
        <v>19554</v>
      </c>
      <c r="L74" s="22"/>
      <c r="M74" s="22"/>
      <c r="N74" s="25" t="str">
        <f>HYPERLINK("http://slimages.macys.com/is/image/MCY/21483061 ")</f>
        <v xml:space="preserve">http://slimages.macys.com/is/image/MCY/21483061 </v>
      </c>
    </row>
    <row r="75" spans="1:14" ht="24.75" x14ac:dyDescent="0.25">
      <c r="A75" s="21" t="s">
        <v>17698</v>
      </c>
      <c r="B75" s="22" t="s">
        <v>17699</v>
      </c>
      <c r="C75" s="3">
        <v>10.88</v>
      </c>
      <c r="D75" s="23">
        <v>26.99</v>
      </c>
      <c r="E75" s="3">
        <v>26.99</v>
      </c>
      <c r="F75" s="2" t="s">
        <v>17700</v>
      </c>
      <c r="G75" s="22" t="s">
        <v>19528</v>
      </c>
      <c r="H75" s="24" t="s">
        <v>19416</v>
      </c>
      <c r="I75" s="22" t="s">
        <v>19309</v>
      </c>
      <c r="J75" s="22" t="s">
        <v>19385</v>
      </c>
      <c r="K75" s="22" t="s">
        <v>19463</v>
      </c>
      <c r="L75" s="22"/>
      <c r="M75" s="22"/>
      <c r="N75" s="25" t="str">
        <f>HYPERLINK("http://slimages.macys.com/is/image/MCY/22291356 ")</f>
        <v xml:space="preserve">http://slimages.macys.com/is/image/MCY/22291356 </v>
      </c>
    </row>
    <row r="76" spans="1:14" x14ac:dyDescent="0.25">
      <c r="A76" s="21" t="s">
        <v>17701</v>
      </c>
      <c r="B76" s="22" t="s">
        <v>17702</v>
      </c>
      <c r="C76" s="3">
        <v>10.78</v>
      </c>
      <c r="D76" s="23">
        <v>44.5</v>
      </c>
      <c r="E76" s="3">
        <v>44.5</v>
      </c>
      <c r="F76" s="2" t="s">
        <v>17703</v>
      </c>
      <c r="G76" s="22" t="s">
        <v>19404</v>
      </c>
      <c r="H76" s="24" t="s">
        <v>19334</v>
      </c>
      <c r="I76" s="22" t="s">
        <v>19309</v>
      </c>
      <c r="J76" s="22" t="s">
        <v>19688</v>
      </c>
      <c r="K76" s="22" t="s">
        <v>19614</v>
      </c>
      <c r="L76" s="22"/>
      <c r="M76" s="22"/>
      <c r="N76" s="25" t="str">
        <f>HYPERLINK("http://slimages.macys.com/is/image/MCY/22167209 ")</f>
        <v xml:space="preserve">http://slimages.macys.com/is/image/MCY/22167209 </v>
      </c>
    </row>
    <row r="77" spans="1:14" x14ac:dyDescent="0.25">
      <c r="A77" s="21" t="s">
        <v>17704</v>
      </c>
      <c r="B77" s="22" t="s">
        <v>17705</v>
      </c>
      <c r="C77" s="3">
        <v>10.78</v>
      </c>
      <c r="D77" s="23">
        <v>44.5</v>
      </c>
      <c r="E77" s="3">
        <v>44.5</v>
      </c>
      <c r="F77" s="2" t="s">
        <v>17703</v>
      </c>
      <c r="G77" s="22" t="s">
        <v>19404</v>
      </c>
      <c r="H77" s="24" t="s">
        <v>19432</v>
      </c>
      <c r="I77" s="22" t="s">
        <v>19309</v>
      </c>
      <c r="J77" s="22" t="s">
        <v>19688</v>
      </c>
      <c r="K77" s="22" t="s">
        <v>19614</v>
      </c>
      <c r="L77" s="22"/>
      <c r="M77" s="22"/>
      <c r="N77" s="25" t="str">
        <f>HYPERLINK("http://slimages.macys.com/is/image/MCY/22167211 ")</f>
        <v xml:space="preserve">http://slimages.macys.com/is/image/MCY/22167211 </v>
      </c>
    </row>
    <row r="78" spans="1:14" x14ac:dyDescent="0.25">
      <c r="A78" s="21" t="s">
        <v>17706</v>
      </c>
      <c r="B78" s="22" t="s">
        <v>17707</v>
      </c>
      <c r="C78" s="3">
        <v>10.78</v>
      </c>
      <c r="D78" s="23">
        <v>44.5</v>
      </c>
      <c r="E78" s="3">
        <v>44.5</v>
      </c>
      <c r="F78" s="2" t="s">
        <v>17703</v>
      </c>
      <c r="G78" s="22" t="s">
        <v>19404</v>
      </c>
      <c r="H78" s="24" t="s">
        <v>19395</v>
      </c>
      <c r="I78" s="22" t="s">
        <v>19309</v>
      </c>
      <c r="J78" s="22" t="s">
        <v>19688</v>
      </c>
      <c r="K78" s="22" t="s">
        <v>19614</v>
      </c>
      <c r="L78" s="22"/>
      <c r="M78" s="22"/>
      <c r="N78" s="25" t="str">
        <f>HYPERLINK("http://slimages.macys.com/is/image/MCY/22167211 ")</f>
        <v xml:space="preserve">http://slimages.macys.com/is/image/MCY/22167211 </v>
      </c>
    </row>
    <row r="79" spans="1:14" ht="24.75" x14ac:dyDescent="0.25">
      <c r="A79" s="21" t="s">
        <v>17708</v>
      </c>
      <c r="B79" s="22" t="s">
        <v>17709</v>
      </c>
      <c r="C79" s="3">
        <v>10.75</v>
      </c>
      <c r="D79" s="23">
        <v>25.99</v>
      </c>
      <c r="E79" s="3">
        <v>25.99</v>
      </c>
      <c r="F79" s="2" t="s">
        <v>17710</v>
      </c>
      <c r="G79" s="22" t="s">
        <v>19415</v>
      </c>
      <c r="H79" s="24" t="s">
        <v>19542</v>
      </c>
      <c r="I79" s="22" t="s">
        <v>19309</v>
      </c>
      <c r="J79" s="22" t="s">
        <v>19508</v>
      </c>
      <c r="K79" s="22" t="s">
        <v>17711</v>
      </c>
      <c r="L79" s="22"/>
      <c r="M79" s="22"/>
      <c r="N79" s="25" t="str">
        <f>HYPERLINK("http://slimages.macys.com/is/image/MCY/21694384 ")</f>
        <v xml:space="preserve">http://slimages.macys.com/is/image/MCY/21694384 </v>
      </c>
    </row>
    <row r="80" spans="1:14" ht="24.75" x14ac:dyDescent="0.25">
      <c r="A80" s="21" t="s">
        <v>17712</v>
      </c>
      <c r="B80" s="22" t="s">
        <v>17713</v>
      </c>
      <c r="C80" s="3">
        <v>10.65</v>
      </c>
      <c r="D80" s="23">
        <v>28.99</v>
      </c>
      <c r="E80" s="3">
        <v>28.99</v>
      </c>
      <c r="F80" s="2" t="s">
        <v>17714</v>
      </c>
      <c r="G80" s="22" t="s">
        <v>19323</v>
      </c>
      <c r="H80" s="24" t="s">
        <v>19316</v>
      </c>
      <c r="I80" s="22" t="s">
        <v>19309</v>
      </c>
      <c r="J80" s="22" t="s">
        <v>19353</v>
      </c>
      <c r="K80" s="22" t="s">
        <v>19524</v>
      </c>
      <c r="L80" s="22"/>
      <c r="M80" s="22"/>
      <c r="N80" s="25" t="str">
        <f>HYPERLINK("http://slimages.macys.com/is/image/MCY/21083337 ")</f>
        <v xml:space="preserve">http://slimages.macys.com/is/image/MCY/21083337 </v>
      </c>
    </row>
    <row r="81" spans="1:14" ht="24.75" x14ac:dyDescent="0.25">
      <c r="A81" s="21" t="s">
        <v>17715</v>
      </c>
      <c r="B81" s="22" t="s">
        <v>17716</v>
      </c>
      <c r="C81" s="3">
        <v>10.65</v>
      </c>
      <c r="D81" s="23">
        <v>29.99</v>
      </c>
      <c r="E81" s="3">
        <v>29.99</v>
      </c>
      <c r="F81" s="2" t="s">
        <v>17717</v>
      </c>
      <c r="G81" s="22" t="s">
        <v>19342</v>
      </c>
      <c r="H81" s="24"/>
      <c r="I81" s="22" t="s">
        <v>19309</v>
      </c>
      <c r="J81" s="22" t="s">
        <v>19696</v>
      </c>
      <c r="K81" s="22" t="s">
        <v>17718</v>
      </c>
      <c r="L81" s="22"/>
      <c r="M81" s="22"/>
      <c r="N81" s="25" t="str">
        <f>HYPERLINK("http://slimages.macys.com/is/image/MCY/21502533 ")</f>
        <v xml:space="preserve">http://slimages.macys.com/is/image/MCY/21502533 </v>
      </c>
    </row>
    <row r="82" spans="1:14" ht="24.75" x14ac:dyDescent="0.25">
      <c r="A82" s="21" t="s">
        <v>17719</v>
      </c>
      <c r="B82" s="22" t="s">
        <v>17720</v>
      </c>
      <c r="C82" s="3">
        <v>10.61</v>
      </c>
      <c r="D82" s="23">
        <v>24.99</v>
      </c>
      <c r="E82" s="3">
        <v>24.99</v>
      </c>
      <c r="F82" s="2" t="s">
        <v>17721</v>
      </c>
      <c r="G82" s="22" t="s">
        <v>19422</v>
      </c>
      <c r="H82" s="24" t="s">
        <v>19416</v>
      </c>
      <c r="I82" s="22" t="s">
        <v>19309</v>
      </c>
      <c r="J82" s="22" t="s">
        <v>19573</v>
      </c>
      <c r="K82" s="22" t="s">
        <v>19574</v>
      </c>
      <c r="L82" s="22"/>
      <c r="M82" s="22"/>
      <c r="N82" s="25" t="str">
        <f>HYPERLINK("http://slimages.macys.com/is/image/MCY/2096925 ")</f>
        <v xml:space="preserve">http://slimages.macys.com/is/image/MCY/2096925 </v>
      </c>
    </row>
    <row r="83" spans="1:14" ht="24.75" x14ac:dyDescent="0.25">
      <c r="A83" s="21" t="s">
        <v>17722</v>
      </c>
      <c r="B83" s="22" t="s">
        <v>17723</v>
      </c>
      <c r="C83" s="3">
        <v>10.6</v>
      </c>
      <c r="D83" s="23">
        <v>29.99</v>
      </c>
      <c r="E83" s="3">
        <v>29.99</v>
      </c>
      <c r="F83" s="2" t="s">
        <v>17724</v>
      </c>
      <c r="G83" s="22" t="s">
        <v>19333</v>
      </c>
      <c r="H83" s="24" t="s">
        <v>19345</v>
      </c>
      <c r="I83" s="22" t="s">
        <v>19309</v>
      </c>
      <c r="J83" s="22" t="s">
        <v>19519</v>
      </c>
      <c r="K83" s="22" t="s">
        <v>17725</v>
      </c>
      <c r="L83" s="22"/>
      <c r="M83" s="22"/>
      <c r="N83" s="25" t="str">
        <f>HYPERLINK("http://slimages.macys.com/is/image/MCY/21103381 ")</f>
        <v xml:space="preserve">http://slimages.macys.com/is/image/MCY/21103381 </v>
      </c>
    </row>
    <row r="84" spans="1:14" ht="24.75" x14ac:dyDescent="0.25">
      <c r="A84" s="21" t="s">
        <v>17726</v>
      </c>
      <c r="B84" s="22" t="s">
        <v>17727</v>
      </c>
      <c r="C84" s="3">
        <v>10.5</v>
      </c>
      <c r="D84" s="23">
        <v>32.99</v>
      </c>
      <c r="E84" s="3">
        <v>32.99</v>
      </c>
      <c r="F84" s="2" t="s">
        <v>17728</v>
      </c>
      <c r="G84" s="22"/>
      <c r="H84" s="24" t="s">
        <v>19797</v>
      </c>
      <c r="I84" s="22" t="s">
        <v>19309</v>
      </c>
      <c r="J84" s="22" t="s">
        <v>19595</v>
      </c>
      <c r="K84" s="22" t="s">
        <v>19423</v>
      </c>
      <c r="L84" s="22"/>
      <c r="M84" s="22"/>
      <c r="N84" s="25" t="str">
        <f>HYPERLINK("http://slimages.macys.com/is/image/MCY/21423347 ")</f>
        <v xml:space="preserve">http://slimages.macys.com/is/image/MCY/21423347 </v>
      </c>
    </row>
    <row r="85" spans="1:14" ht="24.75" x14ac:dyDescent="0.25">
      <c r="A85" s="21" t="s">
        <v>17729</v>
      </c>
      <c r="B85" s="22" t="s">
        <v>17730</v>
      </c>
      <c r="C85" s="3">
        <v>10.5</v>
      </c>
      <c r="D85" s="23">
        <v>32.99</v>
      </c>
      <c r="E85" s="3">
        <v>32.99</v>
      </c>
      <c r="F85" s="2" t="s">
        <v>17731</v>
      </c>
      <c r="G85" s="22"/>
      <c r="H85" s="24" t="s">
        <v>19364</v>
      </c>
      <c r="I85" s="22" t="s">
        <v>19309</v>
      </c>
      <c r="J85" s="22" t="s">
        <v>19595</v>
      </c>
      <c r="K85" s="22" t="s">
        <v>19423</v>
      </c>
      <c r="L85" s="22"/>
      <c r="M85" s="22"/>
      <c r="N85" s="25" t="str">
        <f>HYPERLINK("http://slimages.macys.com/is/image/MCY/21550586 ")</f>
        <v xml:space="preserve">http://slimages.macys.com/is/image/MCY/21550586 </v>
      </c>
    </row>
    <row r="86" spans="1:14" ht="24.75" x14ac:dyDescent="0.25">
      <c r="A86" s="21" t="s">
        <v>17732</v>
      </c>
      <c r="B86" s="22" t="s">
        <v>17733</v>
      </c>
      <c r="C86" s="3">
        <v>10.5</v>
      </c>
      <c r="D86" s="23">
        <v>22.99</v>
      </c>
      <c r="E86" s="3">
        <v>22.99</v>
      </c>
      <c r="F86" s="2" t="s">
        <v>17734</v>
      </c>
      <c r="G86" s="22" t="s">
        <v>19674</v>
      </c>
      <c r="H86" s="24" t="s">
        <v>19395</v>
      </c>
      <c r="I86" s="22" t="s">
        <v>19309</v>
      </c>
      <c r="J86" s="22" t="s">
        <v>19447</v>
      </c>
      <c r="K86" s="22" t="s">
        <v>19463</v>
      </c>
      <c r="L86" s="22"/>
      <c r="M86" s="22"/>
      <c r="N86" s="25" t="str">
        <f>HYPERLINK("http://slimages.macys.com/is/image/MCY/19696110 ")</f>
        <v xml:space="preserve">http://slimages.macys.com/is/image/MCY/19696110 </v>
      </c>
    </row>
    <row r="87" spans="1:14" ht="24.75" x14ac:dyDescent="0.25">
      <c r="A87" s="21" t="s">
        <v>17735</v>
      </c>
      <c r="B87" s="22" t="s">
        <v>17736</v>
      </c>
      <c r="C87" s="3">
        <v>10.5</v>
      </c>
      <c r="D87" s="23">
        <v>25</v>
      </c>
      <c r="E87" s="3">
        <v>25</v>
      </c>
      <c r="F87" s="2" t="s">
        <v>17737</v>
      </c>
      <c r="G87" s="22" t="s">
        <v>19674</v>
      </c>
      <c r="H87" s="24" t="s">
        <v>17541</v>
      </c>
      <c r="I87" s="22" t="s">
        <v>19309</v>
      </c>
      <c r="J87" s="22" t="s">
        <v>19447</v>
      </c>
      <c r="K87" s="22" t="s">
        <v>17538</v>
      </c>
      <c r="L87" s="22"/>
      <c r="M87" s="22"/>
      <c r="N87" s="25" t="str">
        <f>HYPERLINK("http://slimages.macys.com/is/image/MCY/18695671 ")</f>
        <v xml:space="preserve">http://slimages.macys.com/is/image/MCY/18695671 </v>
      </c>
    </row>
    <row r="88" spans="1:14" ht="24.75" x14ac:dyDescent="0.25">
      <c r="A88" s="21" t="s">
        <v>17738</v>
      </c>
      <c r="B88" s="22" t="s">
        <v>17739</v>
      </c>
      <c r="C88" s="3">
        <v>10.5</v>
      </c>
      <c r="D88" s="23">
        <v>29.99</v>
      </c>
      <c r="E88" s="3">
        <v>29.99</v>
      </c>
      <c r="F88" s="2" t="s">
        <v>17740</v>
      </c>
      <c r="G88" s="22" t="s">
        <v>19498</v>
      </c>
      <c r="H88" s="24" t="s">
        <v>19392</v>
      </c>
      <c r="I88" s="22" t="s">
        <v>19309</v>
      </c>
      <c r="J88" s="22" t="s">
        <v>19378</v>
      </c>
      <c r="K88" s="22" t="s">
        <v>19479</v>
      </c>
      <c r="L88" s="22"/>
      <c r="M88" s="22"/>
      <c r="N88" s="25" t="str">
        <f>HYPERLINK("http://slimages.macys.com/is/image/MCY/21688672 ")</f>
        <v xml:space="preserve">http://slimages.macys.com/is/image/MCY/21688672 </v>
      </c>
    </row>
    <row r="89" spans="1:14" ht="24.75" x14ac:dyDescent="0.25">
      <c r="A89" s="21" t="s">
        <v>17741</v>
      </c>
      <c r="B89" s="22" t="s">
        <v>17742</v>
      </c>
      <c r="C89" s="3">
        <v>10.44</v>
      </c>
      <c r="D89" s="23">
        <v>28.99</v>
      </c>
      <c r="E89" s="3">
        <v>28.99</v>
      </c>
      <c r="F89" s="2" t="s">
        <v>17743</v>
      </c>
      <c r="G89" s="22" t="s">
        <v>19333</v>
      </c>
      <c r="H89" s="24" t="s">
        <v>19501</v>
      </c>
      <c r="I89" s="22" t="s">
        <v>19309</v>
      </c>
      <c r="J89" s="22" t="s">
        <v>19353</v>
      </c>
      <c r="K89" s="22" t="s">
        <v>19524</v>
      </c>
      <c r="L89" s="22"/>
      <c r="M89" s="22"/>
      <c r="N89" s="25" t="str">
        <f>HYPERLINK("http://slimages.macys.com/is/image/MCY/21991749 ")</f>
        <v xml:space="preserve">http://slimages.macys.com/is/image/MCY/21991749 </v>
      </c>
    </row>
    <row r="90" spans="1:14" ht="24.75" x14ac:dyDescent="0.25">
      <c r="A90" s="21" t="s">
        <v>17744</v>
      </c>
      <c r="B90" s="22" t="s">
        <v>17745</v>
      </c>
      <c r="C90" s="3">
        <v>10.44</v>
      </c>
      <c r="D90" s="23">
        <v>28.99</v>
      </c>
      <c r="E90" s="3">
        <v>28.99</v>
      </c>
      <c r="F90" s="2" t="s">
        <v>17746</v>
      </c>
      <c r="G90" s="22" t="s">
        <v>19333</v>
      </c>
      <c r="H90" s="24" t="s">
        <v>19316</v>
      </c>
      <c r="I90" s="22" t="s">
        <v>19309</v>
      </c>
      <c r="J90" s="22" t="s">
        <v>19353</v>
      </c>
      <c r="K90" s="22" t="s">
        <v>19524</v>
      </c>
      <c r="L90" s="22"/>
      <c r="M90" s="22"/>
      <c r="N90" s="25" t="str">
        <f>HYPERLINK("http://slimages.macys.com/is/image/MCY/21083334 ")</f>
        <v xml:space="preserve">http://slimages.macys.com/is/image/MCY/21083334 </v>
      </c>
    </row>
    <row r="91" spans="1:14" ht="24.75" x14ac:dyDescent="0.25">
      <c r="A91" s="21" t="s">
        <v>17747</v>
      </c>
      <c r="B91" s="22" t="s">
        <v>17748</v>
      </c>
      <c r="C91" s="3">
        <v>10.44</v>
      </c>
      <c r="D91" s="23">
        <v>28.99</v>
      </c>
      <c r="E91" s="3">
        <v>28.99</v>
      </c>
      <c r="F91" s="2" t="s">
        <v>17749</v>
      </c>
      <c r="G91" s="22" t="s">
        <v>19351</v>
      </c>
      <c r="H91" s="24" t="s">
        <v>19316</v>
      </c>
      <c r="I91" s="22" t="s">
        <v>19309</v>
      </c>
      <c r="J91" s="22" t="s">
        <v>19353</v>
      </c>
      <c r="K91" s="22" t="s">
        <v>19524</v>
      </c>
      <c r="L91" s="22"/>
      <c r="M91" s="22"/>
      <c r="N91" s="25" t="str">
        <f>HYPERLINK("http://slimages.macys.com/is/image/MCY/1472588 ")</f>
        <v xml:space="preserve">http://slimages.macys.com/is/image/MCY/1472588 </v>
      </c>
    </row>
    <row r="92" spans="1:14" ht="24.75" x14ac:dyDescent="0.25">
      <c r="A92" s="21" t="s">
        <v>17750</v>
      </c>
      <c r="B92" s="22" t="s">
        <v>17751</v>
      </c>
      <c r="C92" s="3">
        <v>20.74</v>
      </c>
      <c r="D92" s="23">
        <v>25.99</v>
      </c>
      <c r="E92" s="3">
        <v>51.98</v>
      </c>
      <c r="F92" s="2" t="s">
        <v>17752</v>
      </c>
      <c r="G92" s="22" t="s">
        <v>19431</v>
      </c>
      <c r="H92" s="24"/>
      <c r="I92" s="22" t="s">
        <v>19309</v>
      </c>
      <c r="J92" s="22" t="s">
        <v>19573</v>
      </c>
      <c r="K92" s="22" t="s">
        <v>19574</v>
      </c>
      <c r="L92" s="22"/>
      <c r="M92" s="22"/>
      <c r="N92" s="25" t="str">
        <f>HYPERLINK("http://slimages.macys.com/is/image/MCY/1554793 ")</f>
        <v xml:space="preserve">http://slimages.macys.com/is/image/MCY/1554793 </v>
      </c>
    </row>
    <row r="93" spans="1:14" ht="24.75" x14ac:dyDescent="0.25">
      <c r="A93" s="21" t="s">
        <v>17753</v>
      </c>
      <c r="B93" s="22" t="s">
        <v>17754</v>
      </c>
      <c r="C93" s="3">
        <v>10.37</v>
      </c>
      <c r="D93" s="23">
        <v>25.99</v>
      </c>
      <c r="E93" s="3">
        <v>25.99</v>
      </c>
      <c r="F93" s="2" t="s">
        <v>17752</v>
      </c>
      <c r="G93" s="22" t="s">
        <v>19431</v>
      </c>
      <c r="H93" s="24" t="s">
        <v>19324</v>
      </c>
      <c r="I93" s="22" t="s">
        <v>19309</v>
      </c>
      <c r="J93" s="22" t="s">
        <v>19573</v>
      </c>
      <c r="K93" s="22" t="s">
        <v>19574</v>
      </c>
      <c r="L93" s="22"/>
      <c r="M93" s="22"/>
      <c r="N93" s="25" t="str">
        <f>HYPERLINK("http://slimages.macys.com/is/image/MCY/1554793 ")</f>
        <v xml:space="preserve">http://slimages.macys.com/is/image/MCY/1554793 </v>
      </c>
    </row>
    <row r="94" spans="1:14" ht="24.75" x14ac:dyDescent="0.25">
      <c r="A94" s="21" t="s">
        <v>17755</v>
      </c>
      <c r="B94" s="22" t="s">
        <v>17756</v>
      </c>
      <c r="C94" s="3">
        <v>10</v>
      </c>
      <c r="D94" s="23">
        <v>29.99</v>
      </c>
      <c r="E94" s="3">
        <v>29.99</v>
      </c>
      <c r="F94" s="2" t="s">
        <v>17757</v>
      </c>
      <c r="G94" s="22" t="s">
        <v>19323</v>
      </c>
      <c r="H94" s="24" t="s">
        <v>19542</v>
      </c>
      <c r="I94" s="22" t="s">
        <v>19309</v>
      </c>
      <c r="J94" s="22" t="s">
        <v>19378</v>
      </c>
      <c r="K94" s="22" t="s">
        <v>19479</v>
      </c>
      <c r="L94" s="22"/>
      <c r="M94" s="22"/>
      <c r="N94" s="25" t="str">
        <f>HYPERLINK("http://slimages.macys.com/is/image/MCY/21310102 ")</f>
        <v xml:space="preserve">http://slimages.macys.com/is/image/MCY/21310102 </v>
      </c>
    </row>
    <row r="95" spans="1:14" ht="24.75" x14ac:dyDescent="0.25">
      <c r="A95" s="21" t="s">
        <v>17758</v>
      </c>
      <c r="B95" s="22" t="s">
        <v>17759</v>
      </c>
      <c r="C95" s="3">
        <v>10</v>
      </c>
      <c r="D95" s="23">
        <v>21.99</v>
      </c>
      <c r="E95" s="3">
        <v>21.99</v>
      </c>
      <c r="F95" s="2" t="s">
        <v>17760</v>
      </c>
      <c r="G95" s="22" t="s">
        <v>19794</v>
      </c>
      <c r="H95" s="24" t="s">
        <v>19364</v>
      </c>
      <c r="I95" s="22" t="s">
        <v>19309</v>
      </c>
      <c r="J95" s="22" t="s">
        <v>19447</v>
      </c>
      <c r="K95" s="22" t="s">
        <v>19533</v>
      </c>
      <c r="L95" s="22"/>
      <c r="M95" s="22"/>
      <c r="N95" s="25" t="str">
        <f>HYPERLINK("http://slimages.macys.com/is/image/MCY/21643405 ")</f>
        <v xml:space="preserve">http://slimages.macys.com/is/image/MCY/21643405 </v>
      </c>
    </row>
    <row r="96" spans="1:14" ht="24.75" x14ac:dyDescent="0.25">
      <c r="A96" s="21" t="s">
        <v>17761</v>
      </c>
      <c r="B96" s="22" t="s">
        <v>17762</v>
      </c>
      <c r="C96" s="3">
        <v>10</v>
      </c>
      <c r="D96" s="23">
        <v>21.99</v>
      </c>
      <c r="E96" s="3">
        <v>21.99</v>
      </c>
      <c r="F96" s="2" t="s">
        <v>17760</v>
      </c>
      <c r="G96" s="22" t="s">
        <v>19794</v>
      </c>
      <c r="H96" s="24" t="s">
        <v>19797</v>
      </c>
      <c r="I96" s="22" t="s">
        <v>19309</v>
      </c>
      <c r="J96" s="22" t="s">
        <v>19447</v>
      </c>
      <c r="K96" s="22" t="s">
        <v>19533</v>
      </c>
      <c r="L96" s="22"/>
      <c r="M96" s="22"/>
      <c r="N96" s="25" t="str">
        <f>HYPERLINK("http://slimages.macys.com/is/image/MCY/21643405 ")</f>
        <v xml:space="preserve">http://slimages.macys.com/is/image/MCY/21643405 </v>
      </c>
    </row>
    <row r="97" spans="1:14" x14ac:dyDescent="0.25">
      <c r="A97" s="21" t="s">
        <v>17763</v>
      </c>
      <c r="B97" s="22" t="s">
        <v>17764</v>
      </c>
      <c r="C97" s="3">
        <v>9.9499999999999993</v>
      </c>
      <c r="D97" s="23">
        <v>18.989999999999998</v>
      </c>
      <c r="E97" s="3">
        <v>18.989999999999998</v>
      </c>
      <c r="F97" s="2" t="s">
        <v>17765</v>
      </c>
      <c r="G97" s="22" t="s">
        <v>19351</v>
      </c>
      <c r="H97" s="24" t="s">
        <v>19352</v>
      </c>
      <c r="I97" s="22" t="s">
        <v>19309</v>
      </c>
      <c r="J97" s="22" t="s">
        <v>19310</v>
      </c>
      <c r="K97" s="22" t="s">
        <v>19873</v>
      </c>
      <c r="L97" s="22"/>
      <c r="M97" s="22"/>
      <c r="N97" s="25" t="str">
        <f>HYPERLINK("http://slimages.macys.com/is/image/MCY/21010111 ")</f>
        <v xml:space="preserve">http://slimages.macys.com/is/image/MCY/21010111 </v>
      </c>
    </row>
    <row r="98" spans="1:14" x14ac:dyDescent="0.25">
      <c r="A98" s="21" t="s">
        <v>17766</v>
      </c>
      <c r="B98" s="22" t="s">
        <v>17767</v>
      </c>
      <c r="C98" s="3">
        <v>9.9499999999999993</v>
      </c>
      <c r="D98" s="23">
        <v>16.989999999999998</v>
      </c>
      <c r="E98" s="3">
        <v>16.989999999999998</v>
      </c>
      <c r="F98" s="2" t="s">
        <v>17768</v>
      </c>
      <c r="G98" s="22" t="s">
        <v>19618</v>
      </c>
      <c r="H98" s="24" t="s">
        <v>19334</v>
      </c>
      <c r="I98" s="22" t="s">
        <v>19309</v>
      </c>
      <c r="J98" s="22" t="s">
        <v>19310</v>
      </c>
      <c r="K98" s="22" t="s">
        <v>19468</v>
      </c>
      <c r="L98" s="22"/>
      <c r="M98" s="22"/>
      <c r="N98" s="25" t="str">
        <f>HYPERLINK("http://slimages.macys.com/is/image/MCY/20663245 ")</f>
        <v xml:space="preserve">http://slimages.macys.com/is/image/MCY/20663245 </v>
      </c>
    </row>
    <row r="99" spans="1:14" x14ac:dyDescent="0.25">
      <c r="A99" s="21" t="s">
        <v>17769</v>
      </c>
      <c r="B99" s="22" t="s">
        <v>17770</v>
      </c>
      <c r="C99" s="3">
        <v>9.66</v>
      </c>
      <c r="D99" s="23">
        <v>27.99</v>
      </c>
      <c r="E99" s="3">
        <v>27.99</v>
      </c>
      <c r="F99" s="2" t="s">
        <v>17771</v>
      </c>
      <c r="G99" s="22" t="s">
        <v>19342</v>
      </c>
      <c r="H99" s="24" t="s">
        <v>19345</v>
      </c>
      <c r="I99" s="22" t="s">
        <v>19309</v>
      </c>
      <c r="J99" s="22" t="s">
        <v>19696</v>
      </c>
      <c r="K99" s="22" t="s">
        <v>19965</v>
      </c>
      <c r="L99" s="22"/>
      <c r="M99" s="22"/>
      <c r="N99" s="25" t="str">
        <f>HYPERLINK("http://slimages.macys.com/is/image/MCY/21355979 ")</f>
        <v xml:space="preserve">http://slimages.macys.com/is/image/MCY/21355979 </v>
      </c>
    </row>
    <row r="100" spans="1:14" x14ac:dyDescent="0.25">
      <c r="A100" s="21" t="s">
        <v>17772</v>
      </c>
      <c r="B100" s="22" t="s">
        <v>17773</v>
      </c>
      <c r="C100" s="3">
        <v>9.66</v>
      </c>
      <c r="D100" s="23">
        <v>27.99</v>
      </c>
      <c r="E100" s="3">
        <v>27.99</v>
      </c>
      <c r="F100" s="2" t="s">
        <v>17774</v>
      </c>
      <c r="G100" s="22" t="s">
        <v>19342</v>
      </c>
      <c r="H100" s="24" t="s">
        <v>19392</v>
      </c>
      <c r="I100" s="22" t="s">
        <v>19309</v>
      </c>
      <c r="J100" s="22" t="s">
        <v>19696</v>
      </c>
      <c r="K100" s="22" t="s">
        <v>19965</v>
      </c>
      <c r="L100" s="22"/>
      <c r="M100" s="22"/>
      <c r="N100" s="25" t="str">
        <f>HYPERLINK("http://slimages.macys.com/is/image/MCY/21540669 ")</f>
        <v xml:space="preserve">http://slimages.macys.com/is/image/MCY/21540669 </v>
      </c>
    </row>
    <row r="101" spans="1:14" x14ac:dyDescent="0.25">
      <c r="A101" s="21" t="s">
        <v>17775</v>
      </c>
      <c r="B101" s="22" t="s">
        <v>17776</v>
      </c>
      <c r="C101" s="3">
        <v>9.66</v>
      </c>
      <c r="D101" s="23">
        <v>27.99</v>
      </c>
      <c r="E101" s="3">
        <v>27.99</v>
      </c>
      <c r="F101" s="2" t="s">
        <v>17777</v>
      </c>
      <c r="G101" s="22" t="s">
        <v>19342</v>
      </c>
      <c r="H101" s="24" t="s">
        <v>19345</v>
      </c>
      <c r="I101" s="22" t="s">
        <v>19309</v>
      </c>
      <c r="J101" s="22" t="s">
        <v>19696</v>
      </c>
      <c r="K101" s="22" t="s">
        <v>19697</v>
      </c>
      <c r="L101" s="22"/>
      <c r="M101" s="22"/>
      <c r="N101" s="25" t="str">
        <f>HYPERLINK("http://slimages.macys.com/is/image/MCY/21364964 ")</f>
        <v xml:space="preserve">http://slimages.macys.com/is/image/MCY/21364964 </v>
      </c>
    </row>
    <row r="102" spans="1:14" x14ac:dyDescent="0.25">
      <c r="A102" s="21" t="s">
        <v>17778</v>
      </c>
      <c r="B102" s="22" t="s">
        <v>17779</v>
      </c>
      <c r="C102" s="3">
        <v>9.66</v>
      </c>
      <c r="D102" s="23">
        <v>27.99</v>
      </c>
      <c r="E102" s="3">
        <v>27.99</v>
      </c>
      <c r="F102" s="2" t="s">
        <v>17771</v>
      </c>
      <c r="G102" s="22" t="s">
        <v>19342</v>
      </c>
      <c r="H102" s="24" t="s">
        <v>19334</v>
      </c>
      <c r="I102" s="22" t="s">
        <v>19309</v>
      </c>
      <c r="J102" s="22" t="s">
        <v>19696</v>
      </c>
      <c r="K102" s="22" t="s">
        <v>19965</v>
      </c>
      <c r="L102" s="22"/>
      <c r="M102" s="22"/>
      <c r="N102" s="25" t="str">
        <f>HYPERLINK("http://slimages.macys.com/is/image/MCY/21355979 ")</f>
        <v xml:space="preserve">http://slimages.macys.com/is/image/MCY/21355979 </v>
      </c>
    </row>
    <row r="103" spans="1:14" x14ac:dyDescent="0.25">
      <c r="A103" s="21" t="s">
        <v>17780</v>
      </c>
      <c r="B103" s="22" t="s">
        <v>17781</v>
      </c>
      <c r="C103" s="3">
        <v>9.66</v>
      </c>
      <c r="D103" s="23">
        <v>27.99</v>
      </c>
      <c r="E103" s="3">
        <v>27.99</v>
      </c>
      <c r="F103" s="2" t="s">
        <v>17782</v>
      </c>
      <c r="G103" s="22" t="s">
        <v>19342</v>
      </c>
      <c r="H103" s="24" t="s">
        <v>19334</v>
      </c>
      <c r="I103" s="22" t="s">
        <v>19309</v>
      </c>
      <c r="J103" s="22" t="s">
        <v>19696</v>
      </c>
      <c r="K103" s="22" t="s">
        <v>19697</v>
      </c>
      <c r="L103" s="22"/>
      <c r="M103" s="22"/>
      <c r="N103" s="25" t="str">
        <f>HYPERLINK("http://slimages.macys.com/is/image/MCY/21159602 ")</f>
        <v xml:space="preserve">http://slimages.macys.com/is/image/MCY/21159602 </v>
      </c>
    </row>
    <row r="104" spans="1:14" ht="24.75" x14ac:dyDescent="0.25">
      <c r="A104" s="21" t="s">
        <v>17783</v>
      </c>
      <c r="B104" s="22" t="s">
        <v>17784</v>
      </c>
      <c r="C104" s="3">
        <v>9.64</v>
      </c>
      <c r="D104" s="23">
        <v>30.99</v>
      </c>
      <c r="E104" s="3">
        <v>30.99</v>
      </c>
      <c r="F104" s="2" t="s">
        <v>17785</v>
      </c>
      <c r="G104" s="22" t="s">
        <v>19462</v>
      </c>
      <c r="H104" s="24" t="s">
        <v>19364</v>
      </c>
      <c r="I104" s="22" t="s">
        <v>19309</v>
      </c>
      <c r="J104" s="22" t="s">
        <v>19353</v>
      </c>
      <c r="K104" s="22" t="s">
        <v>19524</v>
      </c>
      <c r="L104" s="22"/>
      <c r="M104" s="22"/>
      <c r="N104" s="25" t="str">
        <f>HYPERLINK("http://slimages.macys.com/is/image/MCY/1572152 ")</f>
        <v xml:space="preserve">http://slimages.macys.com/is/image/MCY/1572152 </v>
      </c>
    </row>
    <row r="105" spans="1:14" ht="24.75" x14ac:dyDescent="0.25">
      <c r="A105" s="21" t="s">
        <v>17786</v>
      </c>
      <c r="B105" s="22" t="s">
        <v>17787</v>
      </c>
      <c r="C105" s="3">
        <v>9.64</v>
      </c>
      <c r="D105" s="23">
        <v>30.99</v>
      </c>
      <c r="E105" s="3">
        <v>30.99</v>
      </c>
      <c r="F105" s="2" t="s">
        <v>17785</v>
      </c>
      <c r="G105" s="22" t="s">
        <v>19462</v>
      </c>
      <c r="H105" s="24" t="s">
        <v>19797</v>
      </c>
      <c r="I105" s="22" t="s">
        <v>19309</v>
      </c>
      <c r="J105" s="22" t="s">
        <v>19353</v>
      </c>
      <c r="K105" s="22" t="s">
        <v>19524</v>
      </c>
      <c r="L105" s="22"/>
      <c r="M105" s="22"/>
      <c r="N105" s="25" t="str">
        <f>HYPERLINK("http://slimages.macys.com/is/image/MCY/1572152 ")</f>
        <v xml:space="preserve">http://slimages.macys.com/is/image/MCY/1572152 </v>
      </c>
    </row>
    <row r="106" spans="1:14" ht="24.75" x14ac:dyDescent="0.25">
      <c r="A106" s="21" t="s">
        <v>17788</v>
      </c>
      <c r="B106" s="22" t="s">
        <v>17789</v>
      </c>
      <c r="C106" s="3">
        <v>9.59</v>
      </c>
      <c r="D106" s="23">
        <v>16.989999999999998</v>
      </c>
      <c r="E106" s="3">
        <v>16.989999999999998</v>
      </c>
      <c r="F106" s="2" t="s">
        <v>17790</v>
      </c>
      <c r="G106" s="22" t="s">
        <v>19594</v>
      </c>
      <c r="H106" s="24" t="s">
        <v>19907</v>
      </c>
      <c r="I106" s="22" t="s">
        <v>19309</v>
      </c>
      <c r="J106" s="22" t="s">
        <v>19908</v>
      </c>
      <c r="K106" s="22" t="s">
        <v>19524</v>
      </c>
      <c r="L106" s="22"/>
      <c r="M106" s="22"/>
      <c r="N106" s="25" t="str">
        <f>HYPERLINK("http://slimages.macys.com/is/image/MCY/21070304 ")</f>
        <v xml:space="preserve">http://slimages.macys.com/is/image/MCY/21070304 </v>
      </c>
    </row>
    <row r="107" spans="1:14" ht="24.75" x14ac:dyDescent="0.25">
      <c r="A107" s="21" t="s">
        <v>17791</v>
      </c>
      <c r="B107" s="22" t="s">
        <v>17792</v>
      </c>
      <c r="C107" s="3">
        <v>9.5</v>
      </c>
      <c r="D107" s="23">
        <v>25.99</v>
      </c>
      <c r="E107" s="3">
        <v>25.99</v>
      </c>
      <c r="F107" s="2" t="s">
        <v>17793</v>
      </c>
      <c r="G107" s="22" t="s">
        <v>19404</v>
      </c>
      <c r="H107" s="24" t="s">
        <v>19334</v>
      </c>
      <c r="I107" s="22" t="s">
        <v>19309</v>
      </c>
      <c r="J107" s="22" t="s">
        <v>19519</v>
      </c>
      <c r="K107" s="22" t="s">
        <v>17794</v>
      </c>
      <c r="L107" s="22"/>
      <c r="M107" s="22"/>
      <c r="N107" s="25" t="str">
        <f>HYPERLINK("http://slimages.macys.com/is/image/MCY/21144834 ")</f>
        <v xml:space="preserve">http://slimages.macys.com/is/image/MCY/21144834 </v>
      </c>
    </row>
    <row r="108" spans="1:14" ht="24.75" x14ac:dyDescent="0.25">
      <c r="A108" s="21" t="s">
        <v>17795</v>
      </c>
      <c r="B108" s="22" t="s">
        <v>17796</v>
      </c>
      <c r="C108" s="3">
        <v>9.4600000000000009</v>
      </c>
      <c r="D108" s="23">
        <v>18.989999999999998</v>
      </c>
      <c r="E108" s="3">
        <v>18.989999999999998</v>
      </c>
      <c r="F108" s="2" t="s">
        <v>17797</v>
      </c>
      <c r="G108" s="22" t="s">
        <v>19315</v>
      </c>
      <c r="H108" s="24" t="s">
        <v>19361</v>
      </c>
      <c r="I108" s="22" t="s">
        <v>19309</v>
      </c>
      <c r="J108" s="22" t="s">
        <v>19447</v>
      </c>
      <c r="K108" s="22" t="s">
        <v>20146</v>
      </c>
      <c r="L108" s="22"/>
      <c r="M108" s="22"/>
      <c r="N108" s="25" t="str">
        <f>HYPERLINK("http://slimages.macys.com/is/image/MCY/20016812 ")</f>
        <v xml:space="preserve">http://slimages.macys.com/is/image/MCY/20016812 </v>
      </c>
    </row>
    <row r="109" spans="1:14" ht="24.75" x14ac:dyDescent="0.25">
      <c r="A109" s="21" t="s">
        <v>17798</v>
      </c>
      <c r="B109" s="22" t="s">
        <v>17799</v>
      </c>
      <c r="C109" s="3">
        <v>9.44</v>
      </c>
      <c r="D109" s="23">
        <v>19.989999999999998</v>
      </c>
      <c r="E109" s="3">
        <v>19.989999999999998</v>
      </c>
      <c r="F109" s="2" t="s">
        <v>17800</v>
      </c>
      <c r="G109" s="22" t="s">
        <v>19585</v>
      </c>
      <c r="H109" s="24" t="s">
        <v>19352</v>
      </c>
      <c r="I109" s="22" t="s">
        <v>19309</v>
      </c>
      <c r="J109" s="22" t="s">
        <v>19353</v>
      </c>
      <c r="K109" s="22" t="s">
        <v>19354</v>
      </c>
      <c r="L109" s="22"/>
      <c r="M109" s="22"/>
      <c r="N109" s="25" t="str">
        <f>HYPERLINK("http://slimages.macys.com/is/image/MCY/22400906 ")</f>
        <v xml:space="preserve">http://slimages.macys.com/is/image/MCY/22400906 </v>
      </c>
    </row>
    <row r="110" spans="1:14" ht="24.75" x14ac:dyDescent="0.25">
      <c r="A110" s="21" t="s">
        <v>17801</v>
      </c>
      <c r="B110" s="22" t="s">
        <v>17802</v>
      </c>
      <c r="C110" s="3">
        <v>9.44</v>
      </c>
      <c r="D110" s="23">
        <v>19.989999999999998</v>
      </c>
      <c r="E110" s="3">
        <v>19.989999999999998</v>
      </c>
      <c r="F110" s="2" t="s">
        <v>17800</v>
      </c>
      <c r="G110" s="22" t="s">
        <v>19585</v>
      </c>
      <c r="H110" s="24" t="s">
        <v>19364</v>
      </c>
      <c r="I110" s="22" t="s">
        <v>19309</v>
      </c>
      <c r="J110" s="22" t="s">
        <v>19353</v>
      </c>
      <c r="K110" s="22" t="s">
        <v>19354</v>
      </c>
      <c r="L110" s="22"/>
      <c r="M110" s="22"/>
      <c r="N110" s="25" t="str">
        <f>HYPERLINK("http://slimages.macys.com/is/image/MCY/22400906 ")</f>
        <v xml:space="preserve">http://slimages.macys.com/is/image/MCY/22400906 </v>
      </c>
    </row>
    <row r="111" spans="1:14" ht="24.75" x14ac:dyDescent="0.25">
      <c r="A111" s="21" t="s">
        <v>17803</v>
      </c>
      <c r="B111" s="22" t="s">
        <v>17804</v>
      </c>
      <c r="C111" s="3">
        <v>9.44</v>
      </c>
      <c r="D111" s="23">
        <v>19.989999999999998</v>
      </c>
      <c r="E111" s="3">
        <v>19.989999999999998</v>
      </c>
      <c r="F111" s="2" t="s">
        <v>17800</v>
      </c>
      <c r="G111" s="22" t="s">
        <v>19585</v>
      </c>
      <c r="H111" s="24" t="s">
        <v>19797</v>
      </c>
      <c r="I111" s="22" t="s">
        <v>19309</v>
      </c>
      <c r="J111" s="22" t="s">
        <v>19353</v>
      </c>
      <c r="K111" s="22" t="s">
        <v>19354</v>
      </c>
      <c r="L111" s="22"/>
      <c r="M111" s="22"/>
      <c r="N111" s="25" t="str">
        <f>HYPERLINK("http://slimages.macys.com/is/image/MCY/22400906 ")</f>
        <v xml:space="preserve">http://slimages.macys.com/is/image/MCY/22400906 </v>
      </c>
    </row>
    <row r="112" spans="1:14" ht="24.75" x14ac:dyDescent="0.25">
      <c r="A112" s="21" t="s">
        <v>17805</v>
      </c>
      <c r="B112" s="22" t="s">
        <v>17806</v>
      </c>
      <c r="C112" s="3">
        <v>9.41</v>
      </c>
      <c r="D112" s="23">
        <v>17.989999999999998</v>
      </c>
      <c r="E112" s="3">
        <v>17.989999999999998</v>
      </c>
      <c r="F112" s="2" t="s">
        <v>17807</v>
      </c>
      <c r="G112" s="22" t="s">
        <v>19467</v>
      </c>
      <c r="H112" s="24" t="s">
        <v>19797</v>
      </c>
      <c r="I112" s="22" t="s">
        <v>19309</v>
      </c>
      <c r="J112" s="22" t="s">
        <v>19447</v>
      </c>
      <c r="K112" s="22" t="s">
        <v>19873</v>
      </c>
      <c r="L112" s="22"/>
      <c r="M112" s="22"/>
      <c r="N112" s="25" t="str">
        <f>HYPERLINK("http://slimages.macys.com/is/image/MCY/20670003 ")</f>
        <v xml:space="preserve">http://slimages.macys.com/is/image/MCY/20670003 </v>
      </c>
    </row>
    <row r="113" spans="1:14" ht="24.75" x14ac:dyDescent="0.25">
      <c r="A113" s="21" t="s">
        <v>17808</v>
      </c>
      <c r="B113" s="22" t="s">
        <v>17809</v>
      </c>
      <c r="C113" s="3">
        <v>9.2899999999999991</v>
      </c>
      <c r="D113" s="23">
        <v>29.5</v>
      </c>
      <c r="E113" s="3">
        <v>29.5</v>
      </c>
      <c r="F113" s="2" t="s">
        <v>17810</v>
      </c>
      <c r="G113" s="22" t="s">
        <v>17811</v>
      </c>
      <c r="H113" s="24" t="s">
        <v>19416</v>
      </c>
      <c r="I113" s="22" t="s">
        <v>19309</v>
      </c>
      <c r="J113" s="22" t="s">
        <v>19491</v>
      </c>
      <c r="K113" s="22" t="s">
        <v>17812</v>
      </c>
      <c r="L113" s="22" t="s">
        <v>19319</v>
      </c>
      <c r="M113" s="22" t="s">
        <v>19689</v>
      </c>
      <c r="N113" s="25" t="str">
        <f>HYPERLINK("http://slimages.macys.com/is/image/MCY/15210388 ")</f>
        <v xml:space="preserve">http://slimages.macys.com/is/image/MCY/15210388 </v>
      </c>
    </row>
    <row r="114" spans="1:14" ht="24.75" x14ac:dyDescent="0.25">
      <c r="A114" s="21" t="s">
        <v>17813</v>
      </c>
      <c r="B114" s="22" t="s">
        <v>17814</v>
      </c>
      <c r="C114" s="3">
        <v>9.27</v>
      </c>
      <c r="D114" s="23">
        <v>23.99</v>
      </c>
      <c r="E114" s="3">
        <v>23.99</v>
      </c>
      <c r="F114" s="2" t="s">
        <v>17815</v>
      </c>
      <c r="G114" s="22" t="s">
        <v>19351</v>
      </c>
      <c r="H114" s="24" t="s">
        <v>19542</v>
      </c>
      <c r="I114" s="22" t="s">
        <v>19309</v>
      </c>
      <c r="J114" s="22" t="s">
        <v>19908</v>
      </c>
      <c r="K114" s="22" t="s">
        <v>19524</v>
      </c>
      <c r="L114" s="22"/>
      <c r="M114" s="22"/>
      <c r="N114" s="25" t="str">
        <f>HYPERLINK("http://slimages.macys.com/is/image/MCY/1554818 ")</f>
        <v xml:space="preserve">http://slimages.macys.com/is/image/MCY/1554818 </v>
      </c>
    </row>
    <row r="115" spans="1:14" x14ac:dyDescent="0.25">
      <c r="A115" s="21" t="s">
        <v>17816</v>
      </c>
      <c r="B115" s="22" t="s">
        <v>17817</v>
      </c>
      <c r="C115" s="3">
        <v>9.26</v>
      </c>
      <c r="D115" s="23">
        <v>20.58</v>
      </c>
      <c r="E115" s="3">
        <v>20.58</v>
      </c>
      <c r="F115" s="2" t="s">
        <v>17818</v>
      </c>
      <c r="G115" s="22" t="s">
        <v>19342</v>
      </c>
      <c r="H115" s="24" t="s">
        <v>19361</v>
      </c>
      <c r="I115" s="22" t="s">
        <v>19309</v>
      </c>
      <c r="J115" s="22" t="s">
        <v>19514</v>
      </c>
      <c r="K115" s="22" t="s">
        <v>19546</v>
      </c>
      <c r="L115" s="22"/>
      <c r="M115" s="22"/>
      <c r="N115" s="25" t="str">
        <f>HYPERLINK("http://slimages.macys.com/is/image/MCY/21424220 ")</f>
        <v xml:space="preserve">http://slimages.macys.com/is/image/MCY/21424220 </v>
      </c>
    </row>
    <row r="116" spans="1:14" x14ac:dyDescent="0.25">
      <c r="A116" s="21" t="s">
        <v>19717</v>
      </c>
      <c r="B116" s="22" t="s">
        <v>19718</v>
      </c>
      <c r="C116" s="3">
        <v>18.52</v>
      </c>
      <c r="D116" s="23">
        <v>20.58</v>
      </c>
      <c r="E116" s="3">
        <v>41.16</v>
      </c>
      <c r="F116" s="2" t="s">
        <v>19719</v>
      </c>
      <c r="G116" s="22" t="s">
        <v>19342</v>
      </c>
      <c r="H116" s="24" t="s">
        <v>19542</v>
      </c>
      <c r="I116" s="22" t="s">
        <v>19309</v>
      </c>
      <c r="J116" s="22" t="s">
        <v>19514</v>
      </c>
      <c r="K116" s="22" t="s">
        <v>19546</v>
      </c>
      <c r="L116" s="22"/>
      <c r="M116" s="22"/>
      <c r="N116" s="25" t="str">
        <f>HYPERLINK("http://slimages.macys.com/is/image/MCY/21333463 ")</f>
        <v xml:space="preserve">http://slimages.macys.com/is/image/MCY/21333463 </v>
      </c>
    </row>
    <row r="117" spans="1:14" ht="24.75" x14ac:dyDescent="0.25">
      <c r="A117" s="21" t="s">
        <v>17819</v>
      </c>
      <c r="B117" s="22" t="s">
        <v>17820</v>
      </c>
      <c r="C117" s="3">
        <v>18.34</v>
      </c>
      <c r="D117" s="23">
        <v>24.99</v>
      </c>
      <c r="E117" s="3">
        <v>49.98</v>
      </c>
      <c r="F117" s="2" t="s">
        <v>17821</v>
      </c>
      <c r="G117" s="22" t="s">
        <v>19713</v>
      </c>
      <c r="H117" s="24" t="s">
        <v>19384</v>
      </c>
      <c r="I117" s="22" t="s">
        <v>19309</v>
      </c>
      <c r="J117" s="22" t="s">
        <v>19573</v>
      </c>
      <c r="K117" s="22" t="s">
        <v>19574</v>
      </c>
      <c r="L117" s="22"/>
      <c r="M117" s="22"/>
      <c r="N117" s="25" t="str">
        <f>HYPERLINK("http://slimages.macys.com/is/image/MCY/1679020 ")</f>
        <v xml:space="preserve">http://slimages.macys.com/is/image/MCY/1679020 </v>
      </c>
    </row>
    <row r="118" spans="1:14" ht="24.75" x14ac:dyDescent="0.25">
      <c r="A118" s="21" t="s">
        <v>17822</v>
      </c>
      <c r="B118" s="22" t="s">
        <v>17823</v>
      </c>
      <c r="C118" s="3">
        <v>9.11</v>
      </c>
      <c r="D118" s="23">
        <v>18.98</v>
      </c>
      <c r="E118" s="3">
        <v>18.98</v>
      </c>
      <c r="F118" s="2" t="s">
        <v>17824</v>
      </c>
      <c r="G118" s="22"/>
      <c r="H118" s="24" t="s">
        <v>19308</v>
      </c>
      <c r="I118" s="22" t="s">
        <v>19309</v>
      </c>
      <c r="J118" s="22" t="s">
        <v>20076</v>
      </c>
      <c r="K118" s="22" t="s">
        <v>17825</v>
      </c>
      <c r="L118" s="22"/>
      <c r="M118" s="22"/>
      <c r="N118" s="25" t="str">
        <f>HYPERLINK("http://slimages.macys.com/is/image/MCY/18839015 ")</f>
        <v xml:space="preserve">http://slimages.macys.com/is/image/MCY/18839015 </v>
      </c>
    </row>
    <row r="119" spans="1:14" ht="24.75" x14ac:dyDescent="0.25">
      <c r="A119" s="21" t="s">
        <v>17826</v>
      </c>
      <c r="B119" s="22" t="s">
        <v>17827</v>
      </c>
      <c r="C119" s="3">
        <v>9.11</v>
      </c>
      <c r="D119" s="23">
        <v>18.98</v>
      </c>
      <c r="E119" s="3">
        <v>18.98</v>
      </c>
      <c r="F119" s="2" t="s">
        <v>17828</v>
      </c>
      <c r="G119" s="22" t="s">
        <v>19351</v>
      </c>
      <c r="H119" s="24" t="s">
        <v>19339</v>
      </c>
      <c r="I119" s="22" t="s">
        <v>19309</v>
      </c>
      <c r="J119" s="22" t="s">
        <v>20076</v>
      </c>
      <c r="K119" s="22" t="s">
        <v>17825</v>
      </c>
      <c r="L119" s="22"/>
      <c r="M119" s="22"/>
      <c r="N119" s="25" t="str">
        <f>HYPERLINK("http://slimages.macys.com/is/image/MCY/18878990 ")</f>
        <v xml:space="preserve">http://slimages.macys.com/is/image/MCY/18878990 </v>
      </c>
    </row>
    <row r="120" spans="1:14" ht="24.75" x14ac:dyDescent="0.25">
      <c r="A120" s="21" t="s">
        <v>17829</v>
      </c>
      <c r="B120" s="22" t="s">
        <v>17830</v>
      </c>
      <c r="C120" s="3">
        <v>9.11</v>
      </c>
      <c r="D120" s="23">
        <v>18.98</v>
      </c>
      <c r="E120" s="3">
        <v>18.98</v>
      </c>
      <c r="F120" s="2" t="s">
        <v>17831</v>
      </c>
      <c r="G120" s="22"/>
      <c r="H120" s="24" t="s">
        <v>19308</v>
      </c>
      <c r="I120" s="22" t="s">
        <v>19309</v>
      </c>
      <c r="J120" s="22" t="s">
        <v>20076</v>
      </c>
      <c r="K120" s="22" t="s">
        <v>17825</v>
      </c>
      <c r="L120" s="22"/>
      <c r="M120" s="22"/>
      <c r="N120" s="25" t="str">
        <f>HYPERLINK("http://slimages.macys.com/is/image/MCY/18839014 ")</f>
        <v xml:space="preserve">http://slimages.macys.com/is/image/MCY/18839014 </v>
      </c>
    </row>
    <row r="121" spans="1:14" ht="24.75" x14ac:dyDescent="0.25">
      <c r="A121" s="21" t="s">
        <v>19743</v>
      </c>
      <c r="B121" s="22" t="s">
        <v>19744</v>
      </c>
      <c r="C121" s="3">
        <v>36.119999999999997</v>
      </c>
      <c r="D121" s="23">
        <v>24.99</v>
      </c>
      <c r="E121" s="3">
        <v>99.96</v>
      </c>
      <c r="F121" s="2" t="s">
        <v>19728</v>
      </c>
      <c r="G121" s="22" t="s">
        <v>19342</v>
      </c>
      <c r="H121" s="24" t="s">
        <v>19330</v>
      </c>
      <c r="I121" s="22" t="s">
        <v>19309</v>
      </c>
      <c r="J121" s="22" t="s">
        <v>19385</v>
      </c>
      <c r="K121" s="22" t="s">
        <v>19729</v>
      </c>
      <c r="L121" s="22"/>
      <c r="M121" s="22"/>
      <c r="N121" s="25" t="str">
        <f>HYPERLINK("http://slimages.macys.com/is/image/MCY/21773792 ")</f>
        <v xml:space="preserve">http://slimages.macys.com/is/image/MCY/21773792 </v>
      </c>
    </row>
    <row r="122" spans="1:14" ht="24.75" x14ac:dyDescent="0.25">
      <c r="A122" s="21" t="s">
        <v>19726</v>
      </c>
      <c r="B122" s="22" t="s">
        <v>19727</v>
      </c>
      <c r="C122" s="3">
        <v>45.15</v>
      </c>
      <c r="D122" s="23">
        <v>24.99</v>
      </c>
      <c r="E122" s="3">
        <v>124.95</v>
      </c>
      <c r="F122" s="2" t="s">
        <v>19728</v>
      </c>
      <c r="G122" s="22" t="s">
        <v>19342</v>
      </c>
      <c r="H122" s="24" t="s">
        <v>19324</v>
      </c>
      <c r="I122" s="22" t="s">
        <v>19309</v>
      </c>
      <c r="J122" s="22" t="s">
        <v>19385</v>
      </c>
      <c r="K122" s="22" t="s">
        <v>19729</v>
      </c>
      <c r="L122" s="22"/>
      <c r="M122" s="22"/>
      <c r="N122" s="25" t="str">
        <f>HYPERLINK("http://slimages.macys.com/is/image/MCY/21773792 ")</f>
        <v xml:space="preserve">http://slimages.macys.com/is/image/MCY/21773792 </v>
      </c>
    </row>
    <row r="123" spans="1:14" ht="24.75" x14ac:dyDescent="0.25">
      <c r="A123" s="21" t="s">
        <v>17832</v>
      </c>
      <c r="B123" s="22" t="s">
        <v>17833</v>
      </c>
      <c r="C123" s="3">
        <v>9</v>
      </c>
      <c r="D123" s="23">
        <v>24.99</v>
      </c>
      <c r="E123" s="3">
        <v>24.99</v>
      </c>
      <c r="F123" s="2" t="s">
        <v>17834</v>
      </c>
      <c r="G123" s="22" t="s">
        <v>19886</v>
      </c>
      <c r="H123" s="24" t="s">
        <v>19416</v>
      </c>
      <c r="I123" s="22" t="s">
        <v>19309</v>
      </c>
      <c r="J123" s="22" t="s">
        <v>19385</v>
      </c>
      <c r="K123" s="22" t="s">
        <v>17835</v>
      </c>
      <c r="L123" s="22"/>
      <c r="M123" s="22"/>
      <c r="N123" s="25" t="str">
        <f>HYPERLINK("http://slimages.macys.com/is/image/MCY/21764998 ")</f>
        <v xml:space="preserve">http://slimages.macys.com/is/image/MCY/21764998 </v>
      </c>
    </row>
    <row r="124" spans="1:14" ht="24.75" x14ac:dyDescent="0.25">
      <c r="A124" s="21" t="s">
        <v>17836</v>
      </c>
      <c r="B124" s="22" t="s">
        <v>17837</v>
      </c>
      <c r="C124" s="3">
        <v>8.93</v>
      </c>
      <c r="D124" s="23">
        <v>21.41</v>
      </c>
      <c r="E124" s="3">
        <v>21.41</v>
      </c>
      <c r="F124" s="2" t="s">
        <v>17838</v>
      </c>
      <c r="G124" s="22"/>
      <c r="H124" s="24"/>
      <c r="I124" s="22" t="s">
        <v>19309</v>
      </c>
      <c r="J124" s="22" t="s">
        <v>19602</v>
      </c>
      <c r="K124" s="22" t="s">
        <v>19603</v>
      </c>
      <c r="L124" s="22"/>
      <c r="M124" s="22"/>
      <c r="N124" s="25" t="str">
        <f>HYPERLINK("http://slimages.macys.com/is/image/MCY/21723232 ")</f>
        <v xml:space="preserve">http://slimages.macys.com/is/image/MCY/21723232 </v>
      </c>
    </row>
    <row r="125" spans="1:14" x14ac:dyDescent="0.25">
      <c r="A125" s="21" t="s">
        <v>17839</v>
      </c>
      <c r="B125" s="22" t="s">
        <v>17840</v>
      </c>
      <c r="C125" s="3">
        <v>8.93</v>
      </c>
      <c r="D125" s="23">
        <v>26.05</v>
      </c>
      <c r="E125" s="3">
        <v>26.05</v>
      </c>
      <c r="F125" s="2" t="s">
        <v>19753</v>
      </c>
      <c r="G125" s="22"/>
      <c r="H125" s="24" t="s">
        <v>19330</v>
      </c>
      <c r="I125" s="22" t="s">
        <v>19309</v>
      </c>
      <c r="J125" s="22" t="s">
        <v>19708</v>
      </c>
      <c r="K125" s="22" t="s">
        <v>19754</v>
      </c>
      <c r="L125" s="22"/>
      <c r="M125" s="22"/>
      <c r="N125" s="25" t="str">
        <f>HYPERLINK("http://slimages.macys.com/is/image/MCY/21758335 ")</f>
        <v xml:space="preserve">http://slimages.macys.com/is/image/MCY/21758335 </v>
      </c>
    </row>
    <row r="126" spans="1:14" ht="24.75" x14ac:dyDescent="0.25">
      <c r="A126" s="21" t="s">
        <v>17841</v>
      </c>
      <c r="B126" s="22" t="s">
        <v>17842</v>
      </c>
      <c r="C126" s="3">
        <v>8.93</v>
      </c>
      <c r="D126" s="23">
        <v>21.43</v>
      </c>
      <c r="E126" s="3">
        <v>21.43</v>
      </c>
      <c r="F126" s="2" t="s">
        <v>17843</v>
      </c>
      <c r="G126" s="22"/>
      <c r="H126" s="24" t="s">
        <v>19345</v>
      </c>
      <c r="I126" s="22" t="s">
        <v>19309</v>
      </c>
      <c r="J126" s="22" t="s">
        <v>19602</v>
      </c>
      <c r="K126" s="22" t="s">
        <v>19603</v>
      </c>
      <c r="L126" s="22"/>
      <c r="M126" s="22"/>
      <c r="N126" s="25" t="str">
        <f>HYPERLINK("http://slimages.macys.com/is/image/MCY/21421334 ")</f>
        <v xml:space="preserve">http://slimages.macys.com/is/image/MCY/21421334 </v>
      </c>
    </row>
    <row r="127" spans="1:14" ht="24.75" x14ac:dyDescent="0.25">
      <c r="A127" s="21" t="s">
        <v>17844</v>
      </c>
      <c r="B127" s="22" t="s">
        <v>17845</v>
      </c>
      <c r="C127" s="3">
        <v>8.93</v>
      </c>
      <c r="D127" s="23">
        <v>21.43</v>
      </c>
      <c r="E127" s="3">
        <v>21.43</v>
      </c>
      <c r="F127" s="2" t="s">
        <v>17846</v>
      </c>
      <c r="G127" s="22"/>
      <c r="H127" s="24" t="s">
        <v>19345</v>
      </c>
      <c r="I127" s="22" t="s">
        <v>19309</v>
      </c>
      <c r="J127" s="22" t="s">
        <v>19602</v>
      </c>
      <c r="K127" s="22" t="s">
        <v>19603</v>
      </c>
      <c r="L127" s="22"/>
      <c r="M127" s="22"/>
      <c r="N127" s="25" t="str">
        <f>HYPERLINK("http://slimages.macys.com/is/image/MCY/21421353 ")</f>
        <v xml:space="preserve">http://slimages.macys.com/is/image/MCY/21421353 </v>
      </c>
    </row>
    <row r="128" spans="1:14" ht="24.75" x14ac:dyDescent="0.25">
      <c r="A128" s="21" t="s">
        <v>17847</v>
      </c>
      <c r="B128" s="22" t="s">
        <v>17848</v>
      </c>
      <c r="C128" s="3">
        <v>8.9</v>
      </c>
      <c r="D128" s="23">
        <v>18.989999999999998</v>
      </c>
      <c r="E128" s="3">
        <v>18.989999999999998</v>
      </c>
      <c r="F128" s="2" t="s">
        <v>17849</v>
      </c>
      <c r="G128" s="22" t="s">
        <v>19422</v>
      </c>
      <c r="H128" s="24" t="s">
        <v>19352</v>
      </c>
      <c r="I128" s="22" t="s">
        <v>19309</v>
      </c>
      <c r="J128" s="22" t="s">
        <v>19447</v>
      </c>
      <c r="K128" s="22" t="s">
        <v>19311</v>
      </c>
      <c r="L128" s="22"/>
      <c r="M128" s="22"/>
      <c r="N128" s="25" t="str">
        <f>HYPERLINK("http://slimages.macys.com/is/image/MCY/17992962 ")</f>
        <v xml:space="preserve">http://slimages.macys.com/is/image/MCY/17992962 </v>
      </c>
    </row>
    <row r="129" spans="1:14" ht="24.75" x14ac:dyDescent="0.25">
      <c r="A129" s="21" t="s">
        <v>17850</v>
      </c>
      <c r="B129" s="22" t="s">
        <v>17851</v>
      </c>
      <c r="C129" s="3">
        <v>8.9</v>
      </c>
      <c r="D129" s="23">
        <v>18.989999999999998</v>
      </c>
      <c r="E129" s="3">
        <v>18.989999999999998</v>
      </c>
      <c r="F129" s="2" t="s">
        <v>17849</v>
      </c>
      <c r="G129" s="22" t="s">
        <v>19307</v>
      </c>
      <c r="H129" s="24" t="s">
        <v>19339</v>
      </c>
      <c r="I129" s="22" t="s">
        <v>19309</v>
      </c>
      <c r="J129" s="22" t="s">
        <v>19447</v>
      </c>
      <c r="K129" s="22" t="s">
        <v>19311</v>
      </c>
      <c r="L129" s="22"/>
      <c r="M129" s="22"/>
      <c r="N129" s="25" t="str">
        <f>HYPERLINK("http://slimages.macys.com/is/image/MCY/17992962 ")</f>
        <v xml:space="preserve">http://slimages.macys.com/is/image/MCY/17992962 </v>
      </c>
    </row>
    <row r="130" spans="1:14" ht="24.75" x14ac:dyDescent="0.25">
      <c r="A130" s="21" t="s">
        <v>17852</v>
      </c>
      <c r="B130" s="22" t="s">
        <v>17853</v>
      </c>
      <c r="C130" s="3">
        <v>8.9</v>
      </c>
      <c r="D130" s="23">
        <v>18.989999999999998</v>
      </c>
      <c r="E130" s="3">
        <v>18.989999999999998</v>
      </c>
      <c r="F130" s="2" t="s">
        <v>17854</v>
      </c>
      <c r="G130" s="22" t="s">
        <v>19351</v>
      </c>
      <c r="H130" s="24" t="s">
        <v>19352</v>
      </c>
      <c r="I130" s="22" t="s">
        <v>19309</v>
      </c>
      <c r="J130" s="22" t="s">
        <v>19447</v>
      </c>
      <c r="K130" s="22" t="s">
        <v>19311</v>
      </c>
      <c r="L130" s="22"/>
      <c r="M130" s="22"/>
      <c r="N130" s="25" t="str">
        <f>HYPERLINK("http://slimages.macys.com/is/image/MCY/20219298 ")</f>
        <v xml:space="preserve">http://slimages.macys.com/is/image/MCY/20219298 </v>
      </c>
    </row>
    <row r="131" spans="1:14" ht="24.75" x14ac:dyDescent="0.25">
      <c r="A131" s="21" t="s">
        <v>19789</v>
      </c>
      <c r="B131" s="22" t="s">
        <v>19790</v>
      </c>
      <c r="C131" s="3">
        <v>17.739999999999998</v>
      </c>
      <c r="D131" s="23">
        <v>19.989999999999998</v>
      </c>
      <c r="E131" s="3">
        <v>39.979999999999997</v>
      </c>
      <c r="F131" s="2" t="s">
        <v>19776</v>
      </c>
      <c r="G131" s="22" t="s">
        <v>19315</v>
      </c>
      <c r="H131" s="24" t="s">
        <v>19770</v>
      </c>
      <c r="I131" s="22" t="s">
        <v>19309</v>
      </c>
      <c r="J131" s="22" t="s">
        <v>19573</v>
      </c>
      <c r="K131" s="22" t="s">
        <v>19574</v>
      </c>
      <c r="L131" s="22"/>
      <c r="M131" s="22"/>
      <c r="N131" s="25" t="str">
        <f>HYPERLINK("http://slimages.macys.com/is/image/MCY/1646345 ")</f>
        <v xml:space="preserve">http://slimages.macys.com/is/image/MCY/1646345 </v>
      </c>
    </row>
    <row r="132" spans="1:14" ht="24.75" x14ac:dyDescent="0.25">
      <c r="A132" s="21" t="s">
        <v>19781</v>
      </c>
      <c r="B132" s="22" t="s">
        <v>19782</v>
      </c>
      <c r="C132" s="3">
        <v>8.8699999999999992</v>
      </c>
      <c r="D132" s="23">
        <v>19.989999999999998</v>
      </c>
      <c r="E132" s="3">
        <v>19.989999999999998</v>
      </c>
      <c r="F132" s="2" t="s">
        <v>19773</v>
      </c>
      <c r="G132" s="22" t="s">
        <v>19518</v>
      </c>
      <c r="H132" s="24" t="s">
        <v>19770</v>
      </c>
      <c r="I132" s="22" t="s">
        <v>19309</v>
      </c>
      <c r="J132" s="22" t="s">
        <v>19573</v>
      </c>
      <c r="K132" s="22" t="s">
        <v>19574</v>
      </c>
      <c r="L132" s="22"/>
      <c r="M132" s="22"/>
      <c r="N132" s="25" t="str">
        <f>HYPERLINK("http://slimages.macys.com/is/image/MCY/1646350 ")</f>
        <v xml:space="preserve">http://slimages.macys.com/is/image/MCY/1646350 </v>
      </c>
    </row>
    <row r="133" spans="1:14" ht="24.75" x14ac:dyDescent="0.25">
      <c r="A133" s="21" t="s">
        <v>17855</v>
      </c>
      <c r="B133" s="22" t="s">
        <v>17856</v>
      </c>
      <c r="C133" s="3">
        <v>8.8699999999999992</v>
      </c>
      <c r="D133" s="23">
        <v>19.989999999999998</v>
      </c>
      <c r="E133" s="3">
        <v>19.989999999999998</v>
      </c>
      <c r="F133" s="2" t="s">
        <v>19767</v>
      </c>
      <c r="G133" s="22" t="s">
        <v>19467</v>
      </c>
      <c r="H133" s="24" t="s">
        <v>19384</v>
      </c>
      <c r="I133" s="22" t="s">
        <v>19309</v>
      </c>
      <c r="J133" s="22" t="s">
        <v>19573</v>
      </c>
      <c r="K133" s="22" t="s">
        <v>19574</v>
      </c>
      <c r="L133" s="22"/>
      <c r="M133" s="22"/>
      <c r="N133" s="25" t="str">
        <f>HYPERLINK("http://slimages.macys.com/is/image/MCY/1646345 ")</f>
        <v xml:space="preserve">http://slimages.macys.com/is/image/MCY/1646345 </v>
      </c>
    </row>
    <row r="134" spans="1:14" ht="24.75" x14ac:dyDescent="0.25">
      <c r="A134" s="21" t="s">
        <v>19777</v>
      </c>
      <c r="B134" s="22" t="s">
        <v>19778</v>
      </c>
      <c r="C134" s="3">
        <v>17.739999999999998</v>
      </c>
      <c r="D134" s="23">
        <v>19.989999999999998</v>
      </c>
      <c r="E134" s="3">
        <v>39.979999999999997</v>
      </c>
      <c r="F134" s="2" t="s">
        <v>19776</v>
      </c>
      <c r="G134" s="22" t="s">
        <v>19315</v>
      </c>
      <c r="H134" s="24" t="s">
        <v>19538</v>
      </c>
      <c r="I134" s="22" t="s">
        <v>19309</v>
      </c>
      <c r="J134" s="22" t="s">
        <v>19573</v>
      </c>
      <c r="K134" s="22" t="s">
        <v>19574</v>
      </c>
      <c r="L134" s="22"/>
      <c r="M134" s="22"/>
      <c r="N134" s="25" t="str">
        <f>HYPERLINK("http://slimages.macys.com/is/image/MCY/1646345 ")</f>
        <v xml:space="preserve">http://slimages.macys.com/is/image/MCY/1646345 </v>
      </c>
    </row>
    <row r="135" spans="1:14" ht="24.75" x14ac:dyDescent="0.25">
      <c r="A135" s="21" t="s">
        <v>19771</v>
      </c>
      <c r="B135" s="22" t="s">
        <v>19772</v>
      </c>
      <c r="C135" s="3">
        <v>8.8699999999999992</v>
      </c>
      <c r="D135" s="23">
        <v>19.989999999999998</v>
      </c>
      <c r="E135" s="3">
        <v>19.989999999999998</v>
      </c>
      <c r="F135" s="2" t="s">
        <v>19773</v>
      </c>
      <c r="G135" s="22" t="s">
        <v>19518</v>
      </c>
      <c r="H135" s="24"/>
      <c r="I135" s="22" t="s">
        <v>19309</v>
      </c>
      <c r="J135" s="22" t="s">
        <v>19573</v>
      </c>
      <c r="K135" s="22" t="s">
        <v>19574</v>
      </c>
      <c r="L135" s="22"/>
      <c r="M135" s="22"/>
      <c r="N135" s="25" t="str">
        <f>HYPERLINK("http://slimages.macys.com/is/image/MCY/1646350 ")</f>
        <v xml:space="preserve">http://slimages.macys.com/is/image/MCY/1646350 </v>
      </c>
    </row>
    <row r="136" spans="1:14" ht="24.75" x14ac:dyDescent="0.25">
      <c r="A136" s="21" t="s">
        <v>19774</v>
      </c>
      <c r="B136" s="22" t="s">
        <v>19775</v>
      </c>
      <c r="C136" s="3">
        <v>26.61</v>
      </c>
      <c r="D136" s="23">
        <v>19.989999999999998</v>
      </c>
      <c r="E136" s="3">
        <v>59.97</v>
      </c>
      <c r="F136" s="2" t="s">
        <v>19776</v>
      </c>
      <c r="G136" s="22" t="s">
        <v>19315</v>
      </c>
      <c r="H136" s="24"/>
      <c r="I136" s="22" t="s">
        <v>19309</v>
      </c>
      <c r="J136" s="22" t="s">
        <v>19573</v>
      </c>
      <c r="K136" s="22" t="s">
        <v>19574</v>
      </c>
      <c r="L136" s="22"/>
      <c r="M136" s="22"/>
      <c r="N136" s="25" t="str">
        <f>HYPERLINK("http://slimages.macys.com/is/image/MCY/1646345 ")</f>
        <v xml:space="preserve">http://slimages.macys.com/is/image/MCY/1646345 </v>
      </c>
    </row>
    <row r="137" spans="1:14" ht="24.75" x14ac:dyDescent="0.25">
      <c r="A137" s="21" t="s">
        <v>19765</v>
      </c>
      <c r="B137" s="22" t="s">
        <v>19766</v>
      </c>
      <c r="C137" s="3">
        <v>17.739999999999998</v>
      </c>
      <c r="D137" s="23">
        <v>19.989999999999998</v>
      </c>
      <c r="E137" s="3">
        <v>39.979999999999997</v>
      </c>
      <c r="F137" s="2" t="s">
        <v>19767</v>
      </c>
      <c r="G137" s="22" t="s">
        <v>19467</v>
      </c>
      <c r="H137" s="24"/>
      <c r="I137" s="22" t="s">
        <v>19309</v>
      </c>
      <c r="J137" s="22" t="s">
        <v>19573</v>
      </c>
      <c r="K137" s="22" t="s">
        <v>19574</v>
      </c>
      <c r="L137" s="22"/>
      <c r="M137" s="22"/>
      <c r="N137" s="25" t="str">
        <f>HYPERLINK("http://slimages.macys.com/is/image/MCY/1646345 ")</f>
        <v xml:space="preserve">http://slimages.macys.com/is/image/MCY/1646345 </v>
      </c>
    </row>
    <row r="138" spans="1:14" ht="24.75" x14ac:dyDescent="0.25">
      <c r="A138" s="21" t="s">
        <v>17857</v>
      </c>
      <c r="B138" s="22" t="s">
        <v>17858</v>
      </c>
      <c r="C138" s="3">
        <v>8.8699999999999992</v>
      </c>
      <c r="D138" s="23">
        <v>22.99</v>
      </c>
      <c r="E138" s="3">
        <v>22.99</v>
      </c>
      <c r="F138" s="2" t="s">
        <v>17859</v>
      </c>
      <c r="G138" s="22" t="s">
        <v>19351</v>
      </c>
      <c r="H138" s="24" t="s">
        <v>19330</v>
      </c>
      <c r="I138" s="22" t="s">
        <v>19309</v>
      </c>
      <c r="J138" s="22" t="s">
        <v>19573</v>
      </c>
      <c r="K138" s="22" t="s">
        <v>19574</v>
      </c>
      <c r="L138" s="22"/>
      <c r="M138" s="22"/>
      <c r="N138" s="25" t="str">
        <f>HYPERLINK("http://slimages.macys.com/is/image/MCY/20143238 ")</f>
        <v xml:space="preserve">http://slimages.macys.com/is/image/MCY/20143238 </v>
      </c>
    </row>
    <row r="139" spans="1:14" ht="24.75" x14ac:dyDescent="0.25">
      <c r="A139" s="21" t="s">
        <v>17860</v>
      </c>
      <c r="B139" s="22" t="s">
        <v>17861</v>
      </c>
      <c r="C139" s="3">
        <v>8.8699999999999992</v>
      </c>
      <c r="D139" s="23">
        <v>22.99</v>
      </c>
      <c r="E139" s="3">
        <v>22.99</v>
      </c>
      <c r="F139" s="2" t="s">
        <v>17859</v>
      </c>
      <c r="G139" s="22" t="s">
        <v>19351</v>
      </c>
      <c r="H139" s="24" t="s">
        <v>19384</v>
      </c>
      <c r="I139" s="22" t="s">
        <v>19309</v>
      </c>
      <c r="J139" s="22" t="s">
        <v>19573</v>
      </c>
      <c r="K139" s="22" t="s">
        <v>19574</v>
      </c>
      <c r="L139" s="22"/>
      <c r="M139" s="22"/>
      <c r="N139" s="25" t="str">
        <f>HYPERLINK("http://slimages.macys.com/is/image/MCY/20143238 ")</f>
        <v xml:space="preserve">http://slimages.macys.com/is/image/MCY/20143238 </v>
      </c>
    </row>
    <row r="140" spans="1:14" ht="24.75" x14ac:dyDescent="0.25">
      <c r="A140" s="21" t="s">
        <v>17862</v>
      </c>
      <c r="B140" s="22" t="s">
        <v>17863</v>
      </c>
      <c r="C140" s="3">
        <v>17.739999999999998</v>
      </c>
      <c r="D140" s="23">
        <v>19.989999999999998</v>
      </c>
      <c r="E140" s="3">
        <v>39.979999999999997</v>
      </c>
      <c r="F140" s="2" t="s">
        <v>19767</v>
      </c>
      <c r="G140" s="22" t="s">
        <v>19467</v>
      </c>
      <c r="H140" s="24" t="s">
        <v>19538</v>
      </c>
      <c r="I140" s="22" t="s">
        <v>19309</v>
      </c>
      <c r="J140" s="22" t="s">
        <v>19573</v>
      </c>
      <c r="K140" s="22" t="s">
        <v>19574</v>
      </c>
      <c r="L140" s="22"/>
      <c r="M140" s="22"/>
      <c r="N140" s="25" t="str">
        <f>HYPERLINK("http://slimages.macys.com/is/image/MCY/1646350 ")</f>
        <v xml:space="preserve">http://slimages.macys.com/is/image/MCY/1646350 </v>
      </c>
    </row>
    <row r="141" spans="1:14" ht="36.75" x14ac:dyDescent="0.25">
      <c r="A141" s="21" t="s">
        <v>17864</v>
      </c>
      <c r="B141" s="22" t="s">
        <v>17865</v>
      </c>
      <c r="C141" s="3">
        <v>8.76</v>
      </c>
      <c r="D141" s="23">
        <v>19.989999999999998</v>
      </c>
      <c r="E141" s="3">
        <v>19.989999999999998</v>
      </c>
      <c r="F141" s="2" t="s">
        <v>17866</v>
      </c>
      <c r="G141" s="22" t="s">
        <v>19513</v>
      </c>
      <c r="H141" s="24" t="s">
        <v>20232</v>
      </c>
      <c r="I141" s="22" t="s">
        <v>19309</v>
      </c>
      <c r="J141" s="22" t="s">
        <v>19573</v>
      </c>
      <c r="K141" s="22" t="s">
        <v>20228</v>
      </c>
      <c r="L141" s="22" t="s">
        <v>19319</v>
      </c>
      <c r="M141" s="22" t="s">
        <v>20229</v>
      </c>
      <c r="N141" s="25" t="str">
        <f>HYPERLINK("http://slimages.macys.com/is/image/MCY/8256954 ")</f>
        <v xml:space="preserve">http://slimages.macys.com/is/image/MCY/8256954 </v>
      </c>
    </row>
    <row r="142" spans="1:14" ht="24.75" x14ac:dyDescent="0.25">
      <c r="A142" s="21" t="s">
        <v>17867</v>
      </c>
      <c r="B142" s="22" t="s">
        <v>17868</v>
      </c>
      <c r="C142" s="3">
        <v>17.5</v>
      </c>
      <c r="D142" s="23">
        <v>25.99</v>
      </c>
      <c r="E142" s="3">
        <v>51.98</v>
      </c>
      <c r="F142" s="2" t="s">
        <v>17869</v>
      </c>
      <c r="G142" s="22" t="s">
        <v>19431</v>
      </c>
      <c r="H142" s="24" t="s">
        <v>17870</v>
      </c>
      <c r="I142" s="22" t="s">
        <v>19309</v>
      </c>
      <c r="J142" s="22" t="s">
        <v>19595</v>
      </c>
      <c r="K142" s="22" t="s">
        <v>18498</v>
      </c>
      <c r="L142" s="22"/>
      <c r="M142" s="22"/>
      <c r="N142" s="25" t="str">
        <f>HYPERLINK("http://slimages.macys.com/is/image/MCY/21365850 ")</f>
        <v xml:space="preserve">http://slimages.macys.com/is/image/MCY/21365850 </v>
      </c>
    </row>
    <row r="143" spans="1:14" ht="24.75" x14ac:dyDescent="0.25">
      <c r="A143" s="21" t="s">
        <v>17871</v>
      </c>
      <c r="B143" s="22" t="s">
        <v>17872</v>
      </c>
      <c r="C143" s="3">
        <v>43.75</v>
      </c>
      <c r="D143" s="23">
        <v>25.99</v>
      </c>
      <c r="E143" s="3">
        <v>129.94999999999999</v>
      </c>
      <c r="F143" s="2" t="s">
        <v>17873</v>
      </c>
      <c r="G143" s="22" t="s">
        <v>19431</v>
      </c>
      <c r="H143" s="24" t="s">
        <v>17874</v>
      </c>
      <c r="I143" s="22" t="s">
        <v>19309</v>
      </c>
      <c r="J143" s="22" t="s">
        <v>19595</v>
      </c>
      <c r="K143" s="22" t="s">
        <v>18498</v>
      </c>
      <c r="L143" s="22"/>
      <c r="M143" s="22"/>
      <c r="N143" s="25" t="str">
        <f>HYPERLINK("http://slimages.macys.com/is/image/MCY/21365806 ")</f>
        <v xml:space="preserve">http://slimages.macys.com/is/image/MCY/21365806 </v>
      </c>
    </row>
    <row r="144" spans="1:14" ht="24.75" x14ac:dyDescent="0.25">
      <c r="A144" s="21" t="s">
        <v>17875</v>
      </c>
      <c r="B144" s="22" t="s">
        <v>17876</v>
      </c>
      <c r="C144" s="3">
        <v>8.75</v>
      </c>
      <c r="D144" s="23">
        <v>25.99</v>
      </c>
      <c r="E144" s="3">
        <v>25.99</v>
      </c>
      <c r="F144" s="2" t="s">
        <v>17869</v>
      </c>
      <c r="G144" s="22" t="s">
        <v>19431</v>
      </c>
      <c r="H144" s="24" t="s">
        <v>17874</v>
      </c>
      <c r="I144" s="22" t="s">
        <v>19309</v>
      </c>
      <c r="J144" s="22" t="s">
        <v>19595</v>
      </c>
      <c r="K144" s="22" t="s">
        <v>18498</v>
      </c>
      <c r="L144" s="22"/>
      <c r="M144" s="22"/>
      <c r="N144" s="25" t="str">
        <f>HYPERLINK("http://slimages.macys.com/is/image/MCY/21365850 ")</f>
        <v xml:space="preserve">http://slimages.macys.com/is/image/MCY/21365850 </v>
      </c>
    </row>
    <row r="145" spans="1:14" ht="24.75" x14ac:dyDescent="0.25">
      <c r="A145" s="21" t="s">
        <v>17877</v>
      </c>
      <c r="B145" s="22" t="s">
        <v>17878</v>
      </c>
      <c r="C145" s="3">
        <v>8.75</v>
      </c>
      <c r="D145" s="23">
        <v>25.99</v>
      </c>
      <c r="E145" s="3">
        <v>25.99</v>
      </c>
      <c r="F145" s="2" t="s">
        <v>17869</v>
      </c>
      <c r="G145" s="22" t="s">
        <v>19431</v>
      </c>
      <c r="H145" s="24" t="s">
        <v>17879</v>
      </c>
      <c r="I145" s="22" t="s">
        <v>19309</v>
      </c>
      <c r="J145" s="22" t="s">
        <v>19595</v>
      </c>
      <c r="K145" s="22" t="s">
        <v>18498</v>
      </c>
      <c r="L145" s="22"/>
      <c r="M145" s="22"/>
      <c r="N145" s="25" t="str">
        <f>HYPERLINK("http://slimages.macys.com/is/image/MCY/21365850 ")</f>
        <v xml:space="preserve">http://slimages.macys.com/is/image/MCY/21365850 </v>
      </c>
    </row>
    <row r="146" spans="1:14" x14ac:dyDescent="0.25">
      <c r="A146" s="21" t="s">
        <v>17880</v>
      </c>
      <c r="B146" s="22" t="s">
        <v>17881</v>
      </c>
      <c r="C146" s="3">
        <v>8.75</v>
      </c>
      <c r="D146" s="23">
        <v>25</v>
      </c>
      <c r="E146" s="3">
        <v>25</v>
      </c>
      <c r="F146" s="2" t="s">
        <v>17882</v>
      </c>
      <c r="G146" s="22" t="s">
        <v>19415</v>
      </c>
      <c r="H146" s="24" t="s">
        <v>20159</v>
      </c>
      <c r="I146" s="22" t="s">
        <v>19309</v>
      </c>
      <c r="J146" s="22" t="s">
        <v>19417</v>
      </c>
      <c r="K146" s="22" t="s">
        <v>19418</v>
      </c>
      <c r="L146" s="22"/>
      <c r="M146" s="22"/>
      <c r="N146" s="25" t="str">
        <f>HYPERLINK("http://slimages.macys.com/is/image/MCY/21259752 ")</f>
        <v xml:space="preserve">http://slimages.macys.com/is/image/MCY/21259752 </v>
      </c>
    </row>
    <row r="147" spans="1:14" ht="24.75" x14ac:dyDescent="0.25">
      <c r="A147" s="21" t="s">
        <v>17883</v>
      </c>
      <c r="B147" s="22" t="s">
        <v>17884</v>
      </c>
      <c r="C147" s="3">
        <v>35</v>
      </c>
      <c r="D147" s="23">
        <v>25.99</v>
      </c>
      <c r="E147" s="3">
        <v>103.96</v>
      </c>
      <c r="F147" s="2" t="s">
        <v>17873</v>
      </c>
      <c r="G147" s="22" t="s">
        <v>19431</v>
      </c>
      <c r="H147" s="24" t="s">
        <v>17870</v>
      </c>
      <c r="I147" s="22" t="s">
        <v>19309</v>
      </c>
      <c r="J147" s="22" t="s">
        <v>19595</v>
      </c>
      <c r="K147" s="22" t="s">
        <v>18498</v>
      </c>
      <c r="L147" s="22"/>
      <c r="M147" s="22"/>
      <c r="N147" s="25" t="str">
        <f>HYPERLINK("http://slimages.macys.com/is/image/MCY/21365806 ")</f>
        <v xml:space="preserve">http://slimages.macys.com/is/image/MCY/21365806 </v>
      </c>
    </row>
    <row r="148" spans="1:14" x14ac:dyDescent="0.25">
      <c r="A148" s="21" t="s">
        <v>17885</v>
      </c>
      <c r="B148" s="22" t="s">
        <v>17886</v>
      </c>
      <c r="C148" s="3">
        <v>8.67</v>
      </c>
      <c r="D148" s="23">
        <v>14.99</v>
      </c>
      <c r="E148" s="3">
        <v>14.99</v>
      </c>
      <c r="F148" s="2" t="s">
        <v>17887</v>
      </c>
      <c r="G148" s="22" t="s">
        <v>19315</v>
      </c>
      <c r="H148" s="24" t="s">
        <v>19308</v>
      </c>
      <c r="I148" s="22" t="s">
        <v>19309</v>
      </c>
      <c r="J148" s="22" t="s">
        <v>19310</v>
      </c>
      <c r="K148" s="22" t="s">
        <v>19873</v>
      </c>
      <c r="L148" s="22"/>
      <c r="M148" s="22"/>
      <c r="N148" s="25" t="str">
        <f>HYPERLINK("http://slimages.macys.com/is/image/MCY/20663284 ")</f>
        <v xml:space="preserve">http://slimages.macys.com/is/image/MCY/20663284 </v>
      </c>
    </row>
    <row r="149" spans="1:14" x14ac:dyDescent="0.25">
      <c r="A149" s="21" t="s">
        <v>17888</v>
      </c>
      <c r="B149" s="22" t="s">
        <v>17889</v>
      </c>
      <c r="C149" s="3">
        <v>8.6</v>
      </c>
      <c r="D149" s="23">
        <v>23.29</v>
      </c>
      <c r="E149" s="3">
        <v>23.29</v>
      </c>
      <c r="F149" s="2" t="s">
        <v>17890</v>
      </c>
      <c r="G149" s="22" t="s">
        <v>19879</v>
      </c>
      <c r="H149" s="24" t="s">
        <v>19770</v>
      </c>
      <c r="I149" s="22" t="s">
        <v>19309</v>
      </c>
      <c r="J149" s="22" t="s">
        <v>19708</v>
      </c>
      <c r="K149" s="22" t="s">
        <v>19709</v>
      </c>
      <c r="L149" s="22"/>
      <c r="M149" s="22"/>
      <c r="N149" s="25" t="str">
        <f>HYPERLINK("http://slimages.macys.com/is/image/MCY/22407537 ")</f>
        <v xml:space="preserve">http://slimages.macys.com/is/image/MCY/22407537 </v>
      </c>
    </row>
    <row r="150" spans="1:14" ht="24.75" x14ac:dyDescent="0.25">
      <c r="A150" s="21" t="s">
        <v>17891</v>
      </c>
      <c r="B150" s="22" t="s">
        <v>17892</v>
      </c>
      <c r="C150" s="3">
        <v>8.5</v>
      </c>
      <c r="D150" s="23">
        <v>24.99</v>
      </c>
      <c r="E150" s="3">
        <v>24.99</v>
      </c>
      <c r="F150" s="2" t="s">
        <v>19842</v>
      </c>
      <c r="G150" s="22"/>
      <c r="H150" s="24" t="s">
        <v>19316</v>
      </c>
      <c r="I150" s="22" t="s">
        <v>19309</v>
      </c>
      <c r="J150" s="22" t="s">
        <v>19519</v>
      </c>
      <c r="K150" s="22" t="s">
        <v>19834</v>
      </c>
      <c r="L150" s="22"/>
      <c r="M150" s="22"/>
      <c r="N150" s="25" t="str">
        <f>HYPERLINK("http://slimages.macys.com/is/image/MCY/21341160 ")</f>
        <v xml:space="preserve">http://slimages.macys.com/is/image/MCY/21341160 </v>
      </c>
    </row>
    <row r="151" spans="1:14" ht="24.75" x14ac:dyDescent="0.25">
      <c r="A151" s="21" t="s">
        <v>17893</v>
      </c>
      <c r="B151" s="22" t="s">
        <v>17894</v>
      </c>
      <c r="C151" s="3">
        <v>8.5</v>
      </c>
      <c r="D151" s="23">
        <v>24.99</v>
      </c>
      <c r="E151" s="3">
        <v>24.99</v>
      </c>
      <c r="F151" s="2" t="s">
        <v>19833</v>
      </c>
      <c r="G151" s="22"/>
      <c r="H151" s="24" t="s">
        <v>19316</v>
      </c>
      <c r="I151" s="22" t="s">
        <v>19309</v>
      </c>
      <c r="J151" s="22" t="s">
        <v>19519</v>
      </c>
      <c r="K151" s="22" t="s">
        <v>19834</v>
      </c>
      <c r="L151" s="22"/>
      <c r="M151" s="22"/>
      <c r="N151" s="25" t="str">
        <f>HYPERLINK("http://slimages.macys.com/is/image/MCY/20950688 ")</f>
        <v xml:space="preserve">http://slimages.macys.com/is/image/MCY/20950688 </v>
      </c>
    </row>
    <row r="152" spans="1:14" ht="24.75" x14ac:dyDescent="0.25">
      <c r="A152" s="21" t="s">
        <v>17895</v>
      </c>
      <c r="B152" s="22" t="s">
        <v>17896</v>
      </c>
      <c r="C152" s="3">
        <v>8.5</v>
      </c>
      <c r="D152" s="23">
        <v>24.99</v>
      </c>
      <c r="E152" s="3">
        <v>24.99</v>
      </c>
      <c r="F152" s="2" t="s">
        <v>19833</v>
      </c>
      <c r="G152" s="22"/>
      <c r="H152" s="24" t="s">
        <v>19399</v>
      </c>
      <c r="I152" s="22" t="s">
        <v>19309</v>
      </c>
      <c r="J152" s="22" t="s">
        <v>19519</v>
      </c>
      <c r="K152" s="22" t="s">
        <v>19834</v>
      </c>
      <c r="L152" s="22"/>
      <c r="M152" s="22"/>
      <c r="N152" s="25" t="str">
        <f>HYPERLINK("http://slimages.macys.com/is/image/MCY/20950688 ")</f>
        <v xml:space="preserve">http://slimages.macys.com/is/image/MCY/20950688 </v>
      </c>
    </row>
    <row r="153" spans="1:14" ht="24.75" x14ac:dyDescent="0.25">
      <c r="A153" s="21" t="s">
        <v>17897</v>
      </c>
      <c r="B153" s="22" t="s">
        <v>17898</v>
      </c>
      <c r="C153" s="3">
        <v>8.5</v>
      </c>
      <c r="D153" s="23">
        <v>24.99</v>
      </c>
      <c r="E153" s="3">
        <v>24.99</v>
      </c>
      <c r="F153" s="2" t="s">
        <v>17899</v>
      </c>
      <c r="G153" s="22"/>
      <c r="H153" s="24" t="s">
        <v>19316</v>
      </c>
      <c r="I153" s="22" t="s">
        <v>19309</v>
      </c>
      <c r="J153" s="22" t="s">
        <v>19519</v>
      </c>
      <c r="K153" s="22" t="s">
        <v>19834</v>
      </c>
      <c r="L153" s="22"/>
      <c r="M153" s="22"/>
      <c r="N153" s="25" t="str">
        <f>HYPERLINK("http://slimages.macys.com/is/image/MCY/21352783 ")</f>
        <v xml:space="preserve">http://slimages.macys.com/is/image/MCY/21352783 </v>
      </c>
    </row>
    <row r="154" spans="1:14" ht="24.75" x14ac:dyDescent="0.25">
      <c r="A154" s="21" t="s">
        <v>19835</v>
      </c>
      <c r="B154" s="22" t="s">
        <v>19836</v>
      </c>
      <c r="C154" s="3">
        <v>8.5</v>
      </c>
      <c r="D154" s="23">
        <v>24.99</v>
      </c>
      <c r="E154" s="3">
        <v>24.99</v>
      </c>
      <c r="F154" s="2" t="s">
        <v>19833</v>
      </c>
      <c r="G154" s="22"/>
      <c r="H154" s="24" t="s">
        <v>19501</v>
      </c>
      <c r="I154" s="22" t="s">
        <v>19309</v>
      </c>
      <c r="J154" s="22" t="s">
        <v>19519</v>
      </c>
      <c r="K154" s="22" t="s">
        <v>19834</v>
      </c>
      <c r="L154" s="22"/>
      <c r="M154" s="22"/>
      <c r="N154" s="25" t="str">
        <f>HYPERLINK("http://slimages.macys.com/is/image/MCY/20950688 ")</f>
        <v xml:space="preserve">http://slimages.macys.com/is/image/MCY/20950688 </v>
      </c>
    </row>
    <row r="155" spans="1:14" ht="24.75" x14ac:dyDescent="0.25">
      <c r="A155" s="21" t="s">
        <v>17900</v>
      </c>
      <c r="B155" s="22" t="s">
        <v>17901</v>
      </c>
      <c r="C155" s="3">
        <v>8.5</v>
      </c>
      <c r="D155" s="23">
        <v>24.99</v>
      </c>
      <c r="E155" s="3">
        <v>24.99</v>
      </c>
      <c r="F155" s="2" t="s">
        <v>17899</v>
      </c>
      <c r="G155" s="22"/>
      <c r="H155" s="24" t="s">
        <v>19501</v>
      </c>
      <c r="I155" s="22" t="s">
        <v>19309</v>
      </c>
      <c r="J155" s="22" t="s">
        <v>19519</v>
      </c>
      <c r="K155" s="22" t="s">
        <v>19834</v>
      </c>
      <c r="L155" s="22"/>
      <c r="M155" s="22"/>
      <c r="N155" s="25" t="str">
        <f>HYPERLINK("http://slimages.macys.com/is/image/MCY/21352783 ")</f>
        <v xml:space="preserve">http://slimages.macys.com/is/image/MCY/21352783 </v>
      </c>
    </row>
    <row r="156" spans="1:14" ht="24.75" x14ac:dyDescent="0.25">
      <c r="A156" s="21" t="s">
        <v>17902</v>
      </c>
      <c r="B156" s="22" t="s">
        <v>17903</v>
      </c>
      <c r="C156" s="3">
        <v>8.5</v>
      </c>
      <c r="D156" s="23">
        <v>24.99</v>
      </c>
      <c r="E156" s="3">
        <v>24.99</v>
      </c>
      <c r="F156" s="2" t="s">
        <v>17904</v>
      </c>
      <c r="G156" s="22"/>
      <c r="H156" s="24" t="s">
        <v>19316</v>
      </c>
      <c r="I156" s="22" t="s">
        <v>19309</v>
      </c>
      <c r="J156" s="22" t="s">
        <v>19519</v>
      </c>
      <c r="K156" s="22" t="s">
        <v>19834</v>
      </c>
      <c r="L156" s="22"/>
      <c r="M156" s="22"/>
      <c r="N156" s="25" t="str">
        <f>HYPERLINK("http://slimages.macys.com/is/image/MCY/20950699 ")</f>
        <v xml:space="preserve">http://slimages.macys.com/is/image/MCY/20950699 </v>
      </c>
    </row>
    <row r="157" spans="1:14" ht="24.75" x14ac:dyDescent="0.25">
      <c r="A157" s="21" t="s">
        <v>17905</v>
      </c>
      <c r="B157" s="22" t="s">
        <v>17906</v>
      </c>
      <c r="C157" s="3">
        <v>8.5</v>
      </c>
      <c r="D157" s="23">
        <v>24.99</v>
      </c>
      <c r="E157" s="3">
        <v>24.99</v>
      </c>
      <c r="F157" s="2" t="s">
        <v>17907</v>
      </c>
      <c r="G157" s="22"/>
      <c r="H157" s="24" t="s">
        <v>19501</v>
      </c>
      <c r="I157" s="22" t="s">
        <v>19309</v>
      </c>
      <c r="J157" s="22" t="s">
        <v>19519</v>
      </c>
      <c r="K157" s="22" t="s">
        <v>19834</v>
      </c>
      <c r="L157" s="22"/>
      <c r="M157" s="22"/>
      <c r="N157" s="25" t="str">
        <f>HYPERLINK("http://slimages.macys.com/is/image/MCY/21341189 ")</f>
        <v xml:space="preserve">http://slimages.macys.com/is/image/MCY/21341189 </v>
      </c>
    </row>
    <row r="158" spans="1:14" ht="24.75" x14ac:dyDescent="0.25">
      <c r="A158" s="21" t="s">
        <v>17908</v>
      </c>
      <c r="B158" s="22" t="s">
        <v>17909</v>
      </c>
      <c r="C158" s="3">
        <v>8.5</v>
      </c>
      <c r="D158" s="23">
        <v>24.99</v>
      </c>
      <c r="E158" s="3">
        <v>24.99</v>
      </c>
      <c r="F158" s="2" t="s">
        <v>17907</v>
      </c>
      <c r="G158" s="22"/>
      <c r="H158" s="24" t="s">
        <v>19432</v>
      </c>
      <c r="I158" s="22" t="s">
        <v>19309</v>
      </c>
      <c r="J158" s="22" t="s">
        <v>19519</v>
      </c>
      <c r="K158" s="22" t="s">
        <v>19834</v>
      </c>
      <c r="L158" s="22"/>
      <c r="M158" s="22"/>
      <c r="N158" s="25" t="str">
        <f>HYPERLINK("http://slimages.macys.com/is/image/MCY/21341189 ")</f>
        <v xml:space="preserve">http://slimages.macys.com/is/image/MCY/21341189 </v>
      </c>
    </row>
    <row r="159" spans="1:14" ht="24.75" x14ac:dyDescent="0.25">
      <c r="A159" s="21" t="s">
        <v>17910</v>
      </c>
      <c r="B159" s="22" t="s">
        <v>17911</v>
      </c>
      <c r="C159" s="3">
        <v>8.5</v>
      </c>
      <c r="D159" s="23">
        <v>24.99</v>
      </c>
      <c r="E159" s="3">
        <v>24.99</v>
      </c>
      <c r="F159" s="2" t="s">
        <v>19833</v>
      </c>
      <c r="G159" s="22"/>
      <c r="H159" s="24"/>
      <c r="I159" s="22" t="s">
        <v>19309</v>
      </c>
      <c r="J159" s="22" t="s">
        <v>19519</v>
      </c>
      <c r="K159" s="22" t="s">
        <v>19834</v>
      </c>
      <c r="L159" s="22"/>
      <c r="M159" s="22"/>
      <c r="N159" s="25" t="str">
        <f>HYPERLINK("http://slimages.macys.com/is/image/MCY/20950688 ")</f>
        <v xml:space="preserve">http://slimages.macys.com/is/image/MCY/20950688 </v>
      </c>
    </row>
    <row r="160" spans="1:14" ht="24.75" x14ac:dyDescent="0.25">
      <c r="A160" s="21" t="s">
        <v>17912</v>
      </c>
      <c r="B160" s="22" t="s">
        <v>17913</v>
      </c>
      <c r="C160" s="3">
        <v>8.5</v>
      </c>
      <c r="D160" s="23">
        <v>24.99</v>
      </c>
      <c r="E160" s="3">
        <v>24.99</v>
      </c>
      <c r="F160" s="2" t="s">
        <v>17907</v>
      </c>
      <c r="G160" s="22"/>
      <c r="H160" s="24" t="s">
        <v>19316</v>
      </c>
      <c r="I160" s="22" t="s">
        <v>19309</v>
      </c>
      <c r="J160" s="22" t="s">
        <v>19519</v>
      </c>
      <c r="K160" s="22" t="s">
        <v>19834</v>
      </c>
      <c r="L160" s="22"/>
      <c r="M160" s="22"/>
      <c r="N160" s="25" t="str">
        <f>HYPERLINK("http://slimages.macys.com/is/image/MCY/21341189 ")</f>
        <v xml:space="preserve">http://slimages.macys.com/is/image/MCY/21341189 </v>
      </c>
    </row>
    <row r="161" spans="1:14" ht="24.75" x14ac:dyDescent="0.25">
      <c r="A161" s="21" t="s">
        <v>17914</v>
      </c>
      <c r="B161" s="22" t="s">
        <v>17915</v>
      </c>
      <c r="C161" s="3">
        <v>8.4499999999999993</v>
      </c>
      <c r="D161" s="23">
        <v>21.99</v>
      </c>
      <c r="E161" s="3">
        <v>21.99</v>
      </c>
      <c r="F161" s="2" t="s">
        <v>17916</v>
      </c>
      <c r="G161" s="22" t="s">
        <v>19342</v>
      </c>
      <c r="H161" s="24" t="s">
        <v>19361</v>
      </c>
      <c r="I161" s="22" t="s">
        <v>19309</v>
      </c>
      <c r="J161" s="22" t="s">
        <v>19595</v>
      </c>
      <c r="K161" s="22" t="s">
        <v>17917</v>
      </c>
      <c r="L161" s="22"/>
      <c r="M161" s="22"/>
      <c r="N161" s="25" t="str">
        <f>HYPERLINK("http://slimages.macys.com/is/image/MCY/21201603 ")</f>
        <v xml:space="preserve">http://slimages.macys.com/is/image/MCY/21201603 </v>
      </c>
    </row>
    <row r="162" spans="1:14" ht="24.75" x14ac:dyDescent="0.25">
      <c r="A162" s="21" t="s">
        <v>17918</v>
      </c>
      <c r="B162" s="22" t="s">
        <v>17919</v>
      </c>
      <c r="C162" s="3">
        <v>8.41</v>
      </c>
      <c r="D162" s="23">
        <v>26.99</v>
      </c>
      <c r="E162" s="3">
        <v>26.99</v>
      </c>
      <c r="F162" s="2" t="s">
        <v>17920</v>
      </c>
      <c r="G162" s="22" t="s">
        <v>19462</v>
      </c>
      <c r="H162" s="24" t="s">
        <v>19377</v>
      </c>
      <c r="I162" s="22" t="s">
        <v>19309</v>
      </c>
      <c r="J162" s="22" t="s">
        <v>19908</v>
      </c>
      <c r="K162" s="22" t="s">
        <v>19524</v>
      </c>
      <c r="L162" s="22"/>
      <c r="M162" s="22"/>
      <c r="N162" s="25" t="str">
        <f>HYPERLINK("http://slimages.macys.com/is/image/MCY/1484635 ")</f>
        <v xml:space="preserve">http://slimages.macys.com/is/image/MCY/1484635 </v>
      </c>
    </row>
    <row r="163" spans="1:14" ht="24.75" x14ac:dyDescent="0.25">
      <c r="A163" s="21" t="s">
        <v>17921</v>
      </c>
      <c r="B163" s="22" t="s">
        <v>17922</v>
      </c>
      <c r="C163" s="3">
        <v>8.41</v>
      </c>
      <c r="D163" s="23">
        <v>26.99</v>
      </c>
      <c r="E163" s="3">
        <v>26.99</v>
      </c>
      <c r="F163" s="2" t="s">
        <v>17920</v>
      </c>
      <c r="G163" s="22" t="s">
        <v>19462</v>
      </c>
      <c r="H163" s="24" t="s">
        <v>19361</v>
      </c>
      <c r="I163" s="22" t="s">
        <v>19309</v>
      </c>
      <c r="J163" s="22" t="s">
        <v>19908</v>
      </c>
      <c r="K163" s="22" t="s">
        <v>19524</v>
      </c>
      <c r="L163" s="22"/>
      <c r="M163" s="22"/>
      <c r="N163" s="25" t="str">
        <f>HYPERLINK("http://slimages.macys.com/is/image/MCY/1472562 ")</f>
        <v xml:space="preserve">http://slimages.macys.com/is/image/MCY/1472562 </v>
      </c>
    </row>
    <row r="164" spans="1:14" x14ac:dyDescent="0.25">
      <c r="A164" s="21" t="s">
        <v>17923</v>
      </c>
      <c r="B164" s="22" t="s">
        <v>17924</v>
      </c>
      <c r="C164" s="3">
        <v>8.4</v>
      </c>
      <c r="D164" s="23">
        <v>20</v>
      </c>
      <c r="E164" s="3">
        <v>20</v>
      </c>
      <c r="F164" s="2">
        <v>1361819</v>
      </c>
      <c r="G164" s="22" t="s">
        <v>19315</v>
      </c>
      <c r="H164" s="24" t="s">
        <v>19308</v>
      </c>
      <c r="I164" s="22" t="s">
        <v>19309</v>
      </c>
      <c r="J164" s="22" t="s">
        <v>19310</v>
      </c>
      <c r="K164" s="22" t="s">
        <v>17686</v>
      </c>
      <c r="L164" s="22"/>
      <c r="M164" s="22"/>
      <c r="N164" s="25" t="str">
        <f>HYPERLINK("http://slimages.macys.com/is/image/MCY/18796366 ")</f>
        <v xml:space="preserve">http://slimages.macys.com/is/image/MCY/18796366 </v>
      </c>
    </row>
    <row r="165" spans="1:14" ht="24.75" x14ac:dyDescent="0.25">
      <c r="A165" s="21" t="s">
        <v>17925</v>
      </c>
      <c r="B165" s="22" t="s">
        <v>17926</v>
      </c>
      <c r="C165" s="3">
        <v>8.4</v>
      </c>
      <c r="D165" s="23">
        <v>24</v>
      </c>
      <c r="E165" s="3">
        <v>24</v>
      </c>
      <c r="F165" s="2" t="s">
        <v>17927</v>
      </c>
      <c r="G165" s="22" t="s">
        <v>19594</v>
      </c>
      <c r="H165" s="24" t="s">
        <v>19416</v>
      </c>
      <c r="I165" s="22" t="s">
        <v>19309</v>
      </c>
      <c r="J165" s="22" t="s">
        <v>19417</v>
      </c>
      <c r="K165" s="22" t="s">
        <v>19854</v>
      </c>
      <c r="L165" s="22"/>
      <c r="M165" s="22"/>
      <c r="N165" s="25" t="str">
        <f>HYPERLINK("http://slimages.macys.com/is/image/MCY/21370252 ")</f>
        <v xml:space="preserve">http://slimages.macys.com/is/image/MCY/21370252 </v>
      </c>
    </row>
    <row r="166" spans="1:14" ht="24.75" x14ac:dyDescent="0.25">
      <c r="A166" s="21" t="s">
        <v>17928</v>
      </c>
      <c r="B166" s="22" t="s">
        <v>17929</v>
      </c>
      <c r="C166" s="3">
        <v>8.39</v>
      </c>
      <c r="D166" s="23">
        <v>20.12</v>
      </c>
      <c r="E166" s="3">
        <v>20.12</v>
      </c>
      <c r="F166" s="2" t="s">
        <v>17930</v>
      </c>
      <c r="G166" s="22"/>
      <c r="H166" s="24" t="s">
        <v>19478</v>
      </c>
      <c r="I166" s="22" t="s">
        <v>19309</v>
      </c>
      <c r="J166" s="22" t="s">
        <v>19602</v>
      </c>
      <c r="K166" s="22" t="s">
        <v>20041</v>
      </c>
      <c r="L166" s="22"/>
      <c r="M166" s="22"/>
      <c r="N166" s="25" t="str">
        <f>HYPERLINK("http://slimages.macys.com/is/image/MCY/21728918 ")</f>
        <v xml:space="preserve">http://slimages.macys.com/is/image/MCY/21728918 </v>
      </c>
    </row>
    <row r="167" spans="1:14" ht="24.75" x14ac:dyDescent="0.25">
      <c r="A167" s="21" t="s">
        <v>17931</v>
      </c>
      <c r="B167" s="22" t="s">
        <v>17932</v>
      </c>
      <c r="C167" s="3">
        <v>8.32</v>
      </c>
      <c r="D167" s="23">
        <v>18.489999999999998</v>
      </c>
      <c r="E167" s="3">
        <v>18.489999999999998</v>
      </c>
      <c r="F167" s="2" t="s">
        <v>17933</v>
      </c>
      <c r="G167" s="22" t="s">
        <v>19513</v>
      </c>
      <c r="H167" s="24" t="s">
        <v>19478</v>
      </c>
      <c r="I167" s="22" t="s">
        <v>19309</v>
      </c>
      <c r="J167" s="22" t="s">
        <v>19565</v>
      </c>
      <c r="K167" s="22" t="s">
        <v>17934</v>
      </c>
      <c r="L167" s="22"/>
      <c r="M167" s="22"/>
      <c r="N167" s="25" t="str">
        <f>HYPERLINK("http://slimages.macys.com/is/image/MCY/21257200 ")</f>
        <v xml:space="preserve">http://slimages.macys.com/is/image/MCY/21257200 </v>
      </c>
    </row>
    <row r="168" spans="1:14" ht="24.75" x14ac:dyDescent="0.25">
      <c r="A168" s="21" t="s">
        <v>17935</v>
      </c>
      <c r="B168" s="22" t="s">
        <v>17936</v>
      </c>
      <c r="C168" s="3">
        <v>8.31</v>
      </c>
      <c r="D168" s="23">
        <v>22.99</v>
      </c>
      <c r="E168" s="3">
        <v>22.99</v>
      </c>
      <c r="F168" s="2" t="s">
        <v>17937</v>
      </c>
      <c r="G168" s="22" t="s">
        <v>19342</v>
      </c>
      <c r="H168" s="24"/>
      <c r="I168" s="22" t="s">
        <v>19309</v>
      </c>
      <c r="J168" s="22" t="s">
        <v>19385</v>
      </c>
      <c r="K168" s="22" t="s">
        <v>19729</v>
      </c>
      <c r="L168" s="22"/>
      <c r="M168" s="22"/>
      <c r="N168" s="25" t="str">
        <f>HYPERLINK("http://slimages.macys.com/is/image/MCY/21506852 ")</f>
        <v xml:space="preserve">http://slimages.macys.com/is/image/MCY/21506852 </v>
      </c>
    </row>
    <row r="169" spans="1:14" ht="24.75" x14ac:dyDescent="0.25">
      <c r="A169" s="21" t="s">
        <v>17938</v>
      </c>
      <c r="B169" s="22" t="s">
        <v>17939</v>
      </c>
      <c r="C169" s="3">
        <v>24.93</v>
      </c>
      <c r="D169" s="23">
        <v>22.99</v>
      </c>
      <c r="E169" s="3">
        <v>68.97</v>
      </c>
      <c r="F169" s="2" t="s">
        <v>17937</v>
      </c>
      <c r="G169" s="22" t="s">
        <v>19342</v>
      </c>
      <c r="H169" s="24" t="s">
        <v>19538</v>
      </c>
      <c r="I169" s="22" t="s">
        <v>19309</v>
      </c>
      <c r="J169" s="22" t="s">
        <v>19385</v>
      </c>
      <c r="K169" s="22" t="s">
        <v>19729</v>
      </c>
      <c r="L169" s="22"/>
      <c r="M169" s="22"/>
      <c r="N169" s="25" t="str">
        <f>HYPERLINK("http://slimages.macys.com/is/image/MCY/21506852 ")</f>
        <v xml:space="preserve">http://slimages.macys.com/is/image/MCY/21506852 </v>
      </c>
    </row>
    <row r="170" spans="1:14" ht="24.75" x14ac:dyDescent="0.25">
      <c r="A170" s="21" t="s">
        <v>17940</v>
      </c>
      <c r="B170" s="22" t="s">
        <v>17941</v>
      </c>
      <c r="C170" s="3">
        <v>8.31</v>
      </c>
      <c r="D170" s="23">
        <v>22.99</v>
      </c>
      <c r="E170" s="3">
        <v>22.99</v>
      </c>
      <c r="F170" s="2" t="s">
        <v>17937</v>
      </c>
      <c r="G170" s="22" t="s">
        <v>19342</v>
      </c>
      <c r="H170" s="24" t="s">
        <v>19384</v>
      </c>
      <c r="I170" s="22" t="s">
        <v>19309</v>
      </c>
      <c r="J170" s="22" t="s">
        <v>19385</v>
      </c>
      <c r="K170" s="22" t="s">
        <v>19729</v>
      </c>
      <c r="L170" s="22"/>
      <c r="M170" s="22"/>
      <c r="N170" s="25" t="str">
        <f>HYPERLINK("http://slimages.macys.com/is/image/MCY/21506852 ")</f>
        <v xml:space="preserve">http://slimages.macys.com/is/image/MCY/21506852 </v>
      </c>
    </row>
    <row r="171" spans="1:14" x14ac:dyDescent="0.25">
      <c r="A171" s="21" t="s">
        <v>17942</v>
      </c>
      <c r="B171" s="22" t="s">
        <v>17943</v>
      </c>
      <c r="C171" s="3">
        <v>8.27</v>
      </c>
      <c r="D171" s="23">
        <v>17.82</v>
      </c>
      <c r="E171" s="3">
        <v>17.82</v>
      </c>
      <c r="F171" s="2" t="s">
        <v>17944</v>
      </c>
      <c r="G171" s="22"/>
      <c r="H171" s="24" t="s">
        <v>19770</v>
      </c>
      <c r="I171" s="22" t="s">
        <v>19309</v>
      </c>
      <c r="J171" s="22" t="s">
        <v>19708</v>
      </c>
      <c r="K171" s="22" t="s">
        <v>19709</v>
      </c>
      <c r="L171" s="22"/>
      <c r="M171" s="22"/>
      <c r="N171" s="25" t="str">
        <f>HYPERLINK("http://slimages.macys.com/is/image/MCY/21410182 ")</f>
        <v xml:space="preserve">http://slimages.macys.com/is/image/MCY/21410182 </v>
      </c>
    </row>
    <row r="172" spans="1:14" x14ac:dyDescent="0.25">
      <c r="A172" s="21" t="s">
        <v>17945</v>
      </c>
      <c r="B172" s="22" t="s">
        <v>17946</v>
      </c>
      <c r="C172" s="3">
        <v>8.25</v>
      </c>
      <c r="D172" s="23">
        <v>18.329999999999998</v>
      </c>
      <c r="E172" s="3">
        <v>18.329999999999998</v>
      </c>
      <c r="F172" s="2" t="s">
        <v>17947</v>
      </c>
      <c r="G172" s="22" t="s">
        <v>19342</v>
      </c>
      <c r="H172" s="24" t="s">
        <v>19542</v>
      </c>
      <c r="I172" s="22" t="s">
        <v>19309</v>
      </c>
      <c r="J172" s="22" t="s">
        <v>19514</v>
      </c>
      <c r="K172" s="22" t="s">
        <v>17948</v>
      </c>
      <c r="L172" s="22"/>
      <c r="M172" s="22"/>
      <c r="N172" s="25" t="str">
        <f>HYPERLINK("http://slimages.macys.com/is/image/MCY/21701103 ")</f>
        <v xml:space="preserve">http://slimages.macys.com/is/image/MCY/21701103 </v>
      </c>
    </row>
    <row r="173" spans="1:14" x14ac:dyDescent="0.25">
      <c r="A173" s="21" t="s">
        <v>17949</v>
      </c>
      <c r="B173" s="22" t="s">
        <v>17950</v>
      </c>
      <c r="C173" s="3">
        <v>8.25</v>
      </c>
      <c r="D173" s="23">
        <v>18.329999999999998</v>
      </c>
      <c r="E173" s="3">
        <v>18.329999999999998</v>
      </c>
      <c r="F173" s="2" t="s">
        <v>17951</v>
      </c>
      <c r="G173" s="22" t="s">
        <v>19342</v>
      </c>
      <c r="H173" s="24" t="s">
        <v>19345</v>
      </c>
      <c r="I173" s="22" t="s">
        <v>19309</v>
      </c>
      <c r="J173" s="22" t="s">
        <v>19514</v>
      </c>
      <c r="K173" s="22" t="s">
        <v>17948</v>
      </c>
      <c r="L173" s="22"/>
      <c r="M173" s="22"/>
      <c r="N173" s="25" t="str">
        <f>HYPERLINK("http://slimages.macys.com/is/image/MCY/21701118 ")</f>
        <v xml:space="preserve">http://slimages.macys.com/is/image/MCY/21701118 </v>
      </c>
    </row>
    <row r="174" spans="1:14" ht="24.75" x14ac:dyDescent="0.25">
      <c r="A174" s="21" t="s">
        <v>17952</v>
      </c>
      <c r="B174" s="22" t="s">
        <v>17953</v>
      </c>
      <c r="C174" s="3">
        <v>8.25</v>
      </c>
      <c r="D174" s="23">
        <v>17.989999999999998</v>
      </c>
      <c r="E174" s="3">
        <v>17.989999999999998</v>
      </c>
      <c r="F174" s="2" t="s">
        <v>19885</v>
      </c>
      <c r="G174" s="22" t="s">
        <v>19886</v>
      </c>
      <c r="H174" s="24" t="s">
        <v>19352</v>
      </c>
      <c r="I174" s="22" t="s">
        <v>19309</v>
      </c>
      <c r="J174" s="22" t="s">
        <v>19447</v>
      </c>
      <c r="K174" s="22" t="s">
        <v>19533</v>
      </c>
      <c r="L174" s="22"/>
      <c r="M174" s="22"/>
      <c r="N174" s="25" t="str">
        <f>HYPERLINK("http://slimages.macys.com/is/image/MCY/21643609 ")</f>
        <v xml:space="preserve">http://slimages.macys.com/is/image/MCY/21643609 </v>
      </c>
    </row>
    <row r="175" spans="1:14" ht="24.75" x14ac:dyDescent="0.25">
      <c r="A175" s="21" t="s">
        <v>17954</v>
      </c>
      <c r="B175" s="22" t="s">
        <v>17955</v>
      </c>
      <c r="C175" s="3">
        <v>8.25</v>
      </c>
      <c r="D175" s="23">
        <v>17.989999999999998</v>
      </c>
      <c r="E175" s="3">
        <v>17.989999999999998</v>
      </c>
      <c r="F175" s="2" t="s">
        <v>17956</v>
      </c>
      <c r="G175" s="22" t="s">
        <v>19351</v>
      </c>
      <c r="H175" s="24" t="s">
        <v>19797</v>
      </c>
      <c r="I175" s="22" t="s">
        <v>19309</v>
      </c>
      <c r="J175" s="22" t="s">
        <v>19447</v>
      </c>
      <c r="K175" s="22" t="s">
        <v>19533</v>
      </c>
      <c r="L175" s="22"/>
      <c r="M175" s="22"/>
      <c r="N175" s="25" t="str">
        <f>HYPERLINK("http://slimages.macys.com/is/image/MCY/21253722 ")</f>
        <v xml:space="preserve">http://slimages.macys.com/is/image/MCY/21253722 </v>
      </c>
    </row>
    <row r="176" spans="1:14" ht="24.75" x14ac:dyDescent="0.25">
      <c r="A176" s="21" t="s">
        <v>19883</v>
      </c>
      <c r="B176" s="22" t="s">
        <v>19884</v>
      </c>
      <c r="C176" s="3">
        <v>8.25</v>
      </c>
      <c r="D176" s="23">
        <v>17.989999999999998</v>
      </c>
      <c r="E176" s="3">
        <v>17.989999999999998</v>
      </c>
      <c r="F176" s="2" t="s">
        <v>19885</v>
      </c>
      <c r="G176" s="22" t="s">
        <v>19886</v>
      </c>
      <c r="H176" s="24" t="s">
        <v>19797</v>
      </c>
      <c r="I176" s="22" t="s">
        <v>19309</v>
      </c>
      <c r="J176" s="22" t="s">
        <v>19447</v>
      </c>
      <c r="K176" s="22" t="s">
        <v>19533</v>
      </c>
      <c r="L176" s="22"/>
      <c r="M176" s="22"/>
      <c r="N176" s="25" t="str">
        <f>HYPERLINK("http://slimages.macys.com/is/image/MCY/21253727 ")</f>
        <v xml:space="preserve">http://slimages.macys.com/is/image/MCY/21253727 </v>
      </c>
    </row>
    <row r="177" spans="1:14" ht="24.75" x14ac:dyDescent="0.25">
      <c r="A177" s="21" t="s">
        <v>19898</v>
      </c>
      <c r="B177" s="22" t="s">
        <v>19899</v>
      </c>
      <c r="C177" s="3">
        <v>8.2200000000000006</v>
      </c>
      <c r="D177" s="23">
        <v>19.989999999999998</v>
      </c>
      <c r="E177" s="3">
        <v>19.989999999999998</v>
      </c>
      <c r="F177" s="2" t="s">
        <v>19900</v>
      </c>
      <c r="G177" s="22" t="s">
        <v>19467</v>
      </c>
      <c r="H177" s="24"/>
      <c r="I177" s="22" t="s">
        <v>19309</v>
      </c>
      <c r="J177" s="22" t="s">
        <v>19573</v>
      </c>
      <c r="K177" s="22" t="s">
        <v>19574</v>
      </c>
      <c r="L177" s="22"/>
      <c r="M177" s="22"/>
      <c r="N177" s="25" t="str">
        <f>HYPERLINK("http://slimages.macys.com/is/image/MCY/1248248 ")</f>
        <v xml:space="preserve">http://slimages.macys.com/is/image/MCY/1248248 </v>
      </c>
    </row>
    <row r="178" spans="1:14" ht="24.75" x14ac:dyDescent="0.25">
      <c r="A178" s="21" t="s">
        <v>17957</v>
      </c>
      <c r="B178" s="22" t="s">
        <v>17958</v>
      </c>
      <c r="C178" s="3">
        <v>8.2200000000000006</v>
      </c>
      <c r="D178" s="23">
        <v>19.989999999999998</v>
      </c>
      <c r="E178" s="3">
        <v>19.989999999999998</v>
      </c>
      <c r="F178" s="2" t="s">
        <v>17959</v>
      </c>
      <c r="G178" s="22" t="s">
        <v>19477</v>
      </c>
      <c r="H178" s="24" t="s">
        <v>19384</v>
      </c>
      <c r="I178" s="22" t="s">
        <v>19309</v>
      </c>
      <c r="J178" s="22" t="s">
        <v>19573</v>
      </c>
      <c r="K178" s="22" t="s">
        <v>19574</v>
      </c>
      <c r="L178" s="22"/>
      <c r="M178" s="22"/>
      <c r="N178" s="25" t="str">
        <f>HYPERLINK("http://slimages.macys.com/is/image/MCY/20753561 ")</f>
        <v xml:space="preserve">http://slimages.macys.com/is/image/MCY/20753561 </v>
      </c>
    </row>
    <row r="179" spans="1:14" ht="24.75" x14ac:dyDescent="0.25">
      <c r="A179" s="21" t="s">
        <v>17960</v>
      </c>
      <c r="B179" s="22" t="s">
        <v>17961</v>
      </c>
      <c r="C179" s="3">
        <v>8.1999999999999993</v>
      </c>
      <c r="D179" s="23">
        <v>26.99</v>
      </c>
      <c r="E179" s="3">
        <v>26.99</v>
      </c>
      <c r="F179" s="2" t="s">
        <v>19905</v>
      </c>
      <c r="G179" s="22" t="s">
        <v>19906</v>
      </c>
      <c r="H179" s="24" t="s">
        <v>20089</v>
      </c>
      <c r="I179" s="22" t="s">
        <v>19309</v>
      </c>
      <c r="J179" s="22" t="s">
        <v>19908</v>
      </c>
      <c r="K179" s="22" t="s">
        <v>19524</v>
      </c>
      <c r="L179" s="22"/>
      <c r="M179" s="22"/>
      <c r="N179" s="25" t="str">
        <f>HYPERLINK("http://slimages.macys.com/is/image/MCY/1472546 ")</f>
        <v xml:space="preserve">http://slimages.macys.com/is/image/MCY/1472546 </v>
      </c>
    </row>
    <row r="180" spans="1:14" ht="24.75" x14ac:dyDescent="0.25">
      <c r="A180" s="21" t="s">
        <v>19909</v>
      </c>
      <c r="B180" s="22" t="s">
        <v>19910</v>
      </c>
      <c r="C180" s="3">
        <v>8.1999999999999993</v>
      </c>
      <c r="D180" s="23">
        <v>16.989999999999998</v>
      </c>
      <c r="E180" s="3">
        <v>16.989999999999998</v>
      </c>
      <c r="F180" s="2" t="s">
        <v>19911</v>
      </c>
      <c r="G180" s="22" t="s">
        <v>19422</v>
      </c>
      <c r="H180" s="24" t="s">
        <v>19538</v>
      </c>
      <c r="I180" s="22" t="s">
        <v>19309</v>
      </c>
      <c r="J180" s="22" t="s">
        <v>19573</v>
      </c>
      <c r="K180" s="22" t="s">
        <v>19574</v>
      </c>
      <c r="L180" s="22"/>
      <c r="M180" s="22"/>
      <c r="N180" s="25" t="str">
        <f>HYPERLINK("http://slimages.macys.com/is/image/MCY/1646328 ")</f>
        <v xml:space="preserve">http://slimages.macys.com/is/image/MCY/1646328 </v>
      </c>
    </row>
    <row r="181" spans="1:14" ht="24.75" x14ac:dyDescent="0.25">
      <c r="A181" s="21" t="s">
        <v>17962</v>
      </c>
      <c r="B181" s="22" t="s">
        <v>17963</v>
      </c>
      <c r="C181" s="3">
        <v>8.1</v>
      </c>
      <c r="D181" s="23">
        <v>16</v>
      </c>
      <c r="E181" s="3">
        <v>16</v>
      </c>
      <c r="F181" s="2" t="s">
        <v>17964</v>
      </c>
      <c r="G181" s="22" t="s">
        <v>19618</v>
      </c>
      <c r="H181" s="24"/>
      <c r="I181" s="22" t="s">
        <v>19309</v>
      </c>
      <c r="J181" s="22" t="s">
        <v>20076</v>
      </c>
      <c r="K181" s="22" t="s">
        <v>17965</v>
      </c>
      <c r="L181" s="22" t="s">
        <v>17966</v>
      </c>
      <c r="M181" s="22" t="s">
        <v>19209</v>
      </c>
      <c r="N181" s="25" t="str">
        <f>HYPERLINK("http://slimages.macys.com/is/image/MCY/1209106 ")</f>
        <v xml:space="preserve">http://slimages.macys.com/is/image/MCY/1209106 </v>
      </c>
    </row>
    <row r="182" spans="1:14" ht="24.75" x14ac:dyDescent="0.25">
      <c r="A182" s="21" t="s">
        <v>17967</v>
      </c>
      <c r="B182" s="22" t="s">
        <v>17968</v>
      </c>
      <c r="C182" s="3">
        <v>16.02</v>
      </c>
      <c r="D182" s="23">
        <v>18.989999999999998</v>
      </c>
      <c r="E182" s="3">
        <v>37.979999999999997</v>
      </c>
      <c r="F182" s="2" t="s">
        <v>19914</v>
      </c>
      <c r="G182" s="22" t="s">
        <v>19713</v>
      </c>
      <c r="H182" s="24" t="s">
        <v>19770</v>
      </c>
      <c r="I182" s="22" t="s">
        <v>19309</v>
      </c>
      <c r="J182" s="22" t="s">
        <v>19573</v>
      </c>
      <c r="K182" s="22" t="s">
        <v>19574</v>
      </c>
      <c r="L182" s="22"/>
      <c r="M182" s="22"/>
      <c r="N182" s="25" t="str">
        <f t="shared" ref="N182:N187" si="0">HYPERLINK("http://slimages.macys.com/is/image/MCY/1322715 ")</f>
        <v xml:space="preserve">http://slimages.macys.com/is/image/MCY/1322715 </v>
      </c>
    </row>
    <row r="183" spans="1:14" ht="24.75" x14ac:dyDescent="0.25">
      <c r="A183" s="21" t="s">
        <v>19925</v>
      </c>
      <c r="B183" s="22" t="s">
        <v>19926</v>
      </c>
      <c r="C183" s="3">
        <v>8.01</v>
      </c>
      <c r="D183" s="23">
        <v>18.989999999999998</v>
      </c>
      <c r="E183" s="3">
        <v>18.989999999999998</v>
      </c>
      <c r="F183" s="2" t="s">
        <v>19914</v>
      </c>
      <c r="G183" s="22" t="s">
        <v>19713</v>
      </c>
      <c r="H183" s="24" t="s">
        <v>19538</v>
      </c>
      <c r="I183" s="22" t="s">
        <v>19309</v>
      </c>
      <c r="J183" s="22" t="s">
        <v>19573</v>
      </c>
      <c r="K183" s="22" t="s">
        <v>19574</v>
      </c>
      <c r="L183" s="22"/>
      <c r="M183" s="22"/>
      <c r="N183" s="25" t="str">
        <f t="shared" si="0"/>
        <v xml:space="preserve">http://slimages.macys.com/is/image/MCY/1322715 </v>
      </c>
    </row>
    <row r="184" spans="1:14" ht="24.75" x14ac:dyDescent="0.25">
      <c r="A184" s="21" t="s">
        <v>17969</v>
      </c>
      <c r="B184" s="22" t="s">
        <v>17970</v>
      </c>
      <c r="C184" s="3">
        <v>16.02</v>
      </c>
      <c r="D184" s="23">
        <v>18.989999999999998</v>
      </c>
      <c r="E184" s="3">
        <v>37.979999999999997</v>
      </c>
      <c r="F184" s="2">
        <v>10015242200</v>
      </c>
      <c r="G184" s="22" t="s">
        <v>19315</v>
      </c>
      <c r="H184" s="24" t="s">
        <v>19538</v>
      </c>
      <c r="I184" s="22" t="s">
        <v>19309</v>
      </c>
      <c r="J184" s="22" t="s">
        <v>19573</v>
      </c>
      <c r="K184" s="22" t="s">
        <v>19574</v>
      </c>
      <c r="L184" s="22"/>
      <c r="M184" s="22"/>
      <c r="N184" s="25" t="str">
        <f t="shared" si="0"/>
        <v xml:space="preserve">http://slimages.macys.com/is/image/MCY/1322715 </v>
      </c>
    </row>
    <row r="185" spans="1:14" ht="24.75" x14ac:dyDescent="0.25">
      <c r="A185" s="21" t="s">
        <v>19917</v>
      </c>
      <c r="B185" s="22" t="s">
        <v>19918</v>
      </c>
      <c r="C185" s="3">
        <v>24.03</v>
      </c>
      <c r="D185" s="23">
        <v>18.989999999999998</v>
      </c>
      <c r="E185" s="3">
        <v>56.97</v>
      </c>
      <c r="F185" s="2">
        <v>10015242200</v>
      </c>
      <c r="G185" s="22" t="s">
        <v>19315</v>
      </c>
      <c r="H185" s="24"/>
      <c r="I185" s="22" t="s">
        <v>19309</v>
      </c>
      <c r="J185" s="22" t="s">
        <v>19573</v>
      </c>
      <c r="K185" s="22" t="s">
        <v>19574</v>
      </c>
      <c r="L185" s="22"/>
      <c r="M185" s="22"/>
      <c r="N185" s="25" t="str">
        <f t="shared" si="0"/>
        <v xml:space="preserve">http://slimages.macys.com/is/image/MCY/1322715 </v>
      </c>
    </row>
    <row r="186" spans="1:14" ht="24.75" x14ac:dyDescent="0.25">
      <c r="A186" s="21" t="s">
        <v>19919</v>
      </c>
      <c r="B186" s="22" t="s">
        <v>19920</v>
      </c>
      <c r="C186" s="3">
        <v>24.03</v>
      </c>
      <c r="D186" s="23">
        <v>18.989999999999998</v>
      </c>
      <c r="E186" s="3">
        <v>56.97</v>
      </c>
      <c r="F186" s="2">
        <v>10015242300</v>
      </c>
      <c r="G186" s="22" t="s">
        <v>19518</v>
      </c>
      <c r="H186" s="24"/>
      <c r="I186" s="22" t="s">
        <v>19309</v>
      </c>
      <c r="J186" s="22" t="s">
        <v>19573</v>
      </c>
      <c r="K186" s="22" t="s">
        <v>19574</v>
      </c>
      <c r="L186" s="22"/>
      <c r="M186" s="22"/>
      <c r="N186" s="25" t="str">
        <f t="shared" si="0"/>
        <v xml:space="preserve">http://slimages.macys.com/is/image/MCY/1322715 </v>
      </c>
    </row>
    <row r="187" spans="1:14" ht="24.75" x14ac:dyDescent="0.25">
      <c r="A187" s="21" t="s">
        <v>17971</v>
      </c>
      <c r="B187" s="22" t="s">
        <v>17972</v>
      </c>
      <c r="C187" s="3">
        <v>8.01</v>
      </c>
      <c r="D187" s="23">
        <v>18.989999999999998</v>
      </c>
      <c r="E187" s="3">
        <v>18.989999999999998</v>
      </c>
      <c r="F187" s="2">
        <v>10015242200</v>
      </c>
      <c r="G187" s="22" t="s">
        <v>19315</v>
      </c>
      <c r="H187" s="24" t="s">
        <v>19770</v>
      </c>
      <c r="I187" s="22" t="s">
        <v>19309</v>
      </c>
      <c r="J187" s="22" t="s">
        <v>19573</v>
      </c>
      <c r="K187" s="22" t="s">
        <v>19574</v>
      </c>
      <c r="L187" s="22"/>
      <c r="M187" s="22"/>
      <c r="N187" s="25" t="str">
        <f t="shared" si="0"/>
        <v xml:space="preserve">http://slimages.macys.com/is/image/MCY/1322715 </v>
      </c>
    </row>
    <row r="188" spans="1:14" ht="24.75" x14ac:dyDescent="0.25">
      <c r="A188" s="21" t="s">
        <v>17973</v>
      </c>
      <c r="B188" s="22" t="s">
        <v>17974</v>
      </c>
      <c r="C188" s="3">
        <v>8</v>
      </c>
      <c r="D188" s="23">
        <v>19.989999999999998</v>
      </c>
      <c r="E188" s="3">
        <v>19.989999999999998</v>
      </c>
      <c r="F188" s="2" t="s">
        <v>17975</v>
      </c>
      <c r="G188" s="22" t="s">
        <v>19622</v>
      </c>
      <c r="H188" s="24"/>
      <c r="I188" s="22" t="s">
        <v>19309</v>
      </c>
      <c r="J188" s="22" t="s">
        <v>19417</v>
      </c>
      <c r="K188" s="22" t="s">
        <v>17976</v>
      </c>
      <c r="L188" s="22"/>
      <c r="M188" s="22"/>
      <c r="N188" s="25" t="str">
        <f>HYPERLINK("http://slimages.macys.com/is/image/MCY/21050305 ")</f>
        <v xml:space="preserve">http://slimages.macys.com/is/image/MCY/21050305 </v>
      </c>
    </row>
    <row r="189" spans="1:14" ht="24.75" x14ac:dyDescent="0.25">
      <c r="A189" s="21" t="s">
        <v>17977</v>
      </c>
      <c r="B189" s="22" t="s">
        <v>17978</v>
      </c>
      <c r="C189" s="3">
        <v>8</v>
      </c>
      <c r="D189" s="23">
        <v>18</v>
      </c>
      <c r="E189" s="3">
        <v>18</v>
      </c>
      <c r="F189" s="2" t="s">
        <v>17979</v>
      </c>
      <c r="G189" s="22" t="s">
        <v>19814</v>
      </c>
      <c r="H189" s="24" t="s">
        <v>19797</v>
      </c>
      <c r="I189" s="22" t="s">
        <v>19309</v>
      </c>
      <c r="J189" s="22" t="s">
        <v>20076</v>
      </c>
      <c r="K189" s="22" t="s">
        <v>17980</v>
      </c>
      <c r="L189" s="22" t="s">
        <v>19319</v>
      </c>
      <c r="M189" s="22" t="s">
        <v>17981</v>
      </c>
      <c r="N189" s="25" t="str">
        <f>HYPERLINK("http://slimages.macys.com/is/image/MCY/14555626 ")</f>
        <v xml:space="preserve">http://slimages.macys.com/is/image/MCY/14555626 </v>
      </c>
    </row>
    <row r="190" spans="1:14" ht="24.75" x14ac:dyDescent="0.25">
      <c r="A190" s="21" t="s">
        <v>17982</v>
      </c>
      <c r="B190" s="22" t="s">
        <v>17983</v>
      </c>
      <c r="C190" s="3">
        <v>7.94</v>
      </c>
      <c r="D190" s="23">
        <v>15.99</v>
      </c>
      <c r="E190" s="3">
        <v>15.99</v>
      </c>
      <c r="F190" s="2" t="s">
        <v>17984</v>
      </c>
      <c r="G190" s="22" t="s">
        <v>19351</v>
      </c>
      <c r="H190" s="24" t="s">
        <v>19384</v>
      </c>
      <c r="I190" s="22" t="s">
        <v>19309</v>
      </c>
      <c r="J190" s="22" t="s">
        <v>19573</v>
      </c>
      <c r="K190" s="22" t="s">
        <v>19574</v>
      </c>
      <c r="L190" s="22"/>
      <c r="M190" s="22"/>
      <c r="N190" s="25" t="str">
        <f>HYPERLINK("http://slimages.macys.com/is/image/MCY/20142456 ")</f>
        <v xml:space="preserve">http://slimages.macys.com/is/image/MCY/20142456 </v>
      </c>
    </row>
    <row r="191" spans="1:14" x14ac:dyDescent="0.25">
      <c r="A191" s="21" t="s">
        <v>17985</v>
      </c>
      <c r="B191" s="22" t="s">
        <v>17986</v>
      </c>
      <c r="C191" s="3">
        <v>7.93</v>
      </c>
      <c r="D191" s="23">
        <v>17.100000000000001</v>
      </c>
      <c r="E191" s="3">
        <v>17.100000000000001</v>
      </c>
      <c r="F191" s="2" t="s">
        <v>19942</v>
      </c>
      <c r="G191" s="22" t="s">
        <v>19431</v>
      </c>
      <c r="H191" s="24" t="s">
        <v>19770</v>
      </c>
      <c r="I191" s="22" t="s">
        <v>19309</v>
      </c>
      <c r="J191" s="22" t="s">
        <v>19708</v>
      </c>
      <c r="K191" s="22" t="s">
        <v>19709</v>
      </c>
      <c r="L191" s="22"/>
      <c r="M191" s="22"/>
      <c r="N191" s="25" t="str">
        <f>HYPERLINK("http://slimages.macys.com/is/image/MCY/19060488 ")</f>
        <v xml:space="preserve">http://slimages.macys.com/is/image/MCY/19060488 </v>
      </c>
    </row>
    <row r="192" spans="1:14" x14ac:dyDescent="0.25">
      <c r="A192" s="21" t="s">
        <v>17987</v>
      </c>
      <c r="B192" s="22" t="s">
        <v>17988</v>
      </c>
      <c r="C192" s="3">
        <v>7.93</v>
      </c>
      <c r="D192" s="23">
        <v>17.100000000000001</v>
      </c>
      <c r="E192" s="3">
        <v>17.100000000000001</v>
      </c>
      <c r="F192" s="2" t="s">
        <v>19945</v>
      </c>
      <c r="G192" s="22" t="s">
        <v>19342</v>
      </c>
      <c r="H192" s="24" t="s">
        <v>20152</v>
      </c>
      <c r="I192" s="22" t="s">
        <v>19309</v>
      </c>
      <c r="J192" s="22" t="s">
        <v>19708</v>
      </c>
      <c r="K192" s="22" t="s">
        <v>19709</v>
      </c>
      <c r="L192" s="22"/>
      <c r="M192" s="22"/>
      <c r="N192" s="25" t="str">
        <f>HYPERLINK("http://slimages.macys.com/is/image/MCY/19847234 ")</f>
        <v xml:space="preserve">http://slimages.macys.com/is/image/MCY/19847234 </v>
      </c>
    </row>
    <row r="193" spans="1:14" x14ac:dyDescent="0.25">
      <c r="A193" s="21" t="s">
        <v>19943</v>
      </c>
      <c r="B193" s="22" t="s">
        <v>19944</v>
      </c>
      <c r="C193" s="3">
        <v>7.93</v>
      </c>
      <c r="D193" s="23">
        <v>17.100000000000001</v>
      </c>
      <c r="E193" s="3">
        <v>17.100000000000001</v>
      </c>
      <c r="F193" s="2" t="s">
        <v>19945</v>
      </c>
      <c r="G193" s="22" t="s">
        <v>19342</v>
      </c>
      <c r="H193" s="24" t="s">
        <v>19770</v>
      </c>
      <c r="I193" s="22" t="s">
        <v>19309</v>
      </c>
      <c r="J193" s="22" t="s">
        <v>19708</v>
      </c>
      <c r="K193" s="22" t="s">
        <v>19709</v>
      </c>
      <c r="L193" s="22"/>
      <c r="M193" s="22"/>
      <c r="N193" s="25" t="str">
        <f>HYPERLINK("http://slimages.macys.com/is/image/MCY/19847234 ")</f>
        <v xml:space="preserve">http://slimages.macys.com/is/image/MCY/19847234 </v>
      </c>
    </row>
    <row r="194" spans="1:14" x14ac:dyDescent="0.25">
      <c r="A194" s="21" t="s">
        <v>17989</v>
      </c>
      <c r="B194" s="22" t="s">
        <v>17990</v>
      </c>
      <c r="C194" s="3">
        <v>7.93</v>
      </c>
      <c r="D194" s="23">
        <v>17.100000000000001</v>
      </c>
      <c r="E194" s="3">
        <v>17.100000000000001</v>
      </c>
      <c r="F194" s="2" t="s">
        <v>17991</v>
      </c>
      <c r="G194" s="22" t="s">
        <v>19342</v>
      </c>
      <c r="H194" s="24" t="s">
        <v>20152</v>
      </c>
      <c r="I194" s="22" t="s">
        <v>19309</v>
      </c>
      <c r="J194" s="22" t="s">
        <v>19708</v>
      </c>
      <c r="K194" s="22" t="s">
        <v>19709</v>
      </c>
      <c r="L194" s="22"/>
      <c r="M194" s="22"/>
      <c r="N194" s="25" t="str">
        <f>HYPERLINK("http://slimages.macys.com/is/image/MCY/17248800 ")</f>
        <v xml:space="preserve">http://slimages.macys.com/is/image/MCY/17248800 </v>
      </c>
    </row>
    <row r="195" spans="1:14" x14ac:dyDescent="0.25">
      <c r="A195" s="21" t="s">
        <v>17992</v>
      </c>
      <c r="B195" s="22" t="s">
        <v>17993</v>
      </c>
      <c r="C195" s="3">
        <v>7.93</v>
      </c>
      <c r="D195" s="23">
        <v>17.100000000000001</v>
      </c>
      <c r="E195" s="3">
        <v>17.100000000000001</v>
      </c>
      <c r="F195" s="2" t="s">
        <v>19945</v>
      </c>
      <c r="G195" s="22" t="s">
        <v>19342</v>
      </c>
      <c r="H195" s="24" t="s">
        <v>20159</v>
      </c>
      <c r="I195" s="22" t="s">
        <v>19309</v>
      </c>
      <c r="J195" s="22" t="s">
        <v>19708</v>
      </c>
      <c r="K195" s="22" t="s">
        <v>19709</v>
      </c>
      <c r="L195" s="22"/>
      <c r="M195" s="22"/>
      <c r="N195" s="25" t="str">
        <f>HYPERLINK("http://slimages.macys.com/is/image/MCY/19847234 ")</f>
        <v xml:space="preserve">http://slimages.macys.com/is/image/MCY/19847234 </v>
      </c>
    </row>
    <row r="196" spans="1:14" x14ac:dyDescent="0.25">
      <c r="A196" s="21" t="s">
        <v>17994</v>
      </c>
      <c r="B196" s="22" t="s">
        <v>17995</v>
      </c>
      <c r="C196" s="3">
        <v>7.9</v>
      </c>
      <c r="D196" s="23">
        <v>13.99</v>
      </c>
      <c r="E196" s="3">
        <v>13.99</v>
      </c>
      <c r="F196" s="2" t="s">
        <v>17996</v>
      </c>
      <c r="G196" s="22" t="s">
        <v>19801</v>
      </c>
      <c r="H196" s="24" t="s">
        <v>19432</v>
      </c>
      <c r="I196" s="22" t="s">
        <v>19309</v>
      </c>
      <c r="J196" s="22" t="s">
        <v>19310</v>
      </c>
      <c r="K196" s="22" t="s">
        <v>19468</v>
      </c>
      <c r="L196" s="22"/>
      <c r="M196" s="22"/>
      <c r="N196" s="25" t="str">
        <f>HYPERLINK("http://slimages.macys.com/is/image/MCY/21018757 ")</f>
        <v xml:space="preserve">http://slimages.macys.com/is/image/MCY/21018757 </v>
      </c>
    </row>
    <row r="197" spans="1:14" x14ac:dyDescent="0.25">
      <c r="A197" s="21" t="s">
        <v>17997</v>
      </c>
      <c r="B197" s="22" t="s">
        <v>17998</v>
      </c>
      <c r="C197" s="3">
        <v>7.9</v>
      </c>
      <c r="D197" s="23">
        <v>13.99</v>
      </c>
      <c r="E197" s="3">
        <v>13.99</v>
      </c>
      <c r="F197" s="2" t="s">
        <v>17996</v>
      </c>
      <c r="G197" s="22" t="s">
        <v>19801</v>
      </c>
      <c r="H197" s="24" t="s">
        <v>19542</v>
      </c>
      <c r="I197" s="22" t="s">
        <v>19309</v>
      </c>
      <c r="J197" s="22" t="s">
        <v>19310</v>
      </c>
      <c r="K197" s="22" t="s">
        <v>19468</v>
      </c>
      <c r="L197" s="22"/>
      <c r="M197" s="22"/>
      <c r="N197" s="25" t="str">
        <f>HYPERLINK("http://slimages.macys.com/is/image/MCY/21018757 ")</f>
        <v xml:space="preserve">http://slimages.macys.com/is/image/MCY/21018757 </v>
      </c>
    </row>
    <row r="198" spans="1:14" ht="24.75" x14ac:dyDescent="0.25">
      <c r="A198" s="21" t="s">
        <v>17999</v>
      </c>
      <c r="B198" s="22" t="s">
        <v>18000</v>
      </c>
      <c r="C198" s="3">
        <v>7.89</v>
      </c>
      <c r="D198" s="23">
        <v>16.989999999999998</v>
      </c>
      <c r="E198" s="3">
        <v>16.989999999999998</v>
      </c>
      <c r="F198" s="2" t="s">
        <v>18001</v>
      </c>
      <c r="G198" s="22" t="s">
        <v>19404</v>
      </c>
      <c r="H198" s="24" t="s">
        <v>19308</v>
      </c>
      <c r="I198" s="22" t="s">
        <v>19309</v>
      </c>
      <c r="J198" s="22" t="s">
        <v>19815</v>
      </c>
      <c r="K198" s="22" t="s">
        <v>19816</v>
      </c>
      <c r="L198" s="22"/>
      <c r="M198" s="22"/>
      <c r="N198" s="25" t="str">
        <f>HYPERLINK("http://slimages.macys.com/is/image/MCY/21278571 ")</f>
        <v xml:space="preserve">http://slimages.macys.com/is/image/MCY/21278571 </v>
      </c>
    </row>
    <row r="199" spans="1:14" x14ac:dyDescent="0.25">
      <c r="A199" s="21" t="s">
        <v>18002</v>
      </c>
      <c r="B199" s="22" t="s">
        <v>18003</v>
      </c>
      <c r="C199" s="3">
        <v>7.89</v>
      </c>
      <c r="D199" s="23">
        <v>17.010000000000002</v>
      </c>
      <c r="E199" s="3">
        <v>17.010000000000002</v>
      </c>
      <c r="F199" s="2" t="s">
        <v>18004</v>
      </c>
      <c r="G199" s="22" t="s">
        <v>19333</v>
      </c>
      <c r="H199" s="24" t="s">
        <v>19770</v>
      </c>
      <c r="I199" s="22" t="s">
        <v>19309</v>
      </c>
      <c r="J199" s="22" t="s">
        <v>19708</v>
      </c>
      <c r="K199" s="22" t="s">
        <v>19709</v>
      </c>
      <c r="L199" s="22"/>
      <c r="M199" s="22"/>
      <c r="N199" s="25" t="str">
        <f>HYPERLINK("http://slimages.macys.com/is/image/MCY/19063267 ")</f>
        <v xml:space="preserve">http://slimages.macys.com/is/image/MCY/19063267 </v>
      </c>
    </row>
    <row r="200" spans="1:14" ht="24.75" x14ac:dyDescent="0.25">
      <c r="A200" s="21" t="s">
        <v>18005</v>
      </c>
      <c r="B200" s="22" t="s">
        <v>18006</v>
      </c>
      <c r="C200" s="3">
        <v>7.84</v>
      </c>
      <c r="D200" s="23">
        <v>15.99</v>
      </c>
      <c r="E200" s="3">
        <v>15.99</v>
      </c>
      <c r="F200" s="2" t="s">
        <v>18007</v>
      </c>
      <c r="G200" s="22" t="s">
        <v>19585</v>
      </c>
      <c r="H200" s="24" t="s">
        <v>19416</v>
      </c>
      <c r="I200" s="22" t="s">
        <v>19309</v>
      </c>
      <c r="J200" s="22" t="s">
        <v>19573</v>
      </c>
      <c r="K200" s="22" t="s">
        <v>19574</v>
      </c>
      <c r="L200" s="22"/>
      <c r="M200" s="22"/>
      <c r="N200" s="25" t="str">
        <f>HYPERLINK("http://slimages.macys.com/is/image/MCY/1806362 ")</f>
        <v xml:space="preserve">http://slimages.macys.com/is/image/MCY/1806362 </v>
      </c>
    </row>
    <row r="201" spans="1:14" ht="24.75" x14ac:dyDescent="0.25">
      <c r="A201" s="21" t="s">
        <v>18008</v>
      </c>
      <c r="B201" s="22" t="s">
        <v>18009</v>
      </c>
      <c r="C201" s="3">
        <v>7.84</v>
      </c>
      <c r="D201" s="23">
        <v>15.99</v>
      </c>
      <c r="E201" s="3">
        <v>15.99</v>
      </c>
      <c r="F201" s="2" t="s">
        <v>18010</v>
      </c>
      <c r="G201" s="22" t="s">
        <v>19477</v>
      </c>
      <c r="H201" s="24" t="s">
        <v>19330</v>
      </c>
      <c r="I201" s="22" t="s">
        <v>19309</v>
      </c>
      <c r="J201" s="22" t="s">
        <v>19573</v>
      </c>
      <c r="K201" s="22" t="s">
        <v>19574</v>
      </c>
      <c r="L201" s="22"/>
      <c r="M201" s="22"/>
      <c r="N201" s="25" t="str">
        <f>HYPERLINK("http://slimages.macys.com/is/image/MCY/1290284 ")</f>
        <v xml:space="preserve">http://slimages.macys.com/is/image/MCY/1290284 </v>
      </c>
    </row>
    <row r="202" spans="1:14" ht="24.75" x14ac:dyDescent="0.25">
      <c r="A202" s="21" t="s">
        <v>18011</v>
      </c>
      <c r="B202" s="22" t="s">
        <v>18012</v>
      </c>
      <c r="C202" s="3">
        <v>7.84</v>
      </c>
      <c r="D202" s="23">
        <v>15.99</v>
      </c>
      <c r="E202" s="3">
        <v>15.99</v>
      </c>
      <c r="F202" s="2" t="s">
        <v>18010</v>
      </c>
      <c r="G202" s="22" t="s">
        <v>19477</v>
      </c>
      <c r="H202" s="24" t="s">
        <v>19384</v>
      </c>
      <c r="I202" s="22" t="s">
        <v>19309</v>
      </c>
      <c r="J202" s="22" t="s">
        <v>19573</v>
      </c>
      <c r="K202" s="22" t="s">
        <v>19574</v>
      </c>
      <c r="L202" s="22"/>
      <c r="M202" s="22"/>
      <c r="N202" s="25" t="str">
        <f>HYPERLINK("http://slimages.macys.com/is/image/MCY/1290284 ")</f>
        <v xml:space="preserve">http://slimages.macys.com/is/image/MCY/1290284 </v>
      </c>
    </row>
    <row r="203" spans="1:14" ht="24.75" x14ac:dyDescent="0.25">
      <c r="A203" s="21" t="s">
        <v>18013</v>
      </c>
      <c r="B203" s="22" t="s">
        <v>18014</v>
      </c>
      <c r="C203" s="3">
        <v>7.83</v>
      </c>
      <c r="D203" s="23">
        <v>21.99</v>
      </c>
      <c r="E203" s="3">
        <v>21.99</v>
      </c>
      <c r="F203" s="2" t="s">
        <v>18015</v>
      </c>
      <c r="G203" s="22"/>
      <c r="H203" s="24" t="s">
        <v>19352</v>
      </c>
      <c r="I203" s="22" t="s">
        <v>19309</v>
      </c>
      <c r="J203" s="22" t="s">
        <v>19353</v>
      </c>
      <c r="K203" s="22" t="s">
        <v>19524</v>
      </c>
      <c r="L203" s="22"/>
      <c r="M203" s="22"/>
      <c r="N203" s="25" t="str">
        <f>HYPERLINK("http://slimages.macys.com/is/image/MCY/18721914 ")</f>
        <v xml:space="preserve">http://slimages.macys.com/is/image/MCY/18721914 </v>
      </c>
    </row>
    <row r="204" spans="1:14" x14ac:dyDescent="0.25">
      <c r="A204" s="21" t="s">
        <v>18016</v>
      </c>
      <c r="B204" s="22" t="s">
        <v>18017</v>
      </c>
      <c r="C204" s="3">
        <v>15.6</v>
      </c>
      <c r="D204" s="23">
        <v>21.99</v>
      </c>
      <c r="E204" s="3">
        <v>43.98</v>
      </c>
      <c r="F204" s="2" t="s">
        <v>18018</v>
      </c>
      <c r="G204" s="22" t="s">
        <v>19342</v>
      </c>
      <c r="H204" s="24" t="s">
        <v>19478</v>
      </c>
      <c r="I204" s="22" t="s">
        <v>19309</v>
      </c>
      <c r="J204" s="22" t="s">
        <v>19696</v>
      </c>
      <c r="K204" s="22" t="s">
        <v>19965</v>
      </c>
      <c r="L204" s="22"/>
      <c r="M204" s="22"/>
      <c r="N204" s="25" t="str">
        <f>HYPERLINK("http://slimages.macys.com/is/image/MCY/21530622 ")</f>
        <v xml:space="preserve">http://slimages.macys.com/is/image/MCY/21530622 </v>
      </c>
    </row>
    <row r="205" spans="1:14" ht="24.75" x14ac:dyDescent="0.25">
      <c r="A205" s="21" t="s">
        <v>18019</v>
      </c>
      <c r="B205" s="22" t="s">
        <v>18020</v>
      </c>
      <c r="C205" s="3">
        <v>7.8</v>
      </c>
      <c r="D205" s="23">
        <v>17.329999999999998</v>
      </c>
      <c r="E205" s="3">
        <v>17.329999999999998</v>
      </c>
      <c r="F205" s="2" t="s">
        <v>18021</v>
      </c>
      <c r="G205" s="22" t="s">
        <v>19618</v>
      </c>
      <c r="H205" s="24" t="s">
        <v>19308</v>
      </c>
      <c r="I205" s="22" t="s">
        <v>19309</v>
      </c>
      <c r="J205" s="22" t="s">
        <v>19565</v>
      </c>
      <c r="K205" s="22" t="s">
        <v>18548</v>
      </c>
      <c r="L205" s="22"/>
      <c r="M205" s="22"/>
      <c r="N205" s="25" t="str">
        <f>HYPERLINK("http://slimages.macys.com/is/image/MCY/21314532 ")</f>
        <v xml:space="preserve">http://slimages.macys.com/is/image/MCY/21314532 </v>
      </c>
    </row>
    <row r="206" spans="1:14" x14ac:dyDescent="0.25">
      <c r="A206" s="21" t="s">
        <v>18022</v>
      </c>
      <c r="B206" s="22" t="s">
        <v>18023</v>
      </c>
      <c r="C206" s="3">
        <v>7.8</v>
      </c>
      <c r="D206" s="23">
        <v>21.99</v>
      </c>
      <c r="E206" s="3">
        <v>21.99</v>
      </c>
      <c r="F206" s="2" t="s">
        <v>18024</v>
      </c>
      <c r="G206" s="22" t="s">
        <v>19342</v>
      </c>
      <c r="H206" s="24"/>
      <c r="I206" s="22" t="s">
        <v>19309</v>
      </c>
      <c r="J206" s="22" t="s">
        <v>19696</v>
      </c>
      <c r="K206" s="22" t="s">
        <v>19965</v>
      </c>
      <c r="L206" s="22"/>
      <c r="M206" s="22"/>
      <c r="N206" s="25" t="str">
        <f>HYPERLINK("http://slimages.macys.com/is/image/MCY/21708519 ")</f>
        <v xml:space="preserve">http://slimages.macys.com/is/image/MCY/21708519 </v>
      </c>
    </row>
    <row r="207" spans="1:14" x14ac:dyDescent="0.25">
      <c r="A207" s="21" t="s">
        <v>19970</v>
      </c>
      <c r="B207" s="22" t="s">
        <v>19971</v>
      </c>
      <c r="C207" s="3">
        <v>7.77</v>
      </c>
      <c r="D207" s="23">
        <v>24.5</v>
      </c>
      <c r="E207" s="3">
        <v>24.5</v>
      </c>
      <c r="F207" s="2" t="s">
        <v>19972</v>
      </c>
      <c r="G207" s="22" t="s">
        <v>19477</v>
      </c>
      <c r="H207" s="24" t="s">
        <v>19352</v>
      </c>
      <c r="I207" s="22" t="s">
        <v>19309</v>
      </c>
      <c r="J207" s="22" t="s">
        <v>19849</v>
      </c>
      <c r="K207" s="22" t="s">
        <v>19850</v>
      </c>
      <c r="L207" s="22"/>
      <c r="M207" s="22"/>
      <c r="N207" s="25" t="str">
        <f>HYPERLINK("http://slimages.macys.com/is/image/MCY/20549465 ")</f>
        <v xml:space="preserve">http://slimages.macys.com/is/image/MCY/20549465 </v>
      </c>
    </row>
    <row r="208" spans="1:14" x14ac:dyDescent="0.25">
      <c r="A208" s="21" t="s">
        <v>18025</v>
      </c>
      <c r="B208" s="22" t="s">
        <v>18026</v>
      </c>
      <c r="C208" s="3">
        <v>7.77</v>
      </c>
      <c r="D208" s="23">
        <v>24.5</v>
      </c>
      <c r="E208" s="3">
        <v>24.5</v>
      </c>
      <c r="F208" s="2" t="s">
        <v>19972</v>
      </c>
      <c r="G208" s="22" t="s">
        <v>19477</v>
      </c>
      <c r="H208" s="24" t="s">
        <v>19797</v>
      </c>
      <c r="I208" s="22" t="s">
        <v>19309</v>
      </c>
      <c r="J208" s="22" t="s">
        <v>19849</v>
      </c>
      <c r="K208" s="22" t="s">
        <v>19850</v>
      </c>
      <c r="L208" s="22"/>
      <c r="M208" s="22"/>
      <c r="N208" s="25" t="str">
        <f>HYPERLINK("http://slimages.macys.com/is/image/MCY/20549465 ")</f>
        <v xml:space="preserve">http://slimages.macys.com/is/image/MCY/20549465 </v>
      </c>
    </row>
    <row r="209" spans="1:14" ht="24.75" x14ac:dyDescent="0.25">
      <c r="A209" s="21" t="s">
        <v>18027</v>
      </c>
      <c r="B209" s="22" t="s">
        <v>18028</v>
      </c>
      <c r="C209" s="3">
        <v>7.75</v>
      </c>
      <c r="D209" s="23">
        <v>24.22</v>
      </c>
      <c r="E209" s="3">
        <v>24.22</v>
      </c>
      <c r="F209" s="2" t="s">
        <v>18029</v>
      </c>
      <c r="G209" s="22" t="s">
        <v>18821</v>
      </c>
      <c r="H209" s="24" t="s">
        <v>19352</v>
      </c>
      <c r="I209" s="22" t="s">
        <v>19309</v>
      </c>
      <c r="J209" s="22" t="s">
        <v>19595</v>
      </c>
      <c r="K209" s="22" t="s">
        <v>19423</v>
      </c>
      <c r="L209" s="22"/>
      <c r="M209" s="22"/>
      <c r="N209" s="25" t="str">
        <f>HYPERLINK("http://slimages.macys.com/is/image/MCY/20918682 ")</f>
        <v xml:space="preserve">http://slimages.macys.com/is/image/MCY/20918682 </v>
      </c>
    </row>
    <row r="210" spans="1:14" ht="24.75" x14ac:dyDescent="0.25">
      <c r="A210" s="21" t="s">
        <v>18030</v>
      </c>
      <c r="B210" s="22" t="s">
        <v>18031</v>
      </c>
      <c r="C210" s="3">
        <v>7.75</v>
      </c>
      <c r="D210" s="23">
        <v>18.989999999999998</v>
      </c>
      <c r="E210" s="3">
        <v>18.989999999999998</v>
      </c>
      <c r="F210" s="2" t="s">
        <v>18032</v>
      </c>
      <c r="G210" s="22"/>
      <c r="H210" s="24" t="s">
        <v>19316</v>
      </c>
      <c r="I210" s="22" t="s">
        <v>19309</v>
      </c>
      <c r="J210" s="22" t="s">
        <v>19595</v>
      </c>
      <c r="K210" s="22" t="s">
        <v>18033</v>
      </c>
      <c r="L210" s="22"/>
      <c r="M210" s="22"/>
      <c r="N210" s="25" t="str">
        <f>HYPERLINK("http://slimages.macys.com/is/image/MCY/21358492 ")</f>
        <v xml:space="preserve">http://slimages.macys.com/is/image/MCY/21358492 </v>
      </c>
    </row>
    <row r="211" spans="1:14" ht="24.75" x14ac:dyDescent="0.25">
      <c r="A211" s="21" t="s">
        <v>18034</v>
      </c>
      <c r="B211" s="22" t="s">
        <v>18035</v>
      </c>
      <c r="C211" s="3">
        <v>7.75</v>
      </c>
      <c r="D211" s="23">
        <v>24.22</v>
      </c>
      <c r="E211" s="3">
        <v>24.22</v>
      </c>
      <c r="F211" s="2" t="s">
        <v>18029</v>
      </c>
      <c r="G211" s="22" t="s">
        <v>19814</v>
      </c>
      <c r="H211" s="24" t="s">
        <v>19797</v>
      </c>
      <c r="I211" s="22" t="s">
        <v>19309</v>
      </c>
      <c r="J211" s="22" t="s">
        <v>19595</v>
      </c>
      <c r="K211" s="22" t="s">
        <v>19423</v>
      </c>
      <c r="L211" s="22"/>
      <c r="M211" s="22"/>
      <c r="N211" s="25" t="str">
        <f>HYPERLINK("http://slimages.macys.com/is/image/MCY/20918682 ")</f>
        <v xml:space="preserve">http://slimages.macys.com/is/image/MCY/20918682 </v>
      </c>
    </row>
    <row r="212" spans="1:14" ht="24.75" x14ac:dyDescent="0.25">
      <c r="A212" s="21" t="s">
        <v>18036</v>
      </c>
      <c r="B212" s="22" t="s">
        <v>18037</v>
      </c>
      <c r="C212" s="3">
        <v>7.7</v>
      </c>
      <c r="D212" s="23">
        <v>15.99</v>
      </c>
      <c r="E212" s="3">
        <v>15.99</v>
      </c>
      <c r="F212" s="2" t="s">
        <v>18038</v>
      </c>
      <c r="G212" s="22" t="s">
        <v>19674</v>
      </c>
      <c r="H212" s="24" t="s">
        <v>19339</v>
      </c>
      <c r="I212" s="22" t="s">
        <v>19309</v>
      </c>
      <c r="J212" s="22" t="s">
        <v>19508</v>
      </c>
      <c r="K212" s="22" t="s">
        <v>18039</v>
      </c>
      <c r="L212" s="22"/>
      <c r="M212" s="22"/>
      <c r="N212" s="25" t="str">
        <f>HYPERLINK("http://slimages.macys.com/is/image/MCY/19785404 ")</f>
        <v xml:space="preserve">http://slimages.macys.com/is/image/MCY/19785404 </v>
      </c>
    </row>
    <row r="213" spans="1:14" ht="24.75" x14ac:dyDescent="0.25">
      <c r="A213" s="21" t="s">
        <v>18040</v>
      </c>
      <c r="B213" s="22" t="s">
        <v>18041</v>
      </c>
      <c r="C213" s="3">
        <v>7.68</v>
      </c>
      <c r="D213" s="23">
        <v>19.989999999999998</v>
      </c>
      <c r="E213" s="3">
        <v>19.989999999999998</v>
      </c>
      <c r="F213" s="2" t="s">
        <v>18042</v>
      </c>
      <c r="G213" s="22" t="s">
        <v>19351</v>
      </c>
      <c r="H213" s="24" t="s">
        <v>19416</v>
      </c>
      <c r="I213" s="22" t="s">
        <v>19309</v>
      </c>
      <c r="J213" s="22" t="s">
        <v>19573</v>
      </c>
      <c r="K213" s="22" t="s">
        <v>19574</v>
      </c>
      <c r="L213" s="22"/>
      <c r="M213" s="22"/>
      <c r="N213" s="25" t="str">
        <f>HYPERLINK("http://slimages.macys.com/is/image/MCY/21209241 ")</f>
        <v xml:space="preserve">http://slimages.macys.com/is/image/MCY/21209241 </v>
      </c>
    </row>
    <row r="214" spans="1:14" ht="24.75" x14ac:dyDescent="0.25">
      <c r="A214" s="21" t="s">
        <v>18043</v>
      </c>
      <c r="B214" s="22" t="s">
        <v>18044</v>
      </c>
      <c r="C214" s="3">
        <v>7.67</v>
      </c>
      <c r="D214" s="23">
        <v>17.989999999999998</v>
      </c>
      <c r="E214" s="3">
        <v>17.989999999999998</v>
      </c>
      <c r="F214" s="2" t="s">
        <v>18045</v>
      </c>
      <c r="G214" s="22"/>
      <c r="H214" s="24" t="s">
        <v>19392</v>
      </c>
      <c r="I214" s="22" t="s">
        <v>19309</v>
      </c>
      <c r="J214" s="22" t="s">
        <v>19454</v>
      </c>
      <c r="K214" s="22" t="s">
        <v>19524</v>
      </c>
      <c r="L214" s="22"/>
      <c r="M214" s="22"/>
      <c r="N214" s="25" t="str">
        <f>HYPERLINK("http://slimages.macys.com/is/image/MCY/19568570 ")</f>
        <v xml:space="preserve">http://slimages.macys.com/is/image/MCY/19568570 </v>
      </c>
    </row>
    <row r="215" spans="1:14" ht="24.75" x14ac:dyDescent="0.25">
      <c r="A215" s="21" t="s">
        <v>18046</v>
      </c>
      <c r="B215" s="22" t="s">
        <v>18047</v>
      </c>
      <c r="C215" s="3">
        <v>7.65</v>
      </c>
      <c r="D215" s="23">
        <v>23.99</v>
      </c>
      <c r="E215" s="3">
        <v>23.99</v>
      </c>
      <c r="F215" s="2" t="s">
        <v>19991</v>
      </c>
      <c r="G215" s="22" t="s">
        <v>19315</v>
      </c>
      <c r="H215" s="24" t="s">
        <v>19384</v>
      </c>
      <c r="I215" s="22" t="s">
        <v>19309</v>
      </c>
      <c r="J215" s="22" t="s">
        <v>19573</v>
      </c>
      <c r="K215" s="22" t="s">
        <v>19574</v>
      </c>
      <c r="L215" s="22"/>
      <c r="M215" s="22"/>
      <c r="N215" s="25" t="str">
        <f>HYPERLINK("http://slimages.macys.com/is/image/MCY/21209525 ")</f>
        <v xml:space="preserve">http://slimages.macys.com/is/image/MCY/21209525 </v>
      </c>
    </row>
    <row r="216" spans="1:14" ht="24.75" x14ac:dyDescent="0.25">
      <c r="A216" s="21" t="s">
        <v>18048</v>
      </c>
      <c r="B216" s="22" t="s">
        <v>18049</v>
      </c>
      <c r="C216" s="3">
        <v>7.65</v>
      </c>
      <c r="D216" s="23">
        <v>23.99</v>
      </c>
      <c r="E216" s="3">
        <v>23.99</v>
      </c>
      <c r="F216" s="2" t="s">
        <v>18050</v>
      </c>
      <c r="G216" s="22" t="s">
        <v>19351</v>
      </c>
      <c r="H216" s="24" t="s">
        <v>19324</v>
      </c>
      <c r="I216" s="22" t="s">
        <v>19309</v>
      </c>
      <c r="J216" s="22" t="s">
        <v>19573</v>
      </c>
      <c r="K216" s="22" t="s">
        <v>19574</v>
      </c>
      <c r="L216" s="22"/>
      <c r="M216" s="22"/>
      <c r="N216" s="25" t="str">
        <f>HYPERLINK("http://slimages.macys.com/is/image/MCY/21209532 ")</f>
        <v xml:space="preserve">http://slimages.macys.com/is/image/MCY/21209532 </v>
      </c>
    </row>
    <row r="217" spans="1:14" ht="24.75" x14ac:dyDescent="0.25">
      <c r="A217" s="21" t="s">
        <v>18051</v>
      </c>
      <c r="B217" s="22" t="s">
        <v>18052</v>
      </c>
      <c r="C217" s="3">
        <v>7.65</v>
      </c>
      <c r="D217" s="23">
        <v>23.99</v>
      </c>
      <c r="E217" s="3">
        <v>23.99</v>
      </c>
      <c r="F217" s="2" t="s">
        <v>18050</v>
      </c>
      <c r="G217" s="22" t="s">
        <v>19351</v>
      </c>
      <c r="H217" s="24" t="s">
        <v>19538</v>
      </c>
      <c r="I217" s="22" t="s">
        <v>19309</v>
      </c>
      <c r="J217" s="22" t="s">
        <v>19573</v>
      </c>
      <c r="K217" s="22" t="s">
        <v>19574</v>
      </c>
      <c r="L217" s="22"/>
      <c r="M217" s="22"/>
      <c r="N217" s="25" t="str">
        <f>HYPERLINK("http://slimages.macys.com/is/image/MCY/21209532 ")</f>
        <v xml:space="preserve">http://slimages.macys.com/is/image/MCY/21209532 </v>
      </c>
    </row>
    <row r="218" spans="1:14" x14ac:dyDescent="0.25">
      <c r="A218" s="21" t="s">
        <v>20003</v>
      </c>
      <c r="B218" s="22" t="s">
        <v>20004</v>
      </c>
      <c r="C218" s="3">
        <v>7.58</v>
      </c>
      <c r="D218" s="23">
        <v>16.989999999999998</v>
      </c>
      <c r="E218" s="3">
        <v>16.989999999999998</v>
      </c>
      <c r="F218" s="2" t="s">
        <v>20002</v>
      </c>
      <c r="G218" s="22" t="s">
        <v>19674</v>
      </c>
      <c r="H218" s="24" t="s">
        <v>19364</v>
      </c>
      <c r="I218" s="22" t="s">
        <v>19309</v>
      </c>
      <c r="J218" s="22" t="s">
        <v>19849</v>
      </c>
      <c r="K218" s="22" t="s">
        <v>19850</v>
      </c>
      <c r="L218" s="22"/>
      <c r="M218" s="22"/>
      <c r="N218" s="25" t="str">
        <f>HYPERLINK("http://slimages.macys.com/is/image/MCY/20549392 ")</f>
        <v xml:space="preserve">http://slimages.macys.com/is/image/MCY/20549392 </v>
      </c>
    </row>
    <row r="219" spans="1:14" x14ac:dyDescent="0.25">
      <c r="A219" s="21" t="s">
        <v>18053</v>
      </c>
      <c r="B219" s="22" t="s">
        <v>18054</v>
      </c>
      <c r="C219" s="3">
        <v>15.16</v>
      </c>
      <c r="D219" s="23">
        <v>19.989999999999998</v>
      </c>
      <c r="E219" s="3">
        <v>39.979999999999997</v>
      </c>
      <c r="F219" s="2" t="s">
        <v>20015</v>
      </c>
      <c r="G219" s="22" t="s">
        <v>19431</v>
      </c>
      <c r="H219" s="24" t="s">
        <v>19364</v>
      </c>
      <c r="I219" s="22" t="s">
        <v>19309</v>
      </c>
      <c r="J219" s="22" t="s">
        <v>19849</v>
      </c>
      <c r="K219" s="22" t="s">
        <v>19850</v>
      </c>
      <c r="L219" s="22"/>
      <c r="M219" s="22"/>
      <c r="N219" s="25" t="str">
        <f>HYPERLINK("http://slimages.macys.com/is/image/MCY/20752046 ")</f>
        <v xml:space="preserve">http://slimages.macys.com/is/image/MCY/20752046 </v>
      </c>
    </row>
    <row r="220" spans="1:14" x14ac:dyDescent="0.25">
      <c r="A220" s="21" t="s">
        <v>18055</v>
      </c>
      <c r="B220" s="22" t="s">
        <v>18056</v>
      </c>
      <c r="C220" s="3">
        <v>7.58</v>
      </c>
      <c r="D220" s="23">
        <v>16.989999999999998</v>
      </c>
      <c r="E220" s="3">
        <v>16.989999999999998</v>
      </c>
      <c r="F220" s="2" t="s">
        <v>20002</v>
      </c>
      <c r="G220" s="22" t="s">
        <v>19315</v>
      </c>
      <c r="H220" s="24" t="s">
        <v>19797</v>
      </c>
      <c r="I220" s="22" t="s">
        <v>19309</v>
      </c>
      <c r="J220" s="22" t="s">
        <v>19849</v>
      </c>
      <c r="K220" s="22" t="s">
        <v>19850</v>
      </c>
      <c r="L220" s="22"/>
      <c r="M220" s="22"/>
      <c r="N220" s="25" t="str">
        <f>HYPERLINK("http://slimages.macys.com/is/image/MCY/20549392 ")</f>
        <v xml:space="preserve">http://slimages.macys.com/is/image/MCY/20549392 </v>
      </c>
    </row>
    <row r="221" spans="1:14" x14ac:dyDescent="0.25">
      <c r="A221" s="21" t="s">
        <v>18057</v>
      </c>
      <c r="B221" s="22" t="s">
        <v>18058</v>
      </c>
      <c r="C221" s="3">
        <v>7.58</v>
      </c>
      <c r="D221" s="23">
        <v>19.989999999999998</v>
      </c>
      <c r="E221" s="3">
        <v>19.989999999999998</v>
      </c>
      <c r="F221" s="2" t="s">
        <v>20015</v>
      </c>
      <c r="G221" s="22" t="s">
        <v>19431</v>
      </c>
      <c r="H221" s="24" t="s">
        <v>19339</v>
      </c>
      <c r="I221" s="22" t="s">
        <v>19309</v>
      </c>
      <c r="J221" s="22" t="s">
        <v>19849</v>
      </c>
      <c r="K221" s="22" t="s">
        <v>19850</v>
      </c>
      <c r="L221" s="22"/>
      <c r="M221" s="22"/>
      <c r="N221" s="25" t="str">
        <f>HYPERLINK("http://slimages.macys.com/is/image/MCY/20752046 ")</f>
        <v xml:space="preserve">http://slimages.macys.com/is/image/MCY/20752046 </v>
      </c>
    </row>
    <row r="222" spans="1:14" ht="24.75" x14ac:dyDescent="0.25">
      <c r="A222" s="21" t="s">
        <v>18059</v>
      </c>
      <c r="B222" s="22" t="s">
        <v>18060</v>
      </c>
      <c r="C222" s="3">
        <v>7.56</v>
      </c>
      <c r="D222" s="23">
        <v>18.989999999999998</v>
      </c>
      <c r="E222" s="3">
        <v>18.989999999999998</v>
      </c>
      <c r="F222" s="2" t="s">
        <v>20018</v>
      </c>
      <c r="G222" s="22" t="s">
        <v>19585</v>
      </c>
      <c r="H222" s="24" t="s">
        <v>19538</v>
      </c>
      <c r="I222" s="22" t="s">
        <v>19309</v>
      </c>
      <c r="J222" s="22" t="s">
        <v>19573</v>
      </c>
      <c r="K222" s="22" t="s">
        <v>19574</v>
      </c>
      <c r="L222" s="22"/>
      <c r="M222" s="22"/>
      <c r="N222" s="25" t="str">
        <f>HYPERLINK("http://slimages.macys.com/is/image/MCY/20142548 ")</f>
        <v xml:space="preserve">http://slimages.macys.com/is/image/MCY/20142548 </v>
      </c>
    </row>
    <row r="223" spans="1:14" ht="24.75" x14ac:dyDescent="0.25">
      <c r="A223" s="21" t="s">
        <v>18061</v>
      </c>
      <c r="B223" s="22" t="s">
        <v>18062</v>
      </c>
      <c r="C223" s="3">
        <v>7.52</v>
      </c>
      <c r="D223" s="23">
        <v>20.99</v>
      </c>
      <c r="E223" s="3">
        <v>20.99</v>
      </c>
      <c r="F223" s="2" t="s">
        <v>18063</v>
      </c>
      <c r="G223" s="22" t="s">
        <v>19342</v>
      </c>
      <c r="H223" s="24" t="s">
        <v>19324</v>
      </c>
      <c r="I223" s="22" t="s">
        <v>19309</v>
      </c>
      <c r="J223" s="22" t="s">
        <v>19385</v>
      </c>
      <c r="K223" s="22" t="s">
        <v>18064</v>
      </c>
      <c r="L223" s="22"/>
      <c r="M223" s="22"/>
      <c r="N223" s="25" t="str">
        <f>HYPERLINK("http://slimages.macys.com/is/image/MCY/22071866 ")</f>
        <v xml:space="preserve">http://slimages.macys.com/is/image/MCY/22071866 </v>
      </c>
    </row>
    <row r="224" spans="1:14" x14ac:dyDescent="0.25">
      <c r="A224" s="21" t="s">
        <v>18065</v>
      </c>
      <c r="B224" s="22" t="s">
        <v>18066</v>
      </c>
      <c r="C224" s="3">
        <v>7.51</v>
      </c>
      <c r="D224" s="23">
        <v>19.989999999999998</v>
      </c>
      <c r="E224" s="3">
        <v>19.989999999999998</v>
      </c>
      <c r="F224" s="2" t="s">
        <v>18067</v>
      </c>
      <c r="G224" s="22" t="s">
        <v>19477</v>
      </c>
      <c r="H224" s="24" t="s">
        <v>19352</v>
      </c>
      <c r="I224" s="22" t="s">
        <v>19309</v>
      </c>
      <c r="J224" s="22" t="s">
        <v>19849</v>
      </c>
      <c r="K224" s="22" t="s">
        <v>19850</v>
      </c>
      <c r="L224" s="22"/>
      <c r="M224" s="22"/>
      <c r="N224" s="25" t="str">
        <f>HYPERLINK("http://slimages.macys.com/is/image/MCY/20549359 ")</f>
        <v xml:space="preserve">http://slimages.macys.com/is/image/MCY/20549359 </v>
      </c>
    </row>
    <row r="225" spans="1:14" ht="24.75" x14ac:dyDescent="0.25">
      <c r="A225" s="21" t="s">
        <v>18068</v>
      </c>
      <c r="B225" s="22" t="s">
        <v>18069</v>
      </c>
      <c r="C225" s="3">
        <v>7.5</v>
      </c>
      <c r="D225" s="23">
        <v>18.989999999999998</v>
      </c>
      <c r="E225" s="3">
        <v>18.989999999999998</v>
      </c>
      <c r="F225" s="2" t="s">
        <v>20023</v>
      </c>
      <c r="G225" s="22" t="s">
        <v>19351</v>
      </c>
      <c r="H225" s="24" t="s">
        <v>19364</v>
      </c>
      <c r="I225" s="22" t="s">
        <v>19309</v>
      </c>
      <c r="J225" s="22" t="s">
        <v>19508</v>
      </c>
      <c r="K225" s="22" t="s">
        <v>20024</v>
      </c>
      <c r="L225" s="22"/>
      <c r="M225" s="22"/>
      <c r="N225" s="25" t="str">
        <f>HYPERLINK("http://slimages.macys.com/is/image/MCY/20703532 ")</f>
        <v xml:space="preserve">http://slimages.macys.com/is/image/MCY/20703532 </v>
      </c>
    </row>
    <row r="226" spans="1:14" ht="24.75" x14ac:dyDescent="0.25">
      <c r="A226" s="21" t="s">
        <v>18070</v>
      </c>
      <c r="B226" s="22" t="s">
        <v>18071</v>
      </c>
      <c r="C226" s="3">
        <v>7.5</v>
      </c>
      <c r="D226" s="23">
        <v>18.989999999999998</v>
      </c>
      <c r="E226" s="3">
        <v>18.989999999999998</v>
      </c>
      <c r="F226" s="2" t="s">
        <v>18072</v>
      </c>
      <c r="G226" s="22" t="s">
        <v>18073</v>
      </c>
      <c r="H226" s="24" t="s">
        <v>19797</v>
      </c>
      <c r="I226" s="22" t="s">
        <v>19309</v>
      </c>
      <c r="J226" s="22" t="s">
        <v>19508</v>
      </c>
      <c r="K226" s="22" t="s">
        <v>20024</v>
      </c>
      <c r="L226" s="22"/>
      <c r="M226" s="22"/>
      <c r="N226" s="25" t="str">
        <f>HYPERLINK("http://slimages.macys.com/is/image/MCY/21983846 ")</f>
        <v xml:space="preserve">http://slimages.macys.com/is/image/MCY/21983846 </v>
      </c>
    </row>
    <row r="227" spans="1:14" ht="24.75" x14ac:dyDescent="0.25">
      <c r="A227" s="21" t="s">
        <v>20021</v>
      </c>
      <c r="B227" s="22" t="s">
        <v>20022</v>
      </c>
      <c r="C227" s="3">
        <v>7.5</v>
      </c>
      <c r="D227" s="23">
        <v>18.989999999999998</v>
      </c>
      <c r="E227" s="3">
        <v>18.989999999999998</v>
      </c>
      <c r="F227" s="2" t="s">
        <v>20023</v>
      </c>
      <c r="G227" s="22" t="s">
        <v>19351</v>
      </c>
      <c r="H227" s="24" t="s">
        <v>19352</v>
      </c>
      <c r="I227" s="22" t="s">
        <v>19309</v>
      </c>
      <c r="J227" s="22" t="s">
        <v>19508</v>
      </c>
      <c r="K227" s="22" t="s">
        <v>20024</v>
      </c>
      <c r="L227" s="22"/>
      <c r="M227" s="22"/>
      <c r="N227" s="25" t="str">
        <f>HYPERLINK("http://slimages.macys.com/is/image/MCY/20703532 ")</f>
        <v xml:space="preserve">http://slimages.macys.com/is/image/MCY/20703532 </v>
      </c>
    </row>
    <row r="228" spans="1:14" ht="24.75" x14ac:dyDescent="0.25">
      <c r="A228" s="21" t="s">
        <v>18074</v>
      </c>
      <c r="B228" s="22" t="s">
        <v>18075</v>
      </c>
      <c r="C228" s="3">
        <v>7.5</v>
      </c>
      <c r="D228" s="23">
        <v>19.989999999999998</v>
      </c>
      <c r="E228" s="3">
        <v>19.989999999999998</v>
      </c>
      <c r="F228" s="2" t="s">
        <v>18076</v>
      </c>
      <c r="G228" s="22" t="s">
        <v>19333</v>
      </c>
      <c r="H228" s="24" t="s">
        <v>19334</v>
      </c>
      <c r="I228" s="22" t="s">
        <v>19309</v>
      </c>
      <c r="J228" s="22" t="s">
        <v>19519</v>
      </c>
      <c r="K228" s="22" t="s">
        <v>20028</v>
      </c>
      <c r="L228" s="22"/>
      <c r="M228" s="22"/>
      <c r="N228" s="25" t="str">
        <f>HYPERLINK("http://slimages.macys.com/is/image/MCY/21272050 ")</f>
        <v xml:space="preserve">http://slimages.macys.com/is/image/MCY/21272050 </v>
      </c>
    </row>
    <row r="229" spans="1:14" ht="24.75" x14ac:dyDescent="0.25">
      <c r="A229" s="21" t="s">
        <v>18077</v>
      </c>
      <c r="B229" s="22" t="s">
        <v>18078</v>
      </c>
      <c r="C229" s="3">
        <v>7.5</v>
      </c>
      <c r="D229" s="23">
        <v>19.989999999999998</v>
      </c>
      <c r="E229" s="3">
        <v>19.989999999999998</v>
      </c>
      <c r="F229" s="2" t="s">
        <v>18079</v>
      </c>
      <c r="G229" s="22"/>
      <c r="H229" s="24" t="s">
        <v>19334</v>
      </c>
      <c r="I229" s="22" t="s">
        <v>19309</v>
      </c>
      <c r="J229" s="22" t="s">
        <v>19519</v>
      </c>
      <c r="K229" s="22" t="s">
        <v>20028</v>
      </c>
      <c r="L229" s="22"/>
      <c r="M229" s="22"/>
      <c r="N229" s="25" t="str">
        <f>HYPERLINK("http://slimages.macys.com/is/image/MCY/21271968 ")</f>
        <v xml:space="preserve">http://slimages.macys.com/is/image/MCY/21271968 </v>
      </c>
    </row>
    <row r="230" spans="1:14" x14ac:dyDescent="0.25">
      <c r="A230" s="21" t="s">
        <v>18080</v>
      </c>
      <c r="B230" s="22" t="s">
        <v>18081</v>
      </c>
      <c r="C230" s="3">
        <v>7.5</v>
      </c>
      <c r="D230" s="23">
        <v>15.99</v>
      </c>
      <c r="E230" s="3">
        <v>15.99</v>
      </c>
      <c r="F230" s="2" t="s">
        <v>18082</v>
      </c>
      <c r="G230" s="22" t="s">
        <v>19794</v>
      </c>
      <c r="H230" s="24" t="s">
        <v>19308</v>
      </c>
      <c r="I230" s="22" t="s">
        <v>19309</v>
      </c>
      <c r="J230" s="22" t="s">
        <v>19310</v>
      </c>
      <c r="K230" s="22" t="s">
        <v>19529</v>
      </c>
      <c r="L230" s="22"/>
      <c r="M230" s="22"/>
      <c r="N230" s="25" t="str">
        <f>HYPERLINK("http://slimages.macys.com/is/image/MCY/21165598 ")</f>
        <v xml:space="preserve">http://slimages.macys.com/is/image/MCY/21165598 </v>
      </c>
    </row>
    <row r="231" spans="1:14" x14ac:dyDescent="0.25">
      <c r="A231" s="21" t="s">
        <v>18083</v>
      </c>
      <c r="B231" s="22" t="s">
        <v>18084</v>
      </c>
      <c r="C231" s="3">
        <v>7.43</v>
      </c>
      <c r="D231" s="23">
        <v>16.989999999999998</v>
      </c>
      <c r="E231" s="3">
        <v>16.989999999999998</v>
      </c>
      <c r="F231" s="2" t="s">
        <v>18085</v>
      </c>
      <c r="G231" s="22" t="s">
        <v>19315</v>
      </c>
      <c r="H231" s="24" t="s">
        <v>19797</v>
      </c>
      <c r="I231" s="22" t="s">
        <v>19309</v>
      </c>
      <c r="J231" s="22" t="s">
        <v>19849</v>
      </c>
      <c r="K231" s="22" t="s">
        <v>19850</v>
      </c>
      <c r="L231" s="22"/>
      <c r="M231" s="22"/>
      <c r="N231" s="25" t="str">
        <f>HYPERLINK("http://slimages.macys.com/is/image/MCY/21840264 ")</f>
        <v xml:space="preserve">http://slimages.macys.com/is/image/MCY/21840264 </v>
      </c>
    </row>
    <row r="232" spans="1:14" x14ac:dyDescent="0.25">
      <c r="A232" s="21" t="s">
        <v>18086</v>
      </c>
      <c r="B232" s="22" t="s">
        <v>18087</v>
      </c>
      <c r="C232" s="3">
        <v>7.43</v>
      </c>
      <c r="D232" s="23">
        <v>16.989999999999998</v>
      </c>
      <c r="E232" s="3">
        <v>16.989999999999998</v>
      </c>
      <c r="F232" s="2" t="s">
        <v>18085</v>
      </c>
      <c r="G232" s="22" t="s">
        <v>19315</v>
      </c>
      <c r="H232" s="24" t="s">
        <v>19352</v>
      </c>
      <c r="I232" s="22" t="s">
        <v>19309</v>
      </c>
      <c r="J232" s="22" t="s">
        <v>19849</v>
      </c>
      <c r="K232" s="22" t="s">
        <v>19850</v>
      </c>
      <c r="L232" s="22"/>
      <c r="M232" s="22"/>
      <c r="N232" s="25" t="str">
        <f>HYPERLINK("http://slimages.macys.com/is/image/MCY/21840264 ")</f>
        <v xml:space="preserve">http://slimages.macys.com/is/image/MCY/21840264 </v>
      </c>
    </row>
    <row r="233" spans="1:14" ht="24.75" x14ac:dyDescent="0.25">
      <c r="A233" s="21" t="s">
        <v>18088</v>
      </c>
      <c r="B233" s="22" t="s">
        <v>18089</v>
      </c>
      <c r="C233" s="3">
        <v>7.41</v>
      </c>
      <c r="D233" s="23">
        <v>18.989999999999998</v>
      </c>
      <c r="E233" s="3">
        <v>18.989999999999998</v>
      </c>
      <c r="F233" s="2" t="s">
        <v>18090</v>
      </c>
      <c r="G233" s="22" t="s">
        <v>19618</v>
      </c>
      <c r="H233" s="24" t="s">
        <v>19770</v>
      </c>
      <c r="I233" s="22" t="s">
        <v>19309</v>
      </c>
      <c r="J233" s="22" t="s">
        <v>19573</v>
      </c>
      <c r="K233" s="22" t="s">
        <v>19574</v>
      </c>
      <c r="L233" s="22"/>
      <c r="M233" s="22"/>
      <c r="N233" s="25" t="str">
        <f>HYPERLINK("http://slimages.macys.com/is/image/MCY/20753516 ")</f>
        <v xml:space="preserve">http://slimages.macys.com/is/image/MCY/20753516 </v>
      </c>
    </row>
    <row r="234" spans="1:14" x14ac:dyDescent="0.25">
      <c r="A234" s="21" t="s">
        <v>18091</v>
      </c>
      <c r="B234" s="22" t="s">
        <v>18092</v>
      </c>
      <c r="C234" s="3">
        <v>7.4</v>
      </c>
      <c r="D234" s="23">
        <v>18.989999999999998</v>
      </c>
      <c r="E234" s="3">
        <v>18.989999999999998</v>
      </c>
      <c r="F234" s="2" t="s">
        <v>18093</v>
      </c>
      <c r="G234" s="22" t="s">
        <v>19467</v>
      </c>
      <c r="H234" s="24"/>
      <c r="I234" s="22" t="s">
        <v>19309</v>
      </c>
      <c r="J234" s="22" t="s">
        <v>19696</v>
      </c>
      <c r="K234" s="22" t="s">
        <v>18094</v>
      </c>
      <c r="L234" s="22"/>
      <c r="M234" s="22"/>
      <c r="N234" s="25" t="str">
        <f>HYPERLINK("http://slimages.macys.com/is/image/MCY/21408521 ")</f>
        <v xml:space="preserve">http://slimages.macys.com/is/image/MCY/21408521 </v>
      </c>
    </row>
    <row r="235" spans="1:14" ht="24.75" x14ac:dyDescent="0.25">
      <c r="A235" s="21" t="s">
        <v>18095</v>
      </c>
      <c r="B235" s="22" t="s">
        <v>18096</v>
      </c>
      <c r="C235" s="3">
        <v>7.39</v>
      </c>
      <c r="D235" s="23">
        <v>17.72</v>
      </c>
      <c r="E235" s="3">
        <v>17.72</v>
      </c>
      <c r="F235" s="2" t="s">
        <v>18097</v>
      </c>
      <c r="G235" s="22"/>
      <c r="H235" s="24" t="s">
        <v>19392</v>
      </c>
      <c r="I235" s="22" t="s">
        <v>19309</v>
      </c>
      <c r="J235" s="22" t="s">
        <v>19602</v>
      </c>
      <c r="K235" s="22" t="s">
        <v>19603</v>
      </c>
      <c r="L235" s="22"/>
      <c r="M235" s="22"/>
      <c r="N235" s="25" t="str">
        <f>HYPERLINK("http://slimages.macys.com/is/image/MCY/21421323 ")</f>
        <v xml:space="preserve">http://slimages.macys.com/is/image/MCY/21421323 </v>
      </c>
    </row>
    <row r="236" spans="1:14" ht="24.75" x14ac:dyDescent="0.25">
      <c r="A236" s="21" t="s">
        <v>18098</v>
      </c>
      <c r="B236" s="22" t="s">
        <v>18099</v>
      </c>
      <c r="C236" s="3">
        <v>7.35</v>
      </c>
      <c r="D236" s="23">
        <v>12.99</v>
      </c>
      <c r="E236" s="3">
        <v>12.99</v>
      </c>
      <c r="F236" s="2" t="s">
        <v>18100</v>
      </c>
      <c r="G236" s="22" t="s">
        <v>20145</v>
      </c>
      <c r="H236" s="24" t="s">
        <v>19364</v>
      </c>
      <c r="I236" s="22" t="s">
        <v>19309</v>
      </c>
      <c r="J236" s="22" t="s">
        <v>19447</v>
      </c>
      <c r="K236" s="22" t="s">
        <v>19873</v>
      </c>
      <c r="L236" s="22"/>
      <c r="M236" s="22"/>
      <c r="N236" s="25" t="str">
        <f>HYPERLINK("http://slimages.macys.com/is/image/MCY/21216372 ")</f>
        <v xml:space="preserve">http://slimages.macys.com/is/image/MCY/21216372 </v>
      </c>
    </row>
    <row r="237" spans="1:14" ht="24.75" x14ac:dyDescent="0.25">
      <c r="A237" s="21" t="s">
        <v>18101</v>
      </c>
      <c r="B237" s="22" t="s">
        <v>18102</v>
      </c>
      <c r="C237" s="3">
        <v>7.35</v>
      </c>
      <c r="D237" s="23">
        <v>12.99</v>
      </c>
      <c r="E237" s="3">
        <v>12.99</v>
      </c>
      <c r="F237" s="2" t="s">
        <v>18100</v>
      </c>
      <c r="G237" s="22" t="s">
        <v>20145</v>
      </c>
      <c r="H237" s="24" t="s">
        <v>19339</v>
      </c>
      <c r="I237" s="22" t="s">
        <v>19309</v>
      </c>
      <c r="J237" s="22" t="s">
        <v>19447</v>
      </c>
      <c r="K237" s="22" t="s">
        <v>19873</v>
      </c>
      <c r="L237" s="22"/>
      <c r="M237" s="22"/>
      <c r="N237" s="25" t="str">
        <f>HYPERLINK("http://slimages.macys.com/is/image/MCY/21216372 ")</f>
        <v xml:space="preserve">http://slimages.macys.com/is/image/MCY/21216372 </v>
      </c>
    </row>
    <row r="238" spans="1:14" ht="24.75" x14ac:dyDescent="0.25">
      <c r="A238" s="21" t="s">
        <v>18103</v>
      </c>
      <c r="B238" s="22" t="s">
        <v>18104</v>
      </c>
      <c r="C238" s="3">
        <v>7.35</v>
      </c>
      <c r="D238" s="23">
        <v>12.99</v>
      </c>
      <c r="E238" s="3">
        <v>12.99</v>
      </c>
      <c r="F238" s="2" t="s">
        <v>18100</v>
      </c>
      <c r="G238" s="22" t="s">
        <v>20145</v>
      </c>
      <c r="H238" s="24" t="s">
        <v>19797</v>
      </c>
      <c r="I238" s="22" t="s">
        <v>19309</v>
      </c>
      <c r="J238" s="22" t="s">
        <v>19447</v>
      </c>
      <c r="K238" s="22" t="s">
        <v>19873</v>
      </c>
      <c r="L238" s="22"/>
      <c r="M238" s="22"/>
      <c r="N238" s="25" t="str">
        <f>HYPERLINK("http://slimages.macys.com/is/image/MCY/21216372 ")</f>
        <v xml:space="preserve">http://slimages.macys.com/is/image/MCY/21216372 </v>
      </c>
    </row>
    <row r="239" spans="1:14" ht="24.75" x14ac:dyDescent="0.25">
      <c r="A239" s="21" t="s">
        <v>18105</v>
      </c>
      <c r="B239" s="22" t="s">
        <v>18106</v>
      </c>
      <c r="C239" s="3">
        <v>14.7</v>
      </c>
      <c r="D239" s="23">
        <v>12.99</v>
      </c>
      <c r="E239" s="3">
        <v>25.98</v>
      </c>
      <c r="F239" s="2" t="s">
        <v>18100</v>
      </c>
      <c r="G239" s="22" t="s">
        <v>20145</v>
      </c>
      <c r="H239" s="24" t="s">
        <v>19352</v>
      </c>
      <c r="I239" s="22" t="s">
        <v>19309</v>
      </c>
      <c r="J239" s="22" t="s">
        <v>19447</v>
      </c>
      <c r="K239" s="22" t="s">
        <v>19873</v>
      </c>
      <c r="L239" s="22"/>
      <c r="M239" s="22"/>
      <c r="N239" s="25" t="str">
        <f>HYPERLINK("http://slimages.macys.com/is/image/MCY/21216372 ")</f>
        <v xml:space="preserve">http://slimages.macys.com/is/image/MCY/21216372 </v>
      </c>
    </row>
    <row r="240" spans="1:14" x14ac:dyDescent="0.25">
      <c r="A240" s="21" t="s">
        <v>18107</v>
      </c>
      <c r="B240" s="22" t="s">
        <v>18108</v>
      </c>
      <c r="C240" s="3">
        <v>7.3</v>
      </c>
      <c r="D240" s="23">
        <v>16.22</v>
      </c>
      <c r="E240" s="3">
        <v>16.22</v>
      </c>
      <c r="F240" s="2" t="s">
        <v>18109</v>
      </c>
      <c r="G240" s="22" t="s">
        <v>19342</v>
      </c>
      <c r="H240" s="24" t="s">
        <v>19334</v>
      </c>
      <c r="I240" s="22" t="s">
        <v>19309</v>
      </c>
      <c r="J240" s="22" t="s">
        <v>19514</v>
      </c>
      <c r="K240" s="22" t="s">
        <v>17948</v>
      </c>
      <c r="L240" s="22"/>
      <c r="M240" s="22"/>
      <c r="N240" s="25" t="str">
        <f>HYPERLINK("http://slimages.macys.com/is/image/MCY/21919823 ")</f>
        <v xml:space="preserve">http://slimages.macys.com/is/image/MCY/21919823 </v>
      </c>
    </row>
    <row r="241" spans="1:14" x14ac:dyDescent="0.25">
      <c r="A241" s="21" t="s">
        <v>18110</v>
      </c>
      <c r="B241" s="22" t="s">
        <v>18111</v>
      </c>
      <c r="C241" s="3">
        <v>7.3</v>
      </c>
      <c r="D241" s="23">
        <v>16.22</v>
      </c>
      <c r="E241" s="3">
        <v>16.22</v>
      </c>
      <c r="F241" s="2" t="s">
        <v>18112</v>
      </c>
      <c r="G241" s="22" t="s">
        <v>19342</v>
      </c>
      <c r="H241" s="24" t="s">
        <v>19542</v>
      </c>
      <c r="I241" s="22" t="s">
        <v>19309</v>
      </c>
      <c r="J241" s="22" t="s">
        <v>19514</v>
      </c>
      <c r="K241" s="22" t="s">
        <v>17948</v>
      </c>
      <c r="L241" s="22"/>
      <c r="M241" s="22"/>
      <c r="N241" s="25" t="str">
        <f>HYPERLINK("http://slimages.macys.com/is/image/MCY/21701114 ")</f>
        <v xml:space="preserve">http://slimages.macys.com/is/image/MCY/21701114 </v>
      </c>
    </row>
    <row r="242" spans="1:14" x14ac:dyDescent="0.25">
      <c r="A242" s="21" t="s">
        <v>18113</v>
      </c>
      <c r="B242" s="22" t="s">
        <v>18114</v>
      </c>
      <c r="C242" s="3">
        <v>7.3</v>
      </c>
      <c r="D242" s="23">
        <v>16.22</v>
      </c>
      <c r="E242" s="3">
        <v>16.22</v>
      </c>
      <c r="F242" s="2" t="s">
        <v>18115</v>
      </c>
      <c r="G242" s="22" t="s">
        <v>19342</v>
      </c>
      <c r="H242" s="24" t="s">
        <v>19334</v>
      </c>
      <c r="I242" s="22" t="s">
        <v>19309</v>
      </c>
      <c r="J242" s="22" t="s">
        <v>19514</v>
      </c>
      <c r="K242" s="22" t="s">
        <v>17948</v>
      </c>
      <c r="L242" s="22"/>
      <c r="M242" s="22"/>
      <c r="N242" s="25" t="str">
        <f>HYPERLINK("http://slimages.macys.com/is/image/MCY/21701108 ")</f>
        <v xml:space="preserve">http://slimages.macys.com/is/image/MCY/21701108 </v>
      </c>
    </row>
    <row r="243" spans="1:14" ht="24.75" x14ac:dyDescent="0.25">
      <c r="A243" s="21" t="s">
        <v>18116</v>
      </c>
      <c r="B243" s="22" t="s">
        <v>18117</v>
      </c>
      <c r="C243" s="3">
        <v>7.27</v>
      </c>
      <c r="D243" s="23">
        <v>19.989999999999998</v>
      </c>
      <c r="E243" s="3">
        <v>19.989999999999998</v>
      </c>
      <c r="F243" s="2" t="s">
        <v>20060</v>
      </c>
      <c r="G243" s="22" t="s">
        <v>19618</v>
      </c>
      <c r="H243" s="24" t="s">
        <v>19538</v>
      </c>
      <c r="I243" s="22" t="s">
        <v>19309</v>
      </c>
      <c r="J243" s="22" t="s">
        <v>19573</v>
      </c>
      <c r="K243" s="22" t="s">
        <v>19574</v>
      </c>
      <c r="L243" s="22"/>
      <c r="M243" s="22"/>
      <c r="N243" s="25" t="str">
        <f>HYPERLINK("http://slimages.macys.com/is/image/MCY/21088467 ")</f>
        <v xml:space="preserve">http://slimages.macys.com/is/image/MCY/21088467 </v>
      </c>
    </row>
    <row r="244" spans="1:14" x14ac:dyDescent="0.25">
      <c r="A244" s="21" t="s">
        <v>18118</v>
      </c>
      <c r="B244" s="22" t="s">
        <v>18119</v>
      </c>
      <c r="C244" s="3">
        <v>7.25</v>
      </c>
      <c r="D244" s="23">
        <v>15.99</v>
      </c>
      <c r="E244" s="3">
        <v>15.99</v>
      </c>
      <c r="F244" s="2" t="s">
        <v>18120</v>
      </c>
      <c r="G244" s="22" t="s">
        <v>19338</v>
      </c>
      <c r="H244" s="24" t="s">
        <v>19432</v>
      </c>
      <c r="I244" s="22" t="s">
        <v>19309</v>
      </c>
      <c r="J244" s="22" t="s">
        <v>19310</v>
      </c>
      <c r="K244" s="22" t="s">
        <v>19440</v>
      </c>
      <c r="L244" s="22"/>
      <c r="M244" s="22"/>
      <c r="N244" s="25" t="str">
        <f>HYPERLINK("http://slimages.macys.com/is/image/MCY/20918922 ")</f>
        <v xml:space="preserve">http://slimages.macys.com/is/image/MCY/20918922 </v>
      </c>
    </row>
    <row r="245" spans="1:14" x14ac:dyDescent="0.25">
      <c r="A245" s="21" t="s">
        <v>18121</v>
      </c>
      <c r="B245" s="22" t="s">
        <v>18122</v>
      </c>
      <c r="C245" s="3">
        <v>7.25</v>
      </c>
      <c r="D245" s="23">
        <v>15.99</v>
      </c>
      <c r="E245" s="3">
        <v>15.99</v>
      </c>
      <c r="F245" s="2" t="s">
        <v>18123</v>
      </c>
      <c r="G245" s="22" t="s">
        <v>19351</v>
      </c>
      <c r="H245" s="24" t="s">
        <v>19395</v>
      </c>
      <c r="I245" s="22" t="s">
        <v>19309</v>
      </c>
      <c r="J245" s="22" t="s">
        <v>19310</v>
      </c>
      <c r="K245" s="22" t="s">
        <v>19440</v>
      </c>
      <c r="L245" s="22"/>
      <c r="M245" s="22"/>
      <c r="N245" s="25" t="str">
        <f>HYPERLINK("http://slimages.macys.com/is/image/MCY/20782661 ")</f>
        <v xml:space="preserve">http://slimages.macys.com/is/image/MCY/20782661 </v>
      </c>
    </row>
    <row r="246" spans="1:14" x14ac:dyDescent="0.25">
      <c r="A246" s="21" t="s">
        <v>18124</v>
      </c>
      <c r="B246" s="22" t="s">
        <v>18125</v>
      </c>
      <c r="C246" s="3">
        <v>7.04</v>
      </c>
      <c r="D246" s="23">
        <v>21.99</v>
      </c>
      <c r="E246" s="3">
        <v>21.99</v>
      </c>
      <c r="F246" s="2" t="s">
        <v>18126</v>
      </c>
      <c r="G246" s="22" t="s">
        <v>19674</v>
      </c>
      <c r="H246" s="24" t="s">
        <v>19364</v>
      </c>
      <c r="I246" s="22" t="s">
        <v>19309</v>
      </c>
      <c r="J246" s="22" t="s">
        <v>19849</v>
      </c>
      <c r="K246" s="22" t="s">
        <v>19850</v>
      </c>
      <c r="L246" s="22"/>
      <c r="M246" s="22"/>
      <c r="N246" s="25" t="str">
        <f>HYPERLINK("http://slimages.macys.com/is/image/MCY/975791 ")</f>
        <v xml:space="preserve">http://slimages.macys.com/is/image/MCY/975791 </v>
      </c>
    </row>
    <row r="247" spans="1:14" ht="24.75" x14ac:dyDescent="0.25">
      <c r="A247" s="21" t="s">
        <v>18127</v>
      </c>
      <c r="B247" s="22" t="s">
        <v>18128</v>
      </c>
      <c r="C247" s="3">
        <v>7.04</v>
      </c>
      <c r="D247" s="23">
        <v>17.989999999999998</v>
      </c>
      <c r="E247" s="3">
        <v>17.989999999999998</v>
      </c>
      <c r="F247" s="2">
        <v>4350</v>
      </c>
      <c r="G247" s="22" t="s">
        <v>19315</v>
      </c>
      <c r="H247" s="24" t="s">
        <v>19339</v>
      </c>
      <c r="I247" s="22" t="s">
        <v>19309</v>
      </c>
      <c r="J247" s="22" t="s">
        <v>20076</v>
      </c>
      <c r="K247" s="22" t="s">
        <v>20077</v>
      </c>
      <c r="L247" s="22"/>
      <c r="M247" s="22"/>
      <c r="N247" s="25" t="str">
        <f>HYPERLINK("http://slimages.macys.com/is/image/MCY/18821763 ")</f>
        <v xml:space="preserve">http://slimages.macys.com/is/image/MCY/18821763 </v>
      </c>
    </row>
    <row r="248" spans="1:14" ht="24.75" x14ac:dyDescent="0.25">
      <c r="A248" s="21" t="s">
        <v>18129</v>
      </c>
      <c r="B248" s="22" t="s">
        <v>18130</v>
      </c>
      <c r="C248" s="3">
        <v>7.04</v>
      </c>
      <c r="D248" s="23">
        <v>17.989999999999998</v>
      </c>
      <c r="E248" s="3">
        <v>17.989999999999998</v>
      </c>
      <c r="F248" s="2">
        <v>4350</v>
      </c>
      <c r="G248" s="22" t="s">
        <v>19315</v>
      </c>
      <c r="H248" s="24" t="s">
        <v>19352</v>
      </c>
      <c r="I248" s="22" t="s">
        <v>19309</v>
      </c>
      <c r="J248" s="22" t="s">
        <v>20076</v>
      </c>
      <c r="K248" s="22" t="s">
        <v>20077</v>
      </c>
      <c r="L248" s="22"/>
      <c r="M248" s="22"/>
      <c r="N248" s="25" t="str">
        <f>HYPERLINK("http://slimages.macys.com/is/image/MCY/18821763 ")</f>
        <v xml:space="preserve">http://slimages.macys.com/is/image/MCY/18821763 </v>
      </c>
    </row>
    <row r="249" spans="1:14" x14ac:dyDescent="0.25">
      <c r="A249" s="21" t="s">
        <v>18131</v>
      </c>
      <c r="B249" s="22" t="s">
        <v>18132</v>
      </c>
      <c r="C249" s="3">
        <v>7.04</v>
      </c>
      <c r="D249" s="23">
        <v>19.989999999999998</v>
      </c>
      <c r="E249" s="3">
        <v>19.989999999999998</v>
      </c>
      <c r="F249" s="2" t="s">
        <v>18133</v>
      </c>
      <c r="G249" s="22"/>
      <c r="H249" s="24" t="s">
        <v>19542</v>
      </c>
      <c r="I249" s="22" t="s">
        <v>19309</v>
      </c>
      <c r="J249" s="22" t="s">
        <v>19696</v>
      </c>
      <c r="K249" s="22" t="s">
        <v>18094</v>
      </c>
      <c r="L249" s="22"/>
      <c r="M249" s="22"/>
      <c r="N249" s="25" t="str">
        <f>HYPERLINK("http://slimages.macys.com/is/image/MCY/20426379 ")</f>
        <v xml:space="preserve">http://slimages.macys.com/is/image/MCY/20426379 </v>
      </c>
    </row>
    <row r="250" spans="1:14" ht="24.75" x14ac:dyDescent="0.25">
      <c r="A250" s="21" t="s">
        <v>18134</v>
      </c>
      <c r="B250" s="22" t="s">
        <v>18135</v>
      </c>
      <c r="C250" s="3">
        <v>7.03</v>
      </c>
      <c r="D250" s="23">
        <v>30.99</v>
      </c>
      <c r="E250" s="3">
        <v>30.99</v>
      </c>
      <c r="F250" s="2" t="s">
        <v>18136</v>
      </c>
      <c r="G250" s="22" t="s">
        <v>19338</v>
      </c>
      <c r="H250" s="24" t="s">
        <v>19352</v>
      </c>
      <c r="I250" s="22" t="s">
        <v>19309</v>
      </c>
      <c r="J250" s="22" t="s">
        <v>19353</v>
      </c>
      <c r="K250" s="22" t="s">
        <v>19524</v>
      </c>
      <c r="L250" s="22"/>
      <c r="M250" s="22"/>
      <c r="N250" s="25" t="str">
        <f>HYPERLINK("http://slimages.macys.com/is/image/MCY/19252887 ")</f>
        <v xml:space="preserve">http://slimages.macys.com/is/image/MCY/19252887 </v>
      </c>
    </row>
    <row r="251" spans="1:14" ht="24.75" x14ac:dyDescent="0.25">
      <c r="A251" s="21" t="s">
        <v>18137</v>
      </c>
      <c r="B251" s="22" t="s">
        <v>18138</v>
      </c>
      <c r="C251" s="3">
        <v>7</v>
      </c>
      <c r="D251" s="23">
        <v>42.5</v>
      </c>
      <c r="E251" s="3">
        <v>42.5</v>
      </c>
      <c r="F251" s="2" t="s">
        <v>20103</v>
      </c>
      <c r="G251" s="22" t="s">
        <v>19618</v>
      </c>
      <c r="H251" s="24" t="s">
        <v>18139</v>
      </c>
      <c r="I251" s="22" t="s">
        <v>19309</v>
      </c>
      <c r="J251" s="22" t="s">
        <v>20104</v>
      </c>
      <c r="K251" s="22" t="s">
        <v>20105</v>
      </c>
      <c r="L251" s="22"/>
      <c r="M251" s="22"/>
      <c r="N251" s="25" t="str">
        <f>HYPERLINK("http://slimages.macys.com/is/image/MCY/22159222 ")</f>
        <v xml:space="preserve">http://slimages.macys.com/is/image/MCY/22159222 </v>
      </c>
    </row>
    <row r="252" spans="1:14" ht="24.75" x14ac:dyDescent="0.25">
      <c r="A252" s="21" t="s">
        <v>18140</v>
      </c>
      <c r="B252" s="22" t="s">
        <v>18141</v>
      </c>
      <c r="C252" s="3">
        <v>7</v>
      </c>
      <c r="D252" s="23">
        <v>15.99</v>
      </c>
      <c r="E252" s="3">
        <v>15.99</v>
      </c>
      <c r="F252" s="2" t="s">
        <v>18142</v>
      </c>
      <c r="G252" s="22" t="s">
        <v>19307</v>
      </c>
      <c r="H252" s="24" t="s">
        <v>19377</v>
      </c>
      <c r="I252" s="22" t="s">
        <v>19309</v>
      </c>
      <c r="J252" s="22" t="s">
        <v>19447</v>
      </c>
      <c r="K252" s="22" t="s">
        <v>19463</v>
      </c>
      <c r="L252" s="22"/>
      <c r="M252" s="22"/>
      <c r="N252" s="25" t="str">
        <f>HYPERLINK("http://slimages.macys.com/is/image/MCY/21842856 ")</f>
        <v xml:space="preserve">http://slimages.macys.com/is/image/MCY/21842856 </v>
      </c>
    </row>
    <row r="253" spans="1:14" ht="24.75" x14ac:dyDescent="0.25">
      <c r="A253" s="21" t="s">
        <v>18143</v>
      </c>
      <c r="B253" s="22" t="s">
        <v>18144</v>
      </c>
      <c r="C253" s="3">
        <v>7</v>
      </c>
      <c r="D253" s="23">
        <v>19.989999999999998</v>
      </c>
      <c r="E253" s="3">
        <v>19.989999999999998</v>
      </c>
      <c r="F253" s="2" t="s">
        <v>18145</v>
      </c>
      <c r="G253" s="22"/>
      <c r="H253" s="24" t="s">
        <v>19334</v>
      </c>
      <c r="I253" s="22" t="s">
        <v>19309</v>
      </c>
      <c r="J253" s="22" t="s">
        <v>19519</v>
      </c>
      <c r="K253" s="22" t="s">
        <v>20028</v>
      </c>
      <c r="L253" s="22"/>
      <c r="M253" s="22"/>
      <c r="N253" s="25" t="str">
        <f>HYPERLINK("http://slimages.macys.com/is/image/MCY/21272042 ")</f>
        <v xml:space="preserve">http://slimages.macys.com/is/image/MCY/21272042 </v>
      </c>
    </row>
    <row r="254" spans="1:14" x14ac:dyDescent="0.25">
      <c r="A254" s="21" t="s">
        <v>18146</v>
      </c>
      <c r="B254" s="22" t="s">
        <v>18147</v>
      </c>
      <c r="C254" s="3">
        <v>7</v>
      </c>
      <c r="D254" s="23">
        <v>15.99</v>
      </c>
      <c r="E254" s="3">
        <v>15.99</v>
      </c>
      <c r="F254" s="2" t="s">
        <v>18148</v>
      </c>
      <c r="G254" s="22" t="s">
        <v>19630</v>
      </c>
      <c r="H254" s="24" t="s">
        <v>19361</v>
      </c>
      <c r="I254" s="22" t="s">
        <v>19309</v>
      </c>
      <c r="J254" s="22" t="s">
        <v>19310</v>
      </c>
      <c r="K254" s="22" t="s">
        <v>19623</v>
      </c>
      <c r="L254" s="22"/>
      <c r="M254" s="22"/>
      <c r="N254" s="25" t="str">
        <f>HYPERLINK("http://slimages.macys.com/is/image/MCY/21918756 ")</f>
        <v xml:space="preserve">http://slimages.macys.com/is/image/MCY/21918756 </v>
      </c>
    </row>
    <row r="255" spans="1:14" x14ac:dyDescent="0.25">
      <c r="A255" s="21" t="s">
        <v>18149</v>
      </c>
      <c r="B255" s="22" t="s">
        <v>18150</v>
      </c>
      <c r="C255" s="3">
        <v>6.97</v>
      </c>
      <c r="D255" s="23">
        <v>19</v>
      </c>
      <c r="E255" s="3">
        <v>19</v>
      </c>
      <c r="F255" s="2" t="s">
        <v>18151</v>
      </c>
      <c r="G255" s="22" t="s">
        <v>19814</v>
      </c>
      <c r="H255" s="24" t="s">
        <v>19416</v>
      </c>
      <c r="I255" s="22" t="s">
        <v>19309</v>
      </c>
      <c r="J255" s="22" t="s">
        <v>19708</v>
      </c>
      <c r="K255" s="22" t="s">
        <v>19709</v>
      </c>
      <c r="L255" s="22"/>
      <c r="M255" s="22"/>
      <c r="N255" s="25" t="str">
        <f>HYPERLINK("http://slimages.macys.com/is/image/MCY/21726241 ")</f>
        <v xml:space="preserve">http://slimages.macys.com/is/image/MCY/21726241 </v>
      </c>
    </row>
    <row r="256" spans="1:14" x14ac:dyDescent="0.25">
      <c r="A256" s="21" t="s">
        <v>20117</v>
      </c>
      <c r="B256" s="22" t="s">
        <v>20118</v>
      </c>
      <c r="C256" s="3">
        <v>6.93</v>
      </c>
      <c r="D256" s="23">
        <v>18.77</v>
      </c>
      <c r="E256" s="3">
        <v>18.77</v>
      </c>
      <c r="F256" s="2" t="s">
        <v>20119</v>
      </c>
      <c r="G256" s="22"/>
      <c r="H256" s="24" t="s">
        <v>19770</v>
      </c>
      <c r="I256" s="22" t="s">
        <v>19309</v>
      </c>
      <c r="J256" s="22" t="s">
        <v>19708</v>
      </c>
      <c r="K256" s="22" t="s">
        <v>19709</v>
      </c>
      <c r="L256" s="22"/>
      <c r="M256" s="22"/>
      <c r="N256" s="25" t="str">
        <f>HYPERLINK("http://slimages.macys.com/is/image/MCY/22405750 ")</f>
        <v xml:space="preserve">http://slimages.macys.com/is/image/MCY/22405750 </v>
      </c>
    </row>
    <row r="257" spans="1:14" ht="24.75" x14ac:dyDescent="0.25">
      <c r="A257" s="21" t="s">
        <v>18152</v>
      </c>
      <c r="B257" s="22" t="s">
        <v>18153</v>
      </c>
      <c r="C257" s="3">
        <v>6.93</v>
      </c>
      <c r="D257" s="23">
        <v>19.989999999999998</v>
      </c>
      <c r="E257" s="3">
        <v>19.989999999999998</v>
      </c>
      <c r="F257" s="2" t="s">
        <v>20124</v>
      </c>
      <c r="G257" s="22" t="s">
        <v>19674</v>
      </c>
      <c r="H257" s="24" t="s">
        <v>19330</v>
      </c>
      <c r="I257" s="22" t="s">
        <v>19309</v>
      </c>
      <c r="J257" s="22" t="s">
        <v>19573</v>
      </c>
      <c r="K257" s="22" t="s">
        <v>19574</v>
      </c>
      <c r="L257" s="22"/>
      <c r="M257" s="22"/>
      <c r="N257" s="25" t="str">
        <f>HYPERLINK("http://slimages.macys.com/is/image/MCY/20142414 ")</f>
        <v xml:space="preserve">http://slimages.macys.com/is/image/MCY/20142414 </v>
      </c>
    </row>
    <row r="258" spans="1:14" x14ac:dyDescent="0.25">
      <c r="A258" s="21" t="s">
        <v>18154</v>
      </c>
      <c r="B258" s="22" t="s">
        <v>18155</v>
      </c>
      <c r="C258" s="3">
        <v>6.93</v>
      </c>
      <c r="D258" s="23">
        <v>18.77</v>
      </c>
      <c r="E258" s="3">
        <v>18.77</v>
      </c>
      <c r="F258" s="2" t="s">
        <v>18156</v>
      </c>
      <c r="G258" s="22"/>
      <c r="H258" s="24" t="s">
        <v>19330</v>
      </c>
      <c r="I258" s="22" t="s">
        <v>19309</v>
      </c>
      <c r="J258" s="22" t="s">
        <v>19708</v>
      </c>
      <c r="K258" s="22" t="s">
        <v>19709</v>
      </c>
      <c r="L258" s="22"/>
      <c r="M258" s="22"/>
      <c r="N258" s="25" t="str">
        <f>HYPERLINK("http://slimages.macys.com/is/image/MCY/22596095 ")</f>
        <v xml:space="preserve">http://slimages.macys.com/is/image/MCY/22596095 </v>
      </c>
    </row>
    <row r="259" spans="1:14" x14ac:dyDescent="0.25">
      <c r="A259" s="21" t="s">
        <v>18157</v>
      </c>
      <c r="B259" s="22" t="s">
        <v>18158</v>
      </c>
      <c r="C259" s="3">
        <v>6.85</v>
      </c>
      <c r="D259" s="23">
        <v>18.66</v>
      </c>
      <c r="E259" s="3">
        <v>18.66</v>
      </c>
      <c r="F259" s="2" t="s">
        <v>18159</v>
      </c>
      <c r="G259" s="22" t="s">
        <v>19879</v>
      </c>
      <c r="H259" s="24" t="s">
        <v>19367</v>
      </c>
      <c r="I259" s="22" t="s">
        <v>19309</v>
      </c>
      <c r="J259" s="22" t="s">
        <v>19708</v>
      </c>
      <c r="K259" s="22" t="s">
        <v>19709</v>
      </c>
      <c r="L259" s="22"/>
      <c r="M259" s="22"/>
      <c r="N259" s="25" t="str">
        <f>HYPERLINK("http://slimages.macys.com/is/image/MCY/21726567 ")</f>
        <v xml:space="preserve">http://slimages.macys.com/is/image/MCY/21726567 </v>
      </c>
    </row>
    <row r="260" spans="1:14" x14ac:dyDescent="0.25">
      <c r="A260" s="21" t="s">
        <v>18160</v>
      </c>
      <c r="B260" s="22" t="s">
        <v>18161</v>
      </c>
      <c r="C260" s="3">
        <v>6.81</v>
      </c>
      <c r="D260" s="23">
        <v>14.67</v>
      </c>
      <c r="E260" s="3">
        <v>14.67</v>
      </c>
      <c r="F260" s="2" t="s">
        <v>20162</v>
      </c>
      <c r="G260" s="22" t="s">
        <v>19333</v>
      </c>
      <c r="H260" s="24" t="s">
        <v>20152</v>
      </c>
      <c r="I260" s="22" t="s">
        <v>19309</v>
      </c>
      <c r="J260" s="22" t="s">
        <v>19708</v>
      </c>
      <c r="K260" s="22" t="s">
        <v>19709</v>
      </c>
      <c r="L260" s="22"/>
      <c r="M260" s="22"/>
      <c r="N260" s="25" t="str">
        <f>HYPERLINK("http://slimages.macys.com/is/image/MCY/19063047 ")</f>
        <v xml:space="preserve">http://slimages.macys.com/is/image/MCY/19063047 </v>
      </c>
    </row>
    <row r="261" spans="1:14" x14ac:dyDescent="0.25">
      <c r="A261" s="21" t="s">
        <v>18162</v>
      </c>
      <c r="B261" s="22" t="s">
        <v>18163</v>
      </c>
      <c r="C261" s="3">
        <v>6.76</v>
      </c>
      <c r="D261" s="23">
        <v>19.989999999999998</v>
      </c>
      <c r="E261" s="3">
        <v>19.989999999999998</v>
      </c>
      <c r="F261" s="2" t="s">
        <v>18164</v>
      </c>
      <c r="G261" s="22" t="s">
        <v>19670</v>
      </c>
      <c r="H261" s="24" t="s">
        <v>19352</v>
      </c>
      <c r="I261" s="22" t="s">
        <v>19309</v>
      </c>
      <c r="J261" s="22" t="s">
        <v>19849</v>
      </c>
      <c r="K261" s="22" t="s">
        <v>19850</v>
      </c>
      <c r="L261" s="22"/>
      <c r="M261" s="22"/>
      <c r="N261" s="25" t="str">
        <f>HYPERLINK("http://slimages.macys.com/is/image/MCY/20549415 ")</f>
        <v xml:space="preserve">http://slimages.macys.com/is/image/MCY/20549415 </v>
      </c>
    </row>
    <row r="262" spans="1:14" x14ac:dyDescent="0.25">
      <c r="A262" s="21" t="s">
        <v>18165</v>
      </c>
      <c r="B262" s="22" t="s">
        <v>18166</v>
      </c>
      <c r="C262" s="3">
        <v>6.68</v>
      </c>
      <c r="D262" s="23">
        <v>14.4</v>
      </c>
      <c r="E262" s="3">
        <v>14.4</v>
      </c>
      <c r="F262" s="2" t="s">
        <v>18167</v>
      </c>
      <c r="G262" s="22" t="s">
        <v>19415</v>
      </c>
      <c r="H262" s="24" t="s">
        <v>18168</v>
      </c>
      <c r="I262" s="22" t="s">
        <v>19309</v>
      </c>
      <c r="J262" s="22" t="s">
        <v>19708</v>
      </c>
      <c r="K262" s="22" t="s">
        <v>19709</v>
      </c>
      <c r="L262" s="22"/>
      <c r="M262" s="22"/>
      <c r="N262" s="25" t="str">
        <f>HYPERLINK("http://slimages.macys.com/is/image/MCY/19047041 ")</f>
        <v xml:space="preserve">http://slimages.macys.com/is/image/MCY/19047041 </v>
      </c>
    </row>
    <row r="263" spans="1:14" ht="24.75" x14ac:dyDescent="0.25">
      <c r="A263" s="21" t="s">
        <v>18169</v>
      </c>
      <c r="B263" s="22" t="s">
        <v>18170</v>
      </c>
      <c r="C263" s="3">
        <v>6.66</v>
      </c>
      <c r="D263" s="23">
        <v>15.99</v>
      </c>
      <c r="E263" s="3">
        <v>15.99</v>
      </c>
      <c r="F263" s="2" t="s">
        <v>18171</v>
      </c>
      <c r="G263" s="22" t="s">
        <v>19404</v>
      </c>
      <c r="H263" s="24" t="s">
        <v>19308</v>
      </c>
      <c r="I263" s="22" t="s">
        <v>19309</v>
      </c>
      <c r="J263" s="22" t="s">
        <v>19815</v>
      </c>
      <c r="K263" s="22" t="s">
        <v>19816</v>
      </c>
      <c r="L263" s="22"/>
      <c r="M263" s="22"/>
      <c r="N263" s="25" t="str">
        <f>HYPERLINK("http://slimages.macys.com/is/image/MCY/21278828 ")</f>
        <v xml:space="preserve">http://slimages.macys.com/is/image/MCY/21278828 </v>
      </c>
    </row>
    <row r="264" spans="1:14" ht="24.75" x14ac:dyDescent="0.25">
      <c r="A264" s="21" t="s">
        <v>18172</v>
      </c>
      <c r="B264" s="22" t="s">
        <v>18173</v>
      </c>
      <c r="C264" s="3">
        <v>6.66</v>
      </c>
      <c r="D264" s="23">
        <v>15.99</v>
      </c>
      <c r="E264" s="3">
        <v>15.99</v>
      </c>
      <c r="F264" s="2" t="s">
        <v>18171</v>
      </c>
      <c r="G264" s="22" t="s">
        <v>19404</v>
      </c>
      <c r="H264" s="24" t="s">
        <v>19339</v>
      </c>
      <c r="I264" s="22" t="s">
        <v>19309</v>
      </c>
      <c r="J264" s="22" t="s">
        <v>19815</v>
      </c>
      <c r="K264" s="22" t="s">
        <v>19816</v>
      </c>
      <c r="L264" s="22"/>
      <c r="M264" s="22"/>
      <c r="N264" s="25" t="str">
        <f>HYPERLINK("http://slimages.macys.com/is/image/MCY/21278824 ")</f>
        <v xml:space="preserve">http://slimages.macys.com/is/image/MCY/21278824 </v>
      </c>
    </row>
    <row r="265" spans="1:14" ht="24.75" x14ac:dyDescent="0.25">
      <c r="A265" s="21" t="s">
        <v>18174</v>
      </c>
      <c r="B265" s="22" t="s">
        <v>18175</v>
      </c>
      <c r="C265" s="3">
        <v>6.66</v>
      </c>
      <c r="D265" s="23">
        <v>15.99</v>
      </c>
      <c r="E265" s="3">
        <v>15.99</v>
      </c>
      <c r="F265" s="2" t="s">
        <v>18171</v>
      </c>
      <c r="G265" s="22" t="s">
        <v>19404</v>
      </c>
      <c r="H265" s="24" t="s">
        <v>19364</v>
      </c>
      <c r="I265" s="22" t="s">
        <v>19309</v>
      </c>
      <c r="J265" s="22" t="s">
        <v>19815</v>
      </c>
      <c r="K265" s="22" t="s">
        <v>19816</v>
      </c>
      <c r="L265" s="22"/>
      <c r="M265" s="22"/>
      <c r="N265" s="25" t="str">
        <f>HYPERLINK("http://slimages.macys.com/is/image/MCY/21278828 ")</f>
        <v xml:space="preserve">http://slimages.macys.com/is/image/MCY/21278828 </v>
      </c>
    </row>
    <row r="266" spans="1:14" x14ac:dyDescent="0.25">
      <c r="A266" s="21" t="s">
        <v>18176</v>
      </c>
      <c r="B266" s="22" t="s">
        <v>18177</v>
      </c>
      <c r="C266" s="3">
        <v>6.62</v>
      </c>
      <c r="D266" s="23">
        <v>16.989999999999998</v>
      </c>
      <c r="E266" s="3">
        <v>16.989999999999998</v>
      </c>
      <c r="F266" s="2" t="s">
        <v>20168</v>
      </c>
      <c r="G266" s="22" t="s">
        <v>19431</v>
      </c>
      <c r="H266" s="24" t="s">
        <v>19797</v>
      </c>
      <c r="I266" s="22" t="s">
        <v>19309</v>
      </c>
      <c r="J266" s="22" t="s">
        <v>19849</v>
      </c>
      <c r="K266" s="22" t="s">
        <v>19850</v>
      </c>
      <c r="L266" s="22"/>
      <c r="M266" s="22"/>
      <c r="N266" s="25" t="str">
        <f>HYPERLINK("http://slimages.macys.com/is/image/MCY/20752002 ")</f>
        <v xml:space="preserve">http://slimages.macys.com/is/image/MCY/20752002 </v>
      </c>
    </row>
    <row r="267" spans="1:14" x14ac:dyDescent="0.25">
      <c r="A267" s="21" t="s">
        <v>20166</v>
      </c>
      <c r="B267" s="22" t="s">
        <v>20167</v>
      </c>
      <c r="C267" s="3">
        <v>26.48</v>
      </c>
      <c r="D267" s="23">
        <v>16.989999999999998</v>
      </c>
      <c r="E267" s="3">
        <v>67.959999999999994</v>
      </c>
      <c r="F267" s="2" t="s">
        <v>20168</v>
      </c>
      <c r="G267" s="22" t="s">
        <v>19618</v>
      </c>
      <c r="H267" s="24" t="s">
        <v>19352</v>
      </c>
      <c r="I267" s="22" t="s">
        <v>19309</v>
      </c>
      <c r="J267" s="22" t="s">
        <v>19849</v>
      </c>
      <c r="K267" s="22" t="s">
        <v>19850</v>
      </c>
      <c r="L267" s="22"/>
      <c r="M267" s="22"/>
      <c r="N267" s="25" t="str">
        <f>HYPERLINK("http://slimages.macys.com/is/image/MCY/20752002 ")</f>
        <v xml:space="preserve">http://slimages.macys.com/is/image/MCY/20752002 </v>
      </c>
    </row>
    <row r="268" spans="1:14" x14ac:dyDescent="0.25">
      <c r="A268" s="21" t="s">
        <v>18178</v>
      </c>
      <c r="B268" s="22" t="s">
        <v>18179</v>
      </c>
      <c r="C268" s="3">
        <v>6.62</v>
      </c>
      <c r="D268" s="23">
        <v>16.989999999999998</v>
      </c>
      <c r="E268" s="3">
        <v>16.989999999999998</v>
      </c>
      <c r="F268" s="2" t="s">
        <v>20168</v>
      </c>
      <c r="G268" s="22" t="s">
        <v>19431</v>
      </c>
      <c r="H268" s="24" t="s">
        <v>19364</v>
      </c>
      <c r="I268" s="22" t="s">
        <v>19309</v>
      </c>
      <c r="J268" s="22" t="s">
        <v>19849</v>
      </c>
      <c r="K268" s="22" t="s">
        <v>19850</v>
      </c>
      <c r="L268" s="22"/>
      <c r="M268" s="22"/>
      <c r="N268" s="25" t="str">
        <f>HYPERLINK("http://slimages.macys.com/is/image/MCY/20752002 ")</f>
        <v xml:space="preserve">http://slimages.macys.com/is/image/MCY/20752002 </v>
      </c>
    </row>
    <row r="269" spans="1:14" x14ac:dyDescent="0.25">
      <c r="A269" s="21" t="s">
        <v>20189</v>
      </c>
      <c r="B269" s="22" t="s">
        <v>20190</v>
      </c>
      <c r="C269" s="3">
        <v>6.6</v>
      </c>
      <c r="D269" s="23">
        <v>15</v>
      </c>
      <c r="E269" s="3">
        <v>15</v>
      </c>
      <c r="F269" s="2" t="s">
        <v>20191</v>
      </c>
      <c r="G269" s="22" t="s">
        <v>19307</v>
      </c>
      <c r="H269" s="24" t="s">
        <v>19432</v>
      </c>
      <c r="I269" s="22" t="s">
        <v>19309</v>
      </c>
      <c r="J269" s="22" t="s">
        <v>19310</v>
      </c>
      <c r="K269" s="22" t="s">
        <v>19433</v>
      </c>
      <c r="L269" s="22"/>
      <c r="M269" s="22"/>
      <c r="N269" s="25" t="str">
        <f>HYPERLINK("http://slimages.macys.com/is/image/MCY/21964836 ")</f>
        <v xml:space="preserve">http://slimages.macys.com/is/image/MCY/21964836 </v>
      </c>
    </row>
    <row r="270" spans="1:14" x14ac:dyDescent="0.25">
      <c r="A270" s="21" t="s">
        <v>18180</v>
      </c>
      <c r="B270" s="22" t="s">
        <v>18181</v>
      </c>
      <c r="C270" s="3">
        <v>13.2</v>
      </c>
      <c r="D270" s="23">
        <v>15</v>
      </c>
      <c r="E270" s="3">
        <v>30</v>
      </c>
      <c r="F270" s="2" t="s">
        <v>20191</v>
      </c>
      <c r="G270" s="22" t="s">
        <v>19307</v>
      </c>
      <c r="H270" s="24" t="s">
        <v>19542</v>
      </c>
      <c r="I270" s="22" t="s">
        <v>19309</v>
      </c>
      <c r="J270" s="22" t="s">
        <v>19310</v>
      </c>
      <c r="K270" s="22" t="s">
        <v>19433</v>
      </c>
      <c r="L270" s="22"/>
      <c r="M270" s="22"/>
      <c r="N270" s="25" t="str">
        <f>HYPERLINK("http://slimages.macys.com/is/image/MCY/21964836 ")</f>
        <v xml:space="preserve">http://slimages.macys.com/is/image/MCY/21964836 </v>
      </c>
    </row>
    <row r="271" spans="1:14" x14ac:dyDescent="0.25">
      <c r="A271" s="21" t="s">
        <v>18182</v>
      </c>
      <c r="B271" s="22" t="s">
        <v>18183</v>
      </c>
      <c r="C271" s="3">
        <v>6.6</v>
      </c>
      <c r="D271" s="23">
        <v>17.87</v>
      </c>
      <c r="E271" s="3">
        <v>17.87</v>
      </c>
      <c r="F271" s="2" t="s">
        <v>18184</v>
      </c>
      <c r="G271" s="22"/>
      <c r="H271" s="24" t="s">
        <v>19367</v>
      </c>
      <c r="I271" s="22" t="s">
        <v>19309</v>
      </c>
      <c r="J271" s="22" t="s">
        <v>19708</v>
      </c>
      <c r="K271" s="22" t="s">
        <v>19709</v>
      </c>
      <c r="L271" s="22"/>
      <c r="M271" s="22"/>
      <c r="N271" s="25" t="str">
        <f>HYPERLINK("http://slimages.macys.com/is/image/MCY/22595811 ")</f>
        <v xml:space="preserve">http://slimages.macys.com/is/image/MCY/22595811 </v>
      </c>
    </row>
    <row r="272" spans="1:14" x14ac:dyDescent="0.25">
      <c r="A272" s="21" t="s">
        <v>20174</v>
      </c>
      <c r="B272" s="22" t="s">
        <v>20175</v>
      </c>
      <c r="C272" s="3">
        <v>6.6</v>
      </c>
      <c r="D272" s="23">
        <v>17.87</v>
      </c>
      <c r="E272" s="3">
        <v>17.87</v>
      </c>
      <c r="F272" s="2" t="s">
        <v>20176</v>
      </c>
      <c r="G272" s="22"/>
      <c r="H272" s="24" t="s">
        <v>20159</v>
      </c>
      <c r="I272" s="22" t="s">
        <v>19309</v>
      </c>
      <c r="J272" s="22" t="s">
        <v>19708</v>
      </c>
      <c r="K272" s="22" t="s">
        <v>19709</v>
      </c>
      <c r="L272" s="22"/>
      <c r="M272" s="22"/>
      <c r="N272" s="25" t="str">
        <f>HYPERLINK("http://slimages.macys.com/is/image/MCY/22405968 ")</f>
        <v xml:space="preserve">http://slimages.macys.com/is/image/MCY/22405968 </v>
      </c>
    </row>
    <row r="273" spans="1:14" ht="24.75" x14ac:dyDescent="0.25">
      <c r="A273" s="21" t="s">
        <v>18185</v>
      </c>
      <c r="B273" s="22" t="s">
        <v>18186</v>
      </c>
      <c r="C273" s="3">
        <v>13.14</v>
      </c>
      <c r="D273" s="23">
        <v>12.99</v>
      </c>
      <c r="E273" s="3">
        <v>25.98</v>
      </c>
      <c r="F273" s="2" t="s">
        <v>18187</v>
      </c>
      <c r="G273" s="22" t="s">
        <v>19315</v>
      </c>
      <c r="H273" s="24" t="s">
        <v>19361</v>
      </c>
      <c r="I273" s="22" t="s">
        <v>19309</v>
      </c>
      <c r="J273" s="22" t="s">
        <v>19447</v>
      </c>
      <c r="K273" s="22" t="s">
        <v>20146</v>
      </c>
      <c r="L273" s="22"/>
      <c r="M273" s="22"/>
      <c r="N273" s="25" t="str">
        <f>HYPERLINK("http://slimages.macys.com/is/image/MCY/20676949 ")</f>
        <v xml:space="preserve">http://slimages.macys.com/is/image/MCY/20676949 </v>
      </c>
    </row>
    <row r="274" spans="1:14" ht="24.75" x14ac:dyDescent="0.25">
      <c r="A274" s="21" t="s">
        <v>18188</v>
      </c>
      <c r="B274" s="22" t="s">
        <v>18189</v>
      </c>
      <c r="C274" s="3">
        <v>13.1</v>
      </c>
      <c r="D274" s="23">
        <v>15.72</v>
      </c>
      <c r="E274" s="3">
        <v>31.44</v>
      </c>
      <c r="F274" s="2" t="s">
        <v>18190</v>
      </c>
      <c r="G274" s="22" t="s">
        <v>19333</v>
      </c>
      <c r="H274" s="24" t="s">
        <v>19334</v>
      </c>
      <c r="I274" s="22" t="s">
        <v>19309</v>
      </c>
      <c r="J274" s="22" t="s">
        <v>19602</v>
      </c>
      <c r="K274" s="22" t="s">
        <v>20041</v>
      </c>
      <c r="L274" s="22"/>
      <c r="M274" s="22"/>
      <c r="N274" s="25" t="str">
        <f>HYPERLINK("http://slimages.macys.com/is/image/MCY/20529115 ")</f>
        <v xml:space="preserve">http://slimages.macys.com/is/image/MCY/20529115 </v>
      </c>
    </row>
    <row r="275" spans="1:14" ht="24.75" x14ac:dyDescent="0.25">
      <c r="A275" s="21" t="s">
        <v>18191</v>
      </c>
      <c r="B275" s="22" t="s">
        <v>18192</v>
      </c>
      <c r="C275" s="3">
        <v>6.55</v>
      </c>
      <c r="D275" s="23">
        <v>15.71</v>
      </c>
      <c r="E275" s="3">
        <v>15.71</v>
      </c>
      <c r="F275" s="2" t="s">
        <v>18193</v>
      </c>
      <c r="G275" s="22" t="s">
        <v>19431</v>
      </c>
      <c r="H275" s="24" t="s">
        <v>19345</v>
      </c>
      <c r="I275" s="22" t="s">
        <v>19309</v>
      </c>
      <c r="J275" s="22" t="s">
        <v>19602</v>
      </c>
      <c r="K275" s="22" t="s">
        <v>20041</v>
      </c>
      <c r="L275" s="22"/>
      <c r="M275" s="22"/>
      <c r="N275" s="25" t="str">
        <f>HYPERLINK("http://slimages.macys.com/is/image/MCY/21728870 ")</f>
        <v xml:space="preserve">http://slimages.macys.com/is/image/MCY/21728870 </v>
      </c>
    </row>
    <row r="276" spans="1:14" ht="24.75" x14ac:dyDescent="0.25">
      <c r="A276" s="21" t="s">
        <v>18194</v>
      </c>
      <c r="B276" s="22" t="s">
        <v>18195</v>
      </c>
      <c r="C276" s="3">
        <v>6.5</v>
      </c>
      <c r="D276" s="23">
        <v>15.99</v>
      </c>
      <c r="E276" s="3">
        <v>15.99</v>
      </c>
      <c r="F276" s="2" t="s">
        <v>18196</v>
      </c>
      <c r="G276" s="22" t="s">
        <v>19333</v>
      </c>
      <c r="H276" s="24" t="s">
        <v>19330</v>
      </c>
      <c r="I276" s="22" t="s">
        <v>19309</v>
      </c>
      <c r="J276" s="22" t="s">
        <v>19491</v>
      </c>
      <c r="K276" s="22" t="s">
        <v>18197</v>
      </c>
      <c r="L276" s="22"/>
      <c r="M276" s="22"/>
      <c r="N276" s="25" t="str">
        <f>HYPERLINK("http://slimages.macys.com/is/image/MCY/21541845 ")</f>
        <v xml:space="preserve">http://slimages.macys.com/is/image/MCY/21541845 </v>
      </c>
    </row>
    <row r="277" spans="1:14" ht="24.75" x14ac:dyDescent="0.25">
      <c r="A277" s="21" t="s">
        <v>18198</v>
      </c>
      <c r="B277" s="22" t="s">
        <v>18199</v>
      </c>
      <c r="C277" s="3">
        <v>6.5</v>
      </c>
      <c r="D277" s="23">
        <v>17.989999999999998</v>
      </c>
      <c r="E277" s="3">
        <v>17.989999999999998</v>
      </c>
      <c r="F277" s="2" t="s">
        <v>18200</v>
      </c>
      <c r="G277" s="22" t="s">
        <v>19404</v>
      </c>
      <c r="H277" s="24" t="s">
        <v>19478</v>
      </c>
      <c r="I277" s="22" t="s">
        <v>19309</v>
      </c>
      <c r="J277" s="22" t="s">
        <v>19519</v>
      </c>
      <c r="K277" s="22" t="s">
        <v>17794</v>
      </c>
      <c r="L277" s="22"/>
      <c r="M277" s="22"/>
      <c r="N277" s="25" t="str">
        <f>HYPERLINK("http://slimages.macys.com/is/image/MCY/21144890 ")</f>
        <v xml:space="preserve">http://slimages.macys.com/is/image/MCY/21144890 </v>
      </c>
    </row>
    <row r="278" spans="1:14" ht="24.75" x14ac:dyDescent="0.25">
      <c r="A278" s="21" t="s">
        <v>18201</v>
      </c>
      <c r="B278" s="22" t="s">
        <v>18202</v>
      </c>
      <c r="C278" s="3">
        <v>6.5</v>
      </c>
      <c r="D278" s="23">
        <v>17.989999999999998</v>
      </c>
      <c r="E278" s="3">
        <v>17.989999999999998</v>
      </c>
      <c r="F278" s="2" t="s">
        <v>18203</v>
      </c>
      <c r="G278" s="22" t="s">
        <v>19333</v>
      </c>
      <c r="H278" s="24"/>
      <c r="I278" s="22" t="s">
        <v>19309</v>
      </c>
      <c r="J278" s="22" t="s">
        <v>19519</v>
      </c>
      <c r="K278" s="22" t="s">
        <v>17794</v>
      </c>
      <c r="L278" s="22"/>
      <c r="M278" s="22"/>
      <c r="N278" s="25" t="str">
        <f>HYPERLINK("http://slimages.macys.com/is/image/MCY/21359935 ")</f>
        <v xml:space="preserve">http://slimages.macys.com/is/image/MCY/21359935 </v>
      </c>
    </row>
    <row r="279" spans="1:14" x14ac:dyDescent="0.25">
      <c r="A279" s="21" t="s">
        <v>18204</v>
      </c>
      <c r="B279" s="22" t="s">
        <v>18205</v>
      </c>
      <c r="C279" s="3">
        <v>6.39</v>
      </c>
      <c r="D279" s="23">
        <v>13.77</v>
      </c>
      <c r="E279" s="3">
        <v>13.77</v>
      </c>
      <c r="F279" s="2" t="s">
        <v>18206</v>
      </c>
      <c r="G279" s="22"/>
      <c r="H279" s="24" t="s">
        <v>19330</v>
      </c>
      <c r="I279" s="22" t="s">
        <v>19309</v>
      </c>
      <c r="J279" s="22" t="s">
        <v>19708</v>
      </c>
      <c r="K279" s="22" t="s">
        <v>19709</v>
      </c>
      <c r="L279" s="22"/>
      <c r="M279" s="22"/>
      <c r="N279" s="25" t="str">
        <f>HYPERLINK("http://slimages.macys.com/is/image/MCY/19160863 ")</f>
        <v xml:space="preserve">http://slimages.macys.com/is/image/MCY/19160863 </v>
      </c>
    </row>
    <row r="280" spans="1:14" x14ac:dyDescent="0.25">
      <c r="A280" s="21" t="s">
        <v>18207</v>
      </c>
      <c r="B280" s="22" t="s">
        <v>18208</v>
      </c>
      <c r="C280" s="3">
        <v>6.35</v>
      </c>
      <c r="D280" s="23">
        <v>17.29</v>
      </c>
      <c r="E280" s="3">
        <v>17.29</v>
      </c>
      <c r="F280" s="2" t="s">
        <v>18209</v>
      </c>
      <c r="G280" s="22"/>
      <c r="H280" s="24" t="s">
        <v>19770</v>
      </c>
      <c r="I280" s="22" t="s">
        <v>19309</v>
      </c>
      <c r="J280" s="22" t="s">
        <v>19708</v>
      </c>
      <c r="K280" s="22" t="s">
        <v>19709</v>
      </c>
      <c r="L280" s="22"/>
      <c r="M280" s="22"/>
      <c r="N280" s="25" t="str">
        <f>HYPERLINK("http://slimages.macys.com/is/image/MCY/19917155 ")</f>
        <v xml:space="preserve">http://slimages.macys.com/is/image/MCY/19917155 </v>
      </c>
    </row>
    <row r="281" spans="1:14" ht="24.75" x14ac:dyDescent="0.25">
      <c r="A281" s="21" t="s">
        <v>18210</v>
      </c>
      <c r="B281" s="22" t="s">
        <v>18211</v>
      </c>
      <c r="C281" s="3">
        <v>6.34</v>
      </c>
      <c r="D281" s="23">
        <v>18.989999999999998</v>
      </c>
      <c r="E281" s="3">
        <v>18.989999999999998</v>
      </c>
      <c r="F281" s="2" t="s">
        <v>18212</v>
      </c>
      <c r="G281" s="22" t="s">
        <v>19594</v>
      </c>
      <c r="H281" s="24" t="s">
        <v>20135</v>
      </c>
      <c r="I281" s="22" t="s">
        <v>19309</v>
      </c>
      <c r="J281" s="22" t="s">
        <v>19908</v>
      </c>
      <c r="K281" s="22" t="s">
        <v>19524</v>
      </c>
      <c r="L281" s="22"/>
      <c r="M281" s="22"/>
      <c r="N281" s="25" t="str">
        <f>HYPERLINK("http://slimages.macys.com/is/image/MCY/21570029 ")</f>
        <v xml:space="preserve">http://slimages.macys.com/is/image/MCY/21570029 </v>
      </c>
    </row>
    <row r="282" spans="1:14" ht="24.75" x14ac:dyDescent="0.25">
      <c r="A282" s="21" t="s">
        <v>18213</v>
      </c>
      <c r="B282" s="22" t="s">
        <v>18214</v>
      </c>
      <c r="C282" s="3">
        <v>6.32</v>
      </c>
      <c r="D282" s="23">
        <v>16.989999999999998</v>
      </c>
      <c r="E282" s="3">
        <v>16.989999999999998</v>
      </c>
      <c r="F282" s="2" t="s">
        <v>18215</v>
      </c>
      <c r="G282" s="22" t="s">
        <v>19351</v>
      </c>
      <c r="H282" s="24" t="s">
        <v>19330</v>
      </c>
      <c r="I282" s="22" t="s">
        <v>19309</v>
      </c>
      <c r="J282" s="22" t="s">
        <v>19491</v>
      </c>
      <c r="K282" s="22" t="s">
        <v>20146</v>
      </c>
      <c r="L282" s="22"/>
      <c r="M282" s="22"/>
      <c r="N282" s="25" t="str">
        <f>HYPERLINK("http://slimages.macys.com/is/image/MCY/21265972 ")</f>
        <v xml:space="preserve">http://slimages.macys.com/is/image/MCY/21265972 </v>
      </c>
    </row>
    <row r="283" spans="1:14" x14ac:dyDescent="0.25">
      <c r="A283" s="21" t="s">
        <v>18216</v>
      </c>
      <c r="B283" s="22" t="s">
        <v>18217</v>
      </c>
      <c r="C283" s="3">
        <v>24.92</v>
      </c>
      <c r="D283" s="23">
        <v>15.99</v>
      </c>
      <c r="E283" s="3">
        <v>63.96</v>
      </c>
      <c r="F283" s="2" t="s">
        <v>20223</v>
      </c>
      <c r="G283" s="22" t="s">
        <v>19477</v>
      </c>
      <c r="H283" s="24" t="s">
        <v>20135</v>
      </c>
      <c r="I283" s="22" t="s">
        <v>19309</v>
      </c>
      <c r="J283" s="22" t="s">
        <v>19849</v>
      </c>
      <c r="K283" s="22" t="s">
        <v>19850</v>
      </c>
      <c r="L283" s="22"/>
      <c r="M283" s="22"/>
      <c r="N283" s="25" t="str">
        <f>HYPERLINK("http://slimages.macys.com/is/image/MCY/1488068 ")</f>
        <v xml:space="preserve">http://slimages.macys.com/is/image/MCY/1488068 </v>
      </c>
    </row>
    <row r="284" spans="1:14" x14ac:dyDescent="0.25">
      <c r="A284" s="21" t="s">
        <v>18218</v>
      </c>
      <c r="B284" s="22" t="s">
        <v>18219</v>
      </c>
      <c r="C284" s="3">
        <v>6.23</v>
      </c>
      <c r="D284" s="23">
        <v>15.99</v>
      </c>
      <c r="E284" s="3">
        <v>15.99</v>
      </c>
      <c r="F284" s="2" t="s">
        <v>20223</v>
      </c>
      <c r="G284" s="22" t="s">
        <v>19674</v>
      </c>
      <c r="H284" s="24" t="s">
        <v>20135</v>
      </c>
      <c r="I284" s="22" t="s">
        <v>19309</v>
      </c>
      <c r="J284" s="22" t="s">
        <v>19849</v>
      </c>
      <c r="K284" s="22" t="s">
        <v>19850</v>
      </c>
      <c r="L284" s="22"/>
      <c r="M284" s="22"/>
      <c r="N284" s="25" t="str">
        <f>HYPERLINK("http://slimages.macys.com/is/image/MCY/20549380 ")</f>
        <v xml:space="preserve">http://slimages.macys.com/is/image/MCY/20549380 </v>
      </c>
    </row>
    <row r="285" spans="1:14" x14ac:dyDescent="0.25">
      <c r="A285" s="21" t="s">
        <v>18220</v>
      </c>
      <c r="B285" s="22" t="s">
        <v>18221</v>
      </c>
      <c r="C285" s="3">
        <v>12.46</v>
      </c>
      <c r="D285" s="23">
        <v>15.99</v>
      </c>
      <c r="E285" s="3">
        <v>31.98</v>
      </c>
      <c r="F285" s="2" t="s">
        <v>20223</v>
      </c>
      <c r="G285" s="22" t="s">
        <v>19674</v>
      </c>
      <c r="H285" s="24" t="s">
        <v>19377</v>
      </c>
      <c r="I285" s="22" t="s">
        <v>19309</v>
      </c>
      <c r="J285" s="22" t="s">
        <v>19849</v>
      </c>
      <c r="K285" s="22" t="s">
        <v>19850</v>
      </c>
      <c r="L285" s="22"/>
      <c r="M285" s="22"/>
      <c r="N285" s="25" t="str">
        <f>HYPERLINK("http://slimages.macys.com/is/image/MCY/20549380 ")</f>
        <v xml:space="preserve">http://slimages.macys.com/is/image/MCY/20549380 </v>
      </c>
    </row>
    <row r="286" spans="1:14" ht="24.75" x14ac:dyDescent="0.25">
      <c r="A286" s="21" t="s">
        <v>18222</v>
      </c>
      <c r="B286" s="22" t="s">
        <v>18223</v>
      </c>
      <c r="C286" s="3">
        <v>6.22</v>
      </c>
      <c r="D286" s="23">
        <v>11.99</v>
      </c>
      <c r="E286" s="3">
        <v>11.99</v>
      </c>
      <c r="F286" s="2" t="s">
        <v>18224</v>
      </c>
      <c r="G286" s="22" t="s">
        <v>19323</v>
      </c>
      <c r="H286" s="24" t="s">
        <v>19364</v>
      </c>
      <c r="I286" s="22" t="s">
        <v>19309</v>
      </c>
      <c r="J286" s="22" t="s">
        <v>19447</v>
      </c>
      <c r="K286" s="22" t="s">
        <v>19873</v>
      </c>
      <c r="L286" s="22"/>
      <c r="M286" s="22"/>
      <c r="N286" s="25" t="str">
        <f>HYPERLINK("http://slimages.macys.com/is/image/MCY/20670020 ")</f>
        <v xml:space="preserve">http://slimages.macys.com/is/image/MCY/20670020 </v>
      </c>
    </row>
    <row r="287" spans="1:14" x14ac:dyDescent="0.25">
      <c r="A287" s="21" t="s">
        <v>18225</v>
      </c>
      <c r="B287" s="22" t="s">
        <v>18226</v>
      </c>
      <c r="C287" s="3">
        <v>12.38</v>
      </c>
      <c r="D287" s="23">
        <v>15.99</v>
      </c>
      <c r="E287" s="3">
        <v>31.98</v>
      </c>
      <c r="F287" s="2" t="s">
        <v>18227</v>
      </c>
      <c r="G287" s="22" t="s">
        <v>19670</v>
      </c>
      <c r="H287" s="24" t="s">
        <v>19797</v>
      </c>
      <c r="I287" s="22" t="s">
        <v>19309</v>
      </c>
      <c r="J287" s="22" t="s">
        <v>19849</v>
      </c>
      <c r="K287" s="22" t="s">
        <v>19850</v>
      </c>
      <c r="L287" s="22"/>
      <c r="M287" s="22"/>
      <c r="N287" s="25" t="str">
        <f>HYPERLINK("http://slimages.macys.com/is/image/MCY/1553370 ")</f>
        <v xml:space="preserve">http://slimages.macys.com/is/image/MCY/1553370 </v>
      </c>
    </row>
    <row r="288" spans="1:14" ht="24.75" x14ac:dyDescent="0.25">
      <c r="A288" s="21" t="s">
        <v>18228</v>
      </c>
      <c r="B288" s="22" t="s">
        <v>18229</v>
      </c>
      <c r="C288" s="3">
        <v>6.12</v>
      </c>
      <c r="D288" s="23">
        <v>14.99</v>
      </c>
      <c r="E288" s="3">
        <v>14.99</v>
      </c>
      <c r="F288" s="2" t="s">
        <v>18230</v>
      </c>
      <c r="G288" s="22"/>
      <c r="H288" s="24"/>
      <c r="I288" s="22" t="s">
        <v>19309</v>
      </c>
      <c r="J288" s="22" t="s">
        <v>20076</v>
      </c>
      <c r="K288" s="22" t="s">
        <v>18231</v>
      </c>
      <c r="L288" s="22"/>
      <c r="M288" s="22"/>
      <c r="N288" s="25" t="str">
        <f>HYPERLINK("http://slimages.macys.com/is/image/MCY/21541701 ")</f>
        <v xml:space="preserve">http://slimages.macys.com/is/image/MCY/21541701 </v>
      </c>
    </row>
    <row r="289" spans="1:14" ht="24.75" x14ac:dyDescent="0.25">
      <c r="A289" s="21" t="s">
        <v>18232</v>
      </c>
      <c r="B289" s="22" t="s">
        <v>18233</v>
      </c>
      <c r="C289" s="3">
        <v>6.12</v>
      </c>
      <c r="D289" s="23">
        <v>18.989999999999998</v>
      </c>
      <c r="E289" s="3">
        <v>18.989999999999998</v>
      </c>
      <c r="F289" s="2" t="s">
        <v>18234</v>
      </c>
      <c r="G289" s="22" t="s">
        <v>19333</v>
      </c>
      <c r="H289" s="24" t="s">
        <v>20089</v>
      </c>
      <c r="I289" s="22" t="s">
        <v>19309</v>
      </c>
      <c r="J289" s="22" t="s">
        <v>19908</v>
      </c>
      <c r="K289" s="22" t="s">
        <v>19524</v>
      </c>
      <c r="L289" s="22"/>
      <c r="M289" s="22"/>
      <c r="N289" s="25" t="str">
        <f>HYPERLINK("http://slimages.macys.com/is/image/MCY/21570026 ")</f>
        <v xml:space="preserve">http://slimages.macys.com/is/image/MCY/21570026 </v>
      </c>
    </row>
    <row r="290" spans="1:14" ht="24.75" x14ac:dyDescent="0.25">
      <c r="A290" s="21" t="s">
        <v>18235</v>
      </c>
      <c r="B290" s="22" t="s">
        <v>18236</v>
      </c>
      <c r="C290" s="3">
        <v>6.12</v>
      </c>
      <c r="D290" s="23">
        <v>14.99</v>
      </c>
      <c r="E290" s="3">
        <v>14.99</v>
      </c>
      <c r="F290" s="2" t="s">
        <v>18230</v>
      </c>
      <c r="G290" s="22"/>
      <c r="H290" s="24"/>
      <c r="I290" s="22" t="s">
        <v>19309</v>
      </c>
      <c r="J290" s="22" t="s">
        <v>20076</v>
      </c>
      <c r="K290" s="22" t="s">
        <v>18231</v>
      </c>
      <c r="L290" s="22"/>
      <c r="M290" s="22"/>
      <c r="N290" s="25" t="str">
        <f>HYPERLINK("http://slimages.macys.com/is/image/MCY/21541701 ")</f>
        <v xml:space="preserve">http://slimages.macys.com/is/image/MCY/21541701 </v>
      </c>
    </row>
    <row r="291" spans="1:14" ht="24.75" x14ac:dyDescent="0.25">
      <c r="A291" s="21" t="s">
        <v>18237</v>
      </c>
      <c r="B291" s="22" t="s">
        <v>18238</v>
      </c>
      <c r="C291" s="3">
        <v>6.1</v>
      </c>
      <c r="D291" s="23">
        <v>12.99</v>
      </c>
      <c r="E291" s="3">
        <v>12.99</v>
      </c>
      <c r="F291" s="2" t="s">
        <v>20249</v>
      </c>
      <c r="G291" s="22" t="s">
        <v>19338</v>
      </c>
      <c r="H291" s="24"/>
      <c r="I291" s="22" t="s">
        <v>19309</v>
      </c>
      <c r="J291" s="22" t="s">
        <v>20076</v>
      </c>
      <c r="K291" s="22" t="s">
        <v>20250</v>
      </c>
      <c r="L291" s="22" t="s">
        <v>19319</v>
      </c>
      <c r="M291" s="22" t="s">
        <v>20251</v>
      </c>
      <c r="N291" s="25" t="str">
        <f>HYPERLINK("http://slimages.macys.com/is/image/MCY/9336625 ")</f>
        <v xml:space="preserve">http://slimages.macys.com/is/image/MCY/9336625 </v>
      </c>
    </row>
    <row r="292" spans="1:14" x14ac:dyDescent="0.25">
      <c r="A292" s="21" t="s">
        <v>18239</v>
      </c>
      <c r="B292" s="22" t="s">
        <v>18240</v>
      </c>
      <c r="C292" s="3">
        <v>6.08</v>
      </c>
      <c r="D292" s="23">
        <v>16.989999999999998</v>
      </c>
      <c r="E292" s="3">
        <v>16.989999999999998</v>
      </c>
      <c r="F292" s="2" t="s">
        <v>20265</v>
      </c>
      <c r="G292" s="22" t="s">
        <v>19670</v>
      </c>
      <c r="H292" s="24" t="s">
        <v>19797</v>
      </c>
      <c r="I292" s="22" t="s">
        <v>19309</v>
      </c>
      <c r="J292" s="22" t="s">
        <v>19849</v>
      </c>
      <c r="K292" s="22" t="s">
        <v>19850</v>
      </c>
      <c r="L292" s="22"/>
      <c r="M292" s="22"/>
      <c r="N292" s="25" t="str">
        <f>HYPERLINK("http://slimages.macys.com/is/image/MCY/21270486 ")</f>
        <v xml:space="preserve">http://slimages.macys.com/is/image/MCY/21270486 </v>
      </c>
    </row>
    <row r="293" spans="1:14" x14ac:dyDescent="0.25">
      <c r="A293" s="21" t="s">
        <v>18241</v>
      </c>
      <c r="B293" s="22" t="s">
        <v>18242</v>
      </c>
      <c r="C293" s="3">
        <v>6.08</v>
      </c>
      <c r="D293" s="23">
        <v>16.989999999999998</v>
      </c>
      <c r="E293" s="3">
        <v>16.989999999999998</v>
      </c>
      <c r="F293" s="2" t="s">
        <v>20265</v>
      </c>
      <c r="G293" s="22" t="s">
        <v>19670</v>
      </c>
      <c r="H293" s="24" t="s">
        <v>19364</v>
      </c>
      <c r="I293" s="22" t="s">
        <v>19309</v>
      </c>
      <c r="J293" s="22" t="s">
        <v>19849</v>
      </c>
      <c r="K293" s="22" t="s">
        <v>19850</v>
      </c>
      <c r="L293" s="22"/>
      <c r="M293" s="22"/>
      <c r="N293" s="25" t="str">
        <f>HYPERLINK("http://slimages.macys.com/is/image/MCY/21270486 ")</f>
        <v xml:space="preserve">http://slimages.macys.com/is/image/MCY/21270486 </v>
      </c>
    </row>
    <row r="294" spans="1:14" x14ac:dyDescent="0.25">
      <c r="A294" s="21" t="s">
        <v>18243</v>
      </c>
      <c r="B294" s="22" t="s">
        <v>18244</v>
      </c>
      <c r="C294" s="3">
        <v>6.08</v>
      </c>
      <c r="D294" s="23">
        <v>16.989999999999998</v>
      </c>
      <c r="E294" s="3">
        <v>16.989999999999998</v>
      </c>
      <c r="F294" s="2" t="s">
        <v>18245</v>
      </c>
      <c r="G294" s="22" t="s">
        <v>19431</v>
      </c>
      <c r="H294" s="24" t="s">
        <v>19339</v>
      </c>
      <c r="I294" s="22" t="s">
        <v>19309</v>
      </c>
      <c r="J294" s="22" t="s">
        <v>19849</v>
      </c>
      <c r="K294" s="22" t="s">
        <v>19850</v>
      </c>
      <c r="L294" s="22"/>
      <c r="M294" s="22"/>
      <c r="N294" s="25" t="str">
        <f>HYPERLINK("http://slimages.macys.com/is/image/MCY/21270490 ")</f>
        <v xml:space="preserve">http://slimages.macys.com/is/image/MCY/21270490 </v>
      </c>
    </row>
    <row r="295" spans="1:14" ht="24.75" x14ac:dyDescent="0.25">
      <c r="A295" s="21" t="s">
        <v>18246</v>
      </c>
      <c r="B295" s="22" t="s">
        <v>18247</v>
      </c>
      <c r="C295" s="3">
        <v>36.479999999999997</v>
      </c>
      <c r="D295" s="23">
        <v>11.99</v>
      </c>
      <c r="E295" s="3">
        <v>71.94</v>
      </c>
      <c r="F295" s="2" t="s">
        <v>18248</v>
      </c>
      <c r="G295" s="22" t="s">
        <v>19357</v>
      </c>
      <c r="H295" s="24" t="s">
        <v>19770</v>
      </c>
      <c r="I295" s="22" t="s">
        <v>19309</v>
      </c>
      <c r="J295" s="22" t="s">
        <v>19573</v>
      </c>
      <c r="K295" s="22" t="s">
        <v>20256</v>
      </c>
      <c r="L295" s="22" t="s">
        <v>19319</v>
      </c>
      <c r="M295" s="22" t="s">
        <v>19358</v>
      </c>
      <c r="N295" s="25" t="str">
        <f>HYPERLINK("http://slimages.macys.com/is/image/MCY/10227910 ")</f>
        <v xml:space="preserve">http://slimages.macys.com/is/image/MCY/10227910 </v>
      </c>
    </row>
    <row r="296" spans="1:14" x14ac:dyDescent="0.25">
      <c r="A296" s="21" t="s">
        <v>18249</v>
      </c>
      <c r="B296" s="22" t="s">
        <v>18250</v>
      </c>
      <c r="C296" s="3">
        <v>6.08</v>
      </c>
      <c r="D296" s="23">
        <v>16.989999999999998</v>
      </c>
      <c r="E296" s="3">
        <v>16.989999999999998</v>
      </c>
      <c r="F296" s="2" t="s">
        <v>20262</v>
      </c>
      <c r="G296" s="22" t="s">
        <v>19351</v>
      </c>
      <c r="H296" s="24" t="s">
        <v>19364</v>
      </c>
      <c r="I296" s="22" t="s">
        <v>19309</v>
      </c>
      <c r="J296" s="22" t="s">
        <v>19849</v>
      </c>
      <c r="K296" s="22" t="s">
        <v>19850</v>
      </c>
      <c r="L296" s="22"/>
      <c r="M296" s="22"/>
      <c r="N296" s="25" t="str">
        <f>HYPERLINK("http://slimages.macys.com/is/image/MCY/21270467 ")</f>
        <v xml:space="preserve">http://slimages.macys.com/is/image/MCY/21270467 </v>
      </c>
    </row>
    <row r="297" spans="1:14" ht="24.75" x14ac:dyDescent="0.25">
      <c r="A297" s="21" t="s">
        <v>18251</v>
      </c>
      <c r="B297" s="22" t="s">
        <v>18252</v>
      </c>
      <c r="C297" s="3">
        <v>6.03</v>
      </c>
      <c r="D297" s="23">
        <v>10.99</v>
      </c>
      <c r="E297" s="3">
        <v>10.99</v>
      </c>
      <c r="F297" s="2" t="s">
        <v>18253</v>
      </c>
      <c r="G297" s="22" t="s">
        <v>19801</v>
      </c>
      <c r="H297" s="24" t="s">
        <v>19339</v>
      </c>
      <c r="I297" s="22" t="s">
        <v>19309</v>
      </c>
      <c r="J297" s="22" t="s">
        <v>19447</v>
      </c>
      <c r="K297" s="22" t="s">
        <v>19873</v>
      </c>
      <c r="L297" s="22"/>
      <c r="M297" s="22"/>
      <c r="N297" s="25" t="str">
        <f>HYPERLINK("http://slimages.macys.com/is/image/MCY/19835083 ")</f>
        <v xml:space="preserve">http://slimages.macys.com/is/image/MCY/19835083 </v>
      </c>
    </row>
    <row r="298" spans="1:14" x14ac:dyDescent="0.25">
      <c r="A298" s="21" t="s">
        <v>18254</v>
      </c>
      <c r="B298" s="22" t="s">
        <v>18255</v>
      </c>
      <c r="C298" s="3">
        <v>6.01</v>
      </c>
      <c r="D298" s="23">
        <v>21.99</v>
      </c>
      <c r="E298" s="3">
        <v>21.99</v>
      </c>
      <c r="F298" s="2" t="s">
        <v>20270</v>
      </c>
      <c r="G298" s="22" t="s">
        <v>19467</v>
      </c>
      <c r="H298" s="24" t="s">
        <v>19352</v>
      </c>
      <c r="I298" s="22" t="s">
        <v>19309</v>
      </c>
      <c r="J298" s="22" t="s">
        <v>19849</v>
      </c>
      <c r="K298" s="22" t="s">
        <v>19850</v>
      </c>
      <c r="L298" s="22"/>
      <c r="M298" s="22"/>
      <c r="N298" s="25" t="str">
        <f>HYPERLINK("http://slimages.macys.com/is/image/MCY/20786240 ")</f>
        <v xml:space="preserve">http://slimages.macys.com/is/image/MCY/20786240 </v>
      </c>
    </row>
    <row r="299" spans="1:14" x14ac:dyDescent="0.25">
      <c r="A299" s="21" t="s">
        <v>18256</v>
      </c>
      <c r="B299" s="22" t="s">
        <v>18257</v>
      </c>
      <c r="C299" s="3">
        <v>18.03</v>
      </c>
      <c r="D299" s="23">
        <v>21.99</v>
      </c>
      <c r="E299" s="3">
        <v>65.97</v>
      </c>
      <c r="F299" s="2" t="s">
        <v>20270</v>
      </c>
      <c r="G299" s="22" t="s">
        <v>19467</v>
      </c>
      <c r="H299" s="24" t="s">
        <v>19339</v>
      </c>
      <c r="I299" s="22" t="s">
        <v>19309</v>
      </c>
      <c r="J299" s="22" t="s">
        <v>19849</v>
      </c>
      <c r="K299" s="22" t="s">
        <v>19850</v>
      </c>
      <c r="L299" s="22"/>
      <c r="M299" s="22"/>
      <c r="N299" s="25" t="str">
        <f>HYPERLINK("http://slimages.macys.com/is/image/MCY/20786240 ")</f>
        <v xml:space="preserve">http://slimages.macys.com/is/image/MCY/20786240 </v>
      </c>
    </row>
    <row r="300" spans="1:14" ht="24.75" x14ac:dyDescent="0.25">
      <c r="A300" s="21" t="s">
        <v>18258</v>
      </c>
      <c r="B300" s="22" t="s">
        <v>18259</v>
      </c>
      <c r="C300" s="3">
        <v>6</v>
      </c>
      <c r="D300" s="23">
        <v>10.99</v>
      </c>
      <c r="E300" s="3">
        <v>10.99</v>
      </c>
      <c r="F300" s="2" t="s">
        <v>18260</v>
      </c>
      <c r="G300" s="22" t="s">
        <v>19528</v>
      </c>
      <c r="H300" s="24" t="s">
        <v>20159</v>
      </c>
      <c r="I300" s="22" t="s">
        <v>19309</v>
      </c>
      <c r="J300" s="22" t="s">
        <v>19491</v>
      </c>
      <c r="K300" s="22" t="s">
        <v>19406</v>
      </c>
      <c r="L300" s="22"/>
      <c r="M300" s="22"/>
      <c r="N300" s="25" t="str">
        <f>HYPERLINK("http://slimages.macys.com/is/image/MCY/22120658 ")</f>
        <v xml:space="preserve">http://slimages.macys.com/is/image/MCY/22120658 </v>
      </c>
    </row>
    <row r="301" spans="1:14" ht="24.75" x14ac:dyDescent="0.25">
      <c r="A301" s="21" t="s">
        <v>18261</v>
      </c>
      <c r="B301" s="22" t="s">
        <v>18262</v>
      </c>
      <c r="C301" s="3">
        <v>6</v>
      </c>
      <c r="D301" s="23">
        <v>16.989999999999998</v>
      </c>
      <c r="E301" s="3">
        <v>16.989999999999998</v>
      </c>
      <c r="F301" s="2" t="s">
        <v>18263</v>
      </c>
      <c r="G301" s="22" t="s">
        <v>19431</v>
      </c>
      <c r="H301" s="24" t="s">
        <v>19538</v>
      </c>
      <c r="I301" s="22" t="s">
        <v>19309</v>
      </c>
      <c r="J301" s="22" t="s">
        <v>19573</v>
      </c>
      <c r="K301" s="22" t="s">
        <v>19574</v>
      </c>
      <c r="L301" s="22"/>
      <c r="M301" s="22"/>
      <c r="N301" s="25" t="str">
        <f>HYPERLINK("http://slimages.macys.com/is/image/MCY/20143229 ")</f>
        <v xml:space="preserve">http://slimages.macys.com/is/image/MCY/20143229 </v>
      </c>
    </row>
    <row r="302" spans="1:14" ht="24.75" x14ac:dyDescent="0.25">
      <c r="A302" s="21" t="s">
        <v>20299</v>
      </c>
      <c r="B302" s="22" t="s">
        <v>20300</v>
      </c>
      <c r="C302" s="3">
        <v>5.86</v>
      </c>
      <c r="D302" s="23">
        <v>14.99</v>
      </c>
      <c r="E302" s="3">
        <v>14.99</v>
      </c>
      <c r="F302" s="2" t="s">
        <v>20301</v>
      </c>
      <c r="G302" s="22" t="s">
        <v>19351</v>
      </c>
      <c r="H302" s="24" t="s">
        <v>19538</v>
      </c>
      <c r="I302" s="22" t="s">
        <v>19309</v>
      </c>
      <c r="J302" s="22" t="s">
        <v>19573</v>
      </c>
      <c r="K302" s="22" t="s">
        <v>20256</v>
      </c>
      <c r="L302" s="22" t="s">
        <v>19319</v>
      </c>
      <c r="M302" s="22" t="s">
        <v>20302</v>
      </c>
      <c r="N302" s="25" t="str">
        <f>HYPERLINK("http://slimages.macys.com/is/image/MCY/8484392 ")</f>
        <v xml:space="preserve">http://slimages.macys.com/is/image/MCY/8484392 </v>
      </c>
    </row>
    <row r="303" spans="1:14" ht="24.75" x14ac:dyDescent="0.25">
      <c r="A303" s="21" t="s">
        <v>18264</v>
      </c>
      <c r="B303" s="22" t="s">
        <v>18265</v>
      </c>
      <c r="C303" s="3">
        <v>5.84</v>
      </c>
      <c r="D303" s="23">
        <v>28</v>
      </c>
      <c r="E303" s="3">
        <v>28</v>
      </c>
      <c r="F303" s="2" t="s">
        <v>18266</v>
      </c>
      <c r="G303" s="22" t="s">
        <v>19357</v>
      </c>
      <c r="H303" s="24" t="s">
        <v>19345</v>
      </c>
      <c r="I303" s="22" t="s">
        <v>19309</v>
      </c>
      <c r="J303" s="22" t="s">
        <v>19519</v>
      </c>
      <c r="K303" s="22" t="s">
        <v>18406</v>
      </c>
      <c r="L303" s="22"/>
      <c r="M303" s="22"/>
      <c r="N303" s="25" t="str">
        <f>HYPERLINK("http://slimages.macys.com/is/image/MCY/21019826 ")</f>
        <v xml:space="preserve">http://slimages.macys.com/is/image/MCY/21019826 </v>
      </c>
    </row>
    <row r="304" spans="1:14" x14ac:dyDescent="0.25">
      <c r="A304" s="21" t="s">
        <v>18267</v>
      </c>
      <c r="B304" s="22" t="s">
        <v>18268</v>
      </c>
      <c r="C304" s="3">
        <v>5.84</v>
      </c>
      <c r="D304" s="23">
        <v>15.94</v>
      </c>
      <c r="E304" s="3">
        <v>15.94</v>
      </c>
      <c r="F304" s="2" t="s">
        <v>18269</v>
      </c>
      <c r="G304" s="22" t="s">
        <v>19635</v>
      </c>
      <c r="H304" s="24" t="s">
        <v>19330</v>
      </c>
      <c r="I304" s="22" t="s">
        <v>19309</v>
      </c>
      <c r="J304" s="22" t="s">
        <v>19708</v>
      </c>
      <c r="K304" s="22" t="s">
        <v>19709</v>
      </c>
      <c r="L304" s="22"/>
      <c r="M304" s="22"/>
      <c r="N304" s="25" t="str">
        <f>HYPERLINK("http://slimages.macys.com/is/image/MCY/22296994 ")</f>
        <v xml:space="preserve">http://slimages.macys.com/is/image/MCY/22296994 </v>
      </c>
    </row>
    <row r="305" spans="1:14" x14ac:dyDescent="0.25">
      <c r="A305" s="21" t="s">
        <v>18270</v>
      </c>
      <c r="B305" s="22" t="s">
        <v>18271</v>
      </c>
      <c r="C305" s="3">
        <v>5.84</v>
      </c>
      <c r="D305" s="23">
        <v>15.83</v>
      </c>
      <c r="E305" s="3">
        <v>15.83</v>
      </c>
      <c r="F305" s="2" t="s">
        <v>18272</v>
      </c>
      <c r="G305" s="22" t="s">
        <v>19351</v>
      </c>
      <c r="H305" s="24" t="s">
        <v>19770</v>
      </c>
      <c r="I305" s="22" t="s">
        <v>19309</v>
      </c>
      <c r="J305" s="22" t="s">
        <v>19708</v>
      </c>
      <c r="K305" s="22" t="s">
        <v>19709</v>
      </c>
      <c r="L305" s="22"/>
      <c r="M305" s="22"/>
      <c r="N305" s="25" t="str">
        <f>HYPERLINK("http://slimages.macys.com/is/image/MCY/22596021 ")</f>
        <v xml:space="preserve">http://slimages.macys.com/is/image/MCY/22596021 </v>
      </c>
    </row>
    <row r="306" spans="1:14" x14ac:dyDescent="0.25">
      <c r="A306" s="21" t="s">
        <v>18273</v>
      </c>
      <c r="B306" s="22" t="s">
        <v>18274</v>
      </c>
      <c r="C306" s="3">
        <v>5.84</v>
      </c>
      <c r="D306" s="23">
        <v>15.83</v>
      </c>
      <c r="E306" s="3">
        <v>15.83</v>
      </c>
      <c r="F306" s="2" t="s">
        <v>18272</v>
      </c>
      <c r="G306" s="22" t="s">
        <v>19351</v>
      </c>
      <c r="H306" s="24" t="s">
        <v>19416</v>
      </c>
      <c r="I306" s="22" t="s">
        <v>19309</v>
      </c>
      <c r="J306" s="22" t="s">
        <v>19708</v>
      </c>
      <c r="K306" s="22" t="s">
        <v>19709</v>
      </c>
      <c r="L306" s="22"/>
      <c r="M306" s="22"/>
      <c r="N306" s="25" t="str">
        <f>HYPERLINK("http://slimages.macys.com/is/image/MCY/22596021 ")</f>
        <v xml:space="preserve">http://slimages.macys.com/is/image/MCY/22596021 </v>
      </c>
    </row>
    <row r="307" spans="1:14" ht="24.75" x14ac:dyDescent="0.25">
      <c r="A307" s="21" t="s">
        <v>18275</v>
      </c>
      <c r="B307" s="22" t="s">
        <v>19926</v>
      </c>
      <c r="C307" s="3">
        <v>5.82</v>
      </c>
      <c r="D307" s="23">
        <v>16.989999999999998</v>
      </c>
      <c r="E307" s="3">
        <v>16.989999999999998</v>
      </c>
      <c r="F307" s="2" t="s">
        <v>20311</v>
      </c>
      <c r="G307" s="22" t="s">
        <v>19713</v>
      </c>
      <c r="H307" s="24" t="s">
        <v>19538</v>
      </c>
      <c r="I307" s="22" t="s">
        <v>19309</v>
      </c>
      <c r="J307" s="22" t="s">
        <v>19573</v>
      </c>
      <c r="K307" s="22" t="s">
        <v>19574</v>
      </c>
      <c r="L307" s="22"/>
      <c r="M307" s="22"/>
      <c r="N307" s="25" t="str">
        <f>HYPERLINK("http://slimages.macys.com/is/image/MCY/1597998 ")</f>
        <v xml:space="preserve">http://slimages.macys.com/is/image/MCY/1597998 </v>
      </c>
    </row>
    <row r="308" spans="1:14" ht="24.75" x14ac:dyDescent="0.25">
      <c r="A308" s="21" t="s">
        <v>20312</v>
      </c>
      <c r="B308" s="22" t="s">
        <v>19916</v>
      </c>
      <c r="C308" s="3">
        <v>5.82</v>
      </c>
      <c r="D308" s="23">
        <v>16.989999999999998</v>
      </c>
      <c r="E308" s="3">
        <v>16.989999999999998</v>
      </c>
      <c r="F308" s="2" t="s">
        <v>20311</v>
      </c>
      <c r="G308" s="22" t="s">
        <v>19713</v>
      </c>
      <c r="H308" s="24"/>
      <c r="I308" s="22" t="s">
        <v>19309</v>
      </c>
      <c r="J308" s="22" t="s">
        <v>19573</v>
      </c>
      <c r="K308" s="22" t="s">
        <v>19574</v>
      </c>
      <c r="L308" s="22"/>
      <c r="M308" s="22"/>
      <c r="N308" s="25" t="str">
        <f>HYPERLINK("http://slimages.macys.com/is/image/MCY/1597998 ")</f>
        <v xml:space="preserve">http://slimages.macys.com/is/image/MCY/1597998 </v>
      </c>
    </row>
    <row r="309" spans="1:14" x14ac:dyDescent="0.25">
      <c r="A309" s="21" t="s">
        <v>18276</v>
      </c>
      <c r="B309" s="22" t="s">
        <v>18277</v>
      </c>
      <c r="C309" s="3">
        <v>5.78</v>
      </c>
      <c r="D309" s="23">
        <v>15.99</v>
      </c>
      <c r="E309" s="3">
        <v>15.99</v>
      </c>
      <c r="F309" s="2" t="s">
        <v>20316</v>
      </c>
      <c r="G309" s="22" t="s">
        <v>19670</v>
      </c>
      <c r="H309" s="24" t="s">
        <v>19797</v>
      </c>
      <c r="I309" s="22" t="s">
        <v>19309</v>
      </c>
      <c r="J309" s="22" t="s">
        <v>19849</v>
      </c>
      <c r="K309" s="22" t="s">
        <v>19850</v>
      </c>
      <c r="L309" s="22"/>
      <c r="M309" s="22"/>
      <c r="N309" s="25" t="str">
        <f>HYPERLINK("http://slimages.macys.com/is/image/MCY/21270367 ")</f>
        <v xml:space="preserve">http://slimages.macys.com/is/image/MCY/21270367 </v>
      </c>
    </row>
    <row r="310" spans="1:14" ht="24.75" x14ac:dyDescent="0.25">
      <c r="A310" s="21" t="s">
        <v>18278</v>
      </c>
      <c r="B310" s="22" t="s">
        <v>18279</v>
      </c>
      <c r="C310" s="3">
        <v>5.75</v>
      </c>
      <c r="D310" s="23">
        <v>14.99</v>
      </c>
      <c r="E310" s="3">
        <v>14.99</v>
      </c>
      <c r="F310" s="2" t="s">
        <v>18280</v>
      </c>
      <c r="G310" s="22" t="s">
        <v>19357</v>
      </c>
      <c r="H310" s="24"/>
      <c r="I310" s="22" t="s">
        <v>19309</v>
      </c>
      <c r="J310" s="22" t="s">
        <v>19317</v>
      </c>
      <c r="K310" s="22" t="s">
        <v>20320</v>
      </c>
      <c r="L310" s="22"/>
      <c r="M310" s="22"/>
      <c r="N310" s="25" t="str">
        <f>HYPERLINK("http://slimages.macys.com/is/image/MCY/21201828 ")</f>
        <v xml:space="preserve">http://slimages.macys.com/is/image/MCY/21201828 </v>
      </c>
    </row>
    <row r="311" spans="1:14" ht="48.75" x14ac:dyDescent="0.25">
      <c r="A311" s="21" t="s">
        <v>18281</v>
      </c>
      <c r="B311" s="22" t="s">
        <v>18282</v>
      </c>
      <c r="C311" s="3">
        <v>5.75</v>
      </c>
      <c r="D311" s="23">
        <v>12.99</v>
      </c>
      <c r="E311" s="3">
        <v>12.99</v>
      </c>
      <c r="F311" s="2" t="s">
        <v>18283</v>
      </c>
      <c r="G311" s="22" t="s">
        <v>19351</v>
      </c>
      <c r="H311" s="24"/>
      <c r="I311" s="22" t="s">
        <v>19309</v>
      </c>
      <c r="J311" s="22" t="s">
        <v>20076</v>
      </c>
      <c r="K311" s="22" t="s">
        <v>18231</v>
      </c>
      <c r="L311" s="22" t="s">
        <v>19319</v>
      </c>
      <c r="M311" s="22" t="s">
        <v>18284</v>
      </c>
      <c r="N311" s="25" t="str">
        <f>HYPERLINK("http://slimages.macys.com/is/image/MCY/2216728 ")</f>
        <v xml:space="preserve">http://slimages.macys.com/is/image/MCY/2216728 </v>
      </c>
    </row>
    <row r="312" spans="1:14" x14ac:dyDescent="0.25">
      <c r="A312" s="21" t="s">
        <v>18285</v>
      </c>
      <c r="B312" s="22" t="s">
        <v>18286</v>
      </c>
      <c r="C312" s="3">
        <v>5.68</v>
      </c>
      <c r="D312" s="23">
        <v>12.24</v>
      </c>
      <c r="E312" s="3">
        <v>12.24</v>
      </c>
      <c r="F312" s="2" t="s">
        <v>18287</v>
      </c>
      <c r="G312" s="22" t="s">
        <v>19323</v>
      </c>
      <c r="H312" s="24" t="s">
        <v>20159</v>
      </c>
      <c r="I312" s="22" t="s">
        <v>19309</v>
      </c>
      <c r="J312" s="22" t="s">
        <v>19708</v>
      </c>
      <c r="K312" s="22" t="s">
        <v>19709</v>
      </c>
      <c r="L312" s="22"/>
      <c r="M312" s="22"/>
      <c r="N312" s="25" t="str">
        <f>HYPERLINK("http://slimages.macys.com/is/image/MCY/21410161 ")</f>
        <v xml:space="preserve">http://slimages.macys.com/is/image/MCY/21410161 </v>
      </c>
    </row>
    <row r="313" spans="1:14" x14ac:dyDescent="0.25">
      <c r="A313" s="21" t="s">
        <v>18288</v>
      </c>
      <c r="B313" s="22" t="s">
        <v>18289</v>
      </c>
      <c r="C313" s="3">
        <v>5.68</v>
      </c>
      <c r="D313" s="23">
        <v>12.24</v>
      </c>
      <c r="E313" s="3">
        <v>12.24</v>
      </c>
      <c r="F313" s="2" t="s">
        <v>18287</v>
      </c>
      <c r="G313" s="22" t="s">
        <v>19323</v>
      </c>
      <c r="H313" s="24" t="s">
        <v>20152</v>
      </c>
      <c r="I313" s="22" t="s">
        <v>19309</v>
      </c>
      <c r="J313" s="22" t="s">
        <v>19708</v>
      </c>
      <c r="K313" s="22" t="s">
        <v>19709</v>
      </c>
      <c r="L313" s="22"/>
      <c r="M313" s="22"/>
      <c r="N313" s="25" t="str">
        <f>HYPERLINK("http://slimages.macys.com/is/image/MCY/21410161 ")</f>
        <v xml:space="preserve">http://slimages.macys.com/is/image/MCY/21410161 </v>
      </c>
    </row>
    <row r="314" spans="1:14" ht="24.75" x14ac:dyDescent="0.25">
      <c r="A314" s="21" t="s">
        <v>18290</v>
      </c>
      <c r="B314" s="22" t="s">
        <v>18291</v>
      </c>
      <c r="C314" s="3">
        <v>5.63</v>
      </c>
      <c r="D314" s="23">
        <v>13.99</v>
      </c>
      <c r="E314" s="3">
        <v>13.99</v>
      </c>
      <c r="F314" s="2" t="s">
        <v>18292</v>
      </c>
      <c r="G314" s="22" t="s">
        <v>19585</v>
      </c>
      <c r="H314" s="24" t="s">
        <v>19538</v>
      </c>
      <c r="I314" s="22" t="s">
        <v>19309</v>
      </c>
      <c r="J314" s="22" t="s">
        <v>19573</v>
      </c>
      <c r="K314" s="22" t="s">
        <v>19574</v>
      </c>
      <c r="L314" s="22"/>
      <c r="M314" s="22"/>
      <c r="N314" s="25" t="str">
        <f>HYPERLINK("http://slimages.macys.com/is/image/MCY/20757449 ")</f>
        <v xml:space="preserve">http://slimages.macys.com/is/image/MCY/20757449 </v>
      </c>
    </row>
    <row r="315" spans="1:14" ht="24.75" x14ac:dyDescent="0.25">
      <c r="A315" s="21" t="s">
        <v>18293</v>
      </c>
      <c r="B315" s="22" t="s">
        <v>18294</v>
      </c>
      <c r="C315" s="3">
        <v>5.59</v>
      </c>
      <c r="D315" s="23">
        <v>14.99</v>
      </c>
      <c r="E315" s="3">
        <v>14.99</v>
      </c>
      <c r="F315" s="2" t="s">
        <v>18295</v>
      </c>
      <c r="G315" s="22" t="s">
        <v>19404</v>
      </c>
      <c r="H315" s="24" t="s">
        <v>19542</v>
      </c>
      <c r="I315" s="22" t="s">
        <v>19309</v>
      </c>
      <c r="J315" s="22" t="s">
        <v>19815</v>
      </c>
      <c r="K315" s="22" t="s">
        <v>19816</v>
      </c>
      <c r="L315" s="22"/>
      <c r="M315" s="22"/>
      <c r="N315" s="25" t="str">
        <f>HYPERLINK("http://slimages.macys.com/is/image/MCY/21278878 ")</f>
        <v xml:space="preserve">http://slimages.macys.com/is/image/MCY/21278878 </v>
      </c>
    </row>
    <row r="316" spans="1:14" ht="24.75" x14ac:dyDescent="0.25">
      <c r="A316" s="21" t="s">
        <v>18296</v>
      </c>
      <c r="B316" s="22" t="s">
        <v>18297</v>
      </c>
      <c r="C316" s="3">
        <v>16.77</v>
      </c>
      <c r="D316" s="23">
        <v>9.99</v>
      </c>
      <c r="E316" s="3">
        <v>29.97</v>
      </c>
      <c r="F316" s="2" t="s">
        <v>18298</v>
      </c>
      <c r="G316" s="22" t="s">
        <v>19906</v>
      </c>
      <c r="H316" s="24" t="s">
        <v>19364</v>
      </c>
      <c r="I316" s="22" t="s">
        <v>19309</v>
      </c>
      <c r="J316" s="22" t="s">
        <v>19353</v>
      </c>
      <c r="K316" s="22" t="s">
        <v>19524</v>
      </c>
      <c r="L316" s="22"/>
      <c r="M316" s="22"/>
      <c r="N316" s="25" t="str">
        <f>HYPERLINK("http://slimages.macys.com/is/image/MCY/1667860 ")</f>
        <v xml:space="preserve">http://slimages.macys.com/is/image/MCY/1667860 </v>
      </c>
    </row>
    <row r="317" spans="1:14" x14ac:dyDescent="0.25">
      <c r="A317" s="21" t="s">
        <v>18358</v>
      </c>
      <c r="B317" s="22" t="s">
        <v>18359</v>
      </c>
      <c r="C317" s="3">
        <v>5.55</v>
      </c>
      <c r="D317" s="23">
        <v>15.13</v>
      </c>
      <c r="E317" s="3">
        <v>15.13</v>
      </c>
      <c r="F317" s="2" t="s">
        <v>18360</v>
      </c>
      <c r="G317" s="22" t="s">
        <v>18361</v>
      </c>
      <c r="H317" s="24" t="s">
        <v>19324</v>
      </c>
      <c r="I317" s="22" t="s">
        <v>19309</v>
      </c>
      <c r="J317" s="22" t="s">
        <v>19708</v>
      </c>
      <c r="K317" s="22" t="s">
        <v>19709</v>
      </c>
      <c r="L317" s="22"/>
      <c r="M317" s="22"/>
      <c r="N317" s="25" t="str">
        <f>HYPERLINK("http://slimages.macys.com/is/image/MCY/21758813 ")</f>
        <v xml:space="preserve">http://slimages.macys.com/is/image/MCY/21758813 </v>
      </c>
    </row>
    <row r="318" spans="1:14" x14ac:dyDescent="0.25">
      <c r="A318" s="21" t="s">
        <v>18299</v>
      </c>
      <c r="B318" s="22" t="s">
        <v>18300</v>
      </c>
      <c r="C318" s="3">
        <v>5.55</v>
      </c>
      <c r="D318" s="23">
        <v>15.13</v>
      </c>
      <c r="E318" s="3">
        <v>15.13</v>
      </c>
      <c r="F318" s="2" t="s">
        <v>18357</v>
      </c>
      <c r="G318" s="22" t="s">
        <v>19338</v>
      </c>
      <c r="H318" s="24" t="s">
        <v>20152</v>
      </c>
      <c r="I318" s="22" t="s">
        <v>19309</v>
      </c>
      <c r="J318" s="22" t="s">
        <v>19708</v>
      </c>
      <c r="K318" s="22" t="s">
        <v>19709</v>
      </c>
      <c r="L318" s="22"/>
      <c r="M318" s="22"/>
      <c r="N318" s="25" t="str">
        <f>HYPERLINK("http://slimages.macys.com/is/image/MCY/21184050 ")</f>
        <v xml:space="preserve">http://slimages.macys.com/is/image/MCY/21184050 </v>
      </c>
    </row>
    <row r="319" spans="1:14" ht="24.75" x14ac:dyDescent="0.25">
      <c r="A319" s="21" t="s">
        <v>18301</v>
      </c>
      <c r="B319" s="22" t="s">
        <v>18302</v>
      </c>
      <c r="C319" s="3">
        <v>5.55</v>
      </c>
      <c r="D319" s="23">
        <v>14.99</v>
      </c>
      <c r="E319" s="3">
        <v>14.99</v>
      </c>
      <c r="F319" s="2" t="s">
        <v>18364</v>
      </c>
      <c r="G319" s="22" t="s">
        <v>19431</v>
      </c>
      <c r="H319" s="24" t="s">
        <v>19330</v>
      </c>
      <c r="I319" s="22" t="s">
        <v>19309</v>
      </c>
      <c r="J319" s="22" t="s">
        <v>19573</v>
      </c>
      <c r="K319" s="22" t="s">
        <v>19574</v>
      </c>
      <c r="L319" s="22"/>
      <c r="M319" s="22"/>
      <c r="N319" s="25" t="str">
        <f>HYPERLINK("http://slimages.macys.com/is/image/MCY/2062457 ")</f>
        <v xml:space="preserve">http://slimages.macys.com/is/image/MCY/2062457 </v>
      </c>
    </row>
    <row r="320" spans="1:14" x14ac:dyDescent="0.25">
      <c r="A320" s="21" t="s">
        <v>18303</v>
      </c>
      <c r="B320" s="22" t="s">
        <v>18304</v>
      </c>
      <c r="C320" s="3">
        <v>5.55</v>
      </c>
      <c r="D320" s="23">
        <v>15.13</v>
      </c>
      <c r="E320" s="3">
        <v>15.13</v>
      </c>
      <c r="F320" s="2" t="s">
        <v>18305</v>
      </c>
      <c r="G320" s="22" t="s">
        <v>19333</v>
      </c>
      <c r="H320" s="24" t="s">
        <v>19324</v>
      </c>
      <c r="I320" s="22" t="s">
        <v>19309</v>
      </c>
      <c r="J320" s="22" t="s">
        <v>19708</v>
      </c>
      <c r="K320" s="22" t="s">
        <v>19709</v>
      </c>
      <c r="L320" s="22"/>
      <c r="M320" s="22"/>
      <c r="N320" s="25" t="str">
        <f>HYPERLINK("http://slimages.macys.com/is/image/MCY/21752166 ")</f>
        <v xml:space="preserve">http://slimages.macys.com/is/image/MCY/21752166 </v>
      </c>
    </row>
    <row r="321" spans="1:14" ht="24.75" x14ac:dyDescent="0.25">
      <c r="A321" s="21" t="s">
        <v>18306</v>
      </c>
      <c r="B321" s="22" t="s">
        <v>18307</v>
      </c>
      <c r="C321" s="3">
        <v>5.5</v>
      </c>
      <c r="D321" s="23">
        <v>16.989999999999998</v>
      </c>
      <c r="E321" s="3">
        <v>16.989999999999998</v>
      </c>
      <c r="F321" s="2" t="s">
        <v>18376</v>
      </c>
      <c r="G321" s="22" t="s">
        <v>19906</v>
      </c>
      <c r="H321" s="24" t="s">
        <v>19384</v>
      </c>
      <c r="I321" s="22" t="s">
        <v>19309</v>
      </c>
      <c r="J321" s="22" t="s">
        <v>19573</v>
      </c>
      <c r="K321" s="22" t="s">
        <v>19574</v>
      </c>
      <c r="L321" s="22"/>
      <c r="M321" s="22"/>
      <c r="N321" s="25" t="str">
        <f>HYPERLINK("http://slimages.macys.com/is/image/MCY/1516070 ")</f>
        <v xml:space="preserve">http://slimages.macys.com/is/image/MCY/1516070 </v>
      </c>
    </row>
    <row r="322" spans="1:14" ht="24.75" x14ac:dyDescent="0.25">
      <c r="A322" s="21" t="s">
        <v>18308</v>
      </c>
      <c r="B322" s="22" t="s">
        <v>18309</v>
      </c>
      <c r="C322" s="3">
        <v>11</v>
      </c>
      <c r="D322" s="23">
        <v>16.989999999999998</v>
      </c>
      <c r="E322" s="3">
        <v>33.979999999999997</v>
      </c>
      <c r="F322" s="2" t="s">
        <v>18376</v>
      </c>
      <c r="G322" s="22" t="s">
        <v>19906</v>
      </c>
      <c r="H322" s="24" t="s">
        <v>19416</v>
      </c>
      <c r="I322" s="22" t="s">
        <v>19309</v>
      </c>
      <c r="J322" s="22" t="s">
        <v>19573</v>
      </c>
      <c r="K322" s="22" t="s">
        <v>19574</v>
      </c>
      <c r="L322" s="22"/>
      <c r="M322" s="22"/>
      <c r="N322" s="25" t="str">
        <f>HYPERLINK("http://slimages.macys.com/is/image/MCY/1538253 ")</f>
        <v xml:space="preserve">http://slimages.macys.com/is/image/MCY/1538253 </v>
      </c>
    </row>
    <row r="323" spans="1:14" x14ac:dyDescent="0.25">
      <c r="A323" s="21" t="s">
        <v>18310</v>
      </c>
      <c r="B323" s="22" t="s">
        <v>18311</v>
      </c>
      <c r="C323" s="3">
        <v>5.5</v>
      </c>
      <c r="D323" s="23">
        <v>21.99</v>
      </c>
      <c r="E323" s="3">
        <v>21.99</v>
      </c>
      <c r="F323" s="2" t="s">
        <v>18381</v>
      </c>
      <c r="G323" s="22" t="s">
        <v>19674</v>
      </c>
      <c r="H323" s="24"/>
      <c r="I323" s="22" t="s">
        <v>19309</v>
      </c>
      <c r="J323" s="22" t="s">
        <v>19849</v>
      </c>
      <c r="K323" s="22" t="s">
        <v>19850</v>
      </c>
      <c r="L323" s="22"/>
      <c r="M323" s="22"/>
      <c r="N323" s="25" t="str">
        <f>HYPERLINK("http://slimages.macys.com/is/image/MCY/1521091 ")</f>
        <v xml:space="preserve">http://slimages.macys.com/is/image/MCY/1521091 </v>
      </c>
    </row>
    <row r="324" spans="1:14" x14ac:dyDescent="0.25">
      <c r="A324" s="21" t="s">
        <v>18382</v>
      </c>
      <c r="B324" s="22" t="s">
        <v>18383</v>
      </c>
      <c r="C324" s="3">
        <v>11</v>
      </c>
      <c r="D324" s="23">
        <v>21.99</v>
      </c>
      <c r="E324" s="3">
        <v>43.98</v>
      </c>
      <c r="F324" s="2" t="s">
        <v>18381</v>
      </c>
      <c r="G324" s="22" t="s">
        <v>19674</v>
      </c>
      <c r="H324" s="24" t="s">
        <v>19797</v>
      </c>
      <c r="I324" s="22" t="s">
        <v>19309</v>
      </c>
      <c r="J324" s="22" t="s">
        <v>19849</v>
      </c>
      <c r="K324" s="22" t="s">
        <v>19850</v>
      </c>
      <c r="L324" s="22"/>
      <c r="M324" s="22"/>
      <c r="N324" s="25" t="str">
        <f>HYPERLINK("http://slimages.macys.com/is/image/MCY/1521091 ")</f>
        <v xml:space="preserve">http://slimages.macys.com/is/image/MCY/1521091 </v>
      </c>
    </row>
    <row r="325" spans="1:14" x14ac:dyDescent="0.25">
      <c r="A325" s="21" t="s">
        <v>18312</v>
      </c>
      <c r="B325" s="22" t="s">
        <v>18313</v>
      </c>
      <c r="C325" s="3">
        <v>5.5</v>
      </c>
      <c r="D325" s="23">
        <v>21.99</v>
      </c>
      <c r="E325" s="3">
        <v>21.99</v>
      </c>
      <c r="F325" s="2" t="s">
        <v>18381</v>
      </c>
      <c r="G325" s="22" t="s">
        <v>19674</v>
      </c>
      <c r="H325" s="24" t="s">
        <v>19364</v>
      </c>
      <c r="I325" s="22" t="s">
        <v>19309</v>
      </c>
      <c r="J325" s="22" t="s">
        <v>19849</v>
      </c>
      <c r="K325" s="22" t="s">
        <v>19850</v>
      </c>
      <c r="L325" s="22"/>
      <c r="M325" s="22"/>
      <c r="N325" s="25" t="str">
        <f>HYPERLINK("http://slimages.macys.com/is/image/MCY/1521091 ")</f>
        <v xml:space="preserve">http://slimages.macys.com/is/image/MCY/1521091 </v>
      </c>
    </row>
    <row r="326" spans="1:14" x14ac:dyDescent="0.25">
      <c r="A326" s="21" t="s">
        <v>18314</v>
      </c>
      <c r="B326" s="22" t="s">
        <v>18315</v>
      </c>
      <c r="C326" s="3">
        <v>5.5</v>
      </c>
      <c r="D326" s="23">
        <v>30</v>
      </c>
      <c r="E326" s="3">
        <v>30</v>
      </c>
      <c r="F326" s="2" t="s">
        <v>18316</v>
      </c>
      <c r="G326" s="22" t="s">
        <v>19422</v>
      </c>
      <c r="H326" s="24" t="s">
        <v>19968</v>
      </c>
      <c r="I326" s="22" t="s">
        <v>19309</v>
      </c>
      <c r="J326" s="22" t="s">
        <v>19417</v>
      </c>
      <c r="K326" s="22" t="s">
        <v>18317</v>
      </c>
      <c r="L326" s="22"/>
      <c r="M326" s="22"/>
      <c r="N326" s="25" t="str">
        <f>HYPERLINK("http://slimages.macys.com/is/image/MCY/21614910 ")</f>
        <v xml:space="preserve">http://slimages.macys.com/is/image/MCY/21614910 </v>
      </c>
    </row>
    <row r="327" spans="1:14" ht="24.75" x14ac:dyDescent="0.25">
      <c r="A327" s="21" t="s">
        <v>18318</v>
      </c>
      <c r="B327" s="22" t="s">
        <v>18319</v>
      </c>
      <c r="C327" s="3">
        <v>5.5</v>
      </c>
      <c r="D327" s="23">
        <v>13.99</v>
      </c>
      <c r="E327" s="3">
        <v>13.99</v>
      </c>
      <c r="F327" s="2" t="s">
        <v>18320</v>
      </c>
      <c r="G327" s="22" t="s">
        <v>19674</v>
      </c>
      <c r="H327" s="24" t="s">
        <v>19330</v>
      </c>
      <c r="I327" s="22" t="s">
        <v>19309</v>
      </c>
      <c r="J327" s="22" t="s">
        <v>19573</v>
      </c>
      <c r="K327" s="22" t="s">
        <v>19574</v>
      </c>
      <c r="L327" s="22"/>
      <c r="M327" s="22"/>
      <c r="N327" s="25" t="str">
        <f>HYPERLINK("http://slimages.macys.com/is/image/MCY/20757652 ")</f>
        <v xml:space="preserve">http://slimages.macys.com/is/image/MCY/20757652 </v>
      </c>
    </row>
    <row r="328" spans="1:14" x14ac:dyDescent="0.25">
      <c r="A328" s="21" t="s">
        <v>18321</v>
      </c>
      <c r="B328" s="22" t="s">
        <v>18322</v>
      </c>
      <c r="C328" s="3">
        <v>5.5</v>
      </c>
      <c r="D328" s="23">
        <v>28</v>
      </c>
      <c r="E328" s="3">
        <v>28</v>
      </c>
      <c r="F328" s="2" t="s">
        <v>18323</v>
      </c>
      <c r="G328" s="22" t="s">
        <v>19422</v>
      </c>
      <c r="H328" s="24"/>
      <c r="I328" s="22" t="s">
        <v>19309</v>
      </c>
      <c r="J328" s="22" t="s">
        <v>19417</v>
      </c>
      <c r="K328" s="22" t="s">
        <v>18317</v>
      </c>
      <c r="L328" s="22"/>
      <c r="M328" s="22"/>
      <c r="N328" s="25" t="str">
        <f>HYPERLINK("http://slimages.macys.com/is/image/MCY/21614884 ")</f>
        <v xml:space="preserve">http://slimages.macys.com/is/image/MCY/21614884 </v>
      </c>
    </row>
    <row r="329" spans="1:14" x14ac:dyDescent="0.25">
      <c r="A329" s="21" t="s">
        <v>18324</v>
      </c>
      <c r="B329" s="22" t="s">
        <v>18325</v>
      </c>
      <c r="C329" s="3">
        <v>5.47</v>
      </c>
      <c r="D329" s="23">
        <v>11.79</v>
      </c>
      <c r="E329" s="3">
        <v>11.79</v>
      </c>
      <c r="F329" s="2" t="s">
        <v>18326</v>
      </c>
      <c r="G329" s="22"/>
      <c r="H329" s="24" t="s">
        <v>20159</v>
      </c>
      <c r="I329" s="22" t="s">
        <v>19309</v>
      </c>
      <c r="J329" s="22" t="s">
        <v>19708</v>
      </c>
      <c r="K329" s="22" t="s">
        <v>19709</v>
      </c>
      <c r="L329" s="22"/>
      <c r="M329" s="22"/>
      <c r="N329" s="25" t="str">
        <f>HYPERLINK("http://slimages.macys.com/is/image/MCY/19066797 ")</f>
        <v xml:space="preserve">http://slimages.macys.com/is/image/MCY/19066797 </v>
      </c>
    </row>
    <row r="330" spans="1:14" x14ac:dyDescent="0.25">
      <c r="A330" s="21" t="s">
        <v>18327</v>
      </c>
      <c r="B330" s="22" t="s">
        <v>18328</v>
      </c>
      <c r="C330" s="3">
        <v>5.47</v>
      </c>
      <c r="D330" s="23">
        <v>11.79</v>
      </c>
      <c r="E330" s="3">
        <v>11.79</v>
      </c>
      <c r="F330" s="2" t="s">
        <v>18329</v>
      </c>
      <c r="G330" s="22"/>
      <c r="H330" s="24" t="s">
        <v>19367</v>
      </c>
      <c r="I330" s="22" t="s">
        <v>19309</v>
      </c>
      <c r="J330" s="22" t="s">
        <v>19708</v>
      </c>
      <c r="K330" s="22" t="s">
        <v>19709</v>
      </c>
      <c r="L330" s="22"/>
      <c r="M330" s="22"/>
      <c r="N330" s="25" t="str">
        <f>HYPERLINK("http://slimages.macys.com/is/image/MCY/19063341 ")</f>
        <v xml:space="preserve">http://slimages.macys.com/is/image/MCY/19063341 </v>
      </c>
    </row>
    <row r="331" spans="1:14" ht="24.75" x14ac:dyDescent="0.25">
      <c r="A331" s="21" t="s">
        <v>18330</v>
      </c>
      <c r="B331" s="22" t="s">
        <v>18331</v>
      </c>
      <c r="C331" s="3">
        <v>5.46</v>
      </c>
      <c r="D331" s="23">
        <v>20.99</v>
      </c>
      <c r="E331" s="3">
        <v>20.99</v>
      </c>
      <c r="F331" s="2" t="s">
        <v>18332</v>
      </c>
      <c r="G331" s="22" t="s">
        <v>19467</v>
      </c>
      <c r="H331" s="24" t="s">
        <v>19316</v>
      </c>
      <c r="I331" s="22" t="s">
        <v>19309</v>
      </c>
      <c r="J331" s="22" t="s">
        <v>19447</v>
      </c>
      <c r="K331" s="22" t="s">
        <v>18333</v>
      </c>
      <c r="L331" s="22"/>
      <c r="M331" s="22"/>
      <c r="N331" s="25" t="str">
        <f>HYPERLINK("http://slimages.macys.com/is/image/MCY/22168190 ")</f>
        <v xml:space="preserve">http://slimages.macys.com/is/image/MCY/22168190 </v>
      </c>
    </row>
    <row r="332" spans="1:14" x14ac:dyDescent="0.25">
      <c r="A332" s="21" t="s">
        <v>18334</v>
      </c>
      <c r="B332" s="22" t="s">
        <v>18335</v>
      </c>
      <c r="C332" s="3">
        <v>5.38</v>
      </c>
      <c r="D332" s="23">
        <v>22.5</v>
      </c>
      <c r="E332" s="3">
        <v>22.5</v>
      </c>
      <c r="F332" s="2" t="s">
        <v>18409</v>
      </c>
      <c r="G332" s="22" t="s">
        <v>19630</v>
      </c>
      <c r="H332" s="24" t="s">
        <v>19334</v>
      </c>
      <c r="I332" s="22" t="s">
        <v>19309</v>
      </c>
      <c r="J332" s="22" t="s">
        <v>19688</v>
      </c>
      <c r="K332" s="22" t="s">
        <v>19614</v>
      </c>
      <c r="L332" s="22"/>
      <c r="M332" s="22"/>
      <c r="N332" s="25" t="str">
        <f>HYPERLINK("http://slimages.macys.com/is/image/MCY/21035881 ")</f>
        <v xml:space="preserve">http://slimages.macys.com/is/image/MCY/21035881 </v>
      </c>
    </row>
    <row r="333" spans="1:14" x14ac:dyDescent="0.25">
      <c r="A333" s="21" t="s">
        <v>18336</v>
      </c>
      <c r="B333" s="22" t="s">
        <v>18337</v>
      </c>
      <c r="C333" s="3">
        <v>5.38</v>
      </c>
      <c r="D333" s="23">
        <v>22.5</v>
      </c>
      <c r="E333" s="3">
        <v>22.5</v>
      </c>
      <c r="F333" s="2" t="s">
        <v>18338</v>
      </c>
      <c r="G333" s="22" t="s">
        <v>19351</v>
      </c>
      <c r="H333" s="24" t="s">
        <v>19334</v>
      </c>
      <c r="I333" s="22" t="s">
        <v>19309</v>
      </c>
      <c r="J333" s="22" t="s">
        <v>19688</v>
      </c>
      <c r="K333" s="22" t="s">
        <v>19614</v>
      </c>
      <c r="L333" s="22"/>
      <c r="M333" s="22"/>
      <c r="N333" s="25" t="str">
        <f>HYPERLINK("http://slimages.macys.com/is/image/MCY/21035862 ")</f>
        <v xml:space="preserve">http://slimages.macys.com/is/image/MCY/21035862 </v>
      </c>
    </row>
    <row r="334" spans="1:14" ht="24.75" x14ac:dyDescent="0.25">
      <c r="A334" s="21" t="s">
        <v>18339</v>
      </c>
      <c r="B334" s="22" t="s">
        <v>18340</v>
      </c>
      <c r="C334" s="3">
        <v>5.37</v>
      </c>
      <c r="D334" s="23">
        <v>13.99</v>
      </c>
      <c r="E334" s="3">
        <v>13.99</v>
      </c>
      <c r="F334" s="2" t="s">
        <v>18412</v>
      </c>
      <c r="G334" s="22" t="s">
        <v>19351</v>
      </c>
      <c r="H334" s="24" t="s">
        <v>19330</v>
      </c>
      <c r="I334" s="22" t="s">
        <v>19309</v>
      </c>
      <c r="J334" s="22" t="s">
        <v>19573</v>
      </c>
      <c r="K334" s="22" t="s">
        <v>19574</v>
      </c>
      <c r="L334" s="22"/>
      <c r="M334" s="22"/>
      <c r="N334" s="25" t="str">
        <f>HYPERLINK("http://slimages.macys.com/is/image/MCY/1554795 ")</f>
        <v xml:space="preserve">http://slimages.macys.com/is/image/MCY/1554795 </v>
      </c>
    </row>
    <row r="335" spans="1:14" ht="24.75" x14ac:dyDescent="0.25">
      <c r="A335" s="21" t="s">
        <v>18341</v>
      </c>
      <c r="B335" s="22" t="s">
        <v>18342</v>
      </c>
      <c r="C335" s="3">
        <v>5.37</v>
      </c>
      <c r="D335" s="23">
        <v>13.99</v>
      </c>
      <c r="E335" s="3">
        <v>13.99</v>
      </c>
      <c r="F335" s="2" t="s">
        <v>18412</v>
      </c>
      <c r="G335" s="22" t="s">
        <v>19674</v>
      </c>
      <c r="H335" s="24" t="s">
        <v>19330</v>
      </c>
      <c r="I335" s="22" t="s">
        <v>19309</v>
      </c>
      <c r="J335" s="22" t="s">
        <v>19573</v>
      </c>
      <c r="K335" s="22" t="s">
        <v>19574</v>
      </c>
      <c r="L335" s="22"/>
      <c r="M335" s="22"/>
      <c r="N335" s="25" t="str">
        <f>HYPERLINK("http://slimages.macys.com/is/image/MCY/21907847 ")</f>
        <v xml:space="preserve">http://slimages.macys.com/is/image/MCY/21907847 </v>
      </c>
    </row>
    <row r="336" spans="1:14" ht="24.75" x14ac:dyDescent="0.25">
      <c r="A336" s="21" t="s">
        <v>18343</v>
      </c>
      <c r="B336" s="22" t="s">
        <v>18344</v>
      </c>
      <c r="C336" s="3">
        <v>5.34</v>
      </c>
      <c r="D336" s="23">
        <v>12.81</v>
      </c>
      <c r="E336" s="3">
        <v>12.81</v>
      </c>
      <c r="F336" s="2" t="s">
        <v>18345</v>
      </c>
      <c r="G336" s="22" t="s">
        <v>19357</v>
      </c>
      <c r="H336" s="24" t="s">
        <v>19345</v>
      </c>
      <c r="I336" s="22" t="s">
        <v>19309</v>
      </c>
      <c r="J336" s="22" t="s">
        <v>19602</v>
      </c>
      <c r="K336" s="22" t="s">
        <v>20041</v>
      </c>
      <c r="L336" s="22"/>
      <c r="M336" s="22"/>
      <c r="N336" s="25" t="str">
        <f>HYPERLINK("http://slimages.macys.com/is/image/MCY/21669740 ")</f>
        <v xml:space="preserve">http://slimages.macys.com/is/image/MCY/21669740 </v>
      </c>
    </row>
    <row r="337" spans="1:14" x14ac:dyDescent="0.25">
      <c r="A337" s="21" t="s">
        <v>18346</v>
      </c>
      <c r="B337" s="22" t="s">
        <v>16468</v>
      </c>
      <c r="C337" s="3">
        <v>5.34</v>
      </c>
      <c r="D337" s="23">
        <v>14.55</v>
      </c>
      <c r="E337" s="3">
        <v>14.55</v>
      </c>
      <c r="F337" s="2" t="s">
        <v>16469</v>
      </c>
      <c r="G337" s="22" t="s">
        <v>19338</v>
      </c>
      <c r="H337" s="24" t="s">
        <v>20159</v>
      </c>
      <c r="I337" s="22" t="s">
        <v>19309</v>
      </c>
      <c r="J337" s="22" t="s">
        <v>19708</v>
      </c>
      <c r="K337" s="22" t="s">
        <v>19709</v>
      </c>
      <c r="L337" s="22"/>
      <c r="M337" s="22"/>
      <c r="N337" s="25" t="str">
        <f>HYPERLINK("http://slimages.macys.com/is/image/MCY/18645721 ")</f>
        <v xml:space="preserve">http://slimages.macys.com/is/image/MCY/18645721 </v>
      </c>
    </row>
    <row r="338" spans="1:14" x14ac:dyDescent="0.25">
      <c r="A338" s="21" t="s">
        <v>16470</v>
      </c>
      <c r="B338" s="22" t="s">
        <v>16471</v>
      </c>
      <c r="C338" s="3">
        <v>5.31</v>
      </c>
      <c r="D338" s="23">
        <v>19.989999999999998</v>
      </c>
      <c r="E338" s="3">
        <v>19.989999999999998</v>
      </c>
      <c r="F338" s="2" t="s">
        <v>18419</v>
      </c>
      <c r="G338" s="22" t="s">
        <v>19467</v>
      </c>
      <c r="H338" s="24" t="s">
        <v>20089</v>
      </c>
      <c r="I338" s="22" t="s">
        <v>19309</v>
      </c>
      <c r="J338" s="22" t="s">
        <v>19849</v>
      </c>
      <c r="K338" s="22" t="s">
        <v>19850</v>
      </c>
      <c r="L338" s="22"/>
      <c r="M338" s="22"/>
      <c r="N338" s="25" t="str">
        <f>HYPERLINK("http://slimages.macys.com/is/image/MCY/21270685 ")</f>
        <v xml:space="preserve">http://slimages.macys.com/is/image/MCY/21270685 </v>
      </c>
    </row>
    <row r="339" spans="1:14" ht="24.75" x14ac:dyDescent="0.25">
      <c r="A339" s="21" t="s">
        <v>16472</v>
      </c>
      <c r="B339" s="22" t="s">
        <v>16473</v>
      </c>
      <c r="C339" s="3">
        <v>5.3</v>
      </c>
      <c r="D339" s="23">
        <v>12.71</v>
      </c>
      <c r="E339" s="3">
        <v>12.71</v>
      </c>
      <c r="F339" s="2" t="s">
        <v>16474</v>
      </c>
      <c r="G339" s="22"/>
      <c r="H339" s="24" t="s">
        <v>19334</v>
      </c>
      <c r="I339" s="22" t="s">
        <v>19309</v>
      </c>
      <c r="J339" s="22" t="s">
        <v>19602</v>
      </c>
      <c r="K339" s="22" t="s">
        <v>19603</v>
      </c>
      <c r="L339" s="22"/>
      <c r="M339" s="22"/>
      <c r="N339" s="25" t="str">
        <f>HYPERLINK("http://slimages.macys.com/is/image/MCY/19967993 ")</f>
        <v xml:space="preserve">http://slimages.macys.com/is/image/MCY/19967993 </v>
      </c>
    </row>
    <row r="340" spans="1:14" ht="24.75" x14ac:dyDescent="0.25">
      <c r="A340" s="21" t="s">
        <v>16475</v>
      </c>
      <c r="B340" s="22" t="s">
        <v>16476</v>
      </c>
      <c r="C340" s="3">
        <v>5.3</v>
      </c>
      <c r="D340" s="23">
        <v>11.42</v>
      </c>
      <c r="E340" s="3">
        <v>11.42</v>
      </c>
      <c r="F340" s="2" t="s">
        <v>16477</v>
      </c>
      <c r="G340" s="22" t="s">
        <v>19357</v>
      </c>
      <c r="H340" s="24" t="s">
        <v>19392</v>
      </c>
      <c r="I340" s="22" t="s">
        <v>19309</v>
      </c>
      <c r="J340" s="22" t="s">
        <v>19602</v>
      </c>
      <c r="K340" s="22" t="s">
        <v>20041</v>
      </c>
      <c r="L340" s="22"/>
      <c r="M340" s="22"/>
      <c r="N340" s="25" t="str">
        <f>HYPERLINK("http://slimages.macys.com/is/image/MCY/19944562 ")</f>
        <v xml:space="preserve">http://slimages.macys.com/is/image/MCY/19944562 </v>
      </c>
    </row>
    <row r="341" spans="1:14" ht="24.75" x14ac:dyDescent="0.25">
      <c r="A341" s="21" t="s">
        <v>16478</v>
      </c>
      <c r="B341" s="22" t="s">
        <v>16479</v>
      </c>
      <c r="C341" s="3">
        <v>5.3</v>
      </c>
      <c r="D341" s="23">
        <v>13.99</v>
      </c>
      <c r="E341" s="3">
        <v>13.99</v>
      </c>
      <c r="F341" s="2" t="s">
        <v>16480</v>
      </c>
      <c r="G341" s="22" t="s">
        <v>19431</v>
      </c>
      <c r="H341" s="24" t="s">
        <v>20089</v>
      </c>
      <c r="I341" s="22" t="s">
        <v>19309</v>
      </c>
      <c r="J341" s="22" t="s">
        <v>19573</v>
      </c>
      <c r="K341" s="22" t="s">
        <v>19574</v>
      </c>
      <c r="L341" s="22"/>
      <c r="M341" s="22"/>
      <c r="N341" s="25" t="str">
        <f>HYPERLINK("http://slimages.macys.com/is/image/MCY/18509163 ")</f>
        <v xml:space="preserve">http://slimages.macys.com/is/image/MCY/18509163 </v>
      </c>
    </row>
    <row r="342" spans="1:14" ht="24.75" x14ac:dyDescent="0.25">
      <c r="A342" s="21" t="s">
        <v>16481</v>
      </c>
      <c r="B342" s="22" t="s">
        <v>16482</v>
      </c>
      <c r="C342" s="3">
        <v>5.29</v>
      </c>
      <c r="D342" s="23">
        <v>9.99</v>
      </c>
      <c r="E342" s="3">
        <v>9.99</v>
      </c>
      <c r="F342" s="2" t="s">
        <v>16483</v>
      </c>
      <c r="G342" s="22" t="s">
        <v>19333</v>
      </c>
      <c r="H342" s="24" t="s">
        <v>19339</v>
      </c>
      <c r="I342" s="22" t="s">
        <v>19309</v>
      </c>
      <c r="J342" s="22" t="s">
        <v>19447</v>
      </c>
      <c r="K342" s="22" t="s">
        <v>19873</v>
      </c>
      <c r="L342" s="22"/>
      <c r="M342" s="22"/>
      <c r="N342" s="25" t="str">
        <f>HYPERLINK("http://slimages.macys.com/is/image/MCY/20670007 ")</f>
        <v xml:space="preserve">http://slimages.macys.com/is/image/MCY/20670007 </v>
      </c>
    </row>
    <row r="343" spans="1:14" ht="24.75" x14ac:dyDescent="0.25">
      <c r="A343" s="21" t="s">
        <v>18426</v>
      </c>
      <c r="B343" s="22" t="s">
        <v>18427</v>
      </c>
      <c r="C343" s="3">
        <v>5.29</v>
      </c>
      <c r="D343" s="23">
        <v>8.99</v>
      </c>
      <c r="E343" s="3">
        <v>8.99</v>
      </c>
      <c r="F343" s="2" t="s">
        <v>18428</v>
      </c>
      <c r="G343" s="22" t="s">
        <v>18429</v>
      </c>
      <c r="H343" s="24" t="s">
        <v>19361</v>
      </c>
      <c r="I343" s="22" t="s">
        <v>19309</v>
      </c>
      <c r="J343" s="22" t="s">
        <v>19310</v>
      </c>
      <c r="K343" s="22" t="s">
        <v>19468</v>
      </c>
      <c r="L343" s="22"/>
      <c r="M343" s="22"/>
      <c r="N343" s="25" t="str">
        <f>HYPERLINK("http://slimages.macys.com/is/image/MCY/21184204 ")</f>
        <v xml:space="preserve">http://slimages.macys.com/is/image/MCY/21184204 </v>
      </c>
    </row>
    <row r="344" spans="1:14" ht="24.75" x14ac:dyDescent="0.25">
      <c r="A344" s="21" t="s">
        <v>18440</v>
      </c>
      <c r="B344" s="22" t="s">
        <v>18441</v>
      </c>
      <c r="C344" s="3">
        <v>5.29</v>
      </c>
      <c r="D344" s="23">
        <v>8.99</v>
      </c>
      <c r="E344" s="3">
        <v>8.99</v>
      </c>
      <c r="F344" s="2" t="s">
        <v>18428</v>
      </c>
      <c r="G344" s="22" t="s">
        <v>18429</v>
      </c>
      <c r="H344" s="24" t="s">
        <v>19432</v>
      </c>
      <c r="I344" s="22" t="s">
        <v>19309</v>
      </c>
      <c r="J344" s="22" t="s">
        <v>19310</v>
      </c>
      <c r="K344" s="22" t="s">
        <v>19468</v>
      </c>
      <c r="L344" s="22"/>
      <c r="M344" s="22"/>
      <c r="N344" s="25" t="str">
        <f>HYPERLINK("http://slimages.macys.com/is/image/MCY/21184204 ")</f>
        <v xml:space="preserve">http://slimages.macys.com/is/image/MCY/21184204 </v>
      </c>
    </row>
    <row r="345" spans="1:14" x14ac:dyDescent="0.25">
      <c r="A345" s="21" t="s">
        <v>16484</v>
      </c>
      <c r="B345" s="22" t="s">
        <v>16485</v>
      </c>
      <c r="C345" s="3">
        <v>5.25</v>
      </c>
      <c r="D345" s="23">
        <v>30</v>
      </c>
      <c r="E345" s="3">
        <v>30</v>
      </c>
      <c r="F345" s="2" t="s">
        <v>16486</v>
      </c>
      <c r="G345" s="22" t="s">
        <v>19422</v>
      </c>
      <c r="H345" s="24"/>
      <c r="I345" s="22" t="s">
        <v>19309</v>
      </c>
      <c r="J345" s="22" t="s">
        <v>19417</v>
      </c>
      <c r="K345" s="22" t="s">
        <v>18317</v>
      </c>
      <c r="L345" s="22"/>
      <c r="M345" s="22"/>
      <c r="N345" s="25" t="str">
        <f>HYPERLINK("http://slimages.macys.com/is/image/MCY/21614856 ")</f>
        <v xml:space="preserve">http://slimages.macys.com/is/image/MCY/21614856 </v>
      </c>
    </row>
    <row r="346" spans="1:14" x14ac:dyDescent="0.25">
      <c r="A346" s="21" t="s">
        <v>16487</v>
      </c>
      <c r="B346" s="22" t="s">
        <v>16488</v>
      </c>
      <c r="C346" s="3">
        <v>5.2</v>
      </c>
      <c r="D346" s="23">
        <v>15.99</v>
      </c>
      <c r="E346" s="3">
        <v>15.99</v>
      </c>
      <c r="F346" s="2" t="s">
        <v>18451</v>
      </c>
      <c r="G346" s="22" t="s">
        <v>19315</v>
      </c>
      <c r="H346" s="24" t="s">
        <v>19364</v>
      </c>
      <c r="I346" s="22" t="s">
        <v>19309</v>
      </c>
      <c r="J346" s="22" t="s">
        <v>19849</v>
      </c>
      <c r="K346" s="22" t="s">
        <v>19850</v>
      </c>
      <c r="L346" s="22"/>
      <c r="M346" s="22"/>
      <c r="N346" s="25" t="str">
        <f>HYPERLINK("http://slimages.macys.com/is/image/MCY/1414815 ")</f>
        <v xml:space="preserve">http://slimages.macys.com/is/image/MCY/1414815 </v>
      </c>
    </row>
    <row r="347" spans="1:14" x14ac:dyDescent="0.25">
      <c r="A347" s="21" t="s">
        <v>18449</v>
      </c>
      <c r="B347" s="22" t="s">
        <v>18450</v>
      </c>
      <c r="C347" s="3">
        <v>5.2</v>
      </c>
      <c r="D347" s="23">
        <v>15.99</v>
      </c>
      <c r="E347" s="3">
        <v>15.99</v>
      </c>
      <c r="F347" s="2" t="s">
        <v>18451</v>
      </c>
      <c r="G347" s="22" t="s">
        <v>19315</v>
      </c>
      <c r="H347" s="24" t="s">
        <v>19352</v>
      </c>
      <c r="I347" s="22" t="s">
        <v>19309</v>
      </c>
      <c r="J347" s="22" t="s">
        <v>19849</v>
      </c>
      <c r="K347" s="22" t="s">
        <v>19850</v>
      </c>
      <c r="L347" s="22"/>
      <c r="M347" s="22"/>
      <c r="N347" s="25" t="str">
        <f>HYPERLINK("http://slimages.macys.com/is/image/MCY/21373795 ")</f>
        <v xml:space="preserve">http://slimages.macys.com/is/image/MCY/21373795 </v>
      </c>
    </row>
    <row r="348" spans="1:14" x14ac:dyDescent="0.25">
      <c r="A348" s="21" t="s">
        <v>16489</v>
      </c>
      <c r="B348" s="22" t="s">
        <v>16490</v>
      </c>
      <c r="C348" s="3">
        <v>5.2</v>
      </c>
      <c r="D348" s="23">
        <v>15.99</v>
      </c>
      <c r="E348" s="3">
        <v>15.99</v>
      </c>
      <c r="F348" s="2" t="s">
        <v>18451</v>
      </c>
      <c r="G348" s="22" t="s">
        <v>19315</v>
      </c>
      <c r="H348" s="24" t="s">
        <v>19339</v>
      </c>
      <c r="I348" s="22" t="s">
        <v>19309</v>
      </c>
      <c r="J348" s="22" t="s">
        <v>19849</v>
      </c>
      <c r="K348" s="22" t="s">
        <v>19850</v>
      </c>
      <c r="L348" s="22"/>
      <c r="M348" s="22"/>
      <c r="N348" s="25" t="str">
        <f>HYPERLINK("http://slimages.macys.com/is/image/MCY/21373795 ")</f>
        <v xml:space="preserve">http://slimages.macys.com/is/image/MCY/21373795 </v>
      </c>
    </row>
    <row r="349" spans="1:14" x14ac:dyDescent="0.25">
      <c r="A349" s="21" t="s">
        <v>16491</v>
      </c>
      <c r="B349" s="22" t="s">
        <v>16492</v>
      </c>
      <c r="C349" s="3">
        <v>5.16</v>
      </c>
      <c r="D349" s="23">
        <v>13.99</v>
      </c>
      <c r="E349" s="3">
        <v>13.99</v>
      </c>
      <c r="F349" s="2" t="s">
        <v>18457</v>
      </c>
      <c r="G349" s="22" t="s">
        <v>19670</v>
      </c>
      <c r="H349" s="24" t="s">
        <v>20089</v>
      </c>
      <c r="I349" s="22" t="s">
        <v>19309</v>
      </c>
      <c r="J349" s="22" t="s">
        <v>19849</v>
      </c>
      <c r="K349" s="22" t="s">
        <v>19850</v>
      </c>
      <c r="L349" s="22"/>
      <c r="M349" s="22"/>
      <c r="N349" s="25" t="str">
        <f>HYPERLINK("http://slimages.macys.com/is/image/MCY/21270275 ")</f>
        <v xml:space="preserve">http://slimages.macys.com/is/image/MCY/21270275 </v>
      </c>
    </row>
    <row r="350" spans="1:14" x14ac:dyDescent="0.25">
      <c r="A350" s="21" t="s">
        <v>16493</v>
      </c>
      <c r="B350" s="22" t="s">
        <v>16494</v>
      </c>
      <c r="C350" s="3">
        <v>5.16</v>
      </c>
      <c r="D350" s="23">
        <v>13.99</v>
      </c>
      <c r="E350" s="3">
        <v>13.99</v>
      </c>
      <c r="F350" s="2" t="s">
        <v>18457</v>
      </c>
      <c r="G350" s="22" t="s">
        <v>19670</v>
      </c>
      <c r="H350" s="24" t="s">
        <v>19361</v>
      </c>
      <c r="I350" s="22" t="s">
        <v>19309</v>
      </c>
      <c r="J350" s="22" t="s">
        <v>19849</v>
      </c>
      <c r="K350" s="22" t="s">
        <v>19850</v>
      </c>
      <c r="L350" s="22"/>
      <c r="M350" s="22"/>
      <c r="N350" s="25" t="str">
        <f>HYPERLINK("http://slimages.macys.com/is/image/MCY/21270275 ")</f>
        <v xml:space="preserve">http://slimages.macys.com/is/image/MCY/21270275 </v>
      </c>
    </row>
    <row r="351" spans="1:14" x14ac:dyDescent="0.25">
      <c r="A351" s="21" t="s">
        <v>16495</v>
      </c>
      <c r="B351" s="22" t="s">
        <v>16496</v>
      </c>
      <c r="C351" s="3">
        <v>5.12</v>
      </c>
      <c r="D351" s="23">
        <v>13.99</v>
      </c>
      <c r="E351" s="3">
        <v>13.99</v>
      </c>
      <c r="F351" s="2" t="s">
        <v>16497</v>
      </c>
      <c r="G351" s="22" t="s">
        <v>19618</v>
      </c>
      <c r="H351" s="24" t="s">
        <v>19364</v>
      </c>
      <c r="I351" s="22" t="s">
        <v>19309</v>
      </c>
      <c r="J351" s="22" t="s">
        <v>19849</v>
      </c>
      <c r="K351" s="22" t="s">
        <v>19850</v>
      </c>
      <c r="L351" s="22"/>
      <c r="M351" s="22"/>
      <c r="N351" s="25" t="str">
        <f>HYPERLINK("http://slimages.macys.com/is/image/MCY/21270437 ")</f>
        <v xml:space="preserve">http://slimages.macys.com/is/image/MCY/21270437 </v>
      </c>
    </row>
    <row r="352" spans="1:14" x14ac:dyDescent="0.25">
      <c r="A352" s="21" t="s">
        <v>16498</v>
      </c>
      <c r="B352" s="22" t="s">
        <v>16499</v>
      </c>
      <c r="C352" s="3">
        <v>10.24</v>
      </c>
      <c r="D352" s="23">
        <v>13.99</v>
      </c>
      <c r="E352" s="3">
        <v>27.98</v>
      </c>
      <c r="F352" s="2" t="s">
        <v>16497</v>
      </c>
      <c r="G352" s="22" t="s">
        <v>19618</v>
      </c>
      <c r="H352" s="24" t="s">
        <v>19352</v>
      </c>
      <c r="I352" s="22" t="s">
        <v>19309</v>
      </c>
      <c r="J352" s="22" t="s">
        <v>19849</v>
      </c>
      <c r="K352" s="22" t="s">
        <v>19850</v>
      </c>
      <c r="L352" s="22"/>
      <c r="M352" s="22"/>
      <c r="N352" s="25" t="str">
        <f>HYPERLINK("http://slimages.macys.com/is/image/MCY/21270437 ")</f>
        <v xml:space="preserve">http://slimages.macys.com/is/image/MCY/21270437 </v>
      </c>
    </row>
    <row r="353" spans="1:14" ht="24.75" x14ac:dyDescent="0.25">
      <c r="A353" s="21" t="s">
        <v>18468</v>
      </c>
      <c r="B353" s="22" t="s">
        <v>18469</v>
      </c>
      <c r="C353" s="3">
        <v>5.12</v>
      </c>
      <c r="D353" s="23">
        <v>13.99</v>
      </c>
      <c r="E353" s="3">
        <v>13.99</v>
      </c>
      <c r="F353" s="2" t="s">
        <v>18470</v>
      </c>
      <c r="G353" s="22" t="s">
        <v>19351</v>
      </c>
      <c r="H353" s="24" t="s">
        <v>19384</v>
      </c>
      <c r="I353" s="22" t="s">
        <v>19309</v>
      </c>
      <c r="J353" s="22" t="s">
        <v>19573</v>
      </c>
      <c r="K353" s="22" t="s">
        <v>19574</v>
      </c>
      <c r="L353" s="22"/>
      <c r="M353" s="22"/>
      <c r="N353" s="25" t="str">
        <f>HYPERLINK("http://slimages.macys.com/is/image/MCY/21361742 ")</f>
        <v xml:space="preserve">http://slimages.macys.com/is/image/MCY/21361742 </v>
      </c>
    </row>
    <row r="354" spans="1:14" ht="24.75" x14ac:dyDescent="0.25">
      <c r="A354" s="21" t="s">
        <v>16500</v>
      </c>
      <c r="B354" s="22" t="s">
        <v>16501</v>
      </c>
      <c r="C354" s="3">
        <v>5.1100000000000003</v>
      </c>
      <c r="D354" s="23">
        <v>13.99</v>
      </c>
      <c r="E354" s="3">
        <v>13.99</v>
      </c>
      <c r="F354" s="2" t="s">
        <v>18473</v>
      </c>
      <c r="G354" s="22" t="s">
        <v>19462</v>
      </c>
      <c r="H354" s="24" t="s">
        <v>19339</v>
      </c>
      <c r="I354" s="22" t="s">
        <v>19309</v>
      </c>
      <c r="J354" s="22" t="s">
        <v>19353</v>
      </c>
      <c r="K354" s="22" t="s">
        <v>19524</v>
      </c>
      <c r="L354" s="22"/>
      <c r="M354" s="22"/>
      <c r="N354" s="25" t="str">
        <f>HYPERLINK("http://slimages.macys.com/is/image/MCY/22030187 ")</f>
        <v xml:space="preserve">http://slimages.macys.com/is/image/MCY/22030187 </v>
      </c>
    </row>
    <row r="355" spans="1:14" x14ac:dyDescent="0.25">
      <c r="A355" s="21" t="s">
        <v>16502</v>
      </c>
      <c r="B355" s="22" t="s">
        <v>16503</v>
      </c>
      <c r="C355" s="3">
        <v>5.05</v>
      </c>
      <c r="D355" s="23">
        <v>10.82</v>
      </c>
      <c r="E355" s="3">
        <v>10.82</v>
      </c>
      <c r="F355" s="2" t="s">
        <v>16504</v>
      </c>
      <c r="G355" s="22" t="s">
        <v>19357</v>
      </c>
      <c r="H355" s="24" t="s">
        <v>19367</v>
      </c>
      <c r="I355" s="22" t="s">
        <v>19309</v>
      </c>
      <c r="J355" s="22" t="s">
        <v>19708</v>
      </c>
      <c r="K355" s="22" t="s">
        <v>19709</v>
      </c>
      <c r="L355" s="22"/>
      <c r="M355" s="22"/>
      <c r="N355" s="25" t="str">
        <f>HYPERLINK("http://slimages.macys.com/is/image/MCY/22596092 ")</f>
        <v xml:space="preserve">http://slimages.macys.com/is/image/MCY/22596092 </v>
      </c>
    </row>
    <row r="356" spans="1:14" x14ac:dyDescent="0.25">
      <c r="A356" s="21" t="s">
        <v>16505</v>
      </c>
      <c r="B356" s="22" t="s">
        <v>16506</v>
      </c>
      <c r="C356" s="3">
        <v>5.05</v>
      </c>
      <c r="D356" s="23">
        <v>13.77</v>
      </c>
      <c r="E356" s="3">
        <v>13.77</v>
      </c>
      <c r="F356" s="2" t="s">
        <v>16507</v>
      </c>
      <c r="G356" s="22" t="s">
        <v>19323</v>
      </c>
      <c r="H356" s="24" t="s">
        <v>19324</v>
      </c>
      <c r="I356" s="22" t="s">
        <v>19309</v>
      </c>
      <c r="J356" s="22" t="s">
        <v>19708</v>
      </c>
      <c r="K356" s="22" t="s">
        <v>19709</v>
      </c>
      <c r="L356" s="22"/>
      <c r="M356" s="22"/>
      <c r="N356" s="25" t="str">
        <f>HYPERLINK("http://slimages.macys.com/is/image/MCY/21758683 ")</f>
        <v xml:space="preserve">http://slimages.macys.com/is/image/MCY/21758683 </v>
      </c>
    </row>
    <row r="357" spans="1:14" x14ac:dyDescent="0.25">
      <c r="A357" s="21" t="s">
        <v>16508</v>
      </c>
      <c r="B357" s="22" t="s">
        <v>16509</v>
      </c>
      <c r="C357" s="3">
        <v>5.05</v>
      </c>
      <c r="D357" s="23">
        <v>20</v>
      </c>
      <c r="E357" s="3">
        <v>20</v>
      </c>
      <c r="F357" s="2" t="s">
        <v>16510</v>
      </c>
      <c r="G357" s="22" t="s">
        <v>19404</v>
      </c>
      <c r="H357" s="24" t="s">
        <v>19330</v>
      </c>
      <c r="I357" s="22" t="s">
        <v>19309</v>
      </c>
      <c r="J357" s="22" t="s">
        <v>19708</v>
      </c>
      <c r="K357" s="22" t="s">
        <v>19709</v>
      </c>
      <c r="L357" s="22"/>
      <c r="M357" s="22"/>
      <c r="N357" s="25" t="str">
        <f>HYPERLINK("http://slimages.macys.com/is/image/MCY/21726352 ")</f>
        <v xml:space="preserve">http://slimages.macys.com/is/image/MCY/21726352 </v>
      </c>
    </row>
    <row r="358" spans="1:14" x14ac:dyDescent="0.25">
      <c r="A358" s="21" t="s">
        <v>16511</v>
      </c>
      <c r="B358" s="22" t="s">
        <v>16512</v>
      </c>
      <c r="C358" s="3">
        <v>5.05</v>
      </c>
      <c r="D358" s="23">
        <v>13.77</v>
      </c>
      <c r="E358" s="3">
        <v>13.77</v>
      </c>
      <c r="F358" s="2" t="s">
        <v>16513</v>
      </c>
      <c r="G358" s="22" t="s">
        <v>19670</v>
      </c>
      <c r="H358" s="24" t="s">
        <v>19416</v>
      </c>
      <c r="I358" s="22" t="s">
        <v>19309</v>
      </c>
      <c r="J358" s="22" t="s">
        <v>19708</v>
      </c>
      <c r="K358" s="22" t="s">
        <v>19709</v>
      </c>
      <c r="L358" s="22"/>
      <c r="M358" s="22"/>
      <c r="N358" s="25" t="str">
        <f>HYPERLINK("http://slimages.macys.com/is/image/MCY/21414216 ")</f>
        <v xml:space="preserve">http://slimages.macys.com/is/image/MCY/21414216 </v>
      </c>
    </row>
    <row r="359" spans="1:14" x14ac:dyDescent="0.25">
      <c r="A359" s="21" t="s">
        <v>18491</v>
      </c>
      <c r="B359" s="22" t="s">
        <v>18492</v>
      </c>
      <c r="C359" s="3">
        <v>5</v>
      </c>
      <c r="D359" s="23">
        <v>11.99</v>
      </c>
      <c r="E359" s="3">
        <v>11.99</v>
      </c>
      <c r="F359" s="2" t="s">
        <v>18493</v>
      </c>
      <c r="G359" s="22" t="s">
        <v>19477</v>
      </c>
      <c r="H359" s="24" t="s">
        <v>19352</v>
      </c>
      <c r="I359" s="22" t="s">
        <v>19309</v>
      </c>
      <c r="J359" s="22" t="s">
        <v>19849</v>
      </c>
      <c r="K359" s="22" t="s">
        <v>19850</v>
      </c>
      <c r="L359" s="22"/>
      <c r="M359" s="22"/>
      <c r="N359" s="25" t="str">
        <f>HYPERLINK("http://slimages.macys.com/is/image/MCY/20549452 ")</f>
        <v xml:space="preserve">http://slimages.macys.com/is/image/MCY/20549452 </v>
      </c>
    </row>
    <row r="360" spans="1:14" ht="24.75" x14ac:dyDescent="0.25">
      <c r="A360" s="21" t="s">
        <v>16514</v>
      </c>
      <c r="B360" s="22" t="s">
        <v>16515</v>
      </c>
      <c r="C360" s="3">
        <v>5</v>
      </c>
      <c r="D360" s="23">
        <v>14.99</v>
      </c>
      <c r="E360" s="3">
        <v>14.99</v>
      </c>
      <c r="F360" s="2" t="s">
        <v>18496</v>
      </c>
      <c r="G360" s="22" t="s">
        <v>19422</v>
      </c>
      <c r="H360" s="24" t="s">
        <v>19797</v>
      </c>
      <c r="I360" s="22" t="s">
        <v>19309</v>
      </c>
      <c r="J360" s="22" t="s">
        <v>19595</v>
      </c>
      <c r="K360" s="22" t="s">
        <v>18498</v>
      </c>
      <c r="L360" s="22"/>
      <c r="M360" s="22"/>
      <c r="N360" s="25" t="str">
        <f>HYPERLINK("http://slimages.macys.com/is/image/MCY/21366694 ")</f>
        <v xml:space="preserve">http://slimages.macys.com/is/image/MCY/21366694 </v>
      </c>
    </row>
    <row r="361" spans="1:14" x14ac:dyDescent="0.25">
      <c r="A361" s="21" t="s">
        <v>16516</v>
      </c>
      <c r="B361" s="22" t="s">
        <v>16517</v>
      </c>
      <c r="C361" s="3">
        <v>5</v>
      </c>
      <c r="D361" s="23">
        <v>24</v>
      </c>
      <c r="E361" s="3">
        <v>24</v>
      </c>
      <c r="F361" s="2" t="s">
        <v>16518</v>
      </c>
      <c r="G361" s="22" t="s">
        <v>19333</v>
      </c>
      <c r="H361" s="24" t="s">
        <v>19538</v>
      </c>
      <c r="I361" s="22" t="s">
        <v>19309</v>
      </c>
      <c r="J361" s="22" t="s">
        <v>19417</v>
      </c>
      <c r="K361" s="22" t="s">
        <v>18317</v>
      </c>
      <c r="L361" s="22"/>
      <c r="M361" s="22"/>
      <c r="N361" s="25" t="str">
        <f>HYPERLINK("http://slimages.macys.com/is/image/MCY/18893207 ")</f>
        <v xml:space="preserve">http://slimages.macys.com/is/image/MCY/18893207 </v>
      </c>
    </row>
    <row r="362" spans="1:14" ht="24.75" x14ac:dyDescent="0.25">
      <c r="A362" s="21" t="s">
        <v>18509</v>
      </c>
      <c r="B362" s="22" t="s">
        <v>18510</v>
      </c>
      <c r="C362" s="3">
        <v>5</v>
      </c>
      <c r="D362" s="23">
        <v>14.99</v>
      </c>
      <c r="E362" s="3">
        <v>14.99</v>
      </c>
      <c r="F362" s="2" t="s">
        <v>18496</v>
      </c>
      <c r="G362" s="22" t="s">
        <v>19422</v>
      </c>
      <c r="H362" s="24" t="s">
        <v>18497</v>
      </c>
      <c r="I362" s="22" t="s">
        <v>19309</v>
      </c>
      <c r="J362" s="22" t="s">
        <v>19595</v>
      </c>
      <c r="K362" s="22" t="s">
        <v>18498</v>
      </c>
      <c r="L362" s="22"/>
      <c r="M362" s="22"/>
      <c r="N362" s="25" t="str">
        <f>HYPERLINK("http://slimages.macys.com/is/image/MCY/21693788 ")</f>
        <v xml:space="preserve">http://slimages.macys.com/is/image/MCY/21693788 </v>
      </c>
    </row>
    <row r="363" spans="1:14" ht="24.75" x14ac:dyDescent="0.25">
      <c r="A363" s="21" t="s">
        <v>16519</v>
      </c>
      <c r="B363" s="22" t="s">
        <v>16520</v>
      </c>
      <c r="C363" s="3">
        <v>4.97</v>
      </c>
      <c r="D363" s="23">
        <v>11.91</v>
      </c>
      <c r="E363" s="3">
        <v>11.91</v>
      </c>
      <c r="F363" s="2" t="s">
        <v>16521</v>
      </c>
      <c r="G363" s="22"/>
      <c r="H363" s="24" t="s">
        <v>19392</v>
      </c>
      <c r="I363" s="22" t="s">
        <v>19309</v>
      </c>
      <c r="J363" s="22" t="s">
        <v>19602</v>
      </c>
      <c r="K363" s="22" t="s">
        <v>20041</v>
      </c>
      <c r="L363" s="22"/>
      <c r="M363" s="22"/>
      <c r="N363" s="25" t="str">
        <f>HYPERLINK("http://slimages.macys.com/is/image/MCY/21420666 ")</f>
        <v xml:space="preserve">http://slimages.macys.com/is/image/MCY/21420666 </v>
      </c>
    </row>
    <row r="364" spans="1:14" x14ac:dyDescent="0.25">
      <c r="A364" s="21" t="s">
        <v>16522</v>
      </c>
      <c r="B364" s="22" t="s">
        <v>16523</v>
      </c>
      <c r="C364" s="3">
        <v>9.74</v>
      </c>
      <c r="D364" s="23">
        <v>9.99</v>
      </c>
      <c r="E364" s="3">
        <v>19.98</v>
      </c>
      <c r="F364" s="2" t="s">
        <v>16524</v>
      </c>
      <c r="G364" s="22" t="s">
        <v>19477</v>
      </c>
      <c r="H364" s="24" t="s">
        <v>20089</v>
      </c>
      <c r="I364" s="22" t="s">
        <v>19309</v>
      </c>
      <c r="J364" s="22" t="s">
        <v>19849</v>
      </c>
      <c r="K364" s="22" t="s">
        <v>19850</v>
      </c>
      <c r="L364" s="22"/>
      <c r="M364" s="22"/>
      <c r="N364" s="25" t="str">
        <f>HYPERLINK("http://slimages.macys.com/is/image/MCY/1275420 ")</f>
        <v xml:space="preserve">http://slimages.macys.com/is/image/MCY/1275420 </v>
      </c>
    </row>
    <row r="365" spans="1:14" x14ac:dyDescent="0.25">
      <c r="A365" s="21" t="s">
        <v>16525</v>
      </c>
      <c r="B365" s="22" t="s">
        <v>16526</v>
      </c>
      <c r="C365" s="3">
        <v>4.87</v>
      </c>
      <c r="D365" s="23">
        <v>16.989999999999998</v>
      </c>
      <c r="E365" s="3">
        <v>16.989999999999998</v>
      </c>
      <c r="F365" s="2" t="s">
        <v>16527</v>
      </c>
      <c r="G365" s="22" t="s">
        <v>19674</v>
      </c>
      <c r="H365" s="24" t="s">
        <v>19542</v>
      </c>
      <c r="I365" s="22" t="s">
        <v>19309</v>
      </c>
      <c r="J365" s="22" t="s">
        <v>19849</v>
      </c>
      <c r="K365" s="22" t="s">
        <v>19850</v>
      </c>
      <c r="L365" s="22"/>
      <c r="M365" s="22"/>
      <c r="N365" s="25" t="str">
        <f>HYPERLINK("http://slimages.macys.com/is/image/MCY/1504995 ")</f>
        <v xml:space="preserve">http://slimages.macys.com/is/image/MCY/1504995 </v>
      </c>
    </row>
    <row r="366" spans="1:14" ht="24.75" x14ac:dyDescent="0.25">
      <c r="A366" s="21" t="s">
        <v>16528</v>
      </c>
      <c r="B366" s="22" t="s">
        <v>16529</v>
      </c>
      <c r="C366" s="3">
        <v>4.8499999999999996</v>
      </c>
      <c r="D366" s="23">
        <v>11.99</v>
      </c>
      <c r="E366" s="3">
        <v>11.99</v>
      </c>
      <c r="F366" s="2" t="s">
        <v>16530</v>
      </c>
      <c r="G366" s="22" t="s">
        <v>19814</v>
      </c>
      <c r="H366" s="24" t="s">
        <v>20135</v>
      </c>
      <c r="I366" s="22" t="s">
        <v>19309</v>
      </c>
      <c r="J366" s="22" t="s">
        <v>19908</v>
      </c>
      <c r="K366" s="22" t="s">
        <v>19524</v>
      </c>
      <c r="L366" s="22"/>
      <c r="M366" s="22"/>
      <c r="N366" s="25" t="str">
        <f>HYPERLINK("http://slimages.macys.com/is/image/MCY/21570047 ")</f>
        <v xml:space="preserve">http://slimages.macys.com/is/image/MCY/21570047 </v>
      </c>
    </row>
    <row r="367" spans="1:14" ht="24.75" x14ac:dyDescent="0.25">
      <c r="A367" s="21" t="s">
        <v>18549</v>
      </c>
      <c r="B367" s="22" t="s">
        <v>18550</v>
      </c>
      <c r="C367" s="3">
        <v>9.6199999999999992</v>
      </c>
      <c r="D367" s="23">
        <v>13.99</v>
      </c>
      <c r="E367" s="3">
        <v>27.98</v>
      </c>
      <c r="F367" s="2" t="s">
        <v>18551</v>
      </c>
      <c r="G367" s="22" t="s">
        <v>19467</v>
      </c>
      <c r="H367" s="24" t="s">
        <v>19384</v>
      </c>
      <c r="I367" s="22" t="s">
        <v>19309</v>
      </c>
      <c r="J367" s="22" t="s">
        <v>19573</v>
      </c>
      <c r="K367" s="22" t="s">
        <v>19574</v>
      </c>
      <c r="L367" s="22"/>
      <c r="M367" s="22"/>
      <c r="N367" s="25" t="str">
        <f>HYPERLINK("http://slimages.macys.com/is/image/MCY/21361645 ")</f>
        <v xml:space="preserve">http://slimages.macys.com/is/image/MCY/21361645 </v>
      </c>
    </row>
    <row r="368" spans="1:14" ht="24.75" x14ac:dyDescent="0.25">
      <c r="A368" s="21" t="s">
        <v>18560</v>
      </c>
      <c r="B368" s="22" t="s">
        <v>18561</v>
      </c>
      <c r="C368" s="3">
        <v>9.6199999999999992</v>
      </c>
      <c r="D368" s="23">
        <v>13.99</v>
      </c>
      <c r="E368" s="3">
        <v>27.98</v>
      </c>
      <c r="F368" s="2" t="s">
        <v>18551</v>
      </c>
      <c r="G368" s="22" t="s">
        <v>19467</v>
      </c>
      <c r="H368" s="24" t="s">
        <v>19538</v>
      </c>
      <c r="I368" s="22" t="s">
        <v>19309</v>
      </c>
      <c r="J368" s="22" t="s">
        <v>19573</v>
      </c>
      <c r="K368" s="22" t="s">
        <v>19574</v>
      </c>
      <c r="L368" s="22"/>
      <c r="M368" s="22"/>
      <c r="N368" s="25" t="str">
        <f>HYPERLINK("http://slimages.macys.com/is/image/MCY/21361645 ")</f>
        <v xml:space="preserve">http://slimages.macys.com/is/image/MCY/21361645 </v>
      </c>
    </row>
    <row r="369" spans="1:14" ht="24.75" x14ac:dyDescent="0.25">
      <c r="A369" s="21" t="s">
        <v>16531</v>
      </c>
      <c r="B369" s="22" t="s">
        <v>16532</v>
      </c>
      <c r="C369" s="3">
        <v>9.6199999999999992</v>
      </c>
      <c r="D369" s="23">
        <v>13.99</v>
      </c>
      <c r="E369" s="3">
        <v>27.98</v>
      </c>
      <c r="F369" s="2" t="s">
        <v>18551</v>
      </c>
      <c r="G369" s="22" t="s">
        <v>19467</v>
      </c>
      <c r="H369" s="24" t="s">
        <v>19324</v>
      </c>
      <c r="I369" s="22" t="s">
        <v>19309</v>
      </c>
      <c r="J369" s="22" t="s">
        <v>19573</v>
      </c>
      <c r="K369" s="22" t="s">
        <v>19574</v>
      </c>
      <c r="L369" s="22"/>
      <c r="M369" s="22"/>
      <c r="N369" s="25" t="str">
        <f>HYPERLINK("http://slimages.macys.com/is/image/MCY/21361645 ")</f>
        <v xml:space="preserve">http://slimages.macys.com/is/image/MCY/21361645 </v>
      </c>
    </row>
    <row r="370" spans="1:14" ht="24.75" x14ac:dyDescent="0.25">
      <c r="A370" s="21" t="s">
        <v>18554</v>
      </c>
      <c r="B370" s="22" t="s">
        <v>18555</v>
      </c>
      <c r="C370" s="3">
        <v>4.8099999999999996</v>
      </c>
      <c r="D370" s="23">
        <v>13.99</v>
      </c>
      <c r="E370" s="3">
        <v>13.99</v>
      </c>
      <c r="F370" s="2" t="s">
        <v>18551</v>
      </c>
      <c r="G370" s="22" t="s">
        <v>19415</v>
      </c>
      <c r="H370" s="24" t="s">
        <v>19384</v>
      </c>
      <c r="I370" s="22" t="s">
        <v>19309</v>
      </c>
      <c r="J370" s="22" t="s">
        <v>19573</v>
      </c>
      <c r="K370" s="22" t="s">
        <v>19574</v>
      </c>
      <c r="L370" s="22"/>
      <c r="M370" s="22"/>
      <c r="N370" s="25" t="str">
        <f>HYPERLINK("http://slimages.macys.com/is/image/MCY/21361645 ")</f>
        <v xml:space="preserve">http://slimages.macys.com/is/image/MCY/21361645 </v>
      </c>
    </row>
    <row r="371" spans="1:14" ht="24.75" x14ac:dyDescent="0.25">
      <c r="A371" s="21" t="s">
        <v>16533</v>
      </c>
      <c r="B371" s="22" t="s">
        <v>16534</v>
      </c>
      <c r="C371" s="3">
        <v>4.8099999999999996</v>
      </c>
      <c r="D371" s="23">
        <v>13.99</v>
      </c>
      <c r="E371" s="3">
        <v>13.99</v>
      </c>
      <c r="F371" s="2" t="s">
        <v>18551</v>
      </c>
      <c r="G371" s="22" t="s">
        <v>19467</v>
      </c>
      <c r="H371" s="24" t="s">
        <v>19416</v>
      </c>
      <c r="I371" s="22" t="s">
        <v>19309</v>
      </c>
      <c r="J371" s="22" t="s">
        <v>19573</v>
      </c>
      <c r="K371" s="22" t="s">
        <v>19574</v>
      </c>
      <c r="L371" s="22"/>
      <c r="M371" s="22"/>
      <c r="N371" s="25" t="str">
        <f>HYPERLINK("http://slimages.macys.com/is/image/MCY/1619637 ")</f>
        <v xml:space="preserve">http://slimages.macys.com/is/image/MCY/1619637 </v>
      </c>
    </row>
    <row r="372" spans="1:14" ht="24.75" x14ac:dyDescent="0.25">
      <c r="A372" s="21" t="s">
        <v>18558</v>
      </c>
      <c r="B372" s="22" t="s">
        <v>18559</v>
      </c>
      <c r="C372" s="3">
        <v>4.8099999999999996</v>
      </c>
      <c r="D372" s="23">
        <v>13.99</v>
      </c>
      <c r="E372" s="3">
        <v>13.99</v>
      </c>
      <c r="F372" s="2" t="s">
        <v>18551</v>
      </c>
      <c r="G372" s="22" t="s">
        <v>19415</v>
      </c>
      <c r="H372" s="24" t="s">
        <v>19324</v>
      </c>
      <c r="I372" s="22" t="s">
        <v>19309</v>
      </c>
      <c r="J372" s="22" t="s">
        <v>19573</v>
      </c>
      <c r="K372" s="22" t="s">
        <v>19574</v>
      </c>
      <c r="L372" s="22"/>
      <c r="M372" s="22"/>
      <c r="N372" s="25" t="str">
        <f>HYPERLINK("http://slimages.macys.com/is/image/MCY/1619637 ")</f>
        <v xml:space="preserve">http://slimages.macys.com/is/image/MCY/1619637 </v>
      </c>
    </row>
    <row r="373" spans="1:14" x14ac:dyDescent="0.25">
      <c r="A373" s="21" t="s">
        <v>16535</v>
      </c>
      <c r="B373" s="22" t="s">
        <v>16536</v>
      </c>
      <c r="C373" s="3">
        <v>4.8</v>
      </c>
      <c r="D373" s="23">
        <v>7.99</v>
      </c>
      <c r="E373" s="3">
        <v>7.99</v>
      </c>
      <c r="F373" s="2" t="s">
        <v>18569</v>
      </c>
      <c r="G373" s="22" t="s">
        <v>19404</v>
      </c>
      <c r="H373" s="24" t="s">
        <v>19334</v>
      </c>
      <c r="I373" s="22" t="s">
        <v>19309</v>
      </c>
      <c r="J373" s="22" t="s">
        <v>19310</v>
      </c>
      <c r="K373" s="22" t="s">
        <v>19468</v>
      </c>
      <c r="L373" s="22"/>
      <c r="M373" s="22"/>
      <c r="N373" s="25" t="str">
        <f>HYPERLINK("http://slimages.macys.com/is/image/MCY/21184208 ")</f>
        <v xml:space="preserve">http://slimages.macys.com/is/image/MCY/21184208 </v>
      </c>
    </row>
    <row r="374" spans="1:14" ht="24.75" x14ac:dyDescent="0.25">
      <c r="A374" s="21" t="s">
        <v>16537</v>
      </c>
      <c r="B374" s="22" t="s">
        <v>16538</v>
      </c>
      <c r="C374" s="3">
        <v>4.79</v>
      </c>
      <c r="D374" s="23">
        <v>11.99</v>
      </c>
      <c r="E374" s="3">
        <v>11.99</v>
      </c>
      <c r="F374" s="2" t="s">
        <v>16539</v>
      </c>
      <c r="G374" s="22" t="s">
        <v>18439</v>
      </c>
      <c r="H374" s="24" t="s">
        <v>19339</v>
      </c>
      <c r="I374" s="22" t="s">
        <v>19309</v>
      </c>
      <c r="J374" s="22" t="s">
        <v>19454</v>
      </c>
      <c r="K374" s="22" t="s">
        <v>18654</v>
      </c>
      <c r="L374" s="22"/>
      <c r="M374" s="22"/>
      <c r="N374" s="25" t="str">
        <f>HYPERLINK("http://slimages.macys.com/is/image/MCY/21708495 ")</f>
        <v xml:space="preserve">http://slimages.macys.com/is/image/MCY/21708495 </v>
      </c>
    </row>
    <row r="375" spans="1:14" ht="24.75" x14ac:dyDescent="0.25">
      <c r="A375" s="21" t="s">
        <v>16540</v>
      </c>
      <c r="B375" s="22" t="s">
        <v>16541</v>
      </c>
      <c r="C375" s="3">
        <v>4.7699999999999996</v>
      </c>
      <c r="D375" s="23">
        <v>14.99</v>
      </c>
      <c r="E375" s="3">
        <v>14.99</v>
      </c>
      <c r="F375" s="2" t="s">
        <v>18584</v>
      </c>
      <c r="G375" s="22" t="s">
        <v>19315</v>
      </c>
      <c r="H375" s="24" t="s">
        <v>19432</v>
      </c>
      <c r="I375" s="22" t="s">
        <v>19309</v>
      </c>
      <c r="J375" s="22" t="s">
        <v>19815</v>
      </c>
      <c r="K375" s="22" t="s">
        <v>19816</v>
      </c>
      <c r="L375" s="22"/>
      <c r="M375" s="22"/>
      <c r="N375" s="25" t="str">
        <f>HYPERLINK("http://slimages.macys.com/is/image/MCY/1197280 ")</f>
        <v xml:space="preserve">http://slimages.macys.com/is/image/MCY/1197280 </v>
      </c>
    </row>
    <row r="376" spans="1:14" ht="24.75" x14ac:dyDescent="0.25">
      <c r="A376" s="21" t="s">
        <v>16542</v>
      </c>
      <c r="B376" s="22" t="s">
        <v>16543</v>
      </c>
      <c r="C376" s="3">
        <v>4.7699999999999996</v>
      </c>
      <c r="D376" s="23">
        <v>14.99</v>
      </c>
      <c r="E376" s="3">
        <v>14.99</v>
      </c>
      <c r="F376" s="2" t="s">
        <v>18584</v>
      </c>
      <c r="G376" s="22" t="s">
        <v>19315</v>
      </c>
      <c r="H376" s="24" t="s">
        <v>19542</v>
      </c>
      <c r="I376" s="22" t="s">
        <v>19309</v>
      </c>
      <c r="J376" s="22" t="s">
        <v>19815</v>
      </c>
      <c r="K376" s="22" t="s">
        <v>19816</v>
      </c>
      <c r="L376" s="22"/>
      <c r="M376" s="22"/>
      <c r="N376" s="25" t="str">
        <f>HYPERLINK("http://slimages.macys.com/is/image/MCY/20815181 ")</f>
        <v xml:space="preserve">http://slimages.macys.com/is/image/MCY/20815181 </v>
      </c>
    </row>
    <row r="377" spans="1:14" ht="24.75" x14ac:dyDescent="0.25">
      <c r="A377" s="21" t="s">
        <v>16544</v>
      </c>
      <c r="B377" s="22" t="s">
        <v>16545</v>
      </c>
      <c r="C377" s="3">
        <v>4.76</v>
      </c>
      <c r="D377" s="23">
        <v>11.35</v>
      </c>
      <c r="E377" s="3">
        <v>11.35</v>
      </c>
      <c r="F377" s="2" t="s">
        <v>18587</v>
      </c>
      <c r="G377" s="22"/>
      <c r="H377" s="24"/>
      <c r="I377" s="22" t="s">
        <v>19309</v>
      </c>
      <c r="J377" s="22" t="s">
        <v>19602</v>
      </c>
      <c r="K377" s="22" t="s">
        <v>20041</v>
      </c>
      <c r="L377" s="22"/>
      <c r="M377" s="22"/>
      <c r="N377" s="25" t="str">
        <f>HYPERLINK("http://slimages.macys.com/is/image/MCY/22406119 ")</f>
        <v xml:space="preserve">http://slimages.macys.com/is/image/MCY/22406119 </v>
      </c>
    </row>
    <row r="378" spans="1:14" ht="24.75" x14ac:dyDescent="0.25">
      <c r="A378" s="21" t="s">
        <v>16546</v>
      </c>
      <c r="B378" s="22" t="s">
        <v>16547</v>
      </c>
      <c r="C378" s="3">
        <v>4.76</v>
      </c>
      <c r="D378" s="23">
        <v>11.35</v>
      </c>
      <c r="E378" s="3">
        <v>11.35</v>
      </c>
      <c r="F378" s="2" t="s">
        <v>18587</v>
      </c>
      <c r="G378" s="22"/>
      <c r="H378" s="24" t="s">
        <v>19334</v>
      </c>
      <c r="I378" s="22" t="s">
        <v>19309</v>
      </c>
      <c r="J378" s="22" t="s">
        <v>19602</v>
      </c>
      <c r="K378" s="22" t="s">
        <v>20041</v>
      </c>
      <c r="L378" s="22"/>
      <c r="M378" s="22"/>
      <c r="N378" s="25" t="str">
        <f>HYPERLINK("http://slimages.macys.com/is/image/MCY/22406119 ")</f>
        <v xml:space="preserve">http://slimages.macys.com/is/image/MCY/22406119 </v>
      </c>
    </row>
    <row r="379" spans="1:14" x14ac:dyDescent="0.25">
      <c r="A379" s="21" t="s">
        <v>16548</v>
      </c>
      <c r="B379" s="22" t="s">
        <v>16549</v>
      </c>
      <c r="C379" s="3">
        <v>4.7</v>
      </c>
      <c r="D379" s="23">
        <v>8.99</v>
      </c>
      <c r="E379" s="3">
        <v>8.99</v>
      </c>
      <c r="F379" s="2" t="s">
        <v>18596</v>
      </c>
      <c r="G379" s="22" t="s">
        <v>19618</v>
      </c>
      <c r="H379" s="24" t="s">
        <v>19308</v>
      </c>
      <c r="I379" s="22" t="s">
        <v>19309</v>
      </c>
      <c r="J379" s="22" t="s">
        <v>19310</v>
      </c>
      <c r="K379" s="22" t="s">
        <v>19873</v>
      </c>
      <c r="L379" s="22"/>
      <c r="M379" s="22"/>
      <c r="N379" s="25" t="str">
        <f>HYPERLINK("http://slimages.macys.com/is/image/MCY/21030905 ")</f>
        <v xml:space="preserve">http://slimages.macys.com/is/image/MCY/21030905 </v>
      </c>
    </row>
    <row r="380" spans="1:14" x14ac:dyDescent="0.25">
      <c r="A380" s="21" t="s">
        <v>16550</v>
      </c>
      <c r="B380" s="22" t="s">
        <v>16551</v>
      </c>
      <c r="C380" s="3">
        <v>4.7</v>
      </c>
      <c r="D380" s="23">
        <v>7.99</v>
      </c>
      <c r="E380" s="3">
        <v>7.99</v>
      </c>
      <c r="F380" s="2" t="s">
        <v>16552</v>
      </c>
      <c r="G380" s="22" t="s">
        <v>19333</v>
      </c>
      <c r="H380" s="24" t="s">
        <v>19339</v>
      </c>
      <c r="I380" s="22" t="s">
        <v>19309</v>
      </c>
      <c r="J380" s="22" t="s">
        <v>19310</v>
      </c>
      <c r="K380" s="22" t="s">
        <v>19873</v>
      </c>
      <c r="L380" s="22"/>
      <c r="M380" s="22"/>
      <c r="N380" s="25" t="str">
        <f>HYPERLINK("http://slimages.macys.com/is/image/MCY/20390271 ")</f>
        <v xml:space="preserve">http://slimages.macys.com/is/image/MCY/20390271 </v>
      </c>
    </row>
    <row r="381" spans="1:14" x14ac:dyDescent="0.25">
      <c r="A381" s="21" t="s">
        <v>16553</v>
      </c>
      <c r="B381" s="22" t="s">
        <v>16554</v>
      </c>
      <c r="C381" s="3">
        <v>4.7</v>
      </c>
      <c r="D381" s="23">
        <v>8.99</v>
      </c>
      <c r="E381" s="3">
        <v>8.99</v>
      </c>
      <c r="F381" s="2" t="s">
        <v>18599</v>
      </c>
      <c r="G381" s="22" t="s">
        <v>19618</v>
      </c>
      <c r="H381" s="24" t="s">
        <v>19395</v>
      </c>
      <c r="I381" s="22" t="s">
        <v>19309</v>
      </c>
      <c r="J381" s="22" t="s">
        <v>19310</v>
      </c>
      <c r="K381" s="22" t="s">
        <v>19468</v>
      </c>
      <c r="L381" s="22"/>
      <c r="M381" s="22"/>
      <c r="N381" s="25" t="str">
        <f>HYPERLINK("http://slimages.macys.com/is/image/MCY/21616094 ")</f>
        <v xml:space="preserve">http://slimages.macys.com/is/image/MCY/21616094 </v>
      </c>
    </row>
    <row r="382" spans="1:14" ht="24.75" x14ac:dyDescent="0.25">
      <c r="A382" s="21" t="s">
        <v>16555</v>
      </c>
      <c r="B382" s="22" t="s">
        <v>16556</v>
      </c>
      <c r="C382" s="3">
        <v>4.7</v>
      </c>
      <c r="D382" s="23">
        <v>8.99</v>
      </c>
      <c r="E382" s="3">
        <v>8.99</v>
      </c>
      <c r="F382" s="2" t="s">
        <v>18599</v>
      </c>
      <c r="G382" s="22" t="s">
        <v>20145</v>
      </c>
      <c r="H382" s="24" t="s">
        <v>19361</v>
      </c>
      <c r="I382" s="22" t="s">
        <v>19309</v>
      </c>
      <c r="J382" s="22" t="s">
        <v>19310</v>
      </c>
      <c r="K382" s="22" t="s">
        <v>19468</v>
      </c>
      <c r="L382" s="22"/>
      <c r="M382" s="22"/>
      <c r="N382" s="25" t="str">
        <f>HYPERLINK("http://slimages.macys.com/is/image/MCY/21616099 ")</f>
        <v xml:space="preserve">http://slimages.macys.com/is/image/MCY/21616099 </v>
      </c>
    </row>
    <row r="383" spans="1:14" x14ac:dyDescent="0.25">
      <c r="A383" s="21" t="s">
        <v>16557</v>
      </c>
      <c r="B383" s="22" t="s">
        <v>16558</v>
      </c>
      <c r="C383" s="3">
        <v>4.7</v>
      </c>
      <c r="D383" s="23">
        <v>7.99</v>
      </c>
      <c r="E383" s="3">
        <v>7.99</v>
      </c>
      <c r="F383" s="2" t="s">
        <v>16559</v>
      </c>
      <c r="G383" s="22" t="s">
        <v>19351</v>
      </c>
      <c r="H383" s="24" t="s">
        <v>19364</v>
      </c>
      <c r="I383" s="22" t="s">
        <v>19309</v>
      </c>
      <c r="J383" s="22" t="s">
        <v>19310</v>
      </c>
      <c r="K383" s="22" t="s">
        <v>19873</v>
      </c>
      <c r="L383" s="22"/>
      <c r="M383" s="22"/>
      <c r="N383" s="25" t="str">
        <f>HYPERLINK("http://slimages.macys.com/is/image/MCY/21551570 ")</f>
        <v xml:space="preserve">http://slimages.macys.com/is/image/MCY/21551570 </v>
      </c>
    </row>
    <row r="384" spans="1:14" x14ac:dyDescent="0.25">
      <c r="A384" s="21" t="s">
        <v>16560</v>
      </c>
      <c r="B384" s="22" t="s">
        <v>16561</v>
      </c>
      <c r="C384" s="3">
        <v>9.4</v>
      </c>
      <c r="D384" s="23">
        <v>11.99</v>
      </c>
      <c r="E384" s="3">
        <v>23.98</v>
      </c>
      <c r="F384" s="2" t="s">
        <v>16562</v>
      </c>
      <c r="G384" s="22" t="s">
        <v>19351</v>
      </c>
      <c r="H384" s="24" t="s">
        <v>19797</v>
      </c>
      <c r="I384" s="22" t="s">
        <v>19309</v>
      </c>
      <c r="J384" s="22" t="s">
        <v>19849</v>
      </c>
      <c r="K384" s="22" t="s">
        <v>19850</v>
      </c>
      <c r="L384" s="22"/>
      <c r="M384" s="22"/>
      <c r="N384" s="25" t="str">
        <f>HYPERLINK("http://slimages.macys.com/is/image/MCY/20530994 ")</f>
        <v xml:space="preserve">http://slimages.macys.com/is/image/MCY/20530994 </v>
      </c>
    </row>
    <row r="385" spans="1:14" x14ac:dyDescent="0.25">
      <c r="A385" s="21" t="s">
        <v>16563</v>
      </c>
      <c r="B385" s="22" t="s">
        <v>16564</v>
      </c>
      <c r="C385" s="3">
        <v>4.7</v>
      </c>
      <c r="D385" s="23">
        <v>7.99</v>
      </c>
      <c r="E385" s="3">
        <v>7.99</v>
      </c>
      <c r="F385" s="2" t="s">
        <v>16552</v>
      </c>
      <c r="G385" s="22" t="s">
        <v>19315</v>
      </c>
      <c r="H385" s="24" t="s">
        <v>19364</v>
      </c>
      <c r="I385" s="22" t="s">
        <v>19309</v>
      </c>
      <c r="J385" s="22" t="s">
        <v>19310</v>
      </c>
      <c r="K385" s="22" t="s">
        <v>19873</v>
      </c>
      <c r="L385" s="22"/>
      <c r="M385" s="22"/>
      <c r="N385" s="25" t="str">
        <f>HYPERLINK("http://slimages.macys.com/is/image/MCY/20390271 ")</f>
        <v xml:space="preserve">http://slimages.macys.com/is/image/MCY/20390271 </v>
      </c>
    </row>
    <row r="386" spans="1:14" ht="24.75" x14ac:dyDescent="0.25">
      <c r="A386" s="21" t="s">
        <v>16565</v>
      </c>
      <c r="B386" s="22" t="s">
        <v>16566</v>
      </c>
      <c r="C386" s="3">
        <v>4.6500000000000004</v>
      </c>
      <c r="D386" s="23">
        <v>11.99</v>
      </c>
      <c r="E386" s="3">
        <v>11.99</v>
      </c>
      <c r="F386" s="2" t="s">
        <v>18616</v>
      </c>
      <c r="G386" s="22" t="s">
        <v>19431</v>
      </c>
      <c r="H386" s="24" t="s">
        <v>19538</v>
      </c>
      <c r="I386" s="22" t="s">
        <v>19309</v>
      </c>
      <c r="J386" s="22" t="s">
        <v>19573</v>
      </c>
      <c r="K386" s="22" t="s">
        <v>19574</v>
      </c>
      <c r="L386" s="22"/>
      <c r="M386" s="22"/>
      <c r="N386" s="25" t="str">
        <f>HYPERLINK("http://slimages.macys.com/is/image/MCY/20753452 ")</f>
        <v xml:space="preserve">http://slimages.macys.com/is/image/MCY/20753452 </v>
      </c>
    </row>
    <row r="387" spans="1:14" x14ac:dyDescent="0.25">
      <c r="A387" s="21" t="s">
        <v>16567</v>
      </c>
      <c r="B387" s="22" t="s">
        <v>16568</v>
      </c>
      <c r="C387" s="3">
        <v>4.6500000000000004</v>
      </c>
      <c r="D387" s="23">
        <v>8.31</v>
      </c>
      <c r="E387" s="3">
        <v>8.31</v>
      </c>
      <c r="F387" s="2" t="s">
        <v>16569</v>
      </c>
      <c r="G387" s="22" t="s">
        <v>19383</v>
      </c>
      <c r="H387" s="24" t="s">
        <v>19432</v>
      </c>
      <c r="I387" s="22" t="s">
        <v>19309</v>
      </c>
      <c r="J387" s="22" t="s">
        <v>19514</v>
      </c>
      <c r="K387" s="22" t="s">
        <v>18514</v>
      </c>
      <c r="L387" s="22"/>
      <c r="M387" s="22"/>
      <c r="N387" s="25" t="str">
        <f>HYPERLINK("http://slimages.macys.com/is/image/MCY/20876630 ")</f>
        <v xml:space="preserve">http://slimages.macys.com/is/image/MCY/20876630 </v>
      </c>
    </row>
    <row r="388" spans="1:14" x14ac:dyDescent="0.25">
      <c r="A388" s="21" t="s">
        <v>16570</v>
      </c>
      <c r="B388" s="22" t="s">
        <v>16571</v>
      </c>
      <c r="C388" s="3">
        <v>9.24</v>
      </c>
      <c r="D388" s="23">
        <v>16.989999999999998</v>
      </c>
      <c r="E388" s="3">
        <v>33.979999999999997</v>
      </c>
      <c r="F388" s="2" t="s">
        <v>18666</v>
      </c>
      <c r="G388" s="22" t="s">
        <v>19351</v>
      </c>
      <c r="H388" s="24"/>
      <c r="I388" s="22" t="s">
        <v>19309</v>
      </c>
      <c r="J388" s="22" t="s">
        <v>19849</v>
      </c>
      <c r="K388" s="22" t="s">
        <v>19850</v>
      </c>
      <c r="L388" s="22"/>
      <c r="M388" s="22"/>
      <c r="N388" s="25" t="str">
        <f>HYPERLINK("http://slimages.macys.com/is/image/MCY/1249846 ")</f>
        <v xml:space="preserve">http://slimages.macys.com/is/image/MCY/1249846 </v>
      </c>
    </row>
    <row r="389" spans="1:14" x14ac:dyDescent="0.25">
      <c r="A389" s="21" t="s">
        <v>16572</v>
      </c>
      <c r="B389" s="22" t="s">
        <v>16573</v>
      </c>
      <c r="C389" s="3">
        <v>4.62</v>
      </c>
      <c r="D389" s="23">
        <v>16.989999999999998</v>
      </c>
      <c r="E389" s="3">
        <v>16.989999999999998</v>
      </c>
      <c r="F389" s="2" t="s">
        <v>18666</v>
      </c>
      <c r="G389" s="22" t="s">
        <v>19351</v>
      </c>
      <c r="H389" s="24" t="s">
        <v>19339</v>
      </c>
      <c r="I389" s="22" t="s">
        <v>19309</v>
      </c>
      <c r="J389" s="22" t="s">
        <v>19849</v>
      </c>
      <c r="K389" s="22" t="s">
        <v>19850</v>
      </c>
      <c r="L389" s="22"/>
      <c r="M389" s="22"/>
      <c r="N389" s="25" t="str">
        <f>HYPERLINK("http://slimages.macys.com/is/image/MCY/20751778 ")</f>
        <v xml:space="preserve">http://slimages.macys.com/is/image/MCY/20751778 </v>
      </c>
    </row>
    <row r="390" spans="1:14" x14ac:dyDescent="0.25">
      <c r="A390" s="21" t="s">
        <v>16574</v>
      </c>
      <c r="B390" s="22" t="s">
        <v>16575</v>
      </c>
      <c r="C390" s="3">
        <v>13.86</v>
      </c>
      <c r="D390" s="23">
        <v>16.989999999999998</v>
      </c>
      <c r="E390" s="3">
        <v>50.97</v>
      </c>
      <c r="F390" s="2" t="s">
        <v>18666</v>
      </c>
      <c r="G390" s="22" t="s">
        <v>19351</v>
      </c>
      <c r="H390" s="24" t="s">
        <v>19364</v>
      </c>
      <c r="I390" s="22" t="s">
        <v>19309</v>
      </c>
      <c r="J390" s="22" t="s">
        <v>19849</v>
      </c>
      <c r="K390" s="22" t="s">
        <v>19850</v>
      </c>
      <c r="L390" s="22"/>
      <c r="M390" s="22"/>
      <c r="N390" s="25" t="str">
        <f>HYPERLINK("http://slimages.macys.com/is/image/MCY/20751778 ")</f>
        <v xml:space="preserve">http://slimages.macys.com/is/image/MCY/20751778 </v>
      </c>
    </row>
    <row r="391" spans="1:14" x14ac:dyDescent="0.25">
      <c r="A391" s="21" t="s">
        <v>16576</v>
      </c>
      <c r="B391" s="22" t="s">
        <v>16577</v>
      </c>
      <c r="C391" s="3">
        <v>4.62</v>
      </c>
      <c r="D391" s="23">
        <v>16.989999999999998</v>
      </c>
      <c r="E391" s="3">
        <v>16.989999999999998</v>
      </c>
      <c r="F391" s="2" t="s">
        <v>18666</v>
      </c>
      <c r="G391" s="22" t="s">
        <v>19351</v>
      </c>
      <c r="H391" s="24" t="s">
        <v>19352</v>
      </c>
      <c r="I391" s="22" t="s">
        <v>19309</v>
      </c>
      <c r="J391" s="22" t="s">
        <v>19849</v>
      </c>
      <c r="K391" s="22" t="s">
        <v>19850</v>
      </c>
      <c r="L391" s="22"/>
      <c r="M391" s="22"/>
      <c r="N391" s="25" t="str">
        <f>HYPERLINK("http://slimages.macys.com/is/image/MCY/20751778 ")</f>
        <v xml:space="preserve">http://slimages.macys.com/is/image/MCY/20751778 </v>
      </c>
    </row>
    <row r="392" spans="1:14" x14ac:dyDescent="0.25">
      <c r="A392" s="21" t="s">
        <v>16578</v>
      </c>
      <c r="B392" s="22" t="s">
        <v>16579</v>
      </c>
      <c r="C392" s="3">
        <v>9.24</v>
      </c>
      <c r="D392" s="23">
        <v>16.989999999999998</v>
      </c>
      <c r="E392" s="3">
        <v>33.979999999999997</v>
      </c>
      <c r="F392" s="2" t="s">
        <v>18666</v>
      </c>
      <c r="G392" s="22" t="s">
        <v>19431</v>
      </c>
      <c r="H392" s="24"/>
      <c r="I392" s="22" t="s">
        <v>19309</v>
      </c>
      <c r="J392" s="22" t="s">
        <v>19849</v>
      </c>
      <c r="K392" s="22" t="s">
        <v>19850</v>
      </c>
      <c r="L392" s="22"/>
      <c r="M392" s="22"/>
      <c r="N392" s="25" t="str">
        <f>HYPERLINK("http://slimages.macys.com/is/image/MCY/20751778 ")</f>
        <v xml:space="preserve">http://slimages.macys.com/is/image/MCY/20751778 </v>
      </c>
    </row>
    <row r="393" spans="1:14" x14ac:dyDescent="0.25">
      <c r="A393" s="21" t="s">
        <v>16580</v>
      </c>
      <c r="B393" s="22" t="s">
        <v>16581</v>
      </c>
      <c r="C393" s="3">
        <v>9.24</v>
      </c>
      <c r="D393" s="23">
        <v>16.989999999999998</v>
      </c>
      <c r="E393" s="3">
        <v>33.979999999999997</v>
      </c>
      <c r="F393" s="2" t="s">
        <v>18666</v>
      </c>
      <c r="G393" s="22" t="s">
        <v>19431</v>
      </c>
      <c r="H393" s="24" t="s">
        <v>19352</v>
      </c>
      <c r="I393" s="22" t="s">
        <v>19309</v>
      </c>
      <c r="J393" s="22" t="s">
        <v>19849</v>
      </c>
      <c r="K393" s="22" t="s">
        <v>19850</v>
      </c>
      <c r="L393" s="22"/>
      <c r="M393" s="22"/>
      <c r="N393" s="25" t="str">
        <f>HYPERLINK("http://slimages.macys.com/is/image/MCY/1249846 ")</f>
        <v xml:space="preserve">http://slimages.macys.com/is/image/MCY/1249846 </v>
      </c>
    </row>
    <row r="394" spans="1:14" x14ac:dyDescent="0.25">
      <c r="A394" s="21" t="s">
        <v>16582</v>
      </c>
      <c r="B394" s="22" t="s">
        <v>16583</v>
      </c>
      <c r="C394" s="3">
        <v>4.62</v>
      </c>
      <c r="D394" s="23">
        <v>16.989999999999998</v>
      </c>
      <c r="E394" s="3">
        <v>16.989999999999998</v>
      </c>
      <c r="F394" s="2" t="s">
        <v>18666</v>
      </c>
      <c r="G394" s="22" t="s">
        <v>19431</v>
      </c>
      <c r="H394" s="24" t="s">
        <v>19797</v>
      </c>
      <c r="I394" s="22" t="s">
        <v>19309</v>
      </c>
      <c r="J394" s="22" t="s">
        <v>19849</v>
      </c>
      <c r="K394" s="22" t="s">
        <v>19850</v>
      </c>
      <c r="L394" s="22"/>
      <c r="M394" s="22"/>
      <c r="N394" s="25" t="str">
        <f>HYPERLINK("http://slimages.macys.com/is/image/MCY/1249846 ")</f>
        <v xml:space="preserve">http://slimages.macys.com/is/image/MCY/1249846 </v>
      </c>
    </row>
    <row r="395" spans="1:14" x14ac:dyDescent="0.25">
      <c r="A395" s="21" t="s">
        <v>16584</v>
      </c>
      <c r="B395" s="22" t="s">
        <v>16585</v>
      </c>
      <c r="C395" s="3">
        <v>9.24</v>
      </c>
      <c r="D395" s="23">
        <v>16.989999999999998</v>
      </c>
      <c r="E395" s="3">
        <v>33.979999999999997</v>
      </c>
      <c r="F395" s="2" t="s">
        <v>18666</v>
      </c>
      <c r="G395" s="22" t="s">
        <v>19431</v>
      </c>
      <c r="H395" s="24" t="s">
        <v>19339</v>
      </c>
      <c r="I395" s="22" t="s">
        <v>19309</v>
      </c>
      <c r="J395" s="22" t="s">
        <v>19849</v>
      </c>
      <c r="K395" s="22" t="s">
        <v>19850</v>
      </c>
      <c r="L395" s="22"/>
      <c r="M395" s="22"/>
      <c r="N395" s="25" t="str">
        <f>HYPERLINK("http://slimages.macys.com/is/image/MCY/1249846 ")</f>
        <v xml:space="preserve">http://slimages.macys.com/is/image/MCY/1249846 </v>
      </c>
    </row>
    <row r="396" spans="1:14" x14ac:dyDescent="0.25">
      <c r="A396" s="21" t="s">
        <v>16586</v>
      </c>
      <c r="B396" s="22" t="s">
        <v>16587</v>
      </c>
      <c r="C396" s="3">
        <v>9.24</v>
      </c>
      <c r="D396" s="23">
        <v>16.989999999999998</v>
      </c>
      <c r="E396" s="3">
        <v>33.979999999999997</v>
      </c>
      <c r="F396" s="2" t="s">
        <v>18666</v>
      </c>
      <c r="G396" s="22" t="s">
        <v>19431</v>
      </c>
      <c r="H396" s="24" t="s">
        <v>19364</v>
      </c>
      <c r="I396" s="22" t="s">
        <v>19309</v>
      </c>
      <c r="J396" s="22" t="s">
        <v>19849</v>
      </c>
      <c r="K396" s="22" t="s">
        <v>19850</v>
      </c>
      <c r="L396" s="22"/>
      <c r="M396" s="22"/>
      <c r="N396" s="25" t="str">
        <f>HYPERLINK("http://slimages.macys.com/is/image/MCY/1249846 ")</f>
        <v xml:space="preserve">http://slimages.macys.com/is/image/MCY/1249846 </v>
      </c>
    </row>
    <row r="397" spans="1:14" x14ac:dyDescent="0.25">
      <c r="A397" s="21" t="s">
        <v>16588</v>
      </c>
      <c r="B397" s="22" t="s">
        <v>16589</v>
      </c>
      <c r="C397" s="3">
        <v>4.5599999999999996</v>
      </c>
      <c r="D397" s="23">
        <v>9.99</v>
      </c>
      <c r="E397" s="3">
        <v>9.99</v>
      </c>
      <c r="F397" s="2" t="s">
        <v>16590</v>
      </c>
      <c r="G397" s="22" t="s">
        <v>19351</v>
      </c>
      <c r="H397" s="24" t="s">
        <v>19432</v>
      </c>
      <c r="I397" s="22" t="s">
        <v>19309</v>
      </c>
      <c r="J397" s="22" t="s">
        <v>19310</v>
      </c>
      <c r="K397" s="22" t="s">
        <v>19468</v>
      </c>
      <c r="L397" s="22"/>
      <c r="M397" s="22"/>
      <c r="N397" s="25" t="str">
        <f>HYPERLINK("http://slimages.macys.com/is/image/MCY/19501970 ")</f>
        <v xml:space="preserve">http://slimages.macys.com/is/image/MCY/19501970 </v>
      </c>
    </row>
    <row r="398" spans="1:14" ht="24.75" x14ac:dyDescent="0.25">
      <c r="A398" s="21" t="s">
        <v>16591</v>
      </c>
      <c r="B398" s="22" t="s">
        <v>16592</v>
      </c>
      <c r="C398" s="3">
        <v>13.68</v>
      </c>
      <c r="D398" s="23">
        <v>13.99</v>
      </c>
      <c r="E398" s="3">
        <v>41.97</v>
      </c>
      <c r="F398" s="2" t="s">
        <v>16593</v>
      </c>
      <c r="G398" s="22" t="s">
        <v>18429</v>
      </c>
      <c r="H398" s="24" t="s">
        <v>19364</v>
      </c>
      <c r="I398" s="22" t="s">
        <v>19309</v>
      </c>
      <c r="J398" s="22" t="s">
        <v>19815</v>
      </c>
      <c r="K398" s="22" t="s">
        <v>19816</v>
      </c>
      <c r="L398" s="22"/>
      <c r="M398" s="22"/>
      <c r="N398" s="25" t="str">
        <f>HYPERLINK("http://slimages.macys.com/is/image/MCY/21188139 ")</f>
        <v xml:space="preserve">http://slimages.macys.com/is/image/MCY/21188139 </v>
      </c>
    </row>
    <row r="399" spans="1:14" ht="24.75" x14ac:dyDescent="0.25">
      <c r="A399" s="21" t="s">
        <v>16594</v>
      </c>
      <c r="B399" s="22" t="s">
        <v>16595</v>
      </c>
      <c r="C399" s="3">
        <v>4.5599999999999996</v>
      </c>
      <c r="D399" s="23">
        <v>8.25</v>
      </c>
      <c r="E399" s="3">
        <v>8.25</v>
      </c>
      <c r="F399" s="2" t="s">
        <v>16596</v>
      </c>
      <c r="G399" s="22" t="s">
        <v>19351</v>
      </c>
      <c r="H399" s="24" t="s">
        <v>19361</v>
      </c>
      <c r="I399" s="22" t="s">
        <v>19309</v>
      </c>
      <c r="J399" s="22" t="s">
        <v>19447</v>
      </c>
      <c r="K399" s="22" t="s">
        <v>20146</v>
      </c>
      <c r="L399" s="22"/>
      <c r="M399" s="22"/>
      <c r="N399" s="25" t="str">
        <f>HYPERLINK("http://slimages.macys.com/is/image/MCY/19941191 ")</f>
        <v xml:space="preserve">http://slimages.macys.com/is/image/MCY/19941191 </v>
      </c>
    </row>
    <row r="400" spans="1:14" ht="24.75" x14ac:dyDescent="0.25">
      <c r="A400" s="21" t="s">
        <v>16597</v>
      </c>
      <c r="B400" s="22" t="s">
        <v>16598</v>
      </c>
      <c r="C400" s="3">
        <v>4.55</v>
      </c>
      <c r="D400" s="23">
        <v>10.91</v>
      </c>
      <c r="E400" s="3">
        <v>10.91</v>
      </c>
      <c r="F400" s="2" t="s">
        <v>16599</v>
      </c>
      <c r="G400" s="22" t="s">
        <v>19323</v>
      </c>
      <c r="H400" s="24" t="s">
        <v>19334</v>
      </c>
      <c r="I400" s="22" t="s">
        <v>19309</v>
      </c>
      <c r="J400" s="22" t="s">
        <v>19602</v>
      </c>
      <c r="K400" s="22" t="s">
        <v>20041</v>
      </c>
      <c r="L400" s="22"/>
      <c r="M400" s="22"/>
      <c r="N400" s="25" t="str">
        <f>HYPERLINK("http://slimages.macys.com/is/image/MCY/21723141 ")</f>
        <v xml:space="preserve">http://slimages.macys.com/is/image/MCY/21723141 </v>
      </c>
    </row>
    <row r="401" spans="1:14" ht="24.75" x14ac:dyDescent="0.25">
      <c r="A401" s="21" t="s">
        <v>16600</v>
      </c>
      <c r="B401" s="22" t="s">
        <v>16601</v>
      </c>
      <c r="C401" s="3">
        <v>4.55</v>
      </c>
      <c r="D401" s="23">
        <v>10.91</v>
      </c>
      <c r="E401" s="3">
        <v>10.91</v>
      </c>
      <c r="F401" s="2" t="s">
        <v>16602</v>
      </c>
      <c r="G401" s="22" t="s">
        <v>19357</v>
      </c>
      <c r="H401" s="24" t="s">
        <v>19334</v>
      </c>
      <c r="I401" s="22" t="s">
        <v>19309</v>
      </c>
      <c r="J401" s="22" t="s">
        <v>19602</v>
      </c>
      <c r="K401" s="22" t="s">
        <v>20041</v>
      </c>
      <c r="L401" s="22"/>
      <c r="M401" s="22"/>
      <c r="N401" s="25" t="str">
        <f>HYPERLINK("http://slimages.macys.com/is/image/MCY/21723141 ")</f>
        <v xml:space="preserve">http://slimages.macys.com/is/image/MCY/21723141 </v>
      </c>
    </row>
    <row r="402" spans="1:14" ht="24.75" x14ac:dyDescent="0.25">
      <c r="A402" s="21" t="s">
        <v>16603</v>
      </c>
      <c r="B402" s="22" t="s">
        <v>16604</v>
      </c>
      <c r="C402" s="3">
        <v>4.55</v>
      </c>
      <c r="D402" s="23">
        <v>10.91</v>
      </c>
      <c r="E402" s="3">
        <v>10.91</v>
      </c>
      <c r="F402" s="2" t="s">
        <v>16605</v>
      </c>
      <c r="G402" s="22" t="s">
        <v>19594</v>
      </c>
      <c r="H402" s="24" t="s">
        <v>19334</v>
      </c>
      <c r="I402" s="22" t="s">
        <v>19309</v>
      </c>
      <c r="J402" s="22" t="s">
        <v>19602</v>
      </c>
      <c r="K402" s="22" t="s">
        <v>20041</v>
      </c>
      <c r="L402" s="22"/>
      <c r="M402" s="22"/>
      <c r="N402" s="25" t="str">
        <f>HYPERLINK("http://slimages.macys.com/is/image/MCY/21723141 ")</f>
        <v xml:space="preserve">http://slimages.macys.com/is/image/MCY/21723141 </v>
      </c>
    </row>
    <row r="403" spans="1:14" x14ac:dyDescent="0.25">
      <c r="A403" s="21" t="s">
        <v>16606</v>
      </c>
      <c r="B403" s="22" t="s">
        <v>16607</v>
      </c>
      <c r="C403" s="3">
        <v>4.55</v>
      </c>
      <c r="D403" s="23">
        <v>13.27</v>
      </c>
      <c r="E403" s="3">
        <v>13.27</v>
      </c>
      <c r="F403" s="2" t="s">
        <v>16608</v>
      </c>
      <c r="G403" s="22"/>
      <c r="H403" s="24" t="s">
        <v>19324</v>
      </c>
      <c r="I403" s="22" t="s">
        <v>19309</v>
      </c>
      <c r="J403" s="22" t="s">
        <v>19708</v>
      </c>
      <c r="K403" s="22" t="s">
        <v>19754</v>
      </c>
      <c r="L403" s="22"/>
      <c r="M403" s="22"/>
      <c r="N403" s="25" t="str">
        <f>HYPERLINK("http://slimages.macys.com/is/image/MCY/21414680 ")</f>
        <v xml:space="preserve">http://slimages.macys.com/is/image/MCY/21414680 </v>
      </c>
    </row>
    <row r="404" spans="1:14" x14ac:dyDescent="0.25">
      <c r="A404" s="21" t="s">
        <v>16609</v>
      </c>
      <c r="B404" s="22" t="s">
        <v>16610</v>
      </c>
      <c r="C404" s="3">
        <v>4.55</v>
      </c>
      <c r="D404" s="23">
        <v>9.81</v>
      </c>
      <c r="E404" s="3">
        <v>9.81</v>
      </c>
      <c r="F404" s="2" t="s">
        <v>16611</v>
      </c>
      <c r="G404" s="22" t="s">
        <v>19338</v>
      </c>
      <c r="H404" s="24" t="s">
        <v>20152</v>
      </c>
      <c r="I404" s="22" t="s">
        <v>19309</v>
      </c>
      <c r="J404" s="22" t="s">
        <v>19708</v>
      </c>
      <c r="K404" s="22" t="s">
        <v>19709</v>
      </c>
      <c r="L404" s="22"/>
      <c r="M404" s="22"/>
      <c r="N404" s="25" t="str">
        <f>HYPERLINK("http://slimages.macys.com/is/image/MCY/21409122 ")</f>
        <v xml:space="preserve">http://slimages.macys.com/is/image/MCY/21409122 </v>
      </c>
    </row>
    <row r="405" spans="1:14" x14ac:dyDescent="0.25">
      <c r="A405" s="21" t="s">
        <v>16612</v>
      </c>
      <c r="B405" s="22" t="s">
        <v>16613</v>
      </c>
      <c r="C405" s="3">
        <v>4.55</v>
      </c>
      <c r="D405" s="23">
        <v>13.27</v>
      </c>
      <c r="E405" s="3">
        <v>13.27</v>
      </c>
      <c r="F405" s="2" t="s">
        <v>16614</v>
      </c>
      <c r="G405" s="22"/>
      <c r="H405" s="24" t="s">
        <v>19416</v>
      </c>
      <c r="I405" s="22" t="s">
        <v>19309</v>
      </c>
      <c r="J405" s="22" t="s">
        <v>19708</v>
      </c>
      <c r="K405" s="22" t="s">
        <v>19754</v>
      </c>
      <c r="L405" s="22"/>
      <c r="M405" s="22"/>
      <c r="N405" s="25" t="str">
        <f>HYPERLINK("http://slimages.macys.com/is/image/MCY/21758696 ")</f>
        <v xml:space="preserve">http://slimages.macys.com/is/image/MCY/21758696 </v>
      </c>
    </row>
    <row r="406" spans="1:14" x14ac:dyDescent="0.25">
      <c r="A406" s="21" t="s">
        <v>16615</v>
      </c>
      <c r="B406" s="22" t="s">
        <v>16616</v>
      </c>
      <c r="C406" s="3">
        <v>4.55</v>
      </c>
      <c r="D406" s="23">
        <v>12.4</v>
      </c>
      <c r="E406" s="3">
        <v>12.4</v>
      </c>
      <c r="F406" s="2" t="s">
        <v>18637</v>
      </c>
      <c r="G406" s="22" t="s">
        <v>19315</v>
      </c>
      <c r="H406" s="24" t="s">
        <v>19770</v>
      </c>
      <c r="I406" s="22" t="s">
        <v>19309</v>
      </c>
      <c r="J406" s="22" t="s">
        <v>19708</v>
      </c>
      <c r="K406" s="22" t="s">
        <v>19709</v>
      </c>
      <c r="L406" s="22"/>
      <c r="M406" s="22"/>
      <c r="N406" s="25" t="str">
        <f>HYPERLINK("http://slimages.macys.com/is/image/MCY/22296880 ")</f>
        <v xml:space="preserve">http://slimages.macys.com/is/image/MCY/22296880 </v>
      </c>
    </row>
    <row r="407" spans="1:14" x14ac:dyDescent="0.25">
      <c r="A407" s="21" t="s">
        <v>16617</v>
      </c>
      <c r="B407" s="22" t="s">
        <v>16618</v>
      </c>
      <c r="C407" s="3">
        <v>4.55</v>
      </c>
      <c r="D407" s="23">
        <v>12.4</v>
      </c>
      <c r="E407" s="3">
        <v>12.4</v>
      </c>
      <c r="F407" s="2" t="s">
        <v>18640</v>
      </c>
      <c r="G407" s="22" t="s">
        <v>19351</v>
      </c>
      <c r="H407" s="24" t="s">
        <v>19770</v>
      </c>
      <c r="I407" s="22" t="s">
        <v>19309</v>
      </c>
      <c r="J407" s="22" t="s">
        <v>19708</v>
      </c>
      <c r="K407" s="22" t="s">
        <v>19709</v>
      </c>
      <c r="L407" s="22"/>
      <c r="M407" s="22"/>
      <c r="N407" s="25" t="str">
        <f>HYPERLINK("http://slimages.macys.com/is/image/MCY/22296874 ")</f>
        <v xml:space="preserve">http://slimages.macys.com/is/image/MCY/22296874 </v>
      </c>
    </row>
    <row r="408" spans="1:14" ht="24.75" x14ac:dyDescent="0.25">
      <c r="A408" s="21" t="s">
        <v>18655</v>
      </c>
      <c r="B408" s="22" t="s">
        <v>18656</v>
      </c>
      <c r="C408" s="3">
        <v>4.53</v>
      </c>
      <c r="D408" s="23">
        <v>10.99</v>
      </c>
      <c r="E408" s="3">
        <v>10.99</v>
      </c>
      <c r="F408" s="2" t="s">
        <v>18657</v>
      </c>
      <c r="G408" s="22" t="s">
        <v>19814</v>
      </c>
      <c r="H408" s="24" t="s">
        <v>19364</v>
      </c>
      <c r="I408" s="22" t="s">
        <v>19309</v>
      </c>
      <c r="J408" s="22" t="s">
        <v>19353</v>
      </c>
      <c r="K408" s="22" t="s">
        <v>19524</v>
      </c>
      <c r="L408" s="22"/>
      <c r="M408" s="22"/>
      <c r="N408" s="25" t="str">
        <f>HYPERLINK("http://slimages.macys.com/is/image/MCY/20702948 ")</f>
        <v xml:space="preserve">http://slimages.macys.com/is/image/MCY/20702948 </v>
      </c>
    </row>
    <row r="409" spans="1:14" ht="24.75" x14ac:dyDescent="0.25">
      <c r="A409" s="21" t="s">
        <v>16619</v>
      </c>
      <c r="B409" s="22" t="s">
        <v>16620</v>
      </c>
      <c r="C409" s="3">
        <v>4.53</v>
      </c>
      <c r="D409" s="23">
        <v>9.99</v>
      </c>
      <c r="E409" s="3">
        <v>9.99</v>
      </c>
      <c r="F409" s="2" t="s">
        <v>16621</v>
      </c>
      <c r="G409" s="22" t="s">
        <v>19906</v>
      </c>
      <c r="H409" s="24" t="s">
        <v>19907</v>
      </c>
      <c r="I409" s="22" t="s">
        <v>19309</v>
      </c>
      <c r="J409" s="22" t="s">
        <v>19908</v>
      </c>
      <c r="K409" s="22" t="s">
        <v>19524</v>
      </c>
      <c r="L409" s="22"/>
      <c r="M409" s="22"/>
      <c r="N409" s="25" t="str">
        <f>HYPERLINK("http://slimages.macys.com/is/image/MCY/21727213 ")</f>
        <v xml:space="preserve">http://slimages.macys.com/is/image/MCY/21727213 </v>
      </c>
    </row>
    <row r="410" spans="1:14" x14ac:dyDescent="0.25">
      <c r="A410" s="21" t="s">
        <v>16622</v>
      </c>
      <c r="B410" s="22" t="s">
        <v>16623</v>
      </c>
      <c r="C410" s="3">
        <v>4.5</v>
      </c>
      <c r="D410" s="23">
        <v>10.99</v>
      </c>
      <c r="E410" s="3">
        <v>10.99</v>
      </c>
      <c r="F410" s="2" t="s">
        <v>16624</v>
      </c>
      <c r="G410" s="22" t="s">
        <v>19477</v>
      </c>
      <c r="H410" s="24" t="s">
        <v>19352</v>
      </c>
      <c r="I410" s="22" t="s">
        <v>19309</v>
      </c>
      <c r="J410" s="22" t="s">
        <v>19849</v>
      </c>
      <c r="K410" s="22" t="s">
        <v>19850</v>
      </c>
      <c r="L410" s="22"/>
      <c r="M410" s="22"/>
      <c r="N410" s="25" t="str">
        <f>HYPERLINK("http://slimages.macys.com/is/image/MCY/19965805 ")</f>
        <v xml:space="preserve">http://slimages.macys.com/is/image/MCY/19965805 </v>
      </c>
    </row>
    <row r="411" spans="1:14" x14ac:dyDescent="0.25">
      <c r="A411" s="21" t="s">
        <v>16625</v>
      </c>
      <c r="B411" s="22" t="s">
        <v>16626</v>
      </c>
      <c r="C411" s="3">
        <v>13.5</v>
      </c>
      <c r="D411" s="23">
        <v>16.989999999999998</v>
      </c>
      <c r="E411" s="3">
        <v>50.97</v>
      </c>
      <c r="F411" s="2" t="s">
        <v>18666</v>
      </c>
      <c r="G411" s="22" t="s">
        <v>19477</v>
      </c>
      <c r="H411" s="24" t="s">
        <v>19364</v>
      </c>
      <c r="I411" s="22" t="s">
        <v>19309</v>
      </c>
      <c r="J411" s="22" t="s">
        <v>19849</v>
      </c>
      <c r="K411" s="22" t="s">
        <v>19850</v>
      </c>
      <c r="L411" s="22"/>
      <c r="M411" s="22"/>
      <c r="N411" s="25" t="str">
        <f>HYPERLINK("http://slimages.macys.com/is/image/MCY/20549559 ")</f>
        <v xml:space="preserve">http://slimages.macys.com/is/image/MCY/20549559 </v>
      </c>
    </row>
    <row r="412" spans="1:14" x14ac:dyDescent="0.25">
      <c r="A412" s="21" t="s">
        <v>16627</v>
      </c>
      <c r="B412" s="22" t="s">
        <v>16628</v>
      </c>
      <c r="C412" s="3">
        <v>9</v>
      </c>
      <c r="D412" s="23">
        <v>16.989999999999998</v>
      </c>
      <c r="E412" s="3">
        <v>33.979999999999997</v>
      </c>
      <c r="F412" s="2" t="s">
        <v>18666</v>
      </c>
      <c r="G412" s="22" t="s">
        <v>19477</v>
      </c>
      <c r="H412" s="24" t="s">
        <v>19339</v>
      </c>
      <c r="I412" s="22" t="s">
        <v>19309</v>
      </c>
      <c r="J412" s="22" t="s">
        <v>19849</v>
      </c>
      <c r="K412" s="22" t="s">
        <v>19850</v>
      </c>
      <c r="L412" s="22"/>
      <c r="M412" s="22"/>
      <c r="N412" s="25" t="str">
        <f>HYPERLINK("http://slimages.macys.com/is/image/MCY/20549559 ")</f>
        <v xml:space="preserve">http://slimages.macys.com/is/image/MCY/20549559 </v>
      </c>
    </row>
    <row r="413" spans="1:14" x14ac:dyDescent="0.25">
      <c r="A413" s="21" t="s">
        <v>18664</v>
      </c>
      <c r="B413" s="22" t="s">
        <v>18665</v>
      </c>
      <c r="C413" s="3">
        <v>4.5</v>
      </c>
      <c r="D413" s="23">
        <v>16.989999999999998</v>
      </c>
      <c r="E413" s="3">
        <v>16.989999999999998</v>
      </c>
      <c r="F413" s="2" t="s">
        <v>18666</v>
      </c>
      <c r="G413" s="22" t="s">
        <v>19477</v>
      </c>
      <c r="H413" s="24" t="s">
        <v>19352</v>
      </c>
      <c r="I413" s="22" t="s">
        <v>19309</v>
      </c>
      <c r="J413" s="22" t="s">
        <v>19849</v>
      </c>
      <c r="K413" s="22" t="s">
        <v>19850</v>
      </c>
      <c r="L413" s="22"/>
      <c r="M413" s="22"/>
      <c r="N413" s="25" t="str">
        <f>HYPERLINK("http://slimages.macys.com/is/image/MCY/20549559 ")</f>
        <v xml:space="preserve">http://slimages.macys.com/is/image/MCY/20549559 </v>
      </c>
    </row>
    <row r="414" spans="1:14" x14ac:dyDescent="0.25">
      <c r="A414" s="21" t="s">
        <v>16629</v>
      </c>
      <c r="B414" s="22" t="s">
        <v>16630</v>
      </c>
      <c r="C414" s="3">
        <v>4.5</v>
      </c>
      <c r="D414" s="23">
        <v>10.99</v>
      </c>
      <c r="E414" s="3">
        <v>10.99</v>
      </c>
      <c r="F414" s="2" t="s">
        <v>16624</v>
      </c>
      <c r="G414" s="22" t="s">
        <v>19674</v>
      </c>
      <c r="H414" s="24" t="s">
        <v>19352</v>
      </c>
      <c r="I414" s="22" t="s">
        <v>19309</v>
      </c>
      <c r="J414" s="22" t="s">
        <v>19849</v>
      </c>
      <c r="K414" s="22" t="s">
        <v>19850</v>
      </c>
      <c r="L414" s="22"/>
      <c r="M414" s="22"/>
      <c r="N414" s="25" t="str">
        <f>HYPERLINK("http://slimages.macys.com/is/image/MCY/1650136 ")</f>
        <v xml:space="preserve">http://slimages.macys.com/is/image/MCY/1650136 </v>
      </c>
    </row>
    <row r="415" spans="1:14" x14ac:dyDescent="0.25">
      <c r="A415" s="21" t="s">
        <v>16631</v>
      </c>
      <c r="B415" s="22" t="s">
        <v>16632</v>
      </c>
      <c r="C415" s="3">
        <v>4.5</v>
      </c>
      <c r="D415" s="23">
        <v>10.99</v>
      </c>
      <c r="E415" s="3">
        <v>10.99</v>
      </c>
      <c r="F415" s="2" t="s">
        <v>16624</v>
      </c>
      <c r="G415" s="22" t="s">
        <v>19674</v>
      </c>
      <c r="H415" s="24" t="s">
        <v>19364</v>
      </c>
      <c r="I415" s="22" t="s">
        <v>19309</v>
      </c>
      <c r="J415" s="22" t="s">
        <v>19849</v>
      </c>
      <c r="K415" s="22" t="s">
        <v>19850</v>
      </c>
      <c r="L415" s="22"/>
      <c r="M415" s="22"/>
      <c r="N415" s="25" t="str">
        <f>HYPERLINK("http://slimages.macys.com/is/image/MCY/1650136 ")</f>
        <v xml:space="preserve">http://slimages.macys.com/is/image/MCY/1650136 </v>
      </c>
    </row>
    <row r="416" spans="1:14" x14ac:dyDescent="0.25">
      <c r="A416" s="21" t="s">
        <v>16633</v>
      </c>
      <c r="B416" s="22" t="s">
        <v>16634</v>
      </c>
      <c r="C416" s="3">
        <v>9</v>
      </c>
      <c r="D416" s="23">
        <v>16.989999999999998</v>
      </c>
      <c r="E416" s="3">
        <v>33.979999999999997</v>
      </c>
      <c r="F416" s="2" t="s">
        <v>18666</v>
      </c>
      <c r="G416" s="22" t="s">
        <v>19477</v>
      </c>
      <c r="H416" s="24" t="s">
        <v>19797</v>
      </c>
      <c r="I416" s="22" t="s">
        <v>19309</v>
      </c>
      <c r="J416" s="22" t="s">
        <v>19849</v>
      </c>
      <c r="K416" s="22" t="s">
        <v>19850</v>
      </c>
      <c r="L416" s="22"/>
      <c r="M416" s="22"/>
      <c r="N416" s="25" t="str">
        <f>HYPERLINK("http://slimages.macys.com/is/image/MCY/20549559 ")</f>
        <v xml:space="preserve">http://slimages.macys.com/is/image/MCY/20549559 </v>
      </c>
    </row>
    <row r="417" spans="1:14" ht="24.75" x14ac:dyDescent="0.25">
      <c r="A417" s="21" t="s">
        <v>16635</v>
      </c>
      <c r="B417" s="22" t="s">
        <v>16636</v>
      </c>
      <c r="C417" s="3">
        <v>4.49</v>
      </c>
      <c r="D417" s="23">
        <v>8.99</v>
      </c>
      <c r="E417" s="3">
        <v>8.99</v>
      </c>
      <c r="F417" s="2" t="s">
        <v>16637</v>
      </c>
      <c r="G417" s="22" t="s">
        <v>19585</v>
      </c>
      <c r="H417" s="24" t="s">
        <v>19339</v>
      </c>
      <c r="I417" s="22" t="s">
        <v>19309</v>
      </c>
      <c r="J417" s="22" t="s">
        <v>19815</v>
      </c>
      <c r="K417" s="22" t="s">
        <v>19816</v>
      </c>
      <c r="L417" s="22"/>
      <c r="M417" s="22"/>
      <c r="N417" s="25" t="str">
        <f>HYPERLINK("http://slimages.macys.com/is/image/MCY/1424941 ")</f>
        <v xml:space="preserve">http://slimages.macys.com/is/image/MCY/1424941 </v>
      </c>
    </row>
    <row r="418" spans="1:14" x14ac:dyDescent="0.25">
      <c r="A418" s="21" t="s">
        <v>16638</v>
      </c>
      <c r="B418" s="22" t="s">
        <v>16639</v>
      </c>
      <c r="C418" s="3">
        <v>4.47</v>
      </c>
      <c r="D418" s="23">
        <v>12.17</v>
      </c>
      <c r="E418" s="3">
        <v>12.17</v>
      </c>
      <c r="F418" s="2" t="s">
        <v>16640</v>
      </c>
      <c r="G418" s="22"/>
      <c r="H418" s="24" t="s">
        <v>19770</v>
      </c>
      <c r="I418" s="22" t="s">
        <v>19309</v>
      </c>
      <c r="J418" s="22" t="s">
        <v>19708</v>
      </c>
      <c r="K418" s="22" t="s">
        <v>19709</v>
      </c>
      <c r="L418" s="22"/>
      <c r="M418" s="22"/>
      <c r="N418" s="25" t="str">
        <f>HYPERLINK("http://slimages.macys.com/is/image/MCY/19917188 ")</f>
        <v xml:space="preserve">http://slimages.macys.com/is/image/MCY/19917188 </v>
      </c>
    </row>
    <row r="419" spans="1:14" x14ac:dyDescent="0.25">
      <c r="A419" s="21" t="s">
        <v>16641</v>
      </c>
      <c r="B419" s="22" t="s">
        <v>16642</v>
      </c>
      <c r="C419" s="3">
        <v>4.46</v>
      </c>
      <c r="D419" s="23">
        <v>7.99</v>
      </c>
      <c r="E419" s="3">
        <v>7.99</v>
      </c>
      <c r="F419" s="2" t="s">
        <v>16643</v>
      </c>
      <c r="G419" s="22" t="s">
        <v>19618</v>
      </c>
      <c r="H419" s="24" t="s">
        <v>19352</v>
      </c>
      <c r="I419" s="22" t="s">
        <v>19309</v>
      </c>
      <c r="J419" s="22" t="s">
        <v>19310</v>
      </c>
      <c r="K419" s="22" t="s">
        <v>19873</v>
      </c>
      <c r="L419" s="22"/>
      <c r="M419" s="22"/>
      <c r="N419" s="25" t="str">
        <f>HYPERLINK("http://slimages.macys.com/is/image/MCY/19701679 ")</f>
        <v xml:space="preserve">http://slimages.macys.com/is/image/MCY/19701679 </v>
      </c>
    </row>
    <row r="420" spans="1:14" ht="24.75" x14ac:dyDescent="0.25">
      <c r="A420" s="21" t="s">
        <v>16644</v>
      </c>
      <c r="B420" s="22" t="s">
        <v>16645</v>
      </c>
      <c r="C420" s="3">
        <v>13.35</v>
      </c>
      <c r="D420" s="23">
        <v>11.99</v>
      </c>
      <c r="E420" s="3">
        <v>35.97</v>
      </c>
      <c r="F420" s="2" t="s">
        <v>16646</v>
      </c>
      <c r="G420" s="22" t="s">
        <v>19794</v>
      </c>
      <c r="H420" s="24"/>
      <c r="I420" s="22" t="s">
        <v>19309</v>
      </c>
      <c r="J420" s="22" t="s">
        <v>19573</v>
      </c>
      <c r="K420" s="22" t="s">
        <v>19574</v>
      </c>
      <c r="L420" s="22"/>
      <c r="M420" s="22"/>
      <c r="N420" s="25" t="str">
        <f>HYPERLINK("http://slimages.macys.com/is/image/MCY/1956290 ")</f>
        <v xml:space="preserve">http://slimages.macys.com/is/image/MCY/1956290 </v>
      </c>
    </row>
    <row r="421" spans="1:14" ht="24.75" x14ac:dyDescent="0.25">
      <c r="A421" s="21" t="s">
        <v>16647</v>
      </c>
      <c r="B421" s="22" t="s">
        <v>16648</v>
      </c>
      <c r="C421" s="3">
        <v>4.45</v>
      </c>
      <c r="D421" s="23">
        <v>11.99</v>
      </c>
      <c r="E421" s="3">
        <v>11.99</v>
      </c>
      <c r="F421" s="2" t="s">
        <v>16646</v>
      </c>
      <c r="G421" s="22" t="s">
        <v>19794</v>
      </c>
      <c r="H421" s="24" t="s">
        <v>19384</v>
      </c>
      <c r="I421" s="22" t="s">
        <v>19309</v>
      </c>
      <c r="J421" s="22" t="s">
        <v>19573</v>
      </c>
      <c r="K421" s="22" t="s">
        <v>19574</v>
      </c>
      <c r="L421" s="22"/>
      <c r="M421" s="22"/>
      <c r="N421" s="25" t="str">
        <f>HYPERLINK("http://slimages.macys.com/is/image/MCY/1956290 ")</f>
        <v xml:space="preserve">http://slimages.macys.com/is/image/MCY/1956290 </v>
      </c>
    </row>
    <row r="422" spans="1:14" ht="24.75" x14ac:dyDescent="0.25">
      <c r="A422" s="21" t="s">
        <v>16649</v>
      </c>
      <c r="B422" s="22" t="s">
        <v>16650</v>
      </c>
      <c r="C422" s="3">
        <v>4.45</v>
      </c>
      <c r="D422" s="23">
        <v>11.99</v>
      </c>
      <c r="E422" s="3">
        <v>11.99</v>
      </c>
      <c r="F422" s="2" t="s">
        <v>16646</v>
      </c>
      <c r="G422" s="22" t="s">
        <v>19794</v>
      </c>
      <c r="H422" s="24" t="s">
        <v>19416</v>
      </c>
      <c r="I422" s="22" t="s">
        <v>19309</v>
      </c>
      <c r="J422" s="22" t="s">
        <v>19573</v>
      </c>
      <c r="K422" s="22" t="s">
        <v>19574</v>
      </c>
      <c r="L422" s="22"/>
      <c r="M422" s="22"/>
      <c r="N422" s="25" t="str">
        <f>HYPERLINK("http://slimages.macys.com/is/image/MCY/1956290 ")</f>
        <v xml:space="preserve">http://slimages.macys.com/is/image/MCY/1956290 </v>
      </c>
    </row>
    <row r="423" spans="1:14" ht="24.75" x14ac:dyDescent="0.25">
      <c r="A423" s="21" t="s">
        <v>16651</v>
      </c>
      <c r="B423" s="22" t="s">
        <v>16652</v>
      </c>
      <c r="C423" s="3">
        <v>4.45</v>
      </c>
      <c r="D423" s="23">
        <v>11.99</v>
      </c>
      <c r="E423" s="3">
        <v>11.99</v>
      </c>
      <c r="F423" s="2" t="s">
        <v>18672</v>
      </c>
      <c r="G423" s="22" t="s">
        <v>19670</v>
      </c>
      <c r="H423" s="24" t="s">
        <v>19538</v>
      </c>
      <c r="I423" s="22" t="s">
        <v>19309</v>
      </c>
      <c r="J423" s="22" t="s">
        <v>19573</v>
      </c>
      <c r="K423" s="22" t="s">
        <v>19574</v>
      </c>
      <c r="L423" s="22"/>
      <c r="M423" s="22"/>
      <c r="N423" s="25" t="str">
        <f>HYPERLINK("http://slimages.macys.com/is/image/MCY/21209478 ")</f>
        <v xml:space="preserve">http://slimages.macys.com/is/image/MCY/21209478 </v>
      </c>
    </row>
    <row r="424" spans="1:14" ht="24.75" x14ac:dyDescent="0.25">
      <c r="A424" s="21" t="s">
        <v>16653</v>
      </c>
      <c r="B424" s="22" t="s">
        <v>16654</v>
      </c>
      <c r="C424" s="3">
        <v>4.45</v>
      </c>
      <c r="D424" s="23">
        <v>11.99</v>
      </c>
      <c r="E424" s="3">
        <v>11.99</v>
      </c>
      <c r="F424" s="2" t="s">
        <v>18672</v>
      </c>
      <c r="G424" s="22" t="s">
        <v>19670</v>
      </c>
      <c r="H424" s="24"/>
      <c r="I424" s="22" t="s">
        <v>19309</v>
      </c>
      <c r="J424" s="22" t="s">
        <v>19573</v>
      </c>
      <c r="K424" s="22" t="s">
        <v>19574</v>
      </c>
      <c r="L424" s="22"/>
      <c r="M424" s="22"/>
      <c r="N424" s="25" t="str">
        <f>HYPERLINK("http://slimages.macys.com/is/image/MCY/21209478 ")</f>
        <v xml:space="preserve">http://slimages.macys.com/is/image/MCY/21209478 </v>
      </c>
    </row>
    <row r="425" spans="1:14" ht="24.75" x14ac:dyDescent="0.25">
      <c r="A425" s="21" t="s">
        <v>16655</v>
      </c>
      <c r="B425" s="22" t="s">
        <v>16656</v>
      </c>
      <c r="C425" s="3">
        <v>8.9</v>
      </c>
      <c r="D425" s="23">
        <v>11.99</v>
      </c>
      <c r="E425" s="3">
        <v>23.98</v>
      </c>
      <c r="F425" s="2" t="s">
        <v>16646</v>
      </c>
      <c r="G425" s="22" t="s">
        <v>19794</v>
      </c>
      <c r="H425" s="24" t="s">
        <v>19538</v>
      </c>
      <c r="I425" s="22" t="s">
        <v>19309</v>
      </c>
      <c r="J425" s="22" t="s">
        <v>19573</v>
      </c>
      <c r="K425" s="22" t="s">
        <v>19574</v>
      </c>
      <c r="L425" s="22"/>
      <c r="M425" s="22"/>
      <c r="N425" s="25" t="str">
        <f>HYPERLINK("http://slimages.macys.com/is/image/MCY/1956290 ")</f>
        <v xml:space="preserve">http://slimages.macys.com/is/image/MCY/1956290 </v>
      </c>
    </row>
    <row r="426" spans="1:14" ht="24.75" x14ac:dyDescent="0.25">
      <c r="A426" s="21" t="s">
        <v>16657</v>
      </c>
      <c r="B426" s="22" t="s">
        <v>16658</v>
      </c>
      <c r="C426" s="3">
        <v>8.9</v>
      </c>
      <c r="D426" s="23">
        <v>11.99</v>
      </c>
      <c r="E426" s="3">
        <v>23.98</v>
      </c>
      <c r="F426" s="2" t="s">
        <v>16646</v>
      </c>
      <c r="G426" s="22" t="s">
        <v>19794</v>
      </c>
      <c r="H426" s="24" t="s">
        <v>19330</v>
      </c>
      <c r="I426" s="22" t="s">
        <v>19309</v>
      </c>
      <c r="J426" s="22" t="s">
        <v>19573</v>
      </c>
      <c r="K426" s="22" t="s">
        <v>19574</v>
      </c>
      <c r="L426" s="22"/>
      <c r="M426" s="22"/>
      <c r="N426" s="25" t="str">
        <f>HYPERLINK("http://slimages.macys.com/is/image/MCY/1956290 ")</f>
        <v xml:space="preserve">http://slimages.macys.com/is/image/MCY/1956290 </v>
      </c>
    </row>
    <row r="427" spans="1:14" ht="24.75" x14ac:dyDescent="0.25">
      <c r="A427" s="21" t="s">
        <v>16659</v>
      </c>
      <c r="B427" s="22" t="s">
        <v>16660</v>
      </c>
      <c r="C427" s="3">
        <v>8.9</v>
      </c>
      <c r="D427" s="23">
        <v>11.99</v>
      </c>
      <c r="E427" s="3">
        <v>23.98</v>
      </c>
      <c r="F427" s="2" t="s">
        <v>18672</v>
      </c>
      <c r="G427" s="22" t="s">
        <v>19670</v>
      </c>
      <c r="H427" s="24" t="s">
        <v>19416</v>
      </c>
      <c r="I427" s="22" t="s">
        <v>19309</v>
      </c>
      <c r="J427" s="22" t="s">
        <v>19573</v>
      </c>
      <c r="K427" s="22" t="s">
        <v>19574</v>
      </c>
      <c r="L427" s="22"/>
      <c r="M427" s="22"/>
      <c r="N427" s="25" t="str">
        <f>HYPERLINK("http://slimages.macys.com/is/image/MCY/21209478 ")</f>
        <v xml:space="preserve">http://slimages.macys.com/is/image/MCY/21209478 </v>
      </c>
    </row>
    <row r="428" spans="1:14" ht="24.75" x14ac:dyDescent="0.25">
      <c r="A428" s="21" t="s">
        <v>16661</v>
      </c>
      <c r="B428" s="22" t="s">
        <v>16662</v>
      </c>
      <c r="C428" s="3">
        <v>4.45</v>
      </c>
      <c r="D428" s="23">
        <v>11.99</v>
      </c>
      <c r="E428" s="3">
        <v>11.99</v>
      </c>
      <c r="F428" s="2" t="s">
        <v>18672</v>
      </c>
      <c r="G428" s="22" t="s">
        <v>19670</v>
      </c>
      <c r="H428" s="24" t="s">
        <v>19324</v>
      </c>
      <c r="I428" s="22" t="s">
        <v>19309</v>
      </c>
      <c r="J428" s="22" t="s">
        <v>19573</v>
      </c>
      <c r="K428" s="22" t="s">
        <v>19574</v>
      </c>
      <c r="L428" s="22"/>
      <c r="M428" s="22"/>
      <c r="N428" s="25" t="str">
        <f>HYPERLINK("http://slimages.macys.com/is/image/MCY/21209478 ")</f>
        <v xml:space="preserve">http://slimages.macys.com/is/image/MCY/21209478 </v>
      </c>
    </row>
    <row r="429" spans="1:14" ht="24.75" x14ac:dyDescent="0.25">
      <c r="A429" s="21" t="s">
        <v>18670</v>
      </c>
      <c r="B429" s="22" t="s">
        <v>18671</v>
      </c>
      <c r="C429" s="3">
        <v>4.45</v>
      </c>
      <c r="D429" s="23">
        <v>11.99</v>
      </c>
      <c r="E429" s="3">
        <v>11.99</v>
      </c>
      <c r="F429" s="2" t="s">
        <v>18672</v>
      </c>
      <c r="G429" s="22" t="s">
        <v>19670</v>
      </c>
      <c r="H429" s="24" t="s">
        <v>19384</v>
      </c>
      <c r="I429" s="22" t="s">
        <v>19309</v>
      </c>
      <c r="J429" s="22" t="s">
        <v>19573</v>
      </c>
      <c r="K429" s="22" t="s">
        <v>19574</v>
      </c>
      <c r="L429" s="22"/>
      <c r="M429" s="22"/>
      <c r="N429" s="25" t="str">
        <f>HYPERLINK("http://slimages.macys.com/is/image/MCY/21209478 ")</f>
        <v xml:space="preserve">http://slimages.macys.com/is/image/MCY/21209478 </v>
      </c>
    </row>
    <row r="430" spans="1:14" ht="24.75" x14ac:dyDescent="0.25">
      <c r="A430" s="21" t="s">
        <v>18681</v>
      </c>
      <c r="B430" s="22" t="s">
        <v>18682</v>
      </c>
      <c r="C430" s="3">
        <v>8.8000000000000007</v>
      </c>
      <c r="D430" s="23">
        <v>9.99</v>
      </c>
      <c r="E430" s="3">
        <v>19.98</v>
      </c>
      <c r="F430" s="2">
        <v>10015240700</v>
      </c>
      <c r="G430" s="22" t="s">
        <v>19315</v>
      </c>
      <c r="H430" s="24" t="s">
        <v>19770</v>
      </c>
      <c r="I430" s="22" t="s">
        <v>19309</v>
      </c>
      <c r="J430" s="22" t="s">
        <v>19573</v>
      </c>
      <c r="K430" s="22" t="s">
        <v>19574</v>
      </c>
      <c r="L430" s="22"/>
      <c r="M430" s="22"/>
      <c r="N430" s="25" t="str">
        <f>HYPERLINK("http://slimages.macys.com/is/image/MCY/1712799 ")</f>
        <v xml:space="preserve">http://slimages.macys.com/is/image/MCY/1712799 </v>
      </c>
    </row>
    <row r="431" spans="1:14" ht="24.75" x14ac:dyDescent="0.25">
      <c r="A431" s="21" t="s">
        <v>18673</v>
      </c>
      <c r="B431" s="22" t="s">
        <v>18674</v>
      </c>
      <c r="C431" s="3">
        <v>13.2</v>
      </c>
      <c r="D431" s="23">
        <v>9.99</v>
      </c>
      <c r="E431" s="3">
        <v>29.97</v>
      </c>
      <c r="F431" s="2">
        <v>10015240700</v>
      </c>
      <c r="G431" s="22" t="s">
        <v>19315</v>
      </c>
      <c r="H431" s="24"/>
      <c r="I431" s="22" t="s">
        <v>19309</v>
      </c>
      <c r="J431" s="22" t="s">
        <v>19573</v>
      </c>
      <c r="K431" s="22" t="s">
        <v>19574</v>
      </c>
      <c r="L431" s="22"/>
      <c r="M431" s="22"/>
      <c r="N431" s="25" t="str">
        <f>HYPERLINK("http://slimages.macys.com/is/image/MCY/2023449 ")</f>
        <v xml:space="preserve">http://slimages.macys.com/is/image/MCY/2023449 </v>
      </c>
    </row>
    <row r="432" spans="1:14" ht="24.75" x14ac:dyDescent="0.25">
      <c r="A432" s="21" t="s">
        <v>18675</v>
      </c>
      <c r="B432" s="22" t="s">
        <v>18676</v>
      </c>
      <c r="C432" s="3">
        <v>13.2</v>
      </c>
      <c r="D432" s="23">
        <v>9.99</v>
      </c>
      <c r="E432" s="3">
        <v>29.97</v>
      </c>
      <c r="F432" s="2">
        <v>10015240800</v>
      </c>
      <c r="G432" s="22" t="s">
        <v>19351</v>
      </c>
      <c r="H432" s="24"/>
      <c r="I432" s="22" t="s">
        <v>19309</v>
      </c>
      <c r="J432" s="22" t="s">
        <v>19573</v>
      </c>
      <c r="K432" s="22" t="s">
        <v>19574</v>
      </c>
      <c r="L432" s="22"/>
      <c r="M432" s="22"/>
      <c r="N432" s="25" t="str">
        <f>HYPERLINK("http://slimages.macys.com/is/image/MCY/2023449 ")</f>
        <v xml:space="preserve">http://slimages.macys.com/is/image/MCY/2023449 </v>
      </c>
    </row>
    <row r="433" spans="1:14" ht="24.75" x14ac:dyDescent="0.25">
      <c r="A433" s="21" t="s">
        <v>18677</v>
      </c>
      <c r="B433" s="22" t="s">
        <v>18678</v>
      </c>
      <c r="C433" s="3">
        <v>4.4000000000000004</v>
      </c>
      <c r="D433" s="23">
        <v>9.99</v>
      </c>
      <c r="E433" s="3">
        <v>9.99</v>
      </c>
      <c r="F433" s="2">
        <v>10015240800</v>
      </c>
      <c r="G433" s="22" t="s">
        <v>19351</v>
      </c>
      <c r="H433" s="24" t="s">
        <v>19770</v>
      </c>
      <c r="I433" s="22" t="s">
        <v>19309</v>
      </c>
      <c r="J433" s="22" t="s">
        <v>19573</v>
      </c>
      <c r="K433" s="22" t="s">
        <v>19574</v>
      </c>
      <c r="L433" s="22"/>
      <c r="M433" s="22"/>
      <c r="N433" s="25" t="str">
        <f>HYPERLINK("http://slimages.macys.com/is/image/MCY/2023449 ")</f>
        <v xml:space="preserve">http://slimages.macys.com/is/image/MCY/2023449 </v>
      </c>
    </row>
    <row r="434" spans="1:14" ht="24.75" x14ac:dyDescent="0.25">
      <c r="A434" s="21" t="s">
        <v>16663</v>
      </c>
      <c r="B434" s="22" t="s">
        <v>16664</v>
      </c>
      <c r="C434" s="3">
        <v>4.37</v>
      </c>
      <c r="D434" s="23">
        <v>26.5</v>
      </c>
      <c r="E434" s="3">
        <v>26.5</v>
      </c>
      <c r="F434" s="2" t="s">
        <v>16665</v>
      </c>
      <c r="G434" s="22" t="s">
        <v>19518</v>
      </c>
      <c r="H434" s="24" t="s">
        <v>19432</v>
      </c>
      <c r="I434" s="22" t="s">
        <v>19309</v>
      </c>
      <c r="J434" s="22" t="s">
        <v>20104</v>
      </c>
      <c r="K434" s="22" t="s">
        <v>20105</v>
      </c>
      <c r="L434" s="22"/>
      <c r="M434" s="22"/>
      <c r="N434" s="25" t="str">
        <f>HYPERLINK("http://slimages.macys.com/is/image/MCY/21910213 ")</f>
        <v xml:space="preserve">http://slimages.macys.com/is/image/MCY/21910213 </v>
      </c>
    </row>
    <row r="435" spans="1:14" x14ac:dyDescent="0.25">
      <c r="A435" s="21" t="s">
        <v>16666</v>
      </c>
      <c r="B435" s="22" t="s">
        <v>16667</v>
      </c>
      <c r="C435" s="3">
        <v>4.34</v>
      </c>
      <c r="D435" s="23">
        <v>11.83</v>
      </c>
      <c r="E435" s="3">
        <v>11.83</v>
      </c>
      <c r="F435" s="2" t="s">
        <v>16668</v>
      </c>
      <c r="G435" s="22" t="s">
        <v>19635</v>
      </c>
      <c r="H435" s="24" t="s">
        <v>20159</v>
      </c>
      <c r="I435" s="22" t="s">
        <v>19309</v>
      </c>
      <c r="J435" s="22" t="s">
        <v>19708</v>
      </c>
      <c r="K435" s="22" t="s">
        <v>19709</v>
      </c>
      <c r="L435" s="22"/>
      <c r="M435" s="22"/>
      <c r="N435" s="25" t="str">
        <f>HYPERLINK("http://slimages.macys.com/is/image/MCY/22296936 ")</f>
        <v xml:space="preserve">http://slimages.macys.com/is/image/MCY/22296936 </v>
      </c>
    </row>
    <row r="436" spans="1:14" x14ac:dyDescent="0.25">
      <c r="A436" s="21" t="s">
        <v>16669</v>
      </c>
      <c r="B436" s="22" t="s">
        <v>16670</v>
      </c>
      <c r="C436" s="3">
        <v>4.32</v>
      </c>
      <c r="D436" s="23">
        <v>13.99</v>
      </c>
      <c r="E436" s="3">
        <v>13.99</v>
      </c>
      <c r="F436" s="2" t="s">
        <v>16671</v>
      </c>
      <c r="G436" s="22" t="s">
        <v>19431</v>
      </c>
      <c r="H436" s="24" t="s">
        <v>19352</v>
      </c>
      <c r="I436" s="22" t="s">
        <v>19309</v>
      </c>
      <c r="J436" s="22" t="s">
        <v>19849</v>
      </c>
      <c r="K436" s="22" t="s">
        <v>19850</v>
      </c>
      <c r="L436" s="22"/>
      <c r="M436" s="22"/>
      <c r="N436" s="25" t="str">
        <f>HYPERLINK("http://slimages.macys.com/is/image/MCY/21270419 ")</f>
        <v xml:space="preserve">http://slimages.macys.com/is/image/MCY/21270419 </v>
      </c>
    </row>
    <row r="437" spans="1:14" x14ac:dyDescent="0.25">
      <c r="A437" s="21" t="s">
        <v>16672</v>
      </c>
      <c r="B437" s="22" t="s">
        <v>16673</v>
      </c>
      <c r="C437" s="3">
        <v>4.32</v>
      </c>
      <c r="D437" s="23">
        <v>13.99</v>
      </c>
      <c r="E437" s="3">
        <v>13.99</v>
      </c>
      <c r="F437" s="2" t="s">
        <v>16674</v>
      </c>
      <c r="G437" s="22" t="s">
        <v>19670</v>
      </c>
      <c r="H437" s="24" t="s">
        <v>19339</v>
      </c>
      <c r="I437" s="22" t="s">
        <v>19309</v>
      </c>
      <c r="J437" s="22" t="s">
        <v>19849</v>
      </c>
      <c r="K437" s="22" t="s">
        <v>19850</v>
      </c>
      <c r="L437" s="22"/>
      <c r="M437" s="22"/>
      <c r="N437" s="25" t="str">
        <f>HYPERLINK("http://slimages.macys.com/is/image/MCY/21270406 ")</f>
        <v xml:space="preserve">http://slimages.macys.com/is/image/MCY/21270406 </v>
      </c>
    </row>
    <row r="438" spans="1:14" ht="24.75" x14ac:dyDescent="0.25">
      <c r="A438" s="21" t="s">
        <v>16675</v>
      </c>
      <c r="B438" s="22" t="s">
        <v>16676</v>
      </c>
      <c r="C438" s="3">
        <v>4.32</v>
      </c>
      <c r="D438" s="23">
        <v>12.99</v>
      </c>
      <c r="E438" s="3">
        <v>12.99</v>
      </c>
      <c r="F438" s="2" t="s">
        <v>16677</v>
      </c>
      <c r="G438" s="22"/>
      <c r="H438" s="24" t="s">
        <v>17505</v>
      </c>
      <c r="I438" s="22" t="s">
        <v>19309</v>
      </c>
      <c r="J438" s="22" t="s">
        <v>16678</v>
      </c>
      <c r="K438" s="22" t="s">
        <v>16679</v>
      </c>
      <c r="L438" s="22"/>
      <c r="M438" s="22"/>
      <c r="N438" s="25" t="str">
        <f>HYPERLINK("http://slimages.macys.com/is/image/MCY/20138287 ")</f>
        <v xml:space="preserve">http://slimages.macys.com/is/image/MCY/20138287 </v>
      </c>
    </row>
    <row r="439" spans="1:14" ht="24.75" x14ac:dyDescent="0.25">
      <c r="A439" s="21" t="s">
        <v>16680</v>
      </c>
      <c r="B439" s="22" t="s">
        <v>16681</v>
      </c>
      <c r="C439" s="3">
        <v>8.64</v>
      </c>
      <c r="D439" s="23">
        <v>12.99</v>
      </c>
      <c r="E439" s="3">
        <v>25.98</v>
      </c>
      <c r="F439" s="2" t="s">
        <v>16682</v>
      </c>
      <c r="G439" s="22"/>
      <c r="H439" s="24" t="s">
        <v>17505</v>
      </c>
      <c r="I439" s="22" t="s">
        <v>19309</v>
      </c>
      <c r="J439" s="22" t="s">
        <v>16678</v>
      </c>
      <c r="K439" s="22" t="s">
        <v>16679</v>
      </c>
      <c r="L439" s="22"/>
      <c r="M439" s="22"/>
      <c r="N439" s="25" t="str">
        <f>HYPERLINK("http://slimages.macys.com/is/image/MCY/20138290 ")</f>
        <v xml:space="preserve">http://slimages.macys.com/is/image/MCY/20138290 </v>
      </c>
    </row>
    <row r="440" spans="1:14" x14ac:dyDescent="0.25">
      <c r="A440" s="21" t="s">
        <v>16683</v>
      </c>
      <c r="B440" s="22" t="s">
        <v>16684</v>
      </c>
      <c r="C440" s="3">
        <v>4.3</v>
      </c>
      <c r="D440" s="23">
        <v>11.99</v>
      </c>
      <c r="E440" s="3">
        <v>11.99</v>
      </c>
      <c r="F440" s="2" t="s">
        <v>16685</v>
      </c>
      <c r="G440" s="22" t="s">
        <v>19431</v>
      </c>
      <c r="H440" s="24" t="s">
        <v>19339</v>
      </c>
      <c r="I440" s="22" t="s">
        <v>19309</v>
      </c>
      <c r="J440" s="22" t="s">
        <v>19849</v>
      </c>
      <c r="K440" s="22" t="s">
        <v>19850</v>
      </c>
      <c r="L440" s="22"/>
      <c r="M440" s="22"/>
      <c r="N440" s="25" t="str">
        <f>HYPERLINK("http://slimages.macys.com/is/image/MCY/20752022 ")</f>
        <v xml:space="preserve">http://slimages.macys.com/is/image/MCY/20752022 </v>
      </c>
    </row>
    <row r="441" spans="1:14" ht="24.75" x14ac:dyDescent="0.25">
      <c r="A441" s="21" t="s">
        <v>16686</v>
      </c>
      <c r="B441" s="22" t="s">
        <v>16687</v>
      </c>
      <c r="C441" s="3">
        <v>4.3</v>
      </c>
      <c r="D441" s="23">
        <v>13.99</v>
      </c>
      <c r="E441" s="3">
        <v>13.99</v>
      </c>
      <c r="F441" s="2" t="s">
        <v>16688</v>
      </c>
      <c r="G441" s="22" t="s">
        <v>19518</v>
      </c>
      <c r="H441" s="24" t="s">
        <v>19384</v>
      </c>
      <c r="I441" s="22" t="s">
        <v>19309</v>
      </c>
      <c r="J441" s="22" t="s">
        <v>19573</v>
      </c>
      <c r="K441" s="22" t="s">
        <v>19574</v>
      </c>
      <c r="L441" s="22"/>
      <c r="M441" s="22"/>
      <c r="N441" s="25" t="str">
        <f>HYPERLINK("http://slimages.macys.com/is/image/MCY/21361108 ")</f>
        <v xml:space="preserve">http://slimages.macys.com/is/image/MCY/21361108 </v>
      </c>
    </row>
    <row r="442" spans="1:14" ht="24.75" x14ac:dyDescent="0.25">
      <c r="A442" s="21" t="s">
        <v>16689</v>
      </c>
      <c r="B442" s="22" t="s">
        <v>16690</v>
      </c>
      <c r="C442" s="3">
        <v>4.26</v>
      </c>
      <c r="D442" s="23">
        <v>7.99</v>
      </c>
      <c r="E442" s="3">
        <v>7.99</v>
      </c>
      <c r="F442" s="2" t="s">
        <v>18723</v>
      </c>
      <c r="G442" s="22" t="s">
        <v>19467</v>
      </c>
      <c r="H442" s="24" t="s">
        <v>19542</v>
      </c>
      <c r="I442" s="22" t="s">
        <v>19309</v>
      </c>
      <c r="J442" s="22" t="s">
        <v>19447</v>
      </c>
      <c r="K442" s="22" t="s">
        <v>20146</v>
      </c>
      <c r="L442" s="22"/>
      <c r="M442" s="22"/>
      <c r="N442" s="25" t="str">
        <f>HYPERLINK("http://slimages.macys.com/is/image/MCY/21008517 ")</f>
        <v xml:space="preserve">http://slimages.macys.com/is/image/MCY/21008517 </v>
      </c>
    </row>
    <row r="443" spans="1:14" ht="24.75" x14ac:dyDescent="0.25">
      <c r="A443" s="21" t="s">
        <v>16691</v>
      </c>
      <c r="B443" s="22" t="s">
        <v>16692</v>
      </c>
      <c r="C443" s="3">
        <v>4.26</v>
      </c>
      <c r="D443" s="23">
        <v>10.99</v>
      </c>
      <c r="E443" s="3">
        <v>10.99</v>
      </c>
      <c r="F443" s="2" t="s">
        <v>16693</v>
      </c>
      <c r="G443" s="22" t="s">
        <v>19351</v>
      </c>
      <c r="H443" s="24" t="s">
        <v>19364</v>
      </c>
      <c r="I443" s="22" t="s">
        <v>19309</v>
      </c>
      <c r="J443" s="22" t="s">
        <v>19353</v>
      </c>
      <c r="K443" s="22" t="s">
        <v>19524</v>
      </c>
      <c r="L443" s="22"/>
      <c r="M443" s="22"/>
      <c r="N443" s="25" t="str">
        <f>HYPERLINK("http://slimages.macys.com/is/image/MCY/851426 ")</f>
        <v xml:space="preserve">http://slimages.macys.com/is/image/MCY/851426 </v>
      </c>
    </row>
    <row r="444" spans="1:14" ht="24.75" x14ac:dyDescent="0.25">
      <c r="A444" s="21" t="s">
        <v>16694</v>
      </c>
      <c r="B444" s="22" t="s">
        <v>16695</v>
      </c>
      <c r="C444" s="3">
        <v>4.26</v>
      </c>
      <c r="D444" s="23">
        <v>7.99</v>
      </c>
      <c r="E444" s="3">
        <v>7.99</v>
      </c>
      <c r="F444" s="2" t="s">
        <v>16696</v>
      </c>
      <c r="G444" s="22" t="s">
        <v>20145</v>
      </c>
      <c r="H444" s="24" t="s">
        <v>19361</v>
      </c>
      <c r="I444" s="22" t="s">
        <v>19309</v>
      </c>
      <c r="J444" s="22" t="s">
        <v>19310</v>
      </c>
      <c r="K444" s="22" t="s">
        <v>19468</v>
      </c>
      <c r="L444" s="22"/>
      <c r="M444" s="22"/>
      <c r="N444" s="25" t="str">
        <f>HYPERLINK("http://slimages.macys.com/is/image/MCY/21616111 ")</f>
        <v xml:space="preserve">http://slimages.macys.com/is/image/MCY/21616111 </v>
      </c>
    </row>
    <row r="445" spans="1:14" x14ac:dyDescent="0.25">
      <c r="A445" s="21" t="s">
        <v>16697</v>
      </c>
      <c r="B445" s="22" t="s">
        <v>16698</v>
      </c>
      <c r="C445" s="3">
        <v>4.25</v>
      </c>
      <c r="D445" s="23">
        <v>24</v>
      </c>
      <c r="E445" s="3">
        <v>24</v>
      </c>
      <c r="F445" s="2" t="s">
        <v>16699</v>
      </c>
      <c r="G445" s="22" t="s">
        <v>19422</v>
      </c>
      <c r="H445" s="24"/>
      <c r="I445" s="22" t="s">
        <v>19309</v>
      </c>
      <c r="J445" s="22" t="s">
        <v>19417</v>
      </c>
      <c r="K445" s="22" t="s">
        <v>18317</v>
      </c>
      <c r="L445" s="22"/>
      <c r="M445" s="22"/>
      <c r="N445" s="25" t="str">
        <f>HYPERLINK("http://slimages.macys.com/is/image/MCY/21614878 ")</f>
        <v xml:space="preserve">http://slimages.macys.com/is/image/MCY/21614878 </v>
      </c>
    </row>
    <row r="446" spans="1:14" ht="24.75" x14ac:dyDescent="0.25">
      <c r="A446" s="21" t="s">
        <v>16700</v>
      </c>
      <c r="B446" s="22" t="s">
        <v>16701</v>
      </c>
      <c r="C446" s="3">
        <v>4.24</v>
      </c>
      <c r="D446" s="23">
        <v>10.99</v>
      </c>
      <c r="E446" s="3">
        <v>10.99</v>
      </c>
      <c r="F446" s="2" t="s">
        <v>16702</v>
      </c>
      <c r="G446" s="22" t="s">
        <v>19674</v>
      </c>
      <c r="H446" s="24" t="s">
        <v>19538</v>
      </c>
      <c r="I446" s="22" t="s">
        <v>19309</v>
      </c>
      <c r="J446" s="22" t="s">
        <v>19573</v>
      </c>
      <c r="K446" s="22" t="s">
        <v>19574</v>
      </c>
      <c r="L446" s="22"/>
      <c r="M446" s="22"/>
      <c r="N446" s="25" t="str">
        <f>HYPERLINK("http://slimages.macys.com/is/image/MCY/20386168 ")</f>
        <v xml:space="preserve">http://slimages.macys.com/is/image/MCY/20386168 </v>
      </c>
    </row>
    <row r="447" spans="1:14" ht="24.75" x14ac:dyDescent="0.25">
      <c r="A447" s="21" t="s">
        <v>16703</v>
      </c>
      <c r="B447" s="22" t="s">
        <v>16704</v>
      </c>
      <c r="C447" s="3">
        <v>4.2300000000000004</v>
      </c>
      <c r="D447" s="23">
        <v>13.99</v>
      </c>
      <c r="E447" s="3">
        <v>13.99</v>
      </c>
      <c r="F447" s="2" t="s">
        <v>18729</v>
      </c>
      <c r="G447" s="22" t="s">
        <v>19415</v>
      </c>
      <c r="H447" s="24" t="s">
        <v>19330</v>
      </c>
      <c r="I447" s="22" t="s">
        <v>19309</v>
      </c>
      <c r="J447" s="22" t="s">
        <v>19573</v>
      </c>
      <c r="K447" s="22" t="s">
        <v>19574</v>
      </c>
      <c r="L447" s="22"/>
      <c r="M447" s="22"/>
      <c r="N447" s="25" t="str">
        <f>HYPERLINK("http://slimages.macys.com/is/image/MCY/1956290 ")</f>
        <v xml:space="preserve">http://slimages.macys.com/is/image/MCY/1956290 </v>
      </c>
    </row>
    <row r="448" spans="1:14" ht="24.75" x14ac:dyDescent="0.25">
      <c r="A448" s="21" t="s">
        <v>16705</v>
      </c>
      <c r="B448" s="22" t="s">
        <v>16706</v>
      </c>
      <c r="C448" s="3">
        <v>4.2300000000000004</v>
      </c>
      <c r="D448" s="23">
        <v>13.99</v>
      </c>
      <c r="E448" s="3">
        <v>13.99</v>
      </c>
      <c r="F448" s="2" t="s">
        <v>18729</v>
      </c>
      <c r="G448" s="22" t="s">
        <v>19415</v>
      </c>
      <c r="H448" s="24"/>
      <c r="I448" s="22" t="s">
        <v>19309</v>
      </c>
      <c r="J448" s="22" t="s">
        <v>19573</v>
      </c>
      <c r="K448" s="22" t="s">
        <v>19574</v>
      </c>
      <c r="L448" s="22"/>
      <c r="M448" s="22"/>
      <c r="N448" s="25" t="str">
        <f>HYPERLINK("http://slimages.macys.com/is/image/MCY/1956290 ")</f>
        <v xml:space="preserve">http://slimages.macys.com/is/image/MCY/1956290 </v>
      </c>
    </row>
    <row r="449" spans="1:14" ht="24.75" x14ac:dyDescent="0.25">
      <c r="A449" s="21" t="s">
        <v>16707</v>
      </c>
      <c r="B449" s="22" t="s">
        <v>16708</v>
      </c>
      <c r="C449" s="3">
        <v>8.42</v>
      </c>
      <c r="D449" s="23">
        <v>10.99</v>
      </c>
      <c r="E449" s="3">
        <v>21.98</v>
      </c>
      <c r="F449" s="2" t="s">
        <v>16709</v>
      </c>
      <c r="G449" s="22" t="s">
        <v>19431</v>
      </c>
      <c r="H449" s="24" t="s">
        <v>19797</v>
      </c>
      <c r="I449" s="22" t="s">
        <v>19309</v>
      </c>
      <c r="J449" s="22" t="s">
        <v>19353</v>
      </c>
      <c r="K449" s="22" t="s">
        <v>19524</v>
      </c>
      <c r="L449" s="22"/>
      <c r="M449" s="22"/>
      <c r="N449" s="25" t="str">
        <f>HYPERLINK("http://slimages.macys.com/is/image/MCY/1472533 ")</f>
        <v xml:space="preserve">http://slimages.macys.com/is/image/MCY/1472533 </v>
      </c>
    </row>
    <row r="450" spans="1:14" ht="24.75" x14ac:dyDescent="0.25">
      <c r="A450" s="21" t="s">
        <v>16710</v>
      </c>
      <c r="B450" s="22" t="s">
        <v>16711</v>
      </c>
      <c r="C450" s="3">
        <v>4.21</v>
      </c>
      <c r="D450" s="23">
        <v>10.99</v>
      </c>
      <c r="E450" s="3">
        <v>10.99</v>
      </c>
      <c r="F450" s="2" t="s">
        <v>18732</v>
      </c>
      <c r="G450" s="22" t="s">
        <v>18439</v>
      </c>
      <c r="H450" s="24" t="s">
        <v>19339</v>
      </c>
      <c r="I450" s="22" t="s">
        <v>19309</v>
      </c>
      <c r="J450" s="22" t="s">
        <v>19353</v>
      </c>
      <c r="K450" s="22" t="s">
        <v>19524</v>
      </c>
      <c r="L450" s="22"/>
      <c r="M450" s="22"/>
      <c r="N450" s="25" t="str">
        <f>HYPERLINK("http://slimages.macys.com/is/image/MCY/1472546 ")</f>
        <v xml:space="preserve">http://slimages.macys.com/is/image/MCY/1472546 </v>
      </c>
    </row>
    <row r="451" spans="1:14" ht="24.75" x14ac:dyDescent="0.25">
      <c r="A451" s="21" t="s">
        <v>16712</v>
      </c>
      <c r="B451" s="22" t="s">
        <v>16713</v>
      </c>
      <c r="C451" s="3">
        <v>4.21</v>
      </c>
      <c r="D451" s="23">
        <v>10.99</v>
      </c>
      <c r="E451" s="3">
        <v>10.99</v>
      </c>
      <c r="F451" s="2" t="s">
        <v>18738</v>
      </c>
      <c r="G451" s="22" t="s">
        <v>19462</v>
      </c>
      <c r="H451" s="24" t="s">
        <v>19364</v>
      </c>
      <c r="I451" s="22" t="s">
        <v>19309</v>
      </c>
      <c r="J451" s="22" t="s">
        <v>19353</v>
      </c>
      <c r="K451" s="22" t="s">
        <v>19524</v>
      </c>
      <c r="L451" s="22"/>
      <c r="M451" s="22"/>
      <c r="N451" s="25" t="str">
        <f>HYPERLINK("http://slimages.macys.com/is/image/MCY/1472528 ")</f>
        <v xml:space="preserve">http://slimages.macys.com/is/image/MCY/1472528 </v>
      </c>
    </row>
    <row r="452" spans="1:14" ht="24.75" x14ac:dyDescent="0.25">
      <c r="A452" s="21" t="s">
        <v>16714</v>
      </c>
      <c r="B452" s="22" t="s">
        <v>16715</v>
      </c>
      <c r="C452" s="3">
        <v>4.21</v>
      </c>
      <c r="D452" s="23">
        <v>9.99</v>
      </c>
      <c r="E452" s="3">
        <v>9.99</v>
      </c>
      <c r="F452" s="2" t="s">
        <v>16716</v>
      </c>
      <c r="G452" s="22" t="s">
        <v>19422</v>
      </c>
      <c r="H452" s="24" t="s">
        <v>19377</v>
      </c>
      <c r="I452" s="22" t="s">
        <v>19309</v>
      </c>
      <c r="J452" s="22" t="s">
        <v>19908</v>
      </c>
      <c r="K452" s="22" t="s">
        <v>19524</v>
      </c>
      <c r="L452" s="22"/>
      <c r="M452" s="22"/>
      <c r="N452" s="25" t="str">
        <f>HYPERLINK("http://slimages.macys.com/is/image/MCY/21727207 ")</f>
        <v xml:space="preserve">http://slimages.macys.com/is/image/MCY/21727207 </v>
      </c>
    </row>
    <row r="453" spans="1:14" ht="24.75" x14ac:dyDescent="0.25">
      <c r="A453" s="21" t="s">
        <v>16717</v>
      </c>
      <c r="B453" s="22" t="s">
        <v>16718</v>
      </c>
      <c r="C453" s="3">
        <v>4.21</v>
      </c>
      <c r="D453" s="23">
        <v>9.99</v>
      </c>
      <c r="E453" s="3">
        <v>9.99</v>
      </c>
      <c r="F453" s="2" t="s">
        <v>16716</v>
      </c>
      <c r="G453" s="22" t="s">
        <v>19431</v>
      </c>
      <c r="H453" s="24" t="s">
        <v>20135</v>
      </c>
      <c r="I453" s="22" t="s">
        <v>19309</v>
      </c>
      <c r="J453" s="22" t="s">
        <v>19908</v>
      </c>
      <c r="K453" s="22" t="s">
        <v>19524</v>
      </c>
      <c r="L453" s="22"/>
      <c r="M453" s="22"/>
      <c r="N453" s="25" t="str">
        <f>HYPERLINK("http://slimages.macys.com/is/image/MCY/21727207 ")</f>
        <v xml:space="preserve">http://slimages.macys.com/is/image/MCY/21727207 </v>
      </c>
    </row>
    <row r="454" spans="1:14" ht="24.75" x14ac:dyDescent="0.25">
      <c r="A454" s="21" t="s">
        <v>16719</v>
      </c>
      <c r="B454" s="22" t="s">
        <v>16720</v>
      </c>
      <c r="C454" s="3">
        <v>4.21</v>
      </c>
      <c r="D454" s="23">
        <v>9.99</v>
      </c>
      <c r="E454" s="3">
        <v>9.99</v>
      </c>
      <c r="F454" s="2" t="s">
        <v>16716</v>
      </c>
      <c r="G454" s="22" t="s">
        <v>19431</v>
      </c>
      <c r="H454" s="24" t="s">
        <v>19542</v>
      </c>
      <c r="I454" s="22" t="s">
        <v>19309</v>
      </c>
      <c r="J454" s="22" t="s">
        <v>19908</v>
      </c>
      <c r="K454" s="22" t="s">
        <v>19524</v>
      </c>
      <c r="L454" s="22"/>
      <c r="M454" s="22"/>
      <c r="N454" s="25" t="str">
        <f>HYPERLINK("http://slimages.macys.com/is/image/MCY/21727207 ")</f>
        <v xml:space="preserve">http://slimages.macys.com/is/image/MCY/21727207 </v>
      </c>
    </row>
    <row r="455" spans="1:14" ht="24.75" x14ac:dyDescent="0.25">
      <c r="A455" s="21" t="s">
        <v>18733</v>
      </c>
      <c r="B455" s="22" t="s">
        <v>18734</v>
      </c>
      <c r="C455" s="3">
        <v>4.21</v>
      </c>
      <c r="D455" s="23">
        <v>9.99</v>
      </c>
      <c r="E455" s="3">
        <v>9.99</v>
      </c>
      <c r="F455" s="2" t="s">
        <v>18735</v>
      </c>
      <c r="G455" s="22" t="s">
        <v>19431</v>
      </c>
      <c r="H455" s="24" t="s">
        <v>19364</v>
      </c>
      <c r="I455" s="22" t="s">
        <v>19309</v>
      </c>
      <c r="J455" s="22" t="s">
        <v>19815</v>
      </c>
      <c r="K455" s="22" t="s">
        <v>19816</v>
      </c>
      <c r="L455" s="22"/>
      <c r="M455" s="22"/>
      <c r="N455" s="25" t="str">
        <f>HYPERLINK("http://slimages.macys.com/is/image/MCY/1968633 ")</f>
        <v xml:space="preserve">http://slimages.macys.com/is/image/MCY/1968633 </v>
      </c>
    </row>
    <row r="456" spans="1:14" ht="24.75" x14ac:dyDescent="0.25">
      <c r="A456" s="21" t="s">
        <v>16721</v>
      </c>
      <c r="B456" s="22" t="s">
        <v>16722</v>
      </c>
      <c r="C456" s="3">
        <v>4.21</v>
      </c>
      <c r="D456" s="23">
        <v>9.99</v>
      </c>
      <c r="E456" s="3">
        <v>9.99</v>
      </c>
      <c r="F456" s="2" t="s">
        <v>16716</v>
      </c>
      <c r="G456" s="22" t="s">
        <v>19357</v>
      </c>
      <c r="H456" s="24" t="s">
        <v>19377</v>
      </c>
      <c r="I456" s="22" t="s">
        <v>19309</v>
      </c>
      <c r="J456" s="22" t="s">
        <v>19908</v>
      </c>
      <c r="K456" s="22" t="s">
        <v>19524</v>
      </c>
      <c r="L456" s="22"/>
      <c r="M456" s="22"/>
      <c r="N456" s="25" t="str">
        <f>HYPERLINK("http://slimages.macys.com/is/image/MCY/21727207 ")</f>
        <v xml:space="preserve">http://slimages.macys.com/is/image/MCY/21727207 </v>
      </c>
    </row>
    <row r="457" spans="1:14" ht="24.75" x14ac:dyDescent="0.25">
      <c r="A457" s="21" t="s">
        <v>16723</v>
      </c>
      <c r="B457" s="22" t="s">
        <v>16724</v>
      </c>
      <c r="C457" s="3">
        <v>4.21</v>
      </c>
      <c r="D457" s="23">
        <v>9.99</v>
      </c>
      <c r="E457" s="3">
        <v>9.99</v>
      </c>
      <c r="F457" s="2" t="s">
        <v>16716</v>
      </c>
      <c r="G457" s="22" t="s">
        <v>19357</v>
      </c>
      <c r="H457" s="24" t="s">
        <v>19907</v>
      </c>
      <c r="I457" s="22" t="s">
        <v>19309</v>
      </c>
      <c r="J457" s="22" t="s">
        <v>19908</v>
      </c>
      <c r="K457" s="22" t="s">
        <v>19524</v>
      </c>
      <c r="L457" s="22"/>
      <c r="M457" s="22"/>
      <c r="N457" s="25" t="str">
        <f>HYPERLINK("http://slimages.macys.com/is/image/MCY/21727207 ")</f>
        <v xml:space="preserve">http://slimages.macys.com/is/image/MCY/21727207 </v>
      </c>
    </row>
    <row r="458" spans="1:14" ht="24.75" x14ac:dyDescent="0.25">
      <c r="A458" s="21" t="s">
        <v>18730</v>
      </c>
      <c r="B458" s="22" t="s">
        <v>18731</v>
      </c>
      <c r="C458" s="3">
        <v>4.21</v>
      </c>
      <c r="D458" s="23">
        <v>10.99</v>
      </c>
      <c r="E458" s="3">
        <v>10.99</v>
      </c>
      <c r="F458" s="2" t="s">
        <v>18732</v>
      </c>
      <c r="G458" s="22" t="s">
        <v>18439</v>
      </c>
      <c r="H458" s="24" t="s">
        <v>19352</v>
      </c>
      <c r="I458" s="22" t="s">
        <v>19309</v>
      </c>
      <c r="J458" s="22" t="s">
        <v>19353</v>
      </c>
      <c r="K458" s="22" t="s">
        <v>19524</v>
      </c>
      <c r="L458" s="22"/>
      <c r="M458" s="22"/>
      <c r="N458" s="25" t="str">
        <f>HYPERLINK("http://slimages.macys.com/is/image/MCY/1472546 ")</f>
        <v xml:space="preserve">http://slimages.macys.com/is/image/MCY/1472546 </v>
      </c>
    </row>
    <row r="459" spans="1:14" ht="24.75" x14ac:dyDescent="0.25">
      <c r="A459" s="21" t="s">
        <v>16725</v>
      </c>
      <c r="B459" s="22" t="s">
        <v>16726</v>
      </c>
      <c r="C459" s="3">
        <v>4.21</v>
      </c>
      <c r="D459" s="23">
        <v>10.99</v>
      </c>
      <c r="E459" s="3">
        <v>10.99</v>
      </c>
      <c r="F459" s="2" t="s">
        <v>18738</v>
      </c>
      <c r="G459" s="22" t="s">
        <v>19462</v>
      </c>
      <c r="H459" s="24" t="s">
        <v>19339</v>
      </c>
      <c r="I459" s="22" t="s">
        <v>19309</v>
      </c>
      <c r="J459" s="22" t="s">
        <v>19353</v>
      </c>
      <c r="K459" s="22" t="s">
        <v>19524</v>
      </c>
      <c r="L459" s="22"/>
      <c r="M459" s="22"/>
      <c r="N459" s="25" t="str">
        <f>HYPERLINK("http://slimages.macys.com/is/image/MCY/1472546 ")</f>
        <v xml:space="preserve">http://slimages.macys.com/is/image/MCY/1472546 </v>
      </c>
    </row>
    <row r="460" spans="1:14" ht="24.75" x14ac:dyDescent="0.25">
      <c r="A460" s="21" t="s">
        <v>16727</v>
      </c>
      <c r="B460" s="22" t="s">
        <v>16728</v>
      </c>
      <c r="C460" s="3">
        <v>4.21</v>
      </c>
      <c r="D460" s="23">
        <v>10.99</v>
      </c>
      <c r="E460" s="3">
        <v>10.99</v>
      </c>
      <c r="F460" s="2" t="s">
        <v>16709</v>
      </c>
      <c r="G460" s="22" t="s">
        <v>19431</v>
      </c>
      <c r="H460" s="24" t="s">
        <v>19339</v>
      </c>
      <c r="I460" s="22" t="s">
        <v>19309</v>
      </c>
      <c r="J460" s="22" t="s">
        <v>19353</v>
      </c>
      <c r="K460" s="22" t="s">
        <v>19524</v>
      </c>
      <c r="L460" s="22"/>
      <c r="M460" s="22"/>
      <c r="N460" s="25" t="str">
        <f>HYPERLINK("http://slimages.macys.com/is/image/MCY/1472528 ")</f>
        <v xml:space="preserve">http://slimages.macys.com/is/image/MCY/1472528 </v>
      </c>
    </row>
    <row r="461" spans="1:14" ht="24.75" x14ac:dyDescent="0.25">
      <c r="A461" s="21" t="s">
        <v>16729</v>
      </c>
      <c r="B461" s="22" t="s">
        <v>16730</v>
      </c>
      <c r="C461" s="3">
        <v>4.21</v>
      </c>
      <c r="D461" s="23">
        <v>10.99</v>
      </c>
      <c r="E461" s="3">
        <v>10.99</v>
      </c>
      <c r="F461" s="2" t="s">
        <v>16709</v>
      </c>
      <c r="G461" s="22" t="s">
        <v>19431</v>
      </c>
      <c r="H461" s="24" t="s">
        <v>19352</v>
      </c>
      <c r="I461" s="22" t="s">
        <v>19309</v>
      </c>
      <c r="J461" s="22" t="s">
        <v>19353</v>
      </c>
      <c r="K461" s="22" t="s">
        <v>19524</v>
      </c>
      <c r="L461" s="22"/>
      <c r="M461" s="22"/>
      <c r="N461" s="25" t="str">
        <f>HYPERLINK("http://slimages.macys.com/is/image/MCY/1472528 ")</f>
        <v xml:space="preserve">http://slimages.macys.com/is/image/MCY/1472528 </v>
      </c>
    </row>
    <row r="462" spans="1:14" ht="24.75" x14ac:dyDescent="0.25">
      <c r="A462" s="21" t="s">
        <v>16731</v>
      </c>
      <c r="B462" s="22" t="s">
        <v>16732</v>
      </c>
      <c r="C462" s="3">
        <v>4.21</v>
      </c>
      <c r="D462" s="23">
        <v>9.99</v>
      </c>
      <c r="E462" s="3">
        <v>9.99</v>
      </c>
      <c r="F462" s="2" t="s">
        <v>16716</v>
      </c>
      <c r="G462" s="22" t="s">
        <v>19422</v>
      </c>
      <c r="H462" s="24" t="s">
        <v>19907</v>
      </c>
      <c r="I462" s="22" t="s">
        <v>19309</v>
      </c>
      <c r="J462" s="22" t="s">
        <v>19908</v>
      </c>
      <c r="K462" s="22" t="s">
        <v>19524</v>
      </c>
      <c r="L462" s="22"/>
      <c r="M462" s="22"/>
      <c r="N462" s="25" t="str">
        <f>HYPERLINK("http://slimages.macys.com/is/image/MCY/21727207 ")</f>
        <v xml:space="preserve">http://slimages.macys.com/is/image/MCY/21727207 </v>
      </c>
    </row>
    <row r="463" spans="1:14" x14ac:dyDescent="0.25">
      <c r="A463" s="21" t="s">
        <v>16733</v>
      </c>
      <c r="B463" s="22" t="s">
        <v>16734</v>
      </c>
      <c r="C463" s="3">
        <v>4.1900000000000004</v>
      </c>
      <c r="D463" s="23">
        <v>8.99</v>
      </c>
      <c r="E463" s="3">
        <v>8.99</v>
      </c>
      <c r="F463" s="2" t="s">
        <v>18841</v>
      </c>
      <c r="G463" s="22" t="s">
        <v>19431</v>
      </c>
      <c r="H463" s="24" t="s">
        <v>19352</v>
      </c>
      <c r="I463" s="22" t="s">
        <v>19309</v>
      </c>
      <c r="J463" s="22" t="s">
        <v>19849</v>
      </c>
      <c r="K463" s="22" t="s">
        <v>19850</v>
      </c>
      <c r="L463" s="22"/>
      <c r="M463" s="22"/>
      <c r="N463" s="25" t="str">
        <f>HYPERLINK("http://slimages.macys.com/is/image/MCY/19965819 ")</f>
        <v xml:space="preserve">http://slimages.macys.com/is/image/MCY/19965819 </v>
      </c>
    </row>
    <row r="464" spans="1:14" x14ac:dyDescent="0.25">
      <c r="A464" s="21" t="s">
        <v>16735</v>
      </c>
      <c r="B464" s="22" t="s">
        <v>16736</v>
      </c>
      <c r="C464" s="3">
        <v>4.1900000000000004</v>
      </c>
      <c r="D464" s="23">
        <v>8.99</v>
      </c>
      <c r="E464" s="3">
        <v>8.99</v>
      </c>
      <c r="F464" s="2" t="s">
        <v>18841</v>
      </c>
      <c r="G464" s="22" t="s">
        <v>19431</v>
      </c>
      <c r="H464" s="24" t="s">
        <v>19797</v>
      </c>
      <c r="I464" s="22" t="s">
        <v>19309</v>
      </c>
      <c r="J464" s="22" t="s">
        <v>19849</v>
      </c>
      <c r="K464" s="22" t="s">
        <v>19850</v>
      </c>
      <c r="L464" s="22"/>
      <c r="M464" s="22"/>
      <c r="N464" s="25" t="str">
        <f>HYPERLINK("http://slimages.macys.com/is/image/MCY/22503910 ")</f>
        <v xml:space="preserve">http://slimages.macys.com/is/image/MCY/22503910 </v>
      </c>
    </row>
    <row r="465" spans="1:14" x14ac:dyDescent="0.25">
      <c r="A465" s="21" t="s">
        <v>16737</v>
      </c>
      <c r="B465" s="22" t="s">
        <v>16738</v>
      </c>
      <c r="C465" s="3">
        <v>4.18</v>
      </c>
      <c r="D465" s="23">
        <v>11.38</v>
      </c>
      <c r="E465" s="3">
        <v>11.38</v>
      </c>
      <c r="F465" s="2" t="s">
        <v>16739</v>
      </c>
      <c r="G465" s="22" t="s">
        <v>19594</v>
      </c>
      <c r="H465" s="24" t="s">
        <v>19416</v>
      </c>
      <c r="I465" s="22" t="s">
        <v>19309</v>
      </c>
      <c r="J465" s="22" t="s">
        <v>19708</v>
      </c>
      <c r="K465" s="22" t="s">
        <v>19709</v>
      </c>
      <c r="L465" s="22"/>
      <c r="M465" s="22"/>
      <c r="N465" s="25" t="str">
        <f>HYPERLINK("http://slimages.macys.com/is/image/MCY/21414308 ")</f>
        <v xml:space="preserve">http://slimages.macys.com/is/image/MCY/21414308 </v>
      </c>
    </row>
    <row r="466" spans="1:14" x14ac:dyDescent="0.25">
      <c r="A466" s="21" t="s">
        <v>16740</v>
      </c>
      <c r="B466" s="22" t="s">
        <v>16741</v>
      </c>
      <c r="C466" s="3">
        <v>4.18</v>
      </c>
      <c r="D466" s="23">
        <v>11.39</v>
      </c>
      <c r="E466" s="3">
        <v>11.39</v>
      </c>
      <c r="F466" s="2" t="s">
        <v>18743</v>
      </c>
      <c r="G466" s="22"/>
      <c r="H466" s="24" t="s">
        <v>19770</v>
      </c>
      <c r="I466" s="22" t="s">
        <v>19309</v>
      </c>
      <c r="J466" s="22" t="s">
        <v>19708</v>
      </c>
      <c r="K466" s="22" t="s">
        <v>19709</v>
      </c>
      <c r="L466" s="22"/>
      <c r="M466" s="22"/>
      <c r="N466" s="25" t="str">
        <f>HYPERLINK("http://slimages.macys.com/is/image/MCY/21726877 ")</f>
        <v xml:space="preserve">http://slimages.macys.com/is/image/MCY/21726877 </v>
      </c>
    </row>
    <row r="467" spans="1:14" x14ac:dyDescent="0.25">
      <c r="A467" s="21" t="s">
        <v>16742</v>
      </c>
      <c r="B467" s="22" t="s">
        <v>16743</v>
      </c>
      <c r="C467" s="3">
        <v>4.18</v>
      </c>
      <c r="D467" s="23">
        <v>11.38</v>
      </c>
      <c r="E467" s="3">
        <v>11.38</v>
      </c>
      <c r="F467" s="2" t="s">
        <v>18749</v>
      </c>
      <c r="G467" s="22"/>
      <c r="H467" s="24" t="s">
        <v>20152</v>
      </c>
      <c r="I467" s="22" t="s">
        <v>19309</v>
      </c>
      <c r="J467" s="22" t="s">
        <v>19708</v>
      </c>
      <c r="K467" s="22" t="s">
        <v>19709</v>
      </c>
      <c r="L467" s="22"/>
      <c r="M467" s="22"/>
      <c r="N467" s="25" t="str">
        <f>HYPERLINK("http://slimages.macys.com/is/image/MCY/21414119 ")</f>
        <v xml:space="preserve">http://slimages.macys.com/is/image/MCY/21414119 </v>
      </c>
    </row>
    <row r="468" spans="1:14" x14ac:dyDescent="0.25">
      <c r="A468" s="21" t="s">
        <v>16744</v>
      </c>
      <c r="B468" s="22" t="s">
        <v>16745</v>
      </c>
      <c r="C468" s="3">
        <v>4.18</v>
      </c>
      <c r="D468" s="23">
        <v>11.38</v>
      </c>
      <c r="E468" s="3">
        <v>11.38</v>
      </c>
      <c r="F468" s="2" t="s">
        <v>16739</v>
      </c>
      <c r="G468" s="22" t="s">
        <v>19594</v>
      </c>
      <c r="H468" s="24" t="s">
        <v>20159</v>
      </c>
      <c r="I468" s="22" t="s">
        <v>19309</v>
      </c>
      <c r="J468" s="22" t="s">
        <v>19708</v>
      </c>
      <c r="K468" s="22" t="s">
        <v>19709</v>
      </c>
      <c r="L468" s="22"/>
      <c r="M468" s="22"/>
      <c r="N468" s="25" t="str">
        <f>HYPERLINK("http://slimages.macys.com/is/image/MCY/21414308 ")</f>
        <v xml:space="preserve">http://slimages.macys.com/is/image/MCY/21414308 </v>
      </c>
    </row>
    <row r="469" spans="1:14" ht="24.75" x14ac:dyDescent="0.25">
      <c r="A469" s="21" t="s">
        <v>16746</v>
      </c>
      <c r="B469" s="22" t="s">
        <v>16747</v>
      </c>
      <c r="C469" s="3">
        <v>4.0999999999999996</v>
      </c>
      <c r="D469" s="23">
        <v>10.99</v>
      </c>
      <c r="E469" s="3">
        <v>10.99</v>
      </c>
      <c r="F469" s="2" t="s">
        <v>18770</v>
      </c>
      <c r="G469" s="22" t="s">
        <v>19323</v>
      </c>
      <c r="H469" s="24" t="s">
        <v>19797</v>
      </c>
      <c r="I469" s="22" t="s">
        <v>19309</v>
      </c>
      <c r="J469" s="22" t="s">
        <v>19353</v>
      </c>
      <c r="K469" s="22" t="s">
        <v>19524</v>
      </c>
      <c r="L469" s="22"/>
      <c r="M469" s="22"/>
      <c r="N469" s="25" t="str">
        <f>HYPERLINK("http://slimages.macys.com/is/image/MCY/20846572 ")</f>
        <v xml:space="preserve">http://slimages.macys.com/is/image/MCY/20846572 </v>
      </c>
    </row>
    <row r="470" spans="1:14" ht="24.75" x14ac:dyDescent="0.25">
      <c r="A470" s="21" t="s">
        <v>16748</v>
      </c>
      <c r="B470" s="22" t="s">
        <v>16749</v>
      </c>
      <c r="C470" s="3">
        <v>4.0999999999999996</v>
      </c>
      <c r="D470" s="23">
        <v>10.99</v>
      </c>
      <c r="E470" s="3">
        <v>10.99</v>
      </c>
      <c r="F470" s="2" t="s">
        <v>18767</v>
      </c>
      <c r="G470" s="22" t="s">
        <v>19467</v>
      </c>
      <c r="H470" s="24" t="s">
        <v>19339</v>
      </c>
      <c r="I470" s="22" t="s">
        <v>19309</v>
      </c>
      <c r="J470" s="22" t="s">
        <v>19353</v>
      </c>
      <c r="K470" s="22" t="s">
        <v>19524</v>
      </c>
      <c r="L470" s="22"/>
      <c r="M470" s="22"/>
      <c r="N470" s="25" t="str">
        <f>HYPERLINK("http://slimages.macys.com/is/image/MCY/1426558 ")</f>
        <v xml:space="preserve">http://slimages.macys.com/is/image/MCY/1426558 </v>
      </c>
    </row>
    <row r="471" spans="1:14" ht="24.75" x14ac:dyDescent="0.25">
      <c r="A471" s="21" t="s">
        <v>16750</v>
      </c>
      <c r="B471" s="22" t="s">
        <v>16751</v>
      </c>
      <c r="C471" s="3">
        <v>4.0999999999999996</v>
      </c>
      <c r="D471" s="23">
        <v>10.99</v>
      </c>
      <c r="E471" s="3">
        <v>10.99</v>
      </c>
      <c r="F471" s="2" t="s">
        <v>18770</v>
      </c>
      <c r="G471" s="22" t="s">
        <v>19323</v>
      </c>
      <c r="H471" s="24" t="s">
        <v>19364</v>
      </c>
      <c r="I471" s="22" t="s">
        <v>19309</v>
      </c>
      <c r="J471" s="22" t="s">
        <v>19353</v>
      </c>
      <c r="K471" s="22" t="s">
        <v>19524</v>
      </c>
      <c r="L471" s="22"/>
      <c r="M471" s="22"/>
      <c r="N471" s="25" t="str">
        <f>HYPERLINK("http://slimages.macys.com/is/image/MCY/20846572 ")</f>
        <v xml:space="preserve">http://slimages.macys.com/is/image/MCY/20846572 </v>
      </c>
    </row>
    <row r="472" spans="1:14" ht="24.75" x14ac:dyDescent="0.25">
      <c r="A472" s="21" t="s">
        <v>16752</v>
      </c>
      <c r="B472" s="22" t="s">
        <v>16753</v>
      </c>
      <c r="C472" s="3">
        <v>4.0999999999999996</v>
      </c>
      <c r="D472" s="23">
        <v>10.99</v>
      </c>
      <c r="E472" s="3">
        <v>10.99</v>
      </c>
      <c r="F472" s="2" t="s">
        <v>16754</v>
      </c>
      <c r="G472" s="22" t="s">
        <v>19814</v>
      </c>
      <c r="H472" s="24" t="s">
        <v>19364</v>
      </c>
      <c r="I472" s="22" t="s">
        <v>19309</v>
      </c>
      <c r="J472" s="22" t="s">
        <v>19353</v>
      </c>
      <c r="K472" s="22" t="s">
        <v>19524</v>
      </c>
      <c r="L472" s="22"/>
      <c r="M472" s="22"/>
      <c r="N472" s="25" t="str">
        <f>HYPERLINK("http://slimages.macys.com/is/image/MCY/21083357 ")</f>
        <v xml:space="preserve">http://slimages.macys.com/is/image/MCY/21083357 </v>
      </c>
    </row>
    <row r="473" spans="1:14" ht="24.75" x14ac:dyDescent="0.25">
      <c r="A473" s="21" t="s">
        <v>18771</v>
      </c>
      <c r="B473" s="22" t="s">
        <v>18772</v>
      </c>
      <c r="C473" s="3">
        <v>8.18</v>
      </c>
      <c r="D473" s="23">
        <v>9.99</v>
      </c>
      <c r="E473" s="3">
        <v>19.98</v>
      </c>
      <c r="F473" s="2" t="s">
        <v>18773</v>
      </c>
      <c r="G473" s="22" t="s">
        <v>19422</v>
      </c>
      <c r="H473" s="24" t="s">
        <v>19538</v>
      </c>
      <c r="I473" s="22" t="s">
        <v>19309</v>
      </c>
      <c r="J473" s="22" t="s">
        <v>19573</v>
      </c>
      <c r="K473" s="22" t="s">
        <v>19574</v>
      </c>
      <c r="L473" s="22"/>
      <c r="M473" s="22"/>
      <c r="N473" s="25" t="str">
        <f>HYPERLINK("http://slimages.macys.com/is/image/MCY/1322715 ")</f>
        <v xml:space="preserve">http://slimages.macys.com/is/image/MCY/1322715 </v>
      </c>
    </row>
    <row r="474" spans="1:14" ht="24.75" x14ac:dyDescent="0.25">
      <c r="A474" s="21" t="s">
        <v>18776</v>
      </c>
      <c r="B474" s="22" t="s">
        <v>18777</v>
      </c>
      <c r="C474" s="3">
        <v>4.09</v>
      </c>
      <c r="D474" s="23">
        <v>9.99</v>
      </c>
      <c r="E474" s="3">
        <v>9.99</v>
      </c>
      <c r="F474" s="2" t="s">
        <v>18773</v>
      </c>
      <c r="G474" s="22" t="s">
        <v>19422</v>
      </c>
      <c r="H474" s="24"/>
      <c r="I474" s="22" t="s">
        <v>19309</v>
      </c>
      <c r="J474" s="22" t="s">
        <v>19573</v>
      </c>
      <c r="K474" s="22" t="s">
        <v>19574</v>
      </c>
      <c r="L474" s="22"/>
      <c r="M474" s="22"/>
      <c r="N474" s="25" t="str">
        <f>HYPERLINK("http://slimages.macys.com/is/image/MCY/1322715 ")</f>
        <v xml:space="preserve">http://slimages.macys.com/is/image/MCY/1322715 </v>
      </c>
    </row>
    <row r="475" spans="1:14" ht="24.75" x14ac:dyDescent="0.25">
      <c r="A475" s="21" t="s">
        <v>18774</v>
      </c>
      <c r="B475" s="22" t="s">
        <v>18775</v>
      </c>
      <c r="C475" s="3">
        <v>4.09</v>
      </c>
      <c r="D475" s="23">
        <v>9.99</v>
      </c>
      <c r="E475" s="3">
        <v>9.99</v>
      </c>
      <c r="F475" s="2" t="s">
        <v>18773</v>
      </c>
      <c r="G475" s="22" t="s">
        <v>19422</v>
      </c>
      <c r="H475" s="24" t="s">
        <v>19770</v>
      </c>
      <c r="I475" s="22" t="s">
        <v>19309</v>
      </c>
      <c r="J475" s="22" t="s">
        <v>19573</v>
      </c>
      <c r="K475" s="22" t="s">
        <v>19574</v>
      </c>
      <c r="L475" s="22"/>
      <c r="M475" s="22"/>
      <c r="N475" s="25" t="str">
        <f>HYPERLINK("http://slimages.macys.com/is/image/MCY/1646328 ")</f>
        <v xml:space="preserve">http://slimages.macys.com/is/image/MCY/1646328 </v>
      </c>
    </row>
    <row r="476" spans="1:14" ht="24.75" x14ac:dyDescent="0.25">
      <c r="A476" s="21" t="s">
        <v>16755</v>
      </c>
      <c r="B476" s="22" t="s">
        <v>16756</v>
      </c>
      <c r="C476" s="3">
        <v>4.07</v>
      </c>
      <c r="D476" s="23">
        <v>7.25</v>
      </c>
      <c r="E476" s="3">
        <v>7.25</v>
      </c>
      <c r="F476" s="2" t="s">
        <v>16757</v>
      </c>
      <c r="G476" s="22" t="s">
        <v>19315</v>
      </c>
      <c r="H476" s="24" t="s">
        <v>19377</v>
      </c>
      <c r="I476" s="22" t="s">
        <v>19309</v>
      </c>
      <c r="J476" s="22" t="s">
        <v>19447</v>
      </c>
      <c r="K476" s="22" t="s">
        <v>20146</v>
      </c>
      <c r="L476" s="22"/>
      <c r="M476" s="22"/>
      <c r="N476" s="25" t="str">
        <f>HYPERLINK("http://slimages.macys.com/is/image/MCY/19513595 ")</f>
        <v xml:space="preserve">http://slimages.macys.com/is/image/MCY/19513595 </v>
      </c>
    </row>
    <row r="477" spans="1:14" x14ac:dyDescent="0.25">
      <c r="A477" s="21" t="s">
        <v>16758</v>
      </c>
      <c r="B477" s="22" t="s">
        <v>16759</v>
      </c>
      <c r="C477" s="3">
        <v>4.07</v>
      </c>
      <c r="D477" s="23">
        <v>8.99</v>
      </c>
      <c r="E477" s="3">
        <v>8.99</v>
      </c>
      <c r="F477" s="2" t="s">
        <v>16760</v>
      </c>
      <c r="G477" s="22" t="s">
        <v>19351</v>
      </c>
      <c r="H477" s="24" t="s">
        <v>19432</v>
      </c>
      <c r="I477" s="22" t="s">
        <v>19309</v>
      </c>
      <c r="J477" s="22" t="s">
        <v>19310</v>
      </c>
      <c r="K477" s="22" t="s">
        <v>19468</v>
      </c>
      <c r="L477" s="22"/>
      <c r="M477" s="22"/>
      <c r="N477" s="25" t="str">
        <f>HYPERLINK("http://slimages.macys.com/is/image/MCY/19944411 ")</f>
        <v xml:space="preserve">http://slimages.macys.com/is/image/MCY/19944411 </v>
      </c>
    </row>
    <row r="478" spans="1:14" ht="24.75" x14ac:dyDescent="0.25">
      <c r="A478" s="21" t="s">
        <v>16761</v>
      </c>
      <c r="B478" s="22" t="s">
        <v>16762</v>
      </c>
      <c r="C478" s="3">
        <v>4.07</v>
      </c>
      <c r="D478" s="23">
        <v>10.99</v>
      </c>
      <c r="E478" s="3">
        <v>10.99</v>
      </c>
      <c r="F478" s="2" t="s">
        <v>18782</v>
      </c>
      <c r="G478" s="22" t="s">
        <v>19670</v>
      </c>
      <c r="H478" s="24"/>
      <c r="I478" s="22" t="s">
        <v>19309</v>
      </c>
      <c r="J478" s="22" t="s">
        <v>19573</v>
      </c>
      <c r="K478" s="22" t="s">
        <v>19574</v>
      </c>
      <c r="L478" s="22"/>
      <c r="M478" s="22"/>
      <c r="N478" s="25" t="str">
        <f>HYPERLINK("http://slimages.macys.com/is/image/MCY/20757762 ")</f>
        <v xml:space="preserve">http://slimages.macys.com/is/image/MCY/20757762 </v>
      </c>
    </row>
    <row r="479" spans="1:14" ht="24.75" x14ac:dyDescent="0.25">
      <c r="A479" s="21" t="s">
        <v>16763</v>
      </c>
      <c r="B479" s="22" t="s">
        <v>16764</v>
      </c>
      <c r="C479" s="3">
        <v>4.05</v>
      </c>
      <c r="D479" s="23">
        <v>10.99</v>
      </c>
      <c r="E479" s="3">
        <v>10.99</v>
      </c>
      <c r="F479" s="2" t="s">
        <v>16765</v>
      </c>
      <c r="G479" s="22" t="s">
        <v>19351</v>
      </c>
      <c r="H479" s="24" t="s">
        <v>19770</v>
      </c>
      <c r="I479" s="22" t="s">
        <v>19309</v>
      </c>
      <c r="J479" s="22" t="s">
        <v>19573</v>
      </c>
      <c r="K479" s="22" t="s">
        <v>19574</v>
      </c>
      <c r="L479" s="22"/>
      <c r="M479" s="22"/>
      <c r="N479" s="25" t="str">
        <f>HYPERLINK("http://slimages.macys.com/is/image/MCY/20757944 ")</f>
        <v xml:space="preserve">http://slimages.macys.com/is/image/MCY/20757944 </v>
      </c>
    </row>
    <row r="480" spans="1:14" ht="24.75" x14ac:dyDescent="0.25">
      <c r="A480" s="21" t="s">
        <v>16766</v>
      </c>
      <c r="B480" s="22" t="s">
        <v>16767</v>
      </c>
      <c r="C480" s="3">
        <v>4.04</v>
      </c>
      <c r="D480" s="23">
        <v>11.99</v>
      </c>
      <c r="E480" s="3">
        <v>11.99</v>
      </c>
      <c r="F480" s="2" t="s">
        <v>16768</v>
      </c>
      <c r="G480" s="22" t="s">
        <v>19351</v>
      </c>
      <c r="H480" s="24" t="s">
        <v>19416</v>
      </c>
      <c r="I480" s="22" t="s">
        <v>19309</v>
      </c>
      <c r="J480" s="22" t="s">
        <v>19573</v>
      </c>
      <c r="K480" s="22" t="s">
        <v>19574</v>
      </c>
      <c r="L480" s="22"/>
      <c r="M480" s="22"/>
      <c r="N480" s="25" t="str">
        <f>HYPERLINK("http://slimages.macys.com/is/image/MCY/1439098 ")</f>
        <v xml:space="preserve">http://slimages.macys.com/is/image/MCY/1439098 </v>
      </c>
    </row>
    <row r="481" spans="1:14" x14ac:dyDescent="0.25">
      <c r="A481" s="21" t="s">
        <v>16769</v>
      </c>
      <c r="B481" s="22" t="s">
        <v>16770</v>
      </c>
      <c r="C481" s="3">
        <v>4.01</v>
      </c>
      <c r="D481" s="23">
        <v>8.64</v>
      </c>
      <c r="E481" s="3">
        <v>8.64</v>
      </c>
      <c r="F481" s="2" t="s">
        <v>16771</v>
      </c>
      <c r="G481" s="22"/>
      <c r="H481" s="24" t="s">
        <v>19770</v>
      </c>
      <c r="I481" s="22" t="s">
        <v>19309</v>
      </c>
      <c r="J481" s="22" t="s">
        <v>19708</v>
      </c>
      <c r="K481" s="22" t="s">
        <v>19709</v>
      </c>
      <c r="L481" s="22"/>
      <c r="M481" s="22"/>
      <c r="N481" s="25" t="str">
        <f>HYPERLINK("http://slimages.macys.com/is/image/MCY/19146255 ")</f>
        <v xml:space="preserve">http://slimages.macys.com/is/image/MCY/19146255 </v>
      </c>
    </row>
    <row r="482" spans="1:14" x14ac:dyDescent="0.25">
      <c r="A482" s="21" t="s">
        <v>16772</v>
      </c>
      <c r="B482" s="22" t="s">
        <v>16773</v>
      </c>
      <c r="C482" s="3">
        <v>4.01</v>
      </c>
      <c r="D482" s="23">
        <v>8.64</v>
      </c>
      <c r="E482" s="3">
        <v>8.64</v>
      </c>
      <c r="F482" s="2" t="s">
        <v>16774</v>
      </c>
      <c r="G482" s="22"/>
      <c r="H482" s="24" t="s">
        <v>19770</v>
      </c>
      <c r="I482" s="22" t="s">
        <v>19309</v>
      </c>
      <c r="J482" s="22" t="s">
        <v>19708</v>
      </c>
      <c r="K482" s="22" t="s">
        <v>19709</v>
      </c>
      <c r="L482" s="22"/>
      <c r="M482" s="22"/>
      <c r="N482" s="25" t="str">
        <f>HYPERLINK("http://slimages.macys.com/is/image/MCY/19146324 ")</f>
        <v xml:space="preserve">http://slimages.macys.com/is/image/MCY/19146324 </v>
      </c>
    </row>
    <row r="483" spans="1:14" x14ac:dyDescent="0.25">
      <c r="A483" s="21" t="s">
        <v>16775</v>
      </c>
      <c r="B483" s="22" t="s">
        <v>16776</v>
      </c>
      <c r="C483" s="3">
        <v>4.01</v>
      </c>
      <c r="D483" s="23">
        <v>8.64</v>
      </c>
      <c r="E483" s="3">
        <v>8.64</v>
      </c>
      <c r="F483" s="2" t="s">
        <v>16777</v>
      </c>
      <c r="G483" s="22" t="s">
        <v>19431</v>
      </c>
      <c r="H483" s="24" t="s">
        <v>19367</v>
      </c>
      <c r="I483" s="22" t="s">
        <v>19309</v>
      </c>
      <c r="J483" s="22" t="s">
        <v>19708</v>
      </c>
      <c r="K483" s="22" t="s">
        <v>19709</v>
      </c>
      <c r="L483" s="22"/>
      <c r="M483" s="22"/>
      <c r="N483" s="25" t="str">
        <f>HYPERLINK("http://slimages.macys.com/is/image/MCY/19146265 ")</f>
        <v xml:space="preserve">http://slimages.macys.com/is/image/MCY/19146265 </v>
      </c>
    </row>
    <row r="484" spans="1:14" x14ac:dyDescent="0.25">
      <c r="A484" s="21" t="s">
        <v>16778</v>
      </c>
      <c r="B484" s="22" t="s">
        <v>16779</v>
      </c>
      <c r="C484" s="3">
        <v>4.01</v>
      </c>
      <c r="D484" s="23">
        <v>8.64</v>
      </c>
      <c r="E484" s="3">
        <v>8.64</v>
      </c>
      <c r="F484" s="2" t="s">
        <v>16771</v>
      </c>
      <c r="G484" s="22"/>
      <c r="H484" s="24" t="s">
        <v>20152</v>
      </c>
      <c r="I484" s="22" t="s">
        <v>19309</v>
      </c>
      <c r="J484" s="22" t="s">
        <v>19708</v>
      </c>
      <c r="K484" s="22" t="s">
        <v>19709</v>
      </c>
      <c r="L484" s="22"/>
      <c r="M484" s="22"/>
      <c r="N484" s="25" t="str">
        <f>HYPERLINK("http://slimages.macys.com/is/image/MCY/19146255 ")</f>
        <v xml:space="preserve">http://slimages.macys.com/is/image/MCY/19146255 </v>
      </c>
    </row>
    <row r="485" spans="1:14" x14ac:dyDescent="0.25">
      <c r="A485" s="21" t="s">
        <v>16780</v>
      </c>
      <c r="B485" s="22" t="s">
        <v>16781</v>
      </c>
      <c r="C485" s="3">
        <v>4.01</v>
      </c>
      <c r="D485" s="23">
        <v>8.64</v>
      </c>
      <c r="E485" s="3">
        <v>8.64</v>
      </c>
      <c r="F485" s="2" t="s">
        <v>16782</v>
      </c>
      <c r="G485" s="22" t="s">
        <v>19323</v>
      </c>
      <c r="H485" s="24" t="s">
        <v>20159</v>
      </c>
      <c r="I485" s="22" t="s">
        <v>19309</v>
      </c>
      <c r="J485" s="22" t="s">
        <v>19708</v>
      </c>
      <c r="K485" s="22" t="s">
        <v>19709</v>
      </c>
      <c r="L485" s="22"/>
      <c r="M485" s="22"/>
      <c r="N485" s="25" t="str">
        <f>HYPERLINK("http://slimages.macys.com/is/image/MCY/19146310 ")</f>
        <v xml:space="preserve">http://slimages.macys.com/is/image/MCY/19146310 </v>
      </c>
    </row>
    <row r="486" spans="1:14" ht="24.75" x14ac:dyDescent="0.25">
      <c r="A486" s="21" t="s">
        <v>16783</v>
      </c>
      <c r="B486" s="22" t="s">
        <v>16784</v>
      </c>
      <c r="C486" s="3">
        <v>4</v>
      </c>
      <c r="D486" s="23">
        <v>8.89</v>
      </c>
      <c r="E486" s="3">
        <v>8.89</v>
      </c>
      <c r="F486" s="2" t="s">
        <v>16785</v>
      </c>
      <c r="G486" s="22" t="s">
        <v>19763</v>
      </c>
      <c r="H486" s="24" t="s">
        <v>19339</v>
      </c>
      <c r="I486" s="22" t="s">
        <v>19309</v>
      </c>
      <c r="J486" s="22" t="s">
        <v>19565</v>
      </c>
      <c r="K486" s="22" t="s">
        <v>18514</v>
      </c>
      <c r="L486" s="22"/>
      <c r="M486" s="22"/>
      <c r="N486" s="25" t="str">
        <f>HYPERLINK("http://slimages.macys.com/is/image/MCY/21128990 ")</f>
        <v xml:space="preserve">http://slimages.macys.com/is/image/MCY/21128990 </v>
      </c>
    </row>
    <row r="487" spans="1:14" ht="24.75" x14ac:dyDescent="0.25">
      <c r="A487" s="21" t="s">
        <v>16786</v>
      </c>
      <c r="B487" s="22" t="s">
        <v>16787</v>
      </c>
      <c r="C487" s="3">
        <v>4</v>
      </c>
      <c r="D487" s="23">
        <v>10.99</v>
      </c>
      <c r="E487" s="3">
        <v>10.99</v>
      </c>
      <c r="F487" s="2" t="s">
        <v>16788</v>
      </c>
      <c r="G487" s="22" t="s">
        <v>19674</v>
      </c>
      <c r="H487" s="24" t="s">
        <v>19324</v>
      </c>
      <c r="I487" s="22" t="s">
        <v>19309</v>
      </c>
      <c r="J487" s="22" t="s">
        <v>19573</v>
      </c>
      <c r="K487" s="22" t="s">
        <v>19574</v>
      </c>
      <c r="L487" s="22"/>
      <c r="M487" s="22"/>
      <c r="N487" s="25" t="str">
        <f>HYPERLINK("http://slimages.macys.com/is/image/MCY/20386473 ")</f>
        <v xml:space="preserve">http://slimages.macys.com/is/image/MCY/20386473 </v>
      </c>
    </row>
    <row r="488" spans="1:14" ht="24.75" x14ac:dyDescent="0.25">
      <c r="A488" s="21" t="s">
        <v>16789</v>
      </c>
      <c r="B488" s="22" t="s">
        <v>16790</v>
      </c>
      <c r="C488" s="3">
        <v>4</v>
      </c>
      <c r="D488" s="23">
        <v>9.99</v>
      </c>
      <c r="E488" s="3">
        <v>9.99</v>
      </c>
      <c r="F488" s="2" t="s">
        <v>16791</v>
      </c>
      <c r="G488" s="22" t="s">
        <v>19810</v>
      </c>
      <c r="H488" s="24" t="s">
        <v>19361</v>
      </c>
      <c r="I488" s="22" t="s">
        <v>19309</v>
      </c>
      <c r="J488" s="22" t="s">
        <v>19595</v>
      </c>
      <c r="K488" s="22" t="s">
        <v>19596</v>
      </c>
      <c r="L488" s="22"/>
      <c r="M488" s="22"/>
      <c r="N488" s="25" t="str">
        <f>HYPERLINK("http://slimages.macys.com/is/image/MCY/21542197 ")</f>
        <v xml:space="preserve">http://slimages.macys.com/is/image/MCY/21542197 </v>
      </c>
    </row>
    <row r="489" spans="1:14" ht="24.75" x14ac:dyDescent="0.25">
      <c r="A489" s="21" t="s">
        <v>16792</v>
      </c>
      <c r="B489" s="22" t="s">
        <v>16793</v>
      </c>
      <c r="C489" s="3">
        <v>8</v>
      </c>
      <c r="D489" s="23">
        <v>11.99</v>
      </c>
      <c r="E489" s="3">
        <v>23.98</v>
      </c>
      <c r="F489" s="2">
        <v>4217</v>
      </c>
      <c r="G489" s="22" t="s">
        <v>19431</v>
      </c>
      <c r="H489" s="24" t="s">
        <v>19797</v>
      </c>
      <c r="I489" s="22" t="s">
        <v>19309</v>
      </c>
      <c r="J489" s="22" t="s">
        <v>20076</v>
      </c>
      <c r="K489" s="22" t="s">
        <v>20077</v>
      </c>
      <c r="L489" s="22" t="s">
        <v>19319</v>
      </c>
      <c r="M489" s="22" t="s">
        <v>19209</v>
      </c>
      <c r="N489" s="25" t="str">
        <f>HYPERLINK("http://slimages.macys.com/is/image/MCY/13050192 ")</f>
        <v xml:space="preserve">http://slimages.macys.com/is/image/MCY/13050192 </v>
      </c>
    </row>
    <row r="490" spans="1:14" ht="24.75" x14ac:dyDescent="0.25">
      <c r="A490" s="21" t="s">
        <v>16794</v>
      </c>
      <c r="B490" s="22" t="s">
        <v>16795</v>
      </c>
      <c r="C490" s="3">
        <v>3.99</v>
      </c>
      <c r="D490" s="23">
        <v>10.99</v>
      </c>
      <c r="E490" s="3">
        <v>10.99</v>
      </c>
      <c r="F490" s="2" t="s">
        <v>18808</v>
      </c>
      <c r="G490" s="22" t="s">
        <v>19906</v>
      </c>
      <c r="H490" s="24" t="s">
        <v>19797</v>
      </c>
      <c r="I490" s="22" t="s">
        <v>19309</v>
      </c>
      <c r="J490" s="22" t="s">
        <v>19353</v>
      </c>
      <c r="K490" s="22" t="s">
        <v>19524</v>
      </c>
      <c r="L490" s="22"/>
      <c r="M490" s="22"/>
      <c r="N490" s="25" t="str">
        <f>HYPERLINK("http://slimages.macys.com/is/image/MCY/21733981 ")</f>
        <v xml:space="preserve">http://slimages.macys.com/is/image/MCY/21733981 </v>
      </c>
    </row>
    <row r="491" spans="1:14" ht="24.75" x14ac:dyDescent="0.25">
      <c r="A491" s="21" t="s">
        <v>16796</v>
      </c>
      <c r="B491" s="22" t="s">
        <v>16797</v>
      </c>
      <c r="C491" s="3">
        <v>3.99</v>
      </c>
      <c r="D491" s="23">
        <v>10.99</v>
      </c>
      <c r="E491" s="3">
        <v>10.99</v>
      </c>
      <c r="F491" s="2" t="s">
        <v>18808</v>
      </c>
      <c r="G491" s="22" t="s">
        <v>19906</v>
      </c>
      <c r="H491" s="24" t="s">
        <v>19339</v>
      </c>
      <c r="I491" s="22" t="s">
        <v>19309</v>
      </c>
      <c r="J491" s="22" t="s">
        <v>19353</v>
      </c>
      <c r="K491" s="22" t="s">
        <v>19524</v>
      </c>
      <c r="L491" s="22"/>
      <c r="M491" s="22"/>
      <c r="N491" s="25" t="str">
        <f>HYPERLINK("http://slimages.macys.com/is/image/MCY/21733981 ")</f>
        <v xml:space="preserve">http://slimages.macys.com/is/image/MCY/21733981 </v>
      </c>
    </row>
    <row r="492" spans="1:14" x14ac:dyDescent="0.25">
      <c r="A492" s="21" t="s">
        <v>16798</v>
      </c>
      <c r="B492" s="22" t="s">
        <v>16799</v>
      </c>
      <c r="C492" s="3">
        <v>3.97</v>
      </c>
      <c r="D492" s="23">
        <v>9.99</v>
      </c>
      <c r="E492" s="3">
        <v>9.99</v>
      </c>
      <c r="F492" s="2" t="s">
        <v>16800</v>
      </c>
      <c r="G492" s="22" t="s">
        <v>19670</v>
      </c>
      <c r="H492" s="24" t="s">
        <v>20089</v>
      </c>
      <c r="I492" s="22" t="s">
        <v>19309</v>
      </c>
      <c r="J492" s="22" t="s">
        <v>19849</v>
      </c>
      <c r="K492" s="22" t="s">
        <v>19850</v>
      </c>
      <c r="L492" s="22"/>
      <c r="M492" s="22"/>
      <c r="N492" s="25" t="str">
        <f>HYPERLINK("http://slimages.macys.com/is/image/MCY/20949718 ")</f>
        <v xml:space="preserve">http://slimages.macys.com/is/image/MCY/20949718 </v>
      </c>
    </row>
    <row r="493" spans="1:14" x14ac:dyDescent="0.25">
      <c r="A493" s="21" t="s">
        <v>16801</v>
      </c>
      <c r="B493" s="22" t="s">
        <v>16802</v>
      </c>
      <c r="C493" s="3">
        <v>7.86</v>
      </c>
      <c r="D493" s="23">
        <v>11.99</v>
      </c>
      <c r="E493" s="3">
        <v>23.98</v>
      </c>
      <c r="F493" s="2" t="s">
        <v>16803</v>
      </c>
      <c r="G493" s="22" t="s">
        <v>19431</v>
      </c>
      <c r="H493" s="24" t="s">
        <v>19364</v>
      </c>
      <c r="I493" s="22" t="s">
        <v>19309</v>
      </c>
      <c r="J493" s="22" t="s">
        <v>19849</v>
      </c>
      <c r="K493" s="22" t="s">
        <v>19850</v>
      </c>
      <c r="L493" s="22"/>
      <c r="M493" s="22"/>
      <c r="N493" s="25" t="str">
        <f t="shared" ref="N493:N501" si="1">HYPERLINK("http://slimages.macys.com/is/image/MCY/20752030 ")</f>
        <v xml:space="preserve">http://slimages.macys.com/is/image/MCY/20752030 </v>
      </c>
    </row>
    <row r="494" spans="1:14" x14ac:dyDescent="0.25">
      <c r="A494" s="21" t="s">
        <v>16804</v>
      </c>
      <c r="B494" s="22" t="s">
        <v>16805</v>
      </c>
      <c r="C494" s="3">
        <v>7.86</v>
      </c>
      <c r="D494" s="23">
        <v>11.99</v>
      </c>
      <c r="E494" s="3">
        <v>23.98</v>
      </c>
      <c r="F494" s="2" t="s">
        <v>16803</v>
      </c>
      <c r="G494" s="22" t="s">
        <v>19431</v>
      </c>
      <c r="H494" s="24" t="s">
        <v>19339</v>
      </c>
      <c r="I494" s="22" t="s">
        <v>19309</v>
      </c>
      <c r="J494" s="22" t="s">
        <v>19849</v>
      </c>
      <c r="K494" s="22" t="s">
        <v>19850</v>
      </c>
      <c r="L494" s="22"/>
      <c r="M494" s="22"/>
      <c r="N494" s="25" t="str">
        <f t="shared" si="1"/>
        <v xml:space="preserve">http://slimages.macys.com/is/image/MCY/20752030 </v>
      </c>
    </row>
    <row r="495" spans="1:14" x14ac:dyDescent="0.25">
      <c r="A495" s="21" t="s">
        <v>16806</v>
      </c>
      <c r="B495" s="22" t="s">
        <v>16807</v>
      </c>
      <c r="C495" s="3">
        <v>7.86</v>
      </c>
      <c r="D495" s="23">
        <v>11.99</v>
      </c>
      <c r="E495" s="3">
        <v>23.98</v>
      </c>
      <c r="F495" s="2" t="s">
        <v>16803</v>
      </c>
      <c r="G495" s="22" t="s">
        <v>19431</v>
      </c>
      <c r="H495" s="24"/>
      <c r="I495" s="22" t="s">
        <v>19309</v>
      </c>
      <c r="J495" s="22" t="s">
        <v>19849</v>
      </c>
      <c r="K495" s="22" t="s">
        <v>19850</v>
      </c>
      <c r="L495" s="22"/>
      <c r="M495" s="22"/>
      <c r="N495" s="25" t="str">
        <f t="shared" si="1"/>
        <v xml:space="preserve">http://slimages.macys.com/is/image/MCY/20752030 </v>
      </c>
    </row>
    <row r="496" spans="1:14" x14ac:dyDescent="0.25">
      <c r="A496" s="21" t="s">
        <v>16808</v>
      </c>
      <c r="B496" s="22" t="s">
        <v>16809</v>
      </c>
      <c r="C496" s="3">
        <v>3.93</v>
      </c>
      <c r="D496" s="23">
        <v>11.99</v>
      </c>
      <c r="E496" s="3">
        <v>11.99</v>
      </c>
      <c r="F496" s="2" t="s">
        <v>16803</v>
      </c>
      <c r="G496" s="22" t="s">
        <v>19670</v>
      </c>
      <c r="H496" s="24" t="s">
        <v>19364</v>
      </c>
      <c r="I496" s="22" t="s">
        <v>19309</v>
      </c>
      <c r="J496" s="22" t="s">
        <v>19849</v>
      </c>
      <c r="K496" s="22" t="s">
        <v>19850</v>
      </c>
      <c r="L496" s="22"/>
      <c r="M496" s="22"/>
      <c r="N496" s="25" t="str">
        <f t="shared" si="1"/>
        <v xml:space="preserve">http://slimages.macys.com/is/image/MCY/20752030 </v>
      </c>
    </row>
    <row r="497" spans="1:14" x14ac:dyDescent="0.25">
      <c r="A497" s="21" t="s">
        <v>16810</v>
      </c>
      <c r="B497" s="22" t="s">
        <v>16811</v>
      </c>
      <c r="C497" s="3">
        <v>3.93</v>
      </c>
      <c r="D497" s="23">
        <v>11.99</v>
      </c>
      <c r="E497" s="3">
        <v>11.99</v>
      </c>
      <c r="F497" s="2" t="s">
        <v>16803</v>
      </c>
      <c r="G497" s="22" t="s">
        <v>19431</v>
      </c>
      <c r="H497" s="24" t="s">
        <v>19352</v>
      </c>
      <c r="I497" s="22" t="s">
        <v>19309</v>
      </c>
      <c r="J497" s="22" t="s">
        <v>19849</v>
      </c>
      <c r="K497" s="22" t="s">
        <v>19850</v>
      </c>
      <c r="L497" s="22"/>
      <c r="M497" s="22"/>
      <c r="N497" s="25" t="str">
        <f t="shared" si="1"/>
        <v xml:space="preserve">http://slimages.macys.com/is/image/MCY/20752030 </v>
      </c>
    </row>
    <row r="498" spans="1:14" x14ac:dyDescent="0.25">
      <c r="A498" s="21" t="s">
        <v>16812</v>
      </c>
      <c r="B498" s="22" t="s">
        <v>16813</v>
      </c>
      <c r="C498" s="3">
        <v>3.93</v>
      </c>
      <c r="D498" s="23">
        <v>11.99</v>
      </c>
      <c r="E498" s="3">
        <v>11.99</v>
      </c>
      <c r="F498" s="2" t="s">
        <v>16803</v>
      </c>
      <c r="G498" s="22" t="s">
        <v>19431</v>
      </c>
      <c r="H498" s="24" t="s">
        <v>19797</v>
      </c>
      <c r="I498" s="22" t="s">
        <v>19309</v>
      </c>
      <c r="J498" s="22" t="s">
        <v>19849</v>
      </c>
      <c r="K498" s="22" t="s">
        <v>19850</v>
      </c>
      <c r="L498" s="22"/>
      <c r="M498" s="22"/>
      <c r="N498" s="25" t="str">
        <f t="shared" si="1"/>
        <v xml:space="preserve">http://slimages.macys.com/is/image/MCY/20752030 </v>
      </c>
    </row>
    <row r="499" spans="1:14" x14ac:dyDescent="0.25">
      <c r="A499" s="21" t="s">
        <v>16814</v>
      </c>
      <c r="B499" s="22" t="s">
        <v>16815</v>
      </c>
      <c r="C499" s="3">
        <v>3.93</v>
      </c>
      <c r="D499" s="23">
        <v>11.99</v>
      </c>
      <c r="E499" s="3">
        <v>11.99</v>
      </c>
      <c r="F499" s="2" t="s">
        <v>16803</v>
      </c>
      <c r="G499" s="22" t="s">
        <v>19670</v>
      </c>
      <c r="H499" s="24"/>
      <c r="I499" s="22" t="s">
        <v>19309</v>
      </c>
      <c r="J499" s="22" t="s">
        <v>19849</v>
      </c>
      <c r="K499" s="22" t="s">
        <v>19850</v>
      </c>
      <c r="L499" s="22"/>
      <c r="M499" s="22"/>
      <c r="N499" s="25" t="str">
        <f t="shared" si="1"/>
        <v xml:space="preserve">http://slimages.macys.com/is/image/MCY/20752030 </v>
      </c>
    </row>
    <row r="500" spans="1:14" x14ac:dyDescent="0.25">
      <c r="A500" s="21" t="s">
        <v>16816</v>
      </c>
      <c r="B500" s="22" t="s">
        <v>16817</v>
      </c>
      <c r="C500" s="3">
        <v>3.93</v>
      </c>
      <c r="D500" s="23">
        <v>11.99</v>
      </c>
      <c r="E500" s="3">
        <v>11.99</v>
      </c>
      <c r="F500" s="2" t="s">
        <v>16803</v>
      </c>
      <c r="G500" s="22" t="s">
        <v>19670</v>
      </c>
      <c r="H500" s="24" t="s">
        <v>19352</v>
      </c>
      <c r="I500" s="22" t="s">
        <v>19309</v>
      </c>
      <c r="J500" s="22" t="s">
        <v>19849</v>
      </c>
      <c r="K500" s="22" t="s">
        <v>19850</v>
      </c>
      <c r="L500" s="22"/>
      <c r="M500" s="22"/>
      <c r="N500" s="25" t="str">
        <f t="shared" si="1"/>
        <v xml:space="preserve">http://slimages.macys.com/is/image/MCY/20752030 </v>
      </c>
    </row>
    <row r="501" spans="1:14" x14ac:dyDescent="0.25">
      <c r="A501" s="21" t="s">
        <v>16818</v>
      </c>
      <c r="B501" s="22" t="s">
        <v>16819</v>
      </c>
      <c r="C501" s="3">
        <v>7.86</v>
      </c>
      <c r="D501" s="23">
        <v>11.99</v>
      </c>
      <c r="E501" s="3">
        <v>23.98</v>
      </c>
      <c r="F501" s="2" t="s">
        <v>16803</v>
      </c>
      <c r="G501" s="22" t="s">
        <v>19670</v>
      </c>
      <c r="H501" s="24" t="s">
        <v>19797</v>
      </c>
      <c r="I501" s="22" t="s">
        <v>19309</v>
      </c>
      <c r="J501" s="22" t="s">
        <v>19849</v>
      </c>
      <c r="K501" s="22" t="s">
        <v>19850</v>
      </c>
      <c r="L501" s="22"/>
      <c r="M501" s="22"/>
      <c r="N501" s="25" t="str">
        <f t="shared" si="1"/>
        <v xml:space="preserve">http://slimages.macys.com/is/image/MCY/20752030 </v>
      </c>
    </row>
    <row r="502" spans="1:14" ht="24.75" x14ac:dyDescent="0.25">
      <c r="A502" s="21" t="s">
        <v>18812</v>
      </c>
      <c r="B502" s="22" t="s">
        <v>18813</v>
      </c>
      <c r="C502" s="3">
        <v>3.91</v>
      </c>
      <c r="D502" s="23">
        <v>10.99</v>
      </c>
      <c r="E502" s="3">
        <v>10.99</v>
      </c>
      <c r="F502" s="2" t="s">
        <v>18814</v>
      </c>
      <c r="G502" s="22" t="s">
        <v>19585</v>
      </c>
      <c r="H502" s="24"/>
      <c r="I502" s="22" t="s">
        <v>19309</v>
      </c>
      <c r="J502" s="22" t="s">
        <v>19573</v>
      </c>
      <c r="K502" s="22" t="s">
        <v>19574</v>
      </c>
      <c r="L502" s="22"/>
      <c r="M502" s="22"/>
      <c r="N502" s="25" t="str">
        <f>HYPERLINK("http://slimages.macys.com/is/image/MCY/18117481 ")</f>
        <v xml:space="preserve">http://slimages.macys.com/is/image/MCY/18117481 </v>
      </c>
    </row>
    <row r="503" spans="1:14" x14ac:dyDescent="0.25">
      <c r="A503" s="21" t="s">
        <v>16820</v>
      </c>
      <c r="B503" s="22" t="s">
        <v>16821</v>
      </c>
      <c r="C503" s="3">
        <v>3.9</v>
      </c>
      <c r="D503" s="23">
        <v>13.99</v>
      </c>
      <c r="E503" s="3">
        <v>13.99</v>
      </c>
      <c r="F503" s="2" t="s">
        <v>16822</v>
      </c>
      <c r="G503" s="22" t="s">
        <v>19307</v>
      </c>
      <c r="H503" s="24" t="s">
        <v>19395</v>
      </c>
      <c r="I503" s="22" t="s">
        <v>19309</v>
      </c>
      <c r="J503" s="22" t="s">
        <v>19310</v>
      </c>
      <c r="K503" s="22" t="s">
        <v>19440</v>
      </c>
      <c r="L503" s="22"/>
      <c r="M503" s="22"/>
      <c r="N503" s="25" t="str">
        <f>HYPERLINK("http://slimages.macys.com/is/image/MCY/21059392 ")</f>
        <v xml:space="preserve">http://slimages.macys.com/is/image/MCY/21059392 </v>
      </c>
    </row>
    <row r="504" spans="1:14" ht="24.75" x14ac:dyDescent="0.25">
      <c r="A504" s="21" t="s">
        <v>16823</v>
      </c>
      <c r="B504" s="22" t="s">
        <v>16824</v>
      </c>
      <c r="C504" s="3">
        <v>3.85</v>
      </c>
      <c r="D504" s="23">
        <v>10.99</v>
      </c>
      <c r="E504" s="3">
        <v>10.99</v>
      </c>
      <c r="F504" s="2" t="s">
        <v>16825</v>
      </c>
      <c r="G504" s="22" t="s">
        <v>19518</v>
      </c>
      <c r="H504" s="24" t="s">
        <v>19416</v>
      </c>
      <c r="I504" s="22" t="s">
        <v>19309</v>
      </c>
      <c r="J504" s="22" t="s">
        <v>19573</v>
      </c>
      <c r="K504" s="22" t="s">
        <v>19574</v>
      </c>
      <c r="L504" s="22"/>
      <c r="M504" s="22"/>
      <c r="N504" s="25" t="str">
        <f>HYPERLINK("http://slimages.macys.com/is/image/MCY/21089280 ")</f>
        <v xml:space="preserve">http://slimages.macys.com/is/image/MCY/21089280 </v>
      </c>
    </row>
    <row r="505" spans="1:14" x14ac:dyDescent="0.25">
      <c r="A505" s="21" t="s">
        <v>16826</v>
      </c>
      <c r="B505" s="22" t="s">
        <v>16827</v>
      </c>
      <c r="C505" s="3">
        <v>3.84</v>
      </c>
      <c r="D505" s="23">
        <v>10.47</v>
      </c>
      <c r="E505" s="3">
        <v>10.47</v>
      </c>
      <c r="F505" s="2" t="s">
        <v>16828</v>
      </c>
      <c r="G505" s="22" t="s">
        <v>19357</v>
      </c>
      <c r="H505" s="24" t="s">
        <v>19770</v>
      </c>
      <c r="I505" s="22" t="s">
        <v>19309</v>
      </c>
      <c r="J505" s="22" t="s">
        <v>19708</v>
      </c>
      <c r="K505" s="22" t="s">
        <v>19709</v>
      </c>
      <c r="L505" s="22"/>
      <c r="M505" s="22"/>
      <c r="N505" s="25" t="str">
        <f>HYPERLINK("http://slimages.macys.com/is/image/MCY/21410534 ")</f>
        <v xml:space="preserve">http://slimages.macys.com/is/image/MCY/21410534 </v>
      </c>
    </row>
    <row r="506" spans="1:14" x14ac:dyDescent="0.25">
      <c r="A506" s="21" t="s">
        <v>16829</v>
      </c>
      <c r="B506" s="22" t="s">
        <v>16830</v>
      </c>
      <c r="C506" s="3">
        <v>7.68</v>
      </c>
      <c r="D506" s="23">
        <v>10.46</v>
      </c>
      <c r="E506" s="3">
        <v>20.92</v>
      </c>
      <c r="F506" s="2" t="s">
        <v>16831</v>
      </c>
      <c r="G506" s="22"/>
      <c r="H506" s="24" t="s">
        <v>20159</v>
      </c>
      <c r="I506" s="22" t="s">
        <v>19309</v>
      </c>
      <c r="J506" s="22" t="s">
        <v>19708</v>
      </c>
      <c r="K506" s="22" t="s">
        <v>19709</v>
      </c>
      <c r="L506" s="22"/>
      <c r="M506" s="22"/>
      <c r="N506" s="25" t="str">
        <f>HYPERLINK("http://slimages.macys.com/is/image/MCY/21726541 ")</f>
        <v xml:space="preserve">http://slimages.macys.com/is/image/MCY/21726541 </v>
      </c>
    </row>
    <row r="507" spans="1:14" x14ac:dyDescent="0.25">
      <c r="A507" s="21" t="s">
        <v>16832</v>
      </c>
      <c r="B507" s="22" t="s">
        <v>16833</v>
      </c>
      <c r="C507" s="3">
        <v>3.84</v>
      </c>
      <c r="D507" s="23">
        <v>10.47</v>
      </c>
      <c r="E507" s="3">
        <v>10.47</v>
      </c>
      <c r="F507" s="2" t="s">
        <v>16834</v>
      </c>
      <c r="G507" s="22"/>
      <c r="H507" s="24" t="s">
        <v>20159</v>
      </c>
      <c r="I507" s="22" t="s">
        <v>19309</v>
      </c>
      <c r="J507" s="22" t="s">
        <v>19708</v>
      </c>
      <c r="K507" s="22" t="s">
        <v>19709</v>
      </c>
      <c r="L507" s="22"/>
      <c r="M507" s="22"/>
      <c r="N507" s="25" t="str">
        <f>HYPERLINK("http://slimages.macys.com/is/image/MCY/21411388 ")</f>
        <v xml:space="preserve">http://slimages.macys.com/is/image/MCY/21411388 </v>
      </c>
    </row>
    <row r="508" spans="1:14" x14ac:dyDescent="0.25">
      <c r="A508" s="21" t="s">
        <v>16835</v>
      </c>
      <c r="B508" s="22" t="s">
        <v>16836</v>
      </c>
      <c r="C508" s="3">
        <v>3.83</v>
      </c>
      <c r="D508" s="23">
        <v>9.99</v>
      </c>
      <c r="E508" s="3">
        <v>9.99</v>
      </c>
      <c r="F508" s="2" t="s">
        <v>16837</v>
      </c>
      <c r="G508" s="22" t="s">
        <v>19351</v>
      </c>
      <c r="H508" s="24" t="s">
        <v>20089</v>
      </c>
      <c r="I508" s="22" t="s">
        <v>19309</v>
      </c>
      <c r="J508" s="22" t="s">
        <v>19849</v>
      </c>
      <c r="K508" s="22" t="s">
        <v>19850</v>
      </c>
      <c r="L508" s="22"/>
      <c r="M508" s="22"/>
      <c r="N508" s="25" t="str">
        <f>HYPERLINK("http://slimages.macys.com/is/image/MCY/20949730 ")</f>
        <v xml:space="preserve">http://slimages.macys.com/is/image/MCY/20949730 </v>
      </c>
    </row>
    <row r="509" spans="1:14" x14ac:dyDescent="0.25">
      <c r="A509" s="21" t="s">
        <v>16838</v>
      </c>
      <c r="B509" s="22" t="s">
        <v>16839</v>
      </c>
      <c r="C509" s="3">
        <v>3.79</v>
      </c>
      <c r="D509" s="23">
        <v>7.99</v>
      </c>
      <c r="E509" s="3">
        <v>7.99</v>
      </c>
      <c r="F509" s="2" t="s">
        <v>16840</v>
      </c>
      <c r="G509" s="22" t="s">
        <v>19477</v>
      </c>
      <c r="H509" s="24" t="s">
        <v>19361</v>
      </c>
      <c r="I509" s="22" t="s">
        <v>19309</v>
      </c>
      <c r="J509" s="22" t="s">
        <v>19849</v>
      </c>
      <c r="K509" s="22" t="s">
        <v>19850</v>
      </c>
      <c r="L509" s="22"/>
      <c r="M509" s="22"/>
      <c r="N509" s="25" t="str">
        <f>HYPERLINK("http://slimages.macys.com/is/image/MCY/19068277 ")</f>
        <v xml:space="preserve">http://slimages.macys.com/is/image/MCY/19068277 </v>
      </c>
    </row>
    <row r="510" spans="1:14" ht="24.75" x14ac:dyDescent="0.25">
      <c r="A510" s="21" t="s">
        <v>16841</v>
      </c>
      <c r="B510" s="22" t="s">
        <v>16842</v>
      </c>
      <c r="C510" s="3">
        <v>3.75</v>
      </c>
      <c r="D510" s="23">
        <v>9.99</v>
      </c>
      <c r="E510" s="3">
        <v>9.99</v>
      </c>
      <c r="F510" s="2" t="s">
        <v>16843</v>
      </c>
      <c r="G510" s="22" t="s">
        <v>19323</v>
      </c>
      <c r="H510" s="24" t="s">
        <v>19334</v>
      </c>
      <c r="I510" s="22" t="s">
        <v>19309</v>
      </c>
      <c r="J510" s="22" t="s">
        <v>19595</v>
      </c>
      <c r="K510" s="22" t="s">
        <v>19596</v>
      </c>
      <c r="L510" s="22" t="s">
        <v>19319</v>
      </c>
      <c r="M510" s="22" t="s">
        <v>16844</v>
      </c>
      <c r="N510" s="25" t="str">
        <f>HYPERLINK("http://slimages.macys.com/is/image/MCY/16384561 ")</f>
        <v xml:space="preserve">http://slimages.macys.com/is/image/MCY/16384561 </v>
      </c>
    </row>
    <row r="511" spans="1:14" x14ac:dyDescent="0.25">
      <c r="A511" s="21" t="s">
        <v>18842</v>
      </c>
      <c r="B511" s="22" t="s">
        <v>18843</v>
      </c>
      <c r="C511" s="3">
        <v>3.73</v>
      </c>
      <c r="D511" s="23">
        <v>6.99</v>
      </c>
      <c r="E511" s="3">
        <v>6.99</v>
      </c>
      <c r="F511" s="2" t="s">
        <v>18841</v>
      </c>
      <c r="G511" s="22" t="s">
        <v>19674</v>
      </c>
      <c r="H511" s="24" t="s">
        <v>19364</v>
      </c>
      <c r="I511" s="22" t="s">
        <v>19309</v>
      </c>
      <c r="J511" s="22" t="s">
        <v>19849</v>
      </c>
      <c r="K511" s="22" t="s">
        <v>19850</v>
      </c>
      <c r="L511" s="22"/>
      <c r="M511" s="22"/>
      <c r="N511" s="25" t="str">
        <f>HYPERLINK("http://slimages.macys.com/is/image/MCY/19068309 ")</f>
        <v xml:space="preserve">http://slimages.macys.com/is/image/MCY/19068309 </v>
      </c>
    </row>
    <row r="512" spans="1:14" ht="24.75" x14ac:dyDescent="0.25">
      <c r="A512" s="21" t="s">
        <v>16845</v>
      </c>
      <c r="B512" s="22" t="s">
        <v>16846</v>
      </c>
      <c r="C512" s="3">
        <v>7.46</v>
      </c>
      <c r="D512" s="23">
        <v>6.99</v>
      </c>
      <c r="E512" s="3">
        <v>13.98</v>
      </c>
      <c r="F512" s="2" t="s">
        <v>18841</v>
      </c>
      <c r="G512" s="22" t="s">
        <v>19955</v>
      </c>
      <c r="H512" s="24" t="s">
        <v>19339</v>
      </c>
      <c r="I512" s="22" t="s">
        <v>19309</v>
      </c>
      <c r="J512" s="22" t="s">
        <v>19849</v>
      </c>
      <c r="K512" s="22" t="s">
        <v>19850</v>
      </c>
      <c r="L512" s="22"/>
      <c r="M512" s="22"/>
      <c r="N512" s="25" t="str">
        <f>HYPERLINK("http://slimages.macys.com/is/image/MCY/22503910 ")</f>
        <v xml:space="preserve">http://slimages.macys.com/is/image/MCY/22503910 </v>
      </c>
    </row>
    <row r="513" spans="1:14" x14ac:dyDescent="0.25">
      <c r="A513" s="21" t="s">
        <v>16847</v>
      </c>
      <c r="B513" s="22" t="s">
        <v>16848</v>
      </c>
      <c r="C513" s="3">
        <v>3.7</v>
      </c>
      <c r="D513" s="23">
        <v>11.99</v>
      </c>
      <c r="E513" s="3">
        <v>11.99</v>
      </c>
      <c r="F513" s="2" t="s">
        <v>16849</v>
      </c>
      <c r="G513" s="22" t="s">
        <v>19674</v>
      </c>
      <c r="H513" s="24" t="s">
        <v>19797</v>
      </c>
      <c r="I513" s="22" t="s">
        <v>19309</v>
      </c>
      <c r="J513" s="22" t="s">
        <v>19849</v>
      </c>
      <c r="K513" s="22" t="s">
        <v>19850</v>
      </c>
      <c r="L513" s="22"/>
      <c r="M513" s="22"/>
      <c r="N513" s="25" t="str">
        <f>HYPERLINK("http://slimages.macys.com/is/image/MCY/1523123 ")</f>
        <v xml:space="preserve">http://slimages.macys.com/is/image/MCY/1523123 </v>
      </c>
    </row>
    <row r="514" spans="1:14" ht="24.75" x14ac:dyDescent="0.25">
      <c r="A514" s="21" t="s">
        <v>16850</v>
      </c>
      <c r="B514" s="22" t="s">
        <v>16851</v>
      </c>
      <c r="C514" s="3">
        <v>3.67</v>
      </c>
      <c r="D514" s="23">
        <v>7.99</v>
      </c>
      <c r="E514" s="3">
        <v>7.99</v>
      </c>
      <c r="F514" s="2" t="s">
        <v>16852</v>
      </c>
      <c r="G514" s="22" t="s">
        <v>19415</v>
      </c>
      <c r="H514" s="24" t="s">
        <v>19361</v>
      </c>
      <c r="I514" s="22" t="s">
        <v>19309</v>
      </c>
      <c r="J514" s="22" t="s">
        <v>19454</v>
      </c>
      <c r="K514" s="22" t="s">
        <v>19524</v>
      </c>
      <c r="L514" s="22"/>
      <c r="M514" s="22"/>
      <c r="N514" s="25" t="str">
        <f>HYPERLINK("http://slimages.macys.com/is/image/MCY/1472529 ")</f>
        <v xml:space="preserve">http://slimages.macys.com/is/image/MCY/1472529 </v>
      </c>
    </row>
    <row r="515" spans="1:14" x14ac:dyDescent="0.25">
      <c r="A515" s="21" t="s">
        <v>16853</v>
      </c>
      <c r="B515" s="22" t="s">
        <v>16854</v>
      </c>
      <c r="C515" s="3">
        <v>3.66</v>
      </c>
      <c r="D515" s="23">
        <v>9.99</v>
      </c>
      <c r="E515" s="3">
        <v>9.99</v>
      </c>
      <c r="F515" s="2" t="s">
        <v>16855</v>
      </c>
      <c r="G515" s="22" t="s">
        <v>19674</v>
      </c>
      <c r="H515" s="24" t="s">
        <v>20135</v>
      </c>
      <c r="I515" s="22" t="s">
        <v>19309</v>
      </c>
      <c r="J515" s="22" t="s">
        <v>19849</v>
      </c>
      <c r="K515" s="22" t="s">
        <v>19850</v>
      </c>
      <c r="L515" s="22"/>
      <c r="M515" s="22"/>
      <c r="N515" s="25" t="str">
        <f>HYPERLINK("http://slimages.macys.com/is/image/MCY/20549003 ")</f>
        <v xml:space="preserve">http://slimages.macys.com/is/image/MCY/20549003 </v>
      </c>
    </row>
    <row r="516" spans="1:14" x14ac:dyDescent="0.25">
      <c r="A516" s="21" t="s">
        <v>18849</v>
      </c>
      <c r="B516" s="22" t="s">
        <v>18850</v>
      </c>
      <c r="C516" s="3">
        <v>7.3</v>
      </c>
      <c r="D516" s="23">
        <v>11.99</v>
      </c>
      <c r="E516" s="3">
        <v>23.98</v>
      </c>
      <c r="F516" s="2" t="s">
        <v>18851</v>
      </c>
      <c r="G516" s="22" t="s">
        <v>19674</v>
      </c>
      <c r="H516" s="24" t="s">
        <v>19339</v>
      </c>
      <c r="I516" s="22" t="s">
        <v>19309</v>
      </c>
      <c r="J516" s="22" t="s">
        <v>19849</v>
      </c>
      <c r="K516" s="22" t="s">
        <v>19850</v>
      </c>
      <c r="L516" s="22"/>
      <c r="M516" s="22"/>
      <c r="N516" s="25" t="str">
        <f>HYPERLINK("http://slimages.macys.com/is/image/MCY/21251022 ")</f>
        <v xml:space="preserve">http://slimages.macys.com/is/image/MCY/21251022 </v>
      </c>
    </row>
    <row r="517" spans="1:14" x14ac:dyDescent="0.25">
      <c r="A517" s="21" t="s">
        <v>18854</v>
      </c>
      <c r="B517" s="22" t="s">
        <v>18855</v>
      </c>
      <c r="C517" s="3">
        <v>3.65</v>
      </c>
      <c r="D517" s="23">
        <v>11.99</v>
      </c>
      <c r="E517" s="3">
        <v>11.99</v>
      </c>
      <c r="F517" s="2" t="s">
        <v>18851</v>
      </c>
      <c r="G517" s="22" t="s">
        <v>19674</v>
      </c>
      <c r="H517" s="24" t="s">
        <v>19797</v>
      </c>
      <c r="I517" s="22" t="s">
        <v>19309</v>
      </c>
      <c r="J517" s="22" t="s">
        <v>19849</v>
      </c>
      <c r="K517" s="22" t="s">
        <v>19850</v>
      </c>
      <c r="L517" s="22"/>
      <c r="M517" s="22"/>
      <c r="N517" s="25" t="str">
        <f>HYPERLINK("http://slimages.macys.com/is/image/MCY/21251022 ")</f>
        <v xml:space="preserve">http://slimages.macys.com/is/image/MCY/21251022 </v>
      </c>
    </row>
    <row r="518" spans="1:14" x14ac:dyDescent="0.25">
      <c r="A518" s="21" t="s">
        <v>18856</v>
      </c>
      <c r="B518" s="22" t="s">
        <v>18857</v>
      </c>
      <c r="C518" s="3">
        <v>14.6</v>
      </c>
      <c r="D518" s="23">
        <v>11.99</v>
      </c>
      <c r="E518" s="3">
        <v>47.96</v>
      </c>
      <c r="F518" s="2" t="s">
        <v>18851</v>
      </c>
      <c r="G518" s="22" t="s">
        <v>19674</v>
      </c>
      <c r="H518" s="24" t="s">
        <v>19352</v>
      </c>
      <c r="I518" s="22" t="s">
        <v>19309</v>
      </c>
      <c r="J518" s="22" t="s">
        <v>19849</v>
      </c>
      <c r="K518" s="22" t="s">
        <v>19850</v>
      </c>
      <c r="L518" s="22"/>
      <c r="M518" s="22"/>
      <c r="N518" s="25" t="str">
        <f>HYPERLINK("http://slimages.macys.com/is/image/MCY/21251022 ")</f>
        <v xml:space="preserve">http://slimages.macys.com/is/image/MCY/21251022 </v>
      </c>
    </row>
    <row r="519" spans="1:14" x14ac:dyDescent="0.25">
      <c r="A519" s="21" t="s">
        <v>18852</v>
      </c>
      <c r="B519" s="22" t="s">
        <v>18853</v>
      </c>
      <c r="C519" s="3">
        <v>7.3</v>
      </c>
      <c r="D519" s="23">
        <v>11.99</v>
      </c>
      <c r="E519" s="3">
        <v>23.98</v>
      </c>
      <c r="F519" s="2" t="s">
        <v>18851</v>
      </c>
      <c r="G519" s="22" t="s">
        <v>19674</v>
      </c>
      <c r="H519" s="24" t="s">
        <v>19364</v>
      </c>
      <c r="I519" s="22" t="s">
        <v>19309</v>
      </c>
      <c r="J519" s="22" t="s">
        <v>19849</v>
      </c>
      <c r="K519" s="22" t="s">
        <v>19850</v>
      </c>
      <c r="L519" s="22"/>
      <c r="M519" s="22"/>
      <c r="N519" s="25" t="str">
        <f>HYPERLINK("http://slimages.macys.com/is/image/MCY/21251022 ")</f>
        <v xml:space="preserve">http://slimages.macys.com/is/image/MCY/21251022 </v>
      </c>
    </row>
    <row r="520" spans="1:14" ht="24.75" x14ac:dyDescent="0.25">
      <c r="A520" s="21" t="s">
        <v>18858</v>
      </c>
      <c r="B520" s="22" t="s">
        <v>18859</v>
      </c>
      <c r="C520" s="3">
        <v>3.62</v>
      </c>
      <c r="D520" s="23">
        <v>7.99</v>
      </c>
      <c r="E520" s="3">
        <v>7.99</v>
      </c>
      <c r="F520" s="2" t="s">
        <v>18860</v>
      </c>
      <c r="G520" s="22" t="s">
        <v>19906</v>
      </c>
      <c r="H520" s="24" t="s">
        <v>19907</v>
      </c>
      <c r="I520" s="22" t="s">
        <v>19309</v>
      </c>
      <c r="J520" s="22" t="s">
        <v>19908</v>
      </c>
      <c r="K520" s="22" t="s">
        <v>19524</v>
      </c>
      <c r="L520" s="22"/>
      <c r="M520" s="22"/>
      <c r="N520" s="25" t="str">
        <f>HYPERLINK("http://slimages.macys.com/is/image/MCY/21727292 ")</f>
        <v xml:space="preserve">http://slimages.macys.com/is/image/MCY/21727292 </v>
      </c>
    </row>
    <row r="521" spans="1:14" ht="24.75" x14ac:dyDescent="0.25">
      <c r="A521" s="21" t="s">
        <v>16856</v>
      </c>
      <c r="B521" s="22" t="s">
        <v>16857</v>
      </c>
      <c r="C521" s="3">
        <v>7.24</v>
      </c>
      <c r="D521" s="23">
        <v>7.99</v>
      </c>
      <c r="E521" s="3">
        <v>15.98</v>
      </c>
      <c r="F521" s="2" t="s">
        <v>16858</v>
      </c>
      <c r="G521" s="22" t="s">
        <v>19351</v>
      </c>
      <c r="H521" s="24" t="s">
        <v>20089</v>
      </c>
      <c r="I521" s="22" t="s">
        <v>19309</v>
      </c>
      <c r="J521" s="22" t="s">
        <v>19908</v>
      </c>
      <c r="K521" s="22" t="s">
        <v>19524</v>
      </c>
      <c r="L521" s="22"/>
      <c r="M521" s="22"/>
      <c r="N521" s="25" t="str">
        <f>HYPERLINK("http://slimages.macys.com/is/image/MCY/21727281 ")</f>
        <v xml:space="preserve">http://slimages.macys.com/is/image/MCY/21727281 </v>
      </c>
    </row>
    <row r="522" spans="1:14" ht="24.75" x14ac:dyDescent="0.25">
      <c r="A522" s="21" t="s">
        <v>16859</v>
      </c>
      <c r="B522" s="22" t="s">
        <v>16860</v>
      </c>
      <c r="C522" s="3">
        <v>3.62</v>
      </c>
      <c r="D522" s="23">
        <v>7.99</v>
      </c>
      <c r="E522" s="3">
        <v>7.99</v>
      </c>
      <c r="F522" s="2" t="s">
        <v>18860</v>
      </c>
      <c r="G522" s="22" t="s">
        <v>19906</v>
      </c>
      <c r="H522" s="24" t="s">
        <v>20089</v>
      </c>
      <c r="I522" s="22" t="s">
        <v>19309</v>
      </c>
      <c r="J522" s="22" t="s">
        <v>19908</v>
      </c>
      <c r="K522" s="22" t="s">
        <v>19524</v>
      </c>
      <c r="L522" s="22"/>
      <c r="M522" s="22"/>
      <c r="N522" s="25" t="str">
        <f>HYPERLINK("http://slimages.macys.com/is/image/MCY/21727292 ")</f>
        <v xml:space="preserve">http://slimages.macys.com/is/image/MCY/21727292 </v>
      </c>
    </row>
    <row r="523" spans="1:14" ht="24.75" x14ac:dyDescent="0.25">
      <c r="A523" s="21" t="s">
        <v>18861</v>
      </c>
      <c r="B523" s="22" t="s">
        <v>18862</v>
      </c>
      <c r="C523" s="3">
        <v>3.62</v>
      </c>
      <c r="D523" s="23">
        <v>9.99</v>
      </c>
      <c r="E523" s="3">
        <v>9.99</v>
      </c>
      <c r="F523" s="2" t="s">
        <v>18863</v>
      </c>
      <c r="G523" s="22" t="s">
        <v>19333</v>
      </c>
      <c r="H523" s="24" t="s">
        <v>19339</v>
      </c>
      <c r="I523" s="22" t="s">
        <v>19309</v>
      </c>
      <c r="J523" s="22" t="s">
        <v>19353</v>
      </c>
      <c r="K523" s="22" t="s">
        <v>19524</v>
      </c>
      <c r="L523" s="22"/>
      <c r="M523" s="22"/>
      <c r="N523" s="25" t="str">
        <f>HYPERLINK("http://slimages.macys.com/is/image/MCY/21083396 ")</f>
        <v xml:space="preserve">http://slimages.macys.com/is/image/MCY/21083396 </v>
      </c>
    </row>
    <row r="524" spans="1:14" ht="24.75" x14ac:dyDescent="0.25">
      <c r="A524" s="21" t="s">
        <v>16861</v>
      </c>
      <c r="B524" s="22" t="s">
        <v>16862</v>
      </c>
      <c r="C524" s="3">
        <v>3.62</v>
      </c>
      <c r="D524" s="23">
        <v>9.99</v>
      </c>
      <c r="E524" s="3">
        <v>9.99</v>
      </c>
      <c r="F524" s="2" t="s">
        <v>16863</v>
      </c>
      <c r="G524" s="22" t="s">
        <v>19462</v>
      </c>
      <c r="H524" s="24" t="s">
        <v>19339</v>
      </c>
      <c r="I524" s="22" t="s">
        <v>19309</v>
      </c>
      <c r="J524" s="22" t="s">
        <v>19353</v>
      </c>
      <c r="K524" s="22" t="s">
        <v>19524</v>
      </c>
      <c r="L524" s="22"/>
      <c r="M524" s="22"/>
      <c r="N524" s="25" t="str">
        <f>HYPERLINK("http://slimages.macys.com/is/image/MCY/1472549 ")</f>
        <v xml:space="preserve">http://slimages.macys.com/is/image/MCY/1472549 </v>
      </c>
    </row>
    <row r="525" spans="1:14" ht="24.75" x14ac:dyDescent="0.25">
      <c r="A525" s="21" t="s">
        <v>16864</v>
      </c>
      <c r="B525" s="22" t="s">
        <v>16865</v>
      </c>
      <c r="C525" s="3">
        <v>3.61</v>
      </c>
      <c r="D525" s="23">
        <v>10.99</v>
      </c>
      <c r="E525" s="3">
        <v>10.99</v>
      </c>
      <c r="F525" s="2" t="s">
        <v>18866</v>
      </c>
      <c r="G525" s="22" t="s">
        <v>19351</v>
      </c>
      <c r="H525" s="24" t="s">
        <v>19330</v>
      </c>
      <c r="I525" s="22" t="s">
        <v>19309</v>
      </c>
      <c r="J525" s="22" t="s">
        <v>19573</v>
      </c>
      <c r="K525" s="22" t="s">
        <v>19574</v>
      </c>
      <c r="L525" s="22"/>
      <c r="M525" s="22"/>
      <c r="N525" s="25" t="str">
        <f>HYPERLINK("http://slimages.macys.com/is/image/MCY/21088530 ")</f>
        <v xml:space="preserve">http://slimages.macys.com/is/image/MCY/21088530 </v>
      </c>
    </row>
    <row r="526" spans="1:14" ht="24.75" x14ac:dyDescent="0.25">
      <c r="A526" s="21" t="s">
        <v>16866</v>
      </c>
      <c r="B526" s="22" t="s">
        <v>16867</v>
      </c>
      <c r="C526" s="3">
        <v>7.22</v>
      </c>
      <c r="D526" s="23">
        <v>10.99</v>
      </c>
      <c r="E526" s="3">
        <v>21.98</v>
      </c>
      <c r="F526" s="2" t="s">
        <v>16868</v>
      </c>
      <c r="G526" s="22" t="s">
        <v>19467</v>
      </c>
      <c r="H526" s="24" t="s">
        <v>19330</v>
      </c>
      <c r="I526" s="22" t="s">
        <v>19309</v>
      </c>
      <c r="J526" s="22" t="s">
        <v>19573</v>
      </c>
      <c r="K526" s="22" t="s">
        <v>19574</v>
      </c>
      <c r="L526" s="22"/>
      <c r="M526" s="22"/>
      <c r="N526" s="25" t="str">
        <f>HYPERLINK("http://slimages.macys.com/is/image/MCY/20386105 ")</f>
        <v xml:space="preserve">http://slimages.macys.com/is/image/MCY/20386105 </v>
      </c>
    </row>
    <row r="527" spans="1:14" ht="24.75" x14ac:dyDescent="0.25">
      <c r="A527" s="21" t="s">
        <v>16869</v>
      </c>
      <c r="B527" s="22" t="s">
        <v>16870</v>
      </c>
      <c r="C527" s="3">
        <v>3.61</v>
      </c>
      <c r="D527" s="23">
        <v>10.99</v>
      </c>
      <c r="E527" s="3">
        <v>10.99</v>
      </c>
      <c r="F527" s="2" t="s">
        <v>16871</v>
      </c>
      <c r="G527" s="22" t="s">
        <v>18764</v>
      </c>
      <c r="H527" s="24" t="s">
        <v>19416</v>
      </c>
      <c r="I527" s="22" t="s">
        <v>19309</v>
      </c>
      <c r="J527" s="22" t="s">
        <v>19573</v>
      </c>
      <c r="K527" s="22" t="s">
        <v>19574</v>
      </c>
      <c r="L527" s="22"/>
      <c r="M527" s="22"/>
      <c r="N527" s="25" t="str">
        <f>HYPERLINK("http://slimages.macys.com/is/image/MCY/20551075 ")</f>
        <v xml:space="preserve">http://slimages.macys.com/is/image/MCY/20551075 </v>
      </c>
    </row>
    <row r="528" spans="1:14" ht="24.75" x14ac:dyDescent="0.25">
      <c r="A528" s="21" t="s">
        <v>16872</v>
      </c>
      <c r="B528" s="22" t="s">
        <v>16873</v>
      </c>
      <c r="C528" s="3">
        <v>3.55</v>
      </c>
      <c r="D528" s="23">
        <v>7.99</v>
      </c>
      <c r="E528" s="3">
        <v>7.99</v>
      </c>
      <c r="F528" s="2" t="s">
        <v>16874</v>
      </c>
      <c r="G528" s="22" t="s">
        <v>18439</v>
      </c>
      <c r="H528" s="24" t="s">
        <v>20089</v>
      </c>
      <c r="I528" s="22" t="s">
        <v>19309</v>
      </c>
      <c r="J528" s="22" t="s">
        <v>19573</v>
      </c>
      <c r="K528" s="22" t="s">
        <v>19574</v>
      </c>
      <c r="L528" s="22"/>
      <c r="M528" s="22"/>
      <c r="N528" s="25" t="str">
        <f>HYPERLINK("http://slimages.macys.com/is/image/MCY/21515593 ")</f>
        <v xml:space="preserve">http://slimages.macys.com/is/image/MCY/21515593 </v>
      </c>
    </row>
    <row r="529" spans="1:14" ht="24.75" x14ac:dyDescent="0.25">
      <c r="A529" s="21" t="s">
        <v>16875</v>
      </c>
      <c r="B529" s="22" t="s">
        <v>16876</v>
      </c>
      <c r="C529" s="3">
        <v>3.51</v>
      </c>
      <c r="D529" s="23">
        <v>9.99</v>
      </c>
      <c r="E529" s="3">
        <v>9.99</v>
      </c>
      <c r="F529" s="2" t="s">
        <v>18881</v>
      </c>
      <c r="G529" s="22" t="s">
        <v>19415</v>
      </c>
      <c r="H529" s="24" t="s">
        <v>19352</v>
      </c>
      <c r="I529" s="22" t="s">
        <v>19309</v>
      </c>
      <c r="J529" s="22" t="s">
        <v>19353</v>
      </c>
      <c r="K529" s="22" t="s">
        <v>19524</v>
      </c>
      <c r="L529" s="22"/>
      <c r="M529" s="22"/>
      <c r="N529" s="25" t="str">
        <f>HYPERLINK("http://slimages.macys.com/is/image/MCY/21083388 ")</f>
        <v xml:space="preserve">http://slimages.macys.com/is/image/MCY/21083388 </v>
      </c>
    </row>
    <row r="530" spans="1:14" ht="24.75" x14ac:dyDescent="0.25">
      <c r="A530" s="21" t="s">
        <v>16877</v>
      </c>
      <c r="B530" s="22" t="s">
        <v>16878</v>
      </c>
      <c r="C530" s="3">
        <v>3.51</v>
      </c>
      <c r="D530" s="23">
        <v>9.99</v>
      </c>
      <c r="E530" s="3">
        <v>9.99</v>
      </c>
      <c r="F530" s="2" t="s">
        <v>18881</v>
      </c>
      <c r="G530" s="22" t="s">
        <v>19415</v>
      </c>
      <c r="H530" s="24" t="s">
        <v>19364</v>
      </c>
      <c r="I530" s="22" t="s">
        <v>19309</v>
      </c>
      <c r="J530" s="22" t="s">
        <v>19353</v>
      </c>
      <c r="K530" s="22" t="s">
        <v>19524</v>
      </c>
      <c r="L530" s="22"/>
      <c r="M530" s="22"/>
      <c r="N530" s="25" t="str">
        <f>HYPERLINK("http://slimages.macys.com/is/image/MCY/21083388 ")</f>
        <v xml:space="preserve">http://slimages.macys.com/is/image/MCY/21083388 </v>
      </c>
    </row>
    <row r="531" spans="1:14" ht="24.75" x14ac:dyDescent="0.25">
      <c r="A531" s="21" t="s">
        <v>16879</v>
      </c>
      <c r="B531" s="22" t="s">
        <v>16880</v>
      </c>
      <c r="C531" s="3">
        <v>3.51</v>
      </c>
      <c r="D531" s="23">
        <v>8.99</v>
      </c>
      <c r="E531" s="3">
        <v>8.99</v>
      </c>
      <c r="F531" s="2" t="s">
        <v>16881</v>
      </c>
      <c r="G531" s="22" t="s">
        <v>19431</v>
      </c>
      <c r="H531" s="24" t="s">
        <v>19432</v>
      </c>
      <c r="I531" s="22" t="s">
        <v>19309</v>
      </c>
      <c r="J531" s="22" t="s">
        <v>19815</v>
      </c>
      <c r="K531" s="22" t="s">
        <v>19816</v>
      </c>
      <c r="L531" s="22"/>
      <c r="M531" s="22"/>
      <c r="N531" s="25" t="str">
        <f>HYPERLINK("http://slimages.macys.com/is/image/MCY/1505064 ")</f>
        <v xml:space="preserve">http://slimages.macys.com/is/image/MCY/1505064 </v>
      </c>
    </row>
    <row r="532" spans="1:14" ht="24.75" x14ac:dyDescent="0.25">
      <c r="A532" s="21" t="s">
        <v>16882</v>
      </c>
      <c r="B532" s="22" t="s">
        <v>16883</v>
      </c>
      <c r="C532" s="3">
        <v>3.51</v>
      </c>
      <c r="D532" s="23">
        <v>9.99</v>
      </c>
      <c r="E532" s="3">
        <v>9.99</v>
      </c>
      <c r="F532" s="2" t="s">
        <v>18881</v>
      </c>
      <c r="G532" s="22" t="s">
        <v>19422</v>
      </c>
      <c r="H532" s="24" t="s">
        <v>19339</v>
      </c>
      <c r="I532" s="22" t="s">
        <v>19309</v>
      </c>
      <c r="J532" s="22" t="s">
        <v>19353</v>
      </c>
      <c r="K532" s="22" t="s">
        <v>19524</v>
      </c>
      <c r="L532" s="22"/>
      <c r="M532" s="22"/>
      <c r="N532" s="25" t="str">
        <f>HYPERLINK("http://slimages.macys.com/is/image/MCY/1472542 ")</f>
        <v xml:space="preserve">http://slimages.macys.com/is/image/MCY/1472542 </v>
      </c>
    </row>
    <row r="533" spans="1:14" ht="24.75" x14ac:dyDescent="0.25">
      <c r="A533" s="21" t="s">
        <v>18879</v>
      </c>
      <c r="B533" s="22" t="s">
        <v>18880</v>
      </c>
      <c r="C533" s="3">
        <v>3.51</v>
      </c>
      <c r="D533" s="23">
        <v>9.99</v>
      </c>
      <c r="E533" s="3">
        <v>9.99</v>
      </c>
      <c r="F533" s="2" t="s">
        <v>18881</v>
      </c>
      <c r="G533" s="22" t="s">
        <v>19422</v>
      </c>
      <c r="H533" s="24" t="s">
        <v>19352</v>
      </c>
      <c r="I533" s="22" t="s">
        <v>19309</v>
      </c>
      <c r="J533" s="22" t="s">
        <v>19353</v>
      </c>
      <c r="K533" s="22" t="s">
        <v>19524</v>
      </c>
      <c r="L533" s="22"/>
      <c r="M533" s="22"/>
      <c r="N533" s="25" t="str">
        <f>HYPERLINK("http://slimages.macys.com/is/image/MCY/1472542 ")</f>
        <v xml:space="preserve">http://slimages.macys.com/is/image/MCY/1472542 </v>
      </c>
    </row>
    <row r="534" spans="1:14" ht="24.75" x14ac:dyDescent="0.25">
      <c r="A534" s="21" t="s">
        <v>16884</v>
      </c>
      <c r="B534" s="22" t="s">
        <v>16885</v>
      </c>
      <c r="C534" s="3">
        <v>3.51</v>
      </c>
      <c r="D534" s="23">
        <v>9.99</v>
      </c>
      <c r="E534" s="3">
        <v>9.99</v>
      </c>
      <c r="F534" s="2" t="s">
        <v>18881</v>
      </c>
      <c r="G534" s="22" t="s">
        <v>19906</v>
      </c>
      <c r="H534" s="24" t="s">
        <v>19352</v>
      </c>
      <c r="I534" s="22" t="s">
        <v>19309</v>
      </c>
      <c r="J534" s="22" t="s">
        <v>19353</v>
      </c>
      <c r="K534" s="22" t="s">
        <v>19524</v>
      </c>
      <c r="L534" s="22"/>
      <c r="M534" s="22"/>
      <c r="N534" s="25" t="str">
        <f>HYPERLINK("http://slimages.macys.com/is/image/MCY/1472549 ")</f>
        <v xml:space="preserve">http://slimages.macys.com/is/image/MCY/1472549 </v>
      </c>
    </row>
    <row r="535" spans="1:14" ht="24.75" x14ac:dyDescent="0.25">
      <c r="A535" s="21" t="s">
        <v>16886</v>
      </c>
      <c r="B535" s="22" t="s">
        <v>16887</v>
      </c>
      <c r="C535" s="3">
        <v>7.02</v>
      </c>
      <c r="D535" s="23">
        <v>9.99</v>
      </c>
      <c r="E535" s="3">
        <v>19.98</v>
      </c>
      <c r="F535" s="2" t="s">
        <v>18881</v>
      </c>
      <c r="G535" s="22" t="s">
        <v>19415</v>
      </c>
      <c r="H535" s="24" t="s">
        <v>19797</v>
      </c>
      <c r="I535" s="22" t="s">
        <v>19309</v>
      </c>
      <c r="J535" s="22" t="s">
        <v>19353</v>
      </c>
      <c r="K535" s="22" t="s">
        <v>19524</v>
      </c>
      <c r="L535" s="22"/>
      <c r="M535" s="22"/>
      <c r="N535" s="25" t="str">
        <f>HYPERLINK("http://slimages.macys.com/is/image/MCY/21083388 ")</f>
        <v xml:space="preserve">http://slimages.macys.com/is/image/MCY/21083388 </v>
      </c>
    </row>
    <row r="536" spans="1:14" ht="24.75" x14ac:dyDescent="0.25">
      <c r="A536" s="21" t="s">
        <v>16888</v>
      </c>
      <c r="B536" s="22" t="s">
        <v>16889</v>
      </c>
      <c r="C536" s="3">
        <v>3.51</v>
      </c>
      <c r="D536" s="23">
        <v>9.99</v>
      </c>
      <c r="E536" s="3">
        <v>9.99</v>
      </c>
      <c r="F536" s="2" t="s">
        <v>18881</v>
      </c>
      <c r="G536" s="22" t="s">
        <v>19333</v>
      </c>
      <c r="H536" s="24" t="s">
        <v>19352</v>
      </c>
      <c r="I536" s="22" t="s">
        <v>19309</v>
      </c>
      <c r="J536" s="22" t="s">
        <v>19353</v>
      </c>
      <c r="K536" s="22" t="s">
        <v>19524</v>
      </c>
      <c r="L536" s="22"/>
      <c r="M536" s="22"/>
      <c r="N536" s="25" t="str">
        <f>HYPERLINK("http://slimages.macys.com/is/image/MCY/1484637 ")</f>
        <v xml:space="preserve">http://slimages.macys.com/is/image/MCY/1484637 </v>
      </c>
    </row>
    <row r="537" spans="1:14" ht="24.75" x14ac:dyDescent="0.25">
      <c r="A537" s="21" t="s">
        <v>16890</v>
      </c>
      <c r="B537" s="22" t="s">
        <v>16891</v>
      </c>
      <c r="C537" s="3">
        <v>3.47</v>
      </c>
      <c r="D537" s="23">
        <v>7.99</v>
      </c>
      <c r="E537" s="3">
        <v>7.99</v>
      </c>
      <c r="F537" s="2" t="s">
        <v>16892</v>
      </c>
      <c r="G537" s="22" t="s">
        <v>19315</v>
      </c>
      <c r="H537" s="24" t="s">
        <v>19432</v>
      </c>
      <c r="I537" s="22" t="s">
        <v>19309</v>
      </c>
      <c r="J537" s="22" t="s">
        <v>19815</v>
      </c>
      <c r="K537" s="22" t="s">
        <v>19816</v>
      </c>
      <c r="L537" s="22"/>
      <c r="M537" s="22"/>
      <c r="N537" s="25" t="str">
        <f>HYPERLINK("http://slimages.macys.com/is/image/MCY/1290486 ")</f>
        <v xml:space="preserve">http://slimages.macys.com/is/image/MCY/1290486 </v>
      </c>
    </row>
    <row r="538" spans="1:14" x14ac:dyDescent="0.25">
      <c r="A538" s="21" t="s">
        <v>16893</v>
      </c>
      <c r="B538" s="22" t="s">
        <v>16894</v>
      </c>
      <c r="C538" s="3">
        <v>3.47</v>
      </c>
      <c r="D538" s="23">
        <v>9.44</v>
      </c>
      <c r="E538" s="3">
        <v>9.44</v>
      </c>
      <c r="F538" s="2" t="s">
        <v>16895</v>
      </c>
      <c r="G538" s="22" t="s">
        <v>19814</v>
      </c>
      <c r="H538" s="24" t="s">
        <v>20159</v>
      </c>
      <c r="I538" s="22" t="s">
        <v>19309</v>
      </c>
      <c r="J538" s="22" t="s">
        <v>19708</v>
      </c>
      <c r="K538" s="22" t="s">
        <v>19709</v>
      </c>
      <c r="L538" s="22"/>
      <c r="M538" s="22"/>
      <c r="N538" s="25" t="str">
        <f>HYPERLINK("http://slimages.macys.com/is/image/MCY/21414565 ")</f>
        <v xml:space="preserve">http://slimages.macys.com/is/image/MCY/21414565 </v>
      </c>
    </row>
    <row r="539" spans="1:14" ht="24.75" x14ac:dyDescent="0.25">
      <c r="A539" s="21" t="s">
        <v>16896</v>
      </c>
      <c r="B539" s="22" t="s">
        <v>16897</v>
      </c>
      <c r="C539" s="3">
        <v>3.46</v>
      </c>
      <c r="D539" s="23">
        <v>7.99</v>
      </c>
      <c r="E539" s="3">
        <v>7.99</v>
      </c>
      <c r="F539" s="2" t="s">
        <v>16898</v>
      </c>
      <c r="G539" s="22" t="s">
        <v>19670</v>
      </c>
      <c r="H539" s="24" t="s">
        <v>20089</v>
      </c>
      <c r="I539" s="22" t="s">
        <v>19309</v>
      </c>
      <c r="J539" s="22" t="s">
        <v>19908</v>
      </c>
      <c r="K539" s="22" t="s">
        <v>19524</v>
      </c>
      <c r="L539" s="22"/>
      <c r="M539" s="22"/>
      <c r="N539" s="25" t="str">
        <f>HYPERLINK("http://slimages.macys.com/is/image/MCY/21727297 ")</f>
        <v xml:space="preserve">http://slimages.macys.com/is/image/MCY/21727297 </v>
      </c>
    </row>
    <row r="540" spans="1:14" ht="24.75" x14ac:dyDescent="0.25">
      <c r="A540" s="21" t="s">
        <v>16899</v>
      </c>
      <c r="B540" s="22" t="s">
        <v>16900</v>
      </c>
      <c r="C540" s="3">
        <v>6.92</v>
      </c>
      <c r="D540" s="23">
        <v>7.99</v>
      </c>
      <c r="E540" s="3">
        <v>15.98</v>
      </c>
      <c r="F540" s="2" t="s">
        <v>16901</v>
      </c>
      <c r="G540" s="22" t="s">
        <v>18439</v>
      </c>
      <c r="H540" s="24" t="s">
        <v>20089</v>
      </c>
      <c r="I540" s="22" t="s">
        <v>19309</v>
      </c>
      <c r="J540" s="22" t="s">
        <v>19908</v>
      </c>
      <c r="K540" s="22" t="s">
        <v>19524</v>
      </c>
      <c r="L540" s="22"/>
      <c r="M540" s="22"/>
      <c r="N540" s="25" t="str">
        <f>HYPERLINK("http://slimages.macys.com/is/image/MCY/21727277 ")</f>
        <v xml:space="preserve">http://slimages.macys.com/is/image/MCY/21727277 </v>
      </c>
    </row>
    <row r="541" spans="1:14" x14ac:dyDescent="0.25">
      <c r="A541" s="21" t="s">
        <v>16902</v>
      </c>
      <c r="B541" s="22" t="s">
        <v>16903</v>
      </c>
      <c r="C541" s="3">
        <v>3.46</v>
      </c>
      <c r="D541" s="23">
        <v>9.99</v>
      </c>
      <c r="E541" s="3">
        <v>9.99</v>
      </c>
      <c r="F541" s="2" t="s">
        <v>18892</v>
      </c>
      <c r="G541" s="22" t="s">
        <v>19670</v>
      </c>
      <c r="H541" s="24" t="s">
        <v>20135</v>
      </c>
      <c r="I541" s="22" t="s">
        <v>19309</v>
      </c>
      <c r="J541" s="22" t="s">
        <v>19849</v>
      </c>
      <c r="K541" s="22" t="s">
        <v>19850</v>
      </c>
      <c r="L541" s="22"/>
      <c r="M541" s="22"/>
      <c r="N541" s="25" t="str">
        <f>HYPERLINK("http://slimages.macys.com/is/image/MCY/1521210 ")</f>
        <v xml:space="preserve">http://slimages.macys.com/is/image/MCY/1521210 </v>
      </c>
    </row>
    <row r="542" spans="1:14" ht="24.75" x14ac:dyDescent="0.25">
      <c r="A542" s="21" t="s">
        <v>16904</v>
      </c>
      <c r="B542" s="22" t="s">
        <v>16905</v>
      </c>
      <c r="C542" s="3">
        <v>3.46</v>
      </c>
      <c r="D542" s="23">
        <v>7.99</v>
      </c>
      <c r="E542" s="3">
        <v>7.99</v>
      </c>
      <c r="F542" s="2" t="s">
        <v>16906</v>
      </c>
      <c r="G542" s="22" t="s">
        <v>19906</v>
      </c>
      <c r="H542" s="24" t="s">
        <v>19542</v>
      </c>
      <c r="I542" s="22" t="s">
        <v>19309</v>
      </c>
      <c r="J542" s="22" t="s">
        <v>19908</v>
      </c>
      <c r="K542" s="22" t="s">
        <v>19524</v>
      </c>
      <c r="L542" s="22"/>
      <c r="M542" s="22"/>
      <c r="N542" s="25" t="str">
        <f>HYPERLINK("http://slimages.macys.com/is/image/MCY/21972918 ")</f>
        <v xml:space="preserve">http://slimages.macys.com/is/image/MCY/21972918 </v>
      </c>
    </row>
    <row r="543" spans="1:14" ht="24.75" x14ac:dyDescent="0.25">
      <c r="A543" s="21" t="s">
        <v>16907</v>
      </c>
      <c r="B543" s="22" t="s">
        <v>16908</v>
      </c>
      <c r="C543" s="3">
        <v>3.46</v>
      </c>
      <c r="D543" s="23">
        <v>7.99</v>
      </c>
      <c r="E543" s="3">
        <v>7.99</v>
      </c>
      <c r="F543" s="2" t="s">
        <v>18889</v>
      </c>
      <c r="G543" s="22" t="s">
        <v>19333</v>
      </c>
      <c r="H543" s="24" t="s">
        <v>19542</v>
      </c>
      <c r="I543" s="22" t="s">
        <v>19309</v>
      </c>
      <c r="J543" s="22" t="s">
        <v>19908</v>
      </c>
      <c r="K543" s="22" t="s">
        <v>19524</v>
      </c>
      <c r="L543" s="22"/>
      <c r="M543" s="22"/>
      <c r="N543" s="25" t="str">
        <f>HYPERLINK("http://slimages.macys.com/is/image/MCY/1414234 ")</f>
        <v xml:space="preserve">http://slimages.macys.com/is/image/MCY/1414234 </v>
      </c>
    </row>
    <row r="544" spans="1:14" ht="24.75" x14ac:dyDescent="0.25">
      <c r="A544" s="21" t="s">
        <v>16909</v>
      </c>
      <c r="B544" s="22" t="s">
        <v>16910</v>
      </c>
      <c r="C544" s="3">
        <v>3.46</v>
      </c>
      <c r="D544" s="23">
        <v>7.99</v>
      </c>
      <c r="E544" s="3">
        <v>7.99</v>
      </c>
      <c r="F544" s="2" t="s">
        <v>16898</v>
      </c>
      <c r="G544" s="22" t="s">
        <v>19670</v>
      </c>
      <c r="H544" s="24" t="s">
        <v>19361</v>
      </c>
      <c r="I544" s="22" t="s">
        <v>19309</v>
      </c>
      <c r="J544" s="22" t="s">
        <v>19908</v>
      </c>
      <c r="K544" s="22" t="s">
        <v>19524</v>
      </c>
      <c r="L544" s="22"/>
      <c r="M544" s="22"/>
      <c r="N544" s="25" t="str">
        <f>HYPERLINK("http://slimages.macys.com/is/image/MCY/21727297 ")</f>
        <v xml:space="preserve">http://slimages.macys.com/is/image/MCY/21727297 </v>
      </c>
    </row>
    <row r="545" spans="1:14" ht="24.75" x14ac:dyDescent="0.25">
      <c r="A545" s="21" t="s">
        <v>16911</v>
      </c>
      <c r="B545" s="22" t="s">
        <v>16912</v>
      </c>
      <c r="C545" s="3">
        <v>3.46</v>
      </c>
      <c r="D545" s="23">
        <v>7.99</v>
      </c>
      <c r="E545" s="3">
        <v>7.99</v>
      </c>
      <c r="F545" s="2" t="s">
        <v>16898</v>
      </c>
      <c r="G545" s="22" t="s">
        <v>19670</v>
      </c>
      <c r="H545" s="24" t="s">
        <v>20135</v>
      </c>
      <c r="I545" s="22" t="s">
        <v>19309</v>
      </c>
      <c r="J545" s="22" t="s">
        <v>19908</v>
      </c>
      <c r="K545" s="22" t="s">
        <v>19524</v>
      </c>
      <c r="L545" s="22"/>
      <c r="M545" s="22"/>
      <c r="N545" s="25" t="str">
        <f>HYPERLINK("http://slimages.macys.com/is/image/MCY/21727297 ")</f>
        <v xml:space="preserve">http://slimages.macys.com/is/image/MCY/21727297 </v>
      </c>
    </row>
    <row r="546" spans="1:14" ht="24.75" x14ac:dyDescent="0.25">
      <c r="A546" s="21" t="s">
        <v>16913</v>
      </c>
      <c r="B546" s="22" t="s">
        <v>16914</v>
      </c>
      <c r="C546" s="3">
        <v>3.46</v>
      </c>
      <c r="D546" s="23">
        <v>7.99</v>
      </c>
      <c r="E546" s="3">
        <v>7.99</v>
      </c>
      <c r="F546" s="2" t="s">
        <v>16915</v>
      </c>
      <c r="G546" s="22" t="s">
        <v>19351</v>
      </c>
      <c r="H546" s="24" t="s">
        <v>20135</v>
      </c>
      <c r="I546" s="22" t="s">
        <v>19309</v>
      </c>
      <c r="J546" s="22" t="s">
        <v>19908</v>
      </c>
      <c r="K546" s="22" t="s">
        <v>19524</v>
      </c>
      <c r="L546" s="22"/>
      <c r="M546" s="22"/>
      <c r="N546" s="25" t="str">
        <f>HYPERLINK("http://slimages.macys.com/is/image/MCY/21070317 ")</f>
        <v xml:space="preserve">http://slimages.macys.com/is/image/MCY/21070317 </v>
      </c>
    </row>
    <row r="547" spans="1:14" ht="24.75" x14ac:dyDescent="0.25">
      <c r="A547" s="21" t="s">
        <v>16916</v>
      </c>
      <c r="B547" s="22" t="s">
        <v>16917</v>
      </c>
      <c r="C547" s="3">
        <v>3.46</v>
      </c>
      <c r="D547" s="23">
        <v>7.99</v>
      </c>
      <c r="E547" s="3">
        <v>7.99</v>
      </c>
      <c r="F547" s="2" t="s">
        <v>16901</v>
      </c>
      <c r="G547" s="22" t="s">
        <v>18439</v>
      </c>
      <c r="H547" s="24" t="s">
        <v>19377</v>
      </c>
      <c r="I547" s="22" t="s">
        <v>19309</v>
      </c>
      <c r="J547" s="22" t="s">
        <v>19908</v>
      </c>
      <c r="K547" s="22" t="s">
        <v>19524</v>
      </c>
      <c r="L547" s="22"/>
      <c r="M547" s="22"/>
      <c r="N547" s="25" t="str">
        <f>HYPERLINK("http://slimages.macys.com/is/image/MCY/21727277 ")</f>
        <v xml:space="preserve">http://slimages.macys.com/is/image/MCY/21727277 </v>
      </c>
    </row>
    <row r="548" spans="1:14" x14ac:dyDescent="0.25">
      <c r="A548" s="21" t="s">
        <v>18902</v>
      </c>
      <c r="B548" s="22" t="s">
        <v>18903</v>
      </c>
      <c r="C548" s="3">
        <v>6.82</v>
      </c>
      <c r="D548" s="23">
        <v>9.99</v>
      </c>
      <c r="E548" s="3">
        <v>19.98</v>
      </c>
      <c r="F548" s="2" t="s">
        <v>18895</v>
      </c>
      <c r="G548" s="22" t="s">
        <v>19462</v>
      </c>
      <c r="H548" s="24" t="s">
        <v>20135</v>
      </c>
      <c r="I548" s="22" t="s">
        <v>19309</v>
      </c>
      <c r="J548" s="22" t="s">
        <v>19849</v>
      </c>
      <c r="K548" s="22" t="s">
        <v>19850</v>
      </c>
      <c r="L548" s="22"/>
      <c r="M548" s="22"/>
      <c r="N548" s="25" t="str">
        <f>HYPERLINK("http://slimages.macys.com/is/image/MCY/21251249 ")</f>
        <v xml:space="preserve">http://slimages.macys.com/is/image/MCY/21251249 </v>
      </c>
    </row>
    <row r="549" spans="1:14" x14ac:dyDescent="0.25">
      <c r="A549" s="21" t="s">
        <v>18893</v>
      </c>
      <c r="B549" s="22" t="s">
        <v>18894</v>
      </c>
      <c r="C549" s="3">
        <v>6.82</v>
      </c>
      <c r="D549" s="23">
        <v>9.99</v>
      </c>
      <c r="E549" s="3">
        <v>19.98</v>
      </c>
      <c r="F549" s="2" t="s">
        <v>18895</v>
      </c>
      <c r="G549" s="22" t="s">
        <v>19462</v>
      </c>
      <c r="H549" s="24" t="s">
        <v>19361</v>
      </c>
      <c r="I549" s="22" t="s">
        <v>19309</v>
      </c>
      <c r="J549" s="22" t="s">
        <v>19849</v>
      </c>
      <c r="K549" s="22" t="s">
        <v>19850</v>
      </c>
      <c r="L549" s="22"/>
      <c r="M549" s="22"/>
      <c r="N549" s="25" t="str">
        <f>HYPERLINK("http://slimages.macys.com/is/image/MCY/21251249 ")</f>
        <v xml:space="preserve">http://slimages.macys.com/is/image/MCY/21251249 </v>
      </c>
    </row>
    <row r="550" spans="1:14" ht="24.75" x14ac:dyDescent="0.25">
      <c r="A550" s="21" t="s">
        <v>16918</v>
      </c>
      <c r="B550" s="22" t="s">
        <v>16919</v>
      </c>
      <c r="C550" s="3">
        <v>3.4</v>
      </c>
      <c r="D550" s="23">
        <v>7.99</v>
      </c>
      <c r="E550" s="3">
        <v>7.99</v>
      </c>
      <c r="F550" s="2" t="s">
        <v>16920</v>
      </c>
      <c r="G550" s="22" t="s">
        <v>19351</v>
      </c>
      <c r="H550" s="24" t="s">
        <v>20089</v>
      </c>
      <c r="I550" s="22" t="s">
        <v>19309</v>
      </c>
      <c r="J550" s="22" t="s">
        <v>19908</v>
      </c>
      <c r="K550" s="22" t="s">
        <v>19524</v>
      </c>
      <c r="L550" s="22"/>
      <c r="M550" s="22"/>
      <c r="N550" s="25" t="str">
        <f>HYPERLINK("http://slimages.macys.com/is/image/MCY/1521980 ")</f>
        <v xml:space="preserve">http://slimages.macys.com/is/image/MCY/1521980 </v>
      </c>
    </row>
    <row r="551" spans="1:14" ht="24.75" x14ac:dyDescent="0.25">
      <c r="A551" s="21" t="s">
        <v>16921</v>
      </c>
      <c r="B551" s="22" t="s">
        <v>16922</v>
      </c>
      <c r="C551" s="3">
        <v>3.38</v>
      </c>
      <c r="D551" s="23">
        <v>8.06</v>
      </c>
      <c r="E551" s="3">
        <v>8.06</v>
      </c>
      <c r="F551" s="2" t="s">
        <v>16923</v>
      </c>
      <c r="G551" s="22" t="s">
        <v>19315</v>
      </c>
      <c r="H551" s="24"/>
      <c r="I551" s="22" t="s">
        <v>19309</v>
      </c>
      <c r="J551" s="22" t="s">
        <v>19602</v>
      </c>
      <c r="K551" s="22" t="s">
        <v>20041</v>
      </c>
      <c r="L551" s="22"/>
      <c r="M551" s="22"/>
      <c r="N551" s="25" t="str">
        <f>HYPERLINK("http://slimages.macys.com/is/image/MCY/22406209 ")</f>
        <v xml:space="preserve">http://slimages.macys.com/is/image/MCY/22406209 </v>
      </c>
    </row>
    <row r="552" spans="1:14" ht="24.75" x14ac:dyDescent="0.25">
      <c r="A552" s="21" t="s">
        <v>16924</v>
      </c>
      <c r="B552" s="22" t="s">
        <v>16925</v>
      </c>
      <c r="C552" s="3">
        <v>3.38</v>
      </c>
      <c r="D552" s="23">
        <v>8.06</v>
      </c>
      <c r="E552" s="3">
        <v>8.06</v>
      </c>
      <c r="F552" s="2" t="s">
        <v>16923</v>
      </c>
      <c r="G552" s="22" t="s">
        <v>19315</v>
      </c>
      <c r="H552" s="24" t="s">
        <v>19345</v>
      </c>
      <c r="I552" s="22" t="s">
        <v>19309</v>
      </c>
      <c r="J552" s="22" t="s">
        <v>19602</v>
      </c>
      <c r="K552" s="22" t="s">
        <v>20041</v>
      </c>
      <c r="L552" s="22"/>
      <c r="M552" s="22"/>
      <c r="N552" s="25" t="str">
        <f>HYPERLINK("http://slimages.macys.com/is/image/MCY/22406209 ")</f>
        <v xml:space="preserve">http://slimages.macys.com/is/image/MCY/22406209 </v>
      </c>
    </row>
    <row r="553" spans="1:14" ht="24.75" x14ac:dyDescent="0.25">
      <c r="A553" s="21" t="s">
        <v>16926</v>
      </c>
      <c r="B553" s="22" t="s">
        <v>16927</v>
      </c>
      <c r="C553" s="3">
        <v>3.38</v>
      </c>
      <c r="D553" s="23">
        <v>7.99</v>
      </c>
      <c r="E553" s="3">
        <v>7.99</v>
      </c>
      <c r="F553" s="2" t="s">
        <v>16928</v>
      </c>
      <c r="G553" s="22" t="s">
        <v>19431</v>
      </c>
      <c r="H553" s="24" t="s">
        <v>19907</v>
      </c>
      <c r="I553" s="22" t="s">
        <v>19309</v>
      </c>
      <c r="J553" s="22" t="s">
        <v>19573</v>
      </c>
      <c r="K553" s="22" t="s">
        <v>19574</v>
      </c>
      <c r="L553" s="22"/>
      <c r="M553" s="22"/>
      <c r="N553" s="25" t="str">
        <f>HYPERLINK("http://slimages.macys.com/is/image/MCY/21730716 ")</f>
        <v xml:space="preserve">http://slimages.macys.com/is/image/MCY/21730716 </v>
      </c>
    </row>
    <row r="554" spans="1:14" ht="24.75" x14ac:dyDescent="0.25">
      <c r="A554" s="21" t="s">
        <v>16929</v>
      </c>
      <c r="B554" s="22" t="s">
        <v>16930</v>
      </c>
      <c r="C554" s="3">
        <v>3.37</v>
      </c>
      <c r="D554" s="23">
        <v>8.99</v>
      </c>
      <c r="E554" s="3">
        <v>8.99</v>
      </c>
      <c r="F554" s="2" t="s">
        <v>18909</v>
      </c>
      <c r="G554" s="22" t="s">
        <v>19518</v>
      </c>
      <c r="H554" s="24" t="s">
        <v>19308</v>
      </c>
      <c r="I554" s="22" t="s">
        <v>19309</v>
      </c>
      <c r="J554" s="22" t="s">
        <v>19815</v>
      </c>
      <c r="K554" s="22" t="s">
        <v>19816</v>
      </c>
      <c r="L554" s="22"/>
      <c r="M554" s="22"/>
      <c r="N554" s="25" t="str">
        <f>HYPERLINK("http://slimages.macys.com/is/image/MCY/20454073 ")</f>
        <v xml:space="preserve">http://slimages.macys.com/is/image/MCY/20454073 </v>
      </c>
    </row>
    <row r="555" spans="1:14" ht="24.75" x14ac:dyDescent="0.25">
      <c r="A555" s="21" t="s">
        <v>16931</v>
      </c>
      <c r="B555" s="22" t="s">
        <v>16932</v>
      </c>
      <c r="C555" s="3">
        <v>6.74</v>
      </c>
      <c r="D555" s="23">
        <v>8.99</v>
      </c>
      <c r="E555" s="3">
        <v>17.98</v>
      </c>
      <c r="F555" s="2" t="s">
        <v>18909</v>
      </c>
      <c r="G555" s="22" t="s">
        <v>19518</v>
      </c>
      <c r="H555" s="24" t="s">
        <v>19352</v>
      </c>
      <c r="I555" s="22" t="s">
        <v>19309</v>
      </c>
      <c r="J555" s="22" t="s">
        <v>19815</v>
      </c>
      <c r="K555" s="22" t="s">
        <v>19816</v>
      </c>
      <c r="L555" s="22"/>
      <c r="M555" s="22"/>
      <c r="N555" s="25" t="str">
        <f>HYPERLINK("http://slimages.macys.com/is/image/MCY/21769938 ")</f>
        <v xml:space="preserve">http://slimages.macys.com/is/image/MCY/21769938 </v>
      </c>
    </row>
    <row r="556" spans="1:14" ht="24.75" x14ac:dyDescent="0.25">
      <c r="A556" s="21" t="s">
        <v>18907</v>
      </c>
      <c r="B556" s="22" t="s">
        <v>18908</v>
      </c>
      <c r="C556" s="3">
        <v>6.74</v>
      </c>
      <c r="D556" s="23">
        <v>8.99</v>
      </c>
      <c r="E556" s="3">
        <v>17.98</v>
      </c>
      <c r="F556" s="2" t="s">
        <v>18909</v>
      </c>
      <c r="G556" s="22" t="s">
        <v>19518</v>
      </c>
      <c r="H556" s="24" t="s">
        <v>19364</v>
      </c>
      <c r="I556" s="22" t="s">
        <v>19309</v>
      </c>
      <c r="J556" s="22" t="s">
        <v>19815</v>
      </c>
      <c r="K556" s="22" t="s">
        <v>19816</v>
      </c>
      <c r="L556" s="22"/>
      <c r="M556" s="22"/>
      <c r="N556" s="25" t="str">
        <f>HYPERLINK("http://slimages.macys.com/is/image/MCY/20454073 ")</f>
        <v xml:space="preserve">http://slimages.macys.com/is/image/MCY/20454073 </v>
      </c>
    </row>
    <row r="557" spans="1:14" ht="24.75" x14ac:dyDescent="0.25">
      <c r="A557" s="21" t="s">
        <v>16933</v>
      </c>
      <c r="B557" s="22" t="s">
        <v>16934</v>
      </c>
      <c r="C557" s="3">
        <v>3.29</v>
      </c>
      <c r="D557" s="23">
        <v>7.99</v>
      </c>
      <c r="E557" s="3">
        <v>7.99</v>
      </c>
      <c r="F557" s="2" t="s">
        <v>16935</v>
      </c>
      <c r="G557" s="22" t="s">
        <v>19415</v>
      </c>
      <c r="H557" s="24" t="s">
        <v>19907</v>
      </c>
      <c r="I557" s="22" t="s">
        <v>19309</v>
      </c>
      <c r="J557" s="22" t="s">
        <v>19573</v>
      </c>
      <c r="K557" s="22" t="s">
        <v>19574</v>
      </c>
      <c r="L557" s="22"/>
      <c r="M557" s="22"/>
      <c r="N557" s="25" t="str">
        <f>HYPERLINK("http://slimages.macys.com/is/image/MCY/21209612 ")</f>
        <v xml:space="preserve">http://slimages.macys.com/is/image/MCY/21209612 </v>
      </c>
    </row>
    <row r="558" spans="1:14" x14ac:dyDescent="0.25">
      <c r="A558" s="21" t="s">
        <v>16936</v>
      </c>
      <c r="B558" s="22" t="s">
        <v>16937</v>
      </c>
      <c r="C558" s="3">
        <v>3.29</v>
      </c>
      <c r="D558" s="23">
        <v>5.99</v>
      </c>
      <c r="E558" s="3">
        <v>5.99</v>
      </c>
      <c r="F558" s="2" t="s">
        <v>18921</v>
      </c>
      <c r="G558" s="22" t="s">
        <v>19315</v>
      </c>
      <c r="H558" s="24" t="s">
        <v>19361</v>
      </c>
      <c r="I558" s="22" t="s">
        <v>19309</v>
      </c>
      <c r="J558" s="22" t="s">
        <v>19849</v>
      </c>
      <c r="K558" s="22" t="s">
        <v>19850</v>
      </c>
      <c r="L558" s="22"/>
      <c r="M558" s="22"/>
      <c r="N558" s="25" t="str">
        <f>HYPERLINK("http://slimages.macys.com/is/image/MCY/19068346 ")</f>
        <v xml:space="preserve">http://slimages.macys.com/is/image/MCY/19068346 </v>
      </c>
    </row>
    <row r="559" spans="1:14" ht="24.75" x14ac:dyDescent="0.25">
      <c r="A559" s="21" t="s">
        <v>16938</v>
      </c>
      <c r="B559" s="22" t="s">
        <v>16939</v>
      </c>
      <c r="C559" s="3">
        <v>3.29</v>
      </c>
      <c r="D559" s="23">
        <v>7.99</v>
      </c>
      <c r="E559" s="3">
        <v>7.99</v>
      </c>
      <c r="F559" s="2" t="s">
        <v>16935</v>
      </c>
      <c r="G559" s="22" t="s">
        <v>19415</v>
      </c>
      <c r="H559" s="24" t="s">
        <v>20089</v>
      </c>
      <c r="I559" s="22" t="s">
        <v>19309</v>
      </c>
      <c r="J559" s="22" t="s">
        <v>19573</v>
      </c>
      <c r="K559" s="22" t="s">
        <v>19574</v>
      </c>
      <c r="L559" s="22"/>
      <c r="M559" s="22"/>
      <c r="N559" s="25" t="str">
        <f>HYPERLINK("http://slimages.macys.com/is/image/MCY/21209612 ")</f>
        <v xml:space="preserve">http://slimages.macys.com/is/image/MCY/21209612 </v>
      </c>
    </row>
    <row r="560" spans="1:14" ht="24.75" x14ac:dyDescent="0.25">
      <c r="A560" s="21" t="s">
        <v>16940</v>
      </c>
      <c r="B560" s="22" t="s">
        <v>16941</v>
      </c>
      <c r="C560" s="3">
        <v>3.27</v>
      </c>
      <c r="D560" s="23">
        <v>7.99</v>
      </c>
      <c r="E560" s="3">
        <v>7.99</v>
      </c>
      <c r="F560" s="2" t="s">
        <v>16942</v>
      </c>
      <c r="G560" s="22" t="s">
        <v>19333</v>
      </c>
      <c r="H560" s="24" t="s">
        <v>20089</v>
      </c>
      <c r="I560" s="22" t="s">
        <v>19309</v>
      </c>
      <c r="J560" s="22" t="s">
        <v>19908</v>
      </c>
      <c r="K560" s="22" t="s">
        <v>19524</v>
      </c>
      <c r="L560" s="22"/>
      <c r="M560" s="22"/>
      <c r="N560" s="25" t="str">
        <f>HYPERLINK("http://slimages.macys.com/is/image/MCY/21572442 ")</f>
        <v xml:space="preserve">http://slimages.macys.com/is/image/MCY/21572442 </v>
      </c>
    </row>
    <row r="561" spans="1:14" ht="24.75" x14ac:dyDescent="0.25">
      <c r="A561" s="21" t="s">
        <v>16943</v>
      </c>
      <c r="B561" s="22" t="s">
        <v>16944</v>
      </c>
      <c r="C561" s="3">
        <v>3.27</v>
      </c>
      <c r="D561" s="23">
        <v>7.99</v>
      </c>
      <c r="E561" s="3">
        <v>7.99</v>
      </c>
      <c r="F561" s="2" t="s">
        <v>18935</v>
      </c>
      <c r="G561" s="22" t="s">
        <v>19333</v>
      </c>
      <c r="H561" s="24" t="s">
        <v>20089</v>
      </c>
      <c r="I561" s="22" t="s">
        <v>19309</v>
      </c>
      <c r="J561" s="22" t="s">
        <v>19908</v>
      </c>
      <c r="K561" s="22" t="s">
        <v>19524</v>
      </c>
      <c r="L561" s="22"/>
      <c r="M561" s="22"/>
      <c r="N561" s="25" t="str">
        <f>HYPERLINK("http://slimages.macys.com/is/image/MCY/21070276 ")</f>
        <v xml:space="preserve">http://slimages.macys.com/is/image/MCY/21070276 </v>
      </c>
    </row>
    <row r="562" spans="1:14" ht="24.75" x14ac:dyDescent="0.25">
      <c r="A562" s="21" t="s">
        <v>16945</v>
      </c>
      <c r="B562" s="22" t="s">
        <v>16946</v>
      </c>
      <c r="C562" s="3">
        <v>3.27</v>
      </c>
      <c r="D562" s="23">
        <v>7.99</v>
      </c>
      <c r="E562" s="3">
        <v>7.99</v>
      </c>
      <c r="F562" s="2" t="s">
        <v>18927</v>
      </c>
      <c r="G562" s="22" t="s">
        <v>19415</v>
      </c>
      <c r="H562" s="24" t="s">
        <v>20089</v>
      </c>
      <c r="I562" s="22" t="s">
        <v>19309</v>
      </c>
      <c r="J562" s="22" t="s">
        <v>19908</v>
      </c>
      <c r="K562" s="22" t="s">
        <v>19524</v>
      </c>
      <c r="L562" s="22"/>
      <c r="M562" s="22"/>
      <c r="N562" s="25" t="str">
        <f>HYPERLINK("http://slimages.macys.com/is/image/MCY/22159419 ")</f>
        <v xml:space="preserve">http://slimages.macys.com/is/image/MCY/22159419 </v>
      </c>
    </row>
    <row r="563" spans="1:14" ht="24.75" x14ac:dyDescent="0.25">
      <c r="A563" s="21" t="s">
        <v>16947</v>
      </c>
      <c r="B563" s="22" t="s">
        <v>16948</v>
      </c>
      <c r="C563" s="3">
        <v>3.27</v>
      </c>
      <c r="D563" s="23">
        <v>7.99</v>
      </c>
      <c r="E563" s="3">
        <v>7.99</v>
      </c>
      <c r="F563" s="2" t="s">
        <v>16949</v>
      </c>
      <c r="G563" s="22" t="s">
        <v>19351</v>
      </c>
      <c r="H563" s="24" t="s">
        <v>19377</v>
      </c>
      <c r="I563" s="22" t="s">
        <v>19309</v>
      </c>
      <c r="J563" s="22" t="s">
        <v>19908</v>
      </c>
      <c r="K563" s="22" t="s">
        <v>19524</v>
      </c>
      <c r="L563" s="22"/>
      <c r="M563" s="22"/>
      <c r="N563" s="25" t="str">
        <f>HYPERLINK("http://slimages.macys.com/is/image/MCY/21243386 ")</f>
        <v xml:space="preserve">http://slimages.macys.com/is/image/MCY/21243386 </v>
      </c>
    </row>
    <row r="564" spans="1:14" ht="24.75" x14ac:dyDescent="0.25">
      <c r="A564" s="21" t="s">
        <v>18931</v>
      </c>
      <c r="B564" s="22" t="s">
        <v>18932</v>
      </c>
      <c r="C564" s="3">
        <v>3.27</v>
      </c>
      <c r="D564" s="23">
        <v>7.99</v>
      </c>
      <c r="E564" s="3">
        <v>7.99</v>
      </c>
      <c r="F564" s="2" t="s">
        <v>18927</v>
      </c>
      <c r="G564" s="22" t="s">
        <v>19415</v>
      </c>
      <c r="H564" s="24" t="s">
        <v>20135</v>
      </c>
      <c r="I564" s="22" t="s">
        <v>19309</v>
      </c>
      <c r="J564" s="22" t="s">
        <v>19908</v>
      </c>
      <c r="K564" s="22" t="s">
        <v>19524</v>
      </c>
      <c r="L564" s="22"/>
      <c r="M564" s="22"/>
      <c r="N564" s="25" t="str">
        <f>HYPERLINK("http://slimages.macys.com/is/image/MCY/22159419 ")</f>
        <v xml:space="preserve">http://slimages.macys.com/is/image/MCY/22159419 </v>
      </c>
    </row>
    <row r="565" spans="1:14" ht="24.75" x14ac:dyDescent="0.25">
      <c r="A565" s="21" t="s">
        <v>16950</v>
      </c>
      <c r="B565" s="22" t="s">
        <v>16951</v>
      </c>
      <c r="C565" s="3">
        <v>3.27</v>
      </c>
      <c r="D565" s="23">
        <v>7.99</v>
      </c>
      <c r="E565" s="3">
        <v>7.99</v>
      </c>
      <c r="F565" s="2" t="s">
        <v>16952</v>
      </c>
      <c r="G565" s="22" t="s">
        <v>18439</v>
      </c>
      <c r="H565" s="24" t="s">
        <v>19361</v>
      </c>
      <c r="I565" s="22" t="s">
        <v>19309</v>
      </c>
      <c r="J565" s="22" t="s">
        <v>19908</v>
      </c>
      <c r="K565" s="22" t="s">
        <v>19524</v>
      </c>
      <c r="L565" s="22"/>
      <c r="M565" s="22"/>
      <c r="N565" s="25" t="str">
        <f>HYPERLINK("http://slimages.macys.com/is/image/MCY/22029038 ")</f>
        <v xml:space="preserve">http://slimages.macys.com/is/image/MCY/22029038 </v>
      </c>
    </row>
    <row r="566" spans="1:14" ht="24.75" x14ac:dyDescent="0.25">
      <c r="A566" s="21" t="s">
        <v>16953</v>
      </c>
      <c r="B566" s="22" t="s">
        <v>16954</v>
      </c>
      <c r="C566" s="3">
        <v>3.25</v>
      </c>
      <c r="D566" s="23">
        <v>7.99</v>
      </c>
      <c r="E566" s="3">
        <v>7.99</v>
      </c>
      <c r="F566" s="2" t="s">
        <v>16955</v>
      </c>
      <c r="G566" s="22" t="s">
        <v>19513</v>
      </c>
      <c r="H566" s="24" t="s">
        <v>19392</v>
      </c>
      <c r="I566" s="22" t="s">
        <v>19309</v>
      </c>
      <c r="J566" s="22" t="s">
        <v>19454</v>
      </c>
      <c r="K566" s="22" t="s">
        <v>19524</v>
      </c>
      <c r="L566" s="22"/>
      <c r="M566" s="22"/>
      <c r="N566" s="25" t="str">
        <f>HYPERLINK("http://slimages.macys.com/is/image/MCY/18721670 ")</f>
        <v xml:space="preserve">http://slimages.macys.com/is/image/MCY/18721670 </v>
      </c>
    </row>
    <row r="567" spans="1:14" ht="24.75" x14ac:dyDescent="0.25">
      <c r="A567" s="21" t="s">
        <v>16956</v>
      </c>
      <c r="B567" s="22" t="s">
        <v>16957</v>
      </c>
      <c r="C567" s="3">
        <v>3.25</v>
      </c>
      <c r="D567" s="23">
        <v>7.99</v>
      </c>
      <c r="E567" s="3">
        <v>7.99</v>
      </c>
      <c r="F567" s="2" t="s">
        <v>16958</v>
      </c>
      <c r="G567" s="22" t="s">
        <v>19338</v>
      </c>
      <c r="H567" s="24" t="s">
        <v>20135</v>
      </c>
      <c r="I567" s="22" t="s">
        <v>19309</v>
      </c>
      <c r="J567" s="22" t="s">
        <v>19454</v>
      </c>
      <c r="K567" s="22" t="s">
        <v>19524</v>
      </c>
      <c r="L567" s="22"/>
      <c r="M567" s="22"/>
      <c r="N567" s="25" t="str">
        <f>HYPERLINK("http://slimages.macys.com/is/image/MCY/1064552 ")</f>
        <v xml:space="preserve">http://slimages.macys.com/is/image/MCY/1064552 </v>
      </c>
    </row>
    <row r="568" spans="1:14" ht="24.75" x14ac:dyDescent="0.25">
      <c r="A568" s="21" t="s">
        <v>16959</v>
      </c>
      <c r="B568" s="22" t="s">
        <v>16960</v>
      </c>
      <c r="C568" s="3">
        <v>3.25</v>
      </c>
      <c r="D568" s="23">
        <v>7.99</v>
      </c>
      <c r="E568" s="3">
        <v>7.99</v>
      </c>
      <c r="F568" s="2" t="s">
        <v>16961</v>
      </c>
      <c r="G568" s="22" t="s">
        <v>19351</v>
      </c>
      <c r="H568" s="24" t="s">
        <v>19542</v>
      </c>
      <c r="I568" s="22" t="s">
        <v>19309</v>
      </c>
      <c r="J568" s="22" t="s">
        <v>19454</v>
      </c>
      <c r="K568" s="22" t="s">
        <v>19524</v>
      </c>
      <c r="L568" s="22"/>
      <c r="M568" s="22"/>
      <c r="N568" s="25" t="str">
        <f>HYPERLINK("http://slimages.macys.com/is/image/MCY/1415870 ")</f>
        <v xml:space="preserve">http://slimages.macys.com/is/image/MCY/1415870 </v>
      </c>
    </row>
    <row r="569" spans="1:14" ht="24.75" x14ac:dyDescent="0.25">
      <c r="A569" s="21" t="s">
        <v>16962</v>
      </c>
      <c r="B569" s="22" t="s">
        <v>16963</v>
      </c>
      <c r="C569" s="3">
        <v>3.23</v>
      </c>
      <c r="D569" s="23">
        <v>6.99</v>
      </c>
      <c r="E569" s="3">
        <v>6.99</v>
      </c>
      <c r="F569" s="2" t="s">
        <v>16964</v>
      </c>
      <c r="G569" s="22" t="s">
        <v>19422</v>
      </c>
      <c r="H569" s="24" t="s">
        <v>19339</v>
      </c>
      <c r="I569" s="22" t="s">
        <v>19309</v>
      </c>
      <c r="J569" s="22" t="s">
        <v>19353</v>
      </c>
      <c r="K569" s="22" t="s">
        <v>19354</v>
      </c>
      <c r="L569" s="22"/>
      <c r="M569" s="22"/>
      <c r="N569" s="25" t="str">
        <f>HYPERLINK("http://slimages.macys.com/is/image/MCY/21563051 ")</f>
        <v xml:space="preserve">http://slimages.macys.com/is/image/MCY/21563051 </v>
      </c>
    </row>
    <row r="570" spans="1:14" x14ac:dyDescent="0.25">
      <c r="A570" s="21" t="s">
        <v>16965</v>
      </c>
      <c r="B570" s="22" t="s">
        <v>16966</v>
      </c>
      <c r="C570" s="3">
        <v>3.23</v>
      </c>
      <c r="D570" s="23">
        <v>7.99</v>
      </c>
      <c r="E570" s="3">
        <v>7.99</v>
      </c>
      <c r="F570" s="2" t="s">
        <v>16840</v>
      </c>
      <c r="G570" s="22" t="s">
        <v>19467</v>
      </c>
      <c r="H570" s="24" t="s">
        <v>19907</v>
      </c>
      <c r="I570" s="22" t="s">
        <v>19309</v>
      </c>
      <c r="J570" s="22" t="s">
        <v>19849</v>
      </c>
      <c r="K570" s="22" t="s">
        <v>19850</v>
      </c>
      <c r="L570" s="22"/>
      <c r="M570" s="22"/>
      <c r="N570" s="25" t="str">
        <f>HYPERLINK("http://slimages.macys.com/is/image/MCY/19068277 ")</f>
        <v xml:space="preserve">http://slimages.macys.com/is/image/MCY/19068277 </v>
      </c>
    </row>
    <row r="571" spans="1:14" x14ac:dyDescent="0.25">
      <c r="A571" s="21" t="s">
        <v>16967</v>
      </c>
      <c r="B571" s="22" t="s">
        <v>16968</v>
      </c>
      <c r="C571" s="3">
        <v>3.23</v>
      </c>
      <c r="D571" s="23">
        <v>7.99</v>
      </c>
      <c r="E571" s="3">
        <v>7.99</v>
      </c>
      <c r="F571" s="2" t="s">
        <v>16840</v>
      </c>
      <c r="G571" s="22" t="s">
        <v>19467</v>
      </c>
      <c r="H571" s="24" t="s">
        <v>19361</v>
      </c>
      <c r="I571" s="22" t="s">
        <v>19309</v>
      </c>
      <c r="J571" s="22" t="s">
        <v>19849</v>
      </c>
      <c r="K571" s="22" t="s">
        <v>19850</v>
      </c>
      <c r="L571" s="22"/>
      <c r="M571" s="22"/>
      <c r="N571" s="25" t="str">
        <f>HYPERLINK("http://slimages.macys.com/is/image/MCY/19068277 ")</f>
        <v xml:space="preserve">http://slimages.macys.com/is/image/MCY/19068277 </v>
      </c>
    </row>
    <row r="572" spans="1:14" x14ac:dyDescent="0.25">
      <c r="A572" s="21" t="s">
        <v>16969</v>
      </c>
      <c r="B572" s="22" t="s">
        <v>16970</v>
      </c>
      <c r="C572" s="3">
        <v>3.23</v>
      </c>
      <c r="D572" s="23">
        <v>7.99</v>
      </c>
      <c r="E572" s="3">
        <v>7.99</v>
      </c>
      <c r="F572" s="2" t="s">
        <v>16840</v>
      </c>
      <c r="G572" s="22" t="s">
        <v>19467</v>
      </c>
      <c r="H572" s="24" t="s">
        <v>20135</v>
      </c>
      <c r="I572" s="22" t="s">
        <v>19309</v>
      </c>
      <c r="J572" s="22" t="s">
        <v>19849</v>
      </c>
      <c r="K572" s="22" t="s">
        <v>19850</v>
      </c>
      <c r="L572" s="22"/>
      <c r="M572" s="22"/>
      <c r="N572" s="25" t="str">
        <f>HYPERLINK("http://slimages.macys.com/is/image/MCY/19068277 ")</f>
        <v xml:space="preserve">http://slimages.macys.com/is/image/MCY/19068277 </v>
      </c>
    </row>
    <row r="573" spans="1:14" x14ac:dyDescent="0.25">
      <c r="A573" s="21" t="s">
        <v>16971</v>
      </c>
      <c r="B573" s="22" t="s">
        <v>16972</v>
      </c>
      <c r="C573" s="3">
        <v>3.23</v>
      </c>
      <c r="D573" s="23">
        <v>7.99</v>
      </c>
      <c r="E573" s="3">
        <v>7.99</v>
      </c>
      <c r="F573" s="2" t="s">
        <v>16840</v>
      </c>
      <c r="G573" s="22" t="s">
        <v>19618</v>
      </c>
      <c r="H573" s="24" t="s">
        <v>19907</v>
      </c>
      <c r="I573" s="22" t="s">
        <v>19309</v>
      </c>
      <c r="J573" s="22" t="s">
        <v>19849</v>
      </c>
      <c r="K573" s="22" t="s">
        <v>19850</v>
      </c>
      <c r="L573" s="22"/>
      <c r="M573" s="22"/>
      <c r="N573" s="25" t="str">
        <f>HYPERLINK("http://slimages.macys.com/is/image/MCY/19068277 ")</f>
        <v xml:space="preserve">http://slimages.macys.com/is/image/MCY/19068277 </v>
      </c>
    </row>
    <row r="574" spans="1:14" ht="24.75" x14ac:dyDescent="0.25">
      <c r="A574" s="21" t="s">
        <v>16973</v>
      </c>
      <c r="B574" s="22" t="s">
        <v>16974</v>
      </c>
      <c r="C574" s="3">
        <v>3.2</v>
      </c>
      <c r="D574" s="23">
        <v>7.99</v>
      </c>
      <c r="E574" s="3">
        <v>7.99</v>
      </c>
      <c r="F574" s="2" t="s">
        <v>16975</v>
      </c>
      <c r="G574" s="22" t="s">
        <v>19351</v>
      </c>
      <c r="H574" s="24" t="s">
        <v>19377</v>
      </c>
      <c r="I574" s="22" t="s">
        <v>19309</v>
      </c>
      <c r="J574" s="22" t="s">
        <v>19908</v>
      </c>
      <c r="K574" s="22" t="s">
        <v>19524</v>
      </c>
      <c r="L574" s="22"/>
      <c r="M574" s="22"/>
      <c r="N574" s="25" t="str">
        <f>HYPERLINK("http://slimages.macys.com/is/image/MCY/1554688 ")</f>
        <v xml:space="preserve">http://slimages.macys.com/is/image/MCY/1554688 </v>
      </c>
    </row>
    <row r="575" spans="1:14" ht="24.75" x14ac:dyDescent="0.25">
      <c r="A575" s="21" t="s">
        <v>16976</v>
      </c>
      <c r="B575" s="22" t="s">
        <v>16977</v>
      </c>
      <c r="C575" s="3">
        <v>3.2</v>
      </c>
      <c r="D575" s="23">
        <v>8.99</v>
      </c>
      <c r="E575" s="3">
        <v>8.99</v>
      </c>
      <c r="F575" s="2" t="s">
        <v>16978</v>
      </c>
      <c r="G575" s="22" t="s">
        <v>19674</v>
      </c>
      <c r="H575" s="24" t="s">
        <v>19395</v>
      </c>
      <c r="I575" s="22" t="s">
        <v>19309</v>
      </c>
      <c r="J575" s="22" t="s">
        <v>19573</v>
      </c>
      <c r="K575" s="22" t="s">
        <v>20228</v>
      </c>
      <c r="L575" s="22"/>
      <c r="M575" s="22"/>
      <c r="N575" s="25" t="str">
        <f>HYPERLINK("http://slimages.macys.com/is/image/MCY/18422286 ")</f>
        <v xml:space="preserve">http://slimages.macys.com/is/image/MCY/18422286 </v>
      </c>
    </row>
    <row r="576" spans="1:14" ht="24.75" x14ac:dyDescent="0.25">
      <c r="A576" s="21" t="s">
        <v>16979</v>
      </c>
      <c r="B576" s="22" t="s">
        <v>16980</v>
      </c>
      <c r="C576" s="3">
        <v>3.2</v>
      </c>
      <c r="D576" s="23">
        <v>7.99</v>
      </c>
      <c r="E576" s="3">
        <v>7.99</v>
      </c>
      <c r="F576" s="2" t="s">
        <v>16981</v>
      </c>
      <c r="G576" s="22" t="s">
        <v>19351</v>
      </c>
      <c r="H576" s="24" t="s">
        <v>19907</v>
      </c>
      <c r="I576" s="22" t="s">
        <v>19309</v>
      </c>
      <c r="J576" s="22" t="s">
        <v>19908</v>
      </c>
      <c r="K576" s="22" t="s">
        <v>19524</v>
      </c>
      <c r="L576" s="22"/>
      <c r="M576" s="22"/>
      <c r="N576" s="25" t="str">
        <f>HYPERLINK("http://slimages.macys.com/is/image/MCY/21433867 ")</f>
        <v xml:space="preserve">http://slimages.macys.com/is/image/MCY/21433867 </v>
      </c>
    </row>
    <row r="577" spans="1:14" ht="24.75" x14ac:dyDescent="0.25">
      <c r="A577" s="21" t="s">
        <v>16982</v>
      </c>
      <c r="B577" s="22" t="s">
        <v>16983</v>
      </c>
      <c r="C577" s="3">
        <v>3.2</v>
      </c>
      <c r="D577" s="23">
        <v>7.99</v>
      </c>
      <c r="E577" s="3">
        <v>7.99</v>
      </c>
      <c r="F577" s="2" t="s">
        <v>16984</v>
      </c>
      <c r="G577" s="22" t="s">
        <v>19431</v>
      </c>
      <c r="H577" s="24" t="s">
        <v>19542</v>
      </c>
      <c r="I577" s="22" t="s">
        <v>19309</v>
      </c>
      <c r="J577" s="22" t="s">
        <v>19908</v>
      </c>
      <c r="K577" s="22" t="s">
        <v>19524</v>
      </c>
      <c r="L577" s="22"/>
      <c r="M577" s="22"/>
      <c r="N577" s="25" t="str">
        <f>HYPERLINK("http://slimages.macys.com/is/image/MCY/1554688 ")</f>
        <v xml:space="preserve">http://slimages.macys.com/is/image/MCY/1554688 </v>
      </c>
    </row>
    <row r="578" spans="1:14" ht="24.75" x14ac:dyDescent="0.25">
      <c r="A578" s="21" t="s">
        <v>16985</v>
      </c>
      <c r="B578" s="22" t="s">
        <v>16986</v>
      </c>
      <c r="C578" s="3">
        <v>3.2</v>
      </c>
      <c r="D578" s="23">
        <v>7.99</v>
      </c>
      <c r="E578" s="3">
        <v>7.99</v>
      </c>
      <c r="F578" s="2" t="s">
        <v>16987</v>
      </c>
      <c r="G578" s="22" t="s">
        <v>19351</v>
      </c>
      <c r="H578" s="24" t="s">
        <v>19907</v>
      </c>
      <c r="I578" s="22" t="s">
        <v>19309</v>
      </c>
      <c r="J578" s="22" t="s">
        <v>19908</v>
      </c>
      <c r="K578" s="22" t="s">
        <v>19524</v>
      </c>
      <c r="L578" s="22"/>
      <c r="M578" s="22"/>
      <c r="N578" s="25" t="str">
        <f>HYPERLINK("http://slimages.macys.com/is/image/MCY/21727272 ")</f>
        <v xml:space="preserve">http://slimages.macys.com/is/image/MCY/21727272 </v>
      </c>
    </row>
    <row r="579" spans="1:14" ht="24.75" x14ac:dyDescent="0.25">
      <c r="A579" s="21" t="s">
        <v>16988</v>
      </c>
      <c r="B579" s="22" t="s">
        <v>16989</v>
      </c>
      <c r="C579" s="3">
        <v>3.2</v>
      </c>
      <c r="D579" s="23">
        <v>7.99</v>
      </c>
      <c r="E579" s="3">
        <v>7.99</v>
      </c>
      <c r="F579" s="2" t="s">
        <v>18957</v>
      </c>
      <c r="G579" s="22" t="s">
        <v>19415</v>
      </c>
      <c r="H579" s="24" t="s">
        <v>20089</v>
      </c>
      <c r="I579" s="22" t="s">
        <v>19309</v>
      </c>
      <c r="J579" s="22" t="s">
        <v>19908</v>
      </c>
      <c r="K579" s="22" t="s">
        <v>19524</v>
      </c>
      <c r="L579" s="22"/>
      <c r="M579" s="22"/>
      <c r="N579" s="25" t="str">
        <f>HYPERLINK("http://slimages.macys.com/is/image/MCY/1472593 ")</f>
        <v xml:space="preserve">http://slimages.macys.com/is/image/MCY/1472593 </v>
      </c>
    </row>
    <row r="580" spans="1:14" ht="24.75" x14ac:dyDescent="0.25">
      <c r="A580" s="21" t="s">
        <v>16990</v>
      </c>
      <c r="B580" s="22" t="s">
        <v>16991</v>
      </c>
      <c r="C580" s="3">
        <v>6.4</v>
      </c>
      <c r="D580" s="23">
        <v>7.99</v>
      </c>
      <c r="E580" s="3">
        <v>15.98</v>
      </c>
      <c r="F580" s="2" t="s">
        <v>16984</v>
      </c>
      <c r="G580" s="22" t="s">
        <v>19431</v>
      </c>
      <c r="H580" s="24" t="s">
        <v>20135</v>
      </c>
      <c r="I580" s="22" t="s">
        <v>19309</v>
      </c>
      <c r="J580" s="22" t="s">
        <v>19908</v>
      </c>
      <c r="K580" s="22" t="s">
        <v>19524</v>
      </c>
      <c r="L580" s="22"/>
      <c r="M580" s="22"/>
      <c r="N580" s="25" t="str">
        <f>HYPERLINK("http://slimages.macys.com/is/image/MCY/1554688 ")</f>
        <v xml:space="preserve">http://slimages.macys.com/is/image/MCY/1554688 </v>
      </c>
    </row>
    <row r="581" spans="1:14" ht="24.75" x14ac:dyDescent="0.25">
      <c r="A581" s="21" t="s">
        <v>16992</v>
      </c>
      <c r="B581" s="22" t="s">
        <v>16993</v>
      </c>
      <c r="C581" s="3">
        <v>3.2</v>
      </c>
      <c r="D581" s="23">
        <v>7.99</v>
      </c>
      <c r="E581" s="3">
        <v>7.99</v>
      </c>
      <c r="F581" s="2" t="s">
        <v>16984</v>
      </c>
      <c r="G581" s="22" t="s">
        <v>19431</v>
      </c>
      <c r="H581" s="24" t="s">
        <v>20089</v>
      </c>
      <c r="I581" s="22" t="s">
        <v>19309</v>
      </c>
      <c r="J581" s="22" t="s">
        <v>19908</v>
      </c>
      <c r="K581" s="22" t="s">
        <v>19524</v>
      </c>
      <c r="L581" s="22"/>
      <c r="M581" s="22"/>
      <c r="N581" s="25" t="str">
        <f>HYPERLINK("http://slimages.macys.com/is/image/MCY/1554688 ")</f>
        <v xml:space="preserve">http://slimages.macys.com/is/image/MCY/1554688 </v>
      </c>
    </row>
    <row r="582" spans="1:14" ht="24.75" x14ac:dyDescent="0.25">
      <c r="A582" s="21" t="s">
        <v>16994</v>
      </c>
      <c r="B582" s="22" t="s">
        <v>16995</v>
      </c>
      <c r="C582" s="3">
        <v>6.4</v>
      </c>
      <c r="D582" s="23">
        <v>7.99</v>
      </c>
      <c r="E582" s="3">
        <v>15.98</v>
      </c>
      <c r="F582" s="2" t="s">
        <v>16996</v>
      </c>
      <c r="G582" s="22" t="s">
        <v>19431</v>
      </c>
      <c r="H582" s="24" t="s">
        <v>19907</v>
      </c>
      <c r="I582" s="22" t="s">
        <v>19309</v>
      </c>
      <c r="J582" s="22" t="s">
        <v>19908</v>
      </c>
      <c r="K582" s="22" t="s">
        <v>19524</v>
      </c>
      <c r="L582" s="22"/>
      <c r="M582" s="22"/>
      <c r="N582" s="25" t="str">
        <f>HYPERLINK("http://slimages.macys.com/is/image/MCY/21727268 ")</f>
        <v xml:space="preserve">http://slimages.macys.com/is/image/MCY/21727268 </v>
      </c>
    </row>
    <row r="583" spans="1:14" ht="24.75" x14ac:dyDescent="0.25">
      <c r="A583" s="21" t="s">
        <v>16997</v>
      </c>
      <c r="B583" s="22" t="s">
        <v>16998</v>
      </c>
      <c r="C583" s="3">
        <v>6.4</v>
      </c>
      <c r="D583" s="23">
        <v>7.99</v>
      </c>
      <c r="E583" s="3">
        <v>15.98</v>
      </c>
      <c r="F583" s="2" t="s">
        <v>16984</v>
      </c>
      <c r="G583" s="22" t="s">
        <v>19431</v>
      </c>
      <c r="H583" s="24" t="s">
        <v>19907</v>
      </c>
      <c r="I583" s="22" t="s">
        <v>19309</v>
      </c>
      <c r="J583" s="22" t="s">
        <v>19908</v>
      </c>
      <c r="K583" s="22" t="s">
        <v>19524</v>
      </c>
      <c r="L583" s="22"/>
      <c r="M583" s="22"/>
      <c r="N583" s="25" t="str">
        <f>HYPERLINK("http://slimages.macys.com/is/image/MCY/1554688 ")</f>
        <v xml:space="preserve">http://slimages.macys.com/is/image/MCY/1554688 </v>
      </c>
    </row>
    <row r="584" spans="1:14" ht="24.75" x14ac:dyDescent="0.25">
      <c r="A584" s="21" t="s">
        <v>16999</v>
      </c>
      <c r="B584" s="22" t="s">
        <v>17000</v>
      </c>
      <c r="C584" s="3">
        <v>9.6</v>
      </c>
      <c r="D584" s="23">
        <v>7.99</v>
      </c>
      <c r="E584" s="3">
        <v>23.97</v>
      </c>
      <c r="F584" s="2" t="s">
        <v>16996</v>
      </c>
      <c r="G584" s="22" t="s">
        <v>19431</v>
      </c>
      <c r="H584" s="24" t="s">
        <v>19361</v>
      </c>
      <c r="I584" s="22" t="s">
        <v>19309</v>
      </c>
      <c r="J584" s="22" t="s">
        <v>19908</v>
      </c>
      <c r="K584" s="22" t="s">
        <v>19524</v>
      </c>
      <c r="L584" s="22"/>
      <c r="M584" s="22"/>
      <c r="N584" s="25" t="str">
        <f>HYPERLINK("http://slimages.macys.com/is/image/MCY/21727268 ")</f>
        <v xml:space="preserve">http://slimages.macys.com/is/image/MCY/21727268 </v>
      </c>
    </row>
    <row r="585" spans="1:14" ht="24.75" x14ac:dyDescent="0.25">
      <c r="A585" s="21" t="s">
        <v>17001</v>
      </c>
      <c r="B585" s="22" t="s">
        <v>17002</v>
      </c>
      <c r="C585" s="3">
        <v>6.4</v>
      </c>
      <c r="D585" s="23">
        <v>7.99</v>
      </c>
      <c r="E585" s="3">
        <v>15.98</v>
      </c>
      <c r="F585" s="2" t="s">
        <v>17003</v>
      </c>
      <c r="G585" s="22" t="s">
        <v>19333</v>
      </c>
      <c r="H585" s="24" t="s">
        <v>19907</v>
      </c>
      <c r="I585" s="22" t="s">
        <v>19309</v>
      </c>
      <c r="J585" s="22" t="s">
        <v>19908</v>
      </c>
      <c r="K585" s="22" t="s">
        <v>19524</v>
      </c>
      <c r="L585" s="22"/>
      <c r="M585" s="22"/>
      <c r="N585" s="25" t="str">
        <f>HYPERLINK("http://slimages.macys.com/is/image/MCY/21070268 ")</f>
        <v xml:space="preserve">http://slimages.macys.com/is/image/MCY/21070268 </v>
      </c>
    </row>
    <row r="586" spans="1:14" ht="24.75" x14ac:dyDescent="0.25">
      <c r="A586" s="21" t="s">
        <v>17004</v>
      </c>
      <c r="B586" s="22" t="s">
        <v>17005</v>
      </c>
      <c r="C586" s="3">
        <v>3.2</v>
      </c>
      <c r="D586" s="23">
        <v>7.99</v>
      </c>
      <c r="E586" s="3">
        <v>7.99</v>
      </c>
      <c r="F586" s="2" t="s">
        <v>18969</v>
      </c>
      <c r="G586" s="22" t="s">
        <v>18439</v>
      </c>
      <c r="H586" s="24" t="s">
        <v>20135</v>
      </c>
      <c r="I586" s="22" t="s">
        <v>19309</v>
      </c>
      <c r="J586" s="22" t="s">
        <v>19908</v>
      </c>
      <c r="K586" s="22" t="s">
        <v>19524</v>
      </c>
      <c r="L586" s="22"/>
      <c r="M586" s="22"/>
      <c r="N586" s="25" t="str">
        <f>HYPERLINK("http://slimages.macys.com/is/image/MCY/22159414 ")</f>
        <v xml:space="preserve">http://slimages.macys.com/is/image/MCY/22159414 </v>
      </c>
    </row>
    <row r="587" spans="1:14" ht="24.75" x14ac:dyDescent="0.25">
      <c r="A587" s="21" t="s">
        <v>17006</v>
      </c>
      <c r="B587" s="22" t="s">
        <v>17007</v>
      </c>
      <c r="C587" s="3">
        <v>6.4</v>
      </c>
      <c r="D587" s="23">
        <v>7.99</v>
      </c>
      <c r="E587" s="3">
        <v>15.98</v>
      </c>
      <c r="F587" s="2" t="s">
        <v>18966</v>
      </c>
      <c r="G587" s="22" t="s">
        <v>19351</v>
      </c>
      <c r="H587" s="24" t="s">
        <v>19361</v>
      </c>
      <c r="I587" s="22" t="s">
        <v>19309</v>
      </c>
      <c r="J587" s="22" t="s">
        <v>19908</v>
      </c>
      <c r="K587" s="22" t="s">
        <v>19524</v>
      </c>
      <c r="L587" s="22"/>
      <c r="M587" s="22"/>
      <c r="N587" s="25" t="str">
        <f>HYPERLINK("http://slimages.macys.com/is/image/MCY/1537727 ")</f>
        <v xml:space="preserve">http://slimages.macys.com/is/image/MCY/1537727 </v>
      </c>
    </row>
    <row r="588" spans="1:14" ht="24.75" x14ac:dyDescent="0.25">
      <c r="A588" s="21" t="s">
        <v>17008</v>
      </c>
      <c r="B588" s="22" t="s">
        <v>17009</v>
      </c>
      <c r="C588" s="3">
        <v>3.2</v>
      </c>
      <c r="D588" s="23">
        <v>7.99</v>
      </c>
      <c r="E588" s="3">
        <v>7.99</v>
      </c>
      <c r="F588" s="2" t="s">
        <v>18966</v>
      </c>
      <c r="G588" s="22" t="s">
        <v>19351</v>
      </c>
      <c r="H588" s="24" t="s">
        <v>19907</v>
      </c>
      <c r="I588" s="22" t="s">
        <v>19309</v>
      </c>
      <c r="J588" s="22" t="s">
        <v>19908</v>
      </c>
      <c r="K588" s="22" t="s">
        <v>19524</v>
      </c>
      <c r="L588" s="22"/>
      <c r="M588" s="22"/>
      <c r="N588" s="25" t="str">
        <f>HYPERLINK("http://slimages.macys.com/is/image/MCY/1537727 ")</f>
        <v xml:space="preserve">http://slimages.macys.com/is/image/MCY/1537727 </v>
      </c>
    </row>
    <row r="589" spans="1:14" ht="24.75" x14ac:dyDescent="0.25">
      <c r="A589" s="21" t="s">
        <v>17010</v>
      </c>
      <c r="B589" s="22" t="s">
        <v>17011</v>
      </c>
      <c r="C589" s="3">
        <v>3.2</v>
      </c>
      <c r="D589" s="23">
        <v>7.99</v>
      </c>
      <c r="E589" s="3">
        <v>7.99</v>
      </c>
      <c r="F589" s="2" t="s">
        <v>18966</v>
      </c>
      <c r="G589" s="22" t="s">
        <v>19351</v>
      </c>
      <c r="H589" s="24" t="s">
        <v>20135</v>
      </c>
      <c r="I589" s="22" t="s">
        <v>19309</v>
      </c>
      <c r="J589" s="22" t="s">
        <v>19908</v>
      </c>
      <c r="K589" s="22" t="s">
        <v>19524</v>
      </c>
      <c r="L589" s="22"/>
      <c r="M589" s="22"/>
      <c r="N589" s="25" t="str">
        <f>HYPERLINK("http://slimages.macys.com/is/image/MCY/1537727 ")</f>
        <v xml:space="preserve">http://slimages.macys.com/is/image/MCY/1537727 </v>
      </c>
    </row>
    <row r="590" spans="1:14" ht="24.75" x14ac:dyDescent="0.25">
      <c r="A590" s="21" t="s">
        <v>17012</v>
      </c>
      <c r="B590" s="22" t="s">
        <v>17013</v>
      </c>
      <c r="C590" s="3">
        <v>3.2</v>
      </c>
      <c r="D590" s="23">
        <v>7.99</v>
      </c>
      <c r="E590" s="3">
        <v>7.99</v>
      </c>
      <c r="F590" s="2" t="s">
        <v>17014</v>
      </c>
      <c r="G590" s="22" t="s">
        <v>19351</v>
      </c>
      <c r="H590" s="24" t="s">
        <v>20135</v>
      </c>
      <c r="I590" s="22" t="s">
        <v>19309</v>
      </c>
      <c r="J590" s="22" t="s">
        <v>19908</v>
      </c>
      <c r="K590" s="22" t="s">
        <v>19524</v>
      </c>
      <c r="L590" s="22"/>
      <c r="M590" s="22"/>
      <c r="N590" s="25" t="str">
        <f>HYPERLINK("http://slimages.macys.com/is/image/MCY/1554908 ")</f>
        <v xml:space="preserve">http://slimages.macys.com/is/image/MCY/1554908 </v>
      </c>
    </row>
    <row r="591" spans="1:14" ht="24.75" x14ac:dyDescent="0.25">
      <c r="A591" s="21" t="s">
        <v>17015</v>
      </c>
      <c r="B591" s="22" t="s">
        <v>17016</v>
      </c>
      <c r="C591" s="3">
        <v>3.2</v>
      </c>
      <c r="D591" s="23">
        <v>7.99</v>
      </c>
      <c r="E591" s="3">
        <v>7.99</v>
      </c>
      <c r="F591" s="2" t="s">
        <v>17014</v>
      </c>
      <c r="G591" s="22" t="s">
        <v>19351</v>
      </c>
      <c r="H591" s="24" t="s">
        <v>20089</v>
      </c>
      <c r="I591" s="22" t="s">
        <v>19309</v>
      </c>
      <c r="J591" s="22" t="s">
        <v>19908</v>
      </c>
      <c r="K591" s="22" t="s">
        <v>19524</v>
      </c>
      <c r="L591" s="22"/>
      <c r="M591" s="22"/>
      <c r="N591" s="25" t="str">
        <f>HYPERLINK("http://slimages.macys.com/is/image/MCY/1554908 ")</f>
        <v xml:space="preserve">http://slimages.macys.com/is/image/MCY/1554908 </v>
      </c>
    </row>
    <row r="592" spans="1:14" ht="24.75" x14ac:dyDescent="0.25">
      <c r="A592" s="21" t="s">
        <v>17017</v>
      </c>
      <c r="B592" s="22" t="s">
        <v>17018</v>
      </c>
      <c r="C592" s="3">
        <v>3.2</v>
      </c>
      <c r="D592" s="23">
        <v>7.99</v>
      </c>
      <c r="E592" s="3">
        <v>7.99</v>
      </c>
      <c r="F592" s="2" t="s">
        <v>17014</v>
      </c>
      <c r="G592" s="22" t="s">
        <v>19351</v>
      </c>
      <c r="H592" s="24" t="s">
        <v>19361</v>
      </c>
      <c r="I592" s="22" t="s">
        <v>19309</v>
      </c>
      <c r="J592" s="22" t="s">
        <v>19908</v>
      </c>
      <c r="K592" s="22" t="s">
        <v>19524</v>
      </c>
      <c r="L592" s="22"/>
      <c r="M592" s="22"/>
      <c r="N592" s="25" t="str">
        <f>HYPERLINK("http://slimages.macys.com/is/image/MCY/1554908 ")</f>
        <v xml:space="preserve">http://slimages.macys.com/is/image/MCY/1554908 </v>
      </c>
    </row>
    <row r="593" spans="1:14" ht="24.75" x14ac:dyDescent="0.25">
      <c r="A593" s="21" t="s">
        <v>17019</v>
      </c>
      <c r="B593" s="22" t="s">
        <v>17020</v>
      </c>
      <c r="C593" s="3">
        <v>3.2</v>
      </c>
      <c r="D593" s="23">
        <v>7.99</v>
      </c>
      <c r="E593" s="3">
        <v>7.99</v>
      </c>
      <c r="F593" s="2" t="s">
        <v>16996</v>
      </c>
      <c r="G593" s="22" t="s">
        <v>19431</v>
      </c>
      <c r="H593" s="24" t="s">
        <v>20089</v>
      </c>
      <c r="I593" s="22" t="s">
        <v>19309</v>
      </c>
      <c r="J593" s="22" t="s">
        <v>19908</v>
      </c>
      <c r="K593" s="22" t="s">
        <v>19524</v>
      </c>
      <c r="L593" s="22"/>
      <c r="M593" s="22"/>
      <c r="N593" s="25" t="str">
        <f>HYPERLINK("http://slimages.macys.com/is/image/MCY/21727268 ")</f>
        <v xml:space="preserve">http://slimages.macys.com/is/image/MCY/21727268 </v>
      </c>
    </row>
    <row r="594" spans="1:14" ht="24.75" x14ac:dyDescent="0.25">
      <c r="A594" s="21" t="s">
        <v>17021</v>
      </c>
      <c r="B594" s="22" t="s">
        <v>17022</v>
      </c>
      <c r="C594" s="3">
        <v>3.2</v>
      </c>
      <c r="D594" s="23">
        <v>8.99</v>
      </c>
      <c r="E594" s="3">
        <v>8.99</v>
      </c>
      <c r="F594" s="2" t="s">
        <v>16978</v>
      </c>
      <c r="G594" s="22" t="s">
        <v>19674</v>
      </c>
      <c r="H594" s="24" t="s">
        <v>19361</v>
      </c>
      <c r="I594" s="22" t="s">
        <v>19309</v>
      </c>
      <c r="J594" s="22" t="s">
        <v>19573</v>
      </c>
      <c r="K594" s="22" t="s">
        <v>20228</v>
      </c>
      <c r="L594" s="22"/>
      <c r="M594" s="22"/>
      <c r="N594" s="25" t="str">
        <f>HYPERLINK("http://slimages.macys.com/is/image/MCY/18422286 ")</f>
        <v xml:space="preserve">http://slimages.macys.com/is/image/MCY/18422286 </v>
      </c>
    </row>
    <row r="595" spans="1:14" ht="24.75" x14ac:dyDescent="0.25">
      <c r="A595" s="21" t="s">
        <v>17023</v>
      </c>
      <c r="B595" s="22" t="s">
        <v>17024</v>
      </c>
      <c r="C595" s="3">
        <v>3.2</v>
      </c>
      <c r="D595" s="23">
        <v>8.99</v>
      </c>
      <c r="E595" s="3">
        <v>8.99</v>
      </c>
      <c r="F595" s="2" t="s">
        <v>16978</v>
      </c>
      <c r="G595" s="22" t="s">
        <v>19618</v>
      </c>
      <c r="H595" s="24" t="s">
        <v>19395</v>
      </c>
      <c r="I595" s="22" t="s">
        <v>19309</v>
      </c>
      <c r="J595" s="22" t="s">
        <v>19573</v>
      </c>
      <c r="K595" s="22" t="s">
        <v>20228</v>
      </c>
      <c r="L595" s="22"/>
      <c r="M595" s="22"/>
      <c r="N595" s="25" t="str">
        <f>HYPERLINK("http://slimages.macys.com/is/image/MCY/18422286 ")</f>
        <v xml:space="preserve">http://slimages.macys.com/is/image/MCY/18422286 </v>
      </c>
    </row>
    <row r="596" spans="1:14" ht="24.75" x14ac:dyDescent="0.25">
      <c r="A596" s="21" t="s">
        <v>17025</v>
      </c>
      <c r="B596" s="22" t="s">
        <v>17026</v>
      </c>
      <c r="C596" s="3">
        <v>3.2</v>
      </c>
      <c r="D596" s="23">
        <v>7.99</v>
      </c>
      <c r="E596" s="3">
        <v>7.99</v>
      </c>
      <c r="F596" s="2" t="s">
        <v>17027</v>
      </c>
      <c r="G596" s="22" t="s">
        <v>19333</v>
      </c>
      <c r="H596" s="24" t="s">
        <v>20089</v>
      </c>
      <c r="I596" s="22" t="s">
        <v>19309</v>
      </c>
      <c r="J596" s="22" t="s">
        <v>19908</v>
      </c>
      <c r="K596" s="22" t="s">
        <v>19524</v>
      </c>
      <c r="L596" s="22"/>
      <c r="M596" s="22"/>
      <c r="N596" s="25" t="str">
        <f>HYPERLINK("http://slimages.macys.com/is/image/MCY/21433876 ")</f>
        <v xml:space="preserve">http://slimages.macys.com/is/image/MCY/21433876 </v>
      </c>
    </row>
    <row r="597" spans="1:14" ht="24.75" x14ac:dyDescent="0.25">
      <c r="A597" s="21" t="s">
        <v>17028</v>
      </c>
      <c r="B597" s="22" t="s">
        <v>17029</v>
      </c>
      <c r="C597" s="3">
        <v>3.13</v>
      </c>
      <c r="D597" s="23">
        <v>7.99</v>
      </c>
      <c r="E597" s="3">
        <v>7.99</v>
      </c>
      <c r="F597" s="2" t="s">
        <v>17030</v>
      </c>
      <c r="G597" s="22" t="s">
        <v>19618</v>
      </c>
      <c r="H597" s="24" t="s">
        <v>19907</v>
      </c>
      <c r="I597" s="22" t="s">
        <v>19309</v>
      </c>
      <c r="J597" s="22" t="s">
        <v>19573</v>
      </c>
      <c r="K597" s="22" t="s">
        <v>19574</v>
      </c>
      <c r="L597" s="22"/>
      <c r="M597" s="22"/>
      <c r="N597" s="25" t="str">
        <f>HYPERLINK("http://slimages.macys.com/is/image/MCY/21089248 ")</f>
        <v xml:space="preserve">http://slimages.macys.com/is/image/MCY/21089248 </v>
      </c>
    </row>
    <row r="598" spans="1:14" ht="24.75" x14ac:dyDescent="0.25">
      <c r="A598" s="21" t="s">
        <v>17031</v>
      </c>
      <c r="B598" s="22" t="s">
        <v>17032</v>
      </c>
      <c r="C598" s="3">
        <v>3.13</v>
      </c>
      <c r="D598" s="23">
        <v>7.99</v>
      </c>
      <c r="E598" s="3">
        <v>7.99</v>
      </c>
      <c r="F598" s="2" t="s">
        <v>17033</v>
      </c>
      <c r="G598" s="22" t="s">
        <v>19674</v>
      </c>
      <c r="H598" s="24" t="s">
        <v>19384</v>
      </c>
      <c r="I598" s="22" t="s">
        <v>19309</v>
      </c>
      <c r="J598" s="22" t="s">
        <v>19573</v>
      </c>
      <c r="K598" s="22" t="s">
        <v>19574</v>
      </c>
      <c r="L598" s="22"/>
      <c r="M598" s="22"/>
      <c r="N598" s="25" t="str">
        <f>HYPERLINK("http://slimages.macys.com/is/image/MCY/20550610 ")</f>
        <v xml:space="preserve">http://slimages.macys.com/is/image/MCY/20550610 </v>
      </c>
    </row>
    <row r="599" spans="1:14" x14ac:dyDescent="0.25">
      <c r="A599" s="21" t="s">
        <v>17034</v>
      </c>
      <c r="B599" s="22" t="s">
        <v>17035</v>
      </c>
      <c r="C599" s="3">
        <v>3.09</v>
      </c>
      <c r="D599" s="23">
        <v>12</v>
      </c>
      <c r="E599" s="3">
        <v>12</v>
      </c>
      <c r="F599" s="2" t="s">
        <v>17036</v>
      </c>
      <c r="G599" s="22" t="s">
        <v>19431</v>
      </c>
      <c r="H599" s="24" t="s">
        <v>19416</v>
      </c>
      <c r="I599" s="22" t="s">
        <v>19309</v>
      </c>
      <c r="J599" s="22" t="s">
        <v>19708</v>
      </c>
      <c r="K599" s="22" t="s">
        <v>19709</v>
      </c>
      <c r="L599" s="22"/>
      <c r="M599" s="22"/>
      <c r="N599" s="25" t="str">
        <f>HYPERLINK("http://slimages.macys.com/is/image/MCY/21726804 ")</f>
        <v xml:space="preserve">http://slimages.macys.com/is/image/MCY/21726804 </v>
      </c>
    </row>
    <row r="600" spans="1:14" ht="24.75" x14ac:dyDescent="0.25">
      <c r="A600" s="21" t="s">
        <v>17037</v>
      </c>
      <c r="B600" s="22" t="s">
        <v>17038</v>
      </c>
      <c r="C600" s="3">
        <v>3.06</v>
      </c>
      <c r="D600" s="23">
        <v>8.99</v>
      </c>
      <c r="E600" s="3">
        <v>8.99</v>
      </c>
      <c r="F600" s="2" t="s">
        <v>18984</v>
      </c>
      <c r="G600" s="22" t="s">
        <v>19814</v>
      </c>
      <c r="H600" s="24" t="s">
        <v>19352</v>
      </c>
      <c r="I600" s="22" t="s">
        <v>19309</v>
      </c>
      <c r="J600" s="22" t="s">
        <v>19815</v>
      </c>
      <c r="K600" s="22" t="s">
        <v>19816</v>
      </c>
      <c r="L600" s="22"/>
      <c r="M600" s="22"/>
      <c r="N600" s="25" t="str">
        <f>HYPERLINK("http://slimages.macys.com/is/image/MCY/21278530 ")</f>
        <v xml:space="preserve">http://slimages.macys.com/is/image/MCY/21278530 </v>
      </c>
    </row>
    <row r="601" spans="1:14" ht="24.75" x14ac:dyDescent="0.25">
      <c r="A601" s="21" t="s">
        <v>18993</v>
      </c>
      <c r="B601" s="22" t="s">
        <v>18994</v>
      </c>
      <c r="C601" s="3">
        <v>3.06</v>
      </c>
      <c r="D601" s="23">
        <v>8.99</v>
      </c>
      <c r="E601" s="3">
        <v>8.99</v>
      </c>
      <c r="F601" s="2" t="s">
        <v>18984</v>
      </c>
      <c r="G601" s="22" t="s">
        <v>19518</v>
      </c>
      <c r="H601" s="24" t="s">
        <v>19364</v>
      </c>
      <c r="I601" s="22" t="s">
        <v>19309</v>
      </c>
      <c r="J601" s="22" t="s">
        <v>19815</v>
      </c>
      <c r="K601" s="22" t="s">
        <v>19816</v>
      </c>
      <c r="L601" s="22"/>
      <c r="M601" s="22"/>
      <c r="N601" s="25" t="str">
        <f>HYPERLINK("http://slimages.macys.com/is/image/MCY/1520506 ")</f>
        <v xml:space="preserve">http://slimages.macys.com/is/image/MCY/1520506 </v>
      </c>
    </row>
    <row r="602" spans="1:14" x14ac:dyDescent="0.25">
      <c r="A602" s="21" t="s">
        <v>17039</v>
      </c>
      <c r="B602" s="22" t="s">
        <v>17040</v>
      </c>
      <c r="C602" s="3">
        <v>3.05</v>
      </c>
      <c r="D602" s="23">
        <v>8.3000000000000007</v>
      </c>
      <c r="E602" s="3">
        <v>8.3000000000000007</v>
      </c>
      <c r="F602" s="2" t="s">
        <v>17041</v>
      </c>
      <c r="G602" s="22" t="s">
        <v>19338</v>
      </c>
      <c r="H602" s="24" t="s">
        <v>19330</v>
      </c>
      <c r="I602" s="22" t="s">
        <v>19309</v>
      </c>
      <c r="J602" s="22" t="s">
        <v>19708</v>
      </c>
      <c r="K602" s="22" t="s">
        <v>19709</v>
      </c>
      <c r="L602" s="22"/>
      <c r="M602" s="22"/>
      <c r="N602" s="25" t="str">
        <f>HYPERLINK("http://slimages.macys.com/is/image/MCY/21414005 ")</f>
        <v xml:space="preserve">http://slimages.macys.com/is/image/MCY/21414005 </v>
      </c>
    </row>
    <row r="603" spans="1:14" x14ac:dyDescent="0.25">
      <c r="A603" s="21" t="s">
        <v>17042</v>
      </c>
      <c r="B603" s="22" t="s">
        <v>17043</v>
      </c>
      <c r="C603" s="3">
        <v>3.05</v>
      </c>
      <c r="D603" s="23">
        <v>8.3000000000000007</v>
      </c>
      <c r="E603" s="3">
        <v>8.3000000000000007</v>
      </c>
      <c r="F603" s="2" t="s">
        <v>17044</v>
      </c>
      <c r="G603" s="22"/>
      <c r="H603" s="24" t="s">
        <v>20159</v>
      </c>
      <c r="I603" s="22" t="s">
        <v>19309</v>
      </c>
      <c r="J603" s="22" t="s">
        <v>19708</v>
      </c>
      <c r="K603" s="22" t="s">
        <v>19709</v>
      </c>
      <c r="L603" s="22"/>
      <c r="M603" s="22"/>
      <c r="N603" s="25" t="str">
        <f>HYPERLINK("http://slimages.macys.com/is/image/MCY/21414312 ")</f>
        <v xml:space="preserve">http://slimages.macys.com/is/image/MCY/21414312 </v>
      </c>
    </row>
    <row r="604" spans="1:14" ht="24.75" x14ac:dyDescent="0.25">
      <c r="A604" s="21" t="s">
        <v>17045</v>
      </c>
      <c r="B604" s="22" t="s">
        <v>17046</v>
      </c>
      <c r="C604" s="3">
        <v>18.3</v>
      </c>
      <c r="D604" s="23">
        <v>7.99</v>
      </c>
      <c r="E604" s="3">
        <v>47.94</v>
      </c>
      <c r="F604" s="2" t="s">
        <v>17047</v>
      </c>
      <c r="G604" s="22" t="s">
        <v>19315</v>
      </c>
      <c r="H604" s="24" t="s">
        <v>20089</v>
      </c>
      <c r="I604" s="22" t="s">
        <v>19309</v>
      </c>
      <c r="J604" s="22" t="s">
        <v>19573</v>
      </c>
      <c r="K604" s="22" t="s">
        <v>19574</v>
      </c>
      <c r="L604" s="22"/>
      <c r="M604" s="22"/>
      <c r="N604" s="25" t="str">
        <f>HYPERLINK("http://slimages.macys.com/is/image/MCY/14715178 ")</f>
        <v xml:space="preserve">http://slimages.macys.com/is/image/MCY/14715178 </v>
      </c>
    </row>
    <row r="605" spans="1:14" ht="24.75" x14ac:dyDescent="0.25">
      <c r="A605" s="21" t="s">
        <v>17048</v>
      </c>
      <c r="B605" s="22" t="s">
        <v>17049</v>
      </c>
      <c r="C605" s="3">
        <v>6.1</v>
      </c>
      <c r="D605" s="23">
        <v>7.99</v>
      </c>
      <c r="E605" s="3">
        <v>15.98</v>
      </c>
      <c r="F605" s="2" t="s">
        <v>17047</v>
      </c>
      <c r="G605" s="22" t="s">
        <v>19315</v>
      </c>
      <c r="H605" s="24" t="s">
        <v>20135</v>
      </c>
      <c r="I605" s="22" t="s">
        <v>19309</v>
      </c>
      <c r="J605" s="22" t="s">
        <v>19573</v>
      </c>
      <c r="K605" s="22" t="s">
        <v>19574</v>
      </c>
      <c r="L605" s="22"/>
      <c r="M605" s="22"/>
      <c r="N605" s="25" t="str">
        <f>HYPERLINK("http://slimages.macys.com/is/image/MCY/14715178 ")</f>
        <v xml:space="preserve">http://slimages.macys.com/is/image/MCY/14715178 </v>
      </c>
    </row>
    <row r="606" spans="1:14" ht="24.75" x14ac:dyDescent="0.25">
      <c r="A606" s="21" t="s">
        <v>17050</v>
      </c>
      <c r="B606" s="22" t="s">
        <v>17051</v>
      </c>
      <c r="C606" s="3">
        <v>9.15</v>
      </c>
      <c r="D606" s="23">
        <v>7.99</v>
      </c>
      <c r="E606" s="3">
        <v>23.97</v>
      </c>
      <c r="F606" s="2" t="s">
        <v>17047</v>
      </c>
      <c r="G606" s="22" t="s">
        <v>19315</v>
      </c>
      <c r="H606" s="24" t="s">
        <v>19907</v>
      </c>
      <c r="I606" s="22" t="s">
        <v>19309</v>
      </c>
      <c r="J606" s="22" t="s">
        <v>19573</v>
      </c>
      <c r="K606" s="22" t="s">
        <v>19574</v>
      </c>
      <c r="L606" s="22"/>
      <c r="M606" s="22"/>
      <c r="N606" s="25" t="str">
        <f>HYPERLINK("http://slimages.macys.com/is/image/MCY/14715178 ")</f>
        <v xml:space="preserve">http://slimages.macys.com/is/image/MCY/14715178 </v>
      </c>
    </row>
    <row r="607" spans="1:14" ht="24.75" x14ac:dyDescent="0.25">
      <c r="A607" s="21" t="s">
        <v>17052</v>
      </c>
      <c r="B607" s="22" t="s">
        <v>17053</v>
      </c>
      <c r="C607" s="3">
        <v>3</v>
      </c>
      <c r="D607" s="23">
        <v>6.99</v>
      </c>
      <c r="E607" s="3">
        <v>6.99</v>
      </c>
      <c r="F607" s="2" t="s">
        <v>17054</v>
      </c>
      <c r="G607" s="22" t="s">
        <v>19415</v>
      </c>
      <c r="H607" s="24" t="s">
        <v>19324</v>
      </c>
      <c r="I607" s="22" t="s">
        <v>19309</v>
      </c>
      <c r="J607" s="22" t="s">
        <v>19573</v>
      </c>
      <c r="K607" s="22" t="s">
        <v>19574</v>
      </c>
      <c r="L607" s="22"/>
      <c r="M607" s="22"/>
      <c r="N607" s="25" t="str">
        <f>HYPERLINK("http://slimages.macys.com/is/image/MCY/21361541 ")</f>
        <v xml:space="preserve">http://slimages.macys.com/is/image/MCY/21361541 </v>
      </c>
    </row>
    <row r="608" spans="1:14" ht="24.75" x14ac:dyDescent="0.25">
      <c r="A608" s="21" t="s">
        <v>17055</v>
      </c>
      <c r="B608" s="22" t="s">
        <v>17056</v>
      </c>
      <c r="C608" s="3">
        <v>2.95</v>
      </c>
      <c r="D608" s="23">
        <v>6.56</v>
      </c>
      <c r="E608" s="3">
        <v>6.56</v>
      </c>
      <c r="F608" s="2" t="s">
        <v>17057</v>
      </c>
      <c r="G608" s="22" t="s">
        <v>19618</v>
      </c>
      <c r="H608" s="24" t="s">
        <v>19308</v>
      </c>
      <c r="I608" s="22" t="s">
        <v>19309</v>
      </c>
      <c r="J608" s="22" t="s">
        <v>19565</v>
      </c>
      <c r="K608" s="22" t="s">
        <v>18514</v>
      </c>
      <c r="L608" s="22"/>
      <c r="M608" s="22"/>
      <c r="N608" s="25" t="str">
        <f>HYPERLINK("http://slimages.macys.com/is/image/MCY/21883207 ")</f>
        <v xml:space="preserve">http://slimages.macys.com/is/image/MCY/21883207 </v>
      </c>
    </row>
    <row r="609" spans="1:14" ht="24.75" x14ac:dyDescent="0.25">
      <c r="A609" s="21" t="s">
        <v>17058</v>
      </c>
      <c r="B609" s="22" t="s">
        <v>17059</v>
      </c>
      <c r="C609" s="3">
        <v>2.92</v>
      </c>
      <c r="D609" s="23">
        <v>6.99</v>
      </c>
      <c r="E609" s="3">
        <v>6.99</v>
      </c>
      <c r="F609" s="2" t="s">
        <v>17060</v>
      </c>
      <c r="G609" s="22" t="s">
        <v>19674</v>
      </c>
      <c r="H609" s="24" t="s">
        <v>19352</v>
      </c>
      <c r="I609" s="22" t="s">
        <v>19309</v>
      </c>
      <c r="J609" s="22" t="s">
        <v>19353</v>
      </c>
      <c r="K609" s="22" t="s">
        <v>19354</v>
      </c>
      <c r="L609" s="22"/>
      <c r="M609" s="22"/>
      <c r="N609" s="25" t="str">
        <f>HYPERLINK("http://slimages.macys.com/is/image/MCY/20737537 ")</f>
        <v xml:space="preserve">http://slimages.macys.com/is/image/MCY/20737537 </v>
      </c>
    </row>
    <row r="610" spans="1:14" ht="24.75" x14ac:dyDescent="0.25">
      <c r="A610" s="21" t="s">
        <v>17061</v>
      </c>
      <c r="B610" s="22" t="s">
        <v>17062</v>
      </c>
      <c r="C610" s="3">
        <v>2.9</v>
      </c>
      <c r="D610" s="23">
        <v>7.99</v>
      </c>
      <c r="E610" s="3">
        <v>7.99</v>
      </c>
      <c r="F610" s="2" t="s">
        <v>19023</v>
      </c>
      <c r="G610" s="22" t="s">
        <v>19618</v>
      </c>
      <c r="H610" s="24" t="s">
        <v>19907</v>
      </c>
      <c r="I610" s="22" t="s">
        <v>19309</v>
      </c>
      <c r="J610" s="22" t="s">
        <v>19573</v>
      </c>
      <c r="K610" s="22" t="s">
        <v>19574</v>
      </c>
      <c r="L610" s="22"/>
      <c r="M610" s="22"/>
      <c r="N610" s="25" t="str">
        <f>HYPERLINK("http://slimages.macys.com/is/image/MCY/20736377 ")</f>
        <v xml:space="preserve">http://slimages.macys.com/is/image/MCY/20736377 </v>
      </c>
    </row>
    <row r="611" spans="1:14" ht="24.75" x14ac:dyDescent="0.25">
      <c r="A611" s="21" t="s">
        <v>17063</v>
      </c>
      <c r="B611" s="22" t="s">
        <v>17064</v>
      </c>
      <c r="C611" s="3">
        <v>2.89</v>
      </c>
      <c r="D611" s="23">
        <v>6.99</v>
      </c>
      <c r="E611" s="3">
        <v>6.99</v>
      </c>
      <c r="F611" s="2" t="s">
        <v>17065</v>
      </c>
      <c r="G611" s="22" t="s">
        <v>19518</v>
      </c>
      <c r="H611" s="24" t="s">
        <v>19384</v>
      </c>
      <c r="I611" s="22" t="s">
        <v>19309</v>
      </c>
      <c r="J611" s="22" t="s">
        <v>19573</v>
      </c>
      <c r="K611" s="22" t="s">
        <v>19574</v>
      </c>
      <c r="L611" s="22"/>
      <c r="M611" s="22"/>
      <c r="N611" s="25" t="str">
        <f>HYPERLINK("http://slimages.macys.com/is/image/MCY/17565510 ")</f>
        <v xml:space="preserve">http://slimages.macys.com/is/image/MCY/17565510 </v>
      </c>
    </row>
    <row r="612" spans="1:14" ht="24.75" x14ac:dyDescent="0.25">
      <c r="A612" s="21" t="s">
        <v>17066</v>
      </c>
      <c r="B612" s="22" t="s">
        <v>17067</v>
      </c>
      <c r="C612" s="3">
        <v>2.83</v>
      </c>
      <c r="D612" s="23">
        <v>7.99</v>
      </c>
      <c r="E612" s="3">
        <v>7.99</v>
      </c>
      <c r="F612" s="2" t="s">
        <v>17068</v>
      </c>
      <c r="G612" s="22" t="s">
        <v>19415</v>
      </c>
      <c r="H612" s="24" t="s">
        <v>20089</v>
      </c>
      <c r="I612" s="22" t="s">
        <v>19309</v>
      </c>
      <c r="J612" s="22" t="s">
        <v>19573</v>
      </c>
      <c r="K612" s="22" t="s">
        <v>19574</v>
      </c>
      <c r="L612" s="22"/>
      <c r="M612" s="22"/>
      <c r="N612" s="25" t="str">
        <f>HYPERLINK("http://slimages.macys.com/is/image/MCY/21371404 ")</f>
        <v xml:space="preserve">http://slimages.macys.com/is/image/MCY/21371404 </v>
      </c>
    </row>
    <row r="613" spans="1:14" x14ac:dyDescent="0.25">
      <c r="A613" s="21" t="s">
        <v>17069</v>
      </c>
      <c r="B613" s="22" t="s">
        <v>17070</v>
      </c>
      <c r="C613" s="3">
        <v>2.82</v>
      </c>
      <c r="D613" s="23">
        <v>6.99</v>
      </c>
      <c r="E613" s="3">
        <v>6.99</v>
      </c>
      <c r="F613" s="2" t="s">
        <v>19035</v>
      </c>
      <c r="G613" s="22" t="s">
        <v>19351</v>
      </c>
      <c r="H613" s="24" t="s">
        <v>19364</v>
      </c>
      <c r="I613" s="22" t="s">
        <v>19309</v>
      </c>
      <c r="J613" s="22" t="s">
        <v>19849</v>
      </c>
      <c r="K613" s="22" t="s">
        <v>19850</v>
      </c>
      <c r="L613" s="22"/>
      <c r="M613" s="22"/>
      <c r="N613" s="25" t="str">
        <f>HYPERLINK("http://slimages.macys.com/is/image/MCY/19068309 ")</f>
        <v xml:space="preserve">http://slimages.macys.com/is/image/MCY/19068309 </v>
      </c>
    </row>
    <row r="614" spans="1:14" ht="24.75" x14ac:dyDescent="0.25">
      <c r="A614" s="21" t="s">
        <v>17071</v>
      </c>
      <c r="B614" s="22" t="s">
        <v>17072</v>
      </c>
      <c r="C614" s="3">
        <v>2.82</v>
      </c>
      <c r="D614" s="23">
        <v>6.99</v>
      </c>
      <c r="E614" s="3">
        <v>6.99</v>
      </c>
      <c r="F614" s="2" t="s">
        <v>17073</v>
      </c>
      <c r="G614" s="22" t="s">
        <v>19351</v>
      </c>
      <c r="H614" s="24" t="s">
        <v>19324</v>
      </c>
      <c r="I614" s="22" t="s">
        <v>19309</v>
      </c>
      <c r="J614" s="22" t="s">
        <v>19573</v>
      </c>
      <c r="K614" s="22" t="s">
        <v>19574</v>
      </c>
      <c r="L614" s="22"/>
      <c r="M614" s="22"/>
      <c r="N614" s="25" t="str">
        <f>HYPERLINK("http://slimages.macys.com/is/image/MCY/19507834 ")</f>
        <v xml:space="preserve">http://slimages.macys.com/is/image/MCY/19507834 </v>
      </c>
    </row>
    <row r="615" spans="1:14" ht="24.75" x14ac:dyDescent="0.25">
      <c r="A615" s="21" t="s">
        <v>17074</v>
      </c>
      <c r="B615" s="22" t="s">
        <v>17075</v>
      </c>
      <c r="C615" s="3">
        <v>2.81</v>
      </c>
      <c r="D615" s="23">
        <v>7.99</v>
      </c>
      <c r="E615" s="3">
        <v>7.99</v>
      </c>
      <c r="F615" s="2">
        <v>10015096500</v>
      </c>
      <c r="G615" s="22" t="s">
        <v>19713</v>
      </c>
      <c r="H615" s="24" t="s">
        <v>19770</v>
      </c>
      <c r="I615" s="22" t="s">
        <v>19309</v>
      </c>
      <c r="J615" s="22" t="s">
        <v>19573</v>
      </c>
      <c r="K615" s="22" t="s">
        <v>19574</v>
      </c>
      <c r="L615" s="22"/>
      <c r="M615" s="22"/>
      <c r="N615" s="25" t="str">
        <f>HYPERLINK("http://slimages.macys.com/is/image/MCY/1439034 ")</f>
        <v xml:space="preserve">http://slimages.macys.com/is/image/MCY/1439034 </v>
      </c>
    </row>
    <row r="616" spans="1:14" ht="24.75" x14ac:dyDescent="0.25">
      <c r="A616" s="21" t="s">
        <v>17076</v>
      </c>
      <c r="B616" s="22" t="s">
        <v>17077</v>
      </c>
      <c r="C616" s="3">
        <v>5.6</v>
      </c>
      <c r="D616" s="23">
        <v>5.99</v>
      </c>
      <c r="E616" s="3">
        <v>11.98</v>
      </c>
      <c r="F616" s="2" t="s">
        <v>19043</v>
      </c>
      <c r="G616" s="22" t="s">
        <v>19415</v>
      </c>
      <c r="H616" s="24" t="s">
        <v>19324</v>
      </c>
      <c r="I616" s="22" t="s">
        <v>19309</v>
      </c>
      <c r="J616" s="22" t="s">
        <v>19573</v>
      </c>
      <c r="K616" s="22" t="s">
        <v>19574</v>
      </c>
      <c r="L616" s="22"/>
      <c r="M616" s="22"/>
      <c r="N616" s="25" t="str">
        <f>HYPERLINK("http://slimages.macys.com/is/image/MCY/21209612 ")</f>
        <v xml:space="preserve">http://slimages.macys.com/is/image/MCY/21209612 </v>
      </c>
    </row>
    <row r="617" spans="1:14" ht="24.75" x14ac:dyDescent="0.25">
      <c r="A617" s="21" t="s">
        <v>19041</v>
      </c>
      <c r="B617" s="22" t="s">
        <v>19042</v>
      </c>
      <c r="C617" s="3">
        <v>2.8</v>
      </c>
      <c r="D617" s="23">
        <v>5.99</v>
      </c>
      <c r="E617" s="3">
        <v>5.99</v>
      </c>
      <c r="F617" s="2" t="s">
        <v>19043</v>
      </c>
      <c r="G617" s="22" t="s">
        <v>19415</v>
      </c>
      <c r="H617" s="24" t="s">
        <v>19538</v>
      </c>
      <c r="I617" s="22" t="s">
        <v>19309</v>
      </c>
      <c r="J617" s="22" t="s">
        <v>19573</v>
      </c>
      <c r="K617" s="22" t="s">
        <v>19574</v>
      </c>
      <c r="L617" s="22"/>
      <c r="M617" s="22"/>
      <c r="N617" s="25" t="str">
        <f>HYPERLINK("http://slimages.macys.com/is/image/MCY/21209612 ")</f>
        <v xml:space="preserve">http://slimages.macys.com/is/image/MCY/21209612 </v>
      </c>
    </row>
    <row r="618" spans="1:14" ht="24.75" x14ac:dyDescent="0.25">
      <c r="A618" s="21" t="s">
        <v>17078</v>
      </c>
      <c r="B618" s="22" t="s">
        <v>17079</v>
      </c>
      <c r="C618" s="3">
        <v>2.8</v>
      </c>
      <c r="D618" s="23">
        <v>5.99</v>
      </c>
      <c r="E618" s="3">
        <v>5.99</v>
      </c>
      <c r="F618" s="2" t="s">
        <v>17080</v>
      </c>
      <c r="G618" s="22" t="s">
        <v>19467</v>
      </c>
      <c r="H618" s="24" t="s">
        <v>19324</v>
      </c>
      <c r="I618" s="22" t="s">
        <v>19309</v>
      </c>
      <c r="J618" s="22" t="s">
        <v>19573</v>
      </c>
      <c r="K618" s="22" t="s">
        <v>19574</v>
      </c>
      <c r="L618" s="22"/>
      <c r="M618" s="22"/>
      <c r="N618" s="25" t="str">
        <f>HYPERLINK("http://slimages.macys.com/is/image/MCY/21209062 ")</f>
        <v xml:space="preserve">http://slimages.macys.com/is/image/MCY/21209062 </v>
      </c>
    </row>
    <row r="619" spans="1:14" ht="24.75" x14ac:dyDescent="0.25">
      <c r="A619" s="21" t="s">
        <v>17081</v>
      </c>
      <c r="B619" s="22" t="s">
        <v>17082</v>
      </c>
      <c r="C619" s="3">
        <v>2.8</v>
      </c>
      <c r="D619" s="23">
        <v>7.99</v>
      </c>
      <c r="E619" s="3">
        <v>7.99</v>
      </c>
      <c r="F619" s="2" t="s">
        <v>19051</v>
      </c>
      <c r="G619" s="22" t="s">
        <v>18821</v>
      </c>
      <c r="H619" s="24" t="s">
        <v>20135</v>
      </c>
      <c r="I619" s="22" t="s">
        <v>19309</v>
      </c>
      <c r="J619" s="22" t="s">
        <v>19573</v>
      </c>
      <c r="K619" s="22" t="s">
        <v>19574</v>
      </c>
      <c r="L619" s="22"/>
      <c r="M619" s="22"/>
      <c r="N619" s="25" t="str">
        <f>HYPERLINK("http://slimages.macys.com/is/image/MCY/21905243 ")</f>
        <v xml:space="preserve">http://slimages.macys.com/is/image/MCY/21905243 </v>
      </c>
    </row>
    <row r="620" spans="1:14" ht="24.75" x14ac:dyDescent="0.25">
      <c r="A620" s="21" t="s">
        <v>17083</v>
      </c>
      <c r="B620" s="22" t="s">
        <v>17084</v>
      </c>
      <c r="C620" s="3">
        <v>2.79</v>
      </c>
      <c r="D620" s="23">
        <v>7.99</v>
      </c>
      <c r="E620" s="3">
        <v>7.99</v>
      </c>
      <c r="F620" s="2" t="s">
        <v>18975</v>
      </c>
      <c r="G620" s="22" t="s">
        <v>19431</v>
      </c>
      <c r="H620" s="24" t="s">
        <v>19907</v>
      </c>
      <c r="I620" s="22" t="s">
        <v>19309</v>
      </c>
      <c r="J620" s="22" t="s">
        <v>19815</v>
      </c>
      <c r="K620" s="22" t="s">
        <v>19816</v>
      </c>
      <c r="L620" s="22"/>
      <c r="M620" s="22"/>
      <c r="N620" s="25" t="str">
        <f>HYPERLINK("http://slimages.macys.com/is/image/MCY/1499389 ")</f>
        <v xml:space="preserve">http://slimages.macys.com/is/image/MCY/1499389 </v>
      </c>
    </row>
    <row r="621" spans="1:14" ht="24.75" x14ac:dyDescent="0.25">
      <c r="A621" s="21" t="s">
        <v>17085</v>
      </c>
      <c r="B621" s="22" t="s">
        <v>17086</v>
      </c>
      <c r="C621" s="3">
        <v>2.79</v>
      </c>
      <c r="D621" s="23">
        <v>7.99</v>
      </c>
      <c r="E621" s="3">
        <v>7.99</v>
      </c>
      <c r="F621" s="2" t="s">
        <v>18975</v>
      </c>
      <c r="G621" s="22" t="s">
        <v>19431</v>
      </c>
      <c r="H621" s="24" t="s">
        <v>19361</v>
      </c>
      <c r="I621" s="22" t="s">
        <v>19309</v>
      </c>
      <c r="J621" s="22" t="s">
        <v>19815</v>
      </c>
      <c r="K621" s="22" t="s">
        <v>19816</v>
      </c>
      <c r="L621" s="22"/>
      <c r="M621" s="22"/>
      <c r="N621" s="25" t="str">
        <f>HYPERLINK("http://slimages.macys.com/is/image/MCY/1499389 ")</f>
        <v xml:space="preserve">http://slimages.macys.com/is/image/MCY/1499389 </v>
      </c>
    </row>
    <row r="622" spans="1:14" ht="24.75" x14ac:dyDescent="0.25">
      <c r="A622" s="21" t="s">
        <v>17087</v>
      </c>
      <c r="B622" s="22" t="s">
        <v>17088</v>
      </c>
      <c r="C622" s="3">
        <v>2.79</v>
      </c>
      <c r="D622" s="23">
        <v>7.99</v>
      </c>
      <c r="E622" s="3">
        <v>7.99</v>
      </c>
      <c r="F622" s="2" t="s">
        <v>18975</v>
      </c>
      <c r="G622" s="22" t="s">
        <v>19404</v>
      </c>
      <c r="H622" s="24" t="s">
        <v>19542</v>
      </c>
      <c r="I622" s="22" t="s">
        <v>19309</v>
      </c>
      <c r="J622" s="22" t="s">
        <v>19815</v>
      </c>
      <c r="K622" s="22" t="s">
        <v>19816</v>
      </c>
      <c r="L622" s="22"/>
      <c r="M622" s="22"/>
      <c r="N622" s="25" t="str">
        <f>HYPERLINK("http://slimages.macys.com/is/image/MCY/23423563 ")</f>
        <v xml:space="preserve">http://slimages.macys.com/is/image/MCY/23423563 </v>
      </c>
    </row>
    <row r="623" spans="1:14" ht="24.75" x14ac:dyDescent="0.25">
      <c r="A623" s="21" t="s">
        <v>17089</v>
      </c>
      <c r="B623" s="22" t="s">
        <v>17090</v>
      </c>
      <c r="C623" s="3">
        <v>2.79</v>
      </c>
      <c r="D623" s="23">
        <v>7.99</v>
      </c>
      <c r="E623" s="3">
        <v>7.99</v>
      </c>
      <c r="F623" s="2" t="s">
        <v>18975</v>
      </c>
      <c r="G623" s="22" t="s">
        <v>19431</v>
      </c>
      <c r="H623" s="24" t="s">
        <v>19392</v>
      </c>
      <c r="I623" s="22" t="s">
        <v>19309</v>
      </c>
      <c r="J623" s="22" t="s">
        <v>19815</v>
      </c>
      <c r="K623" s="22" t="s">
        <v>19816</v>
      </c>
      <c r="L623" s="22"/>
      <c r="M623" s="22"/>
      <c r="N623" s="25" t="str">
        <f>HYPERLINK("http://slimages.macys.com/is/image/MCY/1499389 ")</f>
        <v xml:space="preserve">http://slimages.macys.com/is/image/MCY/1499389 </v>
      </c>
    </row>
    <row r="624" spans="1:14" ht="24.75" x14ac:dyDescent="0.25">
      <c r="A624" s="21" t="s">
        <v>17091</v>
      </c>
      <c r="B624" s="22" t="s">
        <v>17092</v>
      </c>
      <c r="C624" s="3">
        <v>2.79</v>
      </c>
      <c r="D624" s="23">
        <v>7.99</v>
      </c>
      <c r="E624" s="3">
        <v>7.99</v>
      </c>
      <c r="F624" s="2" t="s">
        <v>18975</v>
      </c>
      <c r="G624" s="22" t="s">
        <v>19431</v>
      </c>
      <c r="H624" s="24" t="s">
        <v>19542</v>
      </c>
      <c r="I624" s="22" t="s">
        <v>19309</v>
      </c>
      <c r="J624" s="22" t="s">
        <v>19815</v>
      </c>
      <c r="K624" s="22" t="s">
        <v>19816</v>
      </c>
      <c r="L624" s="22"/>
      <c r="M624" s="22"/>
      <c r="N624" s="25" t="str">
        <f>HYPERLINK("http://slimages.macys.com/is/image/MCY/1499389 ")</f>
        <v xml:space="preserve">http://slimages.macys.com/is/image/MCY/1499389 </v>
      </c>
    </row>
    <row r="625" spans="1:14" ht="24.75" x14ac:dyDescent="0.25">
      <c r="A625" s="21" t="s">
        <v>17093</v>
      </c>
      <c r="B625" s="22" t="s">
        <v>17094</v>
      </c>
      <c r="C625" s="3">
        <v>2.79</v>
      </c>
      <c r="D625" s="23">
        <v>7.99</v>
      </c>
      <c r="E625" s="3">
        <v>7.99</v>
      </c>
      <c r="F625" s="2" t="s">
        <v>18975</v>
      </c>
      <c r="G625" s="22" t="s">
        <v>19431</v>
      </c>
      <c r="H625" s="24" t="s">
        <v>20135</v>
      </c>
      <c r="I625" s="22" t="s">
        <v>19309</v>
      </c>
      <c r="J625" s="22" t="s">
        <v>19815</v>
      </c>
      <c r="K625" s="22" t="s">
        <v>19816</v>
      </c>
      <c r="L625" s="22"/>
      <c r="M625" s="22"/>
      <c r="N625" s="25" t="str">
        <f>HYPERLINK("http://slimages.macys.com/is/image/MCY/1499389 ")</f>
        <v xml:space="preserve">http://slimages.macys.com/is/image/MCY/1499389 </v>
      </c>
    </row>
    <row r="626" spans="1:14" ht="24.75" x14ac:dyDescent="0.25">
      <c r="A626" s="21" t="s">
        <v>17095</v>
      </c>
      <c r="B626" s="22" t="s">
        <v>17096</v>
      </c>
      <c r="C626" s="3">
        <v>2.78</v>
      </c>
      <c r="D626" s="23">
        <v>5.99</v>
      </c>
      <c r="E626" s="3">
        <v>5.99</v>
      </c>
      <c r="F626" s="2" t="s">
        <v>17097</v>
      </c>
      <c r="G626" s="22" t="s">
        <v>19713</v>
      </c>
      <c r="H626" s="24" t="s">
        <v>19416</v>
      </c>
      <c r="I626" s="22" t="s">
        <v>19309</v>
      </c>
      <c r="J626" s="22" t="s">
        <v>19573</v>
      </c>
      <c r="K626" s="22" t="s">
        <v>19574</v>
      </c>
      <c r="L626" s="22"/>
      <c r="M626" s="22"/>
      <c r="N626" s="25" t="str">
        <f>HYPERLINK("http://slimages.macys.com/is/image/MCY/21730765 ")</f>
        <v xml:space="preserve">http://slimages.macys.com/is/image/MCY/21730765 </v>
      </c>
    </row>
    <row r="627" spans="1:14" ht="24.75" x14ac:dyDescent="0.25">
      <c r="A627" s="21" t="s">
        <v>17098</v>
      </c>
      <c r="B627" s="22" t="s">
        <v>17099</v>
      </c>
      <c r="C627" s="3">
        <v>2.72</v>
      </c>
      <c r="D627" s="23">
        <v>7.99</v>
      </c>
      <c r="E627" s="3">
        <v>7.99</v>
      </c>
      <c r="F627" s="2" t="s">
        <v>17100</v>
      </c>
      <c r="G627" s="22" t="s">
        <v>19351</v>
      </c>
      <c r="H627" s="24" t="s">
        <v>19907</v>
      </c>
      <c r="I627" s="22" t="s">
        <v>19309</v>
      </c>
      <c r="J627" s="22" t="s">
        <v>19815</v>
      </c>
      <c r="K627" s="22" t="s">
        <v>19816</v>
      </c>
      <c r="L627" s="22"/>
      <c r="M627" s="22"/>
      <c r="N627" s="25" t="str">
        <f>HYPERLINK("http://slimages.macys.com/is/image/MCY/21188057 ")</f>
        <v xml:space="preserve">http://slimages.macys.com/is/image/MCY/21188057 </v>
      </c>
    </row>
    <row r="628" spans="1:14" ht="24.75" x14ac:dyDescent="0.25">
      <c r="A628" s="21" t="s">
        <v>17101</v>
      </c>
      <c r="B628" s="22" t="s">
        <v>17102</v>
      </c>
      <c r="C628" s="3">
        <v>2.72</v>
      </c>
      <c r="D628" s="23">
        <v>7.99</v>
      </c>
      <c r="E628" s="3">
        <v>7.99</v>
      </c>
      <c r="F628" s="2" t="s">
        <v>17100</v>
      </c>
      <c r="G628" s="22" t="s">
        <v>18429</v>
      </c>
      <c r="H628" s="24" t="s">
        <v>19432</v>
      </c>
      <c r="I628" s="22" t="s">
        <v>19309</v>
      </c>
      <c r="J628" s="22" t="s">
        <v>19815</v>
      </c>
      <c r="K628" s="22" t="s">
        <v>19816</v>
      </c>
      <c r="L628" s="22"/>
      <c r="M628" s="22"/>
      <c r="N628" s="25" t="str">
        <f>HYPERLINK("http://slimages.macys.com/is/image/MCY/21188057 ")</f>
        <v xml:space="preserve">http://slimages.macys.com/is/image/MCY/21188057 </v>
      </c>
    </row>
    <row r="629" spans="1:14" ht="24.75" x14ac:dyDescent="0.25">
      <c r="A629" s="21" t="s">
        <v>19063</v>
      </c>
      <c r="B629" s="22" t="s">
        <v>19064</v>
      </c>
      <c r="C629" s="3">
        <v>2.7</v>
      </c>
      <c r="D629" s="23">
        <v>5.99</v>
      </c>
      <c r="E629" s="3">
        <v>5.99</v>
      </c>
      <c r="F629" s="2" t="s">
        <v>19065</v>
      </c>
      <c r="G629" s="22" t="s">
        <v>19618</v>
      </c>
      <c r="H629" s="24" t="s">
        <v>19538</v>
      </c>
      <c r="I629" s="22" t="s">
        <v>19309</v>
      </c>
      <c r="J629" s="22" t="s">
        <v>19573</v>
      </c>
      <c r="K629" s="22" t="s">
        <v>19574</v>
      </c>
      <c r="L629" s="22"/>
      <c r="M629" s="22"/>
      <c r="N629" s="25" t="str">
        <f>HYPERLINK("http://slimages.macys.com/is/image/MCY/1554870 ")</f>
        <v xml:space="preserve">http://slimages.macys.com/is/image/MCY/1554870 </v>
      </c>
    </row>
    <row r="630" spans="1:14" ht="24.75" x14ac:dyDescent="0.25">
      <c r="A630" s="21" t="s">
        <v>17103</v>
      </c>
      <c r="B630" s="22" t="s">
        <v>17104</v>
      </c>
      <c r="C630" s="3">
        <v>2.67</v>
      </c>
      <c r="D630" s="23">
        <v>7.99</v>
      </c>
      <c r="E630" s="3">
        <v>7.99</v>
      </c>
      <c r="F630" s="2" t="s">
        <v>17105</v>
      </c>
      <c r="G630" s="22" t="s">
        <v>19674</v>
      </c>
      <c r="H630" s="24" t="s">
        <v>19384</v>
      </c>
      <c r="I630" s="22" t="s">
        <v>19309</v>
      </c>
      <c r="J630" s="22" t="s">
        <v>19573</v>
      </c>
      <c r="K630" s="22" t="s">
        <v>19574</v>
      </c>
      <c r="L630" s="22"/>
      <c r="M630" s="22"/>
      <c r="N630" s="25" t="str">
        <f>HYPERLINK("http://slimages.macys.com/is/image/MCY/1439035 ")</f>
        <v xml:space="preserve">http://slimages.macys.com/is/image/MCY/1439035 </v>
      </c>
    </row>
    <row r="631" spans="1:14" ht="24.75" x14ac:dyDescent="0.25">
      <c r="A631" s="21" t="s">
        <v>17106</v>
      </c>
      <c r="B631" s="22" t="s">
        <v>17107</v>
      </c>
      <c r="C631" s="3">
        <v>2.66</v>
      </c>
      <c r="D631" s="23">
        <v>5.99</v>
      </c>
      <c r="E631" s="3">
        <v>5.99</v>
      </c>
      <c r="F631" s="2" t="s">
        <v>19087</v>
      </c>
      <c r="G631" s="22" t="s">
        <v>19415</v>
      </c>
      <c r="H631" s="24" t="s">
        <v>19538</v>
      </c>
      <c r="I631" s="22" t="s">
        <v>19309</v>
      </c>
      <c r="J631" s="22" t="s">
        <v>19573</v>
      </c>
      <c r="K631" s="22" t="s">
        <v>19574</v>
      </c>
      <c r="L631" s="22"/>
      <c r="M631" s="22"/>
      <c r="N631" s="25" t="str">
        <f>HYPERLINK("http://slimages.macys.com/is/image/MCY/21209585 ")</f>
        <v xml:space="preserve">http://slimages.macys.com/is/image/MCY/21209585 </v>
      </c>
    </row>
    <row r="632" spans="1:14" ht="24.75" x14ac:dyDescent="0.25">
      <c r="A632" s="21" t="s">
        <v>17108</v>
      </c>
      <c r="B632" s="22" t="s">
        <v>17109</v>
      </c>
      <c r="C632" s="3">
        <v>2.66</v>
      </c>
      <c r="D632" s="23">
        <v>5.99</v>
      </c>
      <c r="E632" s="3">
        <v>5.99</v>
      </c>
      <c r="F632" s="2" t="s">
        <v>17110</v>
      </c>
      <c r="G632" s="22" t="s">
        <v>19670</v>
      </c>
      <c r="H632" s="24" t="s">
        <v>19538</v>
      </c>
      <c r="I632" s="22" t="s">
        <v>19309</v>
      </c>
      <c r="J632" s="22" t="s">
        <v>19573</v>
      </c>
      <c r="K632" s="22" t="s">
        <v>19574</v>
      </c>
      <c r="L632" s="22"/>
      <c r="M632" s="22"/>
      <c r="N632" s="25" t="str">
        <f>HYPERLINK("http://slimages.macys.com/is/image/MCY/21209050 ")</f>
        <v xml:space="preserve">http://slimages.macys.com/is/image/MCY/21209050 </v>
      </c>
    </row>
    <row r="633" spans="1:14" ht="24.75" x14ac:dyDescent="0.25">
      <c r="A633" s="21" t="s">
        <v>17111</v>
      </c>
      <c r="B633" s="22" t="s">
        <v>17112</v>
      </c>
      <c r="C633" s="3">
        <v>5.32</v>
      </c>
      <c r="D633" s="23">
        <v>5.99</v>
      </c>
      <c r="E633" s="3">
        <v>11.98</v>
      </c>
      <c r="F633" s="2" t="s">
        <v>17113</v>
      </c>
      <c r="G633" s="22" t="s">
        <v>19618</v>
      </c>
      <c r="H633" s="24" t="s">
        <v>19384</v>
      </c>
      <c r="I633" s="22" t="s">
        <v>19309</v>
      </c>
      <c r="J633" s="22" t="s">
        <v>19573</v>
      </c>
      <c r="K633" s="22" t="s">
        <v>19574</v>
      </c>
      <c r="L633" s="22"/>
      <c r="M633" s="22"/>
      <c r="N633" s="25" t="str">
        <f>HYPERLINK("http://slimages.macys.com/is/image/MCY/21209585 ")</f>
        <v xml:space="preserve">http://slimages.macys.com/is/image/MCY/21209585 </v>
      </c>
    </row>
    <row r="634" spans="1:14" ht="24.75" x14ac:dyDescent="0.25">
      <c r="A634" s="21" t="s">
        <v>17114</v>
      </c>
      <c r="B634" s="22" t="s">
        <v>17115</v>
      </c>
      <c r="C634" s="3">
        <v>2.66</v>
      </c>
      <c r="D634" s="23">
        <v>5.99</v>
      </c>
      <c r="E634" s="3">
        <v>5.99</v>
      </c>
      <c r="F634" s="2" t="s">
        <v>19084</v>
      </c>
      <c r="G634" s="22" t="s">
        <v>19518</v>
      </c>
      <c r="H634" s="24" t="s">
        <v>19324</v>
      </c>
      <c r="I634" s="22" t="s">
        <v>19309</v>
      </c>
      <c r="J634" s="22" t="s">
        <v>19573</v>
      </c>
      <c r="K634" s="22" t="s">
        <v>19574</v>
      </c>
      <c r="L634" s="22"/>
      <c r="M634" s="22"/>
      <c r="N634" s="25" t="str">
        <f>HYPERLINK("http://slimages.macys.com/is/image/MCY/21209585 ")</f>
        <v xml:space="preserve">http://slimages.macys.com/is/image/MCY/21209585 </v>
      </c>
    </row>
    <row r="635" spans="1:14" ht="24.75" x14ac:dyDescent="0.25">
      <c r="A635" s="21" t="s">
        <v>17116</v>
      </c>
      <c r="B635" s="22" t="s">
        <v>17117</v>
      </c>
      <c r="C635" s="3">
        <v>2.66</v>
      </c>
      <c r="D635" s="23">
        <v>5.99</v>
      </c>
      <c r="E635" s="3">
        <v>5.99</v>
      </c>
      <c r="F635" s="2" t="s">
        <v>17113</v>
      </c>
      <c r="G635" s="22" t="s">
        <v>19618</v>
      </c>
      <c r="H635" s="24" t="s">
        <v>19538</v>
      </c>
      <c r="I635" s="22" t="s">
        <v>19309</v>
      </c>
      <c r="J635" s="22" t="s">
        <v>19573</v>
      </c>
      <c r="K635" s="22" t="s">
        <v>19574</v>
      </c>
      <c r="L635" s="22"/>
      <c r="M635" s="22"/>
      <c r="N635" s="25" t="str">
        <f>HYPERLINK("http://slimages.macys.com/is/image/MCY/21209585 ")</f>
        <v xml:space="preserve">http://slimages.macys.com/is/image/MCY/21209585 </v>
      </c>
    </row>
    <row r="636" spans="1:14" ht="24.75" x14ac:dyDescent="0.25">
      <c r="A636" s="21" t="s">
        <v>17118</v>
      </c>
      <c r="B636" s="22" t="s">
        <v>17119</v>
      </c>
      <c r="C636" s="3">
        <v>2.66</v>
      </c>
      <c r="D636" s="23">
        <v>5.99</v>
      </c>
      <c r="E636" s="3">
        <v>5.99</v>
      </c>
      <c r="F636" s="2" t="s">
        <v>19087</v>
      </c>
      <c r="G636" s="22" t="s">
        <v>19415</v>
      </c>
      <c r="H636" s="24" t="s">
        <v>19384</v>
      </c>
      <c r="I636" s="22" t="s">
        <v>19309</v>
      </c>
      <c r="J636" s="22" t="s">
        <v>19573</v>
      </c>
      <c r="K636" s="22" t="s">
        <v>19574</v>
      </c>
      <c r="L636" s="22"/>
      <c r="M636" s="22"/>
      <c r="N636" s="25" t="str">
        <f>HYPERLINK("http://slimages.macys.com/is/image/MCY/21209585 ")</f>
        <v xml:space="preserve">http://slimages.macys.com/is/image/MCY/21209585 </v>
      </c>
    </row>
    <row r="637" spans="1:14" ht="24.75" x14ac:dyDescent="0.25">
      <c r="A637" s="21" t="s">
        <v>17120</v>
      </c>
      <c r="B637" s="22" t="s">
        <v>17121</v>
      </c>
      <c r="C637" s="3">
        <v>2.66</v>
      </c>
      <c r="D637" s="23">
        <v>5.99</v>
      </c>
      <c r="E637" s="3">
        <v>5.99</v>
      </c>
      <c r="F637" s="2" t="s">
        <v>17122</v>
      </c>
      <c r="G637" s="22" t="s">
        <v>19415</v>
      </c>
      <c r="H637" s="24" t="s">
        <v>19324</v>
      </c>
      <c r="I637" s="22" t="s">
        <v>19309</v>
      </c>
      <c r="J637" s="22" t="s">
        <v>19573</v>
      </c>
      <c r="K637" s="22" t="s">
        <v>19574</v>
      </c>
      <c r="L637" s="22"/>
      <c r="M637" s="22"/>
      <c r="N637" s="25" t="str">
        <f>HYPERLINK("http://slimages.macys.com/is/image/MCY/21209558 ")</f>
        <v xml:space="preserve">http://slimages.macys.com/is/image/MCY/21209558 </v>
      </c>
    </row>
    <row r="638" spans="1:14" x14ac:dyDescent="0.25">
      <c r="A638" s="21" t="s">
        <v>17123</v>
      </c>
      <c r="B638" s="22" t="s">
        <v>17124</v>
      </c>
      <c r="C638" s="3">
        <v>5.3</v>
      </c>
      <c r="D638" s="23">
        <v>5.99</v>
      </c>
      <c r="E638" s="3">
        <v>11.98</v>
      </c>
      <c r="F638" s="2" t="s">
        <v>19096</v>
      </c>
      <c r="G638" s="22" t="s">
        <v>19513</v>
      </c>
      <c r="H638" s="24" t="s">
        <v>19361</v>
      </c>
      <c r="I638" s="22" t="s">
        <v>19309</v>
      </c>
      <c r="J638" s="22" t="s">
        <v>19514</v>
      </c>
      <c r="K638" s="22" t="s">
        <v>18514</v>
      </c>
      <c r="L638" s="22" t="s">
        <v>19319</v>
      </c>
      <c r="M638" s="22" t="s">
        <v>19435</v>
      </c>
      <c r="N638" s="25" t="str">
        <f>HYPERLINK("http://slimages.macys.com/is/image/MCY/9337988 ")</f>
        <v xml:space="preserve">http://slimages.macys.com/is/image/MCY/9337988 </v>
      </c>
    </row>
    <row r="639" spans="1:14" ht="24.75" x14ac:dyDescent="0.25">
      <c r="A639" s="21" t="s">
        <v>19102</v>
      </c>
      <c r="B639" s="22" t="s">
        <v>19103</v>
      </c>
      <c r="C639" s="3">
        <v>2.64</v>
      </c>
      <c r="D639" s="23">
        <v>6.99</v>
      </c>
      <c r="E639" s="3">
        <v>6.99</v>
      </c>
      <c r="F639" s="2" t="s">
        <v>19104</v>
      </c>
      <c r="G639" s="22" t="s">
        <v>19351</v>
      </c>
      <c r="H639" s="24" t="s">
        <v>20135</v>
      </c>
      <c r="I639" s="22" t="s">
        <v>19309</v>
      </c>
      <c r="J639" s="22" t="s">
        <v>19908</v>
      </c>
      <c r="K639" s="22" t="s">
        <v>19354</v>
      </c>
      <c r="L639" s="22"/>
      <c r="M639" s="22"/>
      <c r="N639" s="25" t="str">
        <f>HYPERLINK("http://slimages.macys.com/is/image/MCY/20708617 ")</f>
        <v xml:space="preserve">http://slimages.macys.com/is/image/MCY/20708617 </v>
      </c>
    </row>
    <row r="640" spans="1:14" ht="24.75" x14ac:dyDescent="0.25">
      <c r="A640" s="21" t="s">
        <v>19112</v>
      </c>
      <c r="B640" s="22" t="s">
        <v>19113</v>
      </c>
      <c r="C640" s="3">
        <v>5.26</v>
      </c>
      <c r="D640" s="23">
        <v>5.99</v>
      </c>
      <c r="E640" s="3">
        <v>11.98</v>
      </c>
      <c r="F640" s="2" t="s">
        <v>19109</v>
      </c>
      <c r="G640" s="22" t="s">
        <v>19670</v>
      </c>
      <c r="H640" s="24" t="s">
        <v>19324</v>
      </c>
      <c r="I640" s="22" t="s">
        <v>19309</v>
      </c>
      <c r="J640" s="22" t="s">
        <v>19573</v>
      </c>
      <c r="K640" s="22" t="s">
        <v>19574</v>
      </c>
      <c r="L640" s="22"/>
      <c r="M640" s="22"/>
      <c r="N640" s="25" t="str">
        <f>HYPERLINK("http://slimages.macys.com/is/image/MCY/21209381 ")</f>
        <v xml:space="preserve">http://slimages.macys.com/is/image/MCY/21209381 </v>
      </c>
    </row>
    <row r="641" spans="1:14" ht="24.75" x14ac:dyDescent="0.25">
      <c r="A641" s="21" t="s">
        <v>19119</v>
      </c>
      <c r="B641" s="22" t="s">
        <v>19120</v>
      </c>
      <c r="C641" s="3">
        <v>2.63</v>
      </c>
      <c r="D641" s="23">
        <v>5.99</v>
      </c>
      <c r="E641" s="3">
        <v>5.99</v>
      </c>
      <c r="F641" s="2" t="s">
        <v>19109</v>
      </c>
      <c r="G641" s="22" t="s">
        <v>19670</v>
      </c>
      <c r="H641" s="24" t="s">
        <v>19416</v>
      </c>
      <c r="I641" s="22" t="s">
        <v>19309</v>
      </c>
      <c r="J641" s="22" t="s">
        <v>19573</v>
      </c>
      <c r="K641" s="22" t="s">
        <v>19574</v>
      </c>
      <c r="L641" s="22"/>
      <c r="M641" s="22"/>
      <c r="N641" s="25" t="str">
        <f>HYPERLINK("http://slimages.macys.com/is/image/MCY/1734374 ")</f>
        <v xml:space="preserve">http://slimages.macys.com/is/image/MCY/1734374 </v>
      </c>
    </row>
    <row r="642" spans="1:14" ht="24.75" x14ac:dyDescent="0.25">
      <c r="A642" s="21" t="s">
        <v>17125</v>
      </c>
      <c r="B642" s="22" t="s">
        <v>17126</v>
      </c>
      <c r="C642" s="3">
        <v>2.63</v>
      </c>
      <c r="D642" s="23">
        <v>5.99</v>
      </c>
      <c r="E642" s="3">
        <v>5.99</v>
      </c>
      <c r="F642" s="2" t="s">
        <v>19109</v>
      </c>
      <c r="G642" s="22" t="s">
        <v>19674</v>
      </c>
      <c r="H642" s="24" t="s">
        <v>19324</v>
      </c>
      <c r="I642" s="22" t="s">
        <v>19309</v>
      </c>
      <c r="J642" s="22" t="s">
        <v>19573</v>
      </c>
      <c r="K642" s="22" t="s">
        <v>19574</v>
      </c>
      <c r="L642" s="22"/>
      <c r="M642" s="22"/>
      <c r="N642" s="25" t="str">
        <f>HYPERLINK("http://slimages.macys.com/is/image/MCY/1734374 ")</f>
        <v xml:space="preserve">http://slimages.macys.com/is/image/MCY/1734374 </v>
      </c>
    </row>
    <row r="643" spans="1:14" ht="24.75" x14ac:dyDescent="0.25">
      <c r="A643" s="21" t="s">
        <v>19110</v>
      </c>
      <c r="B643" s="22" t="s">
        <v>19111</v>
      </c>
      <c r="C643" s="3">
        <v>2.63</v>
      </c>
      <c r="D643" s="23">
        <v>5.99</v>
      </c>
      <c r="E643" s="3">
        <v>5.99</v>
      </c>
      <c r="F643" s="2" t="s">
        <v>19109</v>
      </c>
      <c r="G643" s="22" t="s">
        <v>19674</v>
      </c>
      <c r="H643" s="24" t="s">
        <v>19538</v>
      </c>
      <c r="I643" s="22" t="s">
        <v>19309</v>
      </c>
      <c r="J643" s="22" t="s">
        <v>19573</v>
      </c>
      <c r="K643" s="22" t="s">
        <v>19574</v>
      </c>
      <c r="L643" s="22"/>
      <c r="M643" s="22"/>
      <c r="N643" s="25" t="str">
        <f>HYPERLINK("http://slimages.macys.com/is/image/MCY/1734374 ")</f>
        <v xml:space="preserve">http://slimages.macys.com/is/image/MCY/1734374 </v>
      </c>
    </row>
    <row r="644" spans="1:14" ht="24.75" x14ac:dyDescent="0.25">
      <c r="A644" s="21" t="s">
        <v>19107</v>
      </c>
      <c r="B644" s="22" t="s">
        <v>19108</v>
      </c>
      <c r="C644" s="3">
        <v>5.26</v>
      </c>
      <c r="D644" s="23">
        <v>5.99</v>
      </c>
      <c r="E644" s="3">
        <v>11.98</v>
      </c>
      <c r="F644" s="2" t="s">
        <v>19109</v>
      </c>
      <c r="G644" s="22" t="s">
        <v>19670</v>
      </c>
      <c r="H644" s="24" t="s">
        <v>19384</v>
      </c>
      <c r="I644" s="22" t="s">
        <v>19309</v>
      </c>
      <c r="J644" s="22" t="s">
        <v>19573</v>
      </c>
      <c r="K644" s="22" t="s">
        <v>19574</v>
      </c>
      <c r="L644" s="22"/>
      <c r="M644" s="22"/>
      <c r="N644" s="25" t="str">
        <f>HYPERLINK("http://slimages.macys.com/is/image/MCY/1734374 ")</f>
        <v xml:space="preserve">http://slimages.macys.com/is/image/MCY/1734374 </v>
      </c>
    </row>
    <row r="645" spans="1:14" ht="24.75" x14ac:dyDescent="0.25">
      <c r="A645" s="21" t="s">
        <v>17127</v>
      </c>
      <c r="B645" s="22" t="s">
        <v>17128</v>
      </c>
      <c r="C645" s="3">
        <v>5.2</v>
      </c>
      <c r="D645" s="23">
        <v>6.99</v>
      </c>
      <c r="E645" s="3">
        <v>13.98</v>
      </c>
      <c r="F645" s="2" t="s">
        <v>17129</v>
      </c>
      <c r="G645" s="22" t="s">
        <v>19315</v>
      </c>
      <c r="H645" s="24" t="s">
        <v>19330</v>
      </c>
      <c r="I645" s="22" t="s">
        <v>19309</v>
      </c>
      <c r="J645" s="22" t="s">
        <v>19573</v>
      </c>
      <c r="K645" s="22" t="s">
        <v>19574</v>
      </c>
      <c r="L645" s="22"/>
      <c r="M645" s="22"/>
      <c r="N645" s="25" t="str">
        <f>HYPERLINK("http://slimages.macys.com/is/image/MCY/14715178 ")</f>
        <v xml:space="preserve">http://slimages.macys.com/is/image/MCY/14715178 </v>
      </c>
    </row>
    <row r="646" spans="1:14" ht="24.75" x14ac:dyDescent="0.25">
      <c r="A646" s="21" t="s">
        <v>17130</v>
      </c>
      <c r="B646" s="22" t="s">
        <v>17131</v>
      </c>
      <c r="C646" s="3">
        <v>5.2</v>
      </c>
      <c r="D646" s="23">
        <v>6.99</v>
      </c>
      <c r="E646" s="3">
        <v>13.98</v>
      </c>
      <c r="F646" s="2" t="s">
        <v>17129</v>
      </c>
      <c r="G646" s="22" t="s">
        <v>19315</v>
      </c>
      <c r="H646" s="24" t="s">
        <v>19384</v>
      </c>
      <c r="I646" s="22" t="s">
        <v>19309</v>
      </c>
      <c r="J646" s="22" t="s">
        <v>19573</v>
      </c>
      <c r="K646" s="22" t="s">
        <v>19574</v>
      </c>
      <c r="L646" s="22"/>
      <c r="M646" s="22"/>
      <c r="N646" s="25" t="str">
        <f>HYPERLINK("http://slimages.macys.com/is/image/MCY/14715178 ")</f>
        <v xml:space="preserve">http://slimages.macys.com/is/image/MCY/14715178 </v>
      </c>
    </row>
    <row r="647" spans="1:14" ht="24.75" x14ac:dyDescent="0.25">
      <c r="A647" s="21" t="s">
        <v>17132</v>
      </c>
      <c r="B647" s="22" t="s">
        <v>17133</v>
      </c>
      <c r="C647" s="3">
        <v>5.2</v>
      </c>
      <c r="D647" s="23">
        <v>6.99</v>
      </c>
      <c r="E647" s="3">
        <v>13.98</v>
      </c>
      <c r="F647" s="2" t="s">
        <v>17129</v>
      </c>
      <c r="G647" s="22" t="s">
        <v>19315</v>
      </c>
      <c r="H647" s="24" t="s">
        <v>19324</v>
      </c>
      <c r="I647" s="22" t="s">
        <v>19309</v>
      </c>
      <c r="J647" s="22" t="s">
        <v>19573</v>
      </c>
      <c r="K647" s="22" t="s">
        <v>19574</v>
      </c>
      <c r="L647" s="22"/>
      <c r="M647" s="22"/>
      <c r="N647" s="25" t="str">
        <f>HYPERLINK("http://slimages.macys.com/is/image/MCY/14715178 ")</f>
        <v xml:space="preserve">http://slimages.macys.com/is/image/MCY/14715178 </v>
      </c>
    </row>
    <row r="648" spans="1:14" ht="24.75" x14ac:dyDescent="0.25">
      <c r="A648" s="21" t="s">
        <v>17134</v>
      </c>
      <c r="B648" s="22" t="s">
        <v>17135</v>
      </c>
      <c r="C648" s="3">
        <v>2.6</v>
      </c>
      <c r="D648" s="23">
        <v>6.99</v>
      </c>
      <c r="E648" s="3">
        <v>6.99</v>
      </c>
      <c r="F648" s="2" t="s">
        <v>17129</v>
      </c>
      <c r="G648" s="22" t="s">
        <v>19315</v>
      </c>
      <c r="H648" s="24" t="s">
        <v>19538</v>
      </c>
      <c r="I648" s="22" t="s">
        <v>19309</v>
      </c>
      <c r="J648" s="22" t="s">
        <v>19573</v>
      </c>
      <c r="K648" s="22" t="s">
        <v>19574</v>
      </c>
      <c r="L648" s="22"/>
      <c r="M648" s="22"/>
      <c r="N648" s="25" t="str">
        <f>HYPERLINK("http://slimages.macys.com/is/image/MCY/14715178 ")</f>
        <v xml:space="preserve">http://slimages.macys.com/is/image/MCY/14715178 </v>
      </c>
    </row>
    <row r="649" spans="1:14" ht="24.75" x14ac:dyDescent="0.25">
      <c r="A649" s="21" t="s">
        <v>17136</v>
      </c>
      <c r="B649" s="22" t="s">
        <v>17137</v>
      </c>
      <c r="C649" s="3">
        <v>7.8</v>
      </c>
      <c r="D649" s="23">
        <v>6.99</v>
      </c>
      <c r="E649" s="3">
        <v>20.97</v>
      </c>
      <c r="F649" s="2" t="s">
        <v>17129</v>
      </c>
      <c r="G649" s="22" t="s">
        <v>19315</v>
      </c>
      <c r="H649" s="24" t="s">
        <v>19416</v>
      </c>
      <c r="I649" s="22" t="s">
        <v>19309</v>
      </c>
      <c r="J649" s="22" t="s">
        <v>19573</v>
      </c>
      <c r="K649" s="22" t="s">
        <v>19574</v>
      </c>
      <c r="L649" s="22"/>
      <c r="M649" s="22"/>
      <c r="N649" s="25" t="str">
        <f>HYPERLINK("http://slimages.macys.com/is/image/MCY/14715178 ")</f>
        <v xml:space="preserve">http://slimages.macys.com/is/image/MCY/14715178 </v>
      </c>
    </row>
    <row r="650" spans="1:14" ht="24.75" x14ac:dyDescent="0.25">
      <c r="A650" s="21" t="s">
        <v>17138</v>
      </c>
      <c r="B650" s="22" t="s">
        <v>17139</v>
      </c>
      <c r="C650" s="3">
        <v>2.58</v>
      </c>
      <c r="D650" s="23">
        <v>5.99</v>
      </c>
      <c r="E650" s="3">
        <v>5.99</v>
      </c>
      <c r="F650" s="2" t="s">
        <v>17140</v>
      </c>
      <c r="G650" s="22" t="s">
        <v>19467</v>
      </c>
      <c r="H650" s="24" t="s">
        <v>19330</v>
      </c>
      <c r="I650" s="22" t="s">
        <v>19309</v>
      </c>
      <c r="J650" s="22" t="s">
        <v>19573</v>
      </c>
      <c r="K650" s="22" t="s">
        <v>19574</v>
      </c>
      <c r="L650" s="22"/>
      <c r="M650" s="22"/>
      <c r="N650" s="25" t="str">
        <f>HYPERLINK("http://slimages.macys.com/is/image/MCY/21209516 ")</f>
        <v xml:space="preserve">http://slimages.macys.com/is/image/MCY/21209516 </v>
      </c>
    </row>
    <row r="651" spans="1:14" ht="24.75" x14ac:dyDescent="0.25">
      <c r="A651" s="21" t="s">
        <v>17141</v>
      </c>
      <c r="B651" s="22" t="s">
        <v>17142</v>
      </c>
      <c r="C651" s="3">
        <v>5.16</v>
      </c>
      <c r="D651" s="23">
        <v>5.99</v>
      </c>
      <c r="E651" s="3">
        <v>11.98</v>
      </c>
      <c r="F651" s="2" t="s">
        <v>17140</v>
      </c>
      <c r="G651" s="22" t="s">
        <v>19467</v>
      </c>
      <c r="H651" s="24" t="s">
        <v>19324</v>
      </c>
      <c r="I651" s="22" t="s">
        <v>19309</v>
      </c>
      <c r="J651" s="22" t="s">
        <v>19573</v>
      </c>
      <c r="K651" s="22" t="s">
        <v>19574</v>
      </c>
      <c r="L651" s="22"/>
      <c r="M651" s="22"/>
      <c r="N651" s="25" t="str">
        <f>HYPERLINK("http://slimages.macys.com/is/image/MCY/21209516 ")</f>
        <v xml:space="preserve">http://slimages.macys.com/is/image/MCY/21209516 </v>
      </c>
    </row>
    <row r="652" spans="1:14" ht="24.75" x14ac:dyDescent="0.25">
      <c r="A652" s="21" t="s">
        <v>17143</v>
      </c>
      <c r="B652" s="22" t="s">
        <v>17144</v>
      </c>
      <c r="C652" s="3">
        <v>2.58</v>
      </c>
      <c r="D652" s="23">
        <v>5.99</v>
      </c>
      <c r="E652" s="3">
        <v>5.99</v>
      </c>
      <c r="F652" s="2" t="s">
        <v>17140</v>
      </c>
      <c r="G652" s="22" t="s">
        <v>19467</v>
      </c>
      <c r="H652" s="24" t="s">
        <v>19384</v>
      </c>
      <c r="I652" s="22" t="s">
        <v>19309</v>
      </c>
      <c r="J652" s="22" t="s">
        <v>19573</v>
      </c>
      <c r="K652" s="22" t="s">
        <v>19574</v>
      </c>
      <c r="L652" s="22"/>
      <c r="M652" s="22"/>
      <c r="N652" s="25" t="str">
        <f>HYPERLINK("http://slimages.macys.com/is/image/MCY/21209516 ")</f>
        <v xml:space="preserve">http://slimages.macys.com/is/image/MCY/21209516 </v>
      </c>
    </row>
    <row r="653" spans="1:14" ht="24.75" x14ac:dyDescent="0.25">
      <c r="A653" s="21" t="s">
        <v>17145</v>
      </c>
      <c r="B653" s="22" t="s">
        <v>17146</v>
      </c>
      <c r="C653" s="3">
        <v>7.71</v>
      </c>
      <c r="D653" s="23">
        <v>5.99</v>
      </c>
      <c r="E653" s="3">
        <v>17.97</v>
      </c>
      <c r="F653" s="2" t="s">
        <v>17147</v>
      </c>
      <c r="G653" s="22" t="s">
        <v>19431</v>
      </c>
      <c r="H653" s="24" t="s">
        <v>19538</v>
      </c>
      <c r="I653" s="22" t="s">
        <v>19309</v>
      </c>
      <c r="J653" s="22" t="s">
        <v>19573</v>
      </c>
      <c r="K653" s="22" t="s">
        <v>19574</v>
      </c>
      <c r="L653" s="22"/>
      <c r="M653" s="22"/>
      <c r="N653" s="25" t="str">
        <f>HYPERLINK("http://slimages.macys.com/is/image/MCY/21209149 ")</f>
        <v xml:space="preserve">http://slimages.macys.com/is/image/MCY/21209149 </v>
      </c>
    </row>
    <row r="654" spans="1:14" ht="24.75" x14ac:dyDescent="0.25">
      <c r="A654" s="21" t="s">
        <v>17148</v>
      </c>
      <c r="B654" s="22" t="s">
        <v>17149</v>
      </c>
      <c r="C654" s="3">
        <v>2.57</v>
      </c>
      <c r="D654" s="23">
        <v>5.99</v>
      </c>
      <c r="E654" s="3">
        <v>5.99</v>
      </c>
      <c r="F654" s="2" t="s">
        <v>17150</v>
      </c>
      <c r="G654" s="22" t="s">
        <v>19315</v>
      </c>
      <c r="H654" s="24" t="s">
        <v>19384</v>
      </c>
      <c r="I654" s="22" t="s">
        <v>19309</v>
      </c>
      <c r="J654" s="22" t="s">
        <v>19573</v>
      </c>
      <c r="K654" s="22" t="s">
        <v>19574</v>
      </c>
      <c r="L654" s="22"/>
      <c r="M654" s="22"/>
      <c r="N654" s="25" t="str">
        <f>HYPERLINK("http://slimages.macys.com/is/image/MCY/21209570 ")</f>
        <v xml:space="preserve">http://slimages.macys.com/is/image/MCY/21209570 </v>
      </c>
    </row>
    <row r="655" spans="1:14" ht="24.75" x14ac:dyDescent="0.25">
      <c r="A655" s="21" t="s">
        <v>17151</v>
      </c>
      <c r="B655" s="22" t="s">
        <v>17152</v>
      </c>
      <c r="C655" s="3">
        <v>2.57</v>
      </c>
      <c r="D655" s="23">
        <v>5.99</v>
      </c>
      <c r="E655" s="3">
        <v>5.99</v>
      </c>
      <c r="F655" s="2" t="s">
        <v>17147</v>
      </c>
      <c r="G655" s="22" t="s">
        <v>19431</v>
      </c>
      <c r="H655" s="24" t="s">
        <v>19384</v>
      </c>
      <c r="I655" s="22" t="s">
        <v>19309</v>
      </c>
      <c r="J655" s="22" t="s">
        <v>19573</v>
      </c>
      <c r="K655" s="22" t="s">
        <v>19574</v>
      </c>
      <c r="L655" s="22"/>
      <c r="M655" s="22"/>
      <c r="N655" s="25" t="str">
        <f>HYPERLINK("http://slimages.macys.com/is/image/MCY/21209149 ")</f>
        <v xml:space="preserve">http://slimages.macys.com/is/image/MCY/21209149 </v>
      </c>
    </row>
    <row r="656" spans="1:14" ht="24.75" x14ac:dyDescent="0.25">
      <c r="A656" s="21" t="s">
        <v>17153</v>
      </c>
      <c r="B656" s="22" t="s">
        <v>17154</v>
      </c>
      <c r="C656" s="3">
        <v>2.54</v>
      </c>
      <c r="D656" s="23">
        <v>6.99</v>
      </c>
      <c r="E656" s="3">
        <v>6.99</v>
      </c>
      <c r="F656" s="2" t="s">
        <v>17155</v>
      </c>
      <c r="G656" s="22" t="s">
        <v>19518</v>
      </c>
      <c r="H656" s="24" t="s">
        <v>19416</v>
      </c>
      <c r="I656" s="22" t="s">
        <v>19309</v>
      </c>
      <c r="J656" s="22" t="s">
        <v>19573</v>
      </c>
      <c r="K656" s="22" t="s">
        <v>19574</v>
      </c>
      <c r="L656" s="22"/>
      <c r="M656" s="22"/>
      <c r="N656" s="25" t="str">
        <f>HYPERLINK("http://slimages.macys.com/is/image/MCY/19762874 ")</f>
        <v xml:space="preserve">http://slimages.macys.com/is/image/MCY/19762874 </v>
      </c>
    </row>
    <row r="657" spans="1:14" ht="24.75" x14ac:dyDescent="0.25">
      <c r="A657" s="21" t="s">
        <v>17156</v>
      </c>
      <c r="B657" s="22" t="s">
        <v>17157</v>
      </c>
      <c r="C657" s="3">
        <v>2.54</v>
      </c>
      <c r="D657" s="23">
        <v>6.99</v>
      </c>
      <c r="E657" s="3">
        <v>6.99</v>
      </c>
      <c r="F657" s="2" t="s">
        <v>17158</v>
      </c>
      <c r="G657" s="22" t="s">
        <v>19431</v>
      </c>
      <c r="H657" s="24" t="s">
        <v>19384</v>
      </c>
      <c r="I657" s="22" t="s">
        <v>19309</v>
      </c>
      <c r="J657" s="22" t="s">
        <v>19573</v>
      </c>
      <c r="K657" s="22" t="s">
        <v>19574</v>
      </c>
      <c r="L657" s="22"/>
      <c r="M657" s="22"/>
      <c r="N657" s="25" t="str">
        <f>HYPERLINK("http://slimages.macys.com/is/image/MCY/19746542 ")</f>
        <v xml:space="preserve">http://slimages.macys.com/is/image/MCY/19746542 </v>
      </c>
    </row>
    <row r="658" spans="1:14" ht="24.75" x14ac:dyDescent="0.25">
      <c r="A658" s="21" t="s">
        <v>17159</v>
      </c>
      <c r="B658" s="22" t="s">
        <v>17160</v>
      </c>
      <c r="C658" s="3">
        <v>2.54</v>
      </c>
      <c r="D658" s="23">
        <v>6.99</v>
      </c>
      <c r="E658" s="3">
        <v>6.99</v>
      </c>
      <c r="F658" s="2" t="s">
        <v>17155</v>
      </c>
      <c r="G658" s="22" t="s">
        <v>19518</v>
      </c>
      <c r="H658" s="24" t="s">
        <v>19384</v>
      </c>
      <c r="I658" s="22" t="s">
        <v>19309</v>
      </c>
      <c r="J658" s="22" t="s">
        <v>19573</v>
      </c>
      <c r="K658" s="22" t="s">
        <v>19574</v>
      </c>
      <c r="L658" s="22"/>
      <c r="M658" s="22"/>
      <c r="N658" s="25" t="str">
        <f>HYPERLINK("http://slimages.macys.com/is/image/MCY/19762874 ")</f>
        <v xml:space="preserve">http://slimages.macys.com/is/image/MCY/19762874 </v>
      </c>
    </row>
    <row r="659" spans="1:14" ht="24.75" x14ac:dyDescent="0.25">
      <c r="A659" s="21" t="s">
        <v>17161</v>
      </c>
      <c r="B659" s="22" t="s">
        <v>17162</v>
      </c>
      <c r="C659" s="3">
        <v>2.5299999999999998</v>
      </c>
      <c r="D659" s="23">
        <v>6.99</v>
      </c>
      <c r="E659" s="3">
        <v>6.99</v>
      </c>
      <c r="F659" s="2" t="s">
        <v>19137</v>
      </c>
      <c r="G659" s="22" t="s">
        <v>19518</v>
      </c>
      <c r="H659" s="24" t="s">
        <v>19416</v>
      </c>
      <c r="I659" s="22" t="s">
        <v>19309</v>
      </c>
      <c r="J659" s="22" t="s">
        <v>19573</v>
      </c>
      <c r="K659" s="22" t="s">
        <v>19574</v>
      </c>
      <c r="L659" s="22"/>
      <c r="M659" s="22"/>
      <c r="N659" s="25" t="str">
        <f>HYPERLINK("http://slimages.macys.com/is/image/MCY/19737450 ")</f>
        <v xml:space="preserve">http://slimages.macys.com/is/image/MCY/19737450 </v>
      </c>
    </row>
    <row r="660" spans="1:14" ht="24.75" x14ac:dyDescent="0.25">
      <c r="A660" s="21" t="s">
        <v>17163</v>
      </c>
      <c r="B660" s="22" t="s">
        <v>17164</v>
      </c>
      <c r="C660" s="3">
        <v>2.5299999999999998</v>
      </c>
      <c r="D660" s="23">
        <v>7.99</v>
      </c>
      <c r="E660" s="3">
        <v>7.99</v>
      </c>
      <c r="F660" s="2" t="s">
        <v>17165</v>
      </c>
      <c r="G660" s="22" t="s">
        <v>17567</v>
      </c>
      <c r="H660" s="24" t="s">
        <v>20135</v>
      </c>
      <c r="I660" s="22" t="s">
        <v>19309</v>
      </c>
      <c r="J660" s="22" t="s">
        <v>19573</v>
      </c>
      <c r="K660" s="22" t="s">
        <v>19574</v>
      </c>
      <c r="L660" s="22"/>
      <c r="M660" s="22"/>
      <c r="N660" s="25" t="str">
        <f>HYPERLINK("http://slimages.macys.com/is/image/MCY/21730661 ")</f>
        <v xml:space="preserve">http://slimages.macys.com/is/image/MCY/21730661 </v>
      </c>
    </row>
    <row r="661" spans="1:14" ht="24.75" x14ac:dyDescent="0.25">
      <c r="A661" s="21" t="s">
        <v>17166</v>
      </c>
      <c r="B661" s="22" t="s">
        <v>17167</v>
      </c>
      <c r="C661" s="3">
        <v>2.5299999999999998</v>
      </c>
      <c r="D661" s="23">
        <v>5.99</v>
      </c>
      <c r="E661" s="3">
        <v>5.99</v>
      </c>
      <c r="F661" s="2" t="s">
        <v>17168</v>
      </c>
      <c r="G661" s="22" t="s">
        <v>19618</v>
      </c>
      <c r="H661" s="24" t="s">
        <v>19324</v>
      </c>
      <c r="I661" s="22" t="s">
        <v>19309</v>
      </c>
      <c r="J661" s="22" t="s">
        <v>19573</v>
      </c>
      <c r="K661" s="22" t="s">
        <v>19574</v>
      </c>
      <c r="L661" s="22"/>
      <c r="M661" s="22"/>
      <c r="N661" s="25" t="str">
        <f>HYPERLINK("http://slimages.macys.com/is/image/MCY/21088377 ")</f>
        <v xml:space="preserve">http://slimages.macys.com/is/image/MCY/21088377 </v>
      </c>
    </row>
    <row r="662" spans="1:14" ht="24.75" x14ac:dyDescent="0.25">
      <c r="A662" s="21" t="s">
        <v>19150</v>
      </c>
      <c r="B662" s="22" t="s">
        <v>19151</v>
      </c>
      <c r="C662" s="3">
        <v>7.59</v>
      </c>
      <c r="D662" s="23">
        <v>5.99</v>
      </c>
      <c r="E662" s="3">
        <v>17.97</v>
      </c>
      <c r="F662" s="2" t="s">
        <v>19145</v>
      </c>
      <c r="G662" s="22" t="s">
        <v>19618</v>
      </c>
      <c r="H662" s="24" t="s">
        <v>19384</v>
      </c>
      <c r="I662" s="22" t="s">
        <v>19309</v>
      </c>
      <c r="J662" s="22" t="s">
        <v>19573</v>
      </c>
      <c r="K662" s="22" t="s">
        <v>19574</v>
      </c>
      <c r="L662" s="22"/>
      <c r="M662" s="22"/>
      <c r="N662" s="25" t="str">
        <f>HYPERLINK("http://slimages.macys.com/is/image/MCY/21970089 ")</f>
        <v xml:space="preserve">http://slimages.macys.com/is/image/MCY/21970089 </v>
      </c>
    </row>
    <row r="663" spans="1:14" ht="24.75" x14ac:dyDescent="0.25">
      <c r="A663" s="21" t="s">
        <v>17169</v>
      </c>
      <c r="B663" s="22" t="s">
        <v>17170</v>
      </c>
      <c r="C663" s="3">
        <v>2.5099999999999998</v>
      </c>
      <c r="D663" s="23">
        <v>7.99</v>
      </c>
      <c r="E663" s="3">
        <v>7.99</v>
      </c>
      <c r="F663" s="2" t="s">
        <v>17171</v>
      </c>
      <c r="G663" s="22" t="s">
        <v>19670</v>
      </c>
      <c r="H663" s="24" t="s">
        <v>20089</v>
      </c>
      <c r="I663" s="22" t="s">
        <v>19309</v>
      </c>
      <c r="J663" s="22" t="s">
        <v>19573</v>
      </c>
      <c r="K663" s="22" t="s">
        <v>19574</v>
      </c>
      <c r="L663" s="22"/>
      <c r="M663" s="22"/>
      <c r="N663" s="25" t="str">
        <f>HYPERLINK("http://slimages.macys.com/is/image/MCY/21209595 ")</f>
        <v xml:space="preserve">http://slimages.macys.com/is/image/MCY/21209595 </v>
      </c>
    </row>
    <row r="664" spans="1:14" ht="24.75" x14ac:dyDescent="0.25">
      <c r="A664" s="21" t="s">
        <v>17172</v>
      </c>
      <c r="B664" s="22" t="s">
        <v>17173</v>
      </c>
      <c r="C664" s="3">
        <v>2.48</v>
      </c>
      <c r="D664" s="23">
        <v>5.99</v>
      </c>
      <c r="E664" s="3">
        <v>5.99</v>
      </c>
      <c r="F664" s="2" t="s">
        <v>19173</v>
      </c>
      <c r="G664" s="22" t="s">
        <v>19906</v>
      </c>
      <c r="H664" s="24" t="s">
        <v>19538</v>
      </c>
      <c r="I664" s="22" t="s">
        <v>19309</v>
      </c>
      <c r="J664" s="22" t="s">
        <v>19573</v>
      </c>
      <c r="K664" s="22" t="s">
        <v>19574</v>
      </c>
      <c r="L664" s="22"/>
      <c r="M664" s="22"/>
      <c r="N664" s="25" t="str">
        <f>HYPERLINK("http://slimages.macys.com/is/image/MCY/1522011 ")</f>
        <v xml:space="preserve">http://slimages.macys.com/is/image/MCY/1522011 </v>
      </c>
    </row>
    <row r="665" spans="1:14" ht="24.75" x14ac:dyDescent="0.25">
      <c r="A665" s="21" t="s">
        <v>17174</v>
      </c>
      <c r="B665" s="22" t="s">
        <v>17175</v>
      </c>
      <c r="C665" s="3">
        <v>2.48</v>
      </c>
      <c r="D665" s="23">
        <v>5.99</v>
      </c>
      <c r="E665" s="3">
        <v>5.99</v>
      </c>
      <c r="F665" s="2" t="s">
        <v>19173</v>
      </c>
      <c r="G665" s="22" t="s">
        <v>19906</v>
      </c>
      <c r="H665" s="24" t="s">
        <v>19324</v>
      </c>
      <c r="I665" s="22" t="s">
        <v>19309</v>
      </c>
      <c r="J665" s="22" t="s">
        <v>19573</v>
      </c>
      <c r="K665" s="22" t="s">
        <v>19574</v>
      </c>
      <c r="L665" s="22"/>
      <c r="M665" s="22"/>
      <c r="N665" s="25" t="str">
        <f>HYPERLINK("http://slimages.macys.com/is/image/MCY/1522011 ")</f>
        <v xml:space="preserve">http://slimages.macys.com/is/image/MCY/1522011 </v>
      </c>
    </row>
    <row r="666" spans="1:14" ht="24.75" x14ac:dyDescent="0.25">
      <c r="A666" s="21" t="s">
        <v>17176</v>
      </c>
      <c r="B666" s="22" t="s">
        <v>17177</v>
      </c>
      <c r="C666" s="3">
        <v>2.48</v>
      </c>
      <c r="D666" s="23">
        <v>5.99</v>
      </c>
      <c r="E666" s="3">
        <v>5.99</v>
      </c>
      <c r="F666" s="2" t="s">
        <v>17178</v>
      </c>
      <c r="G666" s="22" t="s">
        <v>19351</v>
      </c>
      <c r="H666" s="24" t="s">
        <v>19330</v>
      </c>
      <c r="I666" s="22" t="s">
        <v>19309</v>
      </c>
      <c r="J666" s="22" t="s">
        <v>19573</v>
      </c>
      <c r="K666" s="22" t="s">
        <v>19574</v>
      </c>
      <c r="L666" s="22"/>
      <c r="M666" s="22"/>
      <c r="N666" s="25" t="str">
        <f>HYPERLINK("http://slimages.macys.com/is/image/MCY/1133239 ")</f>
        <v xml:space="preserve">http://slimages.macys.com/is/image/MCY/1133239 </v>
      </c>
    </row>
    <row r="667" spans="1:14" ht="24.75" x14ac:dyDescent="0.25">
      <c r="A667" s="21" t="s">
        <v>17179</v>
      </c>
      <c r="B667" s="22" t="s">
        <v>17180</v>
      </c>
      <c r="C667" s="3">
        <v>2.48</v>
      </c>
      <c r="D667" s="23">
        <v>5.99</v>
      </c>
      <c r="E667" s="3">
        <v>5.99</v>
      </c>
      <c r="F667" s="2" t="s">
        <v>19167</v>
      </c>
      <c r="G667" s="22" t="s">
        <v>19618</v>
      </c>
      <c r="H667" s="24" t="s">
        <v>19384</v>
      </c>
      <c r="I667" s="22" t="s">
        <v>19309</v>
      </c>
      <c r="J667" s="22" t="s">
        <v>19573</v>
      </c>
      <c r="K667" s="22" t="s">
        <v>19574</v>
      </c>
      <c r="L667" s="22"/>
      <c r="M667" s="22"/>
      <c r="N667" s="25" t="str">
        <f>HYPERLINK("http://slimages.macys.com/is/image/MCY/20736377 ")</f>
        <v xml:space="preserve">http://slimages.macys.com/is/image/MCY/20736377 </v>
      </c>
    </row>
    <row r="668" spans="1:14" ht="24.75" x14ac:dyDescent="0.25">
      <c r="A668" s="21" t="s">
        <v>17181</v>
      </c>
      <c r="B668" s="22" t="s">
        <v>17182</v>
      </c>
      <c r="C668" s="3">
        <v>2.48</v>
      </c>
      <c r="D668" s="23">
        <v>5.99</v>
      </c>
      <c r="E668" s="3">
        <v>5.99</v>
      </c>
      <c r="F668" s="2" t="s">
        <v>19173</v>
      </c>
      <c r="G668" s="22" t="s">
        <v>19906</v>
      </c>
      <c r="H668" s="24" t="s">
        <v>19384</v>
      </c>
      <c r="I668" s="22" t="s">
        <v>19309</v>
      </c>
      <c r="J668" s="22" t="s">
        <v>19573</v>
      </c>
      <c r="K668" s="22" t="s">
        <v>19574</v>
      </c>
      <c r="L668" s="22"/>
      <c r="M668" s="22"/>
      <c r="N668" s="25" t="str">
        <f>HYPERLINK("http://slimages.macys.com/is/image/MCY/1522011 ")</f>
        <v xml:space="preserve">http://slimages.macys.com/is/image/MCY/1522011 </v>
      </c>
    </row>
    <row r="669" spans="1:14" ht="24.75" x14ac:dyDescent="0.25">
      <c r="A669" s="21" t="s">
        <v>19165</v>
      </c>
      <c r="B669" s="22" t="s">
        <v>19166</v>
      </c>
      <c r="C669" s="3">
        <v>2.48</v>
      </c>
      <c r="D669" s="23">
        <v>5.99</v>
      </c>
      <c r="E669" s="3">
        <v>5.99</v>
      </c>
      <c r="F669" s="2" t="s">
        <v>19167</v>
      </c>
      <c r="G669" s="22" t="s">
        <v>19618</v>
      </c>
      <c r="H669" s="24" t="s">
        <v>19538</v>
      </c>
      <c r="I669" s="22" t="s">
        <v>19309</v>
      </c>
      <c r="J669" s="22" t="s">
        <v>19573</v>
      </c>
      <c r="K669" s="22" t="s">
        <v>19574</v>
      </c>
      <c r="L669" s="22"/>
      <c r="M669" s="22"/>
      <c r="N669" s="25" t="str">
        <f>HYPERLINK("http://slimages.macys.com/is/image/MCY/20736377 ")</f>
        <v xml:space="preserve">http://slimages.macys.com/is/image/MCY/20736377 </v>
      </c>
    </row>
    <row r="670" spans="1:14" ht="24.75" x14ac:dyDescent="0.25">
      <c r="A670" s="21" t="s">
        <v>17183</v>
      </c>
      <c r="B670" s="22" t="s">
        <v>17184</v>
      </c>
      <c r="C670" s="3">
        <v>2.48</v>
      </c>
      <c r="D670" s="23">
        <v>5.99</v>
      </c>
      <c r="E670" s="3">
        <v>5.99</v>
      </c>
      <c r="F670" s="2" t="s">
        <v>17185</v>
      </c>
      <c r="G670" s="22" t="s">
        <v>19477</v>
      </c>
      <c r="H670" s="24" t="s">
        <v>19330</v>
      </c>
      <c r="I670" s="22" t="s">
        <v>19309</v>
      </c>
      <c r="J670" s="22" t="s">
        <v>19573</v>
      </c>
      <c r="K670" s="22" t="s">
        <v>19574</v>
      </c>
      <c r="L670" s="22"/>
      <c r="M670" s="22"/>
      <c r="N670" s="25" t="str">
        <f>HYPERLINK("http://slimages.macys.com/is/image/MCY/21209412 ")</f>
        <v xml:space="preserve">http://slimages.macys.com/is/image/MCY/21209412 </v>
      </c>
    </row>
    <row r="671" spans="1:14" ht="24.75" x14ac:dyDescent="0.25">
      <c r="A671" s="21" t="s">
        <v>19183</v>
      </c>
      <c r="B671" s="22" t="s">
        <v>19184</v>
      </c>
      <c r="C671" s="3">
        <v>2.4700000000000002</v>
      </c>
      <c r="D671" s="23">
        <v>5.99</v>
      </c>
      <c r="E671" s="3">
        <v>5.99</v>
      </c>
      <c r="F671" s="2" t="s">
        <v>19180</v>
      </c>
      <c r="G671" s="22" t="s">
        <v>19477</v>
      </c>
      <c r="H671" s="24" t="s">
        <v>19324</v>
      </c>
      <c r="I671" s="22" t="s">
        <v>19309</v>
      </c>
      <c r="J671" s="22" t="s">
        <v>19573</v>
      </c>
      <c r="K671" s="22" t="s">
        <v>19574</v>
      </c>
      <c r="L671" s="22"/>
      <c r="M671" s="22"/>
      <c r="N671" s="25" t="str">
        <f>HYPERLINK("http://slimages.macys.com/is/image/MCY/1521974 ")</f>
        <v xml:space="preserve">http://slimages.macys.com/is/image/MCY/1521974 </v>
      </c>
    </row>
    <row r="672" spans="1:14" ht="24.75" x14ac:dyDescent="0.25">
      <c r="A672" s="21" t="s">
        <v>19178</v>
      </c>
      <c r="B672" s="22" t="s">
        <v>19179</v>
      </c>
      <c r="C672" s="3">
        <v>4.9400000000000004</v>
      </c>
      <c r="D672" s="23">
        <v>5.99</v>
      </c>
      <c r="E672" s="3">
        <v>11.98</v>
      </c>
      <c r="F672" s="2" t="s">
        <v>19180</v>
      </c>
      <c r="G672" s="22" t="s">
        <v>19477</v>
      </c>
      <c r="H672" s="24" t="s">
        <v>19384</v>
      </c>
      <c r="I672" s="22" t="s">
        <v>19309</v>
      </c>
      <c r="J672" s="22" t="s">
        <v>19573</v>
      </c>
      <c r="K672" s="22" t="s">
        <v>19574</v>
      </c>
      <c r="L672" s="22"/>
      <c r="M672" s="22"/>
      <c r="N672" s="25" t="str">
        <f>HYPERLINK("http://slimages.macys.com/is/image/MCY/1521974 ")</f>
        <v xml:space="preserve">http://slimages.macys.com/is/image/MCY/1521974 </v>
      </c>
    </row>
    <row r="673" spans="1:14" ht="24.75" x14ac:dyDescent="0.25">
      <c r="A673" s="21" t="s">
        <v>19185</v>
      </c>
      <c r="B673" s="22" t="s">
        <v>19186</v>
      </c>
      <c r="C673" s="3">
        <v>4.9400000000000004</v>
      </c>
      <c r="D673" s="23">
        <v>5.99</v>
      </c>
      <c r="E673" s="3">
        <v>11.98</v>
      </c>
      <c r="F673" s="2" t="s">
        <v>19180</v>
      </c>
      <c r="G673" s="22" t="s">
        <v>19477</v>
      </c>
      <c r="H673" s="24" t="s">
        <v>19538</v>
      </c>
      <c r="I673" s="22" t="s">
        <v>19309</v>
      </c>
      <c r="J673" s="22" t="s">
        <v>19573</v>
      </c>
      <c r="K673" s="22" t="s">
        <v>19574</v>
      </c>
      <c r="L673" s="22"/>
      <c r="M673" s="22"/>
      <c r="N673" s="25" t="str">
        <f>HYPERLINK("http://slimages.macys.com/is/image/MCY/1521974 ")</f>
        <v xml:space="preserve">http://slimages.macys.com/is/image/MCY/1521974 </v>
      </c>
    </row>
    <row r="674" spans="1:14" ht="24.75" x14ac:dyDescent="0.25">
      <c r="A674" s="21" t="s">
        <v>17186</v>
      </c>
      <c r="B674" s="22" t="s">
        <v>17187</v>
      </c>
      <c r="C674" s="3">
        <v>4.9400000000000004</v>
      </c>
      <c r="D674" s="23">
        <v>5.99</v>
      </c>
      <c r="E674" s="3">
        <v>11.98</v>
      </c>
      <c r="F674" s="2" t="s">
        <v>19180</v>
      </c>
      <c r="G674" s="22" t="s">
        <v>19477</v>
      </c>
      <c r="H674" s="24" t="s">
        <v>19330</v>
      </c>
      <c r="I674" s="22" t="s">
        <v>19309</v>
      </c>
      <c r="J674" s="22" t="s">
        <v>19573</v>
      </c>
      <c r="K674" s="22" t="s">
        <v>19574</v>
      </c>
      <c r="L674" s="22"/>
      <c r="M674" s="22"/>
      <c r="N674" s="25" t="str">
        <f>HYPERLINK("http://slimages.macys.com/is/image/MCY/1521972 ")</f>
        <v xml:space="preserve">http://slimages.macys.com/is/image/MCY/1521972 </v>
      </c>
    </row>
    <row r="675" spans="1:14" ht="24.75" x14ac:dyDescent="0.25">
      <c r="A675" s="21" t="s">
        <v>17188</v>
      </c>
      <c r="B675" s="22" t="s">
        <v>17189</v>
      </c>
      <c r="C675" s="3">
        <v>2.4500000000000002</v>
      </c>
      <c r="D675" s="23">
        <v>5.99</v>
      </c>
      <c r="E675" s="3">
        <v>5.99</v>
      </c>
      <c r="F675" s="2" t="s">
        <v>17190</v>
      </c>
      <c r="G675" s="22" t="s">
        <v>19674</v>
      </c>
      <c r="H675" s="24" t="s">
        <v>19538</v>
      </c>
      <c r="I675" s="22" t="s">
        <v>19309</v>
      </c>
      <c r="J675" s="22" t="s">
        <v>19573</v>
      </c>
      <c r="K675" s="22" t="s">
        <v>19574</v>
      </c>
      <c r="L675" s="22"/>
      <c r="M675" s="22"/>
      <c r="N675" s="25" t="str">
        <f>HYPERLINK("http://slimages.macys.com/is/image/MCY/21209566 ")</f>
        <v xml:space="preserve">http://slimages.macys.com/is/image/MCY/21209566 </v>
      </c>
    </row>
    <row r="676" spans="1:14" ht="24.75" x14ac:dyDescent="0.25">
      <c r="A676" s="21" t="s">
        <v>19202</v>
      </c>
      <c r="B676" s="22" t="s">
        <v>19203</v>
      </c>
      <c r="C676" s="3">
        <v>2.4500000000000002</v>
      </c>
      <c r="D676" s="23">
        <v>5.99</v>
      </c>
      <c r="E676" s="3">
        <v>5.99</v>
      </c>
      <c r="F676" s="2" t="s">
        <v>19204</v>
      </c>
      <c r="G676" s="22" t="s">
        <v>19431</v>
      </c>
      <c r="H676" s="24" t="s">
        <v>19384</v>
      </c>
      <c r="I676" s="22" t="s">
        <v>19309</v>
      </c>
      <c r="J676" s="22" t="s">
        <v>19573</v>
      </c>
      <c r="K676" s="22" t="s">
        <v>19574</v>
      </c>
      <c r="L676" s="22"/>
      <c r="M676" s="22"/>
      <c r="N676" s="25" t="str">
        <f>HYPERLINK("http://slimages.macys.com/is/image/MCY/1537013 ")</f>
        <v xml:space="preserve">http://slimages.macys.com/is/image/MCY/1537013 </v>
      </c>
    </row>
    <row r="677" spans="1:14" ht="24.75" x14ac:dyDescent="0.25">
      <c r="A677" s="21" t="s">
        <v>17191</v>
      </c>
      <c r="B677" s="22" t="s">
        <v>17192</v>
      </c>
      <c r="C677" s="3">
        <v>2.4500000000000002</v>
      </c>
      <c r="D677" s="23">
        <v>5.99</v>
      </c>
      <c r="E677" s="3">
        <v>5.99</v>
      </c>
      <c r="F677" s="2" t="s">
        <v>17190</v>
      </c>
      <c r="G677" s="22" t="s">
        <v>19674</v>
      </c>
      <c r="H677" s="24" t="s">
        <v>19384</v>
      </c>
      <c r="I677" s="22" t="s">
        <v>19309</v>
      </c>
      <c r="J677" s="22" t="s">
        <v>19573</v>
      </c>
      <c r="K677" s="22" t="s">
        <v>19574</v>
      </c>
      <c r="L677" s="22"/>
      <c r="M677" s="22"/>
      <c r="N677" s="25" t="str">
        <f>HYPERLINK("http://slimages.macys.com/is/image/MCY/21209566 ")</f>
        <v xml:space="preserve">http://slimages.macys.com/is/image/MCY/21209566 </v>
      </c>
    </row>
    <row r="678" spans="1:14" ht="24.75" x14ac:dyDescent="0.25">
      <c r="A678" s="21" t="s">
        <v>17193</v>
      </c>
      <c r="B678" s="22" t="s">
        <v>17194</v>
      </c>
      <c r="C678" s="3">
        <v>2.44</v>
      </c>
      <c r="D678" s="23">
        <v>5.99</v>
      </c>
      <c r="E678" s="3">
        <v>5.99</v>
      </c>
      <c r="F678" s="2" t="s">
        <v>17195</v>
      </c>
      <c r="G678" s="22" t="s">
        <v>19618</v>
      </c>
      <c r="H678" s="24" t="s">
        <v>19416</v>
      </c>
      <c r="I678" s="22" t="s">
        <v>19309</v>
      </c>
      <c r="J678" s="22" t="s">
        <v>19573</v>
      </c>
      <c r="K678" s="22" t="s">
        <v>19574</v>
      </c>
      <c r="L678" s="22"/>
      <c r="M678" s="22"/>
      <c r="N678" s="25" t="str">
        <f>HYPERLINK("http://slimages.macys.com/is/image/MCY/21371429 ")</f>
        <v xml:space="preserve">http://slimages.macys.com/is/image/MCY/21371429 </v>
      </c>
    </row>
    <row r="679" spans="1:14" ht="24.75" x14ac:dyDescent="0.25">
      <c r="A679" s="21" t="s">
        <v>19212</v>
      </c>
      <c r="B679" s="22" t="s">
        <v>19213</v>
      </c>
      <c r="C679" s="3">
        <v>2.41</v>
      </c>
      <c r="D679" s="23">
        <v>5.99</v>
      </c>
      <c r="E679" s="3">
        <v>5.99</v>
      </c>
      <c r="F679" s="2" t="s">
        <v>19214</v>
      </c>
      <c r="G679" s="22" t="s">
        <v>19674</v>
      </c>
      <c r="H679" s="24" t="s">
        <v>19538</v>
      </c>
      <c r="I679" s="22" t="s">
        <v>19309</v>
      </c>
      <c r="J679" s="22" t="s">
        <v>19573</v>
      </c>
      <c r="K679" s="22" t="s">
        <v>19574</v>
      </c>
      <c r="L679" s="22"/>
      <c r="M679" s="22"/>
      <c r="N679" s="25" t="str">
        <f>HYPERLINK("http://slimages.macys.com/is/image/MCY/1570641 ")</f>
        <v xml:space="preserve">http://slimages.macys.com/is/image/MCY/1570641 </v>
      </c>
    </row>
    <row r="680" spans="1:14" ht="24.75" x14ac:dyDescent="0.25">
      <c r="A680" s="21" t="s">
        <v>17196</v>
      </c>
      <c r="B680" s="22" t="s">
        <v>17197</v>
      </c>
      <c r="C680" s="3">
        <v>7.23</v>
      </c>
      <c r="D680" s="23">
        <v>5.99</v>
      </c>
      <c r="E680" s="3">
        <v>17.97</v>
      </c>
      <c r="F680" s="2" t="s">
        <v>17198</v>
      </c>
      <c r="G680" s="22" t="s">
        <v>19467</v>
      </c>
      <c r="H680" s="24" t="s">
        <v>19330</v>
      </c>
      <c r="I680" s="22" t="s">
        <v>19309</v>
      </c>
      <c r="J680" s="22" t="s">
        <v>19573</v>
      </c>
      <c r="K680" s="22" t="s">
        <v>19574</v>
      </c>
      <c r="L680" s="22"/>
      <c r="M680" s="22"/>
      <c r="N680" s="25" t="str">
        <f>HYPERLINK("http://slimages.macys.com/is/image/MCY/21209066 ")</f>
        <v xml:space="preserve">http://slimages.macys.com/is/image/MCY/21209066 </v>
      </c>
    </row>
    <row r="681" spans="1:14" ht="24.75" x14ac:dyDescent="0.25">
      <c r="A681" s="21" t="s">
        <v>19215</v>
      </c>
      <c r="B681" s="22" t="s">
        <v>19216</v>
      </c>
      <c r="C681" s="3">
        <v>2.41</v>
      </c>
      <c r="D681" s="23">
        <v>6.99</v>
      </c>
      <c r="E681" s="3">
        <v>6.99</v>
      </c>
      <c r="F681" s="2" t="s">
        <v>19217</v>
      </c>
      <c r="G681" s="22" t="s">
        <v>19906</v>
      </c>
      <c r="H681" s="24" t="s">
        <v>19392</v>
      </c>
      <c r="I681" s="22" t="s">
        <v>19309</v>
      </c>
      <c r="J681" s="22" t="s">
        <v>19454</v>
      </c>
      <c r="K681" s="22" t="s">
        <v>19354</v>
      </c>
      <c r="L681" s="22"/>
      <c r="M681" s="22"/>
      <c r="N681" s="25" t="str">
        <f>HYPERLINK("http://slimages.macys.com/is/image/MCY/20708515 ")</f>
        <v xml:space="preserve">http://slimages.macys.com/is/image/MCY/20708515 </v>
      </c>
    </row>
    <row r="682" spans="1:14" ht="24.75" x14ac:dyDescent="0.25">
      <c r="A682" s="21" t="s">
        <v>17199</v>
      </c>
      <c r="B682" s="22" t="s">
        <v>17200</v>
      </c>
      <c r="C682" s="3">
        <v>2.41</v>
      </c>
      <c r="D682" s="23">
        <v>5.99</v>
      </c>
      <c r="E682" s="3">
        <v>5.99</v>
      </c>
      <c r="F682" s="2" t="s">
        <v>17198</v>
      </c>
      <c r="G682" s="22" t="s">
        <v>19467</v>
      </c>
      <c r="H682" s="24" t="s">
        <v>19384</v>
      </c>
      <c r="I682" s="22" t="s">
        <v>19309</v>
      </c>
      <c r="J682" s="22" t="s">
        <v>19573</v>
      </c>
      <c r="K682" s="22" t="s">
        <v>19574</v>
      </c>
      <c r="L682" s="22"/>
      <c r="M682" s="22"/>
      <c r="N682" s="25" t="str">
        <f>HYPERLINK("http://slimages.macys.com/is/image/MCY/21209066 ")</f>
        <v xml:space="preserve">http://slimages.macys.com/is/image/MCY/21209066 </v>
      </c>
    </row>
    <row r="683" spans="1:14" ht="24.75" x14ac:dyDescent="0.25">
      <c r="A683" s="21" t="s">
        <v>17201</v>
      </c>
      <c r="B683" s="22" t="s">
        <v>17202</v>
      </c>
      <c r="C683" s="3">
        <v>2.4</v>
      </c>
      <c r="D683" s="23">
        <v>5.99</v>
      </c>
      <c r="E683" s="3">
        <v>5.99</v>
      </c>
      <c r="F683" s="2" t="s">
        <v>17203</v>
      </c>
      <c r="G683" s="22" t="s">
        <v>19462</v>
      </c>
      <c r="H683" s="24" t="s">
        <v>19538</v>
      </c>
      <c r="I683" s="22" t="s">
        <v>19309</v>
      </c>
      <c r="J683" s="22" t="s">
        <v>19573</v>
      </c>
      <c r="K683" s="22" t="s">
        <v>19574</v>
      </c>
      <c r="L683" s="22"/>
      <c r="M683" s="22"/>
      <c r="N683" s="25" t="str">
        <f>HYPERLINK("http://slimages.macys.com/is/image/MCY/20757989 ")</f>
        <v xml:space="preserve">http://slimages.macys.com/is/image/MCY/20757989 </v>
      </c>
    </row>
    <row r="684" spans="1:14" ht="24.75" x14ac:dyDescent="0.25">
      <c r="A684" s="21" t="s">
        <v>17204</v>
      </c>
      <c r="B684" s="22" t="s">
        <v>17205</v>
      </c>
      <c r="C684" s="3">
        <v>2.38</v>
      </c>
      <c r="D684" s="23">
        <v>6.99</v>
      </c>
      <c r="E684" s="3">
        <v>6.99</v>
      </c>
      <c r="F684" s="2" t="s">
        <v>19229</v>
      </c>
      <c r="G684" s="22" t="s">
        <v>19585</v>
      </c>
      <c r="H684" s="24" t="s">
        <v>20135</v>
      </c>
      <c r="I684" s="22" t="s">
        <v>19309</v>
      </c>
      <c r="J684" s="22" t="s">
        <v>19908</v>
      </c>
      <c r="K684" s="22" t="s">
        <v>19354</v>
      </c>
      <c r="L684" s="22"/>
      <c r="M684" s="22"/>
      <c r="N684" s="25" t="str">
        <f>HYPERLINK("http://slimages.macys.com/is/image/MCY/20708622 ")</f>
        <v xml:space="preserve">http://slimages.macys.com/is/image/MCY/20708622 </v>
      </c>
    </row>
    <row r="685" spans="1:14" ht="24.75" x14ac:dyDescent="0.25">
      <c r="A685" s="21" t="s">
        <v>17206</v>
      </c>
      <c r="B685" s="22" t="s">
        <v>17207</v>
      </c>
      <c r="C685" s="3">
        <v>9.52</v>
      </c>
      <c r="D685" s="23">
        <v>6.99</v>
      </c>
      <c r="E685" s="3">
        <v>27.96</v>
      </c>
      <c r="F685" s="2" t="s">
        <v>19229</v>
      </c>
      <c r="G685" s="22" t="s">
        <v>19585</v>
      </c>
      <c r="H685" s="24" t="s">
        <v>20089</v>
      </c>
      <c r="I685" s="22" t="s">
        <v>19309</v>
      </c>
      <c r="J685" s="22" t="s">
        <v>19908</v>
      </c>
      <c r="K685" s="22" t="s">
        <v>19354</v>
      </c>
      <c r="L685" s="22"/>
      <c r="M685" s="22"/>
      <c r="N685" s="25" t="str">
        <f>HYPERLINK("http://slimages.macys.com/is/image/MCY/20708622 ")</f>
        <v xml:space="preserve">http://slimages.macys.com/is/image/MCY/20708622 </v>
      </c>
    </row>
    <row r="686" spans="1:14" ht="24.75" x14ac:dyDescent="0.25">
      <c r="A686" s="21" t="s">
        <v>17208</v>
      </c>
      <c r="B686" s="22" t="s">
        <v>17209</v>
      </c>
      <c r="C686" s="3">
        <v>7.14</v>
      </c>
      <c r="D686" s="23">
        <v>6.99</v>
      </c>
      <c r="E686" s="3">
        <v>20.97</v>
      </c>
      <c r="F686" s="2" t="s">
        <v>19229</v>
      </c>
      <c r="G686" s="22" t="s">
        <v>19585</v>
      </c>
      <c r="H686" s="24" t="s">
        <v>19907</v>
      </c>
      <c r="I686" s="22" t="s">
        <v>19309</v>
      </c>
      <c r="J686" s="22" t="s">
        <v>19908</v>
      </c>
      <c r="K686" s="22" t="s">
        <v>19354</v>
      </c>
      <c r="L686" s="22"/>
      <c r="M686" s="22"/>
      <c r="N686" s="25" t="str">
        <f>HYPERLINK("http://slimages.macys.com/is/image/MCY/20708622 ")</f>
        <v xml:space="preserve">http://slimages.macys.com/is/image/MCY/20708622 </v>
      </c>
    </row>
    <row r="687" spans="1:14" ht="24.75" x14ac:dyDescent="0.25">
      <c r="A687" s="21" t="s">
        <v>17210</v>
      </c>
      <c r="B687" s="22" t="s">
        <v>17211</v>
      </c>
      <c r="C687" s="3">
        <v>2.38</v>
      </c>
      <c r="D687" s="23">
        <v>6.99</v>
      </c>
      <c r="E687" s="3">
        <v>6.99</v>
      </c>
      <c r="F687" s="2" t="s">
        <v>19229</v>
      </c>
      <c r="G687" s="22" t="s">
        <v>19585</v>
      </c>
      <c r="H687" s="24" t="s">
        <v>19361</v>
      </c>
      <c r="I687" s="22" t="s">
        <v>19309</v>
      </c>
      <c r="J687" s="22" t="s">
        <v>19908</v>
      </c>
      <c r="K687" s="22" t="s">
        <v>19354</v>
      </c>
      <c r="L687" s="22"/>
      <c r="M687" s="22"/>
      <c r="N687" s="25" t="str">
        <f>HYPERLINK("http://slimages.macys.com/is/image/MCY/20708625 ")</f>
        <v xml:space="preserve">http://slimages.macys.com/is/image/MCY/20708625 </v>
      </c>
    </row>
    <row r="688" spans="1:14" ht="24.75" x14ac:dyDescent="0.25">
      <c r="A688" s="21" t="s">
        <v>17212</v>
      </c>
      <c r="B688" s="22" t="s">
        <v>17213</v>
      </c>
      <c r="C688" s="3">
        <v>2.38</v>
      </c>
      <c r="D688" s="23">
        <v>5.99</v>
      </c>
      <c r="E688" s="3">
        <v>5.99</v>
      </c>
      <c r="F688" s="2" t="s">
        <v>17214</v>
      </c>
      <c r="G688" s="22" t="s">
        <v>19351</v>
      </c>
      <c r="H688" s="24" t="s">
        <v>19384</v>
      </c>
      <c r="I688" s="22" t="s">
        <v>19309</v>
      </c>
      <c r="J688" s="22" t="s">
        <v>19573</v>
      </c>
      <c r="K688" s="22" t="s">
        <v>19574</v>
      </c>
      <c r="L688" s="22"/>
      <c r="M688" s="22"/>
      <c r="N688" s="25" t="str">
        <f>HYPERLINK("http://slimages.macys.com/is/image/MCY/20753665 ")</f>
        <v xml:space="preserve">http://slimages.macys.com/is/image/MCY/20753665 </v>
      </c>
    </row>
    <row r="689" spans="1:14" ht="24.75" x14ac:dyDescent="0.25">
      <c r="A689" s="21" t="s">
        <v>19235</v>
      </c>
      <c r="B689" s="22" t="s">
        <v>19236</v>
      </c>
      <c r="C689" s="3">
        <v>2.38</v>
      </c>
      <c r="D689" s="23">
        <v>5.99</v>
      </c>
      <c r="E689" s="3">
        <v>5.99</v>
      </c>
      <c r="F689" s="2" t="s">
        <v>19232</v>
      </c>
      <c r="G689" s="22" t="s">
        <v>19467</v>
      </c>
      <c r="H689" s="24" t="s">
        <v>19324</v>
      </c>
      <c r="I689" s="22" t="s">
        <v>19309</v>
      </c>
      <c r="J689" s="22" t="s">
        <v>19573</v>
      </c>
      <c r="K689" s="22" t="s">
        <v>19574</v>
      </c>
      <c r="L689" s="22"/>
      <c r="M689" s="22"/>
      <c r="N689" s="25" t="str">
        <f>HYPERLINK("http://slimages.macys.com/is/image/MCY/21209505 ")</f>
        <v xml:space="preserve">http://slimages.macys.com/is/image/MCY/21209505 </v>
      </c>
    </row>
    <row r="690" spans="1:14" ht="24.75" x14ac:dyDescent="0.25">
      <c r="A690" s="21" t="s">
        <v>17215</v>
      </c>
      <c r="B690" s="22" t="s">
        <v>17216</v>
      </c>
      <c r="C690" s="3">
        <v>2.38</v>
      </c>
      <c r="D690" s="23">
        <v>5.99</v>
      </c>
      <c r="E690" s="3">
        <v>5.99</v>
      </c>
      <c r="F690" s="2" t="s">
        <v>19241</v>
      </c>
      <c r="G690" s="22" t="s">
        <v>19415</v>
      </c>
      <c r="H690" s="24" t="s">
        <v>19416</v>
      </c>
      <c r="I690" s="22" t="s">
        <v>19309</v>
      </c>
      <c r="J690" s="22" t="s">
        <v>19573</v>
      </c>
      <c r="K690" s="22" t="s">
        <v>19574</v>
      </c>
      <c r="L690" s="22"/>
      <c r="M690" s="22"/>
      <c r="N690" s="25" t="str">
        <f>HYPERLINK("http://slimages.macys.com/is/image/MCY/21209249 ")</f>
        <v xml:space="preserve">http://slimages.macys.com/is/image/MCY/21209249 </v>
      </c>
    </row>
    <row r="691" spans="1:14" ht="24.75" x14ac:dyDescent="0.25">
      <c r="A691" s="21" t="s">
        <v>17217</v>
      </c>
      <c r="B691" s="22" t="s">
        <v>17218</v>
      </c>
      <c r="C691" s="3">
        <v>2.38</v>
      </c>
      <c r="D691" s="23">
        <v>5.99</v>
      </c>
      <c r="E691" s="3">
        <v>5.99</v>
      </c>
      <c r="F691" s="2" t="s">
        <v>17219</v>
      </c>
      <c r="G691" s="22" t="s">
        <v>19415</v>
      </c>
      <c r="H691" s="24" t="s">
        <v>19330</v>
      </c>
      <c r="I691" s="22" t="s">
        <v>19309</v>
      </c>
      <c r="J691" s="22" t="s">
        <v>19573</v>
      </c>
      <c r="K691" s="22" t="s">
        <v>19574</v>
      </c>
      <c r="L691" s="22"/>
      <c r="M691" s="22"/>
      <c r="N691" s="25" t="str">
        <f>HYPERLINK("http://slimages.macys.com/is/image/MCY/21209249 ")</f>
        <v xml:space="preserve">http://slimages.macys.com/is/image/MCY/21209249 </v>
      </c>
    </row>
    <row r="692" spans="1:14" ht="24.75" x14ac:dyDescent="0.25">
      <c r="A692" s="21" t="s">
        <v>17220</v>
      </c>
      <c r="B692" s="22" t="s">
        <v>17221</v>
      </c>
      <c r="C692" s="3">
        <v>2.38</v>
      </c>
      <c r="D692" s="23">
        <v>5.99</v>
      </c>
      <c r="E692" s="3">
        <v>5.99</v>
      </c>
      <c r="F692" s="2" t="s">
        <v>19241</v>
      </c>
      <c r="G692" s="22" t="s">
        <v>19415</v>
      </c>
      <c r="H692" s="24" t="s">
        <v>19330</v>
      </c>
      <c r="I692" s="22" t="s">
        <v>19309</v>
      </c>
      <c r="J692" s="22" t="s">
        <v>19573</v>
      </c>
      <c r="K692" s="22" t="s">
        <v>19574</v>
      </c>
      <c r="L692" s="22"/>
      <c r="M692" s="22"/>
      <c r="N692" s="25" t="str">
        <f>HYPERLINK("http://slimages.macys.com/is/image/MCY/21209249 ")</f>
        <v xml:space="preserve">http://slimages.macys.com/is/image/MCY/21209249 </v>
      </c>
    </row>
    <row r="693" spans="1:14" ht="24.75" x14ac:dyDescent="0.25">
      <c r="A693" s="21" t="s">
        <v>19242</v>
      </c>
      <c r="B693" s="22" t="s">
        <v>19243</v>
      </c>
      <c r="C693" s="3">
        <v>2.38</v>
      </c>
      <c r="D693" s="23">
        <v>5.99</v>
      </c>
      <c r="E693" s="3">
        <v>5.99</v>
      </c>
      <c r="F693" s="2" t="s">
        <v>19232</v>
      </c>
      <c r="G693" s="22" t="s">
        <v>19467</v>
      </c>
      <c r="H693" s="24" t="s">
        <v>19538</v>
      </c>
      <c r="I693" s="22" t="s">
        <v>19309</v>
      </c>
      <c r="J693" s="22" t="s">
        <v>19573</v>
      </c>
      <c r="K693" s="22" t="s">
        <v>19574</v>
      </c>
      <c r="L693" s="22"/>
      <c r="M693" s="22"/>
      <c r="N693" s="25" t="str">
        <f>HYPERLINK("http://slimages.macys.com/is/image/MCY/21209505 ")</f>
        <v xml:space="preserve">http://slimages.macys.com/is/image/MCY/21209505 </v>
      </c>
    </row>
    <row r="694" spans="1:14" ht="24.75" x14ac:dyDescent="0.25">
      <c r="A694" s="21" t="s">
        <v>19237</v>
      </c>
      <c r="B694" s="22" t="s">
        <v>19238</v>
      </c>
      <c r="C694" s="3">
        <v>7.14</v>
      </c>
      <c r="D694" s="23">
        <v>5.99</v>
      </c>
      <c r="E694" s="3">
        <v>17.97</v>
      </c>
      <c r="F694" s="2" t="s">
        <v>19232</v>
      </c>
      <c r="G694" s="22" t="s">
        <v>19467</v>
      </c>
      <c r="H694" s="24" t="s">
        <v>19330</v>
      </c>
      <c r="I694" s="22" t="s">
        <v>19309</v>
      </c>
      <c r="J694" s="22" t="s">
        <v>19573</v>
      </c>
      <c r="K694" s="22" t="s">
        <v>19574</v>
      </c>
      <c r="L694" s="22"/>
      <c r="M694" s="22"/>
      <c r="N694" s="25" t="str">
        <f>HYPERLINK("http://slimages.macys.com/is/image/MCY/21209505 ")</f>
        <v xml:space="preserve">http://slimages.macys.com/is/image/MCY/21209505 </v>
      </c>
    </row>
    <row r="695" spans="1:14" ht="24.75" x14ac:dyDescent="0.25">
      <c r="A695" s="21" t="s">
        <v>17222</v>
      </c>
      <c r="B695" s="22" t="s">
        <v>17223</v>
      </c>
      <c r="C695" s="3">
        <v>2.37</v>
      </c>
      <c r="D695" s="23">
        <v>5.99</v>
      </c>
      <c r="E695" s="3">
        <v>5.99</v>
      </c>
      <c r="F695" s="2" t="s">
        <v>19248</v>
      </c>
      <c r="G695" s="22" t="s">
        <v>19585</v>
      </c>
      <c r="H695" s="24" t="s">
        <v>19538</v>
      </c>
      <c r="I695" s="22" t="s">
        <v>19309</v>
      </c>
      <c r="J695" s="22" t="s">
        <v>19573</v>
      </c>
      <c r="K695" s="22" t="s">
        <v>19574</v>
      </c>
      <c r="L695" s="22"/>
      <c r="M695" s="22"/>
      <c r="N695" s="25" t="str">
        <f>HYPERLINK("http://slimages.macys.com/is/image/MCY/20757535 ")</f>
        <v xml:space="preserve">http://slimages.macys.com/is/image/MCY/20757535 </v>
      </c>
    </row>
    <row r="696" spans="1:14" ht="24.75" x14ac:dyDescent="0.25">
      <c r="A696" s="21" t="s">
        <v>17224</v>
      </c>
      <c r="B696" s="22" t="s">
        <v>17225</v>
      </c>
      <c r="C696" s="3">
        <v>2.36</v>
      </c>
      <c r="D696" s="23">
        <v>6.99</v>
      </c>
      <c r="E696" s="3">
        <v>6.99</v>
      </c>
      <c r="F696" s="2" t="s">
        <v>17226</v>
      </c>
      <c r="G696" s="22" t="s">
        <v>19477</v>
      </c>
      <c r="H696" s="24" t="s">
        <v>19330</v>
      </c>
      <c r="I696" s="22" t="s">
        <v>19309</v>
      </c>
      <c r="J696" s="22" t="s">
        <v>19573</v>
      </c>
      <c r="K696" s="22" t="s">
        <v>19574</v>
      </c>
      <c r="L696" s="22"/>
      <c r="M696" s="22"/>
      <c r="N696" s="25" t="str">
        <f>HYPERLINK("http://slimages.macys.com/is/image/MCY/19977409 ")</f>
        <v xml:space="preserve">http://slimages.macys.com/is/image/MCY/19977409 </v>
      </c>
    </row>
    <row r="697" spans="1:14" ht="24.75" x14ac:dyDescent="0.25">
      <c r="A697" s="21" t="s">
        <v>19262</v>
      </c>
      <c r="B697" s="22" t="s">
        <v>19263</v>
      </c>
      <c r="C697" s="3">
        <v>4.68</v>
      </c>
      <c r="D697" s="23">
        <v>5.99</v>
      </c>
      <c r="E697" s="3">
        <v>11.98</v>
      </c>
      <c r="F697" s="2" t="s">
        <v>19261</v>
      </c>
      <c r="G697" s="22" t="s">
        <v>19674</v>
      </c>
      <c r="H697" s="24" t="s">
        <v>19384</v>
      </c>
      <c r="I697" s="22" t="s">
        <v>19309</v>
      </c>
      <c r="J697" s="22" t="s">
        <v>19573</v>
      </c>
      <c r="K697" s="22" t="s">
        <v>19574</v>
      </c>
      <c r="L697" s="22"/>
      <c r="M697" s="22"/>
      <c r="N697" s="25" t="str">
        <f>HYPERLINK("http://slimages.macys.com/is/image/MCY/21209261 ")</f>
        <v xml:space="preserve">http://slimages.macys.com/is/image/MCY/21209261 </v>
      </c>
    </row>
    <row r="698" spans="1:14" ht="24.75" x14ac:dyDescent="0.25">
      <c r="A698" s="21" t="s">
        <v>17227</v>
      </c>
      <c r="B698" s="22" t="s">
        <v>17228</v>
      </c>
      <c r="C698" s="3">
        <v>2.34</v>
      </c>
      <c r="D698" s="23">
        <v>5.99</v>
      </c>
      <c r="E698" s="3">
        <v>5.99</v>
      </c>
      <c r="F698" s="2" t="s">
        <v>17229</v>
      </c>
      <c r="G698" s="22" t="s">
        <v>19351</v>
      </c>
      <c r="H698" s="24" t="s">
        <v>19416</v>
      </c>
      <c r="I698" s="22" t="s">
        <v>19309</v>
      </c>
      <c r="J698" s="22" t="s">
        <v>19573</v>
      </c>
      <c r="K698" s="22" t="s">
        <v>19574</v>
      </c>
      <c r="L698" s="22"/>
      <c r="M698" s="22"/>
      <c r="N698" s="25" t="str">
        <f>HYPERLINK("http://slimages.macys.com/is/image/MCY/21361199 ")</f>
        <v xml:space="preserve">http://slimages.macys.com/is/image/MCY/21361199 </v>
      </c>
    </row>
    <row r="699" spans="1:14" ht="24.75" x14ac:dyDescent="0.25">
      <c r="A699" s="21" t="s">
        <v>19259</v>
      </c>
      <c r="B699" s="22" t="s">
        <v>19260</v>
      </c>
      <c r="C699" s="3">
        <v>2.34</v>
      </c>
      <c r="D699" s="23">
        <v>5.99</v>
      </c>
      <c r="E699" s="3">
        <v>5.99</v>
      </c>
      <c r="F699" s="2" t="s">
        <v>19261</v>
      </c>
      <c r="G699" s="22" t="s">
        <v>19674</v>
      </c>
      <c r="H699" s="24" t="s">
        <v>19324</v>
      </c>
      <c r="I699" s="22" t="s">
        <v>19309</v>
      </c>
      <c r="J699" s="22" t="s">
        <v>19573</v>
      </c>
      <c r="K699" s="22" t="s">
        <v>19574</v>
      </c>
      <c r="L699" s="22"/>
      <c r="M699" s="22"/>
      <c r="N699" s="25" t="str">
        <f>HYPERLINK("http://slimages.macys.com/is/image/MCY/21209261 ")</f>
        <v xml:space="preserve">http://slimages.macys.com/is/image/MCY/21209261 </v>
      </c>
    </row>
    <row r="700" spans="1:14" ht="24.75" x14ac:dyDescent="0.25">
      <c r="A700" s="21" t="s">
        <v>19266</v>
      </c>
      <c r="B700" s="22" t="s">
        <v>19267</v>
      </c>
      <c r="C700" s="3">
        <v>2.34</v>
      </c>
      <c r="D700" s="23">
        <v>5.99</v>
      </c>
      <c r="E700" s="3">
        <v>5.99</v>
      </c>
      <c r="F700" s="2" t="s">
        <v>19261</v>
      </c>
      <c r="G700" s="22" t="s">
        <v>19674</v>
      </c>
      <c r="H700" s="24" t="s">
        <v>19330</v>
      </c>
      <c r="I700" s="22" t="s">
        <v>19309</v>
      </c>
      <c r="J700" s="22" t="s">
        <v>19573</v>
      </c>
      <c r="K700" s="22" t="s">
        <v>19574</v>
      </c>
      <c r="L700" s="22"/>
      <c r="M700" s="22"/>
      <c r="N700" s="25" t="str">
        <f>HYPERLINK("http://slimages.macys.com/is/image/MCY/21209261 ")</f>
        <v xml:space="preserve">http://slimages.macys.com/is/image/MCY/21209261 </v>
      </c>
    </row>
    <row r="701" spans="1:14" ht="24.75" x14ac:dyDescent="0.25">
      <c r="A701" s="21" t="s">
        <v>17230</v>
      </c>
      <c r="B701" s="22" t="s">
        <v>17231</v>
      </c>
      <c r="C701" s="3">
        <v>2.34</v>
      </c>
      <c r="D701" s="23">
        <v>5.99</v>
      </c>
      <c r="E701" s="3">
        <v>5.99</v>
      </c>
      <c r="F701" s="2" t="s">
        <v>19261</v>
      </c>
      <c r="G701" s="22" t="s">
        <v>19674</v>
      </c>
      <c r="H701" s="24" t="s">
        <v>19416</v>
      </c>
      <c r="I701" s="22" t="s">
        <v>19309</v>
      </c>
      <c r="J701" s="22" t="s">
        <v>19573</v>
      </c>
      <c r="K701" s="22" t="s">
        <v>19574</v>
      </c>
      <c r="L701" s="22"/>
      <c r="M701" s="22"/>
      <c r="N701" s="25" t="str">
        <f>HYPERLINK("http://slimages.macys.com/is/image/MCY/21209261 ")</f>
        <v xml:space="preserve">http://slimages.macys.com/is/image/MCY/21209261 </v>
      </c>
    </row>
    <row r="702" spans="1:14" ht="24.75" x14ac:dyDescent="0.25">
      <c r="A702" s="21" t="s">
        <v>17232</v>
      </c>
      <c r="B702" s="22" t="s">
        <v>17233</v>
      </c>
      <c r="C702" s="3">
        <v>4.66</v>
      </c>
      <c r="D702" s="23">
        <v>7.99</v>
      </c>
      <c r="E702" s="3">
        <v>15.98</v>
      </c>
      <c r="F702" s="2" t="s">
        <v>17234</v>
      </c>
      <c r="G702" s="22" t="s">
        <v>19618</v>
      </c>
      <c r="H702" s="24" t="s">
        <v>20135</v>
      </c>
      <c r="I702" s="22" t="s">
        <v>19309</v>
      </c>
      <c r="J702" s="22" t="s">
        <v>19573</v>
      </c>
      <c r="K702" s="22" t="s">
        <v>19574</v>
      </c>
      <c r="L702" s="22"/>
      <c r="M702" s="22"/>
      <c r="N702" s="25" t="str">
        <f>HYPERLINK("http://slimages.macys.com/is/image/MCY/20839692 ")</f>
        <v xml:space="preserve">http://slimages.macys.com/is/image/MCY/20839692 </v>
      </c>
    </row>
    <row r="703" spans="1:14" ht="24.75" x14ac:dyDescent="0.25">
      <c r="A703" s="21" t="s">
        <v>17235</v>
      </c>
      <c r="B703" s="22" t="s">
        <v>17236</v>
      </c>
      <c r="C703" s="3">
        <v>2.33</v>
      </c>
      <c r="D703" s="23">
        <v>5.99</v>
      </c>
      <c r="E703" s="3">
        <v>5.99</v>
      </c>
      <c r="F703" s="2" t="s">
        <v>17237</v>
      </c>
      <c r="G703" s="22" t="s">
        <v>19415</v>
      </c>
      <c r="H703" s="24" t="s">
        <v>19416</v>
      </c>
      <c r="I703" s="22" t="s">
        <v>19309</v>
      </c>
      <c r="J703" s="22" t="s">
        <v>19573</v>
      </c>
      <c r="K703" s="22" t="s">
        <v>19574</v>
      </c>
      <c r="L703" s="22"/>
      <c r="M703" s="22"/>
      <c r="N703" s="25" t="str">
        <f>HYPERLINK("http://slimages.macys.com/is/image/MCY/18838696 ")</f>
        <v xml:space="preserve">http://slimages.macys.com/is/image/MCY/18838696 </v>
      </c>
    </row>
    <row r="704" spans="1:14" ht="24.75" x14ac:dyDescent="0.25">
      <c r="A704" s="21" t="s">
        <v>17238</v>
      </c>
      <c r="B704" s="22" t="s">
        <v>17239</v>
      </c>
      <c r="C704" s="3">
        <v>2.3199999999999998</v>
      </c>
      <c r="D704" s="23">
        <v>5.99</v>
      </c>
      <c r="E704" s="3">
        <v>5.99</v>
      </c>
      <c r="F704" s="2" t="s">
        <v>17240</v>
      </c>
      <c r="G704" s="22" t="s">
        <v>19315</v>
      </c>
      <c r="H704" s="24" t="s">
        <v>19384</v>
      </c>
      <c r="I704" s="22" t="s">
        <v>19309</v>
      </c>
      <c r="J704" s="22" t="s">
        <v>19573</v>
      </c>
      <c r="K704" s="22" t="s">
        <v>19574</v>
      </c>
      <c r="L704" s="22"/>
      <c r="M704" s="22"/>
      <c r="N704" s="25" t="str">
        <f>HYPERLINK("http://slimages.macys.com/is/image/MCY/1521976 ")</f>
        <v xml:space="preserve">http://slimages.macys.com/is/image/MCY/1521976 </v>
      </c>
    </row>
    <row r="705" spans="1:14" ht="24.75" x14ac:dyDescent="0.25">
      <c r="A705" s="21" t="s">
        <v>17241</v>
      </c>
      <c r="B705" s="22" t="s">
        <v>17242</v>
      </c>
      <c r="C705" s="3">
        <v>2.3199999999999998</v>
      </c>
      <c r="D705" s="23">
        <v>5.99</v>
      </c>
      <c r="E705" s="3">
        <v>5.99</v>
      </c>
      <c r="F705" s="2" t="s">
        <v>17240</v>
      </c>
      <c r="G705" s="22" t="s">
        <v>19315</v>
      </c>
      <c r="H705" s="24" t="s">
        <v>19416</v>
      </c>
      <c r="I705" s="22" t="s">
        <v>19309</v>
      </c>
      <c r="J705" s="22" t="s">
        <v>19573</v>
      </c>
      <c r="K705" s="22" t="s">
        <v>19574</v>
      </c>
      <c r="L705" s="22"/>
      <c r="M705" s="22"/>
      <c r="N705" s="25" t="str">
        <f>HYPERLINK("http://slimages.macys.com/is/image/MCY/21209554 ")</f>
        <v xml:space="preserve">http://slimages.macys.com/is/image/MCY/21209554 </v>
      </c>
    </row>
    <row r="706" spans="1:14" ht="24.75" x14ac:dyDescent="0.25">
      <c r="A706" s="21" t="s">
        <v>17243</v>
      </c>
      <c r="B706" s="22" t="s">
        <v>17244</v>
      </c>
      <c r="C706" s="3">
        <v>2.3199999999999998</v>
      </c>
      <c r="D706" s="23">
        <v>5.99</v>
      </c>
      <c r="E706" s="3">
        <v>5.99</v>
      </c>
      <c r="F706" s="2" t="s">
        <v>17245</v>
      </c>
      <c r="G706" s="22" t="s">
        <v>19906</v>
      </c>
      <c r="H706" s="24" t="s">
        <v>19324</v>
      </c>
      <c r="I706" s="22" t="s">
        <v>19309</v>
      </c>
      <c r="J706" s="22" t="s">
        <v>19573</v>
      </c>
      <c r="K706" s="22" t="s">
        <v>19574</v>
      </c>
      <c r="L706" s="22"/>
      <c r="M706" s="22"/>
      <c r="N706" s="25" t="str">
        <f>HYPERLINK("http://slimages.macys.com/is/image/MCY/1520523 ")</f>
        <v xml:space="preserve">http://slimages.macys.com/is/image/MCY/1520523 </v>
      </c>
    </row>
    <row r="707" spans="1:14" ht="24.75" x14ac:dyDescent="0.25">
      <c r="A707" s="21" t="s">
        <v>17246</v>
      </c>
      <c r="B707" s="22" t="s">
        <v>17247</v>
      </c>
      <c r="C707" s="3">
        <v>2.3199999999999998</v>
      </c>
      <c r="D707" s="23">
        <v>5.99</v>
      </c>
      <c r="E707" s="3">
        <v>5.99</v>
      </c>
      <c r="F707" s="2" t="s">
        <v>17245</v>
      </c>
      <c r="G707" s="22" t="s">
        <v>19794</v>
      </c>
      <c r="H707" s="24" t="s">
        <v>19330</v>
      </c>
      <c r="I707" s="22" t="s">
        <v>19309</v>
      </c>
      <c r="J707" s="22" t="s">
        <v>19573</v>
      </c>
      <c r="K707" s="22" t="s">
        <v>19574</v>
      </c>
      <c r="L707" s="22"/>
      <c r="M707" s="22"/>
      <c r="N707" s="25" t="str">
        <f>HYPERLINK("http://slimages.macys.com/is/image/MCY/1520523 ")</f>
        <v xml:space="preserve">http://slimages.macys.com/is/image/MCY/1520523 </v>
      </c>
    </row>
    <row r="708" spans="1:14" ht="24.75" x14ac:dyDescent="0.25">
      <c r="A708" s="21" t="s">
        <v>17248</v>
      </c>
      <c r="B708" s="22" t="s">
        <v>17249</v>
      </c>
      <c r="C708" s="3">
        <v>2.3199999999999998</v>
      </c>
      <c r="D708" s="23">
        <v>5.99</v>
      </c>
      <c r="E708" s="3">
        <v>5.99</v>
      </c>
      <c r="F708" s="2" t="s">
        <v>17240</v>
      </c>
      <c r="G708" s="22" t="s">
        <v>19315</v>
      </c>
      <c r="H708" s="24" t="s">
        <v>19324</v>
      </c>
      <c r="I708" s="22" t="s">
        <v>19309</v>
      </c>
      <c r="J708" s="22" t="s">
        <v>19573</v>
      </c>
      <c r="K708" s="22" t="s">
        <v>19574</v>
      </c>
      <c r="L708" s="22"/>
      <c r="M708" s="22"/>
      <c r="N708" s="25" t="str">
        <f>HYPERLINK("http://slimages.macys.com/is/image/MCY/1521976 ")</f>
        <v xml:space="preserve">http://slimages.macys.com/is/image/MCY/1521976 </v>
      </c>
    </row>
    <row r="709" spans="1:14" ht="24.75" x14ac:dyDescent="0.25">
      <c r="A709" s="21" t="s">
        <v>17250</v>
      </c>
      <c r="B709" s="22" t="s">
        <v>17251</v>
      </c>
      <c r="C709" s="3">
        <v>2.3199999999999998</v>
      </c>
      <c r="D709" s="23">
        <v>5.99</v>
      </c>
      <c r="E709" s="3">
        <v>5.99</v>
      </c>
      <c r="F709" s="2" t="s">
        <v>17245</v>
      </c>
      <c r="G709" s="22" t="s">
        <v>19670</v>
      </c>
      <c r="H709" s="24" t="s">
        <v>19324</v>
      </c>
      <c r="I709" s="22" t="s">
        <v>19309</v>
      </c>
      <c r="J709" s="22" t="s">
        <v>19573</v>
      </c>
      <c r="K709" s="22" t="s">
        <v>19574</v>
      </c>
      <c r="L709" s="22"/>
      <c r="M709" s="22"/>
      <c r="N709" s="25" t="str">
        <f>HYPERLINK("http://slimages.macys.com/is/image/MCY/21209342 ")</f>
        <v xml:space="preserve">http://slimages.macys.com/is/image/MCY/21209342 </v>
      </c>
    </row>
    <row r="710" spans="1:14" ht="24.75" x14ac:dyDescent="0.25">
      <c r="A710" s="21" t="s">
        <v>19271</v>
      </c>
      <c r="B710" s="22" t="s">
        <v>19272</v>
      </c>
      <c r="C710" s="3">
        <v>2.31</v>
      </c>
      <c r="D710" s="23">
        <v>5.99</v>
      </c>
      <c r="E710" s="3">
        <v>5.99</v>
      </c>
      <c r="F710" s="2" t="s">
        <v>19273</v>
      </c>
      <c r="G710" s="22" t="s">
        <v>19794</v>
      </c>
      <c r="H710" s="24" t="s">
        <v>19538</v>
      </c>
      <c r="I710" s="22" t="s">
        <v>19309</v>
      </c>
      <c r="J710" s="22" t="s">
        <v>19573</v>
      </c>
      <c r="K710" s="22" t="s">
        <v>19574</v>
      </c>
      <c r="L710" s="22"/>
      <c r="M710" s="22"/>
      <c r="N710" s="25" t="str">
        <f>HYPERLINK("http://slimages.macys.com/is/image/MCY/21209112 ")</f>
        <v xml:space="preserve">http://slimages.macys.com/is/image/MCY/21209112 </v>
      </c>
    </row>
    <row r="711" spans="1:14" ht="24.75" x14ac:dyDescent="0.25">
      <c r="A711" s="21" t="s">
        <v>17252</v>
      </c>
      <c r="B711" s="22" t="s">
        <v>17253</v>
      </c>
      <c r="C711" s="3">
        <v>2.31</v>
      </c>
      <c r="D711" s="23">
        <v>5.99</v>
      </c>
      <c r="E711" s="3">
        <v>5.99</v>
      </c>
      <c r="F711" s="2" t="s">
        <v>17254</v>
      </c>
      <c r="G711" s="22" t="s">
        <v>19906</v>
      </c>
      <c r="H711" s="24" t="s">
        <v>19330</v>
      </c>
      <c r="I711" s="22" t="s">
        <v>19309</v>
      </c>
      <c r="J711" s="22" t="s">
        <v>19573</v>
      </c>
      <c r="K711" s="22" t="s">
        <v>19574</v>
      </c>
      <c r="L711" s="22"/>
      <c r="M711" s="22"/>
      <c r="N711" s="25" t="str">
        <f>HYPERLINK("http://slimages.macys.com/is/image/MCY/21209467 ")</f>
        <v xml:space="preserve">http://slimages.macys.com/is/image/MCY/21209467 </v>
      </c>
    </row>
    <row r="712" spans="1:14" ht="24.75" x14ac:dyDescent="0.25">
      <c r="A712" s="21" t="s">
        <v>17255</v>
      </c>
      <c r="B712" s="22" t="s">
        <v>17256</v>
      </c>
      <c r="C712" s="3">
        <v>2.31</v>
      </c>
      <c r="D712" s="23">
        <v>5.99</v>
      </c>
      <c r="E712" s="3">
        <v>5.99</v>
      </c>
      <c r="F712" s="2" t="s">
        <v>17257</v>
      </c>
      <c r="G712" s="22" t="s">
        <v>19431</v>
      </c>
      <c r="H712" s="24" t="s">
        <v>19538</v>
      </c>
      <c r="I712" s="22" t="s">
        <v>19309</v>
      </c>
      <c r="J712" s="22" t="s">
        <v>19573</v>
      </c>
      <c r="K712" s="22" t="s">
        <v>19574</v>
      </c>
      <c r="L712" s="22"/>
      <c r="M712" s="22"/>
      <c r="N712" s="25" t="str">
        <f>HYPERLINK("http://slimages.macys.com/is/image/MCY/21209617 ")</f>
        <v xml:space="preserve">http://slimages.macys.com/is/image/MCY/21209617 </v>
      </c>
    </row>
    <row r="713" spans="1:14" ht="24.75" x14ac:dyDescent="0.25">
      <c r="A713" s="21" t="s">
        <v>17258</v>
      </c>
      <c r="B713" s="22" t="s">
        <v>17259</v>
      </c>
      <c r="C713" s="3">
        <v>2.31</v>
      </c>
      <c r="D713" s="23">
        <v>5.99</v>
      </c>
      <c r="E713" s="3">
        <v>5.99</v>
      </c>
      <c r="F713" s="2" t="s">
        <v>17254</v>
      </c>
      <c r="G713" s="22" t="s">
        <v>19906</v>
      </c>
      <c r="H713" s="24" t="s">
        <v>19538</v>
      </c>
      <c r="I713" s="22" t="s">
        <v>19309</v>
      </c>
      <c r="J713" s="22" t="s">
        <v>19573</v>
      </c>
      <c r="K713" s="22" t="s">
        <v>19574</v>
      </c>
      <c r="L713" s="22"/>
      <c r="M713" s="22"/>
      <c r="N713" s="25" t="str">
        <f>HYPERLINK("http://slimages.macys.com/is/image/MCY/21209467 ")</f>
        <v xml:space="preserve">http://slimages.macys.com/is/image/MCY/21209467 </v>
      </c>
    </row>
    <row r="714" spans="1:14" ht="24.75" x14ac:dyDescent="0.25">
      <c r="A714" s="21" t="s">
        <v>17389</v>
      </c>
      <c r="B714" s="22" t="s">
        <v>17390</v>
      </c>
      <c r="C714" s="3">
        <v>6.87</v>
      </c>
      <c r="D714" s="23">
        <v>5.99</v>
      </c>
      <c r="E714" s="3">
        <v>17.97</v>
      </c>
      <c r="F714" s="2" t="s">
        <v>17384</v>
      </c>
      <c r="G714" s="22" t="s">
        <v>18439</v>
      </c>
      <c r="H714" s="24" t="s">
        <v>19384</v>
      </c>
      <c r="I714" s="22" t="s">
        <v>19309</v>
      </c>
      <c r="J714" s="22" t="s">
        <v>19573</v>
      </c>
      <c r="K714" s="22" t="s">
        <v>19574</v>
      </c>
      <c r="L714" s="22"/>
      <c r="M714" s="22"/>
      <c r="N714" s="25" t="str">
        <f>HYPERLINK("http://slimages.macys.com/is/image/MCY/1905756 ")</f>
        <v xml:space="preserve">http://slimages.macys.com/is/image/MCY/1905756 </v>
      </c>
    </row>
    <row r="715" spans="1:14" ht="24.75" x14ac:dyDescent="0.25">
      <c r="A715" s="21" t="s">
        <v>17385</v>
      </c>
      <c r="B715" s="22" t="s">
        <v>17386</v>
      </c>
      <c r="C715" s="3">
        <v>16.03</v>
      </c>
      <c r="D715" s="23">
        <v>5.99</v>
      </c>
      <c r="E715" s="3">
        <v>41.93</v>
      </c>
      <c r="F715" s="2" t="s">
        <v>17384</v>
      </c>
      <c r="G715" s="22" t="s">
        <v>18439</v>
      </c>
      <c r="H715" s="24" t="s">
        <v>19330</v>
      </c>
      <c r="I715" s="22" t="s">
        <v>19309</v>
      </c>
      <c r="J715" s="22" t="s">
        <v>19573</v>
      </c>
      <c r="K715" s="22" t="s">
        <v>19574</v>
      </c>
      <c r="L715" s="22"/>
      <c r="M715" s="22"/>
      <c r="N715" s="25" t="str">
        <f>HYPERLINK("http://slimages.macys.com/is/image/MCY/1905756 ")</f>
        <v xml:space="preserve">http://slimages.macys.com/is/image/MCY/1905756 </v>
      </c>
    </row>
    <row r="716" spans="1:14" ht="24.75" x14ac:dyDescent="0.25">
      <c r="A716" s="21" t="s">
        <v>17387</v>
      </c>
      <c r="B716" s="22" t="s">
        <v>17388</v>
      </c>
      <c r="C716" s="3">
        <v>4.58</v>
      </c>
      <c r="D716" s="23">
        <v>5.99</v>
      </c>
      <c r="E716" s="3">
        <v>11.98</v>
      </c>
      <c r="F716" s="2" t="s">
        <v>17384</v>
      </c>
      <c r="G716" s="22" t="s">
        <v>18439</v>
      </c>
      <c r="H716" s="24" t="s">
        <v>19538</v>
      </c>
      <c r="I716" s="22" t="s">
        <v>19309</v>
      </c>
      <c r="J716" s="22" t="s">
        <v>19573</v>
      </c>
      <c r="K716" s="22" t="s">
        <v>19574</v>
      </c>
      <c r="L716" s="22"/>
      <c r="M716" s="22"/>
      <c r="N716" s="25" t="str">
        <f>HYPERLINK("http://slimages.macys.com/is/image/MCY/1905756 ")</f>
        <v xml:space="preserve">http://slimages.macys.com/is/image/MCY/1905756 </v>
      </c>
    </row>
    <row r="717" spans="1:14" ht="24.75" x14ac:dyDescent="0.25">
      <c r="A717" s="21" t="s">
        <v>17260</v>
      </c>
      <c r="B717" s="22" t="s">
        <v>17261</v>
      </c>
      <c r="C717" s="3">
        <v>2.2799999999999998</v>
      </c>
      <c r="D717" s="23">
        <v>5.99</v>
      </c>
      <c r="E717" s="3">
        <v>5.99</v>
      </c>
      <c r="F717" s="2" t="s">
        <v>17262</v>
      </c>
      <c r="G717" s="22" t="s">
        <v>19674</v>
      </c>
      <c r="H717" s="24" t="s">
        <v>19330</v>
      </c>
      <c r="I717" s="22" t="s">
        <v>19309</v>
      </c>
      <c r="J717" s="22" t="s">
        <v>19573</v>
      </c>
      <c r="K717" s="22" t="s">
        <v>19574</v>
      </c>
      <c r="L717" s="22"/>
      <c r="M717" s="22"/>
      <c r="N717" s="25" t="str">
        <f>HYPERLINK("http://slimages.macys.com/is/image/MCY/21361805 ")</f>
        <v xml:space="preserve">http://slimages.macys.com/is/image/MCY/21361805 </v>
      </c>
    </row>
    <row r="718" spans="1:14" ht="24.75" x14ac:dyDescent="0.25">
      <c r="A718" s="21" t="s">
        <v>17263</v>
      </c>
      <c r="B718" s="22" t="s">
        <v>17264</v>
      </c>
      <c r="C718" s="3">
        <v>2.27</v>
      </c>
      <c r="D718" s="23">
        <v>5.99</v>
      </c>
      <c r="E718" s="3">
        <v>5.99</v>
      </c>
      <c r="F718" s="2" t="s">
        <v>17265</v>
      </c>
      <c r="G718" s="22" t="s">
        <v>19670</v>
      </c>
      <c r="H718" s="24" t="s">
        <v>19384</v>
      </c>
      <c r="I718" s="22" t="s">
        <v>19309</v>
      </c>
      <c r="J718" s="22" t="s">
        <v>19573</v>
      </c>
      <c r="K718" s="22" t="s">
        <v>19574</v>
      </c>
      <c r="L718" s="22"/>
      <c r="M718" s="22"/>
      <c r="N718" s="25" t="str">
        <f>HYPERLINK("http://slimages.macys.com/is/image/MCY/1537013 ")</f>
        <v xml:space="preserve">http://slimages.macys.com/is/image/MCY/1537013 </v>
      </c>
    </row>
    <row r="719" spans="1:14" ht="24.75" x14ac:dyDescent="0.25">
      <c r="A719" s="21" t="s">
        <v>17398</v>
      </c>
      <c r="B719" s="22" t="s">
        <v>17399</v>
      </c>
      <c r="C719" s="3">
        <v>2.2599999999999998</v>
      </c>
      <c r="D719" s="23">
        <v>5.99</v>
      </c>
      <c r="E719" s="3">
        <v>5.99</v>
      </c>
      <c r="F719" s="2" t="s">
        <v>17395</v>
      </c>
      <c r="G719" s="22" t="s">
        <v>19670</v>
      </c>
      <c r="H719" s="24" t="s">
        <v>19324</v>
      </c>
      <c r="I719" s="22" t="s">
        <v>19309</v>
      </c>
      <c r="J719" s="22" t="s">
        <v>19573</v>
      </c>
      <c r="K719" s="22" t="s">
        <v>19574</v>
      </c>
      <c r="L719" s="22"/>
      <c r="M719" s="22"/>
      <c r="N719" s="25" t="str">
        <f>HYPERLINK("http://slimages.macys.com/is/image/MCY/21905204 ")</f>
        <v xml:space="preserve">http://slimages.macys.com/is/image/MCY/21905204 </v>
      </c>
    </row>
    <row r="720" spans="1:14" ht="24.75" x14ac:dyDescent="0.25">
      <c r="A720" s="21" t="s">
        <v>17266</v>
      </c>
      <c r="B720" s="22" t="s">
        <v>17267</v>
      </c>
      <c r="C720" s="3">
        <v>2.2599999999999998</v>
      </c>
      <c r="D720" s="23">
        <v>5.99</v>
      </c>
      <c r="E720" s="3">
        <v>5.99</v>
      </c>
      <c r="F720" s="2" t="s">
        <v>17268</v>
      </c>
      <c r="G720" s="22" t="s">
        <v>18764</v>
      </c>
      <c r="H720" s="24" t="s">
        <v>19538</v>
      </c>
      <c r="I720" s="22" t="s">
        <v>19309</v>
      </c>
      <c r="J720" s="22" t="s">
        <v>19573</v>
      </c>
      <c r="K720" s="22" t="s">
        <v>19574</v>
      </c>
      <c r="L720" s="22"/>
      <c r="M720" s="22"/>
      <c r="N720" s="25" t="str">
        <f>HYPERLINK("http://slimages.macys.com/is/image/MCY/21088470 ")</f>
        <v xml:space="preserve">http://slimages.macys.com/is/image/MCY/21088470 </v>
      </c>
    </row>
    <row r="721" spans="1:14" ht="24.75" x14ac:dyDescent="0.25">
      <c r="A721" s="21" t="s">
        <v>17269</v>
      </c>
      <c r="B721" s="22" t="s">
        <v>17270</v>
      </c>
      <c r="C721" s="3">
        <v>2.2599999999999998</v>
      </c>
      <c r="D721" s="23">
        <v>5.99</v>
      </c>
      <c r="E721" s="3">
        <v>5.99</v>
      </c>
      <c r="F721" s="2" t="s">
        <v>17395</v>
      </c>
      <c r="G721" s="22" t="s">
        <v>19670</v>
      </c>
      <c r="H721" s="24" t="s">
        <v>19330</v>
      </c>
      <c r="I721" s="22" t="s">
        <v>19309</v>
      </c>
      <c r="J721" s="22" t="s">
        <v>19573</v>
      </c>
      <c r="K721" s="22" t="s">
        <v>19574</v>
      </c>
      <c r="L721" s="22"/>
      <c r="M721" s="22"/>
      <c r="N721" s="25" t="str">
        <f>HYPERLINK("http://slimages.macys.com/is/image/MCY/1521976 ")</f>
        <v xml:space="preserve">http://slimages.macys.com/is/image/MCY/1521976 </v>
      </c>
    </row>
    <row r="722" spans="1:14" ht="24.75" x14ac:dyDescent="0.25">
      <c r="A722" s="21" t="s">
        <v>17271</v>
      </c>
      <c r="B722" s="22" t="s">
        <v>17272</v>
      </c>
      <c r="C722" s="3">
        <v>2.2400000000000002</v>
      </c>
      <c r="D722" s="23">
        <v>5.99</v>
      </c>
      <c r="E722" s="3">
        <v>5.99</v>
      </c>
      <c r="F722" s="2" t="s">
        <v>17408</v>
      </c>
      <c r="G722" s="22" t="s">
        <v>19467</v>
      </c>
      <c r="H722" s="24" t="s">
        <v>19384</v>
      </c>
      <c r="I722" s="22" t="s">
        <v>19309</v>
      </c>
      <c r="J722" s="22" t="s">
        <v>19573</v>
      </c>
      <c r="K722" s="22" t="s">
        <v>19574</v>
      </c>
      <c r="L722" s="22"/>
      <c r="M722" s="22"/>
      <c r="N722" s="25" t="str">
        <f>HYPERLINK("http://slimages.macys.com/is/image/MCY/21970244 ")</f>
        <v xml:space="preserve">http://slimages.macys.com/is/image/MCY/21970244 </v>
      </c>
    </row>
    <row r="723" spans="1:14" ht="24.75" x14ac:dyDescent="0.25">
      <c r="A723" s="21" t="s">
        <v>17406</v>
      </c>
      <c r="B723" s="22" t="s">
        <v>17407</v>
      </c>
      <c r="C723" s="3">
        <v>4.4800000000000004</v>
      </c>
      <c r="D723" s="23">
        <v>5.99</v>
      </c>
      <c r="E723" s="3">
        <v>11.98</v>
      </c>
      <c r="F723" s="2" t="s">
        <v>17408</v>
      </c>
      <c r="G723" s="22" t="s">
        <v>19467</v>
      </c>
      <c r="H723" s="24" t="s">
        <v>19538</v>
      </c>
      <c r="I723" s="22" t="s">
        <v>19309</v>
      </c>
      <c r="J723" s="22" t="s">
        <v>19573</v>
      </c>
      <c r="K723" s="22" t="s">
        <v>19574</v>
      </c>
      <c r="L723" s="22"/>
      <c r="M723" s="22"/>
      <c r="N723" s="25" t="str">
        <f>HYPERLINK("http://slimages.macys.com/is/image/MCY/21970244 ")</f>
        <v xml:space="preserve">http://slimages.macys.com/is/image/MCY/21970244 </v>
      </c>
    </row>
    <row r="724" spans="1:14" ht="24.75" x14ac:dyDescent="0.25">
      <c r="A724" s="21" t="s">
        <v>17273</v>
      </c>
      <c r="B724" s="22" t="s">
        <v>17274</v>
      </c>
      <c r="C724" s="3">
        <v>2.2400000000000002</v>
      </c>
      <c r="D724" s="23">
        <v>5.99</v>
      </c>
      <c r="E724" s="3">
        <v>5.99</v>
      </c>
      <c r="F724" s="2" t="s">
        <v>17408</v>
      </c>
      <c r="G724" s="22" t="s">
        <v>19467</v>
      </c>
      <c r="H724" s="24" t="s">
        <v>19330</v>
      </c>
      <c r="I724" s="22" t="s">
        <v>19309</v>
      </c>
      <c r="J724" s="22" t="s">
        <v>19573</v>
      </c>
      <c r="K724" s="22" t="s">
        <v>19574</v>
      </c>
      <c r="L724" s="22"/>
      <c r="M724" s="22"/>
      <c r="N724" s="25" t="str">
        <f>HYPERLINK("http://slimages.macys.com/is/image/MCY/21970244 ")</f>
        <v xml:space="preserve">http://slimages.macys.com/is/image/MCY/21970244 </v>
      </c>
    </row>
    <row r="725" spans="1:14" ht="24.75" x14ac:dyDescent="0.25">
      <c r="A725" s="21" t="s">
        <v>17275</v>
      </c>
      <c r="B725" s="22" t="s">
        <v>17276</v>
      </c>
      <c r="C725" s="3">
        <v>2.21</v>
      </c>
      <c r="D725" s="23">
        <v>5.99</v>
      </c>
      <c r="E725" s="3">
        <v>5.99</v>
      </c>
      <c r="F725" s="2" t="s">
        <v>17277</v>
      </c>
      <c r="G725" s="22" t="s">
        <v>19713</v>
      </c>
      <c r="H725" s="24" t="s">
        <v>19416</v>
      </c>
      <c r="I725" s="22" t="s">
        <v>19309</v>
      </c>
      <c r="J725" s="22" t="s">
        <v>19573</v>
      </c>
      <c r="K725" s="22" t="s">
        <v>19574</v>
      </c>
      <c r="L725" s="22"/>
      <c r="M725" s="22"/>
      <c r="N725" s="25" t="str">
        <f>HYPERLINK("http://slimages.macys.com/is/image/MCY/20753464 ")</f>
        <v xml:space="preserve">http://slimages.macys.com/is/image/MCY/20753464 </v>
      </c>
    </row>
    <row r="726" spans="1:14" ht="24.75" x14ac:dyDescent="0.25">
      <c r="A726" s="21" t="s">
        <v>17278</v>
      </c>
      <c r="B726" s="22" t="s">
        <v>17279</v>
      </c>
      <c r="C726" s="3">
        <v>2.2000000000000002</v>
      </c>
      <c r="D726" s="23">
        <v>5.99</v>
      </c>
      <c r="E726" s="3">
        <v>5.99</v>
      </c>
      <c r="F726" s="2" t="s">
        <v>17280</v>
      </c>
      <c r="G726" s="22" t="s">
        <v>19618</v>
      </c>
      <c r="H726" s="24" t="s">
        <v>19538</v>
      </c>
      <c r="I726" s="22" t="s">
        <v>19309</v>
      </c>
      <c r="J726" s="22" t="s">
        <v>19573</v>
      </c>
      <c r="K726" s="22" t="s">
        <v>19574</v>
      </c>
      <c r="L726" s="22"/>
      <c r="M726" s="22"/>
      <c r="N726" s="25" t="str">
        <f>HYPERLINK("http://slimages.macys.com/is/image/MCY/20839692 ")</f>
        <v xml:space="preserve">http://slimages.macys.com/is/image/MCY/20839692 </v>
      </c>
    </row>
    <row r="727" spans="1:14" ht="24.75" x14ac:dyDescent="0.25">
      <c r="A727" s="21" t="s">
        <v>17281</v>
      </c>
      <c r="B727" s="22" t="s">
        <v>17282</v>
      </c>
      <c r="C727" s="3">
        <v>2.1800000000000002</v>
      </c>
      <c r="D727" s="23">
        <v>5.99</v>
      </c>
      <c r="E727" s="3">
        <v>5.99</v>
      </c>
      <c r="F727" s="2" t="s">
        <v>17283</v>
      </c>
      <c r="G727" s="22" t="s">
        <v>19618</v>
      </c>
      <c r="H727" s="24" t="s">
        <v>19330</v>
      </c>
      <c r="I727" s="22" t="s">
        <v>19309</v>
      </c>
      <c r="J727" s="22" t="s">
        <v>19573</v>
      </c>
      <c r="K727" s="22" t="s">
        <v>19574</v>
      </c>
      <c r="L727" s="22"/>
      <c r="M727" s="22"/>
      <c r="N727" s="25" t="str">
        <f>HYPERLINK("http://slimages.macys.com/is/image/MCY/21089253 ")</f>
        <v xml:space="preserve">http://slimages.macys.com/is/image/MCY/21089253 </v>
      </c>
    </row>
    <row r="728" spans="1:14" ht="24.75" x14ac:dyDescent="0.25">
      <c r="A728" s="21" t="s">
        <v>17418</v>
      </c>
      <c r="B728" s="22" t="s">
        <v>17419</v>
      </c>
      <c r="C728" s="3">
        <v>2.16</v>
      </c>
      <c r="D728" s="23">
        <v>5.99</v>
      </c>
      <c r="E728" s="3">
        <v>5.99</v>
      </c>
      <c r="F728" s="2" t="s">
        <v>17420</v>
      </c>
      <c r="G728" s="22" t="s">
        <v>19462</v>
      </c>
      <c r="H728" s="24" t="s">
        <v>19384</v>
      </c>
      <c r="I728" s="22" t="s">
        <v>19309</v>
      </c>
      <c r="J728" s="22" t="s">
        <v>19573</v>
      </c>
      <c r="K728" s="22" t="s">
        <v>19574</v>
      </c>
      <c r="L728" s="22"/>
      <c r="M728" s="22"/>
      <c r="N728" s="25" t="str">
        <f>HYPERLINK("http://slimages.macys.com/is/image/MCY/21209187 ")</f>
        <v xml:space="preserve">http://slimages.macys.com/is/image/MCY/21209187 </v>
      </c>
    </row>
    <row r="729" spans="1:14" ht="24.75" x14ac:dyDescent="0.25">
      <c r="A729" s="21" t="s">
        <v>17284</v>
      </c>
      <c r="B729" s="22" t="s">
        <v>17285</v>
      </c>
      <c r="C729" s="3">
        <v>2.14</v>
      </c>
      <c r="D729" s="23">
        <v>5.99</v>
      </c>
      <c r="E729" s="3">
        <v>5.99</v>
      </c>
      <c r="F729" s="2" t="s">
        <v>17430</v>
      </c>
      <c r="G729" s="22" t="s">
        <v>19351</v>
      </c>
      <c r="H729" s="24" t="s">
        <v>19538</v>
      </c>
      <c r="I729" s="22" t="s">
        <v>19309</v>
      </c>
      <c r="J729" s="22" t="s">
        <v>19573</v>
      </c>
      <c r="K729" s="22" t="s">
        <v>19574</v>
      </c>
      <c r="L729" s="22"/>
      <c r="M729" s="22"/>
      <c r="N729" s="25" t="str">
        <f>HYPERLINK("http://slimages.macys.com/is/image/MCY/1537013 ")</f>
        <v xml:space="preserve">http://slimages.macys.com/is/image/MCY/1537013 </v>
      </c>
    </row>
    <row r="730" spans="1:14" ht="24.75" x14ac:dyDescent="0.25">
      <c r="A730" s="21" t="s">
        <v>17423</v>
      </c>
      <c r="B730" s="22" t="s">
        <v>17424</v>
      </c>
      <c r="C730" s="3">
        <v>2.14</v>
      </c>
      <c r="D730" s="23">
        <v>5.99</v>
      </c>
      <c r="E730" s="3">
        <v>5.99</v>
      </c>
      <c r="F730" s="2" t="s">
        <v>17425</v>
      </c>
      <c r="G730" s="22" t="s">
        <v>19670</v>
      </c>
      <c r="H730" s="24" t="s">
        <v>19538</v>
      </c>
      <c r="I730" s="22" t="s">
        <v>19309</v>
      </c>
      <c r="J730" s="22" t="s">
        <v>19573</v>
      </c>
      <c r="K730" s="22" t="s">
        <v>19574</v>
      </c>
      <c r="L730" s="22"/>
      <c r="M730" s="22"/>
      <c r="N730" s="25" t="str">
        <f>HYPERLINK("http://slimages.macys.com/is/image/MCY/1537013 ")</f>
        <v xml:space="preserve">http://slimages.macys.com/is/image/MCY/1537013 </v>
      </c>
    </row>
    <row r="731" spans="1:14" ht="24.75" x14ac:dyDescent="0.25">
      <c r="A731" s="21" t="s">
        <v>17286</v>
      </c>
      <c r="B731" s="22" t="s">
        <v>17287</v>
      </c>
      <c r="C731" s="3">
        <v>2.13</v>
      </c>
      <c r="D731" s="23">
        <v>5.99</v>
      </c>
      <c r="E731" s="3">
        <v>5.99</v>
      </c>
      <c r="F731" s="2" t="s">
        <v>17440</v>
      </c>
      <c r="G731" s="22" t="s">
        <v>19906</v>
      </c>
      <c r="H731" s="24" t="s">
        <v>19384</v>
      </c>
      <c r="I731" s="22" t="s">
        <v>19309</v>
      </c>
      <c r="J731" s="22" t="s">
        <v>19573</v>
      </c>
      <c r="K731" s="22" t="s">
        <v>19574</v>
      </c>
      <c r="L731" s="22"/>
      <c r="M731" s="22"/>
      <c r="N731" s="25" t="str">
        <f>HYPERLINK("http://slimages.macys.com/is/image/MCY/21209026 ")</f>
        <v xml:space="preserve">http://slimages.macys.com/is/image/MCY/21209026 </v>
      </c>
    </row>
    <row r="732" spans="1:14" ht="24.75" x14ac:dyDescent="0.25">
      <c r="A732" s="21" t="s">
        <v>17438</v>
      </c>
      <c r="B732" s="22" t="s">
        <v>17439</v>
      </c>
      <c r="C732" s="3">
        <v>2.13</v>
      </c>
      <c r="D732" s="23">
        <v>5.99</v>
      </c>
      <c r="E732" s="3">
        <v>5.99</v>
      </c>
      <c r="F732" s="2" t="s">
        <v>17440</v>
      </c>
      <c r="G732" s="22" t="s">
        <v>19415</v>
      </c>
      <c r="H732" s="24" t="s">
        <v>19538</v>
      </c>
      <c r="I732" s="22" t="s">
        <v>19309</v>
      </c>
      <c r="J732" s="22" t="s">
        <v>19573</v>
      </c>
      <c r="K732" s="22" t="s">
        <v>19574</v>
      </c>
      <c r="L732" s="22"/>
      <c r="M732" s="22"/>
      <c r="N732" s="25" t="str">
        <f>HYPERLINK("http://slimages.macys.com/is/image/MCY/21209026 ")</f>
        <v xml:space="preserve">http://slimages.macys.com/is/image/MCY/21209026 </v>
      </c>
    </row>
    <row r="733" spans="1:14" ht="24.75" x14ac:dyDescent="0.25">
      <c r="A733" s="21" t="s">
        <v>17288</v>
      </c>
      <c r="B733" s="22" t="s">
        <v>17289</v>
      </c>
      <c r="C733" s="3">
        <v>2.13</v>
      </c>
      <c r="D733" s="23">
        <v>5.99</v>
      </c>
      <c r="E733" s="3">
        <v>5.99</v>
      </c>
      <c r="F733" s="2" t="s">
        <v>17440</v>
      </c>
      <c r="G733" s="22" t="s">
        <v>19415</v>
      </c>
      <c r="H733" s="24" t="s">
        <v>19324</v>
      </c>
      <c r="I733" s="22" t="s">
        <v>19309</v>
      </c>
      <c r="J733" s="22" t="s">
        <v>19573</v>
      </c>
      <c r="K733" s="22" t="s">
        <v>19574</v>
      </c>
      <c r="L733" s="22"/>
      <c r="M733" s="22"/>
      <c r="N733" s="25" t="str">
        <f>HYPERLINK("http://slimages.macys.com/is/image/MCY/21209026 ")</f>
        <v xml:space="preserve">http://slimages.macys.com/is/image/MCY/21209026 </v>
      </c>
    </row>
    <row r="734" spans="1:14" ht="24.75" x14ac:dyDescent="0.25">
      <c r="A734" s="21" t="s">
        <v>17290</v>
      </c>
      <c r="B734" s="22" t="s">
        <v>17291</v>
      </c>
      <c r="C734" s="3">
        <v>2.13</v>
      </c>
      <c r="D734" s="23">
        <v>5.99</v>
      </c>
      <c r="E734" s="3">
        <v>5.99</v>
      </c>
      <c r="F734" s="2" t="s">
        <v>17440</v>
      </c>
      <c r="G734" s="22" t="s">
        <v>19415</v>
      </c>
      <c r="H734" s="24" t="s">
        <v>19416</v>
      </c>
      <c r="I734" s="22" t="s">
        <v>19309</v>
      </c>
      <c r="J734" s="22" t="s">
        <v>19573</v>
      </c>
      <c r="K734" s="22" t="s">
        <v>19574</v>
      </c>
      <c r="L734" s="22"/>
      <c r="M734" s="22"/>
      <c r="N734" s="25" t="str">
        <f>HYPERLINK("http://slimages.macys.com/is/image/MCY/21209026 ")</f>
        <v xml:space="preserve">http://slimages.macys.com/is/image/MCY/21209026 </v>
      </c>
    </row>
    <row r="735" spans="1:14" ht="24.75" x14ac:dyDescent="0.25">
      <c r="A735" s="21" t="s">
        <v>17292</v>
      </c>
      <c r="B735" s="22" t="s">
        <v>17293</v>
      </c>
      <c r="C735" s="3">
        <v>6.33</v>
      </c>
      <c r="D735" s="23">
        <v>5.99</v>
      </c>
      <c r="E735" s="3">
        <v>17.97</v>
      </c>
      <c r="F735" s="2" t="s">
        <v>17449</v>
      </c>
      <c r="G735" s="22" t="s">
        <v>19415</v>
      </c>
      <c r="H735" s="24" t="s">
        <v>19538</v>
      </c>
      <c r="I735" s="22" t="s">
        <v>19309</v>
      </c>
      <c r="J735" s="22" t="s">
        <v>19573</v>
      </c>
      <c r="K735" s="22" t="s">
        <v>19574</v>
      </c>
      <c r="L735" s="22"/>
      <c r="M735" s="22"/>
      <c r="N735" s="25" t="str">
        <f>HYPERLINK("http://slimages.macys.com/is/image/MCY/21209295 ")</f>
        <v xml:space="preserve">http://slimages.macys.com/is/image/MCY/21209295 </v>
      </c>
    </row>
    <row r="736" spans="1:14" ht="24.75" x14ac:dyDescent="0.25">
      <c r="A736" s="21" t="s">
        <v>17447</v>
      </c>
      <c r="B736" s="22" t="s">
        <v>17448</v>
      </c>
      <c r="C736" s="3">
        <v>2.11</v>
      </c>
      <c r="D736" s="23">
        <v>5.99</v>
      </c>
      <c r="E736" s="3">
        <v>5.99</v>
      </c>
      <c r="F736" s="2" t="s">
        <v>17449</v>
      </c>
      <c r="G736" s="22" t="s">
        <v>19415</v>
      </c>
      <c r="H736" s="24" t="s">
        <v>19324</v>
      </c>
      <c r="I736" s="22" t="s">
        <v>19309</v>
      </c>
      <c r="J736" s="22" t="s">
        <v>19573</v>
      </c>
      <c r="K736" s="22" t="s">
        <v>19574</v>
      </c>
      <c r="L736" s="22"/>
      <c r="M736" s="22"/>
      <c r="N736" s="25" t="str">
        <f>HYPERLINK("http://slimages.macys.com/is/image/MCY/21209295 ")</f>
        <v xml:space="preserve">http://slimages.macys.com/is/image/MCY/21209295 </v>
      </c>
    </row>
    <row r="737" spans="1:14" ht="24.75" x14ac:dyDescent="0.25">
      <c r="A737" s="21" t="s">
        <v>17294</v>
      </c>
      <c r="B737" s="22" t="s">
        <v>17295</v>
      </c>
      <c r="C737" s="3">
        <v>6.33</v>
      </c>
      <c r="D737" s="23">
        <v>5.99</v>
      </c>
      <c r="E737" s="3">
        <v>17.97</v>
      </c>
      <c r="F737" s="2" t="s">
        <v>17449</v>
      </c>
      <c r="G737" s="22" t="s">
        <v>19415</v>
      </c>
      <c r="H737" s="24" t="s">
        <v>19384</v>
      </c>
      <c r="I737" s="22" t="s">
        <v>19309</v>
      </c>
      <c r="J737" s="22" t="s">
        <v>19573</v>
      </c>
      <c r="K737" s="22" t="s">
        <v>19574</v>
      </c>
      <c r="L737" s="22"/>
      <c r="M737" s="22"/>
      <c r="N737" s="25" t="str">
        <f>HYPERLINK("http://slimages.macys.com/is/image/MCY/21209295 ")</f>
        <v xml:space="preserve">http://slimages.macys.com/is/image/MCY/21209295 </v>
      </c>
    </row>
    <row r="738" spans="1:14" ht="24.75" x14ac:dyDescent="0.25">
      <c r="A738" s="21" t="s">
        <v>17296</v>
      </c>
      <c r="B738" s="22" t="s">
        <v>17297</v>
      </c>
      <c r="C738" s="3">
        <v>4.2</v>
      </c>
      <c r="D738" s="23">
        <v>5.99</v>
      </c>
      <c r="E738" s="3">
        <v>11.98</v>
      </c>
      <c r="F738" s="2" t="s">
        <v>17452</v>
      </c>
      <c r="G738" s="22" t="s">
        <v>19467</v>
      </c>
      <c r="H738" s="24" t="s">
        <v>19384</v>
      </c>
      <c r="I738" s="22" t="s">
        <v>19309</v>
      </c>
      <c r="J738" s="22" t="s">
        <v>19573</v>
      </c>
      <c r="K738" s="22" t="s">
        <v>19574</v>
      </c>
      <c r="L738" s="22"/>
      <c r="M738" s="22"/>
      <c r="N738" s="25" t="str">
        <f>HYPERLINK("http://slimages.macys.com/is/image/MCY/21209018 ")</f>
        <v xml:space="preserve">http://slimages.macys.com/is/image/MCY/21209018 </v>
      </c>
    </row>
    <row r="739" spans="1:14" ht="24.75" x14ac:dyDescent="0.25">
      <c r="A739" s="21" t="s">
        <v>17298</v>
      </c>
      <c r="B739" s="22" t="s">
        <v>17299</v>
      </c>
      <c r="C739" s="3">
        <v>4.2</v>
      </c>
      <c r="D739" s="23">
        <v>5.99</v>
      </c>
      <c r="E739" s="3">
        <v>11.98</v>
      </c>
      <c r="F739" s="2" t="s">
        <v>17455</v>
      </c>
      <c r="G739" s="22" t="s">
        <v>19431</v>
      </c>
      <c r="H739" s="24" t="s">
        <v>19416</v>
      </c>
      <c r="I739" s="22" t="s">
        <v>19309</v>
      </c>
      <c r="J739" s="22" t="s">
        <v>19573</v>
      </c>
      <c r="K739" s="22" t="s">
        <v>19574</v>
      </c>
      <c r="L739" s="22"/>
      <c r="M739" s="22"/>
      <c r="N739" s="25" t="str">
        <f>HYPERLINK("http://slimages.macys.com/is/image/MCY/21089250 ")</f>
        <v xml:space="preserve">http://slimages.macys.com/is/image/MCY/21089250 </v>
      </c>
    </row>
    <row r="740" spans="1:14" ht="24.75" x14ac:dyDescent="0.25">
      <c r="A740" s="21" t="s">
        <v>17459</v>
      </c>
      <c r="B740" s="22" t="s">
        <v>17460</v>
      </c>
      <c r="C740" s="3">
        <v>2.1</v>
      </c>
      <c r="D740" s="23">
        <v>5.99</v>
      </c>
      <c r="E740" s="3">
        <v>5.99</v>
      </c>
      <c r="F740" s="2" t="s">
        <v>17455</v>
      </c>
      <c r="G740" s="22" t="s">
        <v>19431</v>
      </c>
      <c r="H740" s="24" t="s">
        <v>19324</v>
      </c>
      <c r="I740" s="22" t="s">
        <v>19309</v>
      </c>
      <c r="J740" s="22" t="s">
        <v>19573</v>
      </c>
      <c r="K740" s="22" t="s">
        <v>19574</v>
      </c>
      <c r="L740" s="22"/>
      <c r="M740" s="22"/>
      <c r="N740" s="25" t="str">
        <f>HYPERLINK("http://slimages.macys.com/is/image/MCY/21089250 ")</f>
        <v xml:space="preserve">http://slimages.macys.com/is/image/MCY/21089250 </v>
      </c>
    </row>
    <row r="741" spans="1:14" ht="24.75" x14ac:dyDescent="0.25">
      <c r="A741" s="21" t="s">
        <v>17300</v>
      </c>
      <c r="B741" s="22" t="s">
        <v>17301</v>
      </c>
      <c r="C741" s="3">
        <v>2.1</v>
      </c>
      <c r="D741" s="23">
        <v>5.99</v>
      </c>
      <c r="E741" s="3">
        <v>5.99</v>
      </c>
      <c r="F741" s="2" t="s">
        <v>17452</v>
      </c>
      <c r="G741" s="22" t="s">
        <v>19467</v>
      </c>
      <c r="H741" s="24" t="s">
        <v>19416</v>
      </c>
      <c r="I741" s="22" t="s">
        <v>19309</v>
      </c>
      <c r="J741" s="22" t="s">
        <v>19573</v>
      </c>
      <c r="K741" s="22" t="s">
        <v>19574</v>
      </c>
      <c r="L741" s="22"/>
      <c r="M741" s="22"/>
      <c r="N741" s="25" t="str">
        <f>HYPERLINK("http://slimages.macys.com/is/image/MCY/21209018 ")</f>
        <v xml:space="preserve">http://slimages.macys.com/is/image/MCY/21209018 </v>
      </c>
    </row>
    <row r="742" spans="1:14" ht="24.75" x14ac:dyDescent="0.25">
      <c r="A742" s="21" t="s">
        <v>17453</v>
      </c>
      <c r="B742" s="22" t="s">
        <v>17454</v>
      </c>
      <c r="C742" s="3">
        <v>2.1</v>
      </c>
      <c r="D742" s="23">
        <v>5.99</v>
      </c>
      <c r="E742" s="3">
        <v>5.99</v>
      </c>
      <c r="F742" s="2" t="s">
        <v>17455</v>
      </c>
      <c r="G742" s="22" t="s">
        <v>19431</v>
      </c>
      <c r="H742" s="24" t="s">
        <v>19384</v>
      </c>
      <c r="I742" s="22" t="s">
        <v>19309</v>
      </c>
      <c r="J742" s="22" t="s">
        <v>19573</v>
      </c>
      <c r="K742" s="22" t="s">
        <v>19574</v>
      </c>
      <c r="L742" s="22"/>
      <c r="M742" s="22"/>
      <c r="N742" s="25" t="str">
        <f>HYPERLINK("http://slimages.macys.com/is/image/MCY/21089250 ")</f>
        <v xml:space="preserve">http://slimages.macys.com/is/image/MCY/21089250 </v>
      </c>
    </row>
    <row r="743" spans="1:14" ht="24.75" x14ac:dyDescent="0.25">
      <c r="A743" s="21" t="s">
        <v>17302</v>
      </c>
      <c r="B743" s="22" t="s">
        <v>17303</v>
      </c>
      <c r="C743" s="3">
        <v>2.1</v>
      </c>
      <c r="D743" s="23">
        <v>5.99</v>
      </c>
      <c r="E743" s="3">
        <v>5.99</v>
      </c>
      <c r="F743" s="2" t="s">
        <v>17304</v>
      </c>
      <c r="G743" s="22" t="s">
        <v>19518</v>
      </c>
      <c r="H743" s="24" t="s">
        <v>19330</v>
      </c>
      <c r="I743" s="22" t="s">
        <v>19309</v>
      </c>
      <c r="J743" s="22" t="s">
        <v>19573</v>
      </c>
      <c r="K743" s="22" t="s">
        <v>19574</v>
      </c>
      <c r="L743" s="22"/>
      <c r="M743" s="22"/>
      <c r="N743" s="25" t="str">
        <f>HYPERLINK("http://slimages.macys.com/is/image/MCY/21089247 ")</f>
        <v xml:space="preserve">http://slimages.macys.com/is/image/MCY/21089247 </v>
      </c>
    </row>
    <row r="744" spans="1:14" ht="24.75" x14ac:dyDescent="0.25">
      <c r="A744" s="21" t="s">
        <v>17305</v>
      </c>
      <c r="B744" s="22" t="s">
        <v>17306</v>
      </c>
      <c r="C744" s="3">
        <v>4.2</v>
      </c>
      <c r="D744" s="23">
        <v>5.99</v>
      </c>
      <c r="E744" s="3">
        <v>11.98</v>
      </c>
      <c r="F744" s="2" t="s">
        <v>17452</v>
      </c>
      <c r="G744" s="22" t="s">
        <v>19467</v>
      </c>
      <c r="H744" s="24" t="s">
        <v>19538</v>
      </c>
      <c r="I744" s="22" t="s">
        <v>19309</v>
      </c>
      <c r="J744" s="22" t="s">
        <v>19573</v>
      </c>
      <c r="K744" s="22" t="s">
        <v>19574</v>
      </c>
      <c r="L744" s="22"/>
      <c r="M744" s="22"/>
      <c r="N744" s="25" t="str">
        <f>HYPERLINK("http://slimages.macys.com/is/image/MCY/21209018 ")</f>
        <v xml:space="preserve">http://slimages.macys.com/is/image/MCY/21209018 </v>
      </c>
    </row>
    <row r="745" spans="1:14" ht="24.75" x14ac:dyDescent="0.25">
      <c r="A745" s="21" t="s">
        <v>17307</v>
      </c>
      <c r="B745" s="22" t="s">
        <v>17308</v>
      </c>
      <c r="C745" s="3">
        <v>2.1</v>
      </c>
      <c r="D745" s="23">
        <v>5.99</v>
      </c>
      <c r="E745" s="3">
        <v>5.99</v>
      </c>
      <c r="F745" s="2" t="s">
        <v>17309</v>
      </c>
      <c r="G745" s="22" t="s">
        <v>19351</v>
      </c>
      <c r="H745" s="24" t="s">
        <v>19330</v>
      </c>
      <c r="I745" s="22" t="s">
        <v>19309</v>
      </c>
      <c r="J745" s="22" t="s">
        <v>19573</v>
      </c>
      <c r="K745" s="22" t="s">
        <v>19574</v>
      </c>
      <c r="L745" s="22"/>
      <c r="M745" s="22"/>
      <c r="N745" s="25" t="str">
        <f>HYPERLINK("http://slimages.macys.com/is/image/MCY/21361770 ")</f>
        <v xml:space="preserve">http://slimages.macys.com/is/image/MCY/21361770 </v>
      </c>
    </row>
    <row r="746" spans="1:14" ht="24.75" x14ac:dyDescent="0.25">
      <c r="A746" s="21" t="s">
        <v>17310</v>
      </c>
      <c r="B746" s="22" t="s">
        <v>17311</v>
      </c>
      <c r="C746" s="3">
        <v>4.2</v>
      </c>
      <c r="D746" s="23">
        <v>5.99</v>
      </c>
      <c r="E746" s="3">
        <v>11.98</v>
      </c>
      <c r="F746" s="2" t="s">
        <v>17452</v>
      </c>
      <c r="G746" s="22" t="s">
        <v>19467</v>
      </c>
      <c r="H746" s="24" t="s">
        <v>19330</v>
      </c>
      <c r="I746" s="22" t="s">
        <v>19309</v>
      </c>
      <c r="J746" s="22" t="s">
        <v>19573</v>
      </c>
      <c r="K746" s="22" t="s">
        <v>19574</v>
      </c>
      <c r="L746" s="22"/>
      <c r="M746" s="22"/>
      <c r="N746" s="25" t="str">
        <f>HYPERLINK("http://slimages.macys.com/is/image/MCY/21209018 ")</f>
        <v xml:space="preserve">http://slimages.macys.com/is/image/MCY/21209018 </v>
      </c>
    </row>
    <row r="747" spans="1:14" ht="24.75" x14ac:dyDescent="0.25">
      <c r="A747" s="21" t="s">
        <v>17312</v>
      </c>
      <c r="B747" s="22" t="s">
        <v>17313</v>
      </c>
      <c r="C747" s="3">
        <v>2.0099999999999998</v>
      </c>
      <c r="D747" s="23">
        <v>5.99</v>
      </c>
      <c r="E747" s="3">
        <v>5.99</v>
      </c>
      <c r="F747" s="2" t="s">
        <v>17314</v>
      </c>
      <c r="G747" s="22" t="s">
        <v>19415</v>
      </c>
      <c r="H747" s="24" t="s">
        <v>19416</v>
      </c>
      <c r="I747" s="22" t="s">
        <v>19309</v>
      </c>
      <c r="J747" s="22" t="s">
        <v>19573</v>
      </c>
      <c r="K747" s="22" t="s">
        <v>19574</v>
      </c>
      <c r="L747" s="22"/>
      <c r="M747" s="22"/>
      <c r="N747" s="25" t="str">
        <f>HYPERLINK("http://slimages.macys.com/is/image/MCY/1537013 ")</f>
        <v xml:space="preserve">http://slimages.macys.com/is/image/MCY/1537013 </v>
      </c>
    </row>
    <row r="748" spans="1:14" ht="24.75" x14ac:dyDescent="0.25">
      <c r="A748" s="21" t="s">
        <v>17315</v>
      </c>
      <c r="B748" s="22" t="s">
        <v>17316</v>
      </c>
      <c r="C748" s="3">
        <v>1.94</v>
      </c>
      <c r="D748" s="23">
        <v>5.99</v>
      </c>
      <c r="E748" s="3">
        <v>5.99</v>
      </c>
      <c r="F748" s="2" t="s">
        <v>17472</v>
      </c>
      <c r="G748" s="22" t="s">
        <v>19467</v>
      </c>
      <c r="H748" s="24" t="s">
        <v>19324</v>
      </c>
      <c r="I748" s="22" t="s">
        <v>19309</v>
      </c>
      <c r="J748" s="22" t="s">
        <v>19573</v>
      </c>
      <c r="K748" s="22" t="s">
        <v>19574</v>
      </c>
      <c r="L748" s="22"/>
      <c r="M748" s="22"/>
      <c r="N748" s="25" t="str">
        <f>HYPERLINK("http://slimages.macys.com/is/image/MCY/16605973 ")</f>
        <v xml:space="preserve">http://slimages.macys.com/is/image/MCY/16605973 </v>
      </c>
    </row>
    <row r="749" spans="1:14" ht="24.75" x14ac:dyDescent="0.25">
      <c r="A749" s="21" t="s">
        <v>17317</v>
      </c>
      <c r="B749" s="22" t="s">
        <v>17318</v>
      </c>
      <c r="C749" s="3">
        <v>15</v>
      </c>
      <c r="D749" s="23">
        <v>39.99</v>
      </c>
      <c r="E749" s="3">
        <v>39.99</v>
      </c>
      <c r="F749" s="2" t="s">
        <v>17319</v>
      </c>
      <c r="G749" s="22" t="s">
        <v>19630</v>
      </c>
      <c r="H749" s="24" t="s">
        <v>19538</v>
      </c>
      <c r="I749" s="22" t="s">
        <v>19309</v>
      </c>
      <c r="J749" s="22" t="s">
        <v>19385</v>
      </c>
      <c r="K749" s="22" t="s">
        <v>19487</v>
      </c>
      <c r="L749" s="22"/>
      <c r="M749" s="22"/>
      <c r="N749" s="25"/>
    </row>
    <row r="750" spans="1:14" ht="24.75" x14ac:dyDescent="0.25">
      <c r="A750" s="21" t="s">
        <v>17320</v>
      </c>
      <c r="B750" s="22" t="s">
        <v>17321</v>
      </c>
      <c r="C750" s="3">
        <v>13.5</v>
      </c>
      <c r="D750" s="23">
        <v>33.99</v>
      </c>
      <c r="E750" s="3">
        <v>33.99</v>
      </c>
      <c r="F750" s="2" t="s">
        <v>17595</v>
      </c>
      <c r="G750" s="22" t="s">
        <v>19498</v>
      </c>
      <c r="H750" s="24" t="s">
        <v>19324</v>
      </c>
      <c r="I750" s="22" t="s">
        <v>19309</v>
      </c>
      <c r="J750" s="22" t="s">
        <v>19385</v>
      </c>
      <c r="K750" s="22" t="s">
        <v>19386</v>
      </c>
      <c r="L750" s="22"/>
      <c r="M750" s="22"/>
      <c r="N750" s="25"/>
    </row>
    <row r="751" spans="1:14" ht="24.75" x14ac:dyDescent="0.25">
      <c r="A751" s="21" t="s">
        <v>17473</v>
      </c>
      <c r="B751" s="22" t="s">
        <v>17474</v>
      </c>
      <c r="C751" s="3">
        <v>13.5</v>
      </c>
      <c r="D751" s="23">
        <v>35.99</v>
      </c>
      <c r="E751" s="3">
        <v>35.99</v>
      </c>
      <c r="F751" s="2" t="s">
        <v>17475</v>
      </c>
      <c r="G751" s="22" t="s">
        <v>19674</v>
      </c>
      <c r="H751" s="24" t="s">
        <v>19330</v>
      </c>
      <c r="I751" s="22" t="s">
        <v>19309</v>
      </c>
      <c r="J751" s="22" t="s">
        <v>19385</v>
      </c>
      <c r="K751" s="22" t="s">
        <v>19487</v>
      </c>
      <c r="L751" s="22"/>
      <c r="M751" s="22"/>
      <c r="N751" s="25"/>
    </row>
    <row r="752" spans="1:14" ht="24.75" x14ac:dyDescent="0.25">
      <c r="A752" s="21" t="s">
        <v>17322</v>
      </c>
      <c r="B752" s="22" t="s">
        <v>17323</v>
      </c>
      <c r="C752" s="3">
        <v>27</v>
      </c>
      <c r="D752" s="23">
        <v>33.99</v>
      </c>
      <c r="E752" s="3">
        <v>67.98</v>
      </c>
      <c r="F752" s="2" t="s">
        <v>17595</v>
      </c>
      <c r="G752" s="22" t="s">
        <v>19498</v>
      </c>
      <c r="H752" s="24" t="s">
        <v>19384</v>
      </c>
      <c r="I752" s="22" t="s">
        <v>19309</v>
      </c>
      <c r="J752" s="22" t="s">
        <v>19385</v>
      </c>
      <c r="K752" s="22" t="s">
        <v>19386</v>
      </c>
      <c r="L752" s="22"/>
      <c r="M752" s="22"/>
      <c r="N752" s="25"/>
    </row>
    <row r="753" spans="1:14" x14ac:dyDescent="0.25">
      <c r="A753" s="21" t="s">
        <v>17324</v>
      </c>
      <c r="B753" s="22" t="s">
        <v>17325</v>
      </c>
      <c r="C753" s="3">
        <v>13.05</v>
      </c>
      <c r="D753" s="23">
        <v>42</v>
      </c>
      <c r="E753" s="3">
        <v>42</v>
      </c>
      <c r="F753" s="2" t="s">
        <v>17326</v>
      </c>
      <c r="G753" s="22" t="s">
        <v>19338</v>
      </c>
      <c r="H753" s="24" t="s">
        <v>17327</v>
      </c>
      <c r="I753" s="22" t="s">
        <v>19309</v>
      </c>
      <c r="J753" s="22" t="s">
        <v>17328</v>
      </c>
      <c r="K753" s="22" t="s">
        <v>17329</v>
      </c>
      <c r="L753" s="22"/>
      <c r="M753" s="22"/>
      <c r="N753" s="25"/>
    </row>
    <row r="754" spans="1:14" ht="24.75" x14ac:dyDescent="0.25">
      <c r="A754" s="21" t="s">
        <v>17484</v>
      </c>
      <c r="B754" s="22" t="s">
        <v>17485</v>
      </c>
      <c r="C754" s="3">
        <v>12.5</v>
      </c>
      <c r="D754" s="23">
        <v>32.99</v>
      </c>
      <c r="E754" s="3">
        <v>32.99</v>
      </c>
      <c r="F754" s="2" t="s">
        <v>17481</v>
      </c>
      <c r="G754" s="22" t="s">
        <v>19415</v>
      </c>
      <c r="H754" s="24" t="s">
        <v>19330</v>
      </c>
      <c r="I754" s="22" t="s">
        <v>19309</v>
      </c>
      <c r="J754" s="22" t="s">
        <v>19385</v>
      </c>
      <c r="K754" s="22" t="s">
        <v>19487</v>
      </c>
      <c r="L754" s="22"/>
      <c r="M754" s="22"/>
      <c r="N754" s="25"/>
    </row>
    <row r="755" spans="1:14" x14ac:dyDescent="0.25">
      <c r="A755" s="21" t="s">
        <v>17330</v>
      </c>
      <c r="B755" s="22" t="s">
        <v>17331</v>
      </c>
      <c r="C755" s="3">
        <v>11.8</v>
      </c>
      <c r="D755" s="23">
        <v>40</v>
      </c>
      <c r="E755" s="3">
        <v>40</v>
      </c>
      <c r="F755" s="2" t="s">
        <v>17332</v>
      </c>
      <c r="G755" s="22" t="s">
        <v>19351</v>
      </c>
      <c r="H755" s="24" t="s">
        <v>17327</v>
      </c>
      <c r="I755" s="22" t="s">
        <v>19309</v>
      </c>
      <c r="J755" s="22" t="s">
        <v>17328</v>
      </c>
      <c r="K755" s="22" t="s">
        <v>17329</v>
      </c>
      <c r="L755" s="22"/>
      <c r="M755" s="22"/>
      <c r="N755" s="25"/>
    </row>
    <row r="756" spans="1:14" x14ac:dyDescent="0.25">
      <c r="A756" s="21" t="s">
        <v>17333</v>
      </c>
      <c r="B756" s="22" t="s">
        <v>17331</v>
      </c>
      <c r="C756" s="3">
        <v>11.8</v>
      </c>
      <c r="D756" s="23">
        <v>40</v>
      </c>
      <c r="E756" s="3">
        <v>40</v>
      </c>
      <c r="F756" s="2" t="s">
        <v>17332</v>
      </c>
      <c r="G756" s="22" t="s">
        <v>19351</v>
      </c>
      <c r="H756" s="24" t="s">
        <v>19361</v>
      </c>
      <c r="I756" s="22" t="s">
        <v>19309</v>
      </c>
      <c r="J756" s="22" t="s">
        <v>17328</v>
      </c>
      <c r="K756" s="22" t="s">
        <v>17329</v>
      </c>
      <c r="L756" s="22"/>
      <c r="M756" s="22"/>
      <c r="N756" s="25"/>
    </row>
    <row r="757" spans="1:14" x14ac:dyDescent="0.25">
      <c r="A757" s="21" t="s">
        <v>17334</v>
      </c>
      <c r="B757" s="22" t="s">
        <v>17331</v>
      </c>
      <c r="C757" s="3">
        <v>11.8</v>
      </c>
      <c r="D757" s="23">
        <v>40</v>
      </c>
      <c r="E757" s="3">
        <v>40</v>
      </c>
      <c r="F757" s="2" t="s">
        <v>17335</v>
      </c>
      <c r="G757" s="22" t="s">
        <v>19323</v>
      </c>
      <c r="H757" s="24" t="s">
        <v>17327</v>
      </c>
      <c r="I757" s="22" t="s">
        <v>19309</v>
      </c>
      <c r="J757" s="22" t="s">
        <v>17328</v>
      </c>
      <c r="K757" s="22" t="s">
        <v>17329</v>
      </c>
      <c r="L757" s="22"/>
      <c r="M757" s="22"/>
      <c r="N757" s="25"/>
    </row>
    <row r="758" spans="1:14" x14ac:dyDescent="0.25">
      <c r="A758" s="21" t="s">
        <v>17336</v>
      </c>
      <c r="B758" s="22" t="s">
        <v>17337</v>
      </c>
      <c r="C758" s="3">
        <v>11.8</v>
      </c>
      <c r="D758" s="23">
        <v>40</v>
      </c>
      <c r="E758" s="3">
        <v>40</v>
      </c>
      <c r="F758" s="2" t="s">
        <v>17338</v>
      </c>
      <c r="G758" s="22" t="s">
        <v>19357</v>
      </c>
      <c r="H758" s="24" t="s">
        <v>17327</v>
      </c>
      <c r="I758" s="22" t="s">
        <v>19309</v>
      </c>
      <c r="J758" s="22" t="s">
        <v>17328</v>
      </c>
      <c r="K758" s="22" t="s">
        <v>17329</v>
      </c>
      <c r="L758" s="22"/>
      <c r="M758" s="22"/>
      <c r="N758" s="25"/>
    </row>
    <row r="759" spans="1:14" x14ac:dyDescent="0.25">
      <c r="A759" s="21" t="s">
        <v>17339</v>
      </c>
      <c r="B759" s="22" t="s">
        <v>17331</v>
      </c>
      <c r="C759" s="3">
        <v>11.8</v>
      </c>
      <c r="D759" s="23">
        <v>40</v>
      </c>
      <c r="E759" s="3">
        <v>40</v>
      </c>
      <c r="F759" s="2" t="s">
        <v>17332</v>
      </c>
      <c r="G759" s="22" t="s">
        <v>19351</v>
      </c>
      <c r="H759" s="24" t="s">
        <v>19997</v>
      </c>
      <c r="I759" s="22" t="s">
        <v>19309</v>
      </c>
      <c r="J759" s="22" t="s">
        <v>17328</v>
      </c>
      <c r="K759" s="22" t="s">
        <v>17329</v>
      </c>
      <c r="L759" s="22"/>
      <c r="M759" s="22"/>
      <c r="N759" s="25"/>
    </row>
    <row r="760" spans="1:14" ht="24.75" x14ac:dyDescent="0.25">
      <c r="A760" s="21" t="s">
        <v>17340</v>
      </c>
      <c r="B760" s="22" t="s">
        <v>17341</v>
      </c>
      <c r="C760" s="3">
        <v>11.5</v>
      </c>
      <c r="D760" s="23">
        <v>30.99</v>
      </c>
      <c r="E760" s="3">
        <v>30.99</v>
      </c>
      <c r="F760" s="2" t="s">
        <v>17342</v>
      </c>
      <c r="G760" s="22" t="s">
        <v>19674</v>
      </c>
      <c r="H760" s="24" t="s">
        <v>19330</v>
      </c>
      <c r="I760" s="22" t="s">
        <v>19309</v>
      </c>
      <c r="J760" s="22" t="s">
        <v>19385</v>
      </c>
      <c r="K760" s="22" t="s">
        <v>19487</v>
      </c>
      <c r="L760" s="22"/>
      <c r="M760" s="22"/>
      <c r="N760" s="25"/>
    </row>
    <row r="761" spans="1:14" x14ac:dyDescent="0.25">
      <c r="A761" s="21" t="s">
        <v>17343</v>
      </c>
      <c r="B761" s="22" t="s">
        <v>17344</v>
      </c>
      <c r="C761" s="3">
        <v>11.3</v>
      </c>
      <c r="D761" s="23">
        <v>40</v>
      </c>
      <c r="E761" s="3">
        <v>40</v>
      </c>
      <c r="F761" s="2" t="s">
        <v>17345</v>
      </c>
      <c r="G761" s="22" t="s">
        <v>19814</v>
      </c>
      <c r="H761" s="24" t="s">
        <v>17346</v>
      </c>
      <c r="I761" s="22" t="s">
        <v>19309</v>
      </c>
      <c r="J761" s="22" t="s">
        <v>17328</v>
      </c>
      <c r="K761" s="22" t="s">
        <v>17329</v>
      </c>
      <c r="L761" s="22"/>
      <c r="M761" s="22"/>
      <c r="N761" s="25"/>
    </row>
    <row r="762" spans="1:14" x14ac:dyDescent="0.25">
      <c r="A762" s="21" t="s">
        <v>17347</v>
      </c>
      <c r="B762" s="22" t="s">
        <v>17344</v>
      </c>
      <c r="C762" s="3">
        <v>11.3</v>
      </c>
      <c r="D762" s="23">
        <v>40</v>
      </c>
      <c r="E762" s="3">
        <v>40</v>
      </c>
      <c r="F762" s="2" t="s">
        <v>17345</v>
      </c>
      <c r="G762" s="22" t="s">
        <v>19814</v>
      </c>
      <c r="H762" s="24" t="s">
        <v>19542</v>
      </c>
      <c r="I762" s="22" t="s">
        <v>19309</v>
      </c>
      <c r="J762" s="22" t="s">
        <v>17328</v>
      </c>
      <c r="K762" s="22" t="s">
        <v>17329</v>
      </c>
      <c r="L762" s="22"/>
      <c r="M762" s="22"/>
      <c r="N762" s="25"/>
    </row>
    <row r="763" spans="1:14" x14ac:dyDescent="0.25">
      <c r="A763" s="21" t="s">
        <v>17348</v>
      </c>
      <c r="B763" s="22" t="s">
        <v>17344</v>
      </c>
      <c r="C763" s="3">
        <v>11.3</v>
      </c>
      <c r="D763" s="23">
        <v>40</v>
      </c>
      <c r="E763" s="3">
        <v>40</v>
      </c>
      <c r="F763" s="2" t="s">
        <v>17345</v>
      </c>
      <c r="G763" s="22" t="s">
        <v>19814</v>
      </c>
      <c r="H763" s="24" t="s">
        <v>17327</v>
      </c>
      <c r="I763" s="22" t="s">
        <v>19309</v>
      </c>
      <c r="J763" s="22" t="s">
        <v>17328</v>
      </c>
      <c r="K763" s="22" t="s">
        <v>17329</v>
      </c>
      <c r="L763" s="22"/>
      <c r="M763" s="22"/>
      <c r="N763" s="25"/>
    </row>
    <row r="764" spans="1:14" x14ac:dyDescent="0.25">
      <c r="A764" s="21" t="s">
        <v>17349</v>
      </c>
      <c r="B764" s="22" t="s">
        <v>17344</v>
      </c>
      <c r="C764" s="3">
        <v>11.3</v>
      </c>
      <c r="D764" s="23">
        <v>40</v>
      </c>
      <c r="E764" s="3">
        <v>40</v>
      </c>
      <c r="F764" s="2" t="s">
        <v>17345</v>
      </c>
      <c r="G764" s="22" t="s">
        <v>19814</v>
      </c>
      <c r="H764" s="24" t="s">
        <v>19361</v>
      </c>
      <c r="I764" s="22" t="s">
        <v>19309</v>
      </c>
      <c r="J764" s="22" t="s">
        <v>17328</v>
      </c>
      <c r="K764" s="22" t="s">
        <v>17329</v>
      </c>
      <c r="L764" s="22"/>
      <c r="M764" s="22"/>
      <c r="N764" s="25"/>
    </row>
    <row r="765" spans="1:14" x14ac:dyDescent="0.25">
      <c r="A765" s="21" t="s">
        <v>17350</v>
      </c>
      <c r="B765" s="22" t="s">
        <v>17344</v>
      </c>
      <c r="C765" s="3">
        <v>11.3</v>
      </c>
      <c r="D765" s="23">
        <v>40</v>
      </c>
      <c r="E765" s="3">
        <v>40</v>
      </c>
      <c r="F765" s="2" t="s">
        <v>17345</v>
      </c>
      <c r="G765" s="22" t="s">
        <v>19814</v>
      </c>
      <c r="H765" s="24" t="s">
        <v>19501</v>
      </c>
      <c r="I765" s="22" t="s">
        <v>19309</v>
      </c>
      <c r="J765" s="22" t="s">
        <v>17328</v>
      </c>
      <c r="K765" s="22" t="s">
        <v>17329</v>
      </c>
      <c r="L765" s="22"/>
      <c r="M765" s="22"/>
      <c r="N765" s="25"/>
    </row>
    <row r="766" spans="1:14" x14ac:dyDescent="0.25">
      <c r="A766" s="21" t="s">
        <v>17351</v>
      </c>
      <c r="B766" s="22" t="s">
        <v>17352</v>
      </c>
      <c r="C766" s="3">
        <v>10.55</v>
      </c>
      <c r="D766" s="23">
        <v>36</v>
      </c>
      <c r="E766" s="3">
        <v>36</v>
      </c>
      <c r="F766" s="2" t="s">
        <v>17353</v>
      </c>
      <c r="G766" s="22" t="s">
        <v>19342</v>
      </c>
      <c r="H766" s="24" t="s">
        <v>19542</v>
      </c>
      <c r="I766" s="22" t="s">
        <v>19309</v>
      </c>
      <c r="J766" s="22" t="s">
        <v>17328</v>
      </c>
      <c r="K766" s="22" t="s">
        <v>17329</v>
      </c>
      <c r="L766" s="22"/>
      <c r="M766" s="22"/>
      <c r="N766" s="25"/>
    </row>
    <row r="767" spans="1:14" x14ac:dyDescent="0.25">
      <c r="A767" s="21" t="s">
        <v>17354</v>
      </c>
      <c r="B767" s="22" t="s">
        <v>17352</v>
      </c>
      <c r="C767" s="3">
        <v>10.55</v>
      </c>
      <c r="D767" s="23">
        <v>36</v>
      </c>
      <c r="E767" s="3">
        <v>36</v>
      </c>
      <c r="F767" s="2" t="s">
        <v>17353</v>
      </c>
      <c r="G767" s="22" t="s">
        <v>19342</v>
      </c>
      <c r="H767" s="24" t="s">
        <v>19432</v>
      </c>
      <c r="I767" s="22" t="s">
        <v>19309</v>
      </c>
      <c r="J767" s="22" t="s">
        <v>17328</v>
      </c>
      <c r="K767" s="22" t="s">
        <v>17329</v>
      </c>
      <c r="L767" s="22"/>
      <c r="M767" s="22"/>
      <c r="N767" s="25"/>
    </row>
    <row r="768" spans="1:14" x14ac:dyDescent="0.25">
      <c r="A768" s="21" t="s">
        <v>17355</v>
      </c>
      <c r="B768" s="22" t="s">
        <v>17356</v>
      </c>
      <c r="C768" s="3">
        <v>10.55</v>
      </c>
      <c r="D768" s="23">
        <v>36</v>
      </c>
      <c r="E768" s="3">
        <v>36</v>
      </c>
      <c r="F768" s="2" t="s">
        <v>17357</v>
      </c>
      <c r="G768" s="22" t="s">
        <v>19351</v>
      </c>
      <c r="H768" s="24" t="s">
        <v>19501</v>
      </c>
      <c r="I768" s="22" t="s">
        <v>19309</v>
      </c>
      <c r="J768" s="22" t="s">
        <v>17328</v>
      </c>
      <c r="K768" s="22" t="s">
        <v>17329</v>
      </c>
      <c r="L768" s="22"/>
      <c r="M768" s="22"/>
      <c r="N768" s="25"/>
    </row>
    <row r="769" spans="1:14" x14ac:dyDescent="0.25">
      <c r="A769" s="21" t="s">
        <v>17358</v>
      </c>
      <c r="B769" s="22" t="s">
        <v>17352</v>
      </c>
      <c r="C769" s="3">
        <v>10.55</v>
      </c>
      <c r="D769" s="23">
        <v>36</v>
      </c>
      <c r="E769" s="3">
        <v>36</v>
      </c>
      <c r="F769" s="2" t="s">
        <v>17353</v>
      </c>
      <c r="G769" s="22" t="s">
        <v>19342</v>
      </c>
      <c r="H769" s="24" t="s">
        <v>19997</v>
      </c>
      <c r="I769" s="22" t="s">
        <v>19309</v>
      </c>
      <c r="J769" s="22" t="s">
        <v>17328</v>
      </c>
      <c r="K769" s="22" t="s">
        <v>17329</v>
      </c>
      <c r="L769" s="22"/>
      <c r="M769" s="22"/>
      <c r="N769" s="25"/>
    </row>
    <row r="770" spans="1:14" ht="24.75" x14ac:dyDescent="0.25">
      <c r="A770" s="21" t="s">
        <v>17359</v>
      </c>
      <c r="B770" s="22" t="s">
        <v>17360</v>
      </c>
      <c r="C770" s="3">
        <v>10.5</v>
      </c>
      <c r="D770" s="23">
        <v>26.99</v>
      </c>
      <c r="E770" s="3">
        <v>26.99</v>
      </c>
      <c r="F770" s="2" t="s">
        <v>17488</v>
      </c>
      <c r="G770" s="22" t="s">
        <v>19357</v>
      </c>
      <c r="H770" s="24" t="s">
        <v>19330</v>
      </c>
      <c r="I770" s="22" t="s">
        <v>19309</v>
      </c>
      <c r="J770" s="22" t="s">
        <v>19385</v>
      </c>
      <c r="K770" s="22" t="s">
        <v>19487</v>
      </c>
      <c r="L770" s="22"/>
      <c r="M770" s="22"/>
      <c r="N770" s="25"/>
    </row>
    <row r="771" spans="1:14" ht="24.75" x14ac:dyDescent="0.25">
      <c r="A771" s="21" t="s">
        <v>17361</v>
      </c>
      <c r="B771" s="22" t="s">
        <v>17362</v>
      </c>
      <c r="C771" s="3">
        <v>10.5</v>
      </c>
      <c r="D771" s="23">
        <v>22.99</v>
      </c>
      <c r="E771" s="3">
        <v>22.99</v>
      </c>
      <c r="F771" s="2" t="s">
        <v>17734</v>
      </c>
      <c r="G771" s="22" t="s">
        <v>19674</v>
      </c>
      <c r="H771" s="24" t="s">
        <v>19334</v>
      </c>
      <c r="I771" s="22" t="s">
        <v>19309</v>
      </c>
      <c r="J771" s="22" t="s">
        <v>19447</v>
      </c>
      <c r="K771" s="22" t="s">
        <v>19463</v>
      </c>
      <c r="L771" s="22"/>
      <c r="M771" s="22"/>
      <c r="N771" s="25"/>
    </row>
    <row r="772" spans="1:14" x14ac:dyDescent="0.25">
      <c r="A772" s="21" t="s">
        <v>17363</v>
      </c>
      <c r="B772" s="22" t="s">
        <v>17364</v>
      </c>
      <c r="C772" s="3">
        <v>9.5500000000000007</v>
      </c>
      <c r="D772" s="23">
        <v>36</v>
      </c>
      <c r="E772" s="3">
        <v>36</v>
      </c>
      <c r="F772" s="2" t="s">
        <v>17365</v>
      </c>
      <c r="G772" s="22" t="s">
        <v>19674</v>
      </c>
      <c r="H772" s="24" t="s">
        <v>19542</v>
      </c>
      <c r="I772" s="22" t="s">
        <v>19309</v>
      </c>
      <c r="J772" s="22" t="s">
        <v>17328</v>
      </c>
      <c r="K772" s="22" t="s">
        <v>17329</v>
      </c>
      <c r="L772" s="22"/>
      <c r="M772" s="22"/>
      <c r="N772" s="25"/>
    </row>
    <row r="773" spans="1:14" x14ac:dyDescent="0.25">
      <c r="A773" s="21" t="s">
        <v>17366</v>
      </c>
      <c r="B773" s="22" t="s">
        <v>17364</v>
      </c>
      <c r="C773" s="3">
        <v>9.5500000000000007</v>
      </c>
      <c r="D773" s="23">
        <v>36</v>
      </c>
      <c r="E773" s="3">
        <v>36</v>
      </c>
      <c r="F773" s="2" t="s">
        <v>17365</v>
      </c>
      <c r="G773" s="22" t="s">
        <v>19674</v>
      </c>
      <c r="H773" s="24" t="s">
        <v>19478</v>
      </c>
      <c r="I773" s="22" t="s">
        <v>19309</v>
      </c>
      <c r="J773" s="22" t="s">
        <v>17328</v>
      </c>
      <c r="K773" s="22" t="s">
        <v>17329</v>
      </c>
      <c r="L773" s="22"/>
      <c r="M773" s="22"/>
      <c r="N773" s="25"/>
    </row>
    <row r="774" spans="1:14" x14ac:dyDescent="0.25">
      <c r="A774" s="21" t="s">
        <v>17509</v>
      </c>
      <c r="B774" s="22" t="s">
        <v>17510</v>
      </c>
      <c r="C774" s="3">
        <v>227.28</v>
      </c>
      <c r="D774" s="23">
        <v>7.5</v>
      </c>
      <c r="E774" s="3">
        <v>180</v>
      </c>
      <c r="F774" s="2" t="s">
        <v>17510</v>
      </c>
      <c r="G774" s="22" t="s">
        <v>17504</v>
      </c>
      <c r="H774" s="24" t="s">
        <v>17505</v>
      </c>
      <c r="I774" s="22" t="s">
        <v>19309</v>
      </c>
      <c r="J774" s="22" t="s">
        <v>19708</v>
      </c>
      <c r="K774" s="22" t="s">
        <v>19709</v>
      </c>
      <c r="L774" s="22"/>
      <c r="M774" s="22"/>
      <c r="N774" s="25"/>
    </row>
    <row r="775" spans="1:14" ht="24.75" x14ac:dyDescent="0.25">
      <c r="A775" s="21" t="s">
        <v>17506</v>
      </c>
      <c r="B775" s="22" t="s">
        <v>17507</v>
      </c>
      <c r="C775" s="3">
        <v>104.17</v>
      </c>
      <c r="D775" s="23">
        <v>2.5</v>
      </c>
      <c r="E775" s="3">
        <v>27.5</v>
      </c>
      <c r="F775" s="2" t="s">
        <v>17507</v>
      </c>
      <c r="G775" s="22" t="s">
        <v>17504</v>
      </c>
      <c r="H775" s="24" t="s">
        <v>17505</v>
      </c>
      <c r="I775" s="22" t="s">
        <v>19309</v>
      </c>
      <c r="J775" s="22" t="s">
        <v>19696</v>
      </c>
      <c r="K775" s="22" t="s">
        <v>17508</v>
      </c>
      <c r="L775" s="22"/>
      <c r="M775" s="22"/>
      <c r="N775" s="25"/>
    </row>
    <row r="776" spans="1:14" ht="24.75" x14ac:dyDescent="0.25">
      <c r="A776" s="21" t="s">
        <v>17501</v>
      </c>
      <c r="B776" s="22" t="s">
        <v>17502</v>
      </c>
      <c r="C776" s="3">
        <v>113.64</v>
      </c>
      <c r="D776" s="23">
        <v>7.5</v>
      </c>
      <c r="E776" s="3">
        <v>90</v>
      </c>
      <c r="F776" s="2" t="s">
        <v>17503</v>
      </c>
      <c r="G776" s="22" t="s">
        <v>17504</v>
      </c>
      <c r="H776" s="24" t="s">
        <v>17505</v>
      </c>
      <c r="I776" s="22" t="s">
        <v>19309</v>
      </c>
      <c r="J776" s="22" t="s">
        <v>19573</v>
      </c>
      <c r="K776" s="22" t="s">
        <v>19574</v>
      </c>
      <c r="L776" s="22"/>
      <c r="M776" s="22"/>
      <c r="N776" s="25"/>
    </row>
    <row r="777" spans="1:14" x14ac:dyDescent="0.25">
      <c r="A777" s="21" t="s">
        <v>17367</v>
      </c>
      <c r="B777" s="22" t="s">
        <v>17368</v>
      </c>
      <c r="C777" s="3">
        <v>6.15</v>
      </c>
      <c r="D777" s="23">
        <v>19.989999999999998</v>
      </c>
      <c r="E777" s="3">
        <v>19.989999999999998</v>
      </c>
      <c r="F777" s="2" t="s">
        <v>17369</v>
      </c>
      <c r="G777" s="22" t="s">
        <v>19342</v>
      </c>
      <c r="H777" s="24" t="s">
        <v>19392</v>
      </c>
      <c r="I777" s="22" t="s">
        <v>19309</v>
      </c>
      <c r="J777" s="22" t="s">
        <v>19696</v>
      </c>
      <c r="K777" s="22" t="s">
        <v>19697</v>
      </c>
      <c r="L777" s="22"/>
      <c r="M777" s="22"/>
      <c r="N777" s="25"/>
    </row>
    <row r="778" spans="1:14" ht="24.75" x14ac:dyDescent="0.25">
      <c r="A778" s="21" t="s">
        <v>17370</v>
      </c>
      <c r="B778" s="22" t="s">
        <v>17371</v>
      </c>
      <c r="C778" s="3">
        <v>5.2</v>
      </c>
      <c r="D778" s="23">
        <v>11.55</v>
      </c>
      <c r="E778" s="3">
        <v>11.55</v>
      </c>
      <c r="F778" s="2" t="s">
        <v>17372</v>
      </c>
      <c r="G778" s="22" t="s">
        <v>19618</v>
      </c>
      <c r="H778" s="24" t="s">
        <v>19308</v>
      </c>
      <c r="I778" s="22" t="s">
        <v>19309</v>
      </c>
      <c r="J778" s="22" t="s">
        <v>19565</v>
      </c>
      <c r="K778" s="22" t="s">
        <v>18548</v>
      </c>
      <c r="L778" s="22"/>
      <c r="M778" s="22"/>
      <c r="N778" s="25"/>
    </row>
  </sheetData>
  <phoneticPr fontId="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23"/>
  <sheetViews>
    <sheetView workbookViewId="0">
      <selection activeCell="E12" sqref="E12"/>
    </sheetView>
  </sheetViews>
  <sheetFormatPr defaultRowHeight="15" x14ac:dyDescent="0.25"/>
  <cols>
    <col min="1" max="1" width="14.42578125" customWidth="1"/>
    <col min="2" max="2" width="51.42578125" customWidth="1"/>
    <col min="3" max="4" width="15" customWidth="1"/>
    <col min="5" max="5" width="10.42578125" customWidth="1"/>
    <col min="6" max="6" width="14.85546875" customWidth="1"/>
    <col min="7" max="8" width="11.42578125" customWidth="1"/>
    <col min="9" max="9" width="10.85546875" customWidth="1"/>
    <col min="10" max="10" width="12.140625" customWidth="1"/>
    <col min="11" max="11" width="36.5703125" bestFit="1" customWidth="1"/>
    <col min="12" max="13" width="20.5703125" customWidth="1"/>
    <col min="14" max="14" width="64.42578125" customWidth="1"/>
  </cols>
  <sheetData>
    <row r="1" spans="1:14" ht="36" x14ac:dyDescent="0.25">
      <c r="A1" s="1" t="s">
        <v>19291</v>
      </c>
      <c r="B1" s="1" t="s">
        <v>19292</v>
      </c>
      <c r="C1" s="1" t="s">
        <v>19293</v>
      </c>
      <c r="D1" s="1" t="s">
        <v>19284</v>
      </c>
      <c r="E1" s="1" t="s">
        <v>19294</v>
      </c>
      <c r="F1" s="1" t="s">
        <v>19295</v>
      </c>
      <c r="G1" s="1" t="s">
        <v>19296</v>
      </c>
      <c r="H1" s="1" t="s">
        <v>19297</v>
      </c>
      <c r="I1" s="1" t="s">
        <v>19298</v>
      </c>
      <c r="J1" s="1" t="s">
        <v>19299</v>
      </c>
      <c r="K1" s="1" t="s">
        <v>19300</v>
      </c>
      <c r="L1" s="1" t="s">
        <v>19301</v>
      </c>
      <c r="M1" s="1" t="s">
        <v>19302</v>
      </c>
      <c r="N1" s="1" t="s">
        <v>19303</v>
      </c>
    </row>
    <row r="2" spans="1:14" ht="24.75" x14ac:dyDescent="0.25">
      <c r="A2" s="21" t="s">
        <v>15050</v>
      </c>
      <c r="B2" s="22" t="s">
        <v>15051</v>
      </c>
      <c r="C2" s="2">
        <v>1</v>
      </c>
      <c r="D2" s="23">
        <v>65.63</v>
      </c>
      <c r="E2" s="3">
        <v>65.63</v>
      </c>
      <c r="F2" s="2" t="s">
        <v>15052</v>
      </c>
      <c r="G2" s="22" t="s">
        <v>19315</v>
      </c>
      <c r="H2" s="24" t="s">
        <v>19478</v>
      </c>
      <c r="I2" s="22" t="s">
        <v>19309</v>
      </c>
      <c r="J2" s="22" t="s">
        <v>19400</v>
      </c>
      <c r="K2" s="22" t="s">
        <v>17589</v>
      </c>
      <c r="L2" s="22"/>
      <c r="M2" s="22"/>
      <c r="N2" s="25" t="str">
        <f>HYPERLINK("http://slimages.macys.com/is/image/MCY/21333601 ")</f>
        <v xml:space="preserve">http://slimages.macys.com/is/image/MCY/21333601 </v>
      </c>
    </row>
    <row r="3" spans="1:14" ht="24.75" x14ac:dyDescent="0.25">
      <c r="A3" s="21" t="s">
        <v>15053</v>
      </c>
      <c r="B3" s="22" t="s">
        <v>15054</v>
      </c>
      <c r="C3" s="2">
        <v>1</v>
      </c>
      <c r="D3" s="23">
        <v>45</v>
      </c>
      <c r="E3" s="3">
        <v>45</v>
      </c>
      <c r="F3" s="2">
        <v>310870514001</v>
      </c>
      <c r="G3" s="22" t="s">
        <v>19323</v>
      </c>
      <c r="H3" s="24" t="s">
        <v>19330</v>
      </c>
      <c r="I3" s="22" t="s">
        <v>19309</v>
      </c>
      <c r="J3" s="22" t="s">
        <v>19325</v>
      </c>
      <c r="K3" s="22" t="s">
        <v>19326</v>
      </c>
      <c r="L3" s="22" t="s">
        <v>15055</v>
      </c>
      <c r="M3" s="22" t="s">
        <v>17531</v>
      </c>
      <c r="N3" s="25" t="str">
        <f>HYPERLINK("http://images.bloomingdales.com/is/image/BLM/12239387 ")</f>
        <v xml:space="preserve">http://images.bloomingdales.com/is/image/BLM/12239387 </v>
      </c>
    </row>
    <row r="4" spans="1:14" ht="24.75" x14ac:dyDescent="0.25">
      <c r="A4" s="21" t="s">
        <v>15056</v>
      </c>
      <c r="B4" s="22" t="s">
        <v>15057</v>
      </c>
      <c r="C4" s="2">
        <v>1</v>
      </c>
      <c r="D4" s="23">
        <v>45</v>
      </c>
      <c r="E4" s="3">
        <v>45</v>
      </c>
      <c r="F4" s="2">
        <v>322844627002</v>
      </c>
      <c r="G4" s="22" t="s">
        <v>19333</v>
      </c>
      <c r="H4" s="24" t="s">
        <v>19361</v>
      </c>
      <c r="I4" s="22" t="s">
        <v>19309</v>
      </c>
      <c r="J4" s="22" t="s">
        <v>19335</v>
      </c>
      <c r="K4" s="22" t="s">
        <v>19326</v>
      </c>
      <c r="L4" s="22"/>
      <c r="M4" s="22"/>
      <c r="N4" s="25" t="str">
        <f>HYPERLINK("http://slimages.macys.com/is/image/MCY/21850455 ")</f>
        <v xml:space="preserve">http://slimages.macys.com/is/image/MCY/21850455 </v>
      </c>
    </row>
    <row r="5" spans="1:14" ht="24.75" x14ac:dyDescent="0.25">
      <c r="A5" s="21" t="s">
        <v>15058</v>
      </c>
      <c r="B5" s="22" t="s">
        <v>15059</v>
      </c>
      <c r="C5" s="2">
        <v>1</v>
      </c>
      <c r="D5" s="23">
        <v>45</v>
      </c>
      <c r="E5" s="3">
        <v>45</v>
      </c>
      <c r="F5" s="2">
        <v>322844627002</v>
      </c>
      <c r="G5" s="22" t="s">
        <v>19333</v>
      </c>
      <c r="H5" s="24" t="s">
        <v>19542</v>
      </c>
      <c r="I5" s="22" t="s">
        <v>19309</v>
      </c>
      <c r="J5" s="22" t="s">
        <v>19335</v>
      </c>
      <c r="K5" s="22" t="s">
        <v>19326</v>
      </c>
      <c r="L5" s="22"/>
      <c r="M5" s="22"/>
      <c r="N5" s="25" t="str">
        <f>HYPERLINK("http://slimages.macys.com/is/image/MCY/21850455 ")</f>
        <v xml:space="preserve">http://slimages.macys.com/is/image/MCY/21850455 </v>
      </c>
    </row>
    <row r="6" spans="1:14" ht="24.75" x14ac:dyDescent="0.25">
      <c r="A6" s="21" t="s">
        <v>15060</v>
      </c>
      <c r="B6" s="22" t="s">
        <v>15061</v>
      </c>
      <c r="C6" s="2">
        <v>1</v>
      </c>
      <c r="D6" s="23">
        <v>45</v>
      </c>
      <c r="E6" s="3">
        <v>45</v>
      </c>
      <c r="F6" s="2">
        <v>1369473</v>
      </c>
      <c r="G6" s="22" t="s">
        <v>19357</v>
      </c>
      <c r="H6" s="24" t="s">
        <v>19352</v>
      </c>
      <c r="I6" s="22" t="s">
        <v>19309</v>
      </c>
      <c r="J6" s="22" t="s">
        <v>19310</v>
      </c>
      <c r="K6" s="22" t="s">
        <v>17686</v>
      </c>
      <c r="L6" s="22"/>
      <c r="M6" s="22"/>
      <c r="N6" s="25" t="str">
        <f>HYPERLINK("http://slimages.macys.com/is/image/MCY/20071626 ")</f>
        <v xml:space="preserve">http://slimages.macys.com/is/image/MCY/20071626 </v>
      </c>
    </row>
    <row r="7" spans="1:14" ht="36.75" x14ac:dyDescent="0.25">
      <c r="A7" s="21" t="s">
        <v>15062</v>
      </c>
      <c r="B7" s="22" t="s">
        <v>15063</v>
      </c>
      <c r="C7" s="2">
        <v>3</v>
      </c>
      <c r="D7" s="23">
        <v>60.99</v>
      </c>
      <c r="E7" s="3">
        <v>182.97</v>
      </c>
      <c r="F7" s="2" t="s">
        <v>15064</v>
      </c>
      <c r="G7" s="22" t="s">
        <v>19404</v>
      </c>
      <c r="H7" s="24" t="s">
        <v>19399</v>
      </c>
      <c r="I7" s="22" t="s">
        <v>19309</v>
      </c>
      <c r="J7" s="22" t="s">
        <v>19400</v>
      </c>
      <c r="K7" s="22" t="s">
        <v>19423</v>
      </c>
      <c r="L7" s="22" t="s">
        <v>19319</v>
      </c>
      <c r="M7" s="22" t="s">
        <v>15065</v>
      </c>
      <c r="N7" s="25" t="str">
        <f>HYPERLINK("http://slimages.macys.com/is/image/MCY/16056469 ")</f>
        <v xml:space="preserve">http://slimages.macys.com/is/image/MCY/16056469 </v>
      </c>
    </row>
    <row r="8" spans="1:14" ht="36.75" x14ac:dyDescent="0.25">
      <c r="A8" s="21" t="s">
        <v>15066</v>
      </c>
      <c r="B8" s="22" t="s">
        <v>15067</v>
      </c>
      <c r="C8" s="2">
        <v>1</v>
      </c>
      <c r="D8" s="23">
        <v>60.99</v>
      </c>
      <c r="E8" s="3">
        <v>60.99</v>
      </c>
      <c r="F8" s="2" t="s">
        <v>15064</v>
      </c>
      <c r="G8" s="22" t="s">
        <v>19404</v>
      </c>
      <c r="H8" s="24"/>
      <c r="I8" s="22" t="s">
        <v>19309</v>
      </c>
      <c r="J8" s="22" t="s">
        <v>19400</v>
      </c>
      <c r="K8" s="22" t="s">
        <v>19423</v>
      </c>
      <c r="L8" s="22" t="s">
        <v>19319</v>
      </c>
      <c r="M8" s="22" t="s">
        <v>15065</v>
      </c>
      <c r="N8" s="25" t="str">
        <f>HYPERLINK("http://slimages.macys.com/is/image/MCY/16056469 ")</f>
        <v xml:space="preserve">http://slimages.macys.com/is/image/MCY/16056469 </v>
      </c>
    </row>
    <row r="9" spans="1:14" ht="24.75" x14ac:dyDescent="0.25">
      <c r="A9" s="21" t="s">
        <v>15068</v>
      </c>
      <c r="B9" s="22" t="s">
        <v>15069</v>
      </c>
      <c r="C9" s="2">
        <v>1</v>
      </c>
      <c r="D9" s="23">
        <v>49.99</v>
      </c>
      <c r="E9" s="3">
        <v>49.99</v>
      </c>
      <c r="F9" s="2" t="s">
        <v>15070</v>
      </c>
      <c r="G9" s="22" t="s">
        <v>19477</v>
      </c>
      <c r="H9" s="24" t="s">
        <v>19501</v>
      </c>
      <c r="I9" s="22" t="s">
        <v>19309</v>
      </c>
      <c r="J9" s="22" t="s">
        <v>19400</v>
      </c>
      <c r="K9" s="22" t="s">
        <v>19423</v>
      </c>
      <c r="L9" s="22"/>
      <c r="M9" s="22"/>
      <c r="N9" s="25" t="str">
        <f>HYPERLINK("http://slimages.macys.com/is/image/MCY/17836193 ")</f>
        <v xml:space="preserve">http://slimages.macys.com/is/image/MCY/17836193 </v>
      </c>
    </row>
    <row r="10" spans="1:14" ht="24.75" x14ac:dyDescent="0.25">
      <c r="A10" s="21" t="s">
        <v>15071</v>
      </c>
      <c r="B10" s="22" t="s">
        <v>15072</v>
      </c>
      <c r="C10" s="2">
        <v>1</v>
      </c>
      <c r="D10" s="23">
        <v>54.99</v>
      </c>
      <c r="E10" s="3">
        <v>54.99</v>
      </c>
      <c r="F10" s="2" t="s">
        <v>15073</v>
      </c>
      <c r="G10" s="22" t="s">
        <v>19333</v>
      </c>
      <c r="H10" s="24"/>
      <c r="I10" s="22" t="s">
        <v>19309</v>
      </c>
      <c r="J10" s="22" t="s">
        <v>19400</v>
      </c>
      <c r="K10" s="22" t="s">
        <v>19479</v>
      </c>
      <c r="L10" s="22"/>
      <c r="M10" s="22"/>
      <c r="N10" s="25" t="str">
        <f>HYPERLINK("http://slimages.macys.com/is/image/MCY/20548723 ")</f>
        <v xml:space="preserve">http://slimages.macys.com/is/image/MCY/20548723 </v>
      </c>
    </row>
    <row r="11" spans="1:14" ht="24.75" x14ac:dyDescent="0.25">
      <c r="A11" s="21" t="s">
        <v>17552</v>
      </c>
      <c r="B11" s="22" t="s">
        <v>17553</v>
      </c>
      <c r="C11" s="2">
        <v>1</v>
      </c>
      <c r="D11" s="23">
        <v>39.5</v>
      </c>
      <c r="E11" s="3">
        <v>39.5</v>
      </c>
      <c r="F11" s="2">
        <v>310833416004</v>
      </c>
      <c r="G11" s="22" t="s">
        <v>19333</v>
      </c>
      <c r="H11" s="24" t="s">
        <v>19770</v>
      </c>
      <c r="I11" s="22" t="s">
        <v>19309</v>
      </c>
      <c r="J11" s="22" t="s">
        <v>19325</v>
      </c>
      <c r="K11" s="22" t="s">
        <v>19326</v>
      </c>
      <c r="L11" s="22" t="s">
        <v>17554</v>
      </c>
      <c r="M11" s="22" t="s">
        <v>17531</v>
      </c>
      <c r="N11" s="25" t="str">
        <f>HYPERLINK("http://images.bloomingdales.com/is/image/BLM/11278831 ")</f>
        <v xml:space="preserve">http://images.bloomingdales.com/is/image/BLM/11278831 </v>
      </c>
    </row>
    <row r="12" spans="1:14" ht="24.75" x14ac:dyDescent="0.25">
      <c r="A12" s="21" t="s">
        <v>15074</v>
      </c>
      <c r="B12" s="22" t="s">
        <v>15075</v>
      </c>
      <c r="C12" s="2">
        <v>1</v>
      </c>
      <c r="D12" s="23">
        <v>40</v>
      </c>
      <c r="E12" s="3">
        <v>40</v>
      </c>
      <c r="F12" s="2">
        <v>1357624</v>
      </c>
      <c r="G12" s="22" t="s">
        <v>19315</v>
      </c>
      <c r="H12" s="24" t="s">
        <v>19308</v>
      </c>
      <c r="I12" s="22" t="s">
        <v>19309</v>
      </c>
      <c r="J12" s="22" t="s">
        <v>19310</v>
      </c>
      <c r="K12" s="22" t="s">
        <v>17686</v>
      </c>
      <c r="L12" s="22"/>
      <c r="M12" s="22"/>
      <c r="N12" s="25" t="str">
        <f>HYPERLINK("http://slimages.macys.com/is/image/MCY/18163704 ")</f>
        <v xml:space="preserve">http://slimages.macys.com/is/image/MCY/18163704 </v>
      </c>
    </row>
    <row r="13" spans="1:14" ht="24.75" x14ac:dyDescent="0.25">
      <c r="A13" s="21" t="s">
        <v>15076</v>
      </c>
      <c r="B13" s="22" t="s">
        <v>15077</v>
      </c>
      <c r="C13" s="2">
        <v>1</v>
      </c>
      <c r="D13" s="23">
        <v>49.99</v>
      </c>
      <c r="E13" s="3">
        <v>49.99</v>
      </c>
      <c r="F13" s="2" t="s">
        <v>19376</v>
      </c>
      <c r="G13" s="22" t="s">
        <v>19333</v>
      </c>
      <c r="H13" s="24" t="s">
        <v>19334</v>
      </c>
      <c r="I13" s="22" t="s">
        <v>19309</v>
      </c>
      <c r="J13" s="22" t="s">
        <v>19378</v>
      </c>
      <c r="K13" s="22" t="s">
        <v>19379</v>
      </c>
      <c r="L13" s="22"/>
      <c r="M13" s="22"/>
      <c r="N13" s="25" t="str">
        <f>HYPERLINK("http://slimages.macys.com/is/image/MCY/20450640 ")</f>
        <v xml:space="preserve">http://slimages.macys.com/is/image/MCY/20450640 </v>
      </c>
    </row>
    <row r="14" spans="1:14" x14ac:dyDescent="0.25">
      <c r="A14" s="21" t="s">
        <v>15078</v>
      </c>
      <c r="B14" s="22" t="s">
        <v>15079</v>
      </c>
      <c r="C14" s="2">
        <v>1</v>
      </c>
      <c r="D14" s="23">
        <v>36.99</v>
      </c>
      <c r="E14" s="3">
        <v>36.99</v>
      </c>
      <c r="F14" s="2" t="s">
        <v>15080</v>
      </c>
      <c r="G14" s="22" t="s">
        <v>19307</v>
      </c>
      <c r="H14" s="24" t="s">
        <v>19361</v>
      </c>
      <c r="I14" s="22" t="s">
        <v>19309</v>
      </c>
      <c r="J14" s="22" t="s">
        <v>19310</v>
      </c>
      <c r="K14" s="22" t="s">
        <v>19433</v>
      </c>
      <c r="L14" s="22"/>
      <c r="M14" s="22"/>
      <c r="N14" s="25" t="str">
        <f>HYPERLINK("http://slimages.macys.com/is/image/MCY/20320521 ")</f>
        <v xml:space="preserve">http://slimages.macys.com/is/image/MCY/20320521 </v>
      </c>
    </row>
    <row r="15" spans="1:14" ht="24.75" x14ac:dyDescent="0.25">
      <c r="A15" s="21" t="s">
        <v>15081</v>
      </c>
      <c r="B15" s="22" t="s">
        <v>15082</v>
      </c>
      <c r="C15" s="2">
        <v>1</v>
      </c>
      <c r="D15" s="23">
        <v>33.99</v>
      </c>
      <c r="E15" s="3">
        <v>33.99</v>
      </c>
      <c r="F15" s="2" t="s">
        <v>15083</v>
      </c>
      <c r="G15" s="22" t="s">
        <v>19323</v>
      </c>
      <c r="H15" s="24"/>
      <c r="I15" s="22" t="s">
        <v>19309</v>
      </c>
      <c r="J15" s="22" t="s">
        <v>20076</v>
      </c>
      <c r="K15" s="22" t="s">
        <v>15084</v>
      </c>
      <c r="L15" s="22"/>
      <c r="M15" s="22"/>
      <c r="N15" s="25" t="str">
        <f>HYPERLINK("http://slimages.macys.com/is/image/MCY/21354756 ")</f>
        <v xml:space="preserve">http://slimages.macys.com/is/image/MCY/21354756 </v>
      </c>
    </row>
    <row r="16" spans="1:14" ht="24.75" x14ac:dyDescent="0.25">
      <c r="A16" s="21" t="s">
        <v>15085</v>
      </c>
      <c r="B16" s="22" t="s">
        <v>15086</v>
      </c>
      <c r="C16" s="2">
        <v>1</v>
      </c>
      <c r="D16" s="23">
        <v>44.99</v>
      </c>
      <c r="E16" s="3">
        <v>44.99</v>
      </c>
      <c r="F16" s="2" t="s">
        <v>15087</v>
      </c>
      <c r="G16" s="22" t="s">
        <v>19333</v>
      </c>
      <c r="H16" s="24" t="s">
        <v>19316</v>
      </c>
      <c r="I16" s="22" t="s">
        <v>19309</v>
      </c>
      <c r="J16" s="22" t="s">
        <v>19400</v>
      </c>
      <c r="K16" s="22" t="s">
        <v>19386</v>
      </c>
      <c r="L16" s="22"/>
      <c r="M16" s="22"/>
      <c r="N16" s="25" t="str">
        <f>HYPERLINK("http://slimages.macys.com/is/image/MCY/21265325 ")</f>
        <v xml:space="preserve">http://slimages.macys.com/is/image/MCY/21265325 </v>
      </c>
    </row>
    <row r="17" spans="1:14" ht="24.75" x14ac:dyDescent="0.25">
      <c r="A17" s="21" t="s">
        <v>15088</v>
      </c>
      <c r="B17" s="22" t="s">
        <v>15089</v>
      </c>
      <c r="C17" s="2">
        <v>1</v>
      </c>
      <c r="D17" s="23">
        <v>44.99</v>
      </c>
      <c r="E17" s="3">
        <v>44.99</v>
      </c>
      <c r="F17" s="2" t="s">
        <v>15090</v>
      </c>
      <c r="G17" s="22" t="s">
        <v>19351</v>
      </c>
      <c r="H17" s="24" t="s">
        <v>19478</v>
      </c>
      <c r="I17" s="22" t="s">
        <v>19309</v>
      </c>
      <c r="J17" s="22" t="s">
        <v>19400</v>
      </c>
      <c r="K17" s="22" t="s">
        <v>19423</v>
      </c>
      <c r="L17" s="22"/>
      <c r="M17" s="22"/>
      <c r="N17" s="25" t="str">
        <f>HYPERLINK("http://slimages.macys.com/is/image/MCY/21306146 ")</f>
        <v xml:space="preserve">http://slimages.macys.com/is/image/MCY/21306146 </v>
      </c>
    </row>
    <row r="18" spans="1:14" x14ac:dyDescent="0.25">
      <c r="A18" s="21" t="s">
        <v>15091</v>
      </c>
      <c r="B18" s="22" t="s">
        <v>15092</v>
      </c>
      <c r="C18" s="2">
        <v>1</v>
      </c>
      <c r="D18" s="23">
        <v>32.99</v>
      </c>
      <c r="E18" s="3">
        <v>32.99</v>
      </c>
      <c r="F18" s="2" t="s">
        <v>15093</v>
      </c>
      <c r="G18" s="22" t="s">
        <v>19307</v>
      </c>
      <c r="H18" s="24" t="s">
        <v>19339</v>
      </c>
      <c r="I18" s="22" t="s">
        <v>19309</v>
      </c>
      <c r="J18" s="22" t="s">
        <v>19310</v>
      </c>
      <c r="K18" s="22" t="s">
        <v>19311</v>
      </c>
      <c r="L18" s="22"/>
      <c r="M18" s="22"/>
      <c r="N18" s="25" t="str">
        <f>HYPERLINK("http://slimages.macys.com/is/image/MCY/17980581 ")</f>
        <v xml:space="preserve">http://slimages.macys.com/is/image/MCY/17980581 </v>
      </c>
    </row>
    <row r="19" spans="1:14" ht="24.75" x14ac:dyDescent="0.25">
      <c r="A19" s="21" t="s">
        <v>15094</v>
      </c>
      <c r="B19" s="22" t="s">
        <v>15095</v>
      </c>
      <c r="C19" s="2">
        <v>1</v>
      </c>
      <c r="D19" s="23">
        <v>44.99</v>
      </c>
      <c r="E19" s="3">
        <v>44.99</v>
      </c>
      <c r="F19" s="2" t="s">
        <v>15096</v>
      </c>
      <c r="G19" s="22" t="s">
        <v>19427</v>
      </c>
      <c r="H19" s="24" t="s">
        <v>19478</v>
      </c>
      <c r="I19" s="22" t="s">
        <v>19309</v>
      </c>
      <c r="J19" s="22" t="s">
        <v>19400</v>
      </c>
      <c r="K19" s="22" t="s">
        <v>19423</v>
      </c>
      <c r="L19" s="22"/>
      <c r="M19" s="22"/>
      <c r="N19" s="25" t="str">
        <f>HYPERLINK("http://slimages.macys.com/is/image/MCY/21306151 ")</f>
        <v xml:space="preserve">http://slimages.macys.com/is/image/MCY/21306151 </v>
      </c>
    </row>
    <row r="20" spans="1:14" ht="24.75" x14ac:dyDescent="0.25">
      <c r="A20" s="21" t="s">
        <v>15097</v>
      </c>
      <c r="B20" s="22" t="s">
        <v>15098</v>
      </c>
      <c r="C20" s="2">
        <v>1</v>
      </c>
      <c r="D20" s="23">
        <v>44.99</v>
      </c>
      <c r="E20" s="3">
        <v>44.99</v>
      </c>
      <c r="F20" s="2" t="s">
        <v>15099</v>
      </c>
      <c r="G20" s="22" t="s">
        <v>19810</v>
      </c>
      <c r="H20" s="24" t="s">
        <v>19501</v>
      </c>
      <c r="I20" s="22" t="s">
        <v>19309</v>
      </c>
      <c r="J20" s="22" t="s">
        <v>19400</v>
      </c>
      <c r="K20" s="22" t="s">
        <v>19423</v>
      </c>
      <c r="L20" s="22"/>
      <c r="M20" s="22"/>
      <c r="N20" s="25" t="str">
        <f>HYPERLINK("http://slimages.macys.com/is/image/MCY/21306159 ")</f>
        <v xml:space="preserve">http://slimages.macys.com/is/image/MCY/21306159 </v>
      </c>
    </row>
    <row r="21" spans="1:14" ht="24.75" x14ac:dyDescent="0.25">
      <c r="A21" s="21" t="s">
        <v>15100</v>
      </c>
      <c r="B21" s="22" t="s">
        <v>15101</v>
      </c>
      <c r="C21" s="2">
        <v>1</v>
      </c>
      <c r="D21" s="23">
        <v>39.99</v>
      </c>
      <c r="E21" s="3">
        <v>39.99</v>
      </c>
      <c r="F21" s="2" t="s">
        <v>15102</v>
      </c>
      <c r="G21" s="22" t="s">
        <v>18429</v>
      </c>
      <c r="H21" s="24" t="s">
        <v>19324</v>
      </c>
      <c r="I21" s="22" t="s">
        <v>19309</v>
      </c>
      <c r="J21" s="22" t="s">
        <v>19385</v>
      </c>
      <c r="K21" s="22" t="s">
        <v>19386</v>
      </c>
      <c r="L21" s="22"/>
      <c r="M21" s="22"/>
      <c r="N21" s="25" t="str">
        <f>HYPERLINK("http://slimages.macys.com/is/image/MCY/20076888 ")</f>
        <v xml:space="preserve">http://slimages.macys.com/is/image/MCY/20076888 </v>
      </c>
    </row>
    <row r="22" spans="1:14" ht="24.75" x14ac:dyDescent="0.25">
      <c r="A22" s="21" t="s">
        <v>15103</v>
      </c>
      <c r="B22" s="22" t="s">
        <v>15104</v>
      </c>
      <c r="C22" s="2">
        <v>1</v>
      </c>
      <c r="D22" s="23">
        <v>29.99</v>
      </c>
      <c r="E22" s="3">
        <v>29.99</v>
      </c>
      <c r="F22" s="2" t="s">
        <v>15105</v>
      </c>
      <c r="G22" s="22" t="s">
        <v>19498</v>
      </c>
      <c r="H22" s="24" t="s">
        <v>19330</v>
      </c>
      <c r="I22" s="22" t="s">
        <v>19309</v>
      </c>
      <c r="J22" s="22" t="s">
        <v>19491</v>
      </c>
      <c r="K22" s="22" t="s">
        <v>15106</v>
      </c>
      <c r="L22" s="22"/>
      <c r="M22" s="22"/>
      <c r="N22" s="25" t="str">
        <f>HYPERLINK("http://slimages.macys.com/is/image/MCY/21653798 ")</f>
        <v xml:space="preserve">http://slimages.macys.com/is/image/MCY/21653798 </v>
      </c>
    </row>
    <row r="23" spans="1:14" ht="24.75" x14ac:dyDescent="0.25">
      <c r="A23" s="21" t="s">
        <v>15107</v>
      </c>
      <c r="B23" s="22" t="s">
        <v>15108</v>
      </c>
      <c r="C23" s="2">
        <v>1</v>
      </c>
      <c r="D23" s="23">
        <v>30.99</v>
      </c>
      <c r="E23" s="3">
        <v>30.99</v>
      </c>
      <c r="F23" s="2" t="s">
        <v>15560</v>
      </c>
      <c r="G23" s="22" t="s">
        <v>19315</v>
      </c>
      <c r="H23" s="24" t="s">
        <v>19364</v>
      </c>
      <c r="I23" s="22" t="s">
        <v>19309</v>
      </c>
      <c r="J23" s="22" t="s">
        <v>19447</v>
      </c>
      <c r="K23" s="22" t="s">
        <v>19533</v>
      </c>
      <c r="L23" s="22"/>
      <c r="M23" s="22"/>
      <c r="N23" s="25" t="str">
        <f>HYPERLINK("http://slimages.macys.com/is/image/MCY/20930974 ")</f>
        <v xml:space="preserve">http://slimages.macys.com/is/image/MCY/20930974 </v>
      </c>
    </row>
    <row r="24" spans="1:14" ht="24.75" x14ac:dyDescent="0.25">
      <c r="A24" s="21" t="s">
        <v>15558</v>
      </c>
      <c r="B24" s="22" t="s">
        <v>15559</v>
      </c>
      <c r="C24" s="2">
        <v>1</v>
      </c>
      <c r="D24" s="23">
        <v>30.99</v>
      </c>
      <c r="E24" s="3">
        <v>30.99</v>
      </c>
      <c r="F24" s="2" t="s">
        <v>15560</v>
      </c>
      <c r="G24" s="22" t="s">
        <v>19315</v>
      </c>
      <c r="H24" s="24" t="s">
        <v>19797</v>
      </c>
      <c r="I24" s="22" t="s">
        <v>19309</v>
      </c>
      <c r="J24" s="22" t="s">
        <v>19447</v>
      </c>
      <c r="K24" s="22" t="s">
        <v>19533</v>
      </c>
      <c r="L24" s="22"/>
      <c r="M24" s="22"/>
      <c r="N24" s="25" t="str">
        <f>HYPERLINK("http://slimages.macys.com/is/image/MCY/20930974 ")</f>
        <v xml:space="preserve">http://slimages.macys.com/is/image/MCY/20930974 </v>
      </c>
    </row>
    <row r="25" spans="1:14" ht="24.75" x14ac:dyDescent="0.25">
      <c r="A25" s="21" t="s">
        <v>15109</v>
      </c>
      <c r="B25" s="22" t="s">
        <v>15110</v>
      </c>
      <c r="C25" s="2">
        <v>2</v>
      </c>
      <c r="D25" s="23">
        <v>43.75</v>
      </c>
      <c r="E25" s="3">
        <v>87.5</v>
      </c>
      <c r="F25" s="2" t="s">
        <v>15111</v>
      </c>
      <c r="G25" s="22" t="s">
        <v>19333</v>
      </c>
      <c r="H25" s="24" t="s">
        <v>19361</v>
      </c>
      <c r="I25" s="22" t="s">
        <v>19309</v>
      </c>
      <c r="J25" s="22" t="s">
        <v>19378</v>
      </c>
      <c r="K25" s="22" t="s">
        <v>19423</v>
      </c>
      <c r="L25" s="22"/>
      <c r="M25" s="22"/>
      <c r="N25" s="25" t="str">
        <f>HYPERLINK("http://slimages.macys.com/is/image/MCY/20546929 ")</f>
        <v xml:space="preserve">http://slimages.macys.com/is/image/MCY/20546929 </v>
      </c>
    </row>
    <row r="26" spans="1:14" ht="24.75" x14ac:dyDescent="0.25">
      <c r="A26" s="21" t="s">
        <v>15112</v>
      </c>
      <c r="B26" s="22" t="s">
        <v>15113</v>
      </c>
      <c r="C26" s="2">
        <v>1</v>
      </c>
      <c r="D26" s="23">
        <v>34.99</v>
      </c>
      <c r="E26" s="3">
        <v>34.99</v>
      </c>
      <c r="F26" s="2" t="s">
        <v>15114</v>
      </c>
      <c r="G26" s="22" t="s">
        <v>19333</v>
      </c>
      <c r="H26" s="24" t="s">
        <v>19377</v>
      </c>
      <c r="I26" s="22" t="s">
        <v>19309</v>
      </c>
      <c r="J26" s="22" t="s">
        <v>19378</v>
      </c>
      <c r="K26" s="22" t="s">
        <v>19479</v>
      </c>
      <c r="L26" s="22"/>
      <c r="M26" s="22"/>
      <c r="N26" s="25" t="str">
        <f>HYPERLINK("http://slimages.macys.com/is/image/MCY/21310155 ")</f>
        <v xml:space="preserve">http://slimages.macys.com/is/image/MCY/21310155 </v>
      </c>
    </row>
    <row r="27" spans="1:14" ht="24.75" x14ac:dyDescent="0.25">
      <c r="A27" s="21" t="s">
        <v>15115</v>
      </c>
      <c r="B27" s="22" t="s">
        <v>15116</v>
      </c>
      <c r="C27" s="2">
        <v>1</v>
      </c>
      <c r="D27" s="23">
        <v>41.99</v>
      </c>
      <c r="E27" s="3">
        <v>41.99</v>
      </c>
      <c r="F27" s="2" t="s">
        <v>19426</v>
      </c>
      <c r="G27" s="22" t="s">
        <v>19427</v>
      </c>
      <c r="H27" s="24" t="s">
        <v>19316</v>
      </c>
      <c r="I27" s="22" t="s">
        <v>19309</v>
      </c>
      <c r="J27" s="22" t="s">
        <v>19400</v>
      </c>
      <c r="K27" s="22" t="s">
        <v>19423</v>
      </c>
      <c r="L27" s="22"/>
      <c r="M27" s="22"/>
      <c r="N27" s="25" t="str">
        <f>HYPERLINK("http://slimages.macys.com/is/image/MCY/21621729 ")</f>
        <v xml:space="preserve">http://slimages.macys.com/is/image/MCY/21621729 </v>
      </c>
    </row>
    <row r="28" spans="1:14" ht="24.75" x14ac:dyDescent="0.25">
      <c r="A28" s="21" t="s">
        <v>17590</v>
      </c>
      <c r="B28" s="22" t="s">
        <v>17591</v>
      </c>
      <c r="C28" s="2">
        <v>1</v>
      </c>
      <c r="D28" s="23">
        <v>33.99</v>
      </c>
      <c r="E28" s="3">
        <v>33.99</v>
      </c>
      <c r="F28" s="2" t="s">
        <v>17592</v>
      </c>
      <c r="G28" s="22" t="s">
        <v>19422</v>
      </c>
      <c r="H28" s="24" t="s">
        <v>19330</v>
      </c>
      <c r="I28" s="22" t="s">
        <v>19309</v>
      </c>
      <c r="J28" s="22" t="s">
        <v>19385</v>
      </c>
      <c r="K28" s="22" t="s">
        <v>19386</v>
      </c>
      <c r="L28" s="22"/>
      <c r="M28" s="22"/>
      <c r="N28" s="25" t="str">
        <f>HYPERLINK("http://slimages.macys.com/is/image/MCY/22175295 ")</f>
        <v xml:space="preserve">http://slimages.macys.com/is/image/MCY/22175295 </v>
      </c>
    </row>
    <row r="29" spans="1:14" ht="24.75" x14ac:dyDescent="0.25">
      <c r="A29" s="21" t="s">
        <v>15117</v>
      </c>
      <c r="B29" s="22" t="s">
        <v>15118</v>
      </c>
      <c r="C29" s="2">
        <v>1</v>
      </c>
      <c r="D29" s="23">
        <v>33.99</v>
      </c>
      <c r="E29" s="3">
        <v>33.99</v>
      </c>
      <c r="F29" s="2" t="s">
        <v>19443</v>
      </c>
      <c r="G29" s="22" t="s">
        <v>19351</v>
      </c>
      <c r="H29" s="24" t="s">
        <v>19416</v>
      </c>
      <c r="I29" s="22" t="s">
        <v>19309</v>
      </c>
      <c r="J29" s="22" t="s">
        <v>19385</v>
      </c>
      <c r="K29" s="22" t="s">
        <v>19386</v>
      </c>
      <c r="L29" s="22"/>
      <c r="M29" s="22"/>
      <c r="N29" s="25" t="str">
        <f>HYPERLINK("http://slimages.macys.com/is/image/MCY/22175297 ")</f>
        <v xml:space="preserve">http://slimages.macys.com/is/image/MCY/22175297 </v>
      </c>
    </row>
    <row r="30" spans="1:14" ht="24.75" x14ac:dyDescent="0.25">
      <c r="A30" s="21" t="s">
        <v>15119</v>
      </c>
      <c r="B30" s="22" t="s">
        <v>15120</v>
      </c>
      <c r="C30" s="2">
        <v>1</v>
      </c>
      <c r="D30" s="23">
        <v>33.99</v>
      </c>
      <c r="E30" s="3">
        <v>33.99</v>
      </c>
      <c r="F30" s="2" t="s">
        <v>19443</v>
      </c>
      <c r="G30" s="22" t="s">
        <v>19351</v>
      </c>
      <c r="H30" s="24" t="s">
        <v>19384</v>
      </c>
      <c r="I30" s="22" t="s">
        <v>19309</v>
      </c>
      <c r="J30" s="22" t="s">
        <v>19385</v>
      </c>
      <c r="K30" s="22" t="s">
        <v>19386</v>
      </c>
      <c r="L30" s="22"/>
      <c r="M30" s="22"/>
      <c r="N30" s="25" t="str">
        <f>HYPERLINK("http://slimages.macys.com/is/image/MCY/22175297 ")</f>
        <v xml:space="preserve">http://slimages.macys.com/is/image/MCY/22175297 </v>
      </c>
    </row>
    <row r="31" spans="1:14" ht="24.75" x14ac:dyDescent="0.25">
      <c r="A31" s="21" t="s">
        <v>17596</v>
      </c>
      <c r="B31" s="22" t="s">
        <v>17597</v>
      </c>
      <c r="C31" s="2">
        <v>1</v>
      </c>
      <c r="D31" s="23">
        <v>33.99</v>
      </c>
      <c r="E31" s="3">
        <v>33.99</v>
      </c>
      <c r="F31" s="2" t="s">
        <v>17592</v>
      </c>
      <c r="G31" s="22" t="s">
        <v>19422</v>
      </c>
      <c r="H31" s="24" t="s">
        <v>19416</v>
      </c>
      <c r="I31" s="22" t="s">
        <v>19309</v>
      </c>
      <c r="J31" s="22" t="s">
        <v>19385</v>
      </c>
      <c r="K31" s="22" t="s">
        <v>19386</v>
      </c>
      <c r="L31" s="22"/>
      <c r="M31" s="22"/>
      <c r="N31" s="25" t="str">
        <f>HYPERLINK("http://slimages.macys.com/is/image/MCY/22175295 ")</f>
        <v xml:space="preserve">http://slimages.macys.com/is/image/MCY/22175295 </v>
      </c>
    </row>
    <row r="32" spans="1:14" ht="24.75" x14ac:dyDescent="0.25">
      <c r="A32" s="21" t="s">
        <v>15121</v>
      </c>
      <c r="B32" s="22" t="s">
        <v>15122</v>
      </c>
      <c r="C32" s="2">
        <v>1</v>
      </c>
      <c r="D32" s="23">
        <v>28.99</v>
      </c>
      <c r="E32" s="3">
        <v>28.99</v>
      </c>
      <c r="F32" s="2" t="s">
        <v>15123</v>
      </c>
      <c r="G32" s="22" t="s">
        <v>19422</v>
      </c>
      <c r="H32" s="24"/>
      <c r="I32" s="22" t="s">
        <v>19309</v>
      </c>
      <c r="J32" s="22" t="s">
        <v>19447</v>
      </c>
      <c r="K32" s="22" t="s">
        <v>19311</v>
      </c>
      <c r="L32" s="22"/>
      <c r="M32" s="22"/>
      <c r="N32" s="25" t="str">
        <f>HYPERLINK("http://slimages.macys.com/is/image/MCY/20219163 ")</f>
        <v xml:space="preserve">http://slimages.macys.com/is/image/MCY/20219163 </v>
      </c>
    </row>
    <row r="33" spans="1:14" ht="24.75" x14ac:dyDescent="0.25">
      <c r="A33" s="21" t="s">
        <v>15124</v>
      </c>
      <c r="B33" s="22" t="s">
        <v>15125</v>
      </c>
      <c r="C33" s="2">
        <v>1</v>
      </c>
      <c r="D33" s="23">
        <v>29.5</v>
      </c>
      <c r="E33" s="3">
        <v>29.5</v>
      </c>
      <c r="F33" s="2">
        <v>320870944001</v>
      </c>
      <c r="G33" s="22" t="s">
        <v>19351</v>
      </c>
      <c r="H33" s="24" t="s">
        <v>19324</v>
      </c>
      <c r="I33" s="22" t="s">
        <v>19309</v>
      </c>
      <c r="J33" s="22" t="s">
        <v>19325</v>
      </c>
      <c r="K33" s="22" t="s">
        <v>19326</v>
      </c>
      <c r="L33" s="22"/>
      <c r="M33" s="22"/>
      <c r="N33" s="25" t="str">
        <f>HYPERLINK("http://slimages.macys.com/is/image/MCY/22118896 ")</f>
        <v xml:space="preserve">http://slimages.macys.com/is/image/MCY/22118896 </v>
      </c>
    </row>
    <row r="34" spans="1:14" ht="24.75" x14ac:dyDescent="0.25">
      <c r="A34" s="21" t="s">
        <v>15126</v>
      </c>
      <c r="B34" s="22" t="s">
        <v>15127</v>
      </c>
      <c r="C34" s="2">
        <v>1</v>
      </c>
      <c r="D34" s="23">
        <v>29.99</v>
      </c>
      <c r="E34" s="3">
        <v>29.99</v>
      </c>
      <c r="F34" s="2" t="s">
        <v>15128</v>
      </c>
      <c r="G34" s="22" t="s">
        <v>19431</v>
      </c>
      <c r="H34" s="24" t="s">
        <v>19501</v>
      </c>
      <c r="I34" s="22" t="s">
        <v>19309</v>
      </c>
      <c r="J34" s="22" t="s">
        <v>19317</v>
      </c>
      <c r="K34" s="22" t="s">
        <v>17515</v>
      </c>
      <c r="L34" s="22"/>
      <c r="M34" s="22"/>
      <c r="N34" s="25" t="str">
        <f>HYPERLINK("http://slimages.macys.com/is/image/MCY/21211145 ")</f>
        <v xml:space="preserve">http://slimages.macys.com/is/image/MCY/21211145 </v>
      </c>
    </row>
    <row r="35" spans="1:14" x14ac:dyDescent="0.25">
      <c r="A35" s="21" t="s">
        <v>15129</v>
      </c>
      <c r="B35" s="22" t="s">
        <v>15130</v>
      </c>
      <c r="C35" s="2">
        <v>1</v>
      </c>
      <c r="D35" s="23">
        <v>30</v>
      </c>
      <c r="E35" s="3">
        <v>30</v>
      </c>
      <c r="F35" s="2" t="s">
        <v>15131</v>
      </c>
      <c r="G35" s="22" t="s">
        <v>19333</v>
      </c>
      <c r="H35" s="24" t="s">
        <v>19339</v>
      </c>
      <c r="I35" s="22" t="s">
        <v>19309</v>
      </c>
      <c r="J35" s="22" t="s">
        <v>19310</v>
      </c>
      <c r="K35" s="22" t="s">
        <v>17538</v>
      </c>
      <c r="L35" s="22"/>
      <c r="M35" s="22"/>
      <c r="N35" s="25" t="str">
        <f>HYPERLINK("http://slimages.macys.com/is/image/MCY/19440230 ")</f>
        <v xml:space="preserve">http://slimages.macys.com/is/image/MCY/19440230 </v>
      </c>
    </row>
    <row r="36" spans="1:14" x14ac:dyDescent="0.25">
      <c r="A36" s="21" t="s">
        <v>15132</v>
      </c>
      <c r="B36" s="22" t="s">
        <v>15133</v>
      </c>
      <c r="C36" s="2">
        <v>1</v>
      </c>
      <c r="D36" s="23">
        <v>30</v>
      </c>
      <c r="E36" s="3">
        <v>30</v>
      </c>
      <c r="F36" s="2" t="s">
        <v>15131</v>
      </c>
      <c r="G36" s="22" t="s">
        <v>19333</v>
      </c>
      <c r="H36" s="24" t="s">
        <v>19308</v>
      </c>
      <c r="I36" s="22" t="s">
        <v>19309</v>
      </c>
      <c r="J36" s="22" t="s">
        <v>19310</v>
      </c>
      <c r="K36" s="22" t="s">
        <v>17538</v>
      </c>
      <c r="L36" s="22"/>
      <c r="M36" s="22"/>
      <c r="N36" s="25" t="str">
        <f>HYPERLINK("http://slimages.macys.com/is/image/MCY/19440230 ")</f>
        <v xml:space="preserve">http://slimages.macys.com/is/image/MCY/19440230 </v>
      </c>
    </row>
    <row r="37" spans="1:14" x14ac:dyDescent="0.25">
      <c r="A37" s="21" t="s">
        <v>15134</v>
      </c>
      <c r="B37" s="22" t="s">
        <v>15135</v>
      </c>
      <c r="C37" s="2">
        <v>1</v>
      </c>
      <c r="D37" s="23">
        <v>30</v>
      </c>
      <c r="E37" s="3">
        <v>30</v>
      </c>
      <c r="F37" s="2" t="s">
        <v>15131</v>
      </c>
      <c r="G37" s="22" t="s">
        <v>19333</v>
      </c>
      <c r="H37" s="24" t="s">
        <v>19364</v>
      </c>
      <c r="I37" s="22" t="s">
        <v>19309</v>
      </c>
      <c r="J37" s="22" t="s">
        <v>19310</v>
      </c>
      <c r="K37" s="22" t="s">
        <v>17538</v>
      </c>
      <c r="L37" s="22"/>
      <c r="M37" s="22"/>
      <c r="N37" s="25" t="str">
        <f>HYPERLINK("http://slimages.macys.com/is/image/MCY/19440230 ")</f>
        <v xml:space="preserve">http://slimages.macys.com/is/image/MCY/19440230 </v>
      </c>
    </row>
    <row r="38" spans="1:14" x14ac:dyDescent="0.25">
      <c r="A38" s="21" t="s">
        <v>15136</v>
      </c>
      <c r="B38" s="22" t="s">
        <v>15137</v>
      </c>
      <c r="C38" s="2">
        <v>1</v>
      </c>
      <c r="D38" s="23">
        <v>30</v>
      </c>
      <c r="E38" s="3">
        <v>30</v>
      </c>
      <c r="F38" s="2" t="s">
        <v>15131</v>
      </c>
      <c r="G38" s="22" t="s">
        <v>19333</v>
      </c>
      <c r="H38" s="24" t="s">
        <v>19352</v>
      </c>
      <c r="I38" s="22" t="s">
        <v>19309</v>
      </c>
      <c r="J38" s="22" t="s">
        <v>19310</v>
      </c>
      <c r="K38" s="22" t="s">
        <v>17538</v>
      </c>
      <c r="L38" s="22"/>
      <c r="M38" s="22"/>
      <c r="N38" s="25" t="str">
        <f>HYPERLINK("http://slimages.macys.com/is/image/MCY/19440230 ")</f>
        <v xml:space="preserve">http://slimages.macys.com/is/image/MCY/19440230 </v>
      </c>
    </row>
    <row r="39" spans="1:14" ht="24.75" x14ac:dyDescent="0.25">
      <c r="A39" s="21" t="s">
        <v>15138</v>
      </c>
      <c r="B39" s="22" t="s">
        <v>15139</v>
      </c>
      <c r="C39" s="2">
        <v>1</v>
      </c>
      <c r="D39" s="23">
        <v>26.99</v>
      </c>
      <c r="E39" s="3">
        <v>26.99</v>
      </c>
      <c r="F39" s="2" t="s">
        <v>19486</v>
      </c>
      <c r="G39" s="22" t="s">
        <v>19415</v>
      </c>
      <c r="H39" s="24" t="s">
        <v>19538</v>
      </c>
      <c r="I39" s="22" t="s">
        <v>19309</v>
      </c>
      <c r="J39" s="22" t="s">
        <v>19385</v>
      </c>
      <c r="K39" s="22" t="s">
        <v>19487</v>
      </c>
      <c r="L39" s="22"/>
      <c r="M39" s="22"/>
      <c r="N39" s="25" t="str">
        <f>HYPERLINK("http://slimages.macys.com/is/image/MCY/21856821 ")</f>
        <v xml:space="preserve">http://slimages.macys.com/is/image/MCY/21856821 </v>
      </c>
    </row>
    <row r="40" spans="1:14" ht="24.75" x14ac:dyDescent="0.25">
      <c r="A40" s="21" t="s">
        <v>15140</v>
      </c>
      <c r="B40" s="22" t="s">
        <v>15141</v>
      </c>
      <c r="C40" s="2">
        <v>1</v>
      </c>
      <c r="D40" s="23">
        <v>29.99</v>
      </c>
      <c r="E40" s="3">
        <v>29.99</v>
      </c>
      <c r="F40" s="2" t="s">
        <v>15142</v>
      </c>
      <c r="G40" s="22" t="s">
        <v>19333</v>
      </c>
      <c r="H40" s="24" t="s">
        <v>19416</v>
      </c>
      <c r="I40" s="22" t="s">
        <v>19309</v>
      </c>
      <c r="J40" s="22" t="s">
        <v>19385</v>
      </c>
      <c r="K40" s="22" t="s">
        <v>19487</v>
      </c>
      <c r="L40" s="22"/>
      <c r="M40" s="22"/>
      <c r="N40" s="25" t="str">
        <f>HYPERLINK("http://slimages.macys.com/is/image/MCY/19715386 ")</f>
        <v xml:space="preserve">http://slimages.macys.com/is/image/MCY/19715386 </v>
      </c>
    </row>
    <row r="41" spans="1:14" ht="24.75" x14ac:dyDescent="0.25">
      <c r="A41" s="21" t="s">
        <v>15143</v>
      </c>
      <c r="B41" s="22" t="s">
        <v>15144</v>
      </c>
      <c r="C41" s="2">
        <v>1</v>
      </c>
      <c r="D41" s="23">
        <v>26.99</v>
      </c>
      <c r="E41" s="3">
        <v>26.99</v>
      </c>
      <c r="F41" s="2" t="s">
        <v>15145</v>
      </c>
      <c r="G41" s="22" t="s">
        <v>19333</v>
      </c>
      <c r="H41" s="24" t="s">
        <v>19364</v>
      </c>
      <c r="I41" s="22" t="s">
        <v>19309</v>
      </c>
      <c r="J41" s="22" t="s">
        <v>19447</v>
      </c>
      <c r="K41" s="22" t="s">
        <v>19533</v>
      </c>
      <c r="L41" s="22"/>
      <c r="M41" s="22"/>
      <c r="N41" s="25" t="str">
        <f>HYPERLINK("http://slimages.macys.com/is/image/MCY/20783915 ")</f>
        <v xml:space="preserve">http://slimages.macys.com/is/image/MCY/20783915 </v>
      </c>
    </row>
    <row r="42" spans="1:14" ht="24.75" x14ac:dyDescent="0.25">
      <c r="A42" s="21" t="s">
        <v>15146</v>
      </c>
      <c r="B42" s="22" t="s">
        <v>15147</v>
      </c>
      <c r="C42" s="2">
        <v>1</v>
      </c>
      <c r="D42" s="23">
        <v>44.5</v>
      </c>
      <c r="E42" s="3">
        <v>44.5</v>
      </c>
      <c r="F42" s="2" t="s">
        <v>15148</v>
      </c>
      <c r="G42" s="22" t="s">
        <v>19528</v>
      </c>
      <c r="H42" s="24"/>
      <c r="I42" s="22" t="s">
        <v>19309</v>
      </c>
      <c r="J42" s="22" t="s">
        <v>15149</v>
      </c>
      <c r="K42" s="22" t="s">
        <v>19546</v>
      </c>
      <c r="L42" s="22"/>
      <c r="M42" s="22"/>
      <c r="N42" s="25" t="str">
        <f>HYPERLINK("http://slimages.macys.com/is/image/MCY/20166567 ")</f>
        <v xml:space="preserve">http://slimages.macys.com/is/image/MCY/20166567 </v>
      </c>
    </row>
    <row r="43" spans="1:14" ht="24.75" x14ac:dyDescent="0.25">
      <c r="A43" s="21" t="s">
        <v>15150</v>
      </c>
      <c r="B43" s="22" t="s">
        <v>15151</v>
      </c>
      <c r="C43" s="2">
        <v>1</v>
      </c>
      <c r="D43" s="23">
        <v>30</v>
      </c>
      <c r="E43" s="3">
        <v>30</v>
      </c>
      <c r="F43" s="2" t="s">
        <v>15152</v>
      </c>
      <c r="G43" s="22" t="s">
        <v>19763</v>
      </c>
      <c r="H43" s="24"/>
      <c r="I43" s="22" t="s">
        <v>19309</v>
      </c>
      <c r="J43" s="22" t="s">
        <v>19310</v>
      </c>
      <c r="K43" s="22" t="s">
        <v>15153</v>
      </c>
      <c r="L43" s="22"/>
      <c r="M43" s="22"/>
      <c r="N43" s="25" t="str">
        <f>HYPERLINK("http://slimages.macys.com/is/image/MCY/19945263 ")</f>
        <v xml:space="preserve">http://slimages.macys.com/is/image/MCY/19945263 </v>
      </c>
    </row>
    <row r="44" spans="1:14" x14ac:dyDescent="0.25">
      <c r="A44" s="21" t="s">
        <v>15154</v>
      </c>
      <c r="B44" s="22" t="s">
        <v>15155</v>
      </c>
      <c r="C44" s="2">
        <v>1</v>
      </c>
      <c r="D44" s="23">
        <v>37.869999999999997</v>
      </c>
      <c r="E44" s="3">
        <v>37.869999999999997</v>
      </c>
      <c r="F44" s="2" t="s">
        <v>15156</v>
      </c>
      <c r="G44" s="22" t="s">
        <v>19351</v>
      </c>
      <c r="H44" s="24" t="s">
        <v>19416</v>
      </c>
      <c r="I44" s="22" t="s">
        <v>19309</v>
      </c>
      <c r="J44" s="22" t="s">
        <v>19708</v>
      </c>
      <c r="K44" s="22" t="s">
        <v>19709</v>
      </c>
      <c r="L44" s="22"/>
      <c r="M44" s="22"/>
      <c r="N44" s="25" t="str">
        <f>HYPERLINK("http://slimages.macys.com/is/image/MCY/22296949 ")</f>
        <v xml:space="preserve">http://slimages.macys.com/is/image/MCY/22296949 </v>
      </c>
    </row>
    <row r="45" spans="1:14" x14ac:dyDescent="0.25">
      <c r="A45" s="21" t="s">
        <v>15157</v>
      </c>
      <c r="B45" s="22" t="s">
        <v>15158</v>
      </c>
      <c r="C45" s="2">
        <v>1</v>
      </c>
      <c r="D45" s="23">
        <v>37.869999999999997</v>
      </c>
      <c r="E45" s="3">
        <v>37.869999999999997</v>
      </c>
      <c r="F45" s="2" t="s">
        <v>15156</v>
      </c>
      <c r="G45" s="22" t="s">
        <v>19351</v>
      </c>
      <c r="H45" s="24" t="s">
        <v>19538</v>
      </c>
      <c r="I45" s="22" t="s">
        <v>19309</v>
      </c>
      <c r="J45" s="22" t="s">
        <v>19708</v>
      </c>
      <c r="K45" s="22" t="s">
        <v>19709</v>
      </c>
      <c r="L45" s="22"/>
      <c r="M45" s="22"/>
      <c r="N45" s="25" t="str">
        <f>HYPERLINK("http://slimages.macys.com/is/image/MCY/22296949 ")</f>
        <v xml:space="preserve">http://slimages.macys.com/is/image/MCY/22296949 </v>
      </c>
    </row>
    <row r="46" spans="1:14" x14ac:dyDescent="0.25">
      <c r="A46" s="21" t="s">
        <v>15159</v>
      </c>
      <c r="B46" s="22" t="s">
        <v>15160</v>
      </c>
      <c r="C46" s="2">
        <v>1</v>
      </c>
      <c r="D46" s="23">
        <v>24.99</v>
      </c>
      <c r="E46" s="3">
        <v>24.99</v>
      </c>
      <c r="F46" s="2" t="s">
        <v>15161</v>
      </c>
      <c r="G46" s="22" t="s">
        <v>19333</v>
      </c>
      <c r="H46" s="24" t="s">
        <v>19352</v>
      </c>
      <c r="I46" s="22" t="s">
        <v>19309</v>
      </c>
      <c r="J46" s="22" t="s">
        <v>19310</v>
      </c>
      <c r="K46" s="22" t="s">
        <v>19529</v>
      </c>
      <c r="L46" s="22"/>
      <c r="M46" s="22"/>
      <c r="N46" s="25" t="str">
        <f>HYPERLINK("http://slimages.macys.com/is/image/MCY/18930277 ")</f>
        <v xml:space="preserve">http://slimages.macys.com/is/image/MCY/18930277 </v>
      </c>
    </row>
    <row r="47" spans="1:14" ht="24.75" x14ac:dyDescent="0.25">
      <c r="A47" s="21" t="s">
        <v>15162</v>
      </c>
      <c r="B47" s="22" t="s">
        <v>15163</v>
      </c>
      <c r="C47" s="2">
        <v>1</v>
      </c>
      <c r="D47" s="23">
        <v>25.99</v>
      </c>
      <c r="E47" s="3">
        <v>25.99</v>
      </c>
      <c r="F47" s="2" t="s">
        <v>17652</v>
      </c>
      <c r="G47" s="22" t="s">
        <v>19307</v>
      </c>
      <c r="H47" s="24" t="s">
        <v>19352</v>
      </c>
      <c r="I47" s="22" t="s">
        <v>19309</v>
      </c>
      <c r="J47" s="22" t="s">
        <v>19447</v>
      </c>
      <c r="K47" s="22" t="s">
        <v>19533</v>
      </c>
      <c r="L47" s="22"/>
      <c r="M47" s="22"/>
      <c r="N47" s="25" t="str">
        <f>HYPERLINK("http://slimages.macys.com/is/image/MCY/20219971 ")</f>
        <v xml:space="preserve">http://slimages.macys.com/is/image/MCY/20219971 </v>
      </c>
    </row>
    <row r="48" spans="1:14" ht="24.75" x14ac:dyDescent="0.25">
      <c r="A48" s="21" t="s">
        <v>15164</v>
      </c>
      <c r="B48" s="22" t="s">
        <v>15165</v>
      </c>
      <c r="C48" s="2">
        <v>2</v>
      </c>
      <c r="D48" s="23">
        <v>35.99</v>
      </c>
      <c r="E48" s="3">
        <v>71.98</v>
      </c>
      <c r="F48" s="2" t="s">
        <v>15166</v>
      </c>
      <c r="G48" s="22" t="s">
        <v>19357</v>
      </c>
      <c r="H48" s="24" t="s">
        <v>19501</v>
      </c>
      <c r="I48" s="22" t="s">
        <v>19309</v>
      </c>
      <c r="J48" s="22" t="s">
        <v>19400</v>
      </c>
      <c r="K48" s="22" t="s">
        <v>19423</v>
      </c>
      <c r="L48" s="22"/>
      <c r="M48" s="22"/>
      <c r="N48" s="25" t="str">
        <f t="shared" ref="N48:N53" si="0">HYPERLINK("http://slimages.macys.com/is/image/MCY/22060053 ")</f>
        <v xml:space="preserve">http://slimages.macys.com/is/image/MCY/22060053 </v>
      </c>
    </row>
    <row r="49" spans="1:14" ht="24.75" x14ac:dyDescent="0.25">
      <c r="A49" s="21" t="s">
        <v>15167</v>
      </c>
      <c r="B49" s="22" t="s">
        <v>15168</v>
      </c>
      <c r="C49" s="2">
        <v>2</v>
      </c>
      <c r="D49" s="23">
        <v>35.99</v>
      </c>
      <c r="E49" s="3">
        <v>71.98</v>
      </c>
      <c r="F49" s="2" t="s">
        <v>15166</v>
      </c>
      <c r="G49" s="22" t="s">
        <v>19357</v>
      </c>
      <c r="H49" s="24"/>
      <c r="I49" s="22" t="s">
        <v>19309</v>
      </c>
      <c r="J49" s="22" t="s">
        <v>19400</v>
      </c>
      <c r="K49" s="22" t="s">
        <v>19423</v>
      </c>
      <c r="L49" s="22"/>
      <c r="M49" s="22"/>
      <c r="N49" s="25" t="str">
        <f t="shared" si="0"/>
        <v xml:space="preserve">http://slimages.macys.com/is/image/MCY/22060053 </v>
      </c>
    </row>
    <row r="50" spans="1:14" ht="24.75" x14ac:dyDescent="0.25">
      <c r="A50" s="21" t="s">
        <v>15169</v>
      </c>
      <c r="B50" s="22" t="s">
        <v>15170</v>
      </c>
      <c r="C50" s="2">
        <v>1</v>
      </c>
      <c r="D50" s="23">
        <v>35.99</v>
      </c>
      <c r="E50" s="3">
        <v>35.99</v>
      </c>
      <c r="F50" s="2" t="s">
        <v>15166</v>
      </c>
      <c r="G50" s="22" t="s">
        <v>19357</v>
      </c>
      <c r="H50" s="24" t="s">
        <v>19432</v>
      </c>
      <c r="I50" s="22" t="s">
        <v>19309</v>
      </c>
      <c r="J50" s="22" t="s">
        <v>19400</v>
      </c>
      <c r="K50" s="22" t="s">
        <v>19423</v>
      </c>
      <c r="L50" s="22"/>
      <c r="M50" s="22"/>
      <c r="N50" s="25" t="str">
        <f t="shared" si="0"/>
        <v xml:space="preserve">http://slimages.macys.com/is/image/MCY/22060053 </v>
      </c>
    </row>
    <row r="51" spans="1:14" ht="24.75" x14ac:dyDescent="0.25">
      <c r="A51" s="21" t="s">
        <v>15171</v>
      </c>
      <c r="B51" s="22" t="s">
        <v>15172</v>
      </c>
      <c r="C51" s="2">
        <v>2</v>
      </c>
      <c r="D51" s="23">
        <v>35.99</v>
      </c>
      <c r="E51" s="3">
        <v>71.98</v>
      </c>
      <c r="F51" s="2" t="s">
        <v>15166</v>
      </c>
      <c r="G51" s="22" t="s">
        <v>19357</v>
      </c>
      <c r="H51" s="24" t="s">
        <v>19399</v>
      </c>
      <c r="I51" s="22" t="s">
        <v>19309</v>
      </c>
      <c r="J51" s="22" t="s">
        <v>19400</v>
      </c>
      <c r="K51" s="22" t="s">
        <v>19423</v>
      </c>
      <c r="L51" s="22"/>
      <c r="M51" s="22"/>
      <c r="N51" s="25" t="str">
        <f t="shared" si="0"/>
        <v xml:space="preserve">http://slimages.macys.com/is/image/MCY/22060053 </v>
      </c>
    </row>
    <row r="52" spans="1:14" ht="24.75" x14ac:dyDescent="0.25">
      <c r="A52" s="21" t="s">
        <v>15173</v>
      </c>
      <c r="B52" s="22" t="s">
        <v>15174</v>
      </c>
      <c r="C52" s="2">
        <v>1</v>
      </c>
      <c r="D52" s="23">
        <v>35.99</v>
      </c>
      <c r="E52" s="3">
        <v>35.99</v>
      </c>
      <c r="F52" s="2" t="s">
        <v>15166</v>
      </c>
      <c r="G52" s="22" t="s">
        <v>19357</v>
      </c>
      <c r="H52" s="24" t="s">
        <v>19316</v>
      </c>
      <c r="I52" s="22" t="s">
        <v>19309</v>
      </c>
      <c r="J52" s="22" t="s">
        <v>19400</v>
      </c>
      <c r="K52" s="22" t="s">
        <v>19423</v>
      </c>
      <c r="L52" s="22"/>
      <c r="M52" s="22"/>
      <c r="N52" s="25" t="str">
        <f t="shared" si="0"/>
        <v xml:space="preserve">http://slimages.macys.com/is/image/MCY/22060053 </v>
      </c>
    </row>
    <row r="53" spans="1:14" ht="24.75" x14ac:dyDescent="0.25">
      <c r="A53" s="21" t="s">
        <v>15175</v>
      </c>
      <c r="B53" s="22" t="s">
        <v>15176</v>
      </c>
      <c r="C53" s="2">
        <v>1</v>
      </c>
      <c r="D53" s="23">
        <v>35.99</v>
      </c>
      <c r="E53" s="3">
        <v>35.99</v>
      </c>
      <c r="F53" s="2" t="s">
        <v>15166</v>
      </c>
      <c r="G53" s="22" t="s">
        <v>19357</v>
      </c>
      <c r="H53" s="24" t="s">
        <v>19478</v>
      </c>
      <c r="I53" s="22" t="s">
        <v>19309</v>
      </c>
      <c r="J53" s="22" t="s">
        <v>19400</v>
      </c>
      <c r="K53" s="22" t="s">
        <v>19423</v>
      </c>
      <c r="L53" s="22"/>
      <c r="M53" s="22"/>
      <c r="N53" s="25" t="str">
        <f t="shared" si="0"/>
        <v xml:space="preserve">http://slimages.macys.com/is/image/MCY/22060053 </v>
      </c>
    </row>
    <row r="54" spans="1:14" ht="24.75" x14ac:dyDescent="0.25">
      <c r="A54" s="21" t="s">
        <v>15177</v>
      </c>
      <c r="B54" s="22" t="s">
        <v>15178</v>
      </c>
      <c r="C54" s="2">
        <v>2</v>
      </c>
      <c r="D54" s="23">
        <v>21.99</v>
      </c>
      <c r="E54" s="3">
        <v>43.98</v>
      </c>
      <c r="F54" s="2" t="s">
        <v>15179</v>
      </c>
      <c r="G54" s="22" t="s">
        <v>19467</v>
      </c>
      <c r="H54" s="24" t="s">
        <v>19308</v>
      </c>
      <c r="I54" s="22" t="s">
        <v>19309</v>
      </c>
      <c r="J54" s="22" t="s">
        <v>19310</v>
      </c>
      <c r="K54" s="22" t="s">
        <v>19873</v>
      </c>
      <c r="L54" s="22"/>
      <c r="M54" s="22"/>
      <c r="N54" s="25" t="str">
        <f>HYPERLINK("http://slimages.macys.com/is/image/MCY/21010117 ")</f>
        <v xml:space="preserve">http://slimages.macys.com/is/image/MCY/21010117 </v>
      </c>
    </row>
    <row r="55" spans="1:14" ht="24.75" x14ac:dyDescent="0.25">
      <c r="A55" s="21" t="s">
        <v>15180</v>
      </c>
      <c r="B55" s="22" t="s">
        <v>15181</v>
      </c>
      <c r="C55" s="2">
        <v>2</v>
      </c>
      <c r="D55" s="23">
        <v>21.99</v>
      </c>
      <c r="E55" s="3">
        <v>43.98</v>
      </c>
      <c r="F55" s="2" t="s">
        <v>15179</v>
      </c>
      <c r="G55" s="22" t="s">
        <v>19467</v>
      </c>
      <c r="H55" s="24" t="s">
        <v>19364</v>
      </c>
      <c r="I55" s="22" t="s">
        <v>19309</v>
      </c>
      <c r="J55" s="22" t="s">
        <v>19310</v>
      </c>
      <c r="K55" s="22" t="s">
        <v>19873</v>
      </c>
      <c r="L55" s="22"/>
      <c r="M55" s="22"/>
      <c r="N55" s="25" t="str">
        <f>HYPERLINK("http://slimages.macys.com/is/image/MCY/21010117 ")</f>
        <v xml:space="preserve">http://slimages.macys.com/is/image/MCY/21010117 </v>
      </c>
    </row>
    <row r="56" spans="1:14" ht="24.75" x14ac:dyDescent="0.25">
      <c r="A56" s="21" t="s">
        <v>15182</v>
      </c>
      <c r="B56" s="22" t="s">
        <v>15183</v>
      </c>
      <c r="C56" s="2">
        <v>2</v>
      </c>
      <c r="D56" s="23">
        <v>21.99</v>
      </c>
      <c r="E56" s="3">
        <v>43.98</v>
      </c>
      <c r="F56" s="2" t="s">
        <v>15179</v>
      </c>
      <c r="G56" s="22" t="s">
        <v>19467</v>
      </c>
      <c r="H56" s="24" t="s">
        <v>19352</v>
      </c>
      <c r="I56" s="22" t="s">
        <v>19309</v>
      </c>
      <c r="J56" s="22" t="s">
        <v>19310</v>
      </c>
      <c r="K56" s="22" t="s">
        <v>19873</v>
      </c>
      <c r="L56" s="22"/>
      <c r="M56" s="22"/>
      <c r="N56" s="25" t="str">
        <f>HYPERLINK("http://slimages.macys.com/is/image/MCY/21010117 ")</f>
        <v xml:space="preserve">http://slimages.macys.com/is/image/MCY/21010117 </v>
      </c>
    </row>
    <row r="57" spans="1:14" ht="24.75" x14ac:dyDescent="0.25">
      <c r="A57" s="21" t="s">
        <v>15184</v>
      </c>
      <c r="B57" s="22" t="s">
        <v>15185</v>
      </c>
      <c r="C57" s="2">
        <v>1</v>
      </c>
      <c r="D57" s="23">
        <v>21.99</v>
      </c>
      <c r="E57" s="3">
        <v>21.99</v>
      </c>
      <c r="F57" s="2" t="s">
        <v>15179</v>
      </c>
      <c r="G57" s="22" t="s">
        <v>19467</v>
      </c>
      <c r="H57" s="24" t="s">
        <v>19339</v>
      </c>
      <c r="I57" s="22" t="s">
        <v>19309</v>
      </c>
      <c r="J57" s="22" t="s">
        <v>19310</v>
      </c>
      <c r="K57" s="22" t="s">
        <v>19873</v>
      </c>
      <c r="L57" s="22"/>
      <c r="M57" s="22"/>
      <c r="N57" s="25" t="str">
        <f>HYPERLINK("http://slimages.macys.com/is/image/MCY/21010117 ")</f>
        <v xml:space="preserve">http://slimages.macys.com/is/image/MCY/21010117 </v>
      </c>
    </row>
    <row r="58" spans="1:14" ht="24.75" x14ac:dyDescent="0.25">
      <c r="A58" s="21" t="s">
        <v>15186</v>
      </c>
      <c r="B58" s="22" t="s">
        <v>15187</v>
      </c>
      <c r="C58" s="2">
        <v>1</v>
      </c>
      <c r="D58" s="23">
        <v>21.99</v>
      </c>
      <c r="E58" s="3">
        <v>21.99</v>
      </c>
      <c r="F58" s="2" t="s">
        <v>15188</v>
      </c>
      <c r="G58" s="22" t="s">
        <v>19674</v>
      </c>
      <c r="H58" s="24" t="s">
        <v>15935</v>
      </c>
      <c r="I58" s="22" t="s">
        <v>19309</v>
      </c>
      <c r="J58" s="22" t="s">
        <v>19491</v>
      </c>
      <c r="K58" s="22" t="s">
        <v>19631</v>
      </c>
      <c r="L58" s="22"/>
      <c r="M58" s="22"/>
      <c r="N58" s="25" t="str">
        <f>HYPERLINK("http://slimages.macys.com/is/image/MCY/21422551 ")</f>
        <v xml:space="preserve">http://slimages.macys.com/is/image/MCY/21422551 </v>
      </c>
    </row>
    <row r="59" spans="1:14" ht="24.75" x14ac:dyDescent="0.25">
      <c r="A59" s="21" t="s">
        <v>15189</v>
      </c>
      <c r="B59" s="22" t="s">
        <v>15190</v>
      </c>
      <c r="C59" s="2">
        <v>1</v>
      </c>
      <c r="D59" s="23">
        <v>23.99</v>
      </c>
      <c r="E59" s="3">
        <v>23.99</v>
      </c>
      <c r="F59" s="2" t="s">
        <v>15191</v>
      </c>
      <c r="G59" s="22" t="s">
        <v>19357</v>
      </c>
      <c r="H59" s="24" t="s">
        <v>19339</v>
      </c>
      <c r="I59" s="22" t="s">
        <v>19309</v>
      </c>
      <c r="J59" s="22" t="s">
        <v>19447</v>
      </c>
      <c r="K59" s="22" t="s">
        <v>19311</v>
      </c>
      <c r="L59" s="22"/>
      <c r="M59" s="22"/>
      <c r="N59" s="25" t="str">
        <f>HYPERLINK("http://slimages.macys.com/is/image/MCY/18389181 ")</f>
        <v xml:space="preserve">http://slimages.macys.com/is/image/MCY/18389181 </v>
      </c>
    </row>
    <row r="60" spans="1:14" ht="24.75" x14ac:dyDescent="0.25">
      <c r="A60" s="21" t="s">
        <v>15192</v>
      </c>
      <c r="B60" s="22" t="s">
        <v>15193</v>
      </c>
      <c r="C60" s="2">
        <v>1</v>
      </c>
      <c r="D60" s="23">
        <v>29.99</v>
      </c>
      <c r="E60" s="3">
        <v>29.99</v>
      </c>
      <c r="F60" s="2" t="s">
        <v>15194</v>
      </c>
      <c r="G60" s="22" t="s">
        <v>19315</v>
      </c>
      <c r="H60" s="24" t="s">
        <v>19377</v>
      </c>
      <c r="I60" s="22" t="s">
        <v>19309</v>
      </c>
      <c r="J60" s="22" t="s">
        <v>19378</v>
      </c>
      <c r="K60" s="22" t="s">
        <v>19479</v>
      </c>
      <c r="L60" s="22"/>
      <c r="M60" s="22"/>
      <c r="N60" s="25" t="str">
        <f>HYPERLINK("http://slimages.macys.com/is/image/MCY/21688670 ")</f>
        <v xml:space="preserve">http://slimages.macys.com/is/image/MCY/21688670 </v>
      </c>
    </row>
    <row r="61" spans="1:14" ht="24.75" x14ac:dyDescent="0.25">
      <c r="A61" s="21" t="s">
        <v>17679</v>
      </c>
      <c r="B61" s="22" t="s">
        <v>17680</v>
      </c>
      <c r="C61" s="2">
        <v>1</v>
      </c>
      <c r="D61" s="23">
        <v>24.99</v>
      </c>
      <c r="E61" s="3">
        <v>24.99</v>
      </c>
      <c r="F61" s="2" t="s">
        <v>17681</v>
      </c>
      <c r="G61" s="22" t="s">
        <v>19431</v>
      </c>
      <c r="H61" s="24" t="s">
        <v>19797</v>
      </c>
      <c r="I61" s="22" t="s">
        <v>19309</v>
      </c>
      <c r="J61" s="22" t="s">
        <v>19447</v>
      </c>
      <c r="K61" s="22" t="s">
        <v>19533</v>
      </c>
      <c r="L61" s="22"/>
      <c r="M61" s="22"/>
      <c r="N61" s="25" t="str">
        <f>HYPERLINK("http://slimages.macys.com/is/image/MCY/21150450 ")</f>
        <v xml:space="preserve">http://slimages.macys.com/is/image/MCY/21150450 </v>
      </c>
    </row>
    <row r="62" spans="1:14" ht="24.75" x14ac:dyDescent="0.25">
      <c r="A62" s="21" t="s">
        <v>15195</v>
      </c>
      <c r="B62" s="22" t="s">
        <v>15196</v>
      </c>
      <c r="C62" s="2">
        <v>1</v>
      </c>
      <c r="D62" s="23">
        <v>26.99</v>
      </c>
      <c r="E62" s="3">
        <v>26.99</v>
      </c>
      <c r="F62" s="2" t="s">
        <v>15197</v>
      </c>
      <c r="G62" s="22"/>
      <c r="H62" s="24" t="s">
        <v>19416</v>
      </c>
      <c r="I62" s="22" t="s">
        <v>19309</v>
      </c>
      <c r="J62" s="22" t="s">
        <v>19385</v>
      </c>
      <c r="K62" s="22" t="s">
        <v>19487</v>
      </c>
      <c r="L62" s="22"/>
      <c r="M62" s="22"/>
      <c r="N62" s="25" t="str">
        <f>HYPERLINK("http://slimages.macys.com/is/image/MCY/21605011 ")</f>
        <v xml:space="preserve">http://slimages.macys.com/is/image/MCY/21605011 </v>
      </c>
    </row>
    <row r="63" spans="1:14" ht="24.75" x14ac:dyDescent="0.25">
      <c r="A63" s="21" t="s">
        <v>19607</v>
      </c>
      <c r="B63" s="22" t="s">
        <v>19608</v>
      </c>
      <c r="C63" s="2">
        <v>1</v>
      </c>
      <c r="D63" s="23">
        <v>24.99</v>
      </c>
      <c r="E63" s="3">
        <v>24.99</v>
      </c>
      <c r="F63" s="2" t="s">
        <v>19609</v>
      </c>
      <c r="G63" s="22" t="s">
        <v>19342</v>
      </c>
      <c r="H63" s="24" t="s">
        <v>19416</v>
      </c>
      <c r="I63" s="22" t="s">
        <v>19309</v>
      </c>
      <c r="J63" s="22" t="s">
        <v>19491</v>
      </c>
      <c r="K63" s="22" t="s">
        <v>19554</v>
      </c>
      <c r="L63" s="22"/>
      <c r="M63" s="22"/>
      <c r="N63" s="25" t="str">
        <f>HYPERLINK("http://slimages.macys.com/is/image/MCY/21483061 ")</f>
        <v xml:space="preserve">http://slimages.macys.com/is/image/MCY/21483061 </v>
      </c>
    </row>
    <row r="64" spans="1:14" ht="24.75" x14ac:dyDescent="0.25">
      <c r="A64" s="21" t="s">
        <v>17696</v>
      </c>
      <c r="B64" s="22" t="s">
        <v>17697</v>
      </c>
      <c r="C64" s="2">
        <v>1</v>
      </c>
      <c r="D64" s="23">
        <v>24.99</v>
      </c>
      <c r="E64" s="3">
        <v>24.99</v>
      </c>
      <c r="F64" s="2" t="s">
        <v>19609</v>
      </c>
      <c r="G64" s="22" t="s">
        <v>19342</v>
      </c>
      <c r="H64" s="24" t="s">
        <v>19324</v>
      </c>
      <c r="I64" s="22" t="s">
        <v>19309</v>
      </c>
      <c r="J64" s="22" t="s">
        <v>19491</v>
      </c>
      <c r="K64" s="22" t="s">
        <v>19554</v>
      </c>
      <c r="L64" s="22"/>
      <c r="M64" s="22"/>
      <c r="N64" s="25" t="str">
        <f>HYPERLINK("http://slimages.macys.com/is/image/MCY/21483061 ")</f>
        <v xml:space="preserve">http://slimages.macys.com/is/image/MCY/21483061 </v>
      </c>
    </row>
    <row r="65" spans="1:14" ht="24.75" x14ac:dyDescent="0.25">
      <c r="A65" s="21" t="s">
        <v>17698</v>
      </c>
      <c r="B65" s="22" t="s">
        <v>17699</v>
      </c>
      <c r="C65" s="2">
        <v>1</v>
      </c>
      <c r="D65" s="23">
        <v>26.99</v>
      </c>
      <c r="E65" s="3">
        <v>26.99</v>
      </c>
      <c r="F65" s="2" t="s">
        <v>17700</v>
      </c>
      <c r="G65" s="22" t="s">
        <v>19528</v>
      </c>
      <c r="H65" s="24" t="s">
        <v>19416</v>
      </c>
      <c r="I65" s="22" t="s">
        <v>19309</v>
      </c>
      <c r="J65" s="22" t="s">
        <v>19385</v>
      </c>
      <c r="K65" s="22" t="s">
        <v>19463</v>
      </c>
      <c r="L65" s="22"/>
      <c r="M65" s="22"/>
      <c r="N65" s="25" t="str">
        <f>HYPERLINK("http://slimages.macys.com/is/image/MCY/22291356 ")</f>
        <v xml:space="preserve">http://slimages.macys.com/is/image/MCY/22291356 </v>
      </c>
    </row>
    <row r="66" spans="1:14" ht="24.75" x14ac:dyDescent="0.25">
      <c r="A66" s="21" t="s">
        <v>15645</v>
      </c>
      <c r="B66" s="22" t="s">
        <v>15646</v>
      </c>
      <c r="C66" s="2">
        <v>1</v>
      </c>
      <c r="D66" s="23">
        <v>26.99</v>
      </c>
      <c r="E66" s="3">
        <v>26.99</v>
      </c>
      <c r="F66" s="2" t="s">
        <v>17700</v>
      </c>
      <c r="G66" s="22" t="s">
        <v>19528</v>
      </c>
      <c r="H66" s="24" t="s">
        <v>19324</v>
      </c>
      <c r="I66" s="22" t="s">
        <v>19309</v>
      </c>
      <c r="J66" s="22" t="s">
        <v>19385</v>
      </c>
      <c r="K66" s="22" t="s">
        <v>19463</v>
      </c>
      <c r="L66" s="22"/>
      <c r="M66" s="22"/>
      <c r="N66" s="25" t="str">
        <f>HYPERLINK("http://slimages.macys.com/is/image/MCY/22291356 ")</f>
        <v xml:space="preserve">http://slimages.macys.com/is/image/MCY/22291356 </v>
      </c>
    </row>
    <row r="67" spans="1:14" ht="24.75" x14ac:dyDescent="0.25">
      <c r="A67" s="21" t="s">
        <v>15198</v>
      </c>
      <c r="B67" s="22" t="s">
        <v>15199</v>
      </c>
      <c r="C67" s="2">
        <v>1</v>
      </c>
      <c r="D67" s="23">
        <v>24.99</v>
      </c>
      <c r="E67" s="3">
        <v>24.99</v>
      </c>
      <c r="F67" s="2" t="s">
        <v>17721</v>
      </c>
      <c r="G67" s="22" t="s">
        <v>19422</v>
      </c>
      <c r="H67" s="24" t="s">
        <v>19324</v>
      </c>
      <c r="I67" s="22" t="s">
        <v>19309</v>
      </c>
      <c r="J67" s="22" t="s">
        <v>19573</v>
      </c>
      <c r="K67" s="22" t="s">
        <v>19574</v>
      </c>
      <c r="L67" s="22"/>
      <c r="M67" s="22"/>
      <c r="N67" s="25" t="str">
        <f>HYPERLINK("http://slimages.macys.com/is/image/MCY/21209500 ")</f>
        <v xml:space="preserve">http://slimages.macys.com/is/image/MCY/21209500 </v>
      </c>
    </row>
    <row r="68" spans="1:14" ht="24.75" x14ac:dyDescent="0.25">
      <c r="A68" s="21" t="s">
        <v>15200</v>
      </c>
      <c r="B68" s="22" t="s">
        <v>15201</v>
      </c>
      <c r="C68" s="2">
        <v>1</v>
      </c>
      <c r="D68" s="23">
        <v>32.99</v>
      </c>
      <c r="E68" s="3">
        <v>32.99</v>
      </c>
      <c r="F68" s="2" t="s">
        <v>15202</v>
      </c>
      <c r="G68" s="22" t="s">
        <v>15203</v>
      </c>
      <c r="H68" s="24" t="s">
        <v>19364</v>
      </c>
      <c r="I68" s="22" t="s">
        <v>19309</v>
      </c>
      <c r="J68" s="22" t="s">
        <v>19595</v>
      </c>
      <c r="K68" s="22" t="s">
        <v>19423</v>
      </c>
      <c r="L68" s="22"/>
      <c r="M68" s="22"/>
      <c r="N68" s="25" t="str">
        <f>HYPERLINK("http://slimages.macys.com/is/image/MCY/21398445 ")</f>
        <v xml:space="preserve">http://slimages.macys.com/is/image/MCY/21398445 </v>
      </c>
    </row>
    <row r="69" spans="1:14" ht="24.75" x14ac:dyDescent="0.25">
      <c r="A69" s="21" t="s">
        <v>15204</v>
      </c>
      <c r="B69" s="22" t="s">
        <v>15205</v>
      </c>
      <c r="C69" s="2">
        <v>1</v>
      </c>
      <c r="D69" s="23">
        <v>32.99</v>
      </c>
      <c r="E69" s="3">
        <v>32.99</v>
      </c>
      <c r="F69" s="2" t="s">
        <v>15206</v>
      </c>
      <c r="G69" s="22" t="s">
        <v>19351</v>
      </c>
      <c r="H69" s="24" t="s">
        <v>19352</v>
      </c>
      <c r="I69" s="22" t="s">
        <v>19309</v>
      </c>
      <c r="J69" s="22" t="s">
        <v>19595</v>
      </c>
      <c r="K69" s="22" t="s">
        <v>19423</v>
      </c>
      <c r="L69" s="22"/>
      <c r="M69" s="22"/>
      <c r="N69" s="25" t="str">
        <f>HYPERLINK("http://slimages.macys.com/is/image/MCY/21398479 ")</f>
        <v xml:space="preserve">http://slimages.macys.com/is/image/MCY/21398479 </v>
      </c>
    </row>
    <row r="70" spans="1:14" ht="36.75" x14ac:dyDescent="0.25">
      <c r="A70" s="21" t="s">
        <v>15207</v>
      </c>
      <c r="B70" s="22" t="s">
        <v>15208</v>
      </c>
      <c r="C70" s="2">
        <v>1</v>
      </c>
      <c r="D70" s="23">
        <v>34</v>
      </c>
      <c r="E70" s="3">
        <v>34</v>
      </c>
      <c r="F70" s="2" t="s">
        <v>15209</v>
      </c>
      <c r="G70" s="22" t="s">
        <v>19333</v>
      </c>
      <c r="H70" s="24" t="s">
        <v>19997</v>
      </c>
      <c r="I70" s="22" t="s">
        <v>19309</v>
      </c>
      <c r="J70" s="22" t="s">
        <v>17328</v>
      </c>
      <c r="K70" s="22" t="s">
        <v>17329</v>
      </c>
      <c r="L70" s="22" t="s">
        <v>19319</v>
      </c>
      <c r="M70" s="22" t="s">
        <v>15210</v>
      </c>
      <c r="N70" s="25" t="str">
        <f>HYPERLINK("http://slimages.macys.com/is/image/MCY/8578712 ")</f>
        <v xml:space="preserve">http://slimages.macys.com/is/image/MCY/8578712 </v>
      </c>
    </row>
    <row r="71" spans="1:14" x14ac:dyDescent="0.25">
      <c r="A71" s="21" t="s">
        <v>15211</v>
      </c>
      <c r="B71" s="22" t="s">
        <v>15212</v>
      </c>
      <c r="C71" s="2">
        <v>1</v>
      </c>
      <c r="D71" s="23">
        <v>23.22</v>
      </c>
      <c r="E71" s="3">
        <v>23.22</v>
      </c>
      <c r="F71" s="2" t="s">
        <v>19638</v>
      </c>
      <c r="G71" s="22" t="s">
        <v>19342</v>
      </c>
      <c r="H71" s="24" t="s">
        <v>19542</v>
      </c>
      <c r="I71" s="22" t="s">
        <v>19309</v>
      </c>
      <c r="J71" s="22" t="s">
        <v>19514</v>
      </c>
      <c r="K71" s="22" t="s">
        <v>19639</v>
      </c>
      <c r="L71" s="22"/>
      <c r="M71" s="22"/>
      <c r="N71" s="25" t="str">
        <f>HYPERLINK("http://slimages.macys.com/is/image/MCY/21700828 ")</f>
        <v xml:space="preserve">http://slimages.macys.com/is/image/MCY/21700828 </v>
      </c>
    </row>
    <row r="72" spans="1:14" x14ac:dyDescent="0.25">
      <c r="A72" s="21" t="s">
        <v>15213</v>
      </c>
      <c r="B72" s="22" t="s">
        <v>15214</v>
      </c>
      <c r="C72" s="2">
        <v>1</v>
      </c>
      <c r="D72" s="23">
        <v>26.5</v>
      </c>
      <c r="E72" s="3">
        <v>26.5</v>
      </c>
      <c r="F72" s="2" t="s">
        <v>15215</v>
      </c>
      <c r="G72" s="22" t="s">
        <v>19342</v>
      </c>
      <c r="H72" s="24" t="s">
        <v>19395</v>
      </c>
      <c r="I72" s="22" t="s">
        <v>19309</v>
      </c>
      <c r="J72" s="22" t="s">
        <v>19514</v>
      </c>
      <c r="K72" s="22" t="s">
        <v>19546</v>
      </c>
      <c r="L72" s="22"/>
      <c r="M72" s="22"/>
      <c r="N72" s="25" t="str">
        <f>HYPERLINK("http://slimages.macys.com/is/image/MCY/20953353 ")</f>
        <v xml:space="preserve">http://slimages.macys.com/is/image/MCY/20953353 </v>
      </c>
    </row>
    <row r="73" spans="1:14" x14ac:dyDescent="0.25">
      <c r="A73" s="21" t="s">
        <v>19640</v>
      </c>
      <c r="B73" s="22" t="s">
        <v>19641</v>
      </c>
      <c r="C73" s="2">
        <v>1</v>
      </c>
      <c r="D73" s="23">
        <v>23.22</v>
      </c>
      <c r="E73" s="3">
        <v>23.22</v>
      </c>
      <c r="F73" s="2" t="s">
        <v>19642</v>
      </c>
      <c r="G73" s="22" t="s">
        <v>19342</v>
      </c>
      <c r="H73" s="24" t="s">
        <v>19345</v>
      </c>
      <c r="I73" s="22" t="s">
        <v>19309</v>
      </c>
      <c r="J73" s="22" t="s">
        <v>19514</v>
      </c>
      <c r="K73" s="22" t="s">
        <v>19639</v>
      </c>
      <c r="L73" s="22"/>
      <c r="M73" s="22"/>
      <c r="N73" s="25" t="str">
        <f>HYPERLINK("http://slimages.macys.com/is/image/MCY/21700827 ")</f>
        <v xml:space="preserve">http://slimages.macys.com/is/image/MCY/21700827 </v>
      </c>
    </row>
    <row r="74" spans="1:14" ht="24.75" x14ac:dyDescent="0.25">
      <c r="A74" s="21" t="s">
        <v>15216</v>
      </c>
      <c r="B74" s="22" t="s">
        <v>15217</v>
      </c>
      <c r="C74" s="2">
        <v>1</v>
      </c>
      <c r="D74" s="23">
        <v>26.99</v>
      </c>
      <c r="E74" s="3">
        <v>26.99</v>
      </c>
      <c r="F74" s="2" t="s">
        <v>15218</v>
      </c>
      <c r="G74" s="22" t="s">
        <v>19674</v>
      </c>
      <c r="H74" s="24" t="s">
        <v>19364</v>
      </c>
      <c r="I74" s="22" t="s">
        <v>19309</v>
      </c>
      <c r="J74" s="22" t="s">
        <v>15506</v>
      </c>
      <c r="K74" s="22" t="s">
        <v>15219</v>
      </c>
      <c r="L74" s="22"/>
      <c r="M74" s="22"/>
      <c r="N74" s="25" t="str">
        <f>HYPERLINK("http://slimages.macys.com/is/image/MCY/17876310 ")</f>
        <v xml:space="preserve">http://slimages.macys.com/is/image/MCY/17876310 </v>
      </c>
    </row>
    <row r="75" spans="1:14" ht="24.75" x14ac:dyDescent="0.25">
      <c r="A75" s="21" t="s">
        <v>15220</v>
      </c>
      <c r="B75" s="22" t="s">
        <v>15221</v>
      </c>
      <c r="C75" s="2">
        <v>1</v>
      </c>
      <c r="D75" s="23">
        <v>22.99</v>
      </c>
      <c r="E75" s="3">
        <v>22.99</v>
      </c>
      <c r="F75" s="2" t="s">
        <v>15222</v>
      </c>
      <c r="G75" s="22" t="s">
        <v>19886</v>
      </c>
      <c r="H75" s="24" t="s">
        <v>19364</v>
      </c>
      <c r="I75" s="22" t="s">
        <v>19309</v>
      </c>
      <c r="J75" s="22" t="s">
        <v>19447</v>
      </c>
      <c r="K75" s="22" t="s">
        <v>19533</v>
      </c>
      <c r="L75" s="22"/>
      <c r="M75" s="22"/>
      <c r="N75" s="25" t="str">
        <f>HYPERLINK("http://slimages.macys.com/is/image/MCY/20930978 ")</f>
        <v xml:space="preserve">http://slimages.macys.com/is/image/MCY/20930978 </v>
      </c>
    </row>
    <row r="76" spans="1:14" x14ac:dyDescent="0.25">
      <c r="A76" s="21" t="s">
        <v>15223</v>
      </c>
      <c r="B76" s="22" t="s">
        <v>15224</v>
      </c>
      <c r="C76" s="2">
        <v>1</v>
      </c>
      <c r="D76" s="23">
        <v>27.99</v>
      </c>
      <c r="E76" s="3">
        <v>27.99</v>
      </c>
      <c r="F76" s="2" t="s">
        <v>15225</v>
      </c>
      <c r="G76" s="22" t="s">
        <v>19342</v>
      </c>
      <c r="H76" s="24" t="s">
        <v>19392</v>
      </c>
      <c r="I76" s="22" t="s">
        <v>19309</v>
      </c>
      <c r="J76" s="22" t="s">
        <v>19696</v>
      </c>
      <c r="K76" s="22" t="s">
        <v>19965</v>
      </c>
      <c r="L76" s="22"/>
      <c r="M76" s="22"/>
      <c r="N76" s="25" t="str">
        <f>HYPERLINK("http://slimages.macys.com/is/image/MCY/20662547 ")</f>
        <v xml:space="preserve">http://slimages.macys.com/is/image/MCY/20662547 </v>
      </c>
    </row>
    <row r="77" spans="1:14" x14ac:dyDescent="0.25">
      <c r="A77" s="21" t="s">
        <v>15720</v>
      </c>
      <c r="B77" s="22" t="s">
        <v>15721</v>
      </c>
      <c r="C77" s="2">
        <v>3</v>
      </c>
      <c r="D77" s="23">
        <v>27.99</v>
      </c>
      <c r="E77" s="3">
        <v>83.97</v>
      </c>
      <c r="F77" s="2" t="s">
        <v>17774</v>
      </c>
      <c r="G77" s="22" t="s">
        <v>19342</v>
      </c>
      <c r="H77" s="24" t="s">
        <v>19345</v>
      </c>
      <c r="I77" s="22" t="s">
        <v>19309</v>
      </c>
      <c r="J77" s="22" t="s">
        <v>19696</v>
      </c>
      <c r="K77" s="22" t="s">
        <v>19965</v>
      </c>
      <c r="L77" s="22"/>
      <c r="M77" s="22"/>
      <c r="N77" s="25" t="str">
        <f>HYPERLINK("http://slimages.macys.com/is/image/MCY/21540669 ")</f>
        <v xml:space="preserve">http://slimages.macys.com/is/image/MCY/21540669 </v>
      </c>
    </row>
    <row r="78" spans="1:14" ht="24.75" x14ac:dyDescent="0.25">
      <c r="A78" s="21" t="s">
        <v>19700</v>
      </c>
      <c r="B78" s="22" t="s">
        <v>19701</v>
      </c>
      <c r="C78" s="2">
        <v>1</v>
      </c>
      <c r="D78" s="23">
        <v>19.989999999999998</v>
      </c>
      <c r="E78" s="3">
        <v>19.989999999999998</v>
      </c>
      <c r="F78" s="2" t="s">
        <v>19692</v>
      </c>
      <c r="G78" s="22" t="s">
        <v>19315</v>
      </c>
      <c r="H78" s="24" t="s">
        <v>19324</v>
      </c>
      <c r="I78" s="22" t="s">
        <v>19309</v>
      </c>
      <c r="J78" s="22" t="s">
        <v>19573</v>
      </c>
      <c r="K78" s="22" t="s">
        <v>19574</v>
      </c>
      <c r="L78" s="22"/>
      <c r="M78" s="22"/>
      <c r="N78" s="25" t="str">
        <f>HYPERLINK("http://slimages.macys.com/is/image/MCY/21731432 ")</f>
        <v xml:space="preserve">http://slimages.macys.com/is/image/MCY/21731432 </v>
      </c>
    </row>
    <row r="79" spans="1:14" ht="24.75" x14ac:dyDescent="0.25">
      <c r="A79" s="21" t="s">
        <v>19698</v>
      </c>
      <c r="B79" s="22" t="s">
        <v>19699</v>
      </c>
      <c r="C79" s="2">
        <v>1</v>
      </c>
      <c r="D79" s="23">
        <v>19.989999999999998</v>
      </c>
      <c r="E79" s="3">
        <v>19.989999999999998</v>
      </c>
      <c r="F79" s="2" t="s">
        <v>19692</v>
      </c>
      <c r="G79" s="22" t="s">
        <v>19315</v>
      </c>
      <c r="H79" s="24" t="s">
        <v>19330</v>
      </c>
      <c r="I79" s="22" t="s">
        <v>19309</v>
      </c>
      <c r="J79" s="22" t="s">
        <v>19573</v>
      </c>
      <c r="K79" s="22" t="s">
        <v>19574</v>
      </c>
      <c r="L79" s="22"/>
      <c r="M79" s="22"/>
      <c r="N79" s="25" t="str">
        <f>HYPERLINK("http://slimages.macys.com/is/image/MCY/21731432 ")</f>
        <v xml:space="preserve">http://slimages.macys.com/is/image/MCY/21731432 </v>
      </c>
    </row>
    <row r="80" spans="1:14" ht="24.75" x14ac:dyDescent="0.25">
      <c r="A80" s="21" t="s">
        <v>15226</v>
      </c>
      <c r="B80" s="22" t="s">
        <v>15227</v>
      </c>
      <c r="C80" s="2">
        <v>1</v>
      </c>
      <c r="D80" s="23">
        <v>22.99</v>
      </c>
      <c r="E80" s="3">
        <v>22.99</v>
      </c>
      <c r="F80" s="2">
        <v>848196</v>
      </c>
      <c r="G80" s="22" t="s">
        <v>19467</v>
      </c>
      <c r="H80" s="24" t="s">
        <v>19352</v>
      </c>
      <c r="I80" s="22" t="s">
        <v>19309</v>
      </c>
      <c r="J80" s="22" t="s">
        <v>19447</v>
      </c>
      <c r="K80" s="22" t="s">
        <v>19311</v>
      </c>
      <c r="L80" s="22" t="s">
        <v>19319</v>
      </c>
      <c r="M80" s="22" t="s">
        <v>19764</v>
      </c>
      <c r="N80" s="25" t="str">
        <f>HYPERLINK("http://slimages.macys.com/is/image/MCY/13860974 ")</f>
        <v xml:space="preserve">http://slimages.macys.com/is/image/MCY/13860974 </v>
      </c>
    </row>
    <row r="81" spans="1:14" ht="24.75" x14ac:dyDescent="0.25">
      <c r="A81" s="21" t="s">
        <v>15228</v>
      </c>
      <c r="B81" s="22" t="s">
        <v>15229</v>
      </c>
      <c r="C81" s="2">
        <v>1</v>
      </c>
      <c r="D81" s="23">
        <v>29.99</v>
      </c>
      <c r="E81" s="3">
        <v>29.99</v>
      </c>
      <c r="F81" s="2" t="s">
        <v>15230</v>
      </c>
      <c r="G81" s="22" t="s">
        <v>19333</v>
      </c>
      <c r="H81" s="24" t="s">
        <v>19538</v>
      </c>
      <c r="I81" s="22" t="s">
        <v>19309</v>
      </c>
      <c r="J81" s="22" t="s">
        <v>19385</v>
      </c>
      <c r="K81" s="22" t="s">
        <v>19411</v>
      </c>
      <c r="L81" s="22"/>
      <c r="M81" s="22"/>
      <c r="N81" s="25" t="str">
        <f>HYPERLINK("http://slimages.macys.com/is/image/MCY/19515197 ")</f>
        <v xml:space="preserve">http://slimages.macys.com/is/image/MCY/19515197 </v>
      </c>
    </row>
    <row r="82" spans="1:14" ht="24.75" x14ac:dyDescent="0.25">
      <c r="A82" s="21" t="s">
        <v>15231</v>
      </c>
      <c r="B82" s="22" t="s">
        <v>15232</v>
      </c>
      <c r="C82" s="2">
        <v>1</v>
      </c>
      <c r="D82" s="23">
        <v>24.99</v>
      </c>
      <c r="E82" s="3">
        <v>24.99</v>
      </c>
      <c r="F82" s="2" t="s">
        <v>17821</v>
      </c>
      <c r="G82" s="22" t="s">
        <v>19713</v>
      </c>
      <c r="H82" s="24"/>
      <c r="I82" s="22" t="s">
        <v>19309</v>
      </c>
      <c r="J82" s="22" t="s">
        <v>19573</v>
      </c>
      <c r="K82" s="22" t="s">
        <v>19574</v>
      </c>
      <c r="L82" s="22"/>
      <c r="M82" s="22"/>
      <c r="N82" s="25" t="str">
        <f>HYPERLINK("http://slimages.macys.com/is/image/MCY/1679020 ")</f>
        <v xml:space="preserve">http://slimages.macys.com/is/image/MCY/1679020 </v>
      </c>
    </row>
    <row r="83" spans="1:14" x14ac:dyDescent="0.25">
      <c r="A83" s="21" t="s">
        <v>15233</v>
      </c>
      <c r="B83" s="22" t="s">
        <v>15234</v>
      </c>
      <c r="C83" s="2">
        <v>1</v>
      </c>
      <c r="D83" s="23">
        <v>26</v>
      </c>
      <c r="E83" s="3">
        <v>26</v>
      </c>
      <c r="F83" s="2" t="s">
        <v>15235</v>
      </c>
      <c r="G83" s="22" t="s">
        <v>19415</v>
      </c>
      <c r="H83" s="24"/>
      <c r="I83" s="22" t="s">
        <v>19309</v>
      </c>
      <c r="J83" s="22" t="s">
        <v>19559</v>
      </c>
      <c r="K83" s="22" t="s">
        <v>15236</v>
      </c>
      <c r="L83" s="22"/>
      <c r="M83" s="22"/>
      <c r="N83" s="25" t="str">
        <f>HYPERLINK("http://slimages.macys.com/is/image/MCY/21060204 ")</f>
        <v xml:space="preserve">http://slimages.macys.com/is/image/MCY/21060204 </v>
      </c>
    </row>
    <row r="84" spans="1:14" ht="24.75" x14ac:dyDescent="0.25">
      <c r="A84" s="21" t="s">
        <v>15237</v>
      </c>
      <c r="B84" s="22" t="s">
        <v>15238</v>
      </c>
      <c r="C84" s="2">
        <v>1</v>
      </c>
      <c r="D84" s="23">
        <v>24.99</v>
      </c>
      <c r="E84" s="3">
        <v>24.99</v>
      </c>
      <c r="F84" s="2" t="s">
        <v>15777</v>
      </c>
      <c r="G84" s="22" t="s">
        <v>19342</v>
      </c>
      <c r="H84" s="24" t="s">
        <v>19416</v>
      </c>
      <c r="I84" s="22" t="s">
        <v>19309</v>
      </c>
      <c r="J84" s="22" t="s">
        <v>19385</v>
      </c>
      <c r="K84" s="22" t="s">
        <v>19729</v>
      </c>
      <c r="L84" s="22"/>
      <c r="M84" s="22"/>
      <c r="N84" s="25" t="str">
        <f>HYPERLINK("http://slimages.macys.com/is/image/MCY/21091520 ")</f>
        <v xml:space="preserve">http://slimages.macys.com/is/image/MCY/21091520 </v>
      </c>
    </row>
    <row r="85" spans="1:14" ht="24.75" x14ac:dyDescent="0.25">
      <c r="A85" s="21" t="s">
        <v>15239</v>
      </c>
      <c r="B85" s="22" t="s">
        <v>15240</v>
      </c>
      <c r="C85" s="2">
        <v>1</v>
      </c>
      <c r="D85" s="23">
        <v>19.989999999999998</v>
      </c>
      <c r="E85" s="3">
        <v>19.989999999999998</v>
      </c>
      <c r="F85" s="2" t="s">
        <v>15241</v>
      </c>
      <c r="G85" s="22" t="s">
        <v>19333</v>
      </c>
      <c r="H85" s="24" t="s">
        <v>17870</v>
      </c>
      <c r="I85" s="22" t="s">
        <v>19309</v>
      </c>
      <c r="J85" s="22" t="s">
        <v>19550</v>
      </c>
      <c r="K85" s="22" t="s">
        <v>16124</v>
      </c>
      <c r="L85" s="22" t="s">
        <v>19319</v>
      </c>
      <c r="M85" s="22" t="s">
        <v>19435</v>
      </c>
      <c r="N85" s="25" t="str">
        <f>HYPERLINK("http://slimages.macys.com/is/image/MCY/2916490 ")</f>
        <v xml:space="preserve">http://slimages.macys.com/is/image/MCY/2916490 </v>
      </c>
    </row>
    <row r="86" spans="1:14" x14ac:dyDescent="0.25">
      <c r="A86" s="21" t="s">
        <v>15242</v>
      </c>
      <c r="B86" s="22" t="s">
        <v>15243</v>
      </c>
      <c r="C86" s="2">
        <v>1</v>
      </c>
      <c r="D86" s="23">
        <v>16.989999999999998</v>
      </c>
      <c r="E86" s="3">
        <v>16.989999999999998</v>
      </c>
      <c r="F86" s="2" t="s">
        <v>15809</v>
      </c>
      <c r="G86" s="22" t="s">
        <v>19315</v>
      </c>
      <c r="H86" s="24" t="s">
        <v>19339</v>
      </c>
      <c r="I86" s="22" t="s">
        <v>19309</v>
      </c>
      <c r="J86" s="22" t="s">
        <v>19310</v>
      </c>
      <c r="K86" s="22" t="s">
        <v>19873</v>
      </c>
      <c r="L86" s="22"/>
      <c r="M86" s="22"/>
      <c r="N86" s="25" t="str">
        <f>HYPERLINK("http://slimages.macys.com/is/image/MCY/19513585 ")</f>
        <v xml:space="preserve">http://slimages.macys.com/is/image/MCY/19513585 </v>
      </c>
    </row>
    <row r="87" spans="1:14" ht="24.75" x14ac:dyDescent="0.25">
      <c r="A87" s="21" t="s">
        <v>15244</v>
      </c>
      <c r="B87" s="22" t="s">
        <v>15245</v>
      </c>
      <c r="C87" s="2">
        <v>1</v>
      </c>
      <c r="D87" s="23">
        <v>16.989999999999998</v>
      </c>
      <c r="E87" s="3">
        <v>16.989999999999998</v>
      </c>
      <c r="F87" s="2" t="s">
        <v>15809</v>
      </c>
      <c r="G87" s="22" t="s">
        <v>19886</v>
      </c>
      <c r="H87" s="24" t="s">
        <v>19352</v>
      </c>
      <c r="I87" s="22" t="s">
        <v>19309</v>
      </c>
      <c r="J87" s="22" t="s">
        <v>19310</v>
      </c>
      <c r="K87" s="22" t="s">
        <v>19873</v>
      </c>
      <c r="L87" s="22"/>
      <c r="M87" s="22"/>
      <c r="N87" s="25" t="str">
        <f>HYPERLINK("http://slimages.macys.com/is/image/MCY/19513585 ")</f>
        <v xml:space="preserve">http://slimages.macys.com/is/image/MCY/19513585 </v>
      </c>
    </row>
    <row r="88" spans="1:14" x14ac:dyDescent="0.25">
      <c r="A88" s="21" t="s">
        <v>15246</v>
      </c>
      <c r="B88" s="22" t="s">
        <v>15247</v>
      </c>
      <c r="C88" s="2">
        <v>1</v>
      </c>
      <c r="D88" s="23">
        <v>16.989999999999998</v>
      </c>
      <c r="E88" s="3">
        <v>16.989999999999998</v>
      </c>
      <c r="F88" s="2" t="s">
        <v>15809</v>
      </c>
      <c r="G88" s="22" t="s">
        <v>19315</v>
      </c>
      <c r="H88" s="24" t="s">
        <v>19352</v>
      </c>
      <c r="I88" s="22" t="s">
        <v>19309</v>
      </c>
      <c r="J88" s="22" t="s">
        <v>19310</v>
      </c>
      <c r="K88" s="22" t="s">
        <v>19873</v>
      </c>
      <c r="L88" s="22"/>
      <c r="M88" s="22"/>
      <c r="N88" s="25" t="str">
        <f>HYPERLINK("http://slimages.macys.com/is/image/MCY/19513585 ")</f>
        <v xml:space="preserve">http://slimages.macys.com/is/image/MCY/19513585 </v>
      </c>
    </row>
    <row r="89" spans="1:14" ht="24.75" x14ac:dyDescent="0.25">
      <c r="A89" s="21" t="s">
        <v>15248</v>
      </c>
      <c r="B89" s="22" t="s">
        <v>15249</v>
      </c>
      <c r="C89" s="2">
        <v>1</v>
      </c>
      <c r="D89" s="23">
        <v>20.99</v>
      </c>
      <c r="E89" s="3">
        <v>20.99</v>
      </c>
      <c r="F89" s="2" t="s">
        <v>15250</v>
      </c>
      <c r="G89" s="22" t="s">
        <v>19674</v>
      </c>
      <c r="H89" s="24" t="s">
        <v>20159</v>
      </c>
      <c r="I89" s="22" t="s">
        <v>19309</v>
      </c>
      <c r="J89" s="22" t="s">
        <v>19385</v>
      </c>
      <c r="K89" s="22" t="s">
        <v>19463</v>
      </c>
      <c r="L89" s="22"/>
      <c r="M89" s="22"/>
      <c r="N89" s="25" t="str">
        <f>HYPERLINK("http://slimages.macys.com/is/image/MCY/21423727 ")</f>
        <v xml:space="preserve">http://slimages.macys.com/is/image/MCY/21423727 </v>
      </c>
    </row>
    <row r="90" spans="1:14" ht="24.75" x14ac:dyDescent="0.25">
      <c r="A90" s="21" t="s">
        <v>17844</v>
      </c>
      <c r="B90" s="22" t="s">
        <v>17845</v>
      </c>
      <c r="C90" s="2">
        <v>1</v>
      </c>
      <c r="D90" s="23">
        <v>21.43</v>
      </c>
      <c r="E90" s="3">
        <v>21.43</v>
      </c>
      <c r="F90" s="2" t="s">
        <v>17846</v>
      </c>
      <c r="G90" s="22"/>
      <c r="H90" s="24" t="s">
        <v>19345</v>
      </c>
      <c r="I90" s="22" t="s">
        <v>19309</v>
      </c>
      <c r="J90" s="22" t="s">
        <v>19602</v>
      </c>
      <c r="K90" s="22" t="s">
        <v>19603</v>
      </c>
      <c r="L90" s="22"/>
      <c r="M90" s="22"/>
      <c r="N90" s="25" t="str">
        <f>HYPERLINK("http://slimages.macys.com/is/image/MCY/21421353 ")</f>
        <v xml:space="preserve">http://slimages.macys.com/is/image/MCY/21421353 </v>
      </c>
    </row>
    <row r="91" spans="1:14" ht="24.75" x14ac:dyDescent="0.25">
      <c r="A91" s="21" t="s">
        <v>15251</v>
      </c>
      <c r="B91" s="22" t="s">
        <v>15252</v>
      </c>
      <c r="C91" s="2">
        <v>1</v>
      </c>
      <c r="D91" s="23">
        <v>21.29</v>
      </c>
      <c r="E91" s="3">
        <v>21.29</v>
      </c>
      <c r="F91" s="2" t="s">
        <v>19750</v>
      </c>
      <c r="G91" s="22"/>
      <c r="H91" s="24" t="s">
        <v>19392</v>
      </c>
      <c r="I91" s="22" t="s">
        <v>19309</v>
      </c>
      <c r="J91" s="22" t="s">
        <v>19602</v>
      </c>
      <c r="K91" s="22" t="s">
        <v>19603</v>
      </c>
      <c r="L91" s="22"/>
      <c r="M91" s="22"/>
      <c r="N91" s="25" t="str">
        <f>HYPERLINK("http://slimages.macys.com/is/image/MCY/22405986 ")</f>
        <v xml:space="preserve">http://slimages.macys.com/is/image/MCY/22405986 </v>
      </c>
    </row>
    <row r="92" spans="1:14" x14ac:dyDescent="0.25">
      <c r="A92" s="21" t="s">
        <v>19751</v>
      </c>
      <c r="B92" s="22" t="s">
        <v>19752</v>
      </c>
      <c r="C92" s="2">
        <v>2</v>
      </c>
      <c r="D92" s="23">
        <v>26.05</v>
      </c>
      <c r="E92" s="3">
        <v>52.1</v>
      </c>
      <c r="F92" s="2" t="s">
        <v>19753</v>
      </c>
      <c r="G92" s="22"/>
      <c r="H92" s="24" t="s">
        <v>19324</v>
      </c>
      <c r="I92" s="22" t="s">
        <v>19309</v>
      </c>
      <c r="J92" s="22" t="s">
        <v>19708</v>
      </c>
      <c r="K92" s="22" t="s">
        <v>19754</v>
      </c>
      <c r="L92" s="22"/>
      <c r="M92" s="22"/>
      <c r="N92" s="25" t="str">
        <f>HYPERLINK("http://slimages.macys.com/is/image/MCY/21758335 ")</f>
        <v xml:space="preserve">http://slimages.macys.com/is/image/MCY/21758335 </v>
      </c>
    </row>
    <row r="93" spans="1:14" ht="24.75" x14ac:dyDescent="0.25">
      <c r="A93" s="21" t="s">
        <v>15253</v>
      </c>
      <c r="B93" s="22" t="s">
        <v>15254</v>
      </c>
      <c r="C93" s="2">
        <v>1</v>
      </c>
      <c r="D93" s="23">
        <v>16.989999999999998</v>
      </c>
      <c r="E93" s="3">
        <v>16.989999999999998</v>
      </c>
      <c r="F93" s="2" t="s">
        <v>15255</v>
      </c>
      <c r="G93" s="22" t="s">
        <v>19467</v>
      </c>
      <c r="H93" s="24" t="s">
        <v>19542</v>
      </c>
      <c r="I93" s="22" t="s">
        <v>19309</v>
      </c>
      <c r="J93" s="22" t="s">
        <v>19447</v>
      </c>
      <c r="K93" s="22" t="s">
        <v>20146</v>
      </c>
      <c r="L93" s="22"/>
      <c r="M93" s="22"/>
      <c r="N93" s="25" t="str">
        <f>HYPERLINK("http://slimages.macys.com/is/image/MCY/20676941 ")</f>
        <v xml:space="preserve">http://slimages.macys.com/is/image/MCY/20676941 </v>
      </c>
    </row>
    <row r="94" spans="1:14" x14ac:dyDescent="0.25">
      <c r="A94" s="21" t="s">
        <v>15256</v>
      </c>
      <c r="B94" s="22" t="s">
        <v>15257</v>
      </c>
      <c r="C94" s="2">
        <v>1</v>
      </c>
      <c r="D94" s="23">
        <v>18.989999999999998</v>
      </c>
      <c r="E94" s="3">
        <v>18.989999999999998</v>
      </c>
      <c r="F94" s="2" t="s">
        <v>15258</v>
      </c>
      <c r="G94" s="22" t="s">
        <v>19794</v>
      </c>
      <c r="H94" s="24" t="s">
        <v>19308</v>
      </c>
      <c r="I94" s="22" t="s">
        <v>19309</v>
      </c>
      <c r="J94" s="22" t="s">
        <v>19310</v>
      </c>
      <c r="K94" s="22" t="s">
        <v>19311</v>
      </c>
      <c r="L94" s="22"/>
      <c r="M94" s="22"/>
      <c r="N94" s="25" t="str">
        <f>HYPERLINK("http://slimages.macys.com/is/image/MCY/19544165 ")</f>
        <v xml:space="preserve">http://slimages.macys.com/is/image/MCY/19544165 </v>
      </c>
    </row>
    <row r="95" spans="1:14" ht="24.75" x14ac:dyDescent="0.25">
      <c r="A95" s="21" t="s">
        <v>19774</v>
      </c>
      <c r="B95" s="22" t="s">
        <v>19775</v>
      </c>
      <c r="C95" s="2">
        <v>4</v>
      </c>
      <c r="D95" s="23">
        <v>19.989999999999998</v>
      </c>
      <c r="E95" s="3">
        <v>79.959999999999994</v>
      </c>
      <c r="F95" s="2" t="s">
        <v>19776</v>
      </c>
      <c r="G95" s="22" t="s">
        <v>19315</v>
      </c>
      <c r="H95" s="24"/>
      <c r="I95" s="22" t="s">
        <v>19309</v>
      </c>
      <c r="J95" s="22" t="s">
        <v>19573</v>
      </c>
      <c r="K95" s="22" t="s">
        <v>19574</v>
      </c>
      <c r="L95" s="22"/>
      <c r="M95" s="22"/>
      <c r="N95" s="25" t="str">
        <f>HYPERLINK("http://slimages.macys.com/is/image/MCY/1646345 ")</f>
        <v xml:space="preserve">http://slimages.macys.com/is/image/MCY/1646345 </v>
      </c>
    </row>
    <row r="96" spans="1:14" ht="24.75" x14ac:dyDescent="0.25">
      <c r="A96" s="21" t="s">
        <v>17862</v>
      </c>
      <c r="B96" s="22" t="s">
        <v>17863</v>
      </c>
      <c r="C96" s="2">
        <v>1</v>
      </c>
      <c r="D96" s="23">
        <v>19.989999999999998</v>
      </c>
      <c r="E96" s="3">
        <v>19.989999999999998</v>
      </c>
      <c r="F96" s="2" t="s">
        <v>19767</v>
      </c>
      <c r="G96" s="22" t="s">
        <v>19467</v>
      </c>
      <c r="H96" s="24" t="s">
        <v>19538</v>
      </c>
      <c r="I96" s="22" t="s">
        <v>19309</v>
      </c>
      <c r="J96" s="22" t="s">
        <v>19573</v>
      </c>
      <c r="K96" s="22" t="s">
        <v>19574</v>
      </c>
      <c r="L96" s="22"/>
      <c r="M96" s="22"/>
      <c r="N96" s="25" t="str">
        <f>HYPERLINK("http://slimages.macys.com/is/image/MCY/1646350 ")</f>
        <v xml:space="preserve">http://slimages.macys.com/is/image/MCY/1646350 </v>
      </c>
    </row>
    <row r="97" spans="1:14" ht="24.75" x14ac:dyDescent="0.25">
      <c r="A97" s="21" t="s">
        <v>15259</v>
      </c>
      <c r="B97" s="22" t="s">
        <v>15260</v>
      </c>
      <c r="C97" s="2">
        <v>1</v>
      </c>
      <c r="D97" s="23">
        <v>19.989999999999998</v>
      </c>
      <c r="E97" s="3">
        <v>19.989999999999998</v>
      </c>
      <c r="F97" s="2" t="s">
        <v>19776</v>
      </c>
      <c r="G97" s="22" t="s">
        <v>19315</v>
      </c>
      <c r="H97" s="24" t="s">
        <v>19384</v>
      </c>
      <c r="I97" s="22" t="s">
        <v>19309</v>
      </c>
      <c r="J97" s="22" t="s">
        <v>19573</v>
      </c>
      <c r="K97" s="22" t="s">
        <v>19574</v>
      </c>
      <c r="L97" s="22"/>
      <c r="M97" s="22"/>
      <c r="N97" s="25" t="str">
        <f>HYPERLINK("http://slimages.macys.com/is/image/MCY/1646345 ")</f>
        <v xml:space="preserve">http://slimages.macys.com/is/image/MCY/1646345 </v>
      </c>
    </row>
    <row r="98" spans="1:14" ht="24.75" x14ac:dyDescent="0.25">
      <c r="A98" s="21" t="s">
        <v>19781</v>
      </c>
      <c r="B98" s="22" t="s">
        <v>19782</v>
      </c>
      <c r="C98" s="2">
        <v>8</v>
      </c>
      <c r="D98" s="23">
        <v>19.989999999999998</v>
      </c>
      <c r="E98" s="3">
        <v>159.91999999999999</v>
      </c>
      <c r="F98" s="2" t="s">
        <v>19773</v>
      </c>
      <c r="G98" s="22" t="s">
        <v>19518</v>
      </c>
      <c r="H98" s="24" t="s">
        <v>19770</v>
      </c>
      <c r="I98" s="22" t="s">
        <v>19309</v>
      </c>
      <c r="J98" s="22" t="s">
        <v>19573</v>
      </c>
      <c r="K98" s="22" t="s">
        <v>19574</v>
      </c>
      <c r="L98" s="22"/>
      <c r="M98" s="22"/>
      <c r="N98" s="25" t="str">
        <f>HYPERLINK("http://slimages.macys.com/is/image/MCY/1646350 ")</f>
        <v xml:space="preserve">http://slimages.macys.com/is/image/MCY/1646350 </v>
      </c>
    </row>
    <row r="99" spans="1:14" ht="24.75" x14ac:dyDescent="0.25">
      <c r="A99" s="21" t="s">
        <v>19765</v>
      </c>
      <c r="B99" s="22" t="s">
        <v>19766</v>
      </c>
      <c r="C99" s="2">
        <v>5</v>
      </c>
      <c r="D99" s="23">
        <v>19.989999999999998</v>
      </c>
      <c r="E99" s="3">
        <v>99.95</v>
      </c>
      <c r="F99" s="2" t="s">
        <v>19767</v>
      </c>
      <c r="G99" s="22" t="s">
        <v>19467</v>
      </c>
      <c r="H99" s="24"/>
      <c r="I99" s="22" t="s">
        <v>19309</v>
      </c>
      <c r="J99" s="22" t="s">
        <v>19573</v>
      </c>
      <c r="K99" s="22" t="s">
        <v>19574</v>
      </c>
      <c r="L99" s="22"/>
      <c r="M99" s="22"/>
      <c r="N99" s="25" t="str">
        <f>HYPERLINK("http://slimages.macys.com/is/image/MCY/1646345 ")</f>
        <v xml:space="preserve">http://slimages.macys.com/is/image/MCY/1646345 </v>
      </c>
    </row>
    <row r="100" spans="1:14" ht="24.75" x14ac:dyDescent="0.25">
      <c r="A100" s="21" t="s">
        <v>15261</v>
      </c>
      <c r="B100" s="22" t="s">
        <v>15262</v>
      </c>
      <c r="C100" s="2">
        <v>1</v>
      </c>
      <c r="D100" s="23">
        <v>37.5</v>
      </c>
      <c r="E100" s="3">
        <v>37.5</v>
      </c>
      <c r="F100" s="2" t="s">
        <v>15263</v>
      </c>
      <c r="G100" s="22" t="s">
        <v>19315</v>
      </c>
      <c r="H100" s="24"/>
      <c r="I100" s="22" t="s">
        <v>19309</v>
      </c>
      <c r="J100" s="22" t="s">
        <v>19613</v>
      </c>
      <c r="K100" s="22" t="s">
        <v>19614</v>
      </c>
      <c r="L100" s="22"/>
      <c r="M100" s="22"/>
      <c r="N100" s="25" t="str">
        <f>HYPERLINK("http://slimages.macys.com/is/image/MCY/18885036 ")</f>
        <v xml:space="preserve">http://slimages.macys.com/is/image/MCY/18885036 </v>
      </c>
    </row>
    <row r="101" spans="1:14" ht="24.75" x14ac:dyDescent="0.25">
      <c r="A101" s="21" t="s">
        <v>17883</v>
      </c>
      <c r="B101" s="22" t="s">
        <v>17884</v>
      </c>
      <c r="C101" s="2">
        <v>1</v>
      </c>
      <c r="D101" s="23">
        <v>25.99</v>
      </c>
      <c r="E101" s="3">
        <v>25.99</v>
      </c>
      <c r="F101" s="2" t="s">
        <v>17873</v>
      </c>
      <c r="G101" s="22" t="s">
        <v>19431</v>
      </c>
      <c r="H101" s="24" t="s">
        <v>17870</v>
      </c>
      <c r="I101" s="22" t="s">
        <v>19309</v>
      </c>
      <c r="J101" s="22" t="s">
        <v>19595</v>
      </c>
      <c r="K101" s="22" t="s">
        <v>18498</v>
      </c>
      <c r="L101" s="22"/>
      <c r="M101" s="22"/>
      <c r="N101" s="25" t="str">
        <f>HYPERLINK("http://slimages.macys.com/is/image/MCY/21365806 ")</f>
        <v xml:space="preserve">http://slimages.macys.com/is/image/MCY/21365806 </v>
      </c>
    </row>
    <row r="102" spans="1:14" ht="24.75" x14ac:dyDescent="0.25">
      <c r="A102" s="21" t="s">
        <v>15264</v>
      </c>
      <c r="B102" s="22" t="s">
        <v>15265</v>
      </c>
      <c r="C102" s="2">
        <v>1</v>
      </c>
      <c r="D102" s="23">
        <v>21.99</v>
      </c>
      <c r="E102" s="3">
        <v>21.99</v>
      </c>
      <c r="F102" s="2" t="s">
        <v>19800</v>
      </c>
      <c r="G102" s="22" t="s">
        <v>19801</v>
      </c>
      <c r="H102" s="24" t="s">
        <v>19334</v>
      </c>
      <c r="I102" s="22" t="s">
        <v>19309</v>
      </c>
      <c r="J102" s="22" t="s">
        <v>19595</v>
      </c>
      <c r="K102" s="22" t="s">
        <v>19596</v>
      </c>
      <c r="L102" s="22"/>
      <c r="M102" s="22"/>
      <c r="N102" s="25" t="str">
        <f>HYPERLINK("http://slimages.macys.com/is/image/MCY/21622990 ")</f>
        <v xml:space="preserve">http://slimages.macys.com/is/image/MCY/21622990 </v>
      </c>
    </row>
    <row r="103" spans="1:14" x14ac:dyDescent="0.25">
      <c r="A103" s="21" t="s">
        <v>17888</v>
      </c>
      <c r="B103" s="22" t="s">
        <v>17889</v>
      </c>
      <c r="C103" s="2">
        <v>1</v>
      </c>
      <c r="D103" s="23">
        <v>23.29</v>
      </c>
      <c r="E103" s="3">
        <v>23.29</v>
      </c>
      <c r="F103" s="2" t="s">
        <v>17890</v>
      </c>
      <c r="G103" s="22" t="s">
        <v>19879</v>
      </c>
      <c r="H103" s="24" t="s">
        <v>19770</v>
      </c>
      <c r="I103" s="22" t="s">
        <v>19309</v>
      </c>
      <c r="J103" s="22" t="s">
        <v>19708</v>
      </c>
      <c r="K103" s="22" t="s">
        <v>19709</v>
      </c>
      <c r="L103" s="22"/>
      <c r="M103" s="22"/>
      <c r="N103" s="25" t="str">
        <f>HYPERLINK("http://slimages.macys.com/is/image/MCY/22407537 ")</f>
        <v xml:space="preserve">http://slimages.macys.com/is/image/MCY/22407537 </v>
      </c>
    </row>
    <row r="104" spans="1:14" ht="24.75" x14ac:dyDescent="0.25">
      <c r="A104" s="21" t="s">
        <v>15266</v>
      </c>
      <c r="B104" s="22" t="s">
        <v>15267</v>
      </c>
      <c r="C104" s="2">
        <v>1</v>
      </c>
      <c r="D104" s="23">
        <v>22.99</v>
      </c>
      <c r="E104" s="3">
        <v>22.99</v>
      </c>
      <c r="F104" s="2" t="s">
        <v>15268</v>
      </c>
      <c r="G104" s="22" t="s">
        <v>19415</v>
      </c>
      <c r="H104" s="24" t="s">
        <v>19797</v>
      </c>
      <c r="I104" s="22" t="s">
        <v>19309</v>
      </c>
      <c r="J104" s="22" t="s">
        <v>19353</v>
      </c>
      <c r="K104" s="22" t="s">
        <v>19524</v>
      </c>
      <c r="L104" s="22"/>
      <c r="M104" s="22"/>
      <c r="N104" s="25" t="str">
        <f>HYPERLINK("http://slimages.macys.com/is/image/MCY/21085102 ")</f>
        <v xml:space="preserve">http://slimages.macys.com/is/image/MCY/21085102 </v>
      </c>
    </row>
    <row r="105" spans="1:14" ht="24.75" x14ac:dyDescent="0.25">
      <c r="A105" s="21" t="s">
        <v>15269</v>
      </c>
      <c r="B105" s="22" t="s">
        <v>15270</v>
      </c>
      <c r="C105" s="2">
        <v>1</v>
      </c>
      <c r="D105" s="23">
        <v>24.99</v>
      </c>
      <c r="E105" s="3">
        <v>24.99</v>
      </c>
      <c r="F105" s="2" t="s">
        <v>19833</v>
      </c>
      <c r="G105" s="22"/>
      <c r="H105" s="24" t="s">
        <v>19432</v>
      </c>
      <c r="I105" s="22" t="s">
        <v>19309</v>
      </c>
      <c r="J105" s="22" t="s">
        <v>19519</v>
      </c>
      <c r="K105" s="22" t="s">
        <v>19834</v>
      </c>
      <c r="L105" s="22"/>
      <c r="M105" s="22"/>
      <c r="N105" s="25" t="str">
        <f>HYPERLINK("http://slimages.macys.com/is/image/MCY/20950688 ")</f>
        <v xml:space="preserve">http://slimages.macys.com/is/image/MCY/20950688 </v>
      </c>
    </row>
    <row r="106" spans="1:14" ht="24.75" x14ac:dyDescent="0.25">
      <c r="A106" s="21" t="s">
        <v>15271</v>
      </c>
      <c r="B106" s="22" t="s">
        <v>15272</v>
      </c>
      <c r="C106" s="2">
        <v>1</v>
      </c>
      <c r="D106" s="23">
        <v>24.99</v>
      </c>
      <c r="E106" s="3">
        <v>24.99</v>
      </c>
      <c r="F106" s="2" t="s">
        <v>15856</v>
      </c>
      <c r="G106" s="22"/>
      <c r="H106" s="24" t="s">
        <v>19432</v>
      </c>
      <c r="I106" s="22" t="s">
        <v>19309</v>
      </c>
      <c r="J106" s="22" t="s">
        <v>19519</v>
      </c>
      <c r="K106" s="22" t="s">
        <v>19834</v>
      </c>
      <c r="L106" s="22"/>
      <c r="M106" s="22"/>
      <c r="N106" s="25" t="str">
        <f>HYPERLINK("http://slimages.macys.com/is/image/MCY/21352780 ")</f>
        <v xml:space="preserve">http://slimages.macys.com/is/image/MCY/21352780 </v>
      </c>
    </row>
    <row r="107" spans="1:14" ht="24.75" x14ac:dyDescent="0.25">
      <c r="A107" s="21" t="s">
        <v>19820</v>
      </c>
      <c r="B107" s="22" t="s">
        <v>19821</v>
      </c>
      <c r="C107" s="2">
        <v>1</v>
      </c>
      <c r="D107" s="23">
        <v>18.989999999999998</v>
      </c>
      <c r="E107" s="3">
        <v>18.989999999999998</v>
      </c>
      <c r="F107" s="2" t="s">
        <v>19822</v>
      </c>
      <c r="G107" s="22" t="s">
        <v>19431</v>
      </c>
      <c r="H107" s="24" t="s">
        <v>19364</v>
      </c>
      <c r="I107" s="22" t="s">
        <v>19309</v>
      </c>
      <c r="J107" s="22" t="s">
        <v>19447</v>
      </c>
      <c r="K107" s="22" t="s">
        <v>19533</v>
      </c>
      <c r="L107" s="22"/>
      <c r="M107" s="22"/>
      <c r="N107" s="25" t="str">
        <f>HYPERLINK("http://slimages.macys.com/is/image/MCY/21150459 ")</f>
        <v xml:space="preserve">http://slimages.macys.com/is/image/MCY/21150459 </v>
      </c>
    </row>
    <row r="108" spans="1:14" x14ac:dyDescent="0.25">
      <c r="A108" s="21" t="s">
        <v>15273</v>
      </c>
      <c r="B108" s="22" t="s">
        <v>15274</v>
      </c>
      <c r="C108" s="2">
        <v>1</v>
      </c>
      <c r="D108" s="23">
        <v>16.989999999999998</v>
      </c>
      <c r="E108" s="3">
        <v>16.989999999999998</v>
      </c>
      <c r="F108" s="2" t="s">
        <v>19848</v>
      </c>
      <c r="G108" s="22" t="s">
        <v>19351</v>
      </c>
      <c r="H108" s="24" t="s">
        <v>19542</v>
      </c>
      <c r="I108" s="22" t="s">
        <v>19309</v>
      </c>
      <c r="J108" s="22" t="s">
        <v>19849</v>
      </c>
      <c r="K108" s="22" t="s">
        <v>19850</v>
      </c>
      <c r="L108" s="22"/>
      <c r="M108" s="22"/>
      <c r="N108" s="25" t="str">
        <f>HYPERLINK("http://slimages.macys.com/is/image/MCY/1504991 ")</f>
        <v xml:space="preserve">http://slimages.macys.com/is/image/MCY/1504991 </v>
      </c>
    </row>
    <row r="109" spans="1:14" ht="24.75" x14ac:dyDescent="0.25">
      <c r="A109" s="21" t="s">
        <v>17921</v>
      </c>
      <c r="B109" s="22" t="s">
        <v>17922</v>
      </c>
      <c r="C109" s="2">
        <v>1</v>
      </c>
      <c r="D109" s="23">
        <v>26.99</v>
      </c>
      <c r="E109" s="3">
        <v>26.99</v>
      </c>
      <c r="F109" s="2" t="s">
        <v>17920</v>
      </c>
      <c r="G109" s="22" t="s">
        <v>19462</v>
      </c>
      <c r="H109" s="24" t="s">
        <v>19361</v>
      </c>
      <c r="I109" s="22" t="s">
        <v>19309</v>
      </c>
      <c r="J109" s="22" t="s">
        <v>19908</v>
      </c>
      <c r="K109" s="22" t="s">
        <v>19524</v>
      </c>
      <c r="L109" s="22"/>
      <c r="M109" s="22"/>
      <c r="N109" s="25" t="str">
        <f>HYPERLINK("http://slimages.macys.com/is/image/MCY/1472562 ")</f>
        <v xml:space="preserve">http://slimages.macys.com/is/image/MCY/1472562 </v>
      </c>
    </row>
    <row r="110" spans="1:14" ht="24.75" x14ac:dyDescent="0.25">
      <c r="A110" s="21" t="s">
        <v>15275</v>
      </c>
      <c r="B110" s="22" t="s">
        <v>15276</v>
      </c>
      <c r="C110" s="2">
        <v>1</v>
      </c>
      <c r="D110" s="23">
        <v>24.99</v>
      </c>
      <c r="E110" s="3">
        <v>24.99</v>
      </c>
      <c r="F110" s="2" t="s">
        <v>19878</v>
      </c>
      <c r="G110" s="22" t="s">
        <v>19879</v>
      </c>
      <c r="H110" s="24" t="s">
        <v>19542</v>
      </c>
      <c r="I110" s="22" t="s">
        <v>19309</v>
      </c>
      <c r="J110" s="22" t="s">
        <v>19454</v>
      </c>
      <c r="K110" s="22" t="s">
        <v>19524</v>
      </c>
      <c r="L110" s="22"/>
      <c r="M110" s="22"/>
      <c r="N110" s="25" t="str">
        <f>HYPERLINK("http://slimages.macys.com/is/image/MCY/1473054 ")</f>
        <v xml:space="preserve">http://slimages.macys.com/is/image/MCY/1473054 </v>
      </c>
    </row>
    <row r="111" spans="1:14" ht="24.75" x14ac:dyDescent="0.25">
      <c r="A111" s="21" t="s">
        <v>15277</v>
      </c>
      <c r="B111" s="22" t="s">
        <v>15278</v>
      </c>
      <c r="C111" s="2">
        <v>1</v>
      </c>
      <c r="D111" s="23">
        <v>24.99</v>
      </c>
      <c r="E111" s="3">
        <v>24.99</v>
      </c>
      <c r="F111" s="2" t="s">
        <v>19878</v>
      </c>
      <c r="G111" s="22" t="s">
        <v>19879</v>
      </c>
      <c r="H111" s="24" t="s">
        <v>20135</v>
      </c>
      <c r="I111" s="22" t="s">
        <v>19309</v>
      </c>
      <c r="J111" s="22" t="s">
        <v>19454</v>
      </c>
      <c r="K111" s="22" t="s">
        <v>19524</v>
      </c>
      <c r="L111" s="22"/>
      <c r="M111" s="22"/>
      <c r="N111" s="25" t="str">
        <f>HYPERLINK("http://slimages.macys.com/is/image/MCY/1473054 ")</f>
        <v xml:space="preserve">http://slimages.macys.com/is/image/MCY/1473054 </v>
      </c>
    </row>
    <row r="112" spans="1:14" ht="24.75" x14ac:dyDescent="0.25">
      <c r="A112" s="21" t="s">
        <v>15279</v>
      </c>
      <c r="B112" s="22" t="s">
        <v>15280</v>
      </c>
      <c r="C112" s="2">
        <v>1</v>
      </c>
      <c r="D112" s="23">
        <v>24.99</v>
      </c>
      <c r="E112" s="3">
        <v>24.99</v>
      </c>
      <c r="F112" s="2" t="s">
        <v>15281</v>
      </c>
      <c r="G112" s="22" t="s">
        <v>19342</v>
      </c>
      <c r="H112" s="24" t="s">
        <v>19384</v>
      </c>
      <c r="I112" s="22" t="s">
        <v>19309</v>
      </c>
      <c r="J112" s="22" t="s">
        <v>19491</v>
      </c>
      <c r="K112" s="22" t="s">
        <v>19554</v>
      </c>
      <c r="L112" s="22"/>
      <c r="M112" s="22"/>
      <c r="N112" s="25" t="str">
        <f>HYPERLINK("http://slimages.macys.com/is/image/MCY/21110824 ")</f>
        <v xml:space="preserve">http://slimages.macys.com/is/image/MCY/21110824 </v>
      </c>
    </row>
    <row r="113" spans="1:14" x14ac:dyDescent="0.25">
      <c r="A113" s="21" t="s">
        <v>15282</v>
      </c>
      <c r="B113" s="22" t="s">
        <v>15283</v>
      </c>
      <c r="C113" s="2">
        <v>1</v>
      </c>
      <c r="D113" s="23">
        <v>22.52</v>
      </c>
      <c r="E113" s="3">
        <v>22.52</v>
      </c>
      <c r="F113" s="2" t="s">
        <v>15284</v>
      </c>
      <c r="G113" s="22"/>
      <c r="H113" s="24" t="s">
        <v>19367</v>
      </c>
      <c r="I113" s="22" t="s">
        <v>19309</v>
      </c>
      <c r="J113" s="22" t="s">
        <v>19708</v>
      </c>
      <c r="K113" s="22" t="s">
        <v>19709</v>
      </c>
      <c r="L113" s="22"/>
      <c r="M113" s="22"/>
      <c r="N113" s="25" t="str">
        <f>HYPERLINK("http://slimages.macys.com/is/image/MCY/19836144 ")</f>
        <v xml:space="preserve">http://slimages.macys.com/is/image/MCY/19836144 </v>
      </c>
    </row>
    <row r="114" spans="1:14" x14ac:dyDescent="0.25">
      <c r="A114" s="21" t="s">
        <v>15285</v>
      </c>
      <c r="B114" s="22" t="s">
        <v>15286</v>
      </c>
      <c r="C114" s="2">
        <v>1</v>
      </c>
      <c r="D114" s="23">
        <v>18.329999999999998</v>
      </c>
      <c r="E114" s="3">
        <v>18.329999999999998</v>
      </c>
      <c r="F114" s="2" t="s">
        <v>15287</v>
      </c>
      <c r="G114" s="22" t="s">
        <v>19342</v>
      </c>
      <c r="H114" s="24" t="s">
        <v>19361</v>
      </c>
      <c r="I114" s="22" t="s">
        <v>19309</v>
      </c>
      <c r="J114" s="22" t="s">
        <v>19514</v>
      </c>
      <c r="K114" s="22" t="s">
        <v>17948</v>
      </c>
      <c r="L114" s="22"/>
      <c r="M114" s="22"/>
      <c r="N114" s="25" t="str">
        <f>HYPERLINK("http://slimages.macys.com/is/image/MCY/21701099 ")</f>
        <v xml:space="preserve">http://slimages.macys.com/is/image/MCY/21701099 </v>
      </c>
    </row>
    <row r="115" spans="1:14" ht="24.75" x14ac:dyDescent="0.25">
      <c r="A115" s="21" t="s">
        <v>15288</v>
      </c>
      <c r="B115" s="22" t="s">
        <v>15289</v>
      </c>
      <c r="C115" s="2">
        <v>1</v>
      </c>
      <c r="D115" s="23">
        <v>17.989999999999998</v>
      </c>
      <c r="E115" s="3">
        <v>17.989999999999998</v>
      </c>
      <c r="F115" s="2" t="s">
        <v>15290</v>
      </c>
      <c r="G115" s="22" t="s">
        <v>19351</v>
      </c>
      <c r="H115" s="24" t="s">
        <v>19797</v>
      </c>
      <c r="I115" s="22" t="s">
        <v>19309</v>
      </c>
      <c r="J115" s="22" t="s">
        <v>19447</v>
      </c>
      <c r="K115" s="22" t="s">
        <v>19533</v>
      </c>
      <c r="L115" s="22"/>
      <c r="M115" s="22"/>
      <c r="N115" s="25" t="str">
        <f>HYPERLINK("http://slimages.macys.com/is/image/MCY/20930989 ")</f>
        <v xml:space="preserve">http://slimages.macys.com/is/image/MCY/20930989 </v>
      </c>
    </row>
    <row r="116" spans="1:14" ht="24.75" x14ac:dyDescent="0.25">
      <c r="A116" s="21" t="s">
        <v>17954</v>
      </c>
      <c r="B116" s="22" t="s">
        <v>17955</v>
      </c>
      <c r="C116" s="2">
        <v>1</v>
      </c>
      <c r="D116" s="23">
        <v>17.989999999999998</v>
      </c>
      <c r="E116" s="3">
        <v>17.989999999999998</v>
      </c>
      <c r="F116" s="2" t="s">
        <v>17956</v>
      </c>
      <c r="G116" s="22" t="s">
        <v>19351</v>
      </c>
      <c r="H116" s="24" t="s">
        <v>19797</v>
      </c>
      <c r="I116" s="22" t="s">
        <v>19309</v>
      </c>
      <c r="J116" s="22" t="s">
        <v>19447</v>
      </c>
      <c r="K116" s="22" t="s">
        <v>19533</v>
      </c>
      <c r="L116" s="22"/>
      <c r="M116" s="22"/>
      <c r="N116" s="25" t="str">
        <f>HYPERLINK("http://slimages.macys.com/is/image/MCY/21253722 ")</f>
        <v xml:space="preserve">http://slimages.macys.com/is/image/MCY/21253722 </v>
      </c>
    </row>
    <row r="117" spans="1:14" ht="24.75" x14ac:dyDescent="0.25">
      <c r="A117" s="21" t="s">
        <v>15291</v>
      </c>
      <c r="B117" s="22" t="s">
        <v>15292</v>
      </c>
      <c r="C117" s="2">
        <v>1</v>
      </c>
      <c r="D117" s="23">
        <v>17.989999999999998</v>
      </c>
      <c r="E117" s="3">
        <v>17.989999999999998</v>
      </c>
      <c r="F117" s="2" t="s">
        <v>15293</v>
      </c>
      <c r="G117" s="22" t="s">
        <v>19415</v>
      </c>
      <c r="H117" s="24" t="s">
        <v>19797</v>
      </c>
      <c r="I117" s="22" t="s">
        <v>19309</v>
      </c>
      <c r="J117" s="22" t="s">
        <v>19447</v>
      </c>
      <c r="K117" s="22" t="s">
        <v>19533</v>
      </c>
      <c r="L117" s="22"/>
      <c r="M117" s="22"/>
      <c r="N117" s="25" t="str">
        <f>HYPERLINK("http://slimages.macys.com/is/image/MCY/21151516 ")</f>
        <v xml:space="preserve">http://slimages.macys.com/is/image/MCY/21151516 </v>
      </c>
    </row>
    <row r="118" spans="1:14" x14ac:dyDescent="0.25">
      <c r="A118" s="21" t="s">
        <v>15294</v>
      </c>
      <c r="B118" s="22" t="s">
        <v>15295</v>
      </c>
      <c r="C118" s="2">
        <v>1</v>
      </c>
      <c r="D118" s="23">
        <v>20.99</v>
      </c>
      <c r="E118" s="3">
        <v>20.99</v>
      </c>
      <c r="F118" s="2" t="s">
        <v>15296</v>
      </c>
      <c r="G118" s="22"/>
      <c r="H118" s="24"/>
      <c r="I118" s="22" t="s">
        <v>19309</v>
      </c>
      <c r="J118" s="22" t="s">
        <v>19696</v>
      </c>
      <c r="K118" s="22" t="s">
        <v>15978</v>
      </c>
      <c r="L118" s="22"/>
      <c r="M118" s="22"/>
      <c r="N118" s="25" t="str">
        <f>HYPERLINK("http://slimages.macys.com/is/image/MCY/21408732 ")</f>
        <v xml:space="preserve">http://slimages.macys.com/is/image/MCY/21408732 </v>
      </c>
    </row>
    <row r="119" spans="1:14" ht="24.75" x14ac:dyDescent="0.25">
      <c r="A119" s="21" t="s">
        <v>15297</v>
      </c>
      <c r="B119" s="22" t="s">
        <v>15298</v>
      </c>
      <c r="C119" s="2">
        <v>1</v>
      </c>
      <c r="D119" s="23">
        <v>19.989999999999998</v>
      </c>
      <c r="E119" s="3">
        <v>19.989999999999998</v>
      </c>
      <c r="F119" s="2" t="s">
        <v>15299</v>
      </c>
      <c r="G119" s="22" t="s">
        <v>19342</v>
      </c>
      <c r="H119" s="24" t="s">
        <v>19416</v>
      </c>
      <c r="I119" s="22" t="s">
        <v>19309</v>
      </c>
      <c r="J119" s="22" t="s">
        <v>19385</v>
      </c>
      <c r="K119" s="22" t="s">
        <v>18064</v>
      </c>
      <c r="L119" s="22"/>
      <c r="M119" s="22"/>
      <c r="N119" s="25" t="str">
        <f>HYPERLINK("http://slimages.macys.com/is/image/MCY/19472428 ")</f>
        <v xml:space="preserve">http://slimages.macys.com/is/image/MCY/19472428 </v>
      </c>
    </row>
    <row r="120" spans="1:14" ht="24.75" x14ac:dyDescent="0.25">
      <c r="A120" s="21" t="s">
        <v>15300</v>
      </c>
      <c r="B120" s="22" t="s">
        <v>15301</v>
      </c>
      <c r="C120" s="2">
        <v>2</v>
      </c>
      <c r="D120" s="23">
        <v>18.989999999999998</v>
      </c>
      <c r="E120" s="3">
        <v>37.979999999999997</v>
      </c>
      <c r="F120" s="2" t="s">
        <v>15302</v>
      </c>
      <c r="G120" s="22" t="s">
        <v>19814</v>
      </c>
      <c r="H120" s="24" t="s">
        <v>19308</v>
      </c>
      <c r="I120" s="22" t="s">
        <v>19309</v>
      </c>
      <c r="J120" s="22" t="s">
        <v>19815</v>
      </c>
      <c r="K120" s="22" t="s">
        <v>19816</v>
      </c>
      <c r="L120" s="22"/>
      <c r="M120" s="22"/>
      <c r="N120" s="25" t="str">
        <f>HYPERLINK("http://slimages.macys.com/is/image/MCY/20549845 ")</f>
        <v xml:space="preserve">http://slimages.macys.com/is/image/MCY/20549845 </v>
      </c>
    </row>
    <row r="121" spans="1:14" ht="24.75" x14ac:dyDescent="0.25">
      <c r="A121" s="21" t="s">
        <v>15303</v>
      </c>
      <c r="B121" s="22" t="s">
        <v>15304</v>
      </c>
      <c r="C121" s="2">
        <v>3</v>
      </c>
      <c r="D121" s="23">
        <v>18.989999999999998</v>
      </c>
      <c r="E121" s="3">
        <v>56.97</v>
      </c>
      <c r="F121" s="2" t="s">
        <v>15302</v>
      </c>
      <c r="G121" s="22" t="s">
        <v>19814</v>
      </c>
      <c r="H121" s="24" t="s">
        <v>19364</v>
      </c>
      <c r="I121" s="22" t="s">
        <v>19309</v>
      </c>
      <c r="J121" s="22" t="s">
        <v>19815</v>
      </c>
      <c r="K121" s="22" t="s">
        <v>19816</v>
      </c>
      <c r="L121" s="22"/>
      <c r="M121" s="22"/>
      <c r="N121" s="25" t="str">
        <f>HYPERLINK("http://slimages.macys.com/is/image/MCY/20549845 ")</f>
        <v xml:space="preserve">http://slimages.macys.com/is/image/MCY/20549845 </v>
      </c>
    </row>
    <row r="122" spans="1:14" ht="24.75" x14ac:dyDescent="0.25">
      <c r="A122" s="21" t="s">
        <v>15305</v>
      </c>
      <c r="B122" s="22" t="s">
        <v>15306</v>
      </c>
      <c r="C122" s="2">
        <v>4</v>
      </c>
      <c r="D122" s="23">
        <v>18.989999999999998</v>
      </c>
      <c r="E122" s="3">
        <v>75.959999999999994</v>
      </c>
      <c r="F122" s="2" t="s">
        <v>15302</v>
      </c>
      <c r="G122" s="22" t="s">
        <v>19315</v>
      </c>
      <c r="H122" s="24" t="s">
        <v>19364</v>
      </c>
      <c r="I122" s="22" t="s">
        <v>19309</v>
      </c>
      <c r="J122" s="22" t="s">
        <v>19815</v>
      </c>
      <c r="K122" s="22" t="s">
        <v>19816</v>
      </c>
      <c r="L122" s="22"/>
      <c r="M122" s="22"/>
      <c r="N122" s="25" t="str">
        <f>HYPERLINK("http://slimages.macys.com/is/image/MCY/1107473 ")</f>
        <v xml:space="preserve">http://slimages.macys.com/is/image/MCY/1107473 </v>
      </c>
    </row>
    <row r="123" spans="1:14" ht="24.75" x14ac:dyDescent="0.25">
      <c r="A123" s="21" t="s">
        <v>15307</v>
      </c>
      <c r="B123" s="22" t="s">
        <v>15308</v>
      </c>
      <c r="C123" s="2">
        <v>2</v>
      </c>
      <c r="D123" s="23">
        <v>18.989999999999998</v>
      </c>
      <c r="E123" s="3">
        <v>37.979999999999997</v>
      </c>
      <c r="F123" s="2" t="s">
        <v>15302</v>
      </c>
      <c r="G123" s="22" t="s">
        <v>19315</v>
      </c>
      <c r="H123" s="24" t="s">
        <v>19308</v>
      </c>
      <c r="I123" s="22" t="s">
        <v>19309</v>
      </c>
      <c r="J123" s="22" t="s">
        <v>19815</v>
      </c>
      <c r="K123" s="22" t="s">
        <v>19816</v>
      </c>
      <c r="L123" s="22"/>
      <c r="M123" s="22"/>
      <c r="N123" s="25" t="str">
        <f>HYPERLINK("http://slimages.macys.com/is/image/MCY/1107473 ")</f>
        <v xml:space="preserve">http://slimages.macys.com/is/image/MCY/1107473 </v>
      </c>
    </row>
    <row r="124" spans="1:14" ht="24.75" x14ac:dyDescent="0.25">
      <c r="A124" s="21" t="s">
        <v>15309</v>
      </c>
      <c r="B124" s="22" t="s">
        <v>15310</v>
      </c>
      <c r="C124" s="2">
        <v>2</v>
      </c>
      <c r="D124" s="23">
        <v>18.989999999999998</v>
      </c>
      <c r="E124" s="3">
        <v>37.979999999999997</v>
      </c>
      <c r="F124" s="2" t="s">
        <v>15302</v>
      </c>
      <c r="G124" s="22" t="s">
        <v>19315</v>
      </c>
      <c r="H124" s="24" t="s">
        <v>19352</v>
      </c>
      <c r="I124" s="22" t="s">
        <v>19309</v>
      </c>
      <c r="J124" s="22" t="s">
        <v>19815</v>
      </c>
      <c r="K124" s="22" t="s">
        <v>19816</v>
      </c>
      <c r="L124" s="22"/>
      <c r="M124" s="22"/>
      <c r="N124" s="25" t="str">
        <f>HYPERLINK("http://slimages.macys.com/is/image/MCY/1107473 ")</f>
        <v xml:space="preserve">http://slimages.macys.com/is/image/MCY/1107473 </v>
      </c>
    </row>
    <row r="125" spans="1:14" ht="24.75" x14ac:dyDescent="0.25">
      <c r="A125" s="21" t="s">
        <v>15311</v>
      </c>
      <c r="B125" s="22" t="s">
        <v>15312</v>
      </c>
      <c r="C125" s="2">
        <v>1</v>
      </c>
      <c r="D125" s="23">
        <v>18.989999999999998</v>
      </c>
      <c r="E125" s="3">
        <v>18.989999999999998</v>
      </c>
      <c r="F125" s="2" t="s">
        <v>15302</v>
      </c>
      <c r="G125" s="22" t="s">
        <v>19315</v>
      </c>
      <c r="H125" s="24" t="s">
        <v>19339</v>
      </c>
      <c r="I125" s="22" t="s">
        <v>19309</v>
      </c>
      <c r="J125" s="22" t="s">
        <v>19815</v>
      </c>
      <c r="K125" s="22" t="s">
        <v>19816</v>
      </c>
      <c r="L125" s="22"/>
      <c r="M125" s="22"/>
      <c r="N125" s="25" t="str">
        <f>HYPERLINK("http://slimages.macys.com/is/image/MCY/1107473 ")</f>
        <v xml:space="preserve">http://slimages.macys.com/is/image/MCY/1107473 </v>
      </c>
    </row>
    <row r="126" spans="1:14" ht="24.75" x14ac:dyDescent="0.25">
      <c r="A126" s="21" t="s">
        <v>15313</v>
      </c>
      <c r="B126" s="22" t="s">
        <v>15314</v>
      </c>
      <c r="C126" s="2">
        <v>2</v>
      </c>
      <c r="D126" s="23">
        <v>18.989999999999998</v>
      </c>
      <c r="E126" s="3">
        <v>37.979999999999997</v>
      </c>
      <c r="F126" s="2" t="s">
        <v>15302</v>
      </c>
      <c r="G126" s="22" t="s">
        <v>19814</v>
      </c>
      <c r="H126" s="24" t="s">
        <v>19352</v>
      </c>
      <c r="I126" s="22" t="s">
        <v>19309</v>
      </c>
      <c r="J126" s="22" t="s">
        <v>19815</v>
      </c>
      <c r="K126" s="22" t="s">
        <v>19816</v>
      </c>
      <c r="L126" s="22"/>
      <c r="M126" s="22"/>
      <c r="N126" s="25" t="str">
        <f>HYPERLINK("http://slimages.macys.com/is/image/MCY/20549845 ")</f>
        <v xml:space="preserve">http://slimages.macys.com/is/image/MCY/20549845 </v>
      </c>
    </row>
    <row r="127" spans="1:14" ht="24.75" x14ac:dyDescent="0.25">
      <c r="A127" s="21" t="s">
        <v>15315</v>
      </c>
      <c r="B127" s="22" t="s">
        <v>15316</v>
      </c>
      <c r="C127" s="2">
        <v>1</v>
      </c>
      <c r="D127" s="23">
        <v>18.989999999999998</v>
      </c>
      <c r="E127" s="3">
        <v>18.989999999999998</v>
      </c>
      <c r="F127" s="2" t="s">
        <v>15302</v>
      </c>
      <c r="G127" s="22" t="s">
        <v>19814</v>
      </c>
      <c r="H127" s="24" t="s">
        <v>19339</v>
      </c>
      <c r="I127" s="22" t="s">
        <v>19309</v>
      </c>
      <c r="J127" s="22" t="s">
        <v>19815</v>
      </c>
      <c r="K127" s="22" t="s">
        <v>19816</v>
      </c>
      <c r="L127" s="22"/>
      <c r="M127" s="22"/>
      <c r="N127" s="25" t="str">
        <f>HYPERLINK("http://slimages.macys.com/is/image/MCY/20549845 ")</f>
        <v xml:space="preserve">http://slimages.macys.com/is/image/MCY/20549845 </v>
      </c>
    </row>
    <row r="128" spans="1:14" ht="24.75" x14ac:dyDescent="0.25">
      <c r="A128" s="21" t="s">
        <v>15317</v>
      </c>
      <c r="B128" s="22" t="s">
        <v>15318</v>
      </c>
      <c r="C128" s="2">
        <v>1</v>
      </c>
      <c r="D128" s="23">
        <v>20.99</v>
      </c>
      <c r="E128" s="3">
        <v>20.99</v>
      </c>
      <c r="F128" s="2" t="s">
        <v>15319</v>
      </c>
      <c r="G128" s="22" t="s">
        <v>19467</v>
      </c>
      <c r="H128" s="24" t="s">
        <v>19416</v>
      </c>
      <c r="I128" s="22" t="s">
        <v>19309</v>
      </c>
      <c r="J128" s="22" t="s">
        <v>19573</v>
      </c>
      <c r="K128" s="22" t="s">
        <v>19574</v>
      </c>
      <c r="L128" s="22"/>
      <c r="M128" s="22"/>
      <c r="N128" s="25" t="str">
        <f>HYPERLINK("http://slimages.macys.com/is/image/MCY/19977924 ")</f>
        <v xml:space="preserve">http://slimages.macys.com/is/image/MCY/19977924 </v>
      </c>
    </row>
    <row r="129" spans="1:14" ht="24.75" x14ac:dyDescent="0.25">
      <c r="A129" s="21" t="s">
        <v>15320</v>
      </c>
      <c r="B129" s="22" t="s">
        <v>15321</v>
      </c>
      <c r="C129" s="2">
        <v>1</v>
      </c>
      <c r="D129" s="23">
        <v>24.99</v>
      </c>
      <c r="E129" s="3">
        <v>24.99</v>
      </c>
      <c r="F129" s="2" t="s">
        <v>15322</v>
      </c>
      <c r="G129" s="22" t="s">
        <v>19338</v>
      </c>
      <c r="H129" s="24" t="s">
        <v>19542</v>
      </c>
      <c r="I129" s="22" t="s">
        <v>19309</v>
      </c>
      <c r="J129" s="22" t="s">
        <v>19454</v>
      </c>
      <c r="K129" s="22" t="s">
        <v>19524</v>
      </c>
      <c r="L129" s="22"/>
      <c r="M129" s="22"/>
      <c r="N129" s="25" t="str">
        <f>HYPERLINK("http://slimages.macys.com/is/image/MCY/1505311 ")</f>
        <v xml:space="preserve">http://slimages.macys.com/is/image/MCY/1505311 </v>
      </c>
    </row>
    <row r="130" spans="1:14" ht="24.75" x14ac:dyDescent="0.25">
      <c r="A130" s="21" t="s">
        <v>17967</v>
      </c>
      <c r="B130" s="22" t="s">
        <v>17968</v>
      </c>
      <c r="C130" s="2">
        <v>1</v>
      </c>
      <c r="D130" s="23">
        <v>18.989999999999998</v>
      </c>
      <c r="E130" s="3">
        <v>18.989999999999998</v>
      </c>
      <c r="F130" s="2" t="s">
        <v>19914</v>
      </c>
      <c r="G130" s="22" t="s">
        <v>19713</v>
      </c>
      <c r="H130" s="24" t="s">
        <v>19770</v>
      </c>
      <c r="I130" s="22" t="s">
        <v>19309</v>
      </c>
      <c r="J130" s="22" t="s">
        <v>19573</v>
      </c>
      <c r="K130" s="22" t="s">
        <v>19574</v>
      </c>
      <c r="L130" s="22"/>
      <c r="M130" s="22"/>
      <c r="N130" s="25" t="str">
        <f>HYPERLINK("http://slimages.macys.com/is/image/MCY/1322715 ")</f>
        <v xml:space="preserve">http://slimages.macys.com/is/image/MCY/1322715 </v>
      </c>
    </row>
    <row r="131" spans="1:14" x14ac:dyDescent="0.25">
      <c r="A131" s="21" t="s">
        <v>15323</v>
      </c>
      <c r="B131" s="22" t="s">
        <v>15324</v>
      </c>
      <c r="C131" s="2">
        <v>1</v>
      </c>
      <c r="D131" s="23">
        <v>13.99</v>
      </c>
      <c r="E131" s="3">
        <v>13.99</v>
      </c>
      <c r="F131" s="2" t="s">
        <v>15325</v>
      </c>
      <c r="G131" s="22" t="s">
        <v>19333</v>
      </c>
      <c r="H131" s="24" t="s">
        <v>19345</v>
      </c>
      <c r="I131" s="22" t="s">
        <v>19309</v>
      </c>
      <c r="J131" s="22" t="s">
        <v>19310</v>
      </c>
      <c r="K131" s="22" t="s">
        <v>19440</v>
      </c>
      <c r="L131" s="22"/>
      <c r="M131" s="22"/>
      <c r="N131" s="25" t="str">
        <f>HYPERLINK("http://slimages.macys.com/is/image/MCY/18950268 ")</f>
        <v xml:space="preserve">http://slimages.macys.com/is/image/MCY/18950268 </v>
      </c>
    </row>
    <row r="132" spans="1:14" x14ac:dyDescent="0.25">
      <c r="A132" s="21" t="s">
        <v>15326</v>
      </c>
      <c r="B132" s="22" t="s">
        <v>15327</v>
      </c>
      <c r="C132" s="2">
        <v>1</v>
      </c>
      <c r="D132" s="23">
        <v>13.99</v>
      </c>
      <c r="E132" s="3">
        <v>13.99</v>
      </c>
      <c r="F132" s="2" t="s">
        <v>15325</v>
      </c>
      <c r="G132" s="22" t="s">
        <v>19333</v>
      </c>
      <c r="H132" s="24" t="s">
        <v>19334</v>
      </c>
      <c r="I132" s="22" t="s">
        <v>19309</v>
      </c>
      <c r="J132" s="22" t="s">
        <v>19310</v>
      </c>
      <c r="K132" s="22" t="s">
        <v>19440</v>
      </c>
      <c r="L132" s="22"/>
      <c r="M132" s="22"/>
      <c r="N132" s="25" t="str">
        <f>HYPERLINK("http://slimages.macys.com/is/image/MCY/18950268 ")</f>
        <v xml:space="preserve">http://slimages.macys.com/is/image/MCY/18950268 </v>
      </c>
    </row>
    <row r="133" spans="1:14" x14ac:dyDescent="0.25">
      <c r="A133" s="21" t="s">
        <v>15328</v>
      </c>
      <c r="B133" s="22" t="s">
        <v>15329</v>
      </c>
      <c r="C133" s="2">
        <v>1</v>
      </c>
      <c r="D133" s="23">
        <v>13.99</v>
      </c>
      <c r="E133" s="3">
        <v>13.99</v>
      </c>
      <c r="F133" s="2" t="s">
        <v>15325</v>
      </c>
      <c r="G133" s="22" t="s">
        <v>19333</v>
      </c>
      <c r="H133" s="24" t="s">
        <v>19361</v>
      </c>
      <c r="I133" s="22" t="s">
        <v>19309</v>
      </c>
      <c r="J133" s="22" t="s">
        <v>19310</v>
      </c>
      <c r="K133" s="22" t="s">
        <v>19440</v>
      </c>
      <c r="L133" s="22"/>
      <c r="M133" s="22"/>
      <c r="N133" s="25" t="str">
        <f>HYPERLINK("http://slimages.macys.com/is/image/MCY/18950268 ")</f>
        <v xml:space="preserve">http://slimages.macys.com/is/image/MCY/18950268 </v>
      </c>
    </row>
    <row r="134" spans="1:14" ht="24.75" x14ac:dyDescent="0.25">
      <c r="A134" s="21" t="s">
        <v>15330</v>
      </c>
      <c r="B134" s="22" t="s">
        <v>15331</v>
      </c>
      <c r="C134" s="2">
        <v>1</v>
      </c>
      <c r="D134" s="23">
        <v>24.99</v>
      </c>
      <c r="E134" s="3">
        <v>24.99</v>
      </c>
      <c r="F134" s="2" t="s">
        <v>15332</v>
      </c>
      <c r="G134" s="22" t="s">
        <v>19338</v>
      </c>
      <c r="H134" s="24" t="s">
        <v>19432</v>
      </c>
      <c r="I134" s="22" t="s">
        <v>19309</v>
      </c>
      <c r="J134" s="22" t="s">
        <v>19454</v>
      </c>
      <c r="K134" s="22" t="s">
        <v>19524</v>
      </c>
      <c r="L134" s="22"/>
      <c r="M134" s="22"/>
      <c r="N134" s="25" t="str">
        <f>HYPERLINK("http://slimages.macys.com/is/image/MCY/21569832 ")</f>
        <v xml:space="preserve">http://slimages.macys.com/is/image/MCY/21569832 </v>
      </c>
    </row>
    <row r="135" spans="1:14" ht="24.75" x14ac:dyDescent="0.25">
      <c r="A135" s="21" t="s">
        <v>15333</v>
      </c>
      <c r="B135" s="22" t="s">
        <v>15334</v>
      </c>
      <c r="C135" s="2">
        <v>1</v>
      </c>
      <c r="D135" s="23">
        <v>24.99</v>
      </c>
      <c r="E135" s="3">
        <v>24.99</v>
      </c>
      <c r="F135" s="2" t="s">
        <v>15335</v>
      </c>
      <c r="G135" s="22" t="s">
        <v>19338</v>
      </c>
      <c r="H135" s="24" t="s">
        <v>19907</v>
      </c>
      <c r="I135" s="22" t="s">
        <v>19309</v>
      </c>
      <c r="J135" s="22" t="s">
        <v>19454</v>
      </c>
      <c r="K135" s="22" t="s">
        <v>19524</v>
      </c>
      <c r="L135" s="22"/>
      <c r="M135" s="22"/>
      <c r="N135" s="25" t="str">
        <f>HYPERLINK("http://slimages.macys.com/is/image/MCY/1473054 ")</f>
        <v xml:space="preserve">http://slimages.macys.com/is/image/MCY/1473054 </v>
      </c>
    </row>
    <row r="136" spans="1:14" ht="24.75" x14ac:dyDescent="0.25">
      <c r="A136" s="21" t="s">
        <v>15336</v>
      </c>
      <c r="B136" s="22" t="s">
        <v>15337</v>
      </c>
      <c r="C136" s="2">
        <v>1</v>
      </c>
      <c r="D136" s="23">
        <v>24.99</v>
      </c>
      <c r="E136" s="3">
        <v>24.99</v>
      </c>
      <c r="F136" s="2" t="s">
        <v>15338</v>
      </c>
      <c r="G136" s="22" t="s">
        <v>19351</v>
      </c>
      <c r="H136" s="24" t="s">
        <v>19392</v>
      </c>
      <c r="I136" s="22" t="s">
        <v>19309</v>
      </c>
      <c r="J136" s="22" t="s">
        <v>19454</v>
      </c>
      <c r="K136" s="22" t="s">
        <v>19524</v>
      </c>
      <c r="L136" s="22"/>
      <c r="M136" s="22"/>
      <c r="N136" s="25" t="str">
        <f>HYPERLINK("http://slimages.macys.com/is/image/MCY/21569845 ")</f>
        <v xml:space="preserve">http://slimages.macys.com/is/image/MCY/21569845 </v>
      </c>
    </row>
    <row r="137" spans="1:14" ht="24.75" x14ac:dyDescent="0.25">
      <c r="A137" s="21" t="s">
        <v>15339</v>
      </c>
      <c r="B137" s="22" t="s">
        <v>15340</v>
      </c>
      <c r="C137" s="2">
        <v>1</v>
      </c>
      <c r="D137" s="23">
        <v>24.99</v>
      </c>
      <c r="E137" s="3">
        <v>24.99</v>
      </c>
      <c r="F137" s="2" t="s">
        <v>15332</v>
      </c>
      <c r="G137" s="22" t="s">
        <v>19338</v>
      </c>
      <c r="H137" s="24" t="s">
        <v>19392</v>
      </c>
      <c r="I137" s="22" t="s">
        <v>19309</v>
      </c>
      <c r="J137" s="22" t="s">
        <v>19454</v>
      </c>
      <c r="K137" s="22" t="s">
        <v>19524</v>
      </c>
      <c r="L137" s="22"/>
      <c r="M137" s="22"/>
      <c r="N137" s="25" t="str">
        <f>HYPERLINK("http://slimages.macys.com/is/image/MCY/21569835 ")</f>
        <v xml:space="preserve">http://slimages.macys.com/is/image/MCY/21569835 </v>
      </c>
    </row>
    <row r="138" spans="1:14" ht="24.75" x14ac:dyDescent="0.25">
      <c r="A138" s="21" t="s">
        <v>15341</v>
      </c>
      <c r="B138" s="22" t="s">
        <v>15342</v>
      </c>
      <c r="C138" s="2">
        <v>1</v>
      </c>
      <c r="D138" s="23">
        <v>19.989999999999998</v>
      </c>
      <c r="E138" s="3">
        <v>19.989999999999998</v>
      </c>
      <c r="F138" s="2" t="s">
        <v>15343</v>
      </c>
      <c r="G138" s="22" t="s">
        <v>19585</v>
      </c>
      <c r="H138" s="24"/>
      <c r="I138" s="22" t="s">
        <v>19309</v>
      </c>
      <c r="J138" s="22" t="s">
        <v>19573</v>
      </c>
      <c r="K138" s="22" t="s">
        <v>19574</v>
      </c>
      <c r="L138" s="22"/>
      <c r="M138" s="22"/>
      <c r="N138" s="25" t="str">
        <f>HYPERLINK("http://slimages.macys.com/is/image/MCY/1000469 ")</f>
        <v xml:space="preserve">http://slimages.macys.com/is/image/MCY/1000469 </v>
      </c>
    </row>
    <row r="139" spans="1:14" x14ac:dyDescent="0.25">
      <c r="A139" s="21" t="s">
        <v>15344</v>
      </c>
      <c r="B139" s="22" t="s">
        <v>15345</v>
      </c>
      <c r="C139" s="2">
        <v>1</v>
      </c>
      <c r="D139" s="23">
        <v>17.100000000000001</v>
      </c>
      <c r="E139" s="3">
        <v>17.100000000000001</v>
      </c>
      <c r="F139" s="2" t="s">
        <v>15346</v>
      </c>
      <c r="G139" s="22" t="s">
        <v>19342</v>
      </c>
      <c r="H139" s="24" t="s">
        <v>20152</v>
      </c>
      <c r="I139" s="22" t="s">
        <v>19309</v>
      </c>
      <c r="J139" s="22" t="s">
        <v>19708</v>
      </c>
      <c r="K139" s="22" t="s">
        <v>19709</v>
      </c>
      <c r="L139" s="22"/>
      <c r="M139" s="22"/>
      <c r="N139" s="25" t="str">
        <f>HYPERLINK("http://slimages.macys.com/is/image/MCY/17248968 ")</f>
        <v xml:space="preserve">http://slimages.macys.com/is/image/MCY/17248968 </v>
      </c>
    </row>
    <row r="140" spans="1:14" x14ac:dyDescent="0.25">
      <c r="A140" s="21" t="s">
        <v>15347</v>
      </c>
      <c r="B140" s="22" t="s">
        <v>15348</v>
      </c>
      <c r="C140" s="2">
        <v>1</v>
      </c>
      <c r="D140" s="23">
        <v>17.100000000000001</v>
      </c>
      <c r="E140" s="3">
        <v>17.100000000000001</v>
      </c>
      <c r="F140" s="2" t="s">
        <v>15349</v>
      </c>
      <c r="G140" s="22" t="s">
        <v>19342</v>
      </c>
      <c r="H140" s="24" t="s">
        <v>19367</v>
      </c>
      <c r="I140" s="22" t="s">
        <v>19309</v>
      </c>
      <c r="J140" s="22" t="s">
        <v>19708</v>
      </c>
      <c r="K140" s="22" t="s">
        <v>19709</v>
      </c>
      <c r="L140" s="22"/>
      <c r="M140" s="22"/>
      <c r="N140" s="25" t="str">
        <f>HYPERLINK("http://slimages.macys.com/is/image/MCY/19847228 ")</f>
        <v xml:space="preserve">http://slimages.macys.com/is/image/MCY/19847228 </v>
      </c>
    </row>
    <row r="141" spans="1:14" x14ac:dyDescent="0.25">
      <c r="A141" s="21" t="s">
        <v>19943</v>
      </c>
      <c r="B141" s="22" t="s">
        <v>19944</v>
      </c>
      <c r="C141" s="2">
        <v>1</v>
      </c>
      <c r="D141" s="23">
        <v>17.100000000000001</v>
      </c>
      <c r="E141" s="3">
        <v>17.100000000000001</v>
      </c>
      <c r="F141" s="2" t="s">
        <v>19945</v>
      </c>
      <c r="G141" s="22" t="s">
        <v>19342</v>
      </c>
      <c r="H141" s="24" t="s">
        <v>19770</v>
      </c>
      <c r="I141" s="22" t="s">
        <v>19309</v>
      </c>
      <c r="J141" s="22" t="s">
        <v>19708</v>
      </c>
      <c r="K141" s="22" t="s">
        <v>19709</v>
      </c>
      <c r="L141" s="22"/>
      <c r="M141" s="22"/>
      <c r="N141" s="25" t="str">
        <f>HYPERLINK("http://slimages.macys.com/is/image/MCY/19847234 ")</f>
        <v xml:space="preserve">http://slimages.macys.com/is/image/MCY/19847234 </v>
      </c>
    </row>
    <row r="142" spans="1:14" x14ac:dyDescent="0.25">
      <c r="A142" s="21" t="s">
        <v>19956</v>
      </c>
      <c r="B142" s="22" t="s">
        <v>19957</v>
      </c>
      <c r="C142" s="2">
        <v>1</v>
      </c>
      <c r="D142" s="23">
        <v>24.99</v>
      </c>
      <c r="E142" s="3">
        <v>24.99</v>
      </c>
      <c r="F142" s="2" t="s">
        <v>19958</v>
      </c>
      <c r="G142" s="22" t="s">
        <v>19315</v>
      </c>
      <c r="H142" s="24" t="s">
        <v>19339</v>
      </c>
      <c r="I142" s="22" t="s">
        <v>19309</v>
      </c>
      <c r="J142" s="22" t="s">
        <v>19849</v>
      </c>
      <c r="K142" s="22" t="s">
        <v>19850</v>
      </c>
      <c r="L142" s="22"/>
      <c r="M142" s="22"/>
      <c r="N142" s="25" t="str">
        <f>HYPERLINK("http://slimages.macys.com/is/image/MCY/1521136 ")</f>
        <v xml:space="preserve">http://slimages.macys.com/is/image/MCY/1521136 </v>
      </c>
    </row>
    <row r="143" spans="1:14" ht="24.75" x14ac:dyDescent="0.25">
      <c r="A143" s="21" t="s">
        <v>15914</v>
      </c>
      <c r="B143" s="22" t="s">
        <v>15915</v>
      </c>
      <c r="C143" s="2">
        <v>1</v>
      </c>
      <c r="D143" s="23">
        <v>15.99</v>
      </c>
      <c r="E143" s="3">
        <v>15.99</v>
      </c>
      <c r="F143" s="2" t="s">
        <v>15916</v>
      </c>
      <c r="G143" s="22" t="s">
        <v>19670</v>
      </c>
      <c r="H143" s="24" t="s">
        <v>19770</v>
      </c>
      <c r="I143" s="22" t="s">
        <v>19309</v>
      </c>
      <c r="J143" s="22" t="s">
        <v>19573</v>
      </c>
      <c r="K143" s="22" t="s">
        <v>19574</v>
      </c>
      <c r="L143" s="22"/>
      <c r="M143" s="22"/>
      <c r="N143" s="25" t="str">
        <f>HYPERLINK("http://slimages.macys.com/is/image/MCY/20757735 ")</f>
        <v xml:space="preserve">http://slimages.macys.com/is/image/MCY/20757735 </v>
      </c>
    </row>
    <row r="144" spans="1:14" ht="24.75" x14ac:dyDescent="0.25">
      <c r="A144" s="21" t="s">
        <v>15350</v>
      </c>
      <c r="B144" s="22" t="s">
        <v>15351</v>
      </c>
      <c r="C144" s="2">
        <v>1</v>
      </c>
      <c r="D144" s="23">
        <v>18.61</v>
      </c>
      <c r="E144" s="3">
        <v>18.61</v>
      </c>
      <c r="F144" s="2" t="s">
        <v>15352</v>
      </c>
      <c r="G144" s="22"/>
      <c r="H144" s="24" t="s">
        <v>19334</v>
      </c>
      <c r="I144" s="22" t="s">
        <v>19309</v>
      </c>
      <c r="J144" s="22" t="s">
        <v>19602</v>
      </c>
      <c r="K144" s="22" t="s">
        <v>20041</v>
      </c>
      <c r="L144" s="22"/>
      <c r="M144" s="22"/>
      <c r="N144" s="25" t="str">
        <f>HYPERLINK("http://slimages.macys.com/is/image/MCY/22405615 ")</f>
        <v xml:space="preserve">http://slimages.macys.com/is/image/MCY/22405615 </v>
      </c>
    </row>
    <row r="145" spans="1:14" x14ac:dyDescent="0.25">
      <c r="A145" s="21" t="s">
        <v>15353</v>
      </c>
      <c r="B145" s="22" t="s">
        <v>15354</v>
      </c>
      <c r="C145" s="2">
        <v>1</v>
      </c>
      <c r="D145" s="23">
        <v>21.99</v>
      </c>
      <c r="E145" s="3">
        <v>21.99</v>
      </c>
      <c r="F145" s="2" t="s">
        <v>18024</v>
      </c>
      <c r="G145" s="22" t="s">
        <v>19342</v>
      </c>
      <c r="H145" s="24" t="s">
        <v>19395</v>
      </c>
      <c r="I145" s="22" t="s">
        <v>19309</v>
      </c>
      <c r="J145" s="22" t="s">
        <v>19696</v>
      </c>
      <c r="K145" s="22" t="s">
        <v>19965</v>
      </c>
      <c r="L145" s="22"/>
      <c r="M145" s="22"/>
      <c r="N145" s="25" t="str">
        <f>HYPERLINK("http://slimages.macys.com/is/image/MCY/21708518 ")</f>
        <v xml:space="preserve">http://slimages.macys.com/is/image/MCY/21708518 </v>
      </c>
    </row>
    <row r="146" spans="1:14" x14ac:dyDescent="0.25">
      <c r="A146" s="21" t="s">
        <v>18025</v>
      </c>
      <c r="B146" s="22" t="s">
        <v>18026</v>
      </c>
      <c r="C146" s="2">
        <v>2</v>
      </c>
      <c r="D146" s="23">
        <v>24.5</v>
      </c>
      <c r="E146" s="3">
        <v>49</v>
      </c>
      <c r="F146" s="2" t="s">
        <v>19972</v>
      </c>
      <c r="G146" s="22" t="s">
        <v>19477</v>
      </c>
      <c r="H146" s="24" t="s">
        <v>19797</v>
      </c>
      <c r="I146" s="22" t="s">
        <v>19309</v>
      </c>
      <c r="J146" s="22" t="s">
        <v>19849</v>
      </c>
      <c r="K146" s="22" t="s">
        <v>19850</v>
      </c>
      <c r="L146" s="22"/>
      <c r="M146" s="22"/>
      <c r="N146" s="25" t="str">
        <f>HYPERLINK("http://slimages.macys.com/is/image/MCY/20549465 ")</f>
        <v xml:space="preserve">http://slimages.macys.com/is/image/MCY/20549465 </v>
      </c>
    </row>
    <row r="147" spans="1:14" x14ac:dyDescent="0.25">
      <c r="A147" s="21" t="s">
        <v>15355</v>
      </c>
      <c r="B147" s="22" t="s">
        <v>15356</v>
      </c>
      <c r="C147" s="2">
        <v>2</v>
      </c>
      <c r="D147" s="23">
        <v>24.5</v>
      </c>
      <c r="E147" s="3">
        <v>49</v>
      </c>
      <c r="F147" s="2" t="s">
        <v>19972</v>
      </c>
      <c r="G147" s="22" t="s">
        <v>19477</v>
      </c>
      <c r="H147" s="24" t="s">
        <v>19364</v>
      </c>
      <c r="I147" s="22" t="s">
        <v>19309</v>
      </c>
      <c r="J147" s="22" t="s">
        <v>19849</v>
      </c>
      <c r="K147" s="22" t="s">
        <v>19850</v>
      </c>
      <c r="L147" s="22"/>
      <c r="M147" s="22"/>
      <c r="N147" s="25" t="str">
        <f>HYPERLINK("http://slimages.macys.com/is/image/MCY/20549465 ")</f>
        <v xml:space="preserve">http://slimages.macys.com/is/image/MCY/20549465 </v>
      </c>
    </row>
    <row r="148" spans="1:14" x14ac:dyDescent="0.25">
      <c r="A148" s="21" t="s">
        <v>19970</v>
      </c>
      <c r="B148" s="22" t="s">
        <v>19971</v>
      </c>
      <c r="C148" s="2">
        <v>2</v>
      </c>
      <c r="D148" s="23">
        <v>24.5</v>
      </c>
      <c r="E148" s="3">
        <v>49</v>
      </c>
      <c r="F148" s="2" t="s">
        <v>19972</v>
      </c>
      <c r="G148" s="22" t="s">
        <v>19477</v>
      </c>
      <c r="H148" s="24" t="s">
        <v>19352</v>
      </c>
      <c r="I148" s="22" t="s">
        <v>19309</v>
      </c>
      <c r="J148" s="22" t="s">
        <v>19849</v>
      </c>
      <c r="K148" s="22" t="s">
        <v>19850</v>
      </c>
      <c r="L148" s="22"/>
      <c r="M148" s="22"/>
      <c r="N148" s="25" t="str">
        <f>HYPERLINK("http://slimages.macys.com/is/image/MCY/20549465 ")</f>
        <v xml:space="preserve">http://slimages.macys.com/is/image/MCY/20549465 </v>
      </c>
    </row>
    <row r="149" spans="1:14" ht="24.75" x14ac:dyDescent="0.25">
      <c r="A149" s="21" t="s">
        <v>15357</v>
      </c>
      <c r="B149" s="22" t="s">
        <v>15358</v>
      </c>
      <c r="C149" s="2">
        <v>1</v>
      </c>
      <c r="D149" s="23">
        <v>19.989999999999998</v>
      </c>
      <c r="E149" s="3">
        <v>19.989999999999998</v>
      </c>
      <c r="F149" s="2" t="s">
        <v>19988</v>
      </c>
      <c r="G149" s="22" t="s">
        <v>19315</v>
      </c>
      <c r="H149" s="24"/>
      <c r="I149" s="22" t="s">
        <v>19309</v>
      </c>
      <c r="J149" s="22" t="s">
        <v>19573</v>
      </c>
      <c r="K149" s="22" t="s">
        <v>19574</v>
      </c>
      <c r="L149" s="22"/>
      <c r="M149" s="22"/>
      <c r="N149" s="25" t="str">
        <f>HYPERLINK("http://slimages.macys.com/is/image/MCY/21209549 ")</f>
        <v xml:space="preserve">http://slimages.macys.com/is/image/MCY/21209549 </v>
      </c>
    </row>
    <row r="150" spans="1:14" ht="24.75" x14ac:dyDescent="0.25">
      <c r="A150" s="21" t="s">
        <v>15359</v>
      </c>
      <c r="B150" s="22" t="s">
        <v>15360</v>
      </c>
      <c r="C150" s="2">
        <v>2</v>
      </c>
      <c r="D150" s="23">
        <v>19.989999999999998</v>
      </c>
      <c r="E150" s="3">
        <v>39.979999999999997</v>
      </c>
      <c r="F150" s="2" t="s">
        <v>19988</v>
      </c>
      <c r="G150" s="22" t="s">
        <v>19315</v>
      </c>
      <c r="H150" s="24" t="s">
        <v>19538</v>
      </c>
      <c r="I150" s="22" t="s">
        <v>19309</v>
      </c>
      <c r="J150" s="22" t="s">
        <v>19573</v>
      </c>
      <c r="K150" s="22" t="s">
        <v>19574</v>
      </c>
      <c r="L150" s="22"/>
      <c r="M150" s="22"/>
      <c r="N150" s="25" t="str">
        <f>HYPERLINK("http://slimages.macys.com/is/image/MCY/21209549 ")</f>
        <v xml:space="preserve">http://slimages.macys.com/is/image/MCY/21209549 </v>
      </c>
    </row>
    <row r="151" spans="1:14" ht="24.75" x14ac:dyDescent="0.25">
      <c r="A151" s="21" t="s">
        <v>15361</v>
      </c>
      <c r="B151" s="22" t="s">
        <v>15362</v>
      </c>
      <c r="C151" s="2">
        <v>1</v>
      </c>
      <c r="D151" s="23">
        <v>23.99</v>
      </c>
      <c r="E151" s="3">
        <v>23.99</v>
      </c>
      <c r="F151" s="2" t="s">
        <v>18050</v>
      </c>
      <c r="G151" s="22" t="s">
        <v>19351</v>
      </c>
      <c r="H151" s="24" t="s">
        <v>19330</v>
      </c>
      <c r="I151" s="22" t="s">
        <v>19309</v>
      </c>
      <c r="J151" s="22" t="s">
        <v>19573</v>
      </c>
      <c r="K151" s="22" t="s">
        <v>19574</v>
      </c>
      <c r="L151" s="22"/>
      <c r="M151" s="22"/>
      <c r="N151" s="25" t="str">
        <f>HYPERLINK("http://slimages.macys.com/is/image/MCY/21209532 ")</f>
        <v xml:space="preserve">http://slimages.macys.com/is/image/MCY/21209532 </v>
      </c>
    </row>
    <row r="152" spans="1:14" ht="24.75" x14ac:dyDescent="0.25">
      <c r="A152" s="21" t="s">
        <v>15363</v>
      </c>
      <c r="B152" s="22" t="s">
        <v>15364</v>
      </c>
      <c r="C152" s="2">
        <v>1</v>
      </c>
      <c r="D152" s="23">
        <v>23.99</v>
      </c>
      <c r="E152" s="3">
        <v>23.99</v>
      </c>
      <c r="F152" s="2" t="s">
        <v>19991</v>
      </c>
      <c r="G152" s="22" t="s">
        <v>19315</v>
      </c>
      <c r="H152" s="24"/>
      <c r="I152" s="22" t="s">
        <v>19309</v>
      </c>
      <c r="J152" s="22" t="s">
        <v>19573</v>
      </c>
      <c r="K152" s="22" t="s">
        <v>19574</v>
      </c>
      <c r="L152" s="22"/>
      <c r="M152" s="22"/>
      <c r="N152" s="25" t="str">
        <f>HYPERLINK("http://slimages.macys.com/is/image/MCY/21209525 ")</f>
        <v xml:space="preserve">http://slimages.macys.com/is/image/MCY/21209525 </v>
      </c>
    </row>
    <row r="153" spans="1:14" ht="24.75" x14ac:dyDescent="0.25">
      <c r="A153" s="21" t="s">
        <v>18046</v>
      </c>
      <c r="B153" s="22" t="s">
        <v>18047</v>
      </c>
      <c r="C153" s="2">
        <v>1</v>
      </c>
      <c r="D153" s="23">
        <v>23.99</v>
      </c>
      <c r="E153" s="3">
        <v>23.99</v>
      </c>
      <c r="F153" s="2" t="s">
        <v>19991</v>
      </c>
      <c r="G153" s="22" t="s">
        <v>19315</v>
      </c>
      <c r="H153" s="24" t="s">
        <v>19384</v>
      </c>
      <c r="I153" s="22" t="s">
        <v>19309</v>
      </c>
      <c r="J153" s="22" t="s">
        <v>19573</v>
      </c>
      <c r="K153" s="22" t="s">
        <v>19574</v>
      </c>
      <c r="L153" s="22"/>
      <c r="M153" s="22"/>
      <c r="N153" s="25" t="str">
        <f>HYPERLINK("http://slimages.macys.com/is/image/MCY/21209525 ")</f>
        <v xml:space="preserve">http://slimages.macys.com/is/image/MCY/21209525 </v>
      </c>
    </row>
    <row r="154" spans="1:14" ht="24.75" x14ac:dyDescent="0.25">
      <c r="A154" s="21" t="s">
        <v>19992</v>
      </c>
      <c r="B154" s="22" t="s">
        <v>19993</v>
      </c>
      <c r="C154" s="2">
        <v>1</v>
      </c>
      <c r="D154" s="23">
        <v>23.99</v>
      </c>
      <c r="E154" s="3">
        <v>23.99</v>
      </c>
      <c r="F154" s="2" t="s">
        <v>19991</v>
      </c>
      <c r="G154" s="22" t="s">
        <v>19315</v>
      </c>
      <c r="H154" s="24" t="s">
        <v>19416</v>
      </c>
      <c r="I154" s="22" t="s">
        <v>19309</v>
      </c>
      <c r="J154" s="22" t="s">
        <v>19573</v>
      </c>
      <c r="K154" s="22" t="s">
        <v>19574</v>
      </c>
      <c r="L154" s="22"/>
      <c r="M154" s="22"/>
      <c r="N154" s="25" t="str">
        <f>HYPERLINK("http://slimages.macys.com/is/image/MCY/21209525 ")</f>
        <v xml:space="preserve">http://slimages.macys.com/is/image/MCY/21209525 </v>
      </c>
    </row>
    <row r="155" spans="1:14" x14ac:dyDescent="0.25">
      <c r="A155" s="21" t="s">
        <v>15365</v>
      </c>
      <c r="B155" s="22" t="s">
        <v>15366</v>
      </c>
      <c r="C155" s="2">
        <v>1</v>
      </c>
      <c r="D155" s="23">
        <v>21.99</v>
      </c>
      <c r="E155" s="3">
        <v>21.99</v>
      </c>
      <c r="F155" s="2" t="s">
        <v>15367</v>
      </c>
      <c r="G155" s="22" t="s">
        <v>19674</v>
      </c>
      <c r="H155" s="24" t="s">
        <v>19361</v>
      </c>
      <c r="I155" s="22" t="s">
        <v>19309</v>
      </c>
      <c r="J155" s="22" t="s">
        <v>19849</v>
      </c>
      <c r="K155" s="22" t="s">
        <v>19850</v>
      </c>
      <c r="L155" s="22"/>
      <c r="M155" s="22"/>
      <c r="N155" s="25" t="str">
        <f>HYPERLINK("http://slimages.macys.com/is/image/MCY/20143304 ")</f>
        <v xml:space="preserve">http://slimages.macys.com/is/image/MCY/20143304 </v>
      </c>
    </row>
    <row r="156" spans="1:14" x14ac:dyDescent="0.25">
      <c r="A156" s="21" t="s">
        <v>15368</v>
      </c>
      <c r="B156" s="22" t="s">
        <v>15369</v>
      </c>
      <c r="C156" s="2">
        <v>1</v>
      </c>
      <c r="D156" s="23">
        <v>16.989999999999998</v>
      </c>
      <c r="E156" s="3">
        <v>16.989999999999998</v>
      </c>
      <c r="F156" s="2" t="s">
        <v>20002</v>
      </c>
      <c r="G156" s="22" t="s">
        <v>19814</v>
      </c>
      <c r="H156" s="24" t="s">
        <v>19364</v>
      </c>
      <c r="I156" s="22" t="s">
        <v>19309</v>
      </c>
      <c r="J156" s="22" t="s">
        <v>19849</v>
      </c>
      <c r="K156" s="22" t="s">
        <v>19850</v>
      </c>
      <c r="L156" s="22"/>
      <c r="M156" s="22"/>
      <c r="N156" s="25" t="str">
        <f>HYPERLINK("http://slimages.macys.com/is/image/MCY/20549392 ")</f>
        <v xml:space="preserve">http://slimages.macys.com/is/image/MCY/20549392 </v>
      </c>
    </row>
    <row r="157" spans="1:14" x14ac:dyDescent="0.25">
      <c r="A157" s="21" t="s">
        <v>20005</v>
      </c>
      <c r="B157" s="22" t="s">
        <v>20006</v>
      </c>
      <c r="C157" s="2">
        <v>2</v>
      </c>
      <c r="D157" s="23">
        <v>16.989999999999998</v>
      </c>
      <c r="E157" s="3">
        <v>33.979999999999997</v>
      </c>
      <c r="F157" s="2" t="s">
        <v>20002</v>
      </c>
      <c r="G157" s="22" t="s">
        <v>19814</v>
      </c>
      <c r="H157" s="24" t="s">
        <v>19797</v>
      </c>
      <c r="I157" s="22" t="s">
        <v>19309</v>
      </c>
      <c r="J157" s="22" t="s">
        <v>19849</v>
      </c>
      <c r="K157" s="22" t="s">
        <v>19850</v>
      </c>
      <c r="L157" s="22"/>
      <c r="M157" s="22"/>
      <c r="N157" s="25" t="str">
        <f>HYPERLINK("http://slimages.macys.com/is/image/MCY/20549392 ")</f>
        <v xml:space="preserve">http://slimages.macys.com/is/image/MCY/20549392 </v>
      </c>
    </row>
    <row r="158" spans="1:14" x14ac:dyDescent="0.25">
      <c r="A158" s="21" t="s">
        <v>15370</v>
      </c>
      <c r="B158" s="22" t="s">
        <v>15371</v>
      </c>
      <c r="C158" s="2">
        <v>2</v>
      </c>
      <c r="D158" s="23">
        <v>16.989999999999998</v>
      </c>
      <c r="E158" s="3">
        <v>33.979999999999997</v>
      </c>
      <c r="F158" s="2" t="s">
        <v>20002</v>
      </c>
      <c r="G158" s="22" t="s">
        <v>19315</v>
      </c>
      <c r="H158" s="24" t="s">
        <v>19352</v>
      </c>
      <c r="I158" s="22" t="s">
        <v>19309</v>
      </c>
      <c r="J158" s="22" t="s">
        <v>19849</v>
      </c>
      <c r="K158" s="22" t="s">
        <v>19850</v>
      </c>
      <c r="L158" s="22"/>
      <c r="M158" s="22"/>
      <c r="N158" s="25" t="str">
        <f>HYPERLINK("http://slimages.macys.com/is/image/MCY/20549392 ")</f>
        <v xml:space="preserve">http://slimages.macys.com/is/image/MCY/20549392 </v>
      </c>
    </row>
    <row r="159" spans="1:14" x14ac:dyDescent="0.25">
      <c r="A159" s="21" t="s">
        <v>15372</v>
      </c>
      <c r="B159" s="22" t="s">
        <v>15373</v>
      </c>
      <c r="C159" s="2">
        <v>2</v>
      </c>
      <c r="D159" s="23">
        <v>16.989999999999998</v>
      </c>
      <c r="E159" s="3">
        <v>33.979999999999997</v>
      </c>
      <c r="F159" s="2" t="s">
        <v>20002</v>
      </c>
      <c r="G159" s="22" t="s">
        <v>19477</v>
      </c>
      <c r="H159" s="24" t="s">
        <v>19352</v>
      </c>
      <c r="I159" s="22" t="s">
        <v>19309</v>
      </c>
      <c r="J159" s="22" t="s">
        <v>19849</v>
      </c>
      <c r="K159" s="22" t="s">
        <v>19850</v>
      </c>
      <c r="L159" s="22"/>
      <c r="M159" s="22"/>
      <c r="N159" s="25" t="str">
        <f>HYPERLINK("http://slimages.macys.com/is/image/MCY/20549392 ")</f>
        <v xml:space="preserve">http://slimages.macys.com/is/image/MCY/20549392 </v>
      </c>
    </row>
    <row r="160" spans="1:14" x14ac:dyDescent="0.25">
      <c r="A160" s="21" t="s">
        <v>20013</v>
      </c>
      <c r="B160" s="22" t="s">
        <v>20014</v>
      </c>
      <c r="C160" s="2">
        <v>3</v>
      </c>
      <c r="D160" s="23">
        <v>19.989999999999998</v>
      </c>
      <c r="E160" s="3">
        <v>59.97</v>
      </c>
      <c r="F160" s="2" t="s">
        <v>20015</v>
      </c>
      <c r="G160" s="22" t="s">
        <v>19431</v>
      </c>
      <c r="H160" s="24" t="s">
        <v>19352</v>
      </c>
      <c r="I160" s="22" t="s">
        <v>19309</v>
      </c>
      <c r="J160" s="22" t="s">
        <v>19849</v>
      </c>
      <c r="K160" s="22" t="s">
        <v>19850</v>
      </c>
      <c r="L160" s="22"/>
      <c r="M160" s="22"/>
      <c r="N160" s="25" t="str">
        <f>HYPERLINK("http://slimages.macys.com/is/image/MCY/20752046 ")</f>
        <v xml:space="preserve">http://slimages.macys.com/is/image/MCY/20752046 </v>
      </c>
    </row>
    <row r="161" spans="1:14" x14ac:dyDescent="0.25">
      <c r="A161" s="21" t="s">
        <v>15374</v>
      </c>
      <c r="B161" s="22" t="s">
        <v>15375</v>
      </c>
      <c r="C161" s="2">
        <v>3</v>
      </c>
      <c r="D161" s="23">
        <v>16.989999999999998</v>
      </c>
      <c r="E161" s="3">
        <v>50.97</v>
      </c>
      <c r="F161" s="2" t="s">
        <v>20002</v>
      </c>
      <c r="G161" s="22" t="s">
        <v>19674</v>
      </c>
      <c r="H161" s="24" t="s">
        <v>19352</v>
      </c>
      <c r="I161" s="22" t="s">
        <v>19309</v>
      </c>
      <c r="J161" s="22" t="s">
        <v>19849</v>
      </c>
      <c r="K161" s="22" t="s">
        <v>19850</v>
      </c>
      <c r="L161" s="22"/>
      <c r="M161" s="22"/>
      <c r="N161" s="25" t="str">
        <f>HYPERLINK("http://slimages.macys.com/is/image/MCY/20549392 ")</f>
        <v xml:space="preserve">http://slimages.macys.com/is/image/MCY/20549392 </v>
      </c>
    </row>
    <row r="162" spans="1:14" x14ac:dyDescent="0.25">
      <c r="A162" s="21" t="s">
        <v>15376</v>
      </c>
      <c r="B162" s="22" t="s">
        <v>15377</v>
      </c>
      <c r="C162" s="2">
        <v>1</v>
      </c>
      <c r="D162" s="23">
        <v>16.989999999999998</v>
      </c>
      <c r="E162" s="3">
        <v>16.989999999999998</v>
      </c>
      <c r="F162" s="2" t="s">
        <v>20002</v>
      </c>
      <c r="G162" s="22" t="s">
        <v>19477</v>
      </c>
      <c r="H162" s="24"/>
      <c r="I162" s="22" t="s">
        <v>19309</v>
      </c>
      <c r="J162" s="22" t="s">
        <v>19849</v>
      </c>
      <c r="K162" s="22" t="s">
        <v>19850</v>
      </c>
      <c r="L162" s="22"/>
      <c r="M162" s="22"/>
      <c r="N162" s="25" t="str">
        <f>HYPERLINK("http://slimages.macys.com/is/image/MCY/20549392 ")</f>
        <v xml:space="preserve">http://slimages.macys.com/is/image/MCY/20549392 </v>
      </c>
    </row>
    <row r="163" spans="1:14" x14ac:dyDescent="0.25">
      <c r="A163" s="21" t="s">
        <v>15378</v>
      </c>
      <c r="B163" s="22" t="s">
        <v>15379</v>
      </c>
      <c r="C163" s="2">
        <v>1</v>
      </c>
      <c r="D163" s="23">
        <v>19.989999999999998</v>
      </c>
      <c r="E163" s="3">
        <v>19.989999999999998</v>
      </c>
      <c r="F163" s="2" t="s">
        <v>20015</v>
      </c>
      <c r="G163" s="22" t="s">
        <v>19431</v>
      </c>
      <c r="H163" s="24" t="s">
        <v>19797</v>
      </c>
      <c r="I163" s="22" t="s">
        <v>19309</v>
      </c>
      <c r="J163" s="22" t="s">
        <v>19849</v>
      </c>
      <c r="K163" s="22" t="s">
        <v>19850</v>
      </c>
      <c r="L163" s="22"/>
      <c r="M163" s="22"/>
      <c r="N163" s="25" t="str">
        <f>HYPERLINK("http://slimages.macys.com/is/image/MCY/20752046 ")</f>
        <v xml:space="preserve">http://slimages.macys.com/is/image/MCY/20752046 </v>
      </c>
    </row>
    <row r="164" spans="1:14" x14ac:dyDescent="0.25">
      <c r="A164" s="21" t="s">
        <v>20009</v>
      </c>
      <c r="B164" s="22" t="s">
        <v>20010</v>
      </c>
      <c r="C164" s="2">
        <v>1</v>
      </c>
      <c r="D164" s="23">
        <v>16.989999999999998</v>
      </c>
      <c r="E164" s="3">
        <v>16.989999999999998</v>
      </c>
      <c r="F164" s="2" t="s">
        <v>20002</v>
      </c>
      <c r="G164" s="22" t="s">
        <v>19674</v>
      </c>
      <c r="H164" s="24" t="s">
        <v>19339</v>
      </c>
      <c r="I164" s="22" t="s">
        <v>19309</v>
      </c>
      <c r="J164" s="22" t="s">
        <v>19849</v>
      </c>
      <c r="K164" s="22" t="s">
        <v>19850</v>
      </c>
      <c r="L164" s="22"/>
      <c r="M164" s="22"/>
      <c r="N164" s="25" t="str">
        <f>HYPERLINK("http://slimages.macys.com/is/image/MCY/20549392 ")</f>
        <v xml:space="preserve">http://slimages.macys.com/is/image/MCY/20549392 </v>
      </c>
    </row>
    <row r="165" spans="1:14" x14ac:dyDescent="0.25">
      <c r="A165" s="21" t="s">
        <v>15380</v>
      </c>
      <c r="B165" s="22" t="s">
        <v>15381</v>
      </c>
      <c r="C165" s="2">
        <v>1</v>
      </c>
      <c r="D165" s="23">
        <v>16.989999999999998</v>
      </c>
      <c r="E165" s="3">
        <v>16.989999999999998</v>
      </c>
      <c r="F165" s="2" t="s">
        <v>20002</v>
      </c>
      <c r="G165" s="22" t="s">
        <v>19814</v>
      </c>
      <c r="H165" s="24" t="s">
        <v>19352</v>
      </c>
      <c r="I165" s="22" t="s">
        <v>19309</v>
      </c>
      <c r="J165" s="22" t="s">
        <v>19849</v>
      </c>
      <c r="K165" s="22" t="s">
        <v>19850</v>
      </c>
      <c r="L165" s="22"/>
      <c r="M165" s="22"/>
      <c r="N165" s="25" t="str">
        <f>HYPERLINK("http://slimages.macys.com/is/image/MCY/20549392 ")</f>
        <v xml:space="preserve">http://slimages.macys.com/is/image/MCY/20549392 </v>
      </c>
    </row>
    <row r="166" spans="1:14" x14ac:dyDescent="0.25">
      <c r="A166" s="21" t="s">
        <v>15382</v>
      </c>
      <c r="B166" s="22" t="s">
        <v>15383</v>
      </c>
      <c r="C166" s="2">
        <v>4</v>
      </c>
      <c r="D166" s="23">
        <v>16.989999999999998</v>
      </c>
      <c r="E166" s="3">
        <v>67.959999999999994</v>
      </c>
      <c r="F166" s="2" t="s">
        <v>20002</v>
      </c>
      <c r="G166" s="22" t="s">
        <v>19814</v>
      </c>
      <c r="H166" s="24" t="s">
        <v>19339</v>
      </c>
      <c r="I166" s="22" t="s">
        <v>19309</v>
      </c>
      <c r="J166" s="22" t="s">
        <v>19849</v>
      </c>
      <c r="K166" s="22" t="s">
        <v>19850</v>
      </c>
      <c r="L166" s="22"/>
      <c r="M166" s="22"/>
      <c r="N166" s="25" t="str">
        <f>HYPERLINK("http://slimages.macys.com/is/image/MCY/20549392 ")</f>
        <v xml:space="preserve">http://slimages.macys.com/is/image/MCY/20549392 </v>
      </c>
    </row>
    <row r="167" spans="1:14" x14ac:dyDescent="0.25">
      <c r="A167" s="21" t="s">
        <v>20000</v>
      </c>
      <c r="B167" s="22" t="s">
        <v>20001</v>
      </c>
      <c r="C167" s="2">
        <v>2</v>
      </c>
      <c r="D167" s="23">
        <v>16.989999999999998</v>
      </c>
      <c r="E167" s="3">
        <v>33.979999999999997</v>
      </c>
      <c r="F167" s="2" t="s">
        <v>20002</v>
      </c>
      <c r="G167" s="22" t="s">
        <v>19674</v>
      </c>
      <c r="H167" s="24" t="s">
        <v>19797</v>
      </c>
      <c r="I167" s="22" t="s">
        <v>19309</v>
      </c>
      <c r="J167" s="22" t="s">
        <v>19849</v>
      </c>
      <c r="K167" s="22" t="s">
        <v>19850</v>
      </c>
      <c r="L167" s="22"/>
      <c r="M167" s="22"/>
      <c r="N167" s="25" t="str">
        <f>HYPERLINK("http://slimages.macys.com/is/image/MCY/20549392 ")</f>
        <v xml:space="preserve">http://slimages.macys.com/is/image/MCY/20549392 </v>
      </c>
    </row>
    <row r="168" spans="1:14" x14ac:dyDescent="0.25">
      <c r="A168" s="21" t="s">
        <v>15384</v>
      </c>
      <c r="B168" s="22" t="s">
        <v>15385</v>
      </c>
      <c r="C168" s="2">
        <v>1</v>
      </c>
      <c r="D168" s="23">
        <v>16.989999999999998</v>
      </c>
      <c r="E168" s="3">
        <v>16.989999999999998</v>
      </c>
      <c r="F168" s="2" t="s">
        <v>20002</v>
      </c>
      <c r="G168" s="22" t="s">
        <v>19315</v>
      </c>
      <c r="H168" s="24" t="s">
        <v>19364</v>
      </c>
      <c r="I168" s="22" t="s">
        <v>19309</v>
      </c>
      <c r="J168" s="22" t="s">
        <v>19849</v>
      </c>
      <c r="K168" s="22" t="s">
        <v>19850</v>
      </c>
      <c r="L168" s="22"/>
      <c r="M168" s="22"/>
      <c r="N168" s="25" t="str">
        <f>HYPERLINK("http://slimages.macys.com/is/image/MCY/20549392 ")</f>
        <v xml:space="preserve">http://slimages.macys.com/is/image/MCY/20549392 </v>
      </c>
    </row>
    <row r="169" spans="1:14" x14ac:dyDescent="0.25">
      <c r="A169" s="21" t="s">
        <v>18057</v>
      </c>
      <c r="B169" s="22" t="s">
        <v>18058</v>
      </c>
      <c r="C169" s="2">
        <v>1</v>
      </c>
      <c r="D169" s="23">
        <v>19.989999999999998</v>
      </c>
      <c r="E169" s="3">
        <v>19.989999999999998</v>
      </c>
      <c r="F169" s="2" t="s">
        <v>20015</v>
      </c>
      <c r="G169" s="22" t="s">
        <v>19431</v>
      </c>
      <c r="H169" s="24" t="s">
        <v>19339</v>
      </c>
      <c r="I169" s="22" t="s">
        <v>19309</v>
      </c>
      <c r="J169" s="22" t="s">
        <v>19849</v>
      </c>
      <c r="K169" s="22" t="s">
        <v>19850</v>
      </c>
      <c r="L169" s="22"/>
      <c r="M169" s="22"/>
      <c r="N169" s="25" t="str">
        <f>HYPERLINK("http://slimages.macys.com/is/image/MCY/20752046 ")</f>
        <v xml:space="preserve">http://slimages.macys.com/is/image/MCY/20752046 </v>
      </c>
    </row>
    <row r="170" spans="1:14" x14ac:dyDescent="0.25">
      <c r="A170" s="21" t="s">
        <v>20003</v>
      </c>
      <c r="B170" s="22" t="s">
        <v>20004</v>
      </c>
      <c r="C170" s="2">
        <v>2</v>
      </c>
      <c r="D170" s="23">
        <v>16.989999999999998</v>
      </c>
      <c r="E170" s="3">
        <v>33.979999999999997</v>
      </c>
      <c r="F170" s="2" t="s">
        <v>20002</v>
      </c>
      <c r="G170" s="22" t="s">
        <v>19674</v>
      </c>
      <c r="H170" s="24" t="s">
        <v>19364</v>
      </c>
      <c r="I170" s="22" t="s">
        <v>19309</v>
      </c>
      <c r="J170" s="22" t="s">
        <v>19849</v>
      </c>
      <c r="K170" s="22" t="s">
        <v>19850</v>
      </c>
      <c r="L170" s="22"/>
      <c r="M170" s="22"/>
      <c r="N170" s="25" t="str">
        <f>HYPERLINK("http://slimages.macys.com/is/image/MCY/20549392 ")</f>
        <v xml:space="preserve">http://slimages.macys.com/is/image/MCY/20549392 </v>
      </c>
    </row>
    <row r="171" spans="1:14" x14ac:dyDescent="0.25">
      <c r="A171" s="21" t="s">
        <v>15386</v>
      </c>
      <c r="B171" s="22" t="s">
        <v>15387</v>
      </c>
      <c r="C171" s="2">
        <v>1</v>
      </c>
      <c r="D171" s="23">
        <v>16.989999999999998</v>
      </c>
      <c r="E171" s="3">
        <v>16.989999999999998</v>
      </c>
      <c r="F171" s="2" t="s">
        <v>20002</v>
      </c>
      <c r="G171" s="22" t="s">
        <v>19315</v>
      </c>
      <c r="H171" s="24" t="s">
        <v>19339</v>
      </c>
      <c r="I171" s="22" t="s">
        <v>19309</v>
      </c>
      <c r="J171" s="22" t="s">
        <v>19849</v>
      </c>
      <c r="K171" s="22" t="s">
        <v>19850</v>
      </c>
      <c r="L171" s="22"/>
      <c r="M171" s="22"/>
      <c r="N171" s="25" t="str">
        <f>HYPERLINK("http://slimages.macys.com/is/image/MCY/20549392 ")</f>
        <v xml:space="preserve">http://slimages.macys.com/is/image/MCY/20549392 </v>
      </c>
    </row>
    <row r="172" spans="1:14" x14ac:dyDescent="0.25">
      <c r="A172" s="21" t="s">
        <v>15388</v>
      </c>
      <c r="B172" s="22" t="s">
        <v>20129</v>
      </c>
      <c r="C172" s="2">
        <v>2</v>
      </c>
      <c r="D172" s="23">
        <v>19.989999999999998</v>
      </c>
      <c r="E172" s="3">
        <v>39.979999999999997</v>
      </c>
      <c r="F172" s="2" t="s">
        <v>18067</v>
      </c>
      <c r="G172" s="22" t="s">
        <v>19477</v>
      </c>
      <c r="H172" s="24" t="s">
        <v>19797</v>
      </c>
      <c r="I172" s="22" t="s">
        <v>19309</v>
      </c>
      <c r="J172" s="22" t="s">
        <v>19849</v>
      </c>
      <c r="K172" s="22" t="s">
        <v>19850</v>
      </c>
      <c r="L172" s="22"/>
      <c r="M172" s="22"/>
      <c r="N172" s="25" t="str">
        <f>HYPERLINK("http://slimages.macys.com/is/image/MCY/20549359 ")</f>
        <v xml:space="preserve">http://slimages.macys.com/is/image/MCY/20549359 </v>
      </c>
    </row>
    <row r="173" spans="1:14" x14ac:dyDescent="0.25">
      <c r="A173" s="21" t="s">
        <v>15389</v>
      </c>
      <c r="B173" s="22" t="s">
        <v>15390</v>
      </c>
      <c r="C173" s="2">
        <v>2</v>
      </c>
      <c r="D173" s="23">
        <v>19.989999999999998</v>
      </c>
      <c r="E173" s="3">
        <v>39.979999999999997</v>
      </c>
      <c r="F173" s="2" t="s">
        <v>18067</v>
      </c>
      <c r="G173" s="22" t="s">
        <v>19477</v>
      </c>
      <c r="H173" s="24" t="s">
        <v>19364</v>
      </c>
      <c r="I173" s="22" t="s">
        <v>19309</v>
      </c>
      <c r="J173" s="22" t="s">
        <v>19849</v>
      </c>
      <c r="K173" s="22" t="s">
        <v>19850</v>
      </c>
      <c r="L173" s="22"/>
      <c r="M173" s="22"/>
      <c r="N173" s="25" t="str">
        <f>HYPERLINK("http://slimages.macys.com/is/image/MCY/20549359 ")</f>
        <v xml:space="preserve">http://slimages.macys.com/is/image/MCY/20549359 </v>
      </c>
    </row>
    <row r="174" spans="1:14" x14ac:dyDescent="0.25">
      <c r="A174" s="21" t="s">
        <v>18065</v>
      </c>
      <c r="B174" s="22" t="s">
        <v>18066</v>
      </c>
      <c r="C174" s="2">
        <v>2</v>
      </c>
      <c r="D174" s="23">
        <v>19.989999999999998</v>
      </c>
      <c r="E174" s="3">
        <v>39.979999999999997</v>
      </c>
      <c r="F174" s="2" t="s">
        <v>18067</v>
      </c>
      <c r="G174" s="22" t="s">
        <v>19477</v>
      </c>
      <c r="H174" s="24" t="s">
        <v>19352</v>
      </c>
      <c r="I174" s="22" t="s">
        <v>19309</v>
      </c>
      <c r="J174" s="22" t="s">
        <v>19849</v>
      </c>
      <c r="K174" s="22" t="s">
        <v>19850</v>
      </c>
      <c r="L174" s="22"/>
      <c r="M174" s="22"/>
      <c r="N174" s="25" t="str">
        <f>HYPERLINK("http://slimages.macys.com/is/image/MCY/20549359 ")</f>
        <v xml:space="preserve">http://slimages.macys.com/is/image/MCY/20549359 </v>
      </c>
    </row>
    <row r="175" spans="1:14" x14ac:dyDescent="0.25">
      <c r="A175" s="21" t="s">
        <v>15391</v>
      </c>
      <c r="B175" s="22" t="s">
        <v>20126</v>
      </c>
      <c r="C175" s="2">
        <v>1</v>
      </c>
      <c r="D175" s="23">
        <v>19.989999999999998</v>
      </c>
      <c r="E175" s="3">
        <v>19.989999999999998</v>
      </c>
      <c r="F175" s="2" t="s">
        <v>18067</v>
      </c>
      <c r="G175" s="22" t="s">
        <v>19477</v>
      </c>
      <c r="H175" s="24" t="s">
        <v>19339</v>
      </c>
      <c r="I175" s="22" t="s">
        <v>19309</v>
      </c>
      <c r="J175" s="22" t="s">
        <v>19849</v>
      </c>
      <c r="K175" s="22" t="s">
        <v>19850</v>
      </c>
      <c r="L175" s="22"/>
      <c r="M175" s="22"/>
      <c r="N175" s="25" t="str">
        <f>HYPERLINK("http://slimages.macys.com/is/image/MCY/20549359 ")</f>
        <v xml:space="preserve">http://slimages.macys.com/is/image/MCY/20549359 </v>
      </c>
    </row>
    <row r="176" spans="1:14" x14ac:dyDescent="0.25">
      <c r="A176" s="21" t="s">
        <v>15392</v>
      </c>
      <c r="B176" s="22" t="s">
        <v>15393</v>
      </c>
      <c r="C176" s="2">
        <v>1</v>
      </c>
      <c r="D176" s="23">
        <v>15.99</v>
      </c>
      <c r="E176" s="3">
        <v>15.99</v>
      </c>
      <c r="F176" s="2" t="s">
        <v>15938</v>
      </c>
      <c r="G176" s="22" t="s">
        <v>19315</v>
      </c>
      <c r="H176" s="24" t="s">
        <v>19334</v>
      </c>
      <c r="I176" s="22" t="s">
        <v>19309</v>
      </c>
      <c r="J176" s="22" t="s">
        <v>19310</v>
      </c>
      <c r="K176" s="22" t="s">
        <v>19440</v>
      </c>
      <c r="L176" s="22"/>
      <c r="M176" s="22"/>
      <c r="N176" s="25" t="str">
        <f>HYPERLINK("http://slimages.macys.com/is/image/MCY/18642386 ")</f>
        <v xml:space="preserve">http://slimages.macys.com/is/image/MCY/18642386 </v>
      </c>
    </row>
    <row r="177" spans="1:14" x14ac:dyDescent="0.25">
      <c r="A177" s="21" t="s">
        <v>15394</v>
      </c>
      <c r="B177" s="22" t="s">
        <v>15395</v>
      </c>
      <c r="C177" s="2">
        <v>1</v>
      </c>
      <c r="D177" s="23">
        <v>15.99</v>
      </c>
      <c r="E177" s="3">
        <v>15.99</v>
      </c>
      <c r="F177" s="2" t="s">
        <v>15938</v>
      </c>
      <c r="G177" s="22" t="s">
        <v>19315</v>
      </c>
      <c r="H177" s="24" t="s">
        <v>19395</v>
      </c>
      <c r="I177" s="22" t="s">
        <v>19309</v>
      </c>
      <c r="J177" s="22" t="s">
        <v>19310</v>
      </c>
      <c r="K177" s="22" t="s">
        <v>19440</v>
      </c>
      <c r="L177" s="22"/>
      <c r="M177" s="22"/>
      <c r="N177" s="25" t="str">
        <f>HYPERLINK("http://slimages.macys.com/is/image/MCY/18296013 ")</f>
        <v xml:space="preserve">http://slimages.macys.com/is/image/MCY/18296013 </v>
      </c>
    </row>
    <row r="178" spans="1:14" x14ac:dyDescent="0.25">
      <c r="A178" s="21" t="s">
        <v>15396</v>
      </c>
      <c r="B178" s="22" t="s">
        <v>15397</v>
      </c>
      <c r="C178" s="2">
        <v>1</v>
      </c>
      <c r="D178" s="23">
        <v>15.99</v>
      </c>
      <c r="E178" s="3">
        <v>15.99</v>
      </c>
      <c r="F178" s="2" t="s">
        <v>15938</v>
      </c>
      <c r="G178" s="22" t="s">
        <v>19333</v>
      </c>
      <c r="H178" s="24" t="s">
        <v>19361</v>
      </c>
      <c r="I178" s="22" t="s">
        <v>19309</v>
      </c>
      <c r="J178" s="22" t="s">
        <v>19310</v>
      </c>
      <c r="K178" s="22" t="s">
        <v>19440</v>
      </c>
      <c r="L178" s="22"/>
      <c r="M178" s="22"/>
      <c r="N178" s="25" t="str">
        <f>HYPERLINK("http://slimages.macys.com/is/image/MCY/18296013 ")</f>
        <v xml:space="preserve">http://slimages.macys.com/is/image/MCY/18296013 </v>
      </c>
    </row>
    <row r="179" spans="1:14" x14ac:dyDescent="0.25">
      <c r="A179" s="21" t="s">
        <v>15939</v>
      </c>
      <c r="B179" s="22" t="s">
        <v>15940</v>
      </c>
      <c r="C179" s="2">
        <v>1</v>
      </c>
      <c r="D179" s="23">
        <v>15.99</v>
      </c>
      <c r="E179" s="3">
        <v>15.99</v>
      </c>
      <c r="F179" s="2" t="s">
        <v>15938</v>
      </c>
      <c r="G179" s="22" t="s">
        <v>19333</v>
      </c>
      <c r="H179" s="24" t="s">
        <v>19345</v>
      </c>
      <c r="I179" s="22" t="s">
        <v>19309</v>
      </c>
      <c r="J179" s="22" t="s">
        <v>19310</v>
      </c>
      <c r="K179" s="22" t="s">
        <v>19440</v>
      </c>
      <c r="L179" s="22"/>
      <c r="M179" s="22"/>
      <c r="N179" s="25" t="str">
        <f>HYPERLINK("http://slimages.macys.com/is/image/MCY/17073627 ")</f>
        <v xml:space="preserve">http://slimages.macys.com/is/image/MCY/17073627 </v>
      </c>
    </row>
    <row r="180" spans="1:14" x14ac:dyDescent="0.25">
      <c r="A180" s="21" t="s">
        <v>15957</v>
      </c>
      <c r="B180" s="22" t="s">
        <v>15958</v>
      </c>
      <c r="C180" s="2">
        <v>1</v>
      </c>
      <c r="D180" s="23">
        <v>15.99</v>
      </c>
      <c r="E180" s="3">
        <v>15.99</v>
      </c>
      <c r="F180" s="2" t="s">
        <v>15938</v>
      </c>
      <c r="G180" s="22" t="s">
        <v>19333</v>
      </c>
      <c r="H180" s="24" t="s">
        <v>19432</v>
      </c>
      <c r="I180" s="22" t="s">
        <v>19309</v>
      </c>
      <c r="J180" s="22" t="s">
        <v>19310</v>
      </c>
      <c r="K180" s="22" t="s">
        <v>19440</v>
      </c>
      <c r="L180" s="22"/>
      <c r="M180" s="22"/>
      <c r="N180" s="25" t="str">
        <f>HYPERLINK("http://slimages.macys.com/is/image/MCY/18296013 ")</f>
        <v xml:space="preserve">http://slimages.macys.com/is/image/MCY/18296013 </v>
      </c>
    </row>
    <row r="181" spans="1:14" x14ac:dyDescent="0.25">
      <c r="A181" s="21" t="s">
        <v>15946</v>
      </c>
      <c r="B181" s="22" t="s">
        <v>15947</v>
      </c>
      <c r="C181" s="2">
        <v>2</v>
      </c>
      <c r="D181" s="23">
        <v>15.99</v>
      </c>
      <c r="E181" s="3">
        <v>31.98</v>
      </c>
      <c r="F181" s="2" t="s">
        <v>15938</v>
      </c>
      <c r="G181" s="22" t="s">
        <v>19315</v>
      </c>
      <c r="H181" s="24" t="s">
        <v>19345</v>
      </c>
      <c r="I181" s="22" t="s">
        <v>19309</v>
      </c>
      <c r="J181" s="22" t="s">
        <v>19310</v>
      </c>
      <c r="K181" s="22" t="s">
        <v>19440</v>
      </c>
      <c r="L181" s="22"/>
      <c r="M181" s="22"/>
      <c r="N181" s="25" t="str">
        <f>HYPERLINK("http://slimages.macys.com/is/image/MCY/18642386 ")</f>
        <v xml:space="preserve">http://slimages.macys.com/is/image/MCY/18642386 </v>
      </c>
    </row>
    <row r="182" spans="1:14" x14ac:dyDescent="0.25">
      <c r="A182" s="21" t="s">
        <v>15398</v>
      </c>
      <c r="B182" s="22" t="s">
        <v>15399</v>
      </c>
      <c r="C182" s="2">
        <v>1</v>
      </c>
      <c r="D182" s="23">
        <v>15.99</v>
      </c>
      <c r="E182" s="3">
        <v>15.99</v>
      </c>
      <c r="F182" s="2" t="s">
        <v>15938</v>
      </c>
      <c r="G182" s="22" t="s">
        <v>19315</v>
      </c>
      <c r="H182" s="24" t="s">
        <v>19361</v>
      </c>
      <c r="I182" s="22" t="s">
        <v>19309</v>
      </c>
      <c r="J182" s="22" t="s">
        <v>19310</v>
      </c>
      <c r="K182" s="22" t="s">
        <v>19440</v>
      </c>
      <c r="L182" s="22"/>
      <c r="M182" s="22"/>
      <c r="N182" s="25" t="str">
        <f>HYPERLINK("http://slimages.macys.com/is/image/MCY/18296013 ")</f>
        <v xml:space="preserve">http://slimages.macys.com/is/image/MCY/18296013 </v>
      </c>
    </row>
    <row r="183" spans="1:14" ht="24.75" x14ac:dyDescent="0.25">
      <c r="A183" s="21" t="s">
        <v>15400</v>
      </c>
      <c r="B183" s="22" t="s">
        <v>15401</v>
      </c>
      <c r="C183" s="2">
        <v>1</v>
      </c>
      <c r="D183" s="23">
        <v>19.989999999999998</v>
      </c>
      <c r="E183" s="3">
        <v>19.989999999999998</v>
      </c>
      <c r="F183" s="2" t="s">
        <v>15402</v>
      </c>
      <c r="G183" s="22" t="s">
        <v>19342</v>
      </c>
      <c r="H183" s="24" t="s">
        <v>19384</v>
      </c>
      <c r="I183" s="22" t="s">
        <v>19309</v>
      </c>
      <c r="J183" s="22" t="s">
        <v>19385</v>
      </c>
      <c r="K183" s="22" t="s">
        <v>18064</v>
      </c>
      <c r="L183" s="22"/>
      <c r="M183" s="22"/>
      <c r="N183" s="25" t="str">
        <f>HYPERLINK("http://slimages.macys.com/is/image/MCY/20123021 ")</f>
        <v xml:space="preserve">http://slimages.macys.com/is/image/MCY/20123021 </v>
      </c>
    </row>
    <row r="184" spans="1:14" ht="24.75" x14ac:dyDescent="0.25">
      <c r="A184" s="21" t="s">
        <v>15403</v>
      </c>
      <c r="B184" s="22" t="s">
        <v>15404</v>
      </c>
      <c r="C184" s="2">
        <v>2</v>
      </c>
      <c r="D184" s="23">
        <v>17.82</v>
      </c>
      <c r="E184" s="3">
        <v>35.64</v>
      </c>
      <c r="F184" s="2" t="s">
        <v>20040</v>
      </c>
      <c r="G184" s="22" t="s">
        <v>19467</v>
      </c>
      <c r="H184" s="24" t="s">
        <v>19334</v>
      </c>
      <c r="I184" s="22" t="s">
        <v>19309</v>
      </c>
      <c r="J184" s="22" t="s">
        <v>19602</v>
      </c>
      <c r="K184" s="22" t="s">
        <v>20041</v>
      </c>
      <c r="L184" s="22"/>
      <c r="M184" s="22"/>
      <c r="N184" s="25" t="str">
        <f>HYPERLINK("http://slimages.macys.com/is/image/MCY/20529114 ")</f>
        <v xml:space="preserve">http://slimages.macys.com/is/image/MCY/20529114 </v>
      </c>
    </row>
    <row r="185" spans="1:14" x14ac:dyDescent="0.25">
      <c r="A185" s="21" t="s">
        <v>15967</v>
      </c>
      <c r="B185" s="22" t="s">
        <v>15968</v>
      </c>
      <c r="C185" s="2">
        <v>1</v>
      </c>
      <c r="D185" s="23">
        <v>16.989999999999998</v>
      </c>
      <c r="E185" s="3">
        <v>16.989999999999998</v>
      </c>
      <c r="F185" s="2" t="s">
        <v>18085</v>
      </c>
      <c r="G185" s="22" t="s">
        <v>19315</v>
      </c>
      <c r="H185" s="24" t="s">
        <v>19339</v>
      </c>
      <c r="I185" s="22" t="s">
        <v>19309</v>
      </c>
      <c r="J185" s="22" t="s">
        <v>19849</v>
      </c>
      <c r="K185" s="22" t="s">
        <v>19850</v>
      </c>
      <c r="L185" s="22"/>
      <c r="M185" s="22"/>
      <c r="N185" s="25" t="str">
        <f>HYPERLINK("http://slimages.macys.com/is/image/MCY/21840264 ")</f>
        <v xml:space="preserve">http://slimages.macys.com/is/image/MCY/21840264 </v>
      </c>
    </row>
    <row r="186" spans="1:14" x14ac:dyDescent="0.25">
      <c r="A186" s="21" t="s">
        <v>18083</v>
      </c>
      <c r="B186" s="22" t="s">
        <v>18084</v>
      </c>
      <c r="C186" s="2">
        <v>1</v>
      </c>
      <c r="D186" s="23">
        <v>16.989999999999998</v>
      </c>
      <c r="E186" s="3">
        <v>16.989999999999998</v>
      </c>
      <c r="F186" s="2" t="s">
        <v>18085</v>
      </c>
      <c r="G186" s="22" t="s">
        <v>19315</v>
      </c>
      <c r="H186" s="24" t="s">
        <v>19797</v>
      </c>
      <c r="I186" s="22" t="s">
        <v>19309</v>
      </c>
      <c r="J186" s="22" t="s">
        <v>19849</v>
      </c>
      <c r="K186" s="22" t="s">
        <v>19850</v>
      </c>
      <c r="L186" s="22"/>
      <c r="M186" s="22"/>
      <c r="N186" s="25" t="str">
        <f>HYPERLINK("http://slimages.macys.com/is/image/MCY/21840264 ")</f>
        <v xml:space="preserve">http://slimages.macys.com/is/image/MCY/21840264 </v>
      </c>
    </row>
    <row r="187" spans="1:14" ht="24.75" x14ac:dyDescent="0.25">
      <c r="A187" s="21" t="s">
        <v>15405</v>
      </c>
      <c r="B187" s="22" t="s">
        <v>15406</v>
      </c>
      <c r="C187" s="2">
        <v>1</v>
      </c>
      <c r="D187" s="23">
        <v>18.989999999999998</v>
      </c>
      <c r="E187" s="3">
        <v>18.989999999999998</v>
      </c>
      <c r="F187" s="2" t="s">
        <v>15971</v>
      </c>
      <c r="G187" s="22" t="s">
        <v>19467</v>
      </c>
      <c r="H187" s="24" t="s">
        <v>19538</v>
      </c>
      <c r="I187" s="22" t="s">
        <v>19309</v>
      </c>
      <c r="J187" s="22" t="s">
        <v>19573</v>
      </c>
      <c r="K187" s="22" t="s">
        <v>19574</v>
      </c>
      <c r="L187" s="22"/>
      <c r="M187" s="22"/>
      <c r="N187" s="25" t="str">
        <f>HYPERLINK("http://slimages.macys.com/is/image/MCY/20757698 ")</f>
        <v xml:space="preserve">http://slimages.macys.com/is/image/MCY/20757698 </v>
      </c>
    </row>
    <row r="188" spans="1:14" x14ac:dyDescent="0.25">
      <c r="A188" s="21" t="s">
        <v>15407</v>
      </c>
      <c r="B188" s="22" t="s">
        <v>15408</v>
      </c>
      <c r="C188" s="2">
        <v>1</v>
      </c>
      <c r="D188" s="23">
        <v>18.989999999999998</v>
      </c>
      <c r="E188" s="3">
        <v>18.989999999999998</v>
      </c>
      <c r="F188" s="2" t="s">
        <v>15409</v>
      </c>
      <c r="G188" s="22" t="s">
        <v>19879</v>
      </c>
      <c r="H188" s="24"/>
      <c r="I188" s="22" t="s">
        <v>19309</v>
      </c>
      <c r="J188" s="22" t="s">
        <v>19696</v>
      </c>
      <c r="K188" s="22" t="s">
        <v>18094</v>
      </c>
      <c r="L188" s="22"/>
      <c r="M188" s="22"/>
      <c r="N188" s="25" t="str">
        <f>HYPERLINK("http://slimages.macys.com/is/image/MCY/21408520 ")</f>
        <v xml:space="preserve">http://slimages.macys.com/is/image/MCY/21408520 </v>
      </c>
    </row>
    <row r="189" spans="1:14" ht="24.75" x14ac:dyDescent="0.25">
      <c r="A189" s="21" t="s">
        <v>15410</v>
      </c>
      <c r="B189" s="22" t="s">
        <v>15411</v>
      </c>
      <c r="C189" s="2">
        <v>3</v>
      </c>
      <c r="D189" s="23">
        <v>15.99</v>
      </c>
      <c r="E189" s="3">
        <v>47.97</v>
      </c>
      <c r="F189" s="2" t="s">
        <v>15412</v>
      </c>
      <c r="G189" s="22" t="s">
        <v>18429</v>
      </c>
      <c r="H189" s="24" t="s">
        <v>19364</v>
      </c>
      <c r="I189" s="22" t="s">
        <v>19309</v>
      </c>
      <c r="J189" s="22" t="s">
        <v>19815</v>
      </c>
      <c r="K189" s="22" t="s">
        <v>19816</v>
      </c>
      <c r="L189" s="22"/>
      <c r="M189" s="22"/>
      <c r="N189" s="25" t="str">
        <f>HYPERLINK("http://slimages.macys.com/is/image/MCY/1097196 ")</f>
        <v xml:space="preserve">http://slimages.macys.com/is/image/MCY/1097196 </v>
      </c>
    </row>
    <row r="190" spans="1:14" ht="24.75" x14ac:dyDescent="0.25">
      <c r="A190" s="21" t="s">
        <v>15413</v>
      </c>
      <c r="B190" s="22" t="s">
        <v>15414</v>
      </c>
      <c r="C190" s="2">
        <v>2</v>
      </c>
      <c r="D190" s="23">
        <v>15.99</v>
      </c>
      <c r="E190" s="3">
        <v>31.98</v>
      </c>
      <c r="F190" s="2" t="s">
        <v>15412</v>
      </c>
      <c r="G190" s="22" t="s">
        <v>18429</v>
      </c>
      <c r="H190" s="24" t="s">
        <v>19308</v>
      </c>
      <c r="I190" s="22" t="s">
        <v>19309</v>
      </c>
      <c r="J190" s="22" t="s">
        <v>19815</v>
      </c>
      <c r="K190" s="22" t="s">
        <v>19816</v>
      </c>
      <c r="L190" s="22"/>
      <c r="M190" s="22"/>
      <c r="N190" s="25" t="str">
        <f>HYPERLINK("http://slimages.macys.com/is/image/MCY/1097196 ")</f>
        <v xml:space="preserve">http://slimages.macys.com/is/image/MCY/1097196 </v>
      </c>
    </row>
    <row r="191" spans="1:14" ht="24.75" x14ac:dyDescent="0.25">
      <c r="A191" s="21" t="s">
        <v>15415</v>
      </c>
      <c r="B191" s="22" t="s">
        <v>15416</v>
      </c>
      <c r="C191" s="2">
        <v>2</v>
      </c>
      <c r="D191" s="23">
        <v>15.99</v>
      </c>
      <c r="E191" s="3">
        <v>31.98</v>
      </c>
      <c r="F191" s="2" t="s">
        <v>15412</v>
      </c>
      <c r="G191" s="22" t="s">
        <v>18429</v>
      </c>
      <c r="H191" s="24" t="s">
        <v>19352</v>
      </c>
      <c r="I191" s="22" t="s">
        <v>19309</v>
      </c>
      <c r="J191" s="22" t="s">
        <v>19815</v>
      </c>
      <c r="K191" s="22" t="s">
        <v>19816</v>
      </c>
      <c r="L191" s="22"/>
      <c r="M191" s="22"/>
      <c r="N191" s="25" t="str">
        <f>HYPERLINK("http://slimages.macys.com/is/image/MCY/1097196 ")</f>
        <v xml:space="preserve">http://slimages.macys.com/is/image/MCY/1097196 </v>
      </c>
    </row>
    <row r="192" spans="1:14" ht="24.75" x14ac:dyDescent="0.25">
      <c r="A192" s="21" t="s">
        <v>15417</v>
      </c>
      <c r="B192" s="22" t="s">
        <v>15418</v>
      </c>
      <c r="C192" s="2">
        <v>1</v>
      </c>
      <c r="D192" s="23">
        <v>15.99</v>
      </c>
      <c r="E192" s="3">
        <v>15.99</v>
      </c>
      <c r="F192" s="2" t="s">
        <v>15412</v>
      </c>
      <c r="G192" s="22" t="s">
        <v>18429</v>
      </c>
      <c r="H192" s="24" t="s">
        <v>19339</v>
      </c>
      <c r="I192" s="22" t="s">
        <v>19309</v>
      </c>
      <c r="J192" s="22" t="s">
        <v>19815</v>
      </c>
      <c r="K192" s="22" t="s">
        <v>19816</v>
      </c>
      <c r="L192" s="22"/>
      <c r="M192" s="22"/>
      <c r="N192" s="25" t="str">
        <f>HYPERLINK("http://slimages.macys.com/is/image/MCY/1097196 ")</f>
        <v xml:space="preserve">http://slimages.macys.com/is/image/MCY/1097196 </v>
      </c>
    </row>
    <row r="193" spans="1:14" ht="24.75" x14ac:dyDescent="0.25">
      <c r="A193" s="21" t="s">
        <v>15419</v>
      </c>
      <c r="B193" s="22" t="s">
        <v>15420</v>
      </c>
      <c r="C193" s="2">
        <v>1</v>
      </c>
      <c r="D193" s="23">
        <v>25.99</v>
      </c>
      <c r="E193" s="3">
        <v>25.99</v>
      </c>
      <c r="F193" s="2" t="s">
        <v>15421</v>
      </c>
      <c r="G193" s="22" t="s">
        <v>19477</v>
      </c>
      <c r="H193" s="24" t="s">
        <v>19416</v>
      </c>
      <c r="I193" s="22" t="s">
        <v>19309</v>
      </c>
      <c r="J193" s="22" t="s">
        <v>19573</v>
      </c>
      <c r="K193" s="22" t="s">
        <v>19574</v>
      </c>
      <c r="L193" s="22"/>
      <c r="M193" s="22"/>
      <c r="N193" s="25" t="str">
        <f>HYPERLINK("http://slimages.macys.com/is/image/MCY/19977902 ")</f>
        <v xml:space="preserve">http://slimages.macys.com/is/image/MCY/19977902 </v>
      </c>
    </row>
    <row r="194" spans="1:14" ht="24.75" x14ac:dyDescent="0.25">
      <c r="A194" s="21" t="s">
        <v>15422</v>
      </c>
      <c r="B194" s="22" t="s">
        <v>15423</v>
      </c>
      <c r="C194" s="2">
        <v>1</v>
      </c>
      <c r="D194" s="23">
        <v>25.99</v>
      </c>
      <c r="E194" s="3">
        <v>25.99</v>
      </c>
      <c r="F194" s="2" t="s">
        <v>15421</v>
      </c>
      <c r="G194" s="22" t="s">
        <v>19477</v>
      </c>
      <c r="H194" s="24" t="s">
        <v>19330</v>
      </c>
      <c r="I194" s="22" t="s">
        <v>19309</v>
      </c>
      <c r="J194" s="22" t="s">
        <v>19573</v>
      </c>
      <c r="K194" s="22" t="s">
        <v>19574</v>
      </c>
      <c r="L194" s="22"/>
      <c r="M194" s="22"/>
      <c r="N194" s="25" t="str">
        <f>HYPERLINK("http://slimages.macys.com/is/image/MCY/19977902 ")</f>
        <v xml:space="preserve">http://slimages.macys.com/is/image/MCY/19977902 </v>
      </c>
    </row>
    <row r="195" spans="1:14" ht="24.75" x14ac:dyDescent="0.25">
      <c r="A195" s="21" t="s">
        <v>15424</v>
      </c>
      <c r="B195" s="22" t="s">
        <v>15425</v>
      </c>
      <c r="C195" s="2">
        <v>1</v>
      </c>
      <c r="D195" s="23">
        <v>23.99</v>
      </c>
      <c r="E195" s="3">
        <v>23.99</v>
      </c>
      <c r="F195" s="2" t="s">
        <v>20055</v>
      </c>
      <c r="G195" s="22" t="s">
        <v>19431</v>
      </c>
      <c r="H195" s="24" t="s">
        <v>19384</v>
      </c>
      <c r="I195" s="22" t="s">
        <v>19309</v>
      </c>
      <c r="J195" s="22" t="s">
        <v>19573</v>
      </c>
      <c r="K195" s="22" t="s">
        <v>19574</v>
      </c>
      <c r="L195" s="22"/>
      <c r="M195" s="22"/>
      <c r="N195" s="25" t="str">
        <f>HYPERLINK("http://slimages.macys.com/is/image/MCY/1485261 ")</f>
        <v xml:space="preserve">http://slimages.macys.com/is/image/MCY/1485261 </v>
      </c>
    </row>
    <row r="196" spans="1:14" ht="24.75" x14ac:dyDescent="0.25">
      <c r="A196" s="21" t="s">
        <v>15426</v>
      </c>
      <c r="B196" s="22" t="s">
        <v>15427</v>
      </c>
      <c r="C196" s="2">
        <v>1</v>
      </c>
      <c r="D196" s="23">
        <v>20.99</v>
      </c>
      <c r="E196" s="3">
        <v>20.99</v>
      </c>
      <c r="F196" s="2" t="s">
        <v>15428</v>
      </c>
      <c r="G196" s="22" t="s">
        <v>19323</v>
      </c>
      <c r="H196" s="24" t="s">
        <v>19324</v>
      </c>
      <c r="I196" s="22" t="s">
        <v>19309</v>
      </c>
      <c r="J196" s="22" t="s">
        <v>19385</v>
      </c>
      <c r="K196" s="22" t="s">
        <v>19386</v>
      </c>
      <c r="L196" s="22"/>
      <c r="M196" s="22"/>
      <c r="N196" s="25" t="str">
        <f>HYPERLINK("http://slimages.macys.com/is/image/MCY/21185189 ")</f>
        <v xml:space="preserve">http://slimages.macys.com/is/image/MCY/21185189 </v>
      </c>
    </row>
    <row r="197" spans="1:14" x14ac:dyDescent="0.25">
      <c r="A197" s="21" t="s">
        <v>15985</v>
      </c>
      <c r="B197" s="22" t="s">
        <v>15986</v>
      </c>
      <c r="C197" s="2">
        <v>1</v>
      </c>
      <c r="D197" s="23">
        <v>15.99</v>
      </c>
      <c r="E197" s="3">
        <v>15.99</v>
      </c>
      <c r="F197" s="2" t="s">
        <v>20066</v>
      </c>
      <c r="G197" s="22" t="s">
        <v>19315</v>
      </c>
      <c r="H197" s="24" t="s">
        <v>19432</v>
      </c>
      <c r="I197" s="22" t="s">
        <v>19309</v>
      </c>
      <c r="J197" s="22" t="s">
        <v>19310</v>
      </c>
      <c r="K197" s="22" t="s">
        <v>19440</v>
      </c>
      <c r="L197" s="22"/>
      <c r="M197" s="22"/>
      <c r="N197" s="25" t="str">
        <f>HYPERLINK("http://slimages.macys.com/is/image/MCY/21267919 ")</f>
        <v xml:space="preserve">http://slimages.macys.com/is/image/MCY/21267919 </v>
      </c>
    </row>
    <row r="198" spans="1:14" ht="24.75" x14ac:dyDescent="0.25">
      <c r="A198" s="21" t="s">
        <v>15429</v>
      </c>
      <c r="B198" s="22" t="s">
        <v>15430</v>
      </c>
      <c r="C198" s="2">
        <v>1</v>
      </c>
      <c r="D198" s="23">
        <v>17.32</v>
      </c>
      <c r="E198" s="3">
        <v>17.32</v>
      </c>
      <c r="F198" s="2" t="s">
        <v>15431</v>
      </c>
      <c r="G198" s="22"/>
      <c r="H198" s="24"/>
      <c r="I198" s="22" t="s">
        <v>19309</v>
      </c>
      <c r="J198" s="22" t="s">
        <v>19602</v>
      </c>
      <c r="K198" s="22" t="s">
        <v>20041</v>
      </c>
      <c r="L198" s="22"/>
      <c r="M198" s="22"/>
      <c r="N198" s="25" t="str">
        <f>HYPERLINK("http://slimages.macys.com/is/image/MCY/20193725 ")</f>
        <v xml:space="preserve">http://slimages.macys.com/is/image/MCY/20193725 </v>
      </c>
    </row>
    <row r="199" spans="1:14" x14ac:dyDescent="0.25">
      <c r="A199" s="21" t="s">
        <v>15432</v>
      </c>
      <c r="B199" s="22" t="s">
        <v>15433</v>
      </c>
      <c r="C199" s="2">
        <v>1</v>
      </c>
      <c r="D199" s="23">
        <v>36</v>
      </c>
      <c r="E199" s="3">
        <v>36</v>
      </c>
      <c r="F199" s="2" t="s">
        <v>15434</v>
      </c>
      <c r="G199" s="22" t="s">
        <v>19351</v>
      </c>
      <c r="H199" s="24" t="s">
        <v>19324</v>
      </c>
      <c r="I199" s="22" t="s">
        <v>19309</v>
      </c>
      <c r="J199" s="22" t="s">
        <v>19417</v>
      </c>
      <c r="K199" s="22" t="s">
        <v>20110</v>
      </c>
      <c r="L199" s="22"/>
      <c r="M199" s="22"/>
      <c r="N199" s="25" t="str">
        <f>HYPERLINK("http://slimages.macys.com/is/image/MCY/21400820 ")</f>
        <v xml:space="preserve">http://slimages.macys.com/is/image/MCY/21400820 </v>
      </c>
    </row>
    <row r="200" spans="1:14" ht="24.75" x14ac:dyDescent="0.25">
      <c r="A200" s="21" t="s">
        <v>15435</v>
      </c>
      <c r="B200" s="22" t="s">
        <v>15436</v>
      </c>
      <c r="C200" s="2">
        <v>1</v>
      </c>
      <c r="D200" s="23">
        <v>24</v>
      </c>
      <c r="E200" s="3">
        <v>24</v>
      </c>
      <c r="F200" s="2" t="s">
        <v>15437</v>
      </c>
      <c r="G200" s="22" t="s">
        <v>19431</v>
      </c>
      <c r="H200" s="24" t="s">
        <v>19432</v>
      </c>
      <c r="I200" s="22" t="s">
        <v>19309</v>
      </c>
      <c r="J200" s="22" t="s">
        <v>19310</v>
      </c>
      <c r="K200" s="22" t="s">
        <v>15570</v>
      </c>
      <c r="L200" s="22"/>
      <c r="M200" s="22"/>
      <c r="N200" s="25" t="str">
        <f>HYPERLINK("http://slimages.macys.com/is/image/MCY/19684843 ")</f>
        <v xml:space="preserve">http://slimages.macys.com/is/image/MCY/19684843 </v>
      </c>
    </row>
    <row r="201" spans="1:14" x14ac:dyDescent="0.25">
      <c r="A201" s="21" t="s">
        <v>15438</v>
      </c>
      <c r="B201" s="22" t="s">
        <v>15439</v>
      </c>
      <c r="C201" s="2">
        <v>1</v>
      </c>
      <c r="D201" s="23">
        <v>19.989999999999998</v>
      </c>
      <c r="E201" s="3">
        <v>19.989999999999998</v>
      </c>
      <c r="F201" s="2" t="s">
        <v>15440</v>
      </c>
      <c r="G201" s="22" t="s">
        <v>19674</v>
      </c>
      <c r="H201" s="24" t="s">
        <v>20135</v>
      </c>
      <c r="I201" s="22" t="s">
        <v>19309</v>
      </c>
      <c r="J201" s="22" t="s">
        <v>19849</v>
      </c>
      <c r="K201" s="22" t="s">
        <v>19850</v>
      </c>
      <c r="L201" s="22"/>
      <c r="M201" s="22"/>
      <c r="N201" s="25" t="str">
        <f>HYPERLINK("http://slimages.macys.com/is/image/MCY/20530633 ")</f>
        <v xml:space="preserve">http://slimages.macys.com/is/image/MCY/20530633 </v>
      </c>
    </row>
    <row r="202" spans="1:14" ht="24.75" x14ac:dyDescent="0.25">
      <c r="A202" s="21" t="s">
        <v>15441</v>
      </c>
      <c r="B202" s="22" t="s">
        <v>15442</v>
      </c>
      <c r="C202" s="2">
        <v>1</v>
      </c>
      <c r="D202" s="23">
        <v>30.99</v>
      </c>
      <c r="E202" s="3">
        <v>30.99</v>
      </c>
      <c r="F202" s="2" t="s">
        <v>15443</v>
      </c>
      <c r="G202" s="22" t="s">
        <v>19357</v>
      </c>
      <c r="H202" s="24" t="s">
        <v>19352</v>
      </c>
      <c r="I202" s="22" t="s">
        <v>19309</v>
      </c>
      <c r="J202" s="22" t="s">
        <v>19353</v>
      </c>
      <c r="K202" s="22" t="s">
        <v>19524</v>
      </c>
      <c r="L202" s="22"/>
      <c r="M202" s="22"/>
      <c r="N202" s="25" t="str">
        <f>HYPERLINK("http://slimages.macys.com/is/image/MCY/19252888 ")</f>
        <v xml:space="preserve">http://slimages.macys.com/is/image/MCY/19252888 </v>
      </c>
    </row>
    <row r="203" spans="1:14" ht="24.75" x14ac:dyDescent="0.25">
      <c r="A203" s="21" t="s">
        <v>15444</v>
      </c>
      <c r="B203" s="22" t="s">
        <v>15445</v>
      </c>
      <c r="C203" s="2">
        <v>1</v>
      </c>
      <c r="D203" s="23">
        <v>42.5</v>
      </c>
      <c r="E203" s="3">
        <v>42.5</v>
      </c>
      <c r="F203" s="2" t="s">
        <v>20103</v>
      </c>
      <c r="G203" s="22" t="s">
        <v>19618</v>
      </c>
      <c r="H203" s="24" t="s">
        <v>19316</v>
      </c>
      <c r="I203" s="22" t="s">
        <v>19309</v>
      </c>
      <c r="J203" s="22" t="s">
        <v>20104</v>
      </c>
      <c r="K203" s="22" t="s">
        <v>20105</v>
      </c>
      <c r="L203" s="22"/>
      <c r="M203" s="22"/>
      <c r="N203" s="25" t="str">
        <f>HYPERLINK("http://slimages.macys.com/is/image/MCY/22159222 ")</f>
        <v xml:space="preserve">http://slimages.macys.com/is/image/MCY/22159222 </v>
      </c>
    </row>
    <row r="204" spans="1:14" ht="24.75" x14ac:dyDescent="0.25">
      <c r="A204" s="21" t="s">
        <v>15446</v>
      </c>
      <c r="B204" s="22" t="s">
        <v>15447</v>
      </c>
      <c r="C204" s="2">
        <v>1</v>
      </c>
      <c r="D204" s="23">
        <v>15.99</v>
      </c>
      <c r="E204" s="3">
        <v>15.99</v>
      </c>
      <c r="F204" s="2" t="s">
        <v>18142</v>
      </c>
      <c r="G204" s="22" t="s">
        <v>19307</v>
      </c>
      <c r="H204" s="24" t="s">
        <v>19361</v>
      </c>
      <c r="I204" s="22" t="s">
        <v>19309</v>
      </c>
      <c r="J204" s="22" t="s">
        <v>19447</v>
      </c>
      <c r="K204" s="22" t="s">
        <v>19463</v>
      </c>
      <c r="L204" s="22"/>
      <c r="M204" s="22"/>
      <c r="N204" s="25" t="str">
        <f>HYPERLINK("http://slimages.macys.com/is/image/MCY/21842856 ")</f>
        <v xml:space="preserve">http://slimages.macys.com/is/image/MCY/21842856 </v>
      </c>
    </row>
    <row r="205" spans="1:14" ht="24.75" x14ac:dyDescent="0.25">
      <c r="A205" s="21" t="s">
        <v>15448</v>
      </c>
      <c r="B205" s="22" t="s">
        <v>15449</v>
      </c>
      <c r="C205" s="2">
        <v>1</v>
      </c>
      <c r="D205" s="23">
        <v>19.989999999999998</v>
      </c>
      <c r="E205" s="3">
        <v>19.989999999999998</v>
      </c>
      <c r="F205" s="2" t="s">
        <v>18145</v>
      </c>
      <c r="G205" s="22"/>
      <c r="H205" s="24" t="s">
        <v>19361</v>
      </c>
      <c r="I205" s="22" t="s">
        <v>19309</v>
      </c>
      <c r="J205" s="22" t="s">
        <v>19519</v>
      </c>
      <c r="K205" s="22" t="s">
        <v>20028</v>
      </c>
      <c r="L205" s="22"/>
      <c r="M205" s="22"/>
      <c r="N205" s="25" t="str">
        <f>HYPERLINK("http://slimages.macys.com/is/image/MCY/21272042 ")</f>
        <v xml:space="preserve">http://slimages.macys.com/is/image/MCY/21272042 </v>
      </c>
    </row>
    <row r="206" spans="1:14" x14ac:dyDescent="0.25">
      <c r="A206" s="21" t="s">
        <v>15450</v>
      </c>
      <c r="B206" s="22" t="s">
        <v>15451</v>
      </c>
      <c r="C206" s="2">
        <v>1</v>
      </c>
      <c r="D206" s="23">
        <v>18.77</v>
      </c>
      <c r="E206" s="3">
        <v>18.77</v>
      </c>
      <c r="F206" s="2" t="s">
        <v>20119</v>
      </c>
      <c r="G206" s="22"/>
      <c r="H206" s="24" t="s">
        <v>20159</v>
      </c>
      <c r="I206" s="22" t="s">
        <v>19309</v>
      </c>
      <c r="J206" s="22" t="s">
        <v>19708</v>
      </c>
      <c r="K206" s="22" t="s">
        <v>19709</v>
      </c>
      <c r="L206" s="22"/>
      <c r="M206" s="22"/>
      <c r="N206" s="25" t="str">
        <f>HYPERLINK("http://slimages.macys.com/is/image/MCY/22405750 ")</f>
        <v xml:space="preserve">http://slimages.macys.com/is/image/MCY/22405750 </v>
      </c>
    </row>
    <row r="207" spans="1:14" x14ac:dyDescent="0.25">
      <c r="A207" s="21" t="s">
        <v>20117</v>
      </c>
      <c r="B207" s="22" t="s">
        <v>20118</v>
      </c>
      <c r="C207" s="2">
        <v>1</v>
      </c>
      <c r="D207" s="23">
        <v>18.77</v>
      </c>
      <c r="E207" s="3">
        <v>18.77</v>
      </c>
      <c r="F207" s="2" t="s">
        <v>20119</v>
      </c>
      <c r="G207" s="22"/>
      <c r="H207" s="24" t="s">
        <v>19770</v>
      </c>
      <c r="I207" s="22" t="s">
        <v>19309</v>
      </c>
      <c r="J207" s="22" t="s">
        <v>19708</v>
      </c>
      <c r="K207" s="22" t="s">
        <v>19709</v>
      </c>
      <c r="L207" s="22"/>
      <c r="M207" s="22"/>
      <c r="N207" s="25" t="str">
        <f>HYPERLINK("http://slimages.macys.com/is/image/MCY/22405750 ")</f>
        <v xml:space="preserve">http://slimages.macys.com/is/image/MCY/22405750 </v>
      </c>
    </row>
    <row r="208" spans="1:14" x14ac:dyDescent="0.25">
      <c r="A208" s="21" t="s">
        <v>15452</v>
      </c>
      <c r="B208" s="22" t="s">
        <v>15453</v>
      </c>
      <c r="C208" s="2">
        <v>1</v>
      </c>
      <c r="D208" s="23">
        <v>18.66</v>
      </c>
      <c r="E208" s="3">
        <v>18.66</v>
      </c>
      <c r="F208" s="2" t="s">
        <v>15454</v>
      </c>
      <c r="G208" s="22"/>
      <c r="H208" s="24" t="s">
        <v>20152</v>
      </c>
      <c r="I208" s="22" t="s">
        <v>19309</v>
      </c>
      <c r="J208" s="22" t="s">
        <v>19708</v>
      </c>
      <c r="K208" s="22" t="s">
        <v>19709</v>
      </c>
      <c r="L208" s="22"/>
      <c r="M208" s="22"/>
      <c r="N208" s="25" t="str">
        <f>HYPERLINK("http://slimages.macys.com/is/image/MCY/21414177 ")</f>
        <v xml:space="preserve">http://slimages.macys.com/is/image/MCY/21414177 </v>
      </c>
    </row>
    <row r="209" spans="1:14" x14ac:dyDescent="0.25">
      <c r="A209" s="21" t="s">
        <v>15455</v>
      </c>
      <c r="B209" s="22" t="s">
        <v>15456</v>
      </c>
      <c r="C209" s="2">
        <v>1</v>
      </c>
      <c r="D209" s="23">
        <v>19.989999999999998</v>
      </c>
      <c r="E209" s="3">
        <v>19.989999999999998</v>
      </c>
      <c r="F209" s="2" t="s">
        <v>18164</v>
      </c>
      <c r="G209" s="22" t="s">
        <v>19670</v>
      </c>
      <c r="H209" s="24" t="s">
        <v>19339</v>
      </c>
      <c r="I209" s="22" t="s">
        <v>19309</v>
      </c>
      <c r="J209" s="22" t="s">
        <v>19849</v>
      </c>
      <c r="K209" s="22" t="s">
        <v>19850</v>
      </c>
      <c r="L209" s="22"/>
      <c r="M209" s="22"/>
      <c r="N209" s="25" t="str">
        <f>HYPERLINK("http://slimages.macys.com/is/image/MCY/20549415 ")</f>
        <v xml:space="preserve">http://slimages.macys.com/is/image/MCY/20549415 </v>
      </c>
    </row>
    <row r="210" spans="1:14" x14ac:dyDescent="0.25">
      <c r="A210" s="21" t="s">
        <v>15457</v>
      </c>
      <c r="B210" s="22" t="s">
        <v>15458</v>
      </c>
      <c r="C210" s="2">
        <v>1</v>
      </c>
      <c r="D210" s="23">
        <v>19.989999999999998</v>
      </c>
      <c r="E210" s="3">
        <v>19.989999999999998</v>
      </c>
      <c r="F210" s="2" t="s">
        <v>18164</v>
      </c>
      <c r="G210" s="22" t="s">
        <v>19670</v>
      </c>
      <c r="H210" s="24" t="s">
        <v>19797</v>
      </c>
      <c r="I210" s="22" t="s">
        <v>19309</v>
      </c>
      <c r="J210" s="22" t="s">
        <v>19849</v>
      </c>
      <c r="K210" s="22" t="s">
        <v>19850</v>
      </c>
      <c r="L210" s="22"/>
      <c r="M210" s="22"/>
      <c r="N210" s="25" t="str">
        <f>HYPERLINK("http://slimages.macys.com/is/image/MCY/20549415 ")</f>
        <v xml:space="preserve">http://slimages.macys.com/is/image/MCY/20549415 </v>
      </c>
    </row>
    <row r="211" spans="1:14" ht="24.75" x14ac:dyDescent="0.25">
      <c r="A211" s="21" t="s">
        <v>15459</v>
      </c>
      <c r="B211" s="22" t="s">
        <v>15460</v>
      </c>
      <c r="C211" s="2">
        <v>1</v>
      </c>
      <c r="D211" s="23">
        <v>22.99</v>
      </c>
      <c r="E211" s="3">
        <v>22.99</v>
      </c>
      <c r="F211" s="2" t="s">
        <v>15461</v>
      </c>
      <c r="G211" s="22" t="s">
        <v>19315</v>
      </c>
      <c r="H211" s="24" t="s">
        <v>19352</v>
      </c>
      <c r="I211" s="22" t="s">
        <v>19309</v>
      </c>
      <c r="J211" s="22" t="s">
        <v>19353</v>
      </c>
      <c r="K211" s="22" t="s">
        <v>19524</v>
      </c>
      <c r="L211" s="22"/>
      <c r="M211" s="22"/>
      <c r="N211" s="25" t="str">
        <f>HYPERLINK("http://slimages.macys.com/is/image/MCY/19988427 ")</f>
        <v xml:space="preserve">http://slimages.macys.com/is/image/MCY/19988427 </v>
      </c>
    </row>
    <row r="212" spans="1:14" ht="24.75" x14ac:dyDescent="0.25">
      <c r="A212" s="21" t="s">
        <v>15462</v>
      </c>
      <c r="B212" s="22" t="s">
        <v>15463</v>
      </c>
      <c r="C212" s="2">
        <v>1</v>
      </c>
      <c r="D212" s="23">
        <v>21.99</v>
      </c>
      <c r="E212" s="3">
        <v>21.99</v>
      </c>
      <c r="F212" s="2" t="s">
        <v>15464</v>
      </c>
      <c r="G212" s="22" t="s">
        <v>19955</v>
      </c>
      <c r="H212" s="24" t="s">
        <v>19364</v>
      </c>
      <c r="I212" s="22" t="s">
        <v>19309</v>
      </c>
      <c r="J212" s="22" t="s">
        <v>19849</v>
      </c>
      <c r="K212" s="22" t="s">
        <v>19850</v>
      </c>
      <c r="L212" s="22"/>
      <c r="M212" s="22"/>
      <c r="N212" s="25" t="str">
        <f>HYPERLINK("http://slimages.macys.com/is/image/MCY/20530593 ")</f>
        <v xml:space="preserve">http://slimages.macys.com/is/image/MCY/20530593 </v>
      </c>
    </row>
    <row r="213" spans="1:14" x14ac:dyDescent="0.25">
      <c r="A213" s="21" t="s">
        <v>15465</v>
      </c>
      <c r="B213" s="22" t="s">
        <v>15466</v>
      </c>
      <c r="C213" s="2">
        <v>1</v>
      </c>
      <c r="D213" s="23">
        <v>24.99</v>
      </c>
      <c r="E213" s="3">
        <v>24.99</v>
      </c>
      <c r="F213" s="2" t="s">
        <v>16063</v>
      </c>
      <c r="G213" s="22" t="s">
        <v>19431</v>
      </c>
      <c r="H213" s="24" t="s">
        <v>19797</v>
      </c>
      <c r="I213" s="22" t="s">
        <v>19309</v>
      </c>
      <c r="J213" s="22" t="s">
        <v>19849</v>
      </c>
      <c r="K213" s="22" t="s">
        <v>19850</v>
      </c>
      <c r="L213" s="22"/>
      <c r="M213" s="22"/>
      <c r="N213" s="25" t="str">
        <f>HYPERLINK("http://slimages.macys.com/is/image/MCY/20751985 ")</f>
        <v xml:space="preserve">http://slimages.macys.com/is/image/MCY/20751985 </v>
      </c>
    </row>
    <row r="214" spans="1:14" x14ac:dyDescent="0.25">
      <c r="A214" s="21" t="s">
        <v>15467</v>
      </c>
      <c r="B214" s="22" t="s">
        <v>15468</v>
      </c>
      <c r="C214" s="2">
        <v>1</v>
      </c>
      <c r="D214" s="23">
        <v>16.989999999999998</v>
      </c>
      <c r="E214" s="3">
        <v>16.989999999999998</v>
      </c>
      <c r="F214" s="2" t="s">
        <v>20168</v>
      </c>
      <c r="G214" s="22" t="s">
        <v>19431</v>
      </c>
      <c r="H214" s="24" t="s">
        <v>19352</v>
      </c>
      <c r="I214" s="22" t="s">
        <v>19309</v>
      </c>
      <c r="J214" s="22" t="s">
        <v>19849</v>
      </c>
      <c r="K214" s="22" t="s">
        <v>19850</v>
      </c>
      <c r="L214" s="22"/>
      <c r="M214" s="22"/>
      <c r="N214" s="25" t="str">
        <f>HYPERLINK("http://slimages.macys.com/is/image/MCY/20752002 ")</f>
        <v xml:space="preserve">http://slimages.macys.com/is/image/MCY/20752002 </v>
      </c>
    </row>
    <row r="215" spans="1:14" x14ac:dyDescent="0.25">
      <c r="A215" s="21" t="s">
        <v>20169</v>
      </c>
      <c r="B215" s="22" t="s">
        <v>20170</v>
      </c>
      <c r="C215" s="2">
        <v>1</v>
      </c>
      <c r="D215" s="23">
        <v>16.989999999999998</v>
      </c>
      <c r="E215" s="3">
        <v>16.989999999999998</v>
      </c>
      <c r="F215" s="2" t="s">
        <v>20168</v>
      </c>
      <c r="G215" s="22" t="s">
        <v>19618</v>
      </c>
      <c r="H215" s="24" t="s">
        <v>19364</v>
      </c>
      <c r="I215" s="22" t="s">
        <v>19309</v>
      </c>
      <c r="J215" s="22" t="s">
        <v>19849</v>
      </c>
      <c r="K215" s="22" t="s">
        <v>19850</v>
      </c>
      <c r="L215" s="22"/>
      <c r="M215" s="22"/>
      <c r="N215" s="25" t="str">
        <f>HYPERLINK("http://slimages.macys.com/is/image/MCY/20752002 ")</f>
        <v xml:space="preserve">http://slimages.macys.com/is/image/MCY/20752002 </v>
      </c>
    </row>
    <row r="216" spans="1:14" x14ac:dyDescent="0.25">
      <c r="A216" s="21" t="s">
        <v>15469</v>
      </c>
      <c r="B216" s="22" t="s">
        <v>15470</v>
      </c>
      <c r="C216" s="2">
        <v>1</v>
      </c>
      <c r="D216" s="23">
        <v>16.989999999999998</v>
      </c>
      <c r="E216" s="3">
        <v>16.989999999999998</v>
      </c>
      <c r="F216" s="2" t="s">
        <v>20168</v>
      </c>
      <c r="G216" s="22" t="s">
        <v>19618</v>
      </c>
      <c r="H216" s="24" t="s">
        <v>19339</v>
      </c>
      <c r="I216" s="22" t="s">
        <v>19309</v>
      </c>
      <c r="J216" s="22" t="s">
        <v>19849</v>
      </c>
      <c r="K216" s="22" t="s">
        <v>19850</v>
      </c>
      <c r="L216" s="22"/>
      <c r="M216" s="22"/>
      <c r="N216" s="25" t="str">
        <f>HYPERLINK("http://slimages.macys.com/is/image/MCY/20752002 ")</f>
        <v xml:space="preserve">http://slimages.macys.com/is/image/MCY/20752002 </v>
      </c>
    </row>
    <row r="217" spans="1:14" x14ac:dyDescent="0.25">
      <c r="A217" s="21" t="s">
        <v>15471</v>
      </c>
      <c r="B217" s="22" t="s">
        <v>15472</v>
      </c>
      <c r="C217" s="2">
        <v>1</v>
      </c>
      <c r="D217" s="23">
        <v>17.87</v>
      </c>
      <c r="E217" s="3">
        <v>17.87</v>
      </c>
      <c r="F217" s="2" t="s">
        <v>20173</v>
      </c>
      <c r="G217" s="22"/>
      <c r="H217" s="24" t="s">
        <v>20152</v>
      </c>
      <c r="I217" s="22" t="s">
        <v>19309</v>
      </c>
      <c r="J217" s="22" t="s">
        <v>19708</v>
      </c>
      <c r="K217" s="22" t="s">
        <v>19709</v>
      </c>
      <c r="L217" s="22"/>
      <c r="M217" s="22"/>
      <c r="N217" s="25" t="str">
        <f>HYPERLINK("http://slimages.macys.com/is/image/MCY/22405672 ")</f>
        <v xml:space="preserve">http://slimages.macys.com/is/image/MCY/22405672 </v>
      </c>
    </row>
    <row r="218" spans="1:14" x14ac:dyDescent="0.25">
      <c r="A218" s="21" t="s">
        <v>15473</v>
      </c>
      <c r="B218" s="22" t="s">
        <v>15474</v>
      </c>
      <c r="C218" s="2">
        <v>1</v>
      </c>
      <c r="D218" s="23">
        <v>17.87</v>
      </c>
      <c r="E218" s="3">
        <v>17.87</v>
      </c>
      <c r="F218" s="2" t="s">
        <v>20173</v>
      </c>
      <c r="G218" s="22"/>
      <c r="H218" s="24" t="s">
        <v>20159</v>
      </c>
      <c r="I218" s="22" t="s">
        <v>19309</v>
      </c>
      <c r="J218" s="22" t="s">
        <v>19708</v>
      </c>
      <c r="K218" s="22" t="s">
        <v>19709</v>
      </c>
      <c r="L218" s="22"/>
      <c r="M218" s="22"/>
      <c r="N218" s="25" t="str">
        <f>HYPERLINK("http://slimages.macys.com/is/image/MCY/22405672 ")</f>
        <v xml:space="preserve">http://slimages.macys.com/is/image/MCY/22405672 </v>
      </c>
    </row>
    <row r="219" spans="1:14" ht="24.75" x14ac:dyDescent="0.25">
      <c r="A219" s="21" t="s">
        <v>18191</v>
      </c>
      <c r="B219" s="22" t="s">
        <v>18192</v>
      </c>
      <c r="C219" s="2">
        <v>1</v>
      </c>
      <c r="D219" s="23">
        <v>15.71</v>
      </c>
      <c r="E219" s="3">
        <v>15.71</v>
      </c>
      <c r="F219" s="2" t="s">
        <v>18193</v>
      </c>
      <c r="G219" s="22" t="s">
        <v>19431</v>
      </c>
      <c r="H219" s="24" t="s">
        <v>19345</v>
      </c>
      <c r="I219" s="22" t="s">
        <v>19309</v>
      </c>
      <c r="J219" s="22" t="s">
        <v>19602</v>
      </c>
      <c r="K219" s="22" t="s">
        <v>20041</v>
      </c>
      <c r="L219" s="22"/>
      <c r="M219" s="22"/>
      <c r="N219" s="25" t="str">
        <f>HYPERLINK("http://slimages.macys.com/is/image/MCY/21728870 ")</f>
        <v xml:space="preserve">http://slimages.macys.com/is/image/MCY/21728870 </v>
      </c>
    </row>
    <row r="220" spans="1:14" ht="24.75" x14ac:dyDescent="0.25">
      <c r="A220" s="21" t="s">
        <v>15475</v>
      </c>
      <c r="B220" s="22" t="s">
        <v>15476</v>
      </c>
      <c r="C220" s="2">
        <v>1</v>
      </c>
      <c r="D220" s="23">
        <v>22.5</v>
      </c>
      <c r="E220" s="3">
        <v>22.5</v>
      </c>
      <c r="F220" s="2" t="s">
        <v>15477</v>
      </c>
      <c r="G220" s="22" t="s">
        <v>19351</v>
      </c>
      <c r="H220" s="24"/>
      <c r="I220" s="22" t="s">
        <v>19309</v>
      </c>
      <c r="J220" s="22" t="s">
        <v>19613</v>
      </c>
      <c r="K220" s="22" t="s">
        <v>19614</v>
      </c>
      <c r="L220" s="22"/>
      <c r="M220" s="22"/>
      <c r="N220" s="25" t="str">
        <f>HYPERLINK("http://slimages.macys.com/is/image/MCY/19130157 ")</f>
        <v xml:space="preserve">http://slimages.macys.com/is/image/MCY/19130157 </v>
      </c>
    </row>
    <row r="221" spans="1:14" ht="24.75" x14ac:dyDescent="0.25">
      <c r="A221" s="21" t="s">
        <v>15478</v>
      </c>
      <c r="B221" s="22" t="s">
        <v>15479</v>
      </c>
      <c r="C221" s="2">
        <v>1</v>
      </c>
      <c r="D221" s="23">
        <v>22.5</v>
      </c>
      <c r="E221" s="3">
        <v>22.5</v>
      </c>
      <c r="F221" s="2" t="s">
        <v>15480</v>
      </c>
      <c r="G221" s="22" t="s">
        <v>19351</v>
      </c>
      <c r="H221" s="24"/>
      <c r="I221" s="22" t="s">
        <v>19309</v>
      </c>
      <c r="J221" s="22" t="s">
        <v>19613</v>
      </c>
      <c r="K221" s="22" t="s">
        <v>19614</v>
      </c>
      <c r="L221" s="22"/>
      <c r="M221" s="22"/>
      <c r="N221" s="25" t="str">
        <f>HYPERLINK("http://slimages.macys.com/is/image/MCY/18722960 ")</f>
        <v xml:space="preserve">http://slimages.macys.com/is/image/MCY/18722960 </v>
      </c>
    </row>
    <row r="222" spans="1:14" x14ac:dyDescent="0.25">
      <c r="A222" s="21" t="s">
        <v>15481</v>
      </c>
      <c r="B222" s="22" t="s">
        <v>15482</v>
      </c>
      <c r="C222" s="2">
        <v>1</v>
      </c>
      <c r="D222" s="23">
        <v>14.99</v>
      </c>
      <c r="E222" s="3">
        <v>14.99</v>
      </c>
      <c r="F222" s="2" t="s">
        <v>15483</v>
      </c>
      <c r="G222" s="22" t="s">
        <v>19674</v>
      </c>
      <c r="H222" s="24" t="s">
        <v>20089</v>
      </c>
      <c r="I222" s="22" t="s">
        <v>19309</v>
      </c>
      <c r="J222" s="22" t="s">
        <v>19849</v>
      </c>
      <c r="K222" s="22" t="s">
        <v>19850</v>
      </c>
      <c r="L222" s="22"/>
      <c r="M222" s="22"/>
      <c r="N222" s="25" t="str">
        <f>HYPERLINK("http://slimages.macys.com/is/image/MCY/20549351 ")</f>
        <v xml:space="preserve">http://slimages.macys.com/is/image/MCY/20549351 </v>
      </c>
    </row>
    <row r="223" spans="1:14" x14ac:dyDescent="0.25">
      <c r="A223" s="21" t="s">
        <v>15484</v>
      </c>
      <c r="B223" s="22" t="s">
        <v>15485</v>
      </c>
      <c r="C223" s="2">
        <v>1</v>
      </c>
      <c r="D223" s="23">
        <v>14.99</v>
      </c>
      <c r="E223" s="3">
        <v>14.99</v>
      </c>
      <c r="F223" s="2" t="s">
        <v>15483</v>
      </c>
      <c r="G223" s="22" t="s">
        <v>19674</v>
      </c>
      <c r="H223" s="24" t="s">
        <v>19907</v>
      </c>
      <c r="I223" s="22" t="s">
        <v>19309</v>
      </c>
      <c r="J223" s="22" t="s">
        <v>19849</v>
      </c>
      <c r="K223" s="22" t="s">
        <v>19850</v>
      </c>
      <c r="L223" s="22"/>
      <c r="M223" s="22"/>
      <c r="N223" s="25" t="str">
        <f>HYPERLINK("http://slimages.macys.com/is/image/MCY/20549351 ")</f>
        <v xml:space="preserve">http://slimages.macys.com/is/image/MCY/20549351 </v>
      </c>
    </row>
    <row r="224" spans="1:14" x14ac:dyDescent="0.25">
      <c r="A224" s="21" t="s">
        <v>15486</v>
      </c>
      <c r="B224" s="22" t="s">
        <v>15487</v>
      </c>
      <c r="C224" s="2">
        <v>1</v>
      </c>
      <c r="D224" s="23">
        <v>14.99</v>
      </c>
      <c r="E224" s="3">
        <v>14.99</v>
      </c>
      <c r="F224" s="2" t="s">
        <v>15483</v>
      </c>
      <c r="G224" s="22" t="s">
        <v>19674</v>
      </c>
      <c r="H224" s="24" t="s">
        <v>20135</v>
      </c>
      <c r="I224" s="22" t="s">
        <v>19309</v>
      </c>
      <c r="J224" s="22" t="s">
        <v>19849</v>
      </c>
      <c r="K224" s="22" t="s">
        <v>19850</v>
      </c>
      <c r="L224" s="22"/>
      <c r="M224" s="22"/>
      <c r="N224" s="25" t="str">
        <f>HYPERLINK("http://slimages.macys.com/is/image/MCY/20549351 ")</f>
        <v xml:space="preserve">http://slimages.macys.com/is/image/MCY/20549351 </v>
      </c>
    </row>
    <row r="225" spans="1:14" ht="24.75" x14ac:dyDescent="0.25">
      <c r="A225" s="21" t="s">
        <v>15488</v>
      </c>
      <c r="B225" s="22" t="s">
        <v>15489</v>
      </c>
      <c r="C225" s="2">
        <v>1</v>
      </c>
      <c r="D225" s="23">
        <v>16.989999999999998</v>
      </c>
      <c r="E225" s="3">
        <v>16.989999999999998</v>
      </c>
      <c r="F225" s="2" t="s">
        <v>15490</v>
      </c>
      <c r="G225" s="22" t="s">
        <v>19315</v>
      </c>
      <c r="H225" s="24" t="s">
        <v>19392</v>
      </c>
      <c r="I225" s="22" t="s">
        <v>19309</v>
      </c>
      <c r="J225" s="22" t="s">
        <v>19815</v>
      </c>
      <c r="K225" s="22" t="s">
        <v>19816</v>
      </c>
      <c r="L225" s="22"/>
      <c r="M225" s="22"/>
      <c r="N225" s="25" t="str">
        <f>HYPERLINK("http://slimages.macys.com/is/image/MCY/20549879 ")</f>
        <v xml:space="preserve">http://slimages.macys.com/is/image/MCY/20549879 </v>
      </c>
    </row>
    <row r="226" spans="1:14" ht="24.75" x14ac:dyDescent="0.25">
      <c r="A226" s="21" t="s">
        <v>15491</v>
      </c>
      <c r="B226" s="22" t="s">
        <v>15492</v>
      </c>
      <c r="C226" s="2">
        <v>1</v>
      </c>
      <c r="D226" s="23">
        <v>16.989999999999998</v>
      </c>
      <c r="E226" s="3">
        <v>16.989999999999998</v>
      </c>
      <c r="F226" s="2" t="s">
        <v>15490</v>
      </c>
      <c r="G226" s="22" t="s">
        <v>19315</v>
      </c>
      <c r="H226" s="24" t="s">
        <v>19907</v>
      </c>
      <c r="I226" s="22" t="s">
        <v>19309</v>
      </c>
      <c r="J226" s="22" t="s">
        <v>19815</v>
      </c>
      <c r="K226" s="22" t="s">
        <v>19816</v>
      </c>
      <c r="L226" s="22"/>
      <c r="M226" s="22"/>
      <c r="N226" s="25" t="str">
        <f>HYPERLINK("http://slimages.macys.com/is/image/MCY/20549879 ")</f>
        <v xml:space="preserve">http://slimages.macys.com/is/image/MCY/20549879 </v>
      </c>
    </row>
    <row r="227" spans="1:14" ht="24.75" x14ac:dyDescent="0.25">
      <c r="A227" s="21" t="s">
        <v>15493</v>
      </c>
      <c r="B227" s="22" t="s">
        <v>15494</v>
      </c>
      <c r="C227" s="2">
        <v>1</v>
      </c>
      <c r="D227" s="23">
        <v>16.989999999999998</v>
      </c>
      <c r="E227" s="3">
        <v>16.989999999999998</v>
      </c>
      <c r="F227" s="2" t="s">
        <v>15490</v>
      </c>
      <c r="G227" s="22" t="s">
        <v>19315</v>
      </c>
      <c r="H227" s="24" t="s">
        <v>19542</v>
      </c>
      <c r="I227" s="22" t="s">
        <v>19309</v>
      </c>
      <c r="J227" s="22" t="s">
        <v>19815</v>
      </c>
      <c r="K227" s="22" t="s">
        <v>19816</v>
      </c>
      <c r="L227" s="22"/>
      <c r="M227" s="22"/>
      <c r="N227" s="25" t="str">
        <f>HYPERLINK("http://slimages.macys.com/is/image/MCY/20549879 ")</f>
        <v xml:space="preserve">http://slimages.macys.com/is/image/MCY/20549879 </v>
      </c>
    </row>
    <row r="228" spans="1:14" ht="24.75" x14ac:dyDescent="0.25">
      <c r="A228" s="21" t="s">
        <v>15495</v>
      </c>
      <c r="B228" s="22" t="s">
        <v>15496</v>
      </c>
      <c r="C228" s="2">
        <v>1</v>
      </c>
      <c r="D228" s="23">
        <v>16.989999999999998</v>
      </c>
      <c r="E228" s="3">
        <v>16.989999999999998</v>
      </c>
      <c r="F228" s="2" t="s">
        <v>15490</v>
      </c>
      <c r="G228" s="22" t="s">
        <v>19315</v>
      </c>
      <c r="H228" s="24" t="s">
        <v>19432</v>
      </c>
      <c r="I228" s="22" t="s">
        <v>19309</v>
      </c>
      <c r="J228" s="22" t="s">
        <v>19815</v>
      </c>
      <c r="K228" s="22" t="s">
        <v>19816</v>
      </c>
      <c r="L228" s="22"/>
      <c r="M228" s="22"/>
      <c r="N228" s="25" t="str">
        <f>HYPERLINK("http://slimages.macys.com/is/image/MCY/20549879 ")</f>
        <v xml:space="preserve">http://slimages.macys.com/is/image/MCY/20549879 </v>
      </c>
    </row>
    <row r="229" spans="1:14" ht="24.75" x14ac:dyDescent="0.25">
      <c r="A229" s="21" t="s">
        <v>15497</v>
      </c>
      <c r="B229" s="22" t="s">
        <v>13663</v>
      </c>
      <c r="C229" s="2">
        <v>1</v>
      </c>
      <c r="D229" s="23">
        <v>16.989999999999998</v>
      </c>
      <c r="E229" s="3">
        <v>16.989999999999998</v>
      </c>
      <c r="F229" s="2" t="s">
        <v>15490</v>
      </c>
      <c r="G229" s="22" t="s">
        <v>19315</v>
      </c>
      <c r="H229" s="24" t="s">
        <v>19361</v>
      </c>
      <c r="I229" s="22" t="s">
        <v>19309</v>
      </c>
      <c r="J229" s="22" t="s">
        <v>19815</v>
      </c>
      <c r="K229" s="22" t="s">
        <v>19816</v>
      </c>
      <c r="L229" s="22"/>
      <c r="M229" s="22"/>
      <c r="N229" s="25" t="str">
        <f>HYPERLINK("http://slimages.macys.com/is/image/MCY/20549879 ")</f>
        <v xml:space="preserve">http://slimages.macys.com/is/image/MCY/20549879 </v>
      </c>
    </row>
    <row r="230" spans="1:14" ht="24.75" x14ac:dyDescent="0.25">
      <c r="A230" s="21" t="s">
        <v>13664</v>
      </c>
      <c r="B230" s="22" t="s">
        <v>13665</v>
      </c>
      <c r="C230" s="2">
        <v>1</v>
      </c>
      <c r="D230" s="23">
        <v>16.989999999999998</v>
      </c>
      <c r="E230" s="3">
        <v>16.989999999999998</v>
      </c>
      <c r="F230" s="2" t="s">
        <v>13666</v>
      </c>
      <c r="G230" s="22" t="s">
        <v>19814</v>
      </c>
      <c r="H230" s="24" t="s">
        <v>19432</v>
      </c>
      <c r="I230" s="22" t="s">
        <v>19309</v>
      </c>
      <c r="J230" s="22" t="s">
        <v>19815</v>
      </c>
      <c r="K230" s="22" t="s">
        <v>19816</v>
      </c>
      <c r="L230" s="22"/>
      <c r="M230" s="22"/>
      <c r="N230" s="25" t="str">
        <f>HYPERLINK("http://slimages.macys.com/is/image/MCY/1107146 ")</f>
        <v xml:space="preserve">http://slimages.macys.com/is/image/MCY/1107146 </v>
      </c>
    </row>
    <row r="231" spans="1:14" ht="24.75" x14ac:dyDescent="0.25">
      <c r="A231" s="21" t="s">
        <v>13667</v>
      </c>
      <c r="B231" s="22" t="s">
        <v>13668</v>
      </c>
      <c r="C231" s="2">
        <v>1</v>
      </c>
      <c r="D231" s="23">
        <v>16.989999999999998</v>
      </c>
      <c r="E231" s="3">
        <v>16.989999999999998</v>
      </c>
      <c r="F231" s="2" t="s">
        <v>13666</v>
      </c>
      <c r="G231" s="22" t="s">
        <v>19814</v>
      </c>
      <c r="H231" s="24" t="s">
        <v>19542</v>
      </c>
      <c r="I231" s="22" t="s">
        <v>19309</v>
      </c>
      <c r="J231" s="22" t="s">
        <v>19815</v>
      </c>
      <c r="K231" s="22" t="s">
        <v>19816</v>
      </c>
      <c r="L231" s="22"/>
      <c r="M231" s="22"/>
      <c r="N231" s="25" t="str">
        <f>HYPERLINK("http://slimages.macys.com/is/image/MCY/1107146 ")</f>
        <v xml:space="preserve">http://slimages.macys.com/is/image/MCY/1107146 </v>
      </c>
    </row>
    <row r="232" spans="1:14" ht="24.75" x14ac:dyDescent="0.25">
      <c r="A232" s="21" t="s">
        <v>13669</v>
      </c>
      <c r="B232" s="22" t="s">
        <v>13670</v>
      </c>
      <c r="C232" s="2">
        <v>1</v>
      </c>
      <c r="D232" s="23">
        <v>16.989999999999998</v>
      </c>
      <c r="E232" s="3">
        <v>16.989999999999998</v>
      </c>
      <c r="F232" s="2" t="s">
        <v>13666</v>
      </c>
      <c r="G232" s="22" t="s">
        <v>19814</v>
      </c>
      <c r="H232" s="24" t="s">
        <v>19361</v>
      </c>
      <c r="I232" s="22" t="s">
        <v>19309</v>
      </c>
      <c r="J232" s="22" t="s">
        <v>19815</v>
      </c>
      <c r="K232" s="22" t="s">
        <v>19816</v>
      </c>
      <c r="L232" s="22"/>
      <c r="M232" s="22"/>
      <c r="N232" s="25" t="str">
        <f>HYPERLINK("http://slimages.macys.com/is/image/MCY/1107146 ")</f>
        <v xml:space="preserve">http://slimages.macys.com/is/image/MCY/1107146 </v>
      </c>
    </row>
    <row r="233" spans="1:14" ht="24.75" x14ac:dyDescent="0.25">
      <c r="A233" s="21" t="s">
        <v>13671</v>
      </c>
      <c r="B233" s="22" t="s">
        <v>13672</v>
      </c>
      <c r="C233" s="2">
        <v>1</v>
      </c>
      <c r="D233" s="23">
        <v>16.989999999999998</v>
      </c>
      <c r="E233" s="3">
        <v>16.989999999999998</v>
      </c>
      <c r="F233" s="2" t="s">
        <v>13666</v>
      </c>
      <c r="G233" s="22" t="s">
        <v>19814</v>
      </c>
      <c r="H233" s="24" t="s">
        <v>19907</v>
      </c>
      <c r="I233" s="22" t="s">
        <v>19309</v>
      </c>
      <c r="J233" s="22" t="s">
        <v>19815</v>
      </c>
      <c r="K233" s="22" t="s">
        <v>19816</v>
      </c>
      <c r="L233" s="22"/>
      <c r="M233" s="22"/>
      <c r="N233" s="25" t="str">
        <f>HYPERLINK("http://slimages.macys.com/is/image/MCY/1107473 ")</f>
        <v xml:space="preserve">http://slimages.macys.com/is/image/MCY/1107473 </v>
      </c>
    </row>
    <row r="234" spans="1:14" ht="24.75" x14ac:dyDescent="0.25">
      <c r="A234" s="21" t="s">
        <v>13673</v>
      </c>
      <c r="B234" s="22" t="s">
        <v>13674</v>
      </c>
      <c r="C234" s="2">
        <v>1</v>
      </c>
      <c r="D234" s="23">
        <v>16.989999999999998</v>
      </c>
      <c r="E234" s="3">
        <v>16.989999999999998</v>
      </c>
      <c r="F234" s="2" t="s">
        <v>13666</v>
      </c>
      <c r="G234" s="22" t="s">
        <v>19315</v>
      </c>
      <c r="H234" s="24" t="s">
        <v>19907</v>
      </c>
      <c r="I234" s="22" t="s">
        <v>19309</v>
      </c>
      <c r="J234" s="22" t="s">
        <v>19815</v>
      </c>
      <c r="K234" s="22" t="s">
        <v>19816</v>
      </c>
      <c r="L234" s="22"/>
      <c r="M234" s="22"/>
      <c r="N234" s="25" t="str">
        <f>HYPERLINK("http://slimages.macys.com/is/image/MCY/1107146 ")</f>
        <v xml:space="preserve">http://slimages.macys.com/is/image/MCY/1107146 </v>
      </c>
    </row>
    <row r="235" spans="1:14" ht="24.75" x14ac:dyDescent="0.25">
      <c r="A235" s="21" t="s">
        <v>13675</v>
      </c>
      <c r="B235" s="22" t="s">
        <v>13676</v>
      </c>
      <c r="C235" s="2">
        <v>1</v>
      </c>
      <c r="D235" s="23">
        <v>16.989999999999998</v>
      </c>
      <c r="E235" s="3">
        <v>16.989999999999998</v>
      </c>
      <c r="F235" s="2" t="s">
        <v>13666</v>
      </c>
      <c r="G235" s="22" t="s">
        <v>19315</v>
      </c>
      <c r="H235" s="24" t="s">
        <v>20135</v>
      </c>
      <c r="I235" s="22" t="s">
        <v>19309</v>
      </c>
      <c r="J235" s="22" t="s">
        <v>19815</v>
      </c>
      <c r="K235" s="22" t="s">
        <v>19816</v>
      </c>
      <c r="L235" s="22"/>
      <c r="M235" s="22"/>
      <c r="N235" s="25" t="str">
        <f>HYPERLINK("http://slimages.macys.com/is/image/MCY/1107146 ")</f>
        <v xml:space="preserve">http://slimages.macys.com/is/image/MCY/1107146 </v>
      </c>
    </row>
    <row r="236" spans="1:14" ht="24.75" x14ac:dyDescent="0.25">
      <c r="A236" s="21" t="s">
        <v>13677</v>
      </c>
      <c r="B236" s="22" t="s">
        <v>13678</v>
      </c>
      <c r="C236" s="2">
        <v>1</v>
      </c>
      <c r="D236" s="23">
        <v>16.989999999999998</v>
      </c>
      <c r="E236" s="3">
        <v>16.989999999999998</v>
      </c>
      <c r="F236" s="2" t="s">
        <v>13666</v>
      </c>
      <c r="G236" s="22" t="s">
        <v>19814</v>
      </c>
      <c r="H236" s="24" t="s">
        <v>20135</v>
      </c>
      <c r="I236" s="22" t="s">
        <v>19309</v>
      </c>
      <c r="J236" s="22" t="s">
        <v>19815</v>
      </c>
      <c r="K236" s="22" t="s">
        <v>19816</v>
      </c>
      <c r="L236" s="22"/>
      <c r="M236" s="22"/>
      <c r="N236" s="25" t="str">
        <f>HYPERLINK("http://slimages.macys.com/is/image/MCY/1107473 ")</f>
        <v xml:space="preserve">http://slimages.macys.com/is/image/MCY/1107473 </v>
      </c>
    </row>
    <row r="237" spans="1:14" ht="24.75" x14ac:dyDescent="0.25">
      <c r="A237" s="21" t="s">
        <v>13679</v>
      </c>
      <c r="B237" s="22" t="s">
        <v>13680</v>
      </c>
      <c r="C237" s="2">
        <v>1</v>
      </c>
      <c r="D237" s="23">
        <v>16.989999999999998</v>
      </c>
      <c r="E237" s="3">
        <v>16.989999999999998</v>
      </c>
      <c r="F237" s="2" t="s">
        <v>13666</v>
      </c>
      <c r="G237" s="22" t="s">
        <v>19315</v>
      </c>
      <c r="H237" s="24" t="s">
        <v>19432</v>
      </c>
      <c r="I237" s="22" t="s">
        <v>19309</v>
      </c>
      <c r="J237" s="22" t="s">
        <v>19815</v>
      </c>
      <c r="K237" s="22" t="s">
        <v>19816</v>
      </c>
      <c r="L237" s="22"/>
      <c r="M237" s="22"/>
      <c r="N237" s="25" t="str">
        <f>HYPERLINK("http://slimages.macys.com/is/image/MCY/1107146 ")</f>
        <v xml:space="preserve">http://slimages.macys.com/is/image/MCY/1107146 </v>
      </c>
    </row>
    <row r="238" spans="1:14" ht="24.75" x14ac:dyDescent="0.25">
      <c r="A238" s="21" t="s">
        <v>13681</v>
      </c>
      <c r="B238" s="22" t="s">
        <v>13682</v>
      </c>
      <c r="C238" s="2">
        <v>1</v>
      </c>
      <c r="D238" s="23">
        <v>16.989999999999998</v>
      </c>
      <c r="E238" s="3">
        <v>16.989999999999998</v>
      </c>
      <c r="F238" s="2" t="s">
        <v>13666</v>
      </c>
      <c r="G238" s="22" t="s">
        <v>19315</v>
      </c>
      <c r="H238" s="24" t="s">
        <v>19392</v>
      </c>
      <c r="I238" s="22" t="s">
        <v>19309</v>
      </c>
      <c r="J238" s="22" t="s">
        <v>19815</v>
      </c>
      <c r="K238" s="22" t="s">
        <v>19816</v>
      </c>
      <c r="L238" s="22"/>
      <c r="M238" s="22"/>
      <c r="N238" s="25" t="str">
        <f>HYPERLINK("http://slimages.macys.com/is/image/MCY/1107146 ")</f>
        <v xml:space="preserve">http://slimages.macys.com/is/image/MCY/1107146 </v>
      </c>
    </row>
    <row r="239" spans="1:14" x14ac:dyDescent="0.25">
      <c r="A239" s="21" t="s">
        <v>13683</v>
      </c>
      <c r="B239" s="22" t="s">
        <v>13684</v>
      </c>
      <c r="C239" s="2">
        <v>1</v>
      </c>
      <c r="D239" s="23">
        <v>14.99</v>
      </c>
      <c r="E239" s="3">
        <v>14.99</v>
      </c>
      <c r="F239" s="2" t="s">
        <v>13685</v>
      </c>
      <c r="G239" s="22" t="s">
        <v>19713</v>
      </c>
      <c r="H239" s="24" t="s">
        <v>19364</v>
      </c>
      <c r="I239" s="22" t="s">
        <v>19309</v>
      </c>
      <c r="J239" s="22" t="s">
        <v>19849</v>
      </c>
      <c r="K239" s="22" t="s">
        <v>19850</v>
      </c>
      <c r="L239" s="22"/>
      <c r="M239" s="22"/>
      <c r="N239" s="25" t="str">
        <f>HYPERLINK("http://slimages.macys.com/is/image/MCY/21178894 ")</f>
        <v xml:space="preserve">http://slimages.macys.com/is/image/MCY/21178894 </v>
      </c>
    </row>
    <row r="240" spans="1:14" x14ac:dyDescent="0.25">
      <c r="A240" s="21" t="s">
        <v>13686</v>
      </c>
      <c r="B240" s="22" t="s">
        <v>13687</v>
      </c>
      <c r="C240" s="2">
        <v>1</v>
      </c>
      <c r="D240" s="23">
        <v>14.99</v>
      </c>
      <c r="E240" s="3">
        <v>14.99</v>
      </c>
      <c r="F240" s="2" t="s">
        <v>13685</v>
      </c>
      <c r="G240" s="22" t="s">
        <v>19315</v>
      </c>
      <c r="H240" s="24" t="s">
        <v>19797</v>
      </c>
      <c r="I240" s="22" t="s">
        <v>19309</v>
      </c>
      <c r="J240" s="22" t="s">
        <v>19849</v>
      </c>
      <c r="K240" s="22" t="s">
        <v>19850</v>
      </c>
      <c r="L240" s="22"/>
      <c r="M240" s="22"/>
      <c r="N240" s="25" t="str">
        <f>HYPERLINK("http://slimages.macys.com/is/image/MCY/1064553 ")</f>
        <v xml:space="preserve">http://slimages.macys.com/is/image/MCY/1064553 </v>
      </c>
    </row>
    <row r="241" spans="1:14" ht="24.75" x14ac:dyDescent="0.25">
      <c r="A241" s="21" t="s">
        <v>13688</v>
      </c>
      <c r="B241" s="22" t="s">
        <v>13689</v>
      </c>
      <c r="C241" s="2">
        <v>1</v>
      </c>
      <c r="D241" s="23">
        <v>15.99</v>
      </c>
      <c r="E241" s="3">
        <v>15.99</v>
      </c>
      <c r="F241" s="2" t="s">
        <v>13690</v>
      </c>
      <c r="G241" s="22" t="s">
        <v>19415</v>
      </c>
      <c r="H241" s="24" t="s">
        <v>19416</v>
      </c>
      <c r="I241" s="22" t="s">
        <v>19309</v>
      </c>
      <c r="J241" s="22" t="s">
        <v>19573</v>
      </c>
      <c r="K241" s="22" t="s">
        <v>19574</v>
      </c>
      <c r="L241" s="22"/>
      <c r="M241" s="22"/>
      <c r="N241" s="25" t="str">
        <f>HYPERLINK("http://slimages.macys.com/is/image/MCY/20757458 ")</f>
        <v xml:space="preserve">http://slimages.macys.com/is/image/MCY/20757458 </v>
      </c>
    </row>
    <row r="242" spans="1:14" x14ac:dyDescent="0.25">
      <c r="A242" s="21" t="s">
        <v>13691</v>
      </c>
      <c r="B242" s="22" t="s">
        <v>13692</v>
      </c>
      <c r="C242" s="2">
        <v>1</v>
      </c>
      <c r="D242" s="23">
        <v>19.989999999999998</v>
      </c>
      <c r="E242" s="3">
        <v>19.989999999999998</v>
      </c>
      <c r="F242" s="2" t="s">
        <v>13693</v>
      </c>
      <c r="G242" s="22" t="s">
        <v>19342</v>
      </c>
      <c r="H242" s="24" t="s">
        <v>19997</v>
      </c>
      <c r="I242" s="22" t="s">
        <v>19309</v>
      </c>
      <c r="J242" s="22" t="s">
        <v>19696</v>
      </c>
      <c r="K242" s="22" t="s">
        <v>19697</v>
      </c>
      <c r="L242" s="22"/>
      <c r="M242" s="22"/>
      <c r="N242" s="25" t="str">
        <f>HYPERLINK("http://slimages.macys.com/is/image/MCY/20662555 ")</f>
        <v xml:space="preserve">http://slimages.macys.com/is/image/MCY/20662555 </v>
      </c>
    </row>
    <row r="243" spans="1:14" x14ac:dyDescent="0.25">
      <c r="A243" s="21" t="s">
        <v>13694</v>
      </c>
      <c r="B243" s="22" t="s">
        <v>13695</v>
      </c>
      <c r="C243" s="2">
        <v>1</v>
      </c>
      <c r="D243" s="23">
        <v>13.77</v>
      </c>
      <c r="E243" s="3">
        <v>13.77</v>
      </c>
      <c r="F243" s="2" t="s">
        <v>20202</v>
      </c>
      <c r="G243" s="22"/>
      <c r="H243" s="24" t="s">
        <v>20159</v>
      </c>
      <c r="I243" s="22" t="s">
        <v>19309</v>
      </c>
      <c r="J243" s="22" t="s">
        <v>19708</v>
      </c>
      <c r="K243" s="22" t="s">
        <v>19709</v>
      </c>
      <c r="L243" s="22"/>
      <c r="M243" s="22"/>
      <c r="N243" s="25" t="str">
        <f>HYPERLINK("http://slimages.macys.com/is/image/MCY/19067056 ")</f>
        <v xml:space="preserve">http://slimages.macys.com/is/image/MCY/19067056 </v>
      </c>
    </row>
    <row r="244" spans="1:14" ht="24.75" x14ac:dyDescent="0.25">
      <c r="A244" s="21" t="s">
        <v>13696</v>
      </c>
      <c r="B244" s="22" t="s">
        <v>13697</v>
      </c>
      <c r="C244" s="2">
        <v>1</v>
      </c>
      <c r="D244" s="23">
        <v>26.99</v>
      </c>
      <c r="E244" s="3">
        <v>26.99</v>
      </c>
      <c r="F244" s="2" t="s">
        <v>13698</v>
      </c>
      <c r="G244" s="22" t="s">
        <v>19333</v>
      </c>
      <c r="H244" s="24" t="s">
        <v>19364</v>
      </c>
      <c r="I244" s="22" t="s">
        <v>19309</v>
      </c>
      <c r="J244" s="22" t="s">
        <v>19353</v>
      </c>
      <c r="K244" s="22" t="s">
        <v>19524</v>
      </c>
      <c r="L244" s="22"/>
      <c r="M244" s="22"/>
      <c r="N244" s="25" t="str">
        <f>HYPERLINK("http://slimages.macys.com/is/image/MCY/18665980 ")</f>
        <v xml:space="preserve">http://slimages.macys.com/is/image/MCY/18665980 </v>
      </c>
    </row>
    <row r="245" spans="1:14" ht="24.75" x14ac:dyDescent="0.25">
      <c r="A245" s="21" t="s">
        <v>13699</v>
      </c>
      <c r="B245" s="22" t="s">
        <v>13700</v>
      </c>
      <c r="C245" s="2">
        <v>1</v>
      </c>
      <c r="D245" s="23">
        <v>18.989999999999998</v>
      </c>
      <c r="E245" s="3">
        <v>18.989999999999998</v>
      </c>
      <c r="F245" s="2" t="s">
        <v>18212</v>
      </c>
      <c r="G245" s="22" t="s">
        <v>19594</v>
      </c>
      <c r="H245" s="24" t="s">
        <v>19377</v>
      </c>
      <c r="I245" s="22" t="s">
        <v>19309</v>
      </c>
      <c r="J245" s="22" t="s">
        <v>19908</v>
      </c>
      <c r="K245" s="22" t="s">
        <v>19524</v>
      </c>
      <c r="L245" s="22"/>
      <c r="M245" s="22"/>
      <c r="N245" s="25" t="str">
        <f>HYPERLINK("http://slimages.macys.com/is/image/MCY/21569911 ")</f>
        <v xml:space="preserve">http://slimages.macys.com/is/image/MCY/21569911 </v>
      </c>
    </row>
    <row r="246" spans="1:14" ht="24.75" x14ac:dyDescent="0.25">
      <c r="A246" s="21" t="s">
        <v>13701</v>
      </c>
      <c r="B246" s="22" t="s">
        <v>13702</v>
      </c>
      <c r="C246" s="2">
        <v>1</v>
      </c>
      <c r="D246" s="23">
        <v>18.989999999999998</v>
      </c>
      <c r="E246" s="3">
        <v>18.989999999999998</v>
      </c>
      <c r="F246" s="2" t="s">
        <v>18212</v>
      </c>
      <c r="G246" s="22" t="s">
        <v>19594</v>
      </c>
      <c r="H246" s="24" t="s">
        <v>19542</v>
      </c>
      <c r="I246" s="22" t="s">
        <v>19309</v>
      </c>
      <c r="J246" s="22" t="s">
        <v>19908</v>
      </c>
      <c r="K246" s="22" t="s">
        <v>19524</v>
      </c>
      <c r="L246" s="22"/>
      <c r="M246" s="22"/>
      <c r="N246" s="25" t="str">
        <f>HYPERLINK("http://slimages.macys.com/is/image/MCY/21569911 ")</f>
        <v xml:space="preserve">http://slimages.macys.com/is/image/MCY/21569911 </v>
      </c>
    </row>
    <row r="247" spans="1:14" ht="24.75" x14ac:dyDescent="0.25">
      <c r="A247" s="21" t="s">
        <v>13703</v>
      </c>
      <c r="B247" s="22" t="s">
        <v>13704</v>
      </c>
      <c r="C247" s="2">
        <v>1</v>
      </c>
      <c r="D247" s="23">
        <v>18.989999999999998</v>
      </c>
      <c r="E247" s="3">
        <v>18.989999999999998</v>
      </c>
      <c r="F247" s="2" t="s">
        <v>18212</v>
      </c>
      <c r="G247" s="22" t="s">
        <v>19594</v>
      </c>
      <c r="H247" s="24" t="s">
        <v>20089</v>
      </c>
      <c r="I247" s="22" t="s">
        <v>19309</v>
      </c>
      <c r="J247" s="22" t="s">
        <v>19908</v>
      </c>
      <c r="K247" s="22" t="s">
        <v>19524</v>
      </c>
      <c r="L247" s="22"/>
      <c r="M247" s="22"/>
      <c r="N247" s="25" t="str">
        <f>HYPERLINK("http://slimages.macys.com/is/image/MCY/21570029 ")</f>
        <v xml:space="preserve">http://slimages.macys.com/is/image/MCY/21570029 </v>
      </c>
    </row>
    <row r="248" spans="1:14" x14ac:dyDescent="0.25">
      <c r="A248" s="21" t="s">
        <v>13705</v>
      </c>
      <c r="B248" s="22" t="s">
        <v>13706</v>
      </c>
      <c r="C248" s="2">
        <v>1</v>
      </c>
      <c r="D248" s="23">
        <v>14.99</v>
      </c>
      <c r="E248" s="3">
        <v>14.99</v>
      </c>
      <c r="F248" s="2" t="s">
        <v>13707</v>
      </c>
      <c r="G248" s="22" t="s">
        <v>19431</v>
      </c>
      <c r="H248" s="24" t="s">
        <v>19907</v>
      </c>
      <c r="I248" s="22" t="s">
        <v>19309</v>
      </c>
      <c r="J248" s="22" t="s">
        <v>19849</v>
      </c>
      <c r="K248" s="22" t="s">
        <v>19850</v>
      </c>
      <c r="L248" s="22"/>
      <c r="M248" s="22"/>
      <c r="N248" s="25" t="str">
        <f>HYPERLINK("http://slimages.macys.com/is/image/MCY/20751925 ")</f>
        <v xml:space="preserve">http://slimages.macys.com/is/image/MCY/20751925 </v>
      </c>
    </row>
    <row r="249" spans="1:14" ht="24.75" x14ac:dyDescent="0.25">
      <c r="A249" s="21" t="s">
        <v>13708</v>
      </c>
      <c r="B249" s="22" t="s">
        <v>13709</v>
      </c>
      <c r="C249" s="2">
        <v>1</v>
      </c>
      <c r="D249" s="23">
        <v>14.99</v>
      </c>
      <c r="E249" s="3">
        <v>14.99</v>
      </c>
      <c r="F249" s="2" t="s">
        <v>13710</v>
      </c>
      <c r="G249" s="22" t="s">
        <v>18429</v>
      </c>
      <c r="H249" s="24" t="s">
        <v>19308</v>
      </c>
      <c r="I249" s="22" t="s">
        <v>19309</v>
      </c>
      <c r="J249" s="22" t="s">
        <v>19815</v>
      </c>
      <c r="K249" s="22" t="s">
        <v>19816</v>
      </c>
      <c r="L249" s="22"/>
      <c r="M249" s="22"/>
      <c r="N249" s="25" t="str">
        <f>HYPERLINK("http://slimages.macys.com/is/image/MCY/21278468 ")</f>
        <v xml:space="preserve">http://slimages.macys.com/is/image/MCY/21278468 </v>
      </c>
    </row>
    <row r="250" spans="1:14" x14ac:dyDescent="0.25">
      <c r="A250" s="21" t="s">
        <v>13711</v>
      </c>
      <c r="B250" s="22" t="s">
        <v>13712</v>
      </c>
      <c r="C250" s="2">
        <v>1</v>
      </c>
      <c r="D250" s="23">
        <v>15.99</v>
      </c>
      <c r="E250" s="3">
        <v>15.99</v>
      </c>
      <c r="F250" s="2" t="s">
        <v>20223</v>
      </c>
      <c r="G250" s="22" t="s">
        <v>19477</v>
      </c>
      <c r="H250" s="24" t="s">
        <v>19542</v>
      </c>
      <c r="I250" s="22" t="s">
        <v>19309</v>
      </c>
      <c r="J250" s="22" t="s">
        <v>19849</v>
      </c>
      <c r="K250" s="22" t="s">
        <v>19850</v>
      </c>
      <c r="L250" s="22"/>
      <c r="M250" s="22"/>
      <c r="N250" s="25" t="str">
        <f>HYPERLINK("http://slimages.macys.com/is/image/MCY/1488068 ")</f>
        <v xml:space="preserve">http://slimages.macys.com/is/image/MCY/1488068 </v>
      </c>
    </row>
    <row r="251" spans="1:14" x14ac:dyDescent="0.25">
      <c r="A251" s="21" t="s">
        <v>13713</v>
      </c>
      <c r="B251" s="22" t="s">
        <v>13714</v>
      </c>
      <c r="C251" s="2">
        <v>1</v>
      </c>
      <c r="D251" s="23">
        <v>15.99</v>
      </c>
      <c r="E251" s="3">
        <v>15.99</v>
      </c>
      <c r="F251" s="2" t="s">
        <v>20223</v>
      </c>
      <c r="G251" s="22" t="s">
        <v>19674</v>
      </c>
      <c r="H251" s="24" t="s">
        <v>20089</v>
      </c>
      <c r="I251" s="22" t="s">
        <v>19309</v>
      </c>
      <c r="J251" s="22" t="s">
        <v>19849</v>
      </c>
      <c r="K251" s="22" t="s">
        <v>19850</v>
      </c>
      <c r="L251" s="22"/>
      <c r="M251" s="22"/>
      <c r="N251" s="25" t="str">
        <f>HYPERLINK("http://slimages.macys.com/is/image/MCY/20549380 ")</f>
        <v xml:space="preserve">http://slimages.macys.com/is/image/MCY/20549380 </v>
      </c>
    </row>
    <row r="252" spans="1:14" x14ac:dyDescent="0.25">
      <c r="A252" s="21" t="s">
        <v>13715</v>
      </c>
      <c r="B252" s="22" t="s">
        <v>13716</v>
      </c>
      <c r="C252" s="2">
        <v>1</v>
      </c>
      <c r="D252" s="23">
        <v>15.99</v>
      </c>
      <c r="E252" s="3">
        <v>15.99</v>
      </c>
      <c r="F252" s="2" t="s">
        <v>20223</v>
      </c>
      <c r="G252" s="22" t="s">
        <v>19477</v>
      </c>
      <c r="H252" s="24" t="s">
        <v>19377</v>
      </c>
      <c r="I252" s="22" t="s">
        <v>19309</v>
      </c>
      <c r="J252" s="22" t="s">
        <v>19849</v>
      </c>
      <c r="K252" s="22" t="s">
        <v>19850</v>
      </c>
      <c r="L252" s="22"/>
      <c r="M252" s="22"/>
      <c r="N252" s="25" t="str">
        <f>HYPERLINK("http://slimages.macys.com/is/image/MCY/20549380 ")</f>
        <v xml:space="preserve">http://slimages.macys.com/is/image/MCY/20549380 </v>
      </c>
    </row>
    <row r="253" spans="1:14" x14ac:dyDescent="0.25">
      <c r="A253" s="21" t="s">
        <v>18216</v>
      </c>
      <c r="B253" s="22" t="s">
        <v>18217</v>
      </c>
      <c r="C253" s="2">
        <v>1</v>
      </c>
      <c r="D253" s="23">
        <v>15.99</v>
      </c>
      <c r="E253" s="3">
        <v>15.99</v>
      </c>
      <c r="F253" s="2" t="s">
        <v>20223</v>
      </c>
      <c r="G253" s="22" t="s">
        <v>19477</v>
      </c>
      <c r="H253" s="24" t="s">
        <v>20135</v>
      </c>
      <c r="I253" s="22" t="s">
        <v>19309</v>
      </c>
      <c r="J253" s="22" t="s">
        <v>19849</v>
      </c>
      <c r="K253" s="22" t="s">
        <v>19850</v>
      </c>
      <c r="L253" s="22"/>
      <c r="M253" s="22"/>
      <c r="N253" s="25" t="str">
        <f>HYPERLINK("http://slimages.macys.com/is/image/MCY/1488068 ")</f>
        <v xml:space="preserve">http://slimages.macys.com/is/image/MCY/1488068 </v>
      </c>
    </row>
    <row r="254" spans="1:14" x14ac:dyDescent="0.25">
      <c r="A254" s="21" t="s">
        <v>13717</v>
      </c>
      <c r="B254" s="22" t="s">
        <v>13718</v>
      </c>
      <c r="C254" s="2">
        <v>1</v>
      </c>
      <c r="D254" s="23">
        <v>15.99</v>
      </c>
      <c r="E254" s="3">
        <v>15.99</v>
      </c>
      <c r="F254" s="2" t="s">
        <v>20223</v>
      </c>
      <c r="G254" s="22" t="s">
        <v>19477</v>
      </c>
      <c r="H254" s="24" t="s">
        <v>19907</v>
      </c>
      <c r="I254" s="22" t="s">
        <v>19309</v>
      </c>
      <c r="J254" s="22" t="s">
        <v>19849</v>
      </c>
      <c r="K254" s="22" t="s">
        <v>19850</v>
      </c>
      <c r="L254" s="22"/>
      <c r="M254" s="22"/>
      <c r="N254" s="25" t="str">
        <f>HYPERLINK("http://slimages.macys.com/is/image/MCY/1488068 ")</f>
        <v xml:space="preserve">http://slimages.macys.com/is/image/MCY/1488068 </v>
      </c>
    </row>
    <row r="255" spans="1:14" x14ac:dyDescent="0.25">
      <c r="A255" s="21" t="s">
        <v>13719</v>
      </c>
      <c r="B255" s="22" t="s">
        <v>13720</v>
      </c>
      <c r="C255" s="2">
        <v>1</v>
      </c>
      <c r="D255" s="23">
        <v>15.99</v>
      </c>
      <c r="E255" s="3">
        <v>15.99</v>
      </c>
      <c r="F255" s="2" t="s">
        <v>20223</v>
      </c>
      <c r="G255" s="22" t="s">
        <v>19674</v>
      </c>
      <c r="H255" s="24" t="s">
        <v>19542</v>
      </c>
      <c r="I255" s="22" t="s">
        <v>19309</v>
      </c>
      <c r="J255" s="22" t="s">
        <v>19849</v>
      </c>
      <c r="K255" s="22" t="s">
        <v>19850</v>
      </c>
      <c r="L255" s="22"/>
      <c r="M255" s="22"/>
      <c r="N255" s="25" t="str">
        <f>HYPERLINK("http://slimages.macys.com/is/image/MCY/20549380 ")</f>
        <v xml:space="preserve">http://slimages.macys.com/is/image/MCY/20549380 </v>
      </c>
    </row>
    <row r="256" spans="1:14" x14ac:dyDescent="0.25">
      <c r="A256" s="21" t="s">
        <v>13721</v>
      </c>
      <c r="B256" s="22" t="s">
        <v>13722</v>
      </c>
      <c r="C256" s="2">
        <v>1</v>
      </c>
      <c r="D256" s="23">
        <v>15.99</v>
      </c>
      <c r="E256" s="3">
        <v>15.99</v>
      </c>
      <c r="F256" s="2" t="s">
        <v>20223</v>
      </c>
      <c r="G256" s="22" t="s">
        <v>19674</v>
      </c>
      <c r="H256" s="24" t="s">
        <v>19907</v>
      </c>
      <c r="I256" s="22" t="s">
        <v>19309</v>
      </c>
      <c r="J256" s="22" t="s">
        <v>19849</v>
      </c>
      <c r="K256" s="22" t="s">
        <v>19850</v>
      </c>
      <c r="L256" s="22"/>
      <c r="M256" s="22"/>
      <c r="N256" s="25" t="str">
        <f>HYPERLINK("http://slimages.macys.com/is/image/MCY/20549380 ")</f>
        <v xml:space="preserve">http://slimages.macys.com/is/image/MCY/20549380 </v>
      </c>
    </row>
    <row r="257" spans="1:14" x14ac:dyDescent="0.25">
      <c r="A257" s="21" t="s">
        <v>13723</v>
      </c>
      <c r="B257" s="22" t="s">
        <v>13724</v>
      </c>
      <c r="C257" s="2">
        <v>1</v>
      </c>
      <c r="D257" s="23">
        <v>15.99</v>
      </c>
      <c r="E257" s="3">
        <v>15.99</v>
      </c>
      <c r="F257" s="2" t="s">
        <v>20223</v>
      </c>
      <c r="G257" s="22" t="s">
        <v>19674</v>
      </c>
      <c r="H257" s="24" t="s">
        <v>19361</v>
      </c>
      <c r="I257" s="22" t="s">
        <v>19309</v>
      </c>
      <c r="J257" s="22" t="s">
        <v>19849</v>
      </c>
      <c r="K257" s="22" t="s">
        <v>19850</v>
      </c>
      <c r="L257" s="22"/>
      <c r="M257" s="22"/>
      <c r="N257" s="25" t="str">
        <f>HYPERLINK("http://slimages.macys.com/is/image/MCY/20549380 ")</f>
        <v xml:space="preserve">http://slimages.macys.com/is/image/MCY/20549380 </v>
      </c>
    </row>
    <row r="258" spans="1:14" ht="24.75" x14ac:dyDescent="0.25">
      <c r="A258" s="21" t="s">
        <v>20242</v>
      </c>
      <c r="B258" s="22" t="s">
        <v>20243</v>
      </c>
      <c r="C258" s="2">
        <v>1</v>
      </c>
      <c r="D258" s="23">
        <v>18.989999999999998</v>
      </c>
      <c r="E258" s="3">
        <v>18.989999999999998</v>
      </c>
      <c r="F258" s="2" t="s">
        <v>20244</v>
      </c>
      <c r="G258" s="22" t="s">
        <v>19323</v>
      </c>
      <c r="H258" s="24" t="s">
        <v>19377</v>
      </c>
      <c r="I258" s="22" t="s">
        <v>19309</v>
      </c>
      <c r="J258" s="22" t="s">
        <v>19908</v>
      </c>
      <c r="K258" s="22" t="s">
        <v>19524</v>
      </c>
      <c r="L258" s="22"/>
      <c r="M258" s="22"/>
      <c r="N258" s="25" t="str">
        <f>HYPERLINK("http://slimages.macys.com/is/image/MCY/21569915 ")</f>
        <v xml:space="preserve">http://slimages.macys.com/is/image/MCY/21569915 </v>
      </c>
    </row>
    <row r="259" spans="1:14" ht="24.75" x14ac:dyDescent="0.25">
      <c r="A259" s="21" t="s">
        <v>20258</v>
      </c>
      <c r="B259" s="22" t="s">
        <v>20259</v>
      </c>
      <c r="C259" s="2">
        <v>1</v>
      </c>
      <c r="D259" s="23">
        <v>11.99</v>
      </c>
      <c r="E259" s="3">
        <v>11.99</v>
      </c>
      <c r="F259" s="2">
        <v>100007424</v>
      </c>
      <c r="G259" s="22" t="s">
        <v>19338</v>
      </c>
      <c r="H259" s="24"/>
      <c r="I259" s="22" t="s">
        <v>19309</v>
      </c>
      <c r="J259" s="22" t="s">
        <v>19573</v>
      </c>
      <c r="K259" s="22" t="s">
        <v>20256</v>
      </c>
      <c r="L259" s="22" t="s">
        <v>19319</v>
      </c>
      <c r="M259" s="22" t="s">
        <v>20257</v>
      </c>
      <c r="N259" s="25" t="str">
        <f>HYPERLINK("http://slimages.macys.com/is/image/MCY/9157892 ")</f>
        <v xml:space="preserve">http://slimages.macys.com/is/image/MCY/9157892 </v>
      </c>
    </row>
    <row r="260" spans="1:14" x14ac:dyDescent="0.25">
      <c r="A260" s="21" t="s">
        <v>18249</v>
      </c>
      <c r="B260" s="22" t="s">
        <v>18250</v>
      </c>
      <c r="C260" s="2">
        <v>3</v>
      </c>
      <c r="D260" s="23">
        <v>16.989999999999998</v>
      </c>
      <c r="E260" s="3">
        <v>50.97</v>
      </c>
      <c r="F260" s="2" t="s">
        <v>20262</v>
      </c>
      <c r="G260" s="22" t="s">
        <v>19351</v>
      </c>
      <c r="H260" s="24" t="s">
        <v>19364</v>
      </c>
      <c r="I260" s="22" t="s">
        <v>19309</v>
      </c>
      <c r="J260" s="22" t="s">
        <v>19849</v>
      </c>
      <c r="K260" s="22" t="s">
        <v>19850</v>
      </c>
      <c r="L260" s="22"/>
      <c r="M260" s="22"/>
      <c r="N260" s="25" t="str">
        <f>HYPERLINK("http://slimages.macys.com/is/image/MCY/21270467 ")</f>
        <v xml:space="preserve">http://slimages.macys.com/is/image/MCY/21270467 </v>
      </c>
    </row>
    <row r="261" spans="1:14" ht="24.75" x14ac:dyDescent="0.25">
      <c r="A261" s="21" t="s">
        <v>20260</v>
      </c>
      <c r="B261" s="22" t="s">
        <v>20261</v>
      </c>
      <c r="C261" s="2">
        <v>4</v>
      </c>
      <c r="D261" s="23">
        <v>16.989999999999998</v>
      </c>
      <c r="E261" s="3">
        <v>67.959999999999994</v>
      </c>
      <c r="F261" s="2" t="s">
        <v>20262</v>
      </c>
      <c r="G261" s="22" t="s">
        <v>19351</v>
      </c>
      <c r="H261" s="24" t="s">
        <v>19352</v>
      </c>
      <c r="I261" s="22" t="s">
        <v>19309</v>
      </c>
      <c r="J261" s="22" t="s">
        <v>19849</v>
      </c>
      <c r="K261" s="22" t="s">
        <v>19850</v>
      </c>
      <c r="L261" s="22"/>
      <c r="M261" s="22"/>
      <c r="N261" s="25" t="str">
        <f>HYPERLINK("http://slimages.macys.com/is/image/MCY/21270467 ")</f>
        <v xml:space="preserve">http://slimages.macys.com/is/image/MCY/21270467 </v>
      </c>
    </row>
    <row r="262" spans="1:14" x14ac:dyDescent="0.25">
      <c r="A262" s="21" t="s">
        <v>13725</v>
      </c>
      <c r="B262" s="22" t="s">
        <v>13726</v>
      </c>
      <c r="C262" s="2">
        <v>1</v>
      </c>
      <c r="D262" s="23">
        <v>16.989999999999998</v>
      </c>
      <c r="E262" s="3">
        <v>16.989999999999998</v>
      </c>
      <c r="F262" s="2" t="s">
        <v>20262</v>
      </c>
      <c r="G262" s="22" t="s">
        <v>19351</v>
      </c>
      <c r="H262" s="24" t="s">
        <v>19339</v>
      </c>
      <c r="I262" s="22" t="s">
        <v>19309</v>
      </c>
      <c r="J262" s="22" t="s">
        <v>19849</v>
      </c>
      <c r="K262" s="22" t="s">
        <v>19850</v>
      </c>
      <c r="L262" s="22"/>
      <c r="M262" s="22"/>
      <c r="N262" s="25" t="str">
        <f>HYPERLINK("http://slimages.macys.com/is/image/MCY/21270467 ")</f>
        <v xml:space="preserve">http://slimages.macys.com/is/image/MCY/21270467 </v>
      </c>
    </row>
    <row r="263" spans="1:14" ht="24.75" x14ac:dyDescent="0.25">
      <c r="A263" s="21" t="s">
        <v>18241</v>
      </c>
      <c r="B263" s="22" t="s">
        <v>18242</v>
      </c>
      <c r="C263" s="2">
        <v>1</v>
      </c>
      <c r="D263" s="23">
        <v>16.989999999999998</v>
      </c>
      <c r="E263" s="3">
        <v>16.989999999999998</v>
      </c>
      <c r="F263" s="2" t="s">
        <v>20265</v>
      </c>
      <c r="G263" s="22" t="s">
        <v>19670</v>
      </c>
      <c r="H263" s="24" t="s">
        <v>19364</v>
      </c>
      <c r="I263" s="22" t="s">
        <v>19309</v>
      </c>
      <c r="J263" s="22" t="s">
        <v>19849</v>
      </c>
      <c r="K263" s="22" t="s">
        <v>19850</v>
      </c>
      <c r="L263" s="22"/>
      <c r="M263" s="22"/>
      <c r="N263" s="25" t="str">
        <f>HYPERLINK("http://slimages.macys.com/is/image/MCY/21270486 ")</f>
        <v xml:space="preserve">http://slimages.macys.com/is/image/MCY/21270486 </v>
      </c>
    </row>
    <row r="264" spans="1:14" ht="24.75" x14ac:dyDescent="0.25">
      <c r="A264" s="21" t="s">
        <v>13727</v>
      </c>
      <c r="B264" s="22" t="s">
        <v>13728</v>
      </c>
      <c r="C264" s="2">
        <v>1</v>
      </c>
      <c r="D264" s="23">
        <v>16.989999999999998</v>
      </c>
      <c r="E264" s="3">
        <v>16.989999999999998</v>
      </c>
      <c r="F264" s="2" t="s">
        <v>20262</v>
      </c>
      <c r="G264" s="22" t="s">
        <v>19351</v>
      </c>
      <c r="H264" s="24"/>
      <c r="I264" s="22" t="s">
        <v>19309</v>
      </c>
      <c r="J264" s="22" t="s">
        <v>19849</v>
      </c>
      <c r="K264" s="22" t="s">
        <v>19850</v>
      </c>
      <c r="L264" s="22"/>
      <c r="M264" s="22"/>
      <c r="N264" s="25" t="str">
        <f>HYPERLINK("http://slimages.macys.com/is/image/MCY/21270467 ")</f>
        <v xml:space="preserve">http://slimages.macys.com/is/image/MCY/21270467 </v>
      </c>
    </row>
    <row r="265" spans="1:14" ht="24.75" x14ac:dyDescent="0.25">
      <c r="A265" s="21" t="s">
        <v>18239</v>
      </c>
      <c r="B265" s="22" t="s">
        <v>18240</v>
      </c>
      <c r="C265" s="2">
        <v>1</v>
      </c>
      <c r="D265" s="23">
        <v>16.989999999999998</v>
      </c>
      <c r="E265" s="3">
        <v>16.989999999999998</v>
      </c>
      <c r="F265" s="2" t="s">
        <v>20265</v>
      </c>
      <c r="G265" s="22" t="s">
        <v>19670</v>
      </c>
      <c r="H265" s="24" t="s">
        <v>19797</v>
      </c>
      <c r="I265" s="22" t="s">
        <v>19309</v>
      </c>
      <c r="J265" s="22" t="s">
        <v>19849</v>
      </c>
      <c r="K265" s="22" t="s">
        <v>19850</v>
      </c>
      <c r="L265" s="22"/>
      <c r="M265" s="22"/>
      <c r="N265" s="25" t="str">
        <f>HYPERLINK("http://slimages.macys.com/is/image/MCY/21270486 ")</f>
        <v xml:space="preserve">http://slimages.macys.com/is/image/MCY/21270486 </v>
      </c>
    </row>
    <row r="266" spans="1:14" x14ac:dyDescent="0.25">
      <c r="A266" s="21" t="s">
        <v>18256</v>
      </c>
      <c r="B266" s="22" t="s">
        <v>18257</v>
      </c>
      <c r="C266" s="2">
        <v>1</v>
      </c>
      <c r="D266" s="23">
        <v>21.99</v>
      </c>
      <c r="E266" s="3">
        <v>21.99</v>
      </c>
      <c r="F266" s="2" t="s">
        <v>20270</v>
      </c>
      <c r="G266" s="22" t="s">
        <v>19467</v>
      </c>
      <c r="H266" s="24" t="s">
        <v>19339</v>
      </c>
      <c r="I266" s="22" t="s">
        <v>19309</v>
      </c>
      <c r="J266" s="22" t="s">
        <v>19849</v>
      </c>
      <c r="K266" s="22" t="s">
        <v>19850</v>
      </c>
      <c r="L266" s="22"/>
      <c r="M266" s="22"/>
      <c r="N266" s="25" t="str">
        <f>HYPERLINK("http://slimages.macys.com/is/image/MCY/20786240 ")</f>
        <v xml:space="preserve">http://slimages.macys.com/is/image/MCY/20786240 </v>
      </c>
    </row>
    <row r="267" spans="1:14" ht="24.75" x14ac:dyDescent="0.25">
      <c r="A267" s="21" t="s">
        <v>13729</v>
      </c>
      <c r="B267" s="22" t="s">
        <v>13730</v>
      </c>
      <c r="C267" s="2">
        <v>1</v>
      </c>
      <c r="D267" s="23">
        <v>12.99</v>
      </c>
      <c r="E267" s="3">
        <v>12.99</v>
      </c>
      <c r="F267" s="2">
        <v>5133</v>
      </c>
      <c r="G267" s="22" t="s">
        <v>19333</v>
      </c>
      <c r="H267" s="24"/>
      <c r="I267" s="22" t="s">
        <v>19309</v>
      </c>
      <c r="J267" s="22" t="s">
        <v>20076</v>
      </c>
      <c r="K267" s="22" t="s">
        <v>20250</v>
      </c>
      <c r="L267" s="22" t="s">
        <v>19319</v>
      </c>
      <c r="M267" s="22" t="s">
        <v>19689</v>
      </c>
      <c r="N267" s="25" t="str">
        <f>HYPERLINK("http://slimages.macys.com/is/image/MCY/17906319 ")</f>
        <v xml:space="preserve">http://slimages.macys.com/is/image/MCY/17906319 </v>
      </c>
    </row>
    <row r="268" spans="1:14" ht="24.75" x14ac:dyDescent="0.25">
      <c r="A268" s="21" t="s">
        <v>13731</v>
      </c>
      <c r="B268" s="22" t="s">
        <v>13732</v>
      </c>
      <c r="C268" s="2">
        <v>1</v>
      </c>
      <c r="D268" s="23">
        <v>14.22</v>
      </c>
      <c r="E268" s="3">
        <v>14.22</v>
      </c>
      <c r="F268" s="2" t="s">
        <v>13733</v>
      </c>
      <c r="G268" s="22" t="s">
        <v>19338</v>
      </c>
      <c r="H268" s="24" t="s">
        <v>19345</v>
      </c>
      <c r="I268" s="22" t="s">
        <v>19309</v>
      </c>
      <c r="J268" s="22" t="s">
        <v>19602</v>
      </c>
      <c r="K268" s="22" t="s">
        <v>20041</v>
      </c>
      <c r="L268" s="22"/>
      <c r="M268" s="22"/>
      <c r="N268" s="25" t="str">
        <f>HYPERLINK("http://slimages.macys.com/is/image/MCY/19371767 ")</f>
        <v xml:space="preserve">http://slimages.macys.com/is/image/MCY/19371767 </v>
      </c>
    </row>
    <row r="269" spans="1:14" ht="24.75" x14ac:dyDescent="0.25">
      <c r="A269" s="21" t="s">
        <v>13734</v>
      </c>
      <c r="B269" s="22" t="s">
        <v>13735</v>
      </c>
      <c r="C269" s="2">
        <v>2</v>
      </c>
      <c r="D269" s="23">
        <v>14.22</v>
      </c>
      <c r="E269" s="3">
        <v>28.44</v>
      </c>
      <c r="F269" s="2" t="s">
        <v>13733</v>
      </c>
      <c r="G269" s="22" t="s">
        <v>19338</v>
      </c>
      <c r="H269" s="24" t="s">
        <v>19334</v>
      </c>
      <c r="I269" s="22" t="s">
        <v>19309</v>
      </c>
      <c r="J269" s="22" t="s">
        <v>19602</v>
      </c>
      <c r="K269" s="22" t="s">
        <v>20041</v>
      </c>
      <c r="L269" s="22"/>
      <c r="M269" s="22"/>
      <c r="N269" s="25" t="str">
        <f>HYPERLINK("http://slimages.macys.com/is/image/MCY/19371767 ")</f>
        <v xml:space="preserve">http://slimages.macys.com/is/image/MCY/19371767 </v>
      </c>
    </row>
    <row r="270" spans="1:14" ht="24.75" x14ac:dyDescent="0.25">
      <c r="A270" s="21" t="s">
        <v>13736</v>
      </c>
      <c r="B270" s="22" t="s">
        <v>13737</v>
      </c>
      <c r="C270" s="2">
        <v>1</v>
      </c>
      <c r="D270" s="23">
        <v>14.99</v>
      </c>
      <c r="E270" s="3">
        <v>14.99</v>
      </c>
      <c r="F270" s="2" t="s">
        <v>13738</v>
      </c>
      <c r="G270" s="22" t="s">
        <v>19713</v>
      </c>
      <c r="H270" s="24" t="s">
        <v>20135</v>
      </c>
      <c r="I270" s="22" t="s">
        <v>19309</v>
      </c>
      <c r="J270" s="22" t="s">
        <v>19573</v>
      </c>
      <c r="K270" s="22" t="s">
        <v>19574</v>
      </c>
      <c r="L270" s="22"/>
      <c r="M270" s="22"/>
      <c r="N270" s="25" t="str">
        <f>HYPERLINK("http://slimages.macys.com/is/image/MCY/19217508 ")</f>
        <v xml:space="preserve">http://slimages.macys.com/is/image/MCY/19217508 </v>
      </c>
    </row>
    <row r="271" spans="1:14" ht="24.75" x14ac:dyDescent="0.25">
      <c r="A271" s="21" t="s">
        <v>13739</v>
      </c>
      <c r="B271" s="22" t="s">
        <v>13740</v>
      </c>
      <c r="C271" s="2">
        <v>1</v>
      </c>
      <c r="D271" s="23">
        <v>11.99</v>
      </c>
      <c r="E271" s="3">
        <v>11.99</v>
      </c>
      <c r="F271" s="2">
        <v>100007433</v>
      </c>
      <c r="G271" s="22" t="s">
        <v>19338</v>
      </c>
      <c r="H271" s="24" t="s">
        <v>19384</v>
      </c>
      <c r="I271" s="22" t="s">
        <v>19309</v>
      </c>
      <c r="J271" s="22" t="s">
        <v>19573</v>
      </c>
      <c r="K271" s="22" t="s">
        <v>20256</v>
      </c>
      <c r="L271" s="22" t="s">
        <v>19319</v>
      </c>
      <c r="M271" s="22" t="s">
        <v>20257</v>
      </c>
      <c r="N271" s="25" t="str">
        <f>HYPERLINK("http://slimages.macys.com/is/image/MCY/9157891 ")</f>
        <v xml:space="preserve">http://slimages.macys.com/is/image/MCY/9157891 </v>
      </c>
    </row>
    <row r="272" spans="1:14" x14ac:dyDescent="0.25">
      <c r="A272" s="21" t="s">
        <v>13741</v>
      </c>
      <c r="B272" s="22" t="s">
        <v>13742</v>
      </c>
      <c r="C272" s="2">
        <v>1</v>
      </c>
      <c r="D272" s="23">
        <v>16.989999999999998</v>
      </c>
      <c r="E272" s="3">
        <v>16.989999999999998</v>
      </c>
      <c r="F272" s="2" t="s">
        <v>13743</v>
      </c>
      <c r="G272" s="22" t="s">
        <v>19431</v>
      </c>
      <c r="H272" s="24" t="s">
        <v>19364</v>
      </c>
      <c r="I272" s="22" t="s">
        <v>19309</v>
      </c>
      <c r="J272" s="22" t="s">
        <v>19849</v>
      </c>
      <c r="K272" s="22" t="s">
        <v>19850</v>
      </c>
      <c r="L272" s="22"/>
      <c r="M272" s="22"/>
      <c r="N272" s="25" t="str">
        <f>HYPERLINK("http://slimages.macys.com/is/image/MCY/20549489 ")</f>
        <v xml:space="preserve">http://slimages.macys.com/is/image/MCY/20549489 </v>
      </c>
    </row>
    <row r="273" spans="1:14" ht="24.75" x14ac:dyDescent="0.25">
      <c r="A273" s="21" t="s">
        <v>13744</v>
      </c>
      <c r="B273" s="22" t="s">
        <v>13745</v>
      </c>
      <c r="C273" s="2">
        <v>1</v>
      </c>
      <c r="D273" s="23">
        <v>14.99</v>
      </c>
      <c r="E273" s="3">
        <v>14.99</v>
      </c>
      <c r="F273" s="2">
        <v>10013151100</v>
      </c>
      <c r="G273" s="22" t="s">
        <v>19518</v>
      </c>
      <c r="H273" s="24"/>
      <c r="I273" s="22" t="s">
        <v>19309</v>
      </c>
      <c r="J273" s="22" t="s">
        <v>19573</v>
      </c>
      <c r="K273" s="22" t="s">
        <v>19574</v>
      </c>
      <c r="L273" s="22"/>
      <c r="M273" s="22"/>
      <c r="N273" s="25" t="str">
        <f>HYPERLINK("http://slimages.macys.com/is/image/MCY/19755878 ")</f>
        <v xml:space="preserve">http://slimages.macys.com/is/image/MCY/19755878 </v>
      </c>
    </row>
    <row r="274" spans="1:14" x14ac:dyDescent="0.25">
      <c r="A274" s="21" t="s">
        <v>13746</v>
      </c>
      <c r="B274" s="22" t="s">
        <v>13747</v>
      </c>
      <c r="C274" s="2">
        <v>1</v>
      </c>
      <c r="D274" s="23">
        <v>16.04</v>
      </c>
      <c r="E274" s="3">
        <v>16.04</v>
      </c>
      <c r="F274" s="2" t="s">
        <v>13748</v>
      </c>
      <c r="G274" s="22"/>
      <c r="H274" s="24" t="s">
        <v>20159</v>
      </c>
      <c r="I274" s="22" t="s">
        <v>19309</v>
      </c>
      <c r="J274" s="22" t="s">
        <v>19708</v>
      </c>
      <c r="K274" s="22" t="s">
        <v>19709</v>
      </c>
      <c r="L274" s="22"/>
      <c r="M274" s="22"/>
      <c r="N274" s="25" t="str">
        <f>HYPERLINK("http://slimages.macys.com/is/image/MCY/19146097 ")</f>
        <v xml:space="preserve">http://slimages.macys.com/is/image/MCY/19146097 </v>
      </c>
    </row>
    <row r="275" spans="1:14" x14ac:dyDescent="0.25">
      <c r="A275" s="21" t="s">
        <v>13749</v>
      </c>
      <c r="B275" s="22" t="s">
        <v>13750</v>
      </c>
      <c r="C275" s="2">
        <v>1</v>
      </c>
      <c r="D275" s="23">
        <v>16.989999999999998</v>
      </c>
      <c r="E275" s="3">
        <v>16.989999999999998</v>
      </c>
      <c r="F275" s="2" t="s">
        <v>13751</v>
      </c>
      <c r="G275" s="22" t="s">
        <v>19431</v>
      </c>
      <c r="H275" s="24" t="s">
        <v>19797</v>
      </c>
      <c r="I275" s="22" t="s">
        <v>19309</v>
      </c>
      <c r="J275" s="22" t="s">
        <v>19849</v>
      </c>
      <c r="K275" s="22" t="s">
        <v>19850</v>
      </c>
      <c r="L275" s="22"/>
      <c r="M275" s="22"/>
      <c r="N275" s="25" t="str">
        <f>HYPERLINK("http://slimages.macys.com/is/image/MCY/1249852 ")</f>
        <v xml:space="preserve">http://slimages.macys.com/is/image/MCY/1249852 </v>
      </c>
    </row>
    <row r="276" spans="1:14" ht="24.75" x14ac:dyDescent="0.25">
      <c r="A276" s="21" t="s">
        <v>13752</v>
      </c>
      <c r="B276" s="22" t="s">
        <v>13753</v>
      </c>
      <c r="C276" s="2">
        <v>1</v>
      </c>
      <c r="D276" s="23">
        <v>24.5</v>
      </c>
      <c r="E276" s="3">
        <v>24.5</v>
      </c>
      <c r="F276" s="2" t="s">
        <v>13754</v>
      </c>
      <c r="G276" s="22" t="s">
        <v>19415</v>
      </c>
      <c r="H276" s="24"/>
      <c r="I276" s="22" t="s">
        <v>19309</v>
      </c>
      <c r="J276" s="22" t="s">
        <v>19613</v>
      </c>
      <c r="K276" s="22" t="s">
        <v>19614</v>
      </c>
      <c r="L276" s="22"/>
      <c r="M276" s="22"/>
      <c r="N276" s="25" t="str">
        <f>HYPERLINK("http://slimages.macys.com/is/image/MCY/21035738 ")</f>
        <v xml:space="preserve">http://slimages.macys.com/is/image/MCY/21035738 </v>
      </c>
    </row>
    <row r="277" spans="1:14" x14ac:dyDescent="0.25">
      <c r="A277" s="21" t="s">
        <v>13755</v>
      </c>
      <c r="B277" s="22" t="s">
        <v>13756</v>
      </c>
      <c r="C277" s="2">
        <v>1</v>
      </c>
      <c r="D277" s="23">
        <v>15.93</v>
      </c>
      <c r="E277" s="3">
        <v>15.93</v>
      </c>
      <c r="F277" s="2" t="s">
        <v>13757</v>
      </c>
      <c r="G277" s="22" t="s">
        <v>19323</v>
      </c>
      <c r="H277" s="24" t="s">
        <v>19324</v>
      </c>
      <c r="I277" s="22" t="s">
        <v>19309</v>
      </c>
      <c r="J277" s="22" t="s">
        <v>19708</v>
      </c>
      <c r="K277" s="22" t="s">
        <v>19709</v>
      </c>
      <c r="L277" s="22"/>
      <c r="M277" s="22"/>
      <c r="N277" s="25" t="str">
        <f>HYPERLINK("http://slimages.macys.com/is/image/MCY/21409026 ")</f>
        <v xml:space="preserve">http://slimages.macys.com/is/image/MCY/21409026 </v>
      </c>
    </row>
    <row r="278" spans="1:14" ht="24.75" x14ac:dyDescent="0.25">
      <c r="A278" s="21" t="s">
        <v>13758</v>
      </c>
      <c r="B278" s="22" t="s">
        <v>13759</v>
      </c>
      <c r="C278" s="2">
        <v>1</v>
      </c>
      <c r="D278" s="23">
        <v>28</v>
      </c>
      <c r="E278" s="3">
        <v>28</v>
      </c>
      <c r="F278" s="2" t="s">
        <v>18266</v>
      </c>
      <c r="G278" s="22" t="s">
        <v>19357</v>
      </c>
      <c r="H278" s="24" t="s">
        <v>19392</v>
      </c>
      <c r="I278" s="22" t="s">
        <v>19309</v>
      </c>
      <c r="J278" s="22" t="s">
        <v>19519</v>
      </c>
      <c r="K278" s="22" t="s">
        <v>18406</v>
      </c>
      <c r="L278" s="22"/>
      <c r="M278" s="22"/>
      <c r="N278" s="25" t="str">
        <f>HYPERLINK("http://slimages.macys.com/is/image/MCY/21019826 ")</f>
        <v xml:space="preserve">http://slimages.macys.com/is/image/MCY/21019826 </v>
      </c>
    </row>
    <row r="279" spans="1:14" x14ac:dyDescent="0.25">
      <c r="A279" s="21" t="s">
        <v>13760</v>
      </c>
      <c r="B279" s="22" t="s">
        <v>13761</v>
      </c>
      <c r="C279" s="2">
        <v>1</v>
      </c>
      <c r="D279" s="23">
        <v>15.99</v>
      </c>
      <c r="E279" s="3">
        <v>15.99</v>
      </c>
      <c r="F279" s="2" t="s">
        <v>13762</v>
      </c>
      <c r="G279" s="22" t="s">
        <v>19618</v>
      </c>
      <c r="H279" s="24" t="s">
        <v>19797</v>
      </c>
      <c r="I279" s="22" t="s">
        <v>19309</v>
      </c>
      <c r="J279" s="22" t="s">
        <v>19849</v>
      </c>
      <c r="K279" s="22" t="s">
        <v>19850</v>
      </c>
      <c r="L279" s="22"/>
      <c r="M279" s="22"/>
      <c r="N279" s="25" t="str">
        <f>HYPERLINK("http://slimages.macys.com/is/image/MCY/21270358 ")</f>
        <v xml:space="preserve">http://slimages.macys.com/is/image/MCY/21270358 </v>
      </c>
    </row>
    <row r="280" spans="1:14" x14ac:dyDescent="0.25">
      <c r="A280" s="21" t="s">
        <v>13763</v>
      </c>
      <c r="B280" s="22" t="s">
        <v>13764</v>
      </c>
      <c r="C280" s="2">
        <v>1</v>
      </c>
      <c r="D280" s="23">
        <v>15.99</v>
      </c>
      <c r="E280" s="3">
        <v>15.99</v>
      </c>
      <c r="F280" s="2" t="s">
        <v>13762</v>
      </c>
      <c r="G280" s="22" t="s">
        <v>19618</v>
      </c>
      <c r="H280" s="24" t="s">
        <v>19364</v>
      </c>
      <c r="I280" s="22" t="s">
        <v>19309</v>
      </c>
      <c r="J280" s="22" t="s">
        <v>19849</v>
      </c>
      <c r="K280" s="22" t="s">
        <v>19850</v>
      </c>
      <c r="L280" s="22"/>
      <c r="M280" s="22"/>
      <c r="N280" s="25" t="str">
        <f>HYPERLINK("http://slimages.macys.com/is/image/MCY/21270358 ")</f>
        <v xml:space="preserve">http://slimages.macys.com/is/image/MCY/21270358 </v>
      </c>
    </row>
    <row r="281" spans="1:14" ht="24.75" x14ac:dyDescent="0.25">
      <c r="A281" s="21" t="s">
        <v>13765</v>
      </c>
      <c r="B281" s="22" t="s">
        <v>13766</v>
      </c>
      <c r="C281" s="2">
        <v>1</v>
      </c>
      <c r="D281" s="23">
        <v>14.99</v>
      </c>
      <c r="E281" s="3">
        <v>14.99</v>
      </c>
      <c r="F281" s="2" t="s">
        <v>13767</v>
      </c>
      <c r="G281" s="22" t="s">
        <v>19879</v>
      </c>
      <c r="H281" s="24"/>
      <c r="I281" s="22" t="s">
        <v>19309</v>
      </c>
      <c r="J281" s="22" t="s">
        <v>19317</v>
      </c>
      <c r="K281" s="22" t="s">
        <v>20320</v>
      </c>
      <c r="L281" s="22"/>
      <c r="M281" s="22"/>
      <c r="N281" s="25" t="str">
        <f>HYPERLINK("http://slimages.macys.com/is/image/MCY/20331949 ")</f>
        <v xml:space="preserve">http://slimages.macys.com/is/image/MCY/20331949 </v>
      </c>
    </row>
    <row r="282" spans="1:14" ht="24.75" x14ac:dyDescent="0.25">
      <c r="A282" s="21" t="s">
        <v>13768</v>
      </c>
      <c r="B282" s="22" t="s">
        <v>13769</v>
      </c>
      <c r="C282" s="2">
        <v>1</v>
      </c>
      <c r="D282" s="23">
        <v>13.99</v>
      </c>
      <c r="E282" s="3">
        <v>13.99</v>
      </c>
      <c r="F282" s="2" t="s">
        <v>18292</v>
      </c>
      <c r="G282" s="22" t="s">
        <v>19585</v>
      </c>
      <c r="H282" s="24" t="s">
        <v>19416</v>
      </c>
      <c r="I282" s="22" t="s">
        <v>19309</v>
      </c>
      <c r="J282" s="22" t="s">
        <v>19573</v>
      </c>
      <c r="K282" s="22" t="s">
        <v>19574</v>
      </c>
      <c r="L282" s="22"/>
      <c r="M282" s="22"/>
      <c r="N282" s="25" t="str">
        <f>HYPERLINK("http://slimages.macys.com/is/image/MCY/20757449 ")</f>
        <v xml:space="preserve">http://slimages.macys.com/is/image/MCY/20757449 </v>
      </c>
    </row>
    <row r="283" spans="1:14" x14ac:dyDescent="0.25">
      <c r="A283" s="21" t="s">
        <v>13770</v>
      </c>
      <c r="B283" s="22" t="s">
        <v>13771</v>
      </c>
      <c r="C283" s="2">
        <v>1</v>
      </c>
      <c r="D283" s="23">
        <v>17.989999999999998</v>
      </c>
      <c r="E283" s="3">
        <v>17.989999999999998</v>
      </c>
      <c r="F283" s="2" t="s">
        <v>13772</v>
      </c>
      <c r="G283" s="22" t="s">
        <v>19342</v>
      </c>
      <c r="H283" s="24" t="s">
        <v>19334</v>
      </c>
      <c r="I283" s="22" t="s">
        <v>19309</v>
      </c>
      <c r="J283" s="22" t="s">
        <v>19696</v>
      </c>
      <c r="K283" s="22" t="s">
        <v>19697</v>
      </c>
      <c r="L283" s="22"/>
      <c r="M283" s="22"/>
      <c r="N283" s="25" t="str">
        <f>HYPERLINK("http://slimages.macys.com/is/image/MCY/20662548 ")</f>
        <v xml:space="preserve">http://slimages.macys.com/is/image/MCY/20662548 </v>
      </c>
    </row>
    <row r="284" spans="1:14" x14ac:dyDescent="0.25">
      <c r="A284" s="21" t="s">
        <v>13773</v>
      </c>
      <c r="B284" s="22" t="s">
        <v>13774</v>
      </c>
      <c r="C284" s="2">
        <v>2</v>
      </c>
      <c r="D284" s="23">
        <v>21.99</v>
      </c>
      <c r="E284" s="3">
        <v>43.98</v>
      </c>
      <c r="F284" s="2" t="s">
        <v>13775</v>
      </c>
      <c r="G284" s="22" t="s">
        <v>19431</v>
      </c>
      <c r="H284" s="24" t="s">
        <v>19339</v>
      </c>
      <c r="I284" s="22" t="s">
        <v>19309</v>
      </c>
      <c r="J284" s="22" t="s">
        <v>19849</v>
      </c>
      <c r="K284" s="22" t="s">
        <v>19850</v>
      </c>
      <c r="L284" s="22"/>
      <c r="M284" s="22"/>
      <c r="N284" s="25" t="str">
        <f>HYPERLINK("http://slimages.macys.com/is/image/MCY/21278221 ")</f>
        <v xml:space="preserve">http://slimages.macys.com/is/image/MCY/21278221 </v>
      </c>
    </row>
    <row r="285" spans="1:14" ht="24.75" x14ac:dyDescent="0.25">
      <c r="A285" s="21" t="s">
        <v>13776</v>
      </c>
      <c r="B285" s="22" t="s">
        <v>13777</v>
      </c>
      <c r="C285" s="2">
        <v>1</v>
      </c>
      <c r="D285" s="23">
        <v>9.99</v>
      </c>
      <c r="E285" s="3">
        <v>9.99</v>
      </c>
      <c r="F285" s="2" t="s">
        <v>18298</v>
      </c>
      <c r="G285" s="22" t="s">
        <v>19906</v>
      </c>
      <c r="H285" s="24" t="s">
        <v>19352</v>
      </c>
      <c r="I285" s="22" t="s">
        <v>19309</v>
      </c>
      <c r="J285" s="22" t="s">
        <v>19353</v>
      </c>
      <c r="K285" s="22" t="s">
        <v>19524</v>
      </c>
      <c r="L285" s="22"/>
      <c r="M285" s="22"/>
      <c r="N285" s="25" t="str">
        <f>HYPERLINK("http://slimages.macys.com/is/image/MCY/1667860 ")</f>
        <v xml:space="preserve">http://slimages.macys.com/is/image/MCY/1667860 </v>
      </c>
    </row>
    <row r="286" spans="1:14" ht="24.75" x14ac:dyDescent="0.25">
      <c r="A286" s="21" t="s">
        <v>13778</v>
      </c>
      <c r="B286" s="22" t="s">
        <v>13779</v>
      </c>
      <c r="C286" s="2">
        <v>1</v>
      </c>
      <c r="D286" s="23">
        <v>14.99</v>
      </c>
      <c r="E286" s="3">
        <v>14.99</v>
      </c>
      <c r="F286" s="2" t="s">
        <v>18295</v>
      </c>
      <c r="G286" s="22" t="s">
        <v>19404</v>
      </c>
      <c r="H286" s="24" t="s">
        <v>19392</v>
      </c>
      <c r="I286" s="22" t="s">
        <v>19309</v>
      </c>
      <c r="J286" s="22" t="s">
        <v>19815</v>
      </c>
      <c r="K286" s="22" t="s">
        <v>19816</v>
      </c>
      <c r="L286" s="22"/>
      <c r="M286" s="22"/>
      <c r="N286" s="25" t="str">
        <f>HYPERLINK("http://slimages.macys.com/is/image/MCY/21278878 ")</f>
        <v xml:space="preserve">http://slimages.macys.com/is/image/MCY/21278878 </v>
      </c>
    </row>
    <row r="287" spans="1:14" ht="24.75" x14ac:dyDescent="0.25">
      <c r="A287" s="21" t="s">
        <v>13780</v>
      </c>
      <c r="B287" s="22" t="s">
        <v>13781</v>
      </c>
      <c r="C287" s="2">
        <v>1</v>
      </c>
      <c r="D287" s="23">
        <v>9.99</v>
      </c>
      <c r="E287" s="3">
        <v>9.99</v>
      </c>
      <c r="F287" s="2" t="s">
        <v>18298</v>
      </c>
      <c r="G287" s="22" t="s">
        <v>19906</v>
      </c>
      <c r="H287" s="24" t="s">
        <v>19797</v>
      </c>
      <c r="I287" s="22" t="s">
        <v>19309</v>
      </c>
      <c r="J287" s="22" t="s">
        <v>19353</v>
      </c>
      <c r="K287" s="22" t="s">
        <v>19524</v>
      </c>
      <c r="L287" s="22"/>
      <c r="M287" s="22"/>
      <c r="N287" s="25" t="str">
        <f>HYPERLINK("http://slimages.macys.com/is/image/MCY/1667860 ")</f>
        <v xml:space="preserve">http://slimages.macys.com/is/image/MCY/1667860 </v>
      </c>
    </row>
    <row r="288" spans="1:14" ht="24.75" x14ac:dyDescent="0.25">
      <c r="A288" s="21" t="s">
        <v>18296</v>
      </c>
      <c r="B288" s="22" t="s">
        <v>18297</v>
      </c>
      <c r="C288" s="2">
        <v>2</v>
      </c>
      <c r="D288" s="23">
        <v>9.99</v>
      </c>
      <c r="E288" s="3">
        <v>19.98</v>
      </c>
      <c r="F288" s="2" t="s">
        <v>18298</v>
      </c>
      <c r="G288" s="22" t="s">
        <v>19906</v>
      </c>
      <c r="H288" s="24" t="s">
        <v>19364</v>
      </c>
      <c r="I288" s="22" t="s">
        <v>19309</v>
      </c>
      <c r="J288" s="22" t="s">
        <v>19353</v>
      </c>
      <c r="K288" s="22" t="s">
        <v>19524</v>
      </c>
      <c r="L288" s="22"/>
      <c r="M288" s="22"/>
      <c r="N288" s="25" t="str">
        <f>HYPERLINK("http://slimages.macys.com/is/image/MCY/1667860 ")</f>
        <v xml:space="preserve">http://slimages.macys.com/is/image/MCY/1667860 </v>
      </c>
    </row>
    <row r="289" spans="1:14" ht="24.75" x14ac:dyDescent="0.25">
      <c r="A289" s="21" t="s">
        <v>13782</v>
      </c>
      <c r="B289" s="22" t="s">
        <v>13783</v>
      </c>
      <c r="C289" s="2">
        <v>1</v>
      </c>
      <c r="D289" s="23">
        <v>15.99</v>
      </c>
      <c r="E289" s="3">
        <v>15.99</v>
      </c>
      <c r="F289" s="2" t="s">
        <v>13784</v>
      </c>
      <c r="G289" s="22" t="s">
        <v>19415</v>
      </c>
      <c r="H289" s="24" t="s">
        <v>19907</v>
      </c>
      <c r="I289" s="22" t="s">
        <v>19309</v>
      </c>
      <c r="J289" s="22" t="s">
        <v>19573</v>
      </c>
      <c r="K289" s="22" t="s">
        <v>19574</v>
      </c>
      <c r="L289" s="22"/>
      <c r="M289" s="22"/>
      <c r="N289" s="25" t="str">
        <f>HYPERLINK("http://slimages.macys.com/is/image/MCY/1554883 ")</f>
        <v xml:space="preserve">http://slimages.macys.com/is/image/MCY/1554883 </v>
      </c>
    </row>
    <row r="290" spans="1:14" x14ac:dyDescent="0.25">
      <c r="A290" s="21" t="s">
        <v>13785</v>
      </c>
      <c r="B290" s="22" t="s">
        <v>13786</v>
      </c>
      <c r="C290" s="2">
        <v>1</v>
      </c>
      <c r="D290" s="23">
        <v>17.989999999999998</v>
      </c>
      <c r="E290" s="3">
        <v>17.989999999999998</v>
      </c>
      <c r="F290" s="2" t="s">
        <v>13787</v>
      </c>
      <c r="G290" s="22" t="s">
        <v>19342</v>
      </c>
      <c r="H290" s="24" t="s">
        <v>19345</v>
      </c>
      <c r="I290" s="22" t="s">
        <v>19309</v>
      </c>
      <c r="J290" s="22" t="s">
        <v>19696</v>
      </c>
      <c r="K290" s="22" t="s">
        <v>19697</v>
      </c>
      <c r="L290" s="22"/>
      <c r="M290" s="22"/>
      <c r="N290" s="25" t="str">
        <f>HYPERLINK("http://slimages.macys.com/is/image/MCY/20662574 ")</f>
        <v xml:space="preserve">http://slimages.macys.com/is/image/MCY/20662574 </v>
      </c>
    </row>
    <row r="291" spans="1:14" ht="24.75" x14ac:dyDescent="0.25">
      <c r="A291" s="21" t="s">
        <v>18301</v>
      </c>
      <c r="B291" s="22" t="s">
        <v>18302</v>
      </c>
      <c r="C291" s="2">
        <v>1</v>
      </c>
      <c r="D291" s="23">
        <v>14.99</v>
      </c>
      <c r="E291" s="3">
        <v>14.99</v>
      </c>
      <c r="F291" s="2" t="s">
        <v>18364</v>
      </c>
      <c r="G291" s="22" t="s">
        <v>19431</v>
      </c>
      <c r="H291" s="24" t="s">
        <v>19330</v>
      </c>
      <c r="I291" s="22" t="s">
        <v>19309</v>
      </c>
      <c r="J291" s="22" t="s">
        <v>19573</v>
      </c>
      <c r="K291" s="22" t="s">
        <v>19574</v>
      </c>
      <c r="L291" s="22"/>
      <c r="M291" s="22"/>
      <c r="N291" s="25" t="str">
        <f>HYPERLINK("http://slimages.macys.com/is/image/MCY/2062457 ")</f>
        <v xml:space="preserve">http://slimages.macys.com/is/image/MCY/2062457 </v>
      </c>
    </row>
    <row r="292" spans="1:14" x14ac:dyDescent="0.25">
      <c r="A292" s="21" t="s">
        <v>13788</v>
      </c>
      <c r="B292" s="22" t="s">
        <v>13789</v>
      </c>
      <c r="C292" s="2">
        <v>1</v>
      </c>
      <c r="D292" s="23">
        <v>15.13</v>
      </c>
      <c r="E292" s="3">
        <v>15.13</v>
      </c>
      <c r="F292" s="2" t="s">
        <v>13790</v>
      </c>
      <c r="G292" s="22" t="s">
        <v>19635</v>
      </c>
      <c r="H292" s="24" t="s">
        <v>19416</v>
      </c>
      <c r="I292" s="22" t="s">
        <v>19309</v>
      </c>
      <c r="J292" s="22" t="s">
        <v>19708</v>
      </c>
      <c r="K292" s="22" t="s">
        <v>19709</v>
      </c>
      <c r="L292" s="22"/>
      <c r="M292" s="22"/>
      <c r="N292" s="25" t="str">
        <f>HYPERLINK("http://slimages.macys.com/is/image/MCY/21753538 ")</f>
        <v xml:space="preserve">http://slimages.macys.com/is/image/MCY/21753538 </v>
      </c>
    </row>
    <row r="293" spans="1:14" x14ac:dyDescent="0.25">
      <c r="A293" s="21" t="s">
        <v>13791</v>
      </c>
      <c r="B293" s="22" t="s">
        <v>13792</v>
      </c>
      <c r="C293" s="2">
        <v>1</v>
      </c>
      <c r="D293" s="23">
        <v>15.13</v>
      </c>
      <c r="E293" s="3">
        <v>15.13</v>
      </c>
      <c r="F293" s="2" t="s">
        <v>13793</v>
      </c>
      <c r="G293" s="22"/>
      <c r="H293" s="24" t="s">
        <v>20159</v>
      </c>
      <c r="I293" s="22" t="s">
        <v>19309</v>
      </c>
      <c r="J293" s="22" t="s">
        <v>19708</v>
      </c>
      <c r="K293" s="22" t="s">
        <v>19709</v>
      </c>
      <c r="L293" s="22"/>
      <c r="M293" s="22"/>
      <c r="N293" s="25" t="str">
        <f>HYPERLINK("http://slimages.macys.com/is/image/MCY/21752166 ")</f>
        <v xml:space="preserve">http://slimages.macys.com/is/image/MCY/21752166 </v>
      </c>
    </row>
    <row r="294" spans="1:14" x14ac:dyDescent="0.25">
      <c r="A294" s="21" t="s">
        <v>13794</v>
      </c>
      <c r="B294" s="22" t="s">
        <v>13795</v>
      </c>
      <c r="C294" s="2">
        <v>1</v>
      </c>
      <c r="D294" s="23">
        <v>22</v>
      </c>
      <c r="E294" s="3">
        <v>22</v>
      </c>
      <c r="F294" s="2" t="s">
        <v>13796</v>
      </c>
      <c r="G294" s="22" t="s">
        <v>18439</v>
      </c>
      <c r="H294" s="24"/>
      <c r="I294" s="22" t="s">
        <v>19309</v>
      </c>
      <c r="J294" s="22" t="s">
        <v>19417</v>
      </c>
      <c r="K294" s="22" t="s">
        <v>20110</v>
      </c>
      <c r="L294" s="22"/>
      <c r="M294" s="22"/>
      <c r="N294" s="25" t="str">
        <f>HYPERLINK("http://slimages.macys.com/is/image/MCY/21551774 ")</f>
        <v xml:space="preserve">http://slimages.macys.com/is/image/MCY/21551774 </v>
      </c>
    </row>
    <row r="295" spans="1:14" ht="24.75" x14ac:dyDescent="0.25">
      <c r="A295" s="21" t="s">
        <v>13797</v>
      </c>
      <c r="B295" s="22" t="s">
        <v>13798</v>
      </c>
      <c r="C295" s="2">
        <v>1</v>
      </c>
      <c r="D295" s="23">
        <v>21.99</v>
      </c>
      <c r="E295" s="3">
        <v>21.99</v>
      </c>
      <c r="F295" s="2" t="s">
        <v>18381</v>
      </c>
      <c r="G295" s="22" t="s">
        <v>19674</v>
      </c>
      <c r="H295" s="24" t="s">
        <v>19352</v>
      </c>
      <c r="I295" s="22" t="s">
        <v>19309</v>
      </c>
      <c r="J295" s="22" t="s">
        <v>19849</v>
      </c>
      <c r="K295" s="22" t="s">
        <v>19850</v>
      </c>
      <c r="L295" s="22"/>
      <c r="M295" s="22"/>
      <c r="N295" s="25" t="str">
        <f>HYPERLINK("http://slimages.macys.com/is/image/MCY/1521091 ")</f>
        <v xml:space="preserve">http://slimages.macys.com/is/image/MCY/1521091 </v>
      </c>
    </row>
    <row r="296" spans="1:14" x14ac:dyDescent="0.25">
      <c r="A296" s="21" t="s">
        <v>13799</v>
      </c>
      <c r="B296" s="22" t="s">
        <v>13800</v>
      </c>
      <c r="C296" s="2">
        <v>1</v>
      </c>
      <c r="D296" s="23">
        <v>24</v>
      </c>
      <c r="E296" s="3">
        <v>24</v>
      </c>
      <c r="F296" s="2" t="s">
        <v>13801</v>
      </c>
      <c r="G296" s="22" t="s">
        <v>17811</v>
      </c>
      <c r="H296" s="24" t="s">
        <v>19416</v>
      </c>
      <c r="I296" s="22" t="s">
        <v>19309</v>
      </c>
      <c r="J296" s="22" t="s">
        <v>19417</v>
      </c>
      <c r="K296" s="22" t="s">
        <v>18317</v>
      </c>
      <c r="L296" s="22"/>
      <c r="M296" s="22"/>
      <c r="N296" s="25" t="str">
        <f>HYPERLINK("http://slimages.macys.com/is/image/MCY/18893167 ")</f>
        <v xml:space="preserve">http://slimages.macys.com/is/image/MCY/18893167 </v>
      </c>
    </row>
    <row r="297" spans="1:14" x14ac:dyDescent="0.25">
      <c r="A297" s="21" t="s">
        <v>13802</v>
      </c>
      <c r="B297" s="22" t="s">
        <v>13803</v>
      </c>
      <c r="C297" s="2">
        <v>1</v>
      </c>
      <c r="D297" s="23">
        <v>11.79</v>
      </c>
      <c r="E297" s="3">
        <v>11.79</v>
      </c>
      <c r="F297" s="2" t="s">
        <v>13804</v>
      </c>
      <c r="G297" s="22"/>
      <c r="H297" s="24" t="s">
        <v>19770</v>
      </c>
      <c r="I297" s="22" t="s">
        <v>19309</v>
      </c>
      <c r="J297" s="22" t="s">
        <v>19708</v>
      </c>
      <c r="K297" s="22" t="s">
        <v>19709</v>
      </c>
      <c r="L297" s="22"/>
      <c r="M297" s="22"/>
      <c r="N297" s="25" t="str">
        <f>HYPERLINK("http://slimages.macys.com/is/image/MCY/19063832 ")</f>
        <v xml:space="preserve">http://slimages.macys.com/is/image/MCY/19063832 </v>
      </c>
    </row>
    <row r="298" spans="1:14" x14ac:dyDescent="0.25">
      <c r="A298" s="21" t="s">
        <v>18400</v>
      </c>
      <c r="B298" s="22" t="s">
        <v>18401</v>
      </c>
      <c r="C298" s="2">
        <v>1</v>
      </c>
      <c r="D298" s="23">
        <v>11.79</v>
      </c>
      <c r="E298" s="3">
        <v>11.79</v>
      </c>
      <c r="F298" s="2" t="s">
        <v>18402</v>
      </c>
      <c r="G298" s="22" t="s">
        <v>19431</v>
      </c>
      <c r="H298" s="24" t="s">
        <v>20159</v>
      </c>
      <c r="I298" s="22" t="s">
        <v>19309</v>
      </c>
      <c r="J298" s="22" t="s">
        <v>19708</v>
      </c>
      <c r="K298" s="22" t="s">
        <v>19709</v>
      </c>
      <c r="L298" s="22"/>
      <c r="M298" s="22"/>
      <c r="N298" s="25" t="str">
        <f>HYPERLINK("http://slimages.macys.com/is/image/MCY/19066490 ")</f>
        <v xml:space="preserve">http://slimages.macys.com/is/image/MCY/19066490 </v>
      </c>
    </row>
    <row r="299" spans="1:14" ht="24.75" x14ac:dyDescent="0.25">
      <c r="A299" s="21" t="s">
        <v>13805</v>
      </c>
      <c r="B299" s="22" t="s">
        <v>13806</v>
      </c>
      <c r="C299" s="2">
        <v>1</v>
      </c>
      <c r="D299" s="23">
        <v>13.99</v>
      </c>
      <c r="E299" s="3">
        <v>13.99</v>
      </c>
      <c r="F299" s="2" t="s">
        <v>13807</v>
      </c>
      <c r="G299" s="22" t="s">
        <v>18439</v>
      </c>
      <c r="H299" s="24" t="s">
        <v>19364</v>
      </c>
      <c r="I299" s="22" t="s">
        <v>19309</v>
      </c>
      <c r="J299" s="22" t="s">
        <v>19353</v>
      </c>
      <c r="K299" s="22" t="s">
        <v>19524</v>
      </c>
      <c r="L299" s="22"/>
      <c r="M299" s="22"/>
      <c r="N299" s="25" t="str">
        <f>HYPERLINK("http://slimages.macys.com/is/image/MCY/21694616 ")</f>
        <v xml:space="preserve">http://slimages.macys.com/is/image/MCY/21694616 </v>
      </c>
    </row>
    <row r="300" spans="1:14" ht="24.75" x14ac:dyDescent="0.25">
      <c r="A300" s="21" t="s">
        <v>13808</v>
      </c>
      <c r="B300" s="22" t="s">
        <v>13809</v>
      </c>
      <c r="C300" s="2">
        <v>1</v>
      </c>
      <c r="D300" s="23">
        <v>18</v>
      </c>
      <c r="E300" s="3">
        <v>18</v>
      </c>
      <c r="F300" s="2" t="s">
        <v>13810</v>
      </c>
      <c r="G300" s="22" t="s">
        <v>19315</v>
      </c>
      <c r="H300" s="24" t="s">
        <v>19395</v>
      </c>
      <c r="I300" s="22" t="s">
        <v>19309</v>
      </c>
      <c r="J300" s="22" t="s">
        <v>19447</v>
      </c>
      <c r="K300" s="22" t="s">
        <v>13811</v>
      </c>
      <c r="L300" s="22"/>
      <c r="M300" s="22"/>
      <c r="N300" s="25" t="str">
        <f>HYPERLINK("http://slimages.macys.com/is/image/MCY/19995554 ")</f>
        <v xml:space="preserve">http://slimages.macys.com/is/image/MCY/19995554 </v>
      </c>
    </row>
    <row r="301" spans="1:14" ht="24.75" x14ac:dyDescent="0.25">
      <c r="A301" s="21" t="s">
        <v>13812</v>
      </c>
      <c r="B301" s="22" t="s">
        <v>13813</v>
      </c>
      <c r="C301" s="2">
        <v>1</v>
      </c>
      <c r="D301" s="23">
        <v>13.99</v>
      </c>
      <c r="E301" s="3">
        <v>13.99</v>
      </c>
      <c r="F301" s="2" t="s">
        <v>13814</v>
      </c>
      <c r="G301" s="22" t="s">
        <v>19333</v>
      </c>
      <c r="H301" s="24" t="s">
        <v>19339</v>
      </c>
      <c r="I301" s="22" t="s">
        <v>19309</v>
      </c>
      <c r="J301" s="22" t="s">
        <v>19353</v>
      </c>
      <c r="K301" s="22" t="s">
        <v>19524</v>
      </c>
      <c r="L301" s="22"/>
      <c r="M301" s="22"/>
      <c r="N301" s="25" t="str">
        <f>HYPERLINK("http://slimages.macys.com/is/image/MCY/21694607 ")</f>
        <v xml:space="preserve">http://slimages.macys.com/is/image/MCY/21694607 </v>
      </c>
    </row>
    <row r="302" spans="1:14" ht="24.75" x14ac:dyDescent="0.25">
      <c r="A302" s="21" t="s">
        <v>13815</v>
      </c>
      <c r="B302" s="22" t="s">
        <v>13816</v>
      </c>
      <c r="C302" s="2">
        <v>1</v>
      </c>
      <c r="D302" s="23">
        <v>13.99</v>
      </c>
      <c r="E302" s="3">
        <v>13.99</v>
      </c>
      <c r="F302" s="2" t="s">
        <v>13817</v>
      </c>
      <c r="G302" s="22" t="s">
        <v>19814</v>
      </c>
      <c r="H302" s="24" t="s">
        <v>19797</v>
      </c>
      <c r="I302" s="22" t="s">
        <v>19309</v>
      </c>
      <c r="J302" s="22" t="s">
        <v>19353</v>
      </c>
      <c r="K302" s="22" t="s">
        <v>19524</v>
      </c>
      <c r="L302" s="22"/>
      <c r="M302" s="22"/>
      <c r="N302" s="25" t="str">
        <f>HYPERLINK("http://slimages.macys.com/is/image/MCY/20440815 ")</f>
        <v xml:space="preserve">http://slimages.macys.com/is/image/MCY/20440815 </v>
      </c>
    </row>
    <row r="303" spans="1:14" x14ac:dyDescent="0.25">
      <c r="A303" s="21" t="s">
        <v>13818</v>
      </c>
      <c r="B303" s="22" t="s">
        <v>13819</v>
      </c>
      <c r="C303" s="2">
        <v>1</v>
      </c>
      <c r="D303" s="23">
        <v>14.99</v>
      </c>
      <c r="E303" s="3">
        <v>14.99</v>
      </c>
      <c r="F303" s="2" t="s">
        <v>13820</v>
      </c>
      <c r="G303" s="22" t="s">
        <v>19477</v>
      </c>
      <c r="H303" s="24" t="s">
        <v>20135</v>
      </c>
      <c r="I303" s="22" t="s">
        <v>19309</v>
      </c>
      <c r="J303" s="22" t="s">
        <v>19849</v>
      </c>
      <c r="K303" s="22" t="s">
        <v>19850</v>
      </c>
      <c r="L303" s="22"/>
      <c r="M303" s="22"/>
      <c r="N303" s="25" t="str">
        <f>HYPERLINK("http://slimages.macys.com/is/image/MCY/20549564 ")</f>
        <v xml:space="preserve">http://slimages.macys.com/is/image/MCY/20549564 </v>
      </c>
    </row>
    <row r="304" spans="1:14" ht="24.75" x14ac:dyDescent="0.25">
      <c r="A304" s="21" t="s">
        <v>13821</v>
      </c>
      <c r="B304" s="22" t="s">
        <v>13822</v>
      </c>
      <c r="C304" s="2">
        <v>1</v>
      </c>
      <c r="D304" s="23">
        <v>12.99</v>
      </c>
      <c r="E304" s="3">
        <v>12.99</v>
      </c>
      <c r="F304" s="2" t="s">
        <v>13823</v>
      </c>
      <c r="G304" s="22" t="s">
        <v>19674</v>
      </c>
      <c r="H304" s="24" t="s">
        <v>20089</v>
      </c>
      <c r="I304" s="22" t="s">
        <v>19309</v>
      </c>
      <c r="J304" s="22" t="s">
        <v>19908</v>
      </c>
      <c r="K304" s="22" t="s">
        <v>19524</v>
      </c>
      <c r="L304" s="22"/>
      <c r="M304" s="22"/>
      <c r="N304" s="25" t="str">
        <f>HYPERLINK("http://slimages.macys.com/is/image/MCY/1059791 ")</f>
        <v xml:space="preserve">http://slimages.macys.com/is/image/MCY/1059791 </v>
      </c>
    </row>
    <row r="305" spans="1:14" x14ac:dyDescent="0.25">
      <c r="A305" s="21" t="s">
        <v>18466</v>
      </c>
      <c r="B305" s="22" t="s">
        <v>18467</v>
      </c>
      <c r="C305" s="2">
        <v>1</v>
      </c>
      <c r="D305" s="23">
        <v>16.989999999999998</v>
      </c>
      <c r="E305" s="3">
        <v>16.989999999999998</v>
      </c>
      <c r="F305" s="2" t="s">
        <v>18465</v>
      </c>
      <c r="G305" s="22" t="s">
        <v>19431</v>
      </c>
      <c r="H305" s="24" t="s">
        <v>20089</v>
      </c>
      <c r="I305" s="22" t="s">
        <v>19309</v>
      </c>
      <c r="J305" s="22" t="s">
        <v>19849</v>
      </c>
      <c r="K305" s="22" t="s">
        <v>19850</v>
      </c>
      <c r="L305" s="22"/>
      <c r="M305" s="22"/>
      <c r="N305" s="25" t="str">
        <f>HYPERLINK("http://slimages.macys.com/is/image/MCY/20751991 ")</f>
        <v xml:space="preserve">http://slimages.macys.com/is/image/MCY/20751991 </v>
      </c>
    </row>
    <row r="306" spans="1:14" x14ac:dyDescent="0.25">
      <c r="A306" s="21" t="s">
        <v>13824</v>
      </c>
      <c r="B306" s="22" t="s">
        <v>13825</v>
      </c>
      <c r="C306" s="2">
        <v>1</v>
      </c>
      <c r="D306" s="23">
        <v>16.989999999999998</v>
      </c>
      <c r="E306" s="3">
        <v>16.989999999999998</v>
      </c>
      <c r="F306" s="2" t="s">
        <v>18465</v>
      </c>
      <c r="G306" s="22" t="s">
        <v>19431</v>
      </c>
      <c r="H306" s="24" t="s">
        <v>20135</v>
      </c>
      <c r="I306" s="22" t="s">
        <v>19309</v>
      </c>
      <c r="J306" s="22" t="s">
        <v>19849</v>
      </c>
      <c r="K306" s="22" t="s">
        <v>19850</v>
      </c>
      <c r="L306" s="22"/>
      <c r="M306" s="22"/>
      <c r="N306" s="25" t="str">
        <f>HYPERLINK("http://slimages.macys.com/is/image/MCY/20751991 ")</f>
        <v xml:space="preserve">http://slimages.macys.com/is/image/MCY/20751991 </v>
      </c>
    </row>
    <row r="307" spans="1:14" ht="24.75" x14ac:dyDescent="0.25">
      <c r="A307" s="21" t="s">
        <v>13826</v>
      </c>
      <c r="B307" s="22" t="s">
        <v>13827</v>
      </c>
      <c r="C307" s="2">
        <v>1</v>
      </c>
      <c r="D307" s="23">
        <v>13.99</v>
      </c>
      <c r="E307" s="3">
        <v>13.99</v>
      </c>
      <c r="F307" s="2" t="s">
        <v>13828</v>
      </c>
      <c r="G307" s="22" t="s">
        <v>19618</v>
      </c>
      <c r="H307" s="24" t="s">
        <v>19538</v>
      </c>
      <c r="I307" s="22" t="s">
        <v>19309</v>
      </c>
      <c r="J307" s="22" t="s">
        <v>19573</v>
      </c>
      <c r="K307" s="22" t="s">
        <v>19574</v>
      </c>
      <c r="L307" s="22"/>
      <c r="M307" s="22"/>
      <c r="N307" s="25" t="str">
        <f>HYPERLINK("http://slimages.macys.com/is/image/MCY/21361742 ")</f>
        <v xml:space="preserve">http://slimages.macys.com/is/image/MCY/21361742 </v>
      </c>
    </row>
    <row r="308" spans="1:14" ht="24.75" x14ac:dyDescent="0.25">
      <c r="A308" s="21" t="s">
        <v>13829</v>
      </c>
      <c r="B308" s="22" t="s">
        <v>13830</v>
      </c>
      <c r="C308" s="2">
        <v>2</v>
      </c>
      <c r="D308" s="23">
        <v>13.99</v>
      </c>
      <c r="E308" s="3">
        <v>27.98</v>
      </c>
      <c r="F308" s="2" t="s">
        <v>13828</v>
      </c>
      <c r="G308" s="22" t="s">
        <v>19618</v>
      </c>
      <c r="H308" s="24" t="s">
        <v>19416</v>
      </c>
      <c r="I308" s="22" t="s">
        <v>19309</v>
      </c>
      <c r="J308" s="22" t="s">
        <v>19573</v>
      </c>
      <c r="K308" s="22" t="s">
        <v>19574</v>
      </c>
      <c r="L308" s="22"/>
      <c r="M308" s="22"/>
      <c r="N308" s="25" t="str">
        <f>HYPERLINK("http://slimages.macys.com/is/image/MCY/1554876 ")</f>
        <v xml:space="preserve">http://slimages.macys.com/is/image/MCY/1554876 </v>
      </c>
    </row>
    <row r="309" spans="1:14" ht="24.75" x14ac:dyDescent="0.25">
      <c r="A309" s="21" t="s">
        <v>13831</v>
      </c>
      <c r="B309" s="22" t="s">
        <v>13832</v>
      </c>
      <c r="C309" s="2">
        <v>2</v>
      </c>
      <c r="D309" s="23">
        <v>13.99</v>
      </c>
      <c r="E309" s="3">
        <v>27.98</v>
      </c>
      <c r="F309" s="2" t="s">
        <v>18470</v>
      </c>
      <c r="G309" s="22" t="s">
        <v>19351</v>
      </c>
      <c r="H309" s="24" t="s">
        <v>19416</v>
      </c>
      <c r="I309" s="22" t="s">
        <v>19309</v>
      </c>
      <c r="J309" s="22" t="s">
        <v>19573</v>
      </c>
      <c r="K309" s="22" t="s">
        <v>19574</v>
      </c>
      <c r="L309" s="22"/>
      <c r="M309" s="22"/>
      <c r="N309" s="25" t="str">
        <f>HYPERLINK("http://slimages.macys.com/is/image/MCY/21361190 ")</f>
        <v xml:space="preserve">http://slimages.macys.com/is/image/MCY/21361190 </v>
      </c>
    </row>
    <row r="310" spans="1:14" ht="24.75" x14ac:dyDescent="0.25">
      <c r="A310" s="21" t="s">
        <v>13833</v>
      </c>
      <c r="B310" s="22" t="s">
        <v>13834</v>
      </c>
      <c r="C310" s="2">
        <v>1</v>
      </c>
      <c r="D310" s="23">
        <v>13.99</v>
      </c>
      <c r="E310" s="3">
        <v>13.99</v>
      </c>
      <c r="F310" s="2" t="s">
        <v>13835</v>
      </c>
      <c r="G310" s="22" t="s">
        <v>19674</v>
      </c>
      <c r="H310" s="24" t="s">
        <v>19538</v>
      </c>
      <c r="I310" s="22" t="s">
        <v>19309</v>
      </c>
      <c r="J310" s="22" t="s">
        <v>19573</v>
      </c>
      <c r="K310" s="22" t="s">
        <v>19574</v>
      </c>
      <c r="L310" s="22"/>
      <c r="M310" s="22"/>
      <c r="N310" s="25" t="str">
        <f>HYPERLINK("http://slimages.macys.com/is/image/MCY/1070791 ")</f>
        <v xml:space="preserve">http://slimages.macys.com/is/image/MCY/1070791 </v>
      </c>
    </row>
    <row r="311" spans="1:14" x14ac:dyDescent="0.25">
      <c r="A311" s="21" t="s">
        <v>16211</v>
      </c>
      <c r="B311" s="22" t="s">
        <v>16212</v>
      </c>
      <c r="C311" s="2">
        <v>1</v>
      </c>
      <c r="D311" s="23">
        <v>13.99</v>
      </c>
      <c r="E311" s="3">
        <v>13.99</v>
      </c>
      <c r="F311" s="2" t="s">
        <v>16497</v>
      </c>
      <c r="G311" s="22" t="s">
        <v>19618</v>
      </c>
      <c r="H311" s="24" t="s">
        <v>19797</v>
      </c>
      <c r="I311" s="22" t="s">
        <v>19309</v>
      </c>
      <c r="J311" s="22" t="s">
        <v>19849</v>
      </c>
      <c r="K311" s="22" t="s">
        <v>19850</v>
      </c>
      <c r="L311" s="22"/>
      <c r="M311" s="22"/>
      <c r="N311" s="25" t="str">
        <f>HYPERLINK("http://slimages.macys.com/is/image/MCY/21270437 ")</f>
        <v xml:space="preserve">http://slimages.macys.com/is/image/MCY/21270437 </v>
      </c>
    </row>
    <row r="312" spans="1:14" ht="24.75" x14ac:dyDescent="0.25">
      <c r="A312" s="21" t="s">
        <v>13836</v>
      </c>
      <c r="B312" s="22" t="s">
        <v>13837</v>
      </c>
      <c r="C312" s="2">
        <v>1</v>
      </c>
      <c r="D312" s="23">
        <v>13.99</v>
      </c>
      <c r="E312" s="3">
        <v>13.99</v>
      </c>
      <c r="F312" s="2" t="s">
        <v>18470</v>
      </c>
      <c r="G312" s="22" t="s">
        <v>19351</v>
      </c>
      <c r="H312" s="24" t="s">
        <v>19538</v>
      </c>
      <c r="I312" s="22" t="s">
        <v>19309</v>
      </c>
      <c r="J312" s="22" t="s">
        <v>19573</v>
      </c>
      <c r="K312" s="22" t="s">
        <v>19574</v>
      </c>
      <c r="L312" s="22"/>
      <c r="M312" s="22"/>
      <c r="N312" s="25" t="str">
        <f>HYPERLINK("http://slimages.macys.com/is/image/MCY/21361742 ")</f>
        <v xml:space="preserve">http://slimages.macys.com/is/image/MCY/21361742 </v>
      </c>
    </row>
    <row r="313" spans="1:14" x14ac:dyDescent="0.25">
      <c r="A313" s="21" t="s">
        <v>13838</v>
      </c>
      <c r="B313" s="22" t="s">
        <v>13839</v>
      </c>
      <c r="C313" s="2">
        <v>1</v>
      </c>
      <c r="D313" s="23">
        <v>11.99</v>
      </c>
      <c r="E313" s="3">
        <v>11.99</v>
      </c>
      <c r="F313" s="2" t="s">
        <v>13840</v>
      </c>
      <c r="G313" s="22" t="s">
        <v>19477</v>
      </c>
      <c r="H313" s="24" t="s">
        <v>19797</v>
      </c>
      <c r="I313" s="22" t="s">
        <v>19309</v>
      </c>
      <c r="J313" s="22" t="s">
        <v>19849</v>
      </c>
      <c r="K313" s="22" t="s">
        <v>19850</v>
      </c>
      <c r="L313" s="22"/>
      <c r="M313" s="22"/>
      <c r="N313" s="25" t="str">
        <f>HYPERLINK("http://slimages.macys.com/is/image/MCY/20549481 ")</f>
        <v xml:space="preserve">http://slimages.macys.com/is/image/MCY/20549481 </v>
      </c>
    </row>
    <row r="314" spans="1:14" x14ac:dyDescent="0.25">
      <c r="A314" s="21" t="s">
        <v>18482</v>
      </c>
      <c r="B314" s="22" t="s">
        <v>18483</v>
      </c>
      <c r="C314" s="2">
        <v>1</v>
      </c>
      <c r="D314" s="23">
        <v>13.77</v>
      </c>
      <c r="E314" s="3">
        <v>13.77</v>
      </c>
      <c r="F314" s="2" t="s">
        <v>18476</v>
      </c>
      <c r="G314" s="22"/>
      <c r="H314" s="24" t="s">
        <v>19330</v>
      </c>
      <c r="I314" s="22" t="s">
        <v>19309</v>
      </c>
      <c r="J314" s="22" t="s">
        <v>19708</v>
      </c>
      <c r="K314" s="22" t="s">
        <v>19709</v>
      </c>
      <c r="L314" s="22"/>
      <c r="M314" s="22"/>
      <c r="N314" s="25" t="str">
        <f>HYPERLINK("http://slimages.macys.com/is/image/MCY/21758809 ")</f>
        <v xml:space="preserve">http://slimages.macys.com/is/image/MCY/21758809 </v>
      </c>
    </row>
    <row r="315" spans="1:14" x14ac:dyDescent="0.25">
      <c r="A315" s="21" t="s">
        <v>13841</v>
      </c>
      <c r="B315" s="22" t="s">
        <v>13842</v>
      </c>
      <c r="C315" s="2">
        <v>1</v>
      </c>
      <c r="D315" s="23">
        <v>20</v>
      </c>
      <c r="E315" s="3">
        <v>20</v>
      </c>
      <c r="F315" s="2" t="s">
        <v>13843</v>
      </c>
      <c r="G315" s="22" t="s">
        <v>19323</v>
      </c>
      <c r="H315" s="24" t="s">
        <v>19330</v>
      </c>
      <c r="I315" s="22" t="s">
        <v>19309</v>
      </c>
      <c r="J315" s="22" t="s">
        <v>19708</v>
      </c>
      <c r="K315" s="22" t="s">
        <v>19709</v>
      </c>
      <c r="L315" s="22"/>
      <c r="M315" s="22"/>
      <c r="N315" s="25" t="str">
        <f>HYPERLINK("http://slimages.macys.com/is/image/MCY/21726728 ")</f>
        <v xml:space="preserve">http://slimages.macys.com/is/image/MCY/21726728 </v>
      </c>
    </row>
    <row r="316" spans="1:14" x14ac:dyDescent="0.25">
      <c r="A316" s="21" t="s">
        <v>18484</v>
      </c>
      <c r="B316" s="22" t="s">
        <v>18485</v>
      </c>
      <c r="C316" s="2">
        <v>1</v>
      </c>
      <c r="D316" s="23">
        <v>13.77</v>
      </c>
      <c r="E316" s="3">
        <v>13.77</v>
      </c>
      <c r="F316" s="2" t="s">
        <v>18476</v>
      </c>
      <c r="G316" s="22"/>
      <c r="H316" s="24" t="s">
        <v>20159</v>
      </c>
      <c r="I316" s="22" t="s">
        <v>19309</v>
      </c>
      <c r="J316" s="22" t="s">
        <v>19708</v>
      </c>
      <c r="K316" s="22" t="s">
        <v>19709</v>
      </c>
      <c r="L316" s="22"/>
      <c r="M316" s="22"/>
      <c r="N316" s="25" t="str">
        <f>HYPERLINK("http://slimages.macys.com/is/image/MCY/21758809 ")</f>
        <v xml:space="preserve">http://slimages.macys.com/is/image/MCY/21758809 </v>
      </c>
    </row>
    <row r="317" spans="1:14" x14ac:dyDescent="0.25">
      <c r="A317" s="21" t="s">
        <v>13844</v>
      </c>
      <c r="B317" s="22" t="s">
        <v>13845</v>
      </c>
      <c r="C317" s="2">
        <v>1</v>
      </c>
      <c r="D317" s="23">
        <v>13.77</v>
      </c>
      <c r="E317" s="3">
        <v>13.77</v>
      </c>
      <c r="F317" s="2" t="s">
        <v>16507</v>
      </c>
      <c r="G317" s="22" t="s">
        <v>19323</v>
      </c>
      <c r="H317" s="24" t="s">
        <v>20159</v>
      </c>
      <c r="I317" s="22" t="s">
        <v>19309</v>
      </c>
      <c r="J317" s="22" t="s">
        <v>19708</v>
      </c>
      <c r="K317" s="22" t="s">
        <v>19709</v>
      </c>
      <c r="L317" s="22"/>
      <c r="M317" s="22"/>
      <c r="N317" s="25" t="str">
        <f>HYPERLINK("http://slimages.macys.com/is/image/MCY/21758683 ")</f>
        <v xml:space="preserve">http://slimages.macys.com/is/image/MCY/21758683 </v>
      </c>
    </row>
    <row r="318" spans="1:14" x14ac:dyDescent="0.25">
      <c r="A318" s="21" t="s">
        <v>18480</v>
      </c>
      <c r="B318" s="22" t="s">
        <v>18481</v>
      </c>
      <c r="C318" s="2">
        <v>1</v>
      </c>
      <c r="D318" s="23">
        <v>13.77</v>
      </c>
      <c r="E318" s="3">
        <v>13.77</v>
      </c>
      <c r="F318" s="2" t="s">
        <v>18476</v>
      </c>
      <c r="G318" s="22"/>
      <c r="H318" s="24" t="s">
        <v>19416</v>
      </c>
      <c r="I318" s="22" t="s">
        <v>19309</v>
      </c>
      <c r="J318" s="22" t="s">
        <v>19708</v>
      </c>
      <c r="K318" s="22" t="s">
        <v>19709</v>
      </c>
      <c r="L318" s="22"/>
      <c r="M318" s="22"/>
      <c r="N318" s="25" t="str">
        <f>HYPERLINK("http://slimages.macys.com/is/image/MCY/21758809 ")</f>
        <v xml:space="preserve">http://slimages.macys.com/is/image/MCY/21758809 </v>
      </c>
    </row>
    <row r="319" spans="1:14" ht="24.75" x14ac:dyDescent="0.25">
      <c r="A319" s="21" t="s">
        <v>13846</v>
      </c>
      <c r="B319" s="22" t="s">
        <v>13847</v>
      </c>
      <c r="C319" s="2">
        <v>1</v>
      </c>
      <c r="D319" s="23">
        <v>11.94</v>
      </c>
      <c r="E319" s="3">
        <v>11.94</v>
      </c>
      <c r="F319" s="2" t="s">
        <v>13848</v>
      </c>
      <c r="G319" s="22" t="s">
        <v>19333</v>
      </c>
      <c r="H319" s="24" t="s">
        <v>19392</v>
      </c>
      <c r="I319" s="22" t="s">
        <v>19309</v>
      </c>
      <c r="J319" s="22" t="s">
        <v>19602</v>
      </c>
      <c r="K319" s="22" t="s">
        <v>20041</v>
      </c>
      <c r="L319" s="22"/>
      <c r="M319" s="22"/>
      <c r="N319" s="25" t="str">
        <f>HYPERLINK("http://slimages.macys.com/is/image/MCY/22405999 ")</f>
        <v xml:space="preserve">http://slimages.macys.com/is/image/MCY/22405999 </v>
      </c>
    </row>
    <row r="320" spans="1:14" ht="24.75" x14ac:dyDescent="0.25">
      <c r="A320" s="21" t="s">
        <v>13849</v>
      </c>
      <c r="B320" s="22" t="s">
        <v>13850</v>
      </c>
      <c r="C320" s="2">
        <v>1</v>
      </c>
      <c r="D320" s="23">
        <v>14.99</v>
      </c>
      <c r="E320" s="3">
        <v>14.99</v>
      </c>
      <c r="F320" s="2" t="s">
        <v>18501</v>
      </c>
      <c r="G320" s="22" t="s">
        <v>19323</v>
      </c>
      <c r="H320" s="24" t="s">
        <v>19797</v>
      </c>
      <c r="I320" s="22" t="s">
        <v>19309</v>
      </c>
      <c r="J320" s="22" t="s">
        <v>19595</v>
      </c>
      <c r="K320" s="22" t="s">
        <v>18498</v>
      </c>
      <c r="L320" s="22"/>
      <c r="M320" s="22"/>
      <c r="N320" s="25" t="str">
        <f>HYPERLINK("http://slimages.macys.com/is/image/MCY/21365889 ")</f>
        <v xml:space="preserve">http://slimages.macys.com/is/image/MCY/21365889 </v>
      </c>
    </row>
    <row r="321" spans="1:14" x14ac:dyDescent="0.25">
      <c r="A321" s="21" t="s">
        <v>13851</v>
      </c>
      <c r="B321" s="22" t="s">
        <v>13852</v>
      </c>
      <c r="C321" s="2">
        <v>1</v>
      </c>
      <c r="D321" s="23">
        <v>11.99</v>
      </c>
      <c r="E321" s="3">
        <v>11.99</v>
      </c>
      <c r="F321" s="2" t="s">
        <v>13853</v>
      </c>
      <c r="G321" s="22" t="s">
        <v>19351</v>
      </c>
      <c r="H321" s="24" t="s">
        <v>19352</v>
      </c>
      <c r="I321" s="22" t="s">
        <v>19309</v>
      </c>
      <c r="J321" s="22" t="s">
        <v>19849</v>
      </c>
      <c r="K321" s="22" t="s">
        <v>19850</v>
      </c>
      <c r="L321" s="22"/>
      <c r="M321" s="22"/>
      <c r="N321" s="25" t="str">
        <f>HYPERLINK("http://slimages.macys.com/is/image/MCY/20549433 ")</f>
        <v xml:space="preserve">http://slimages.macys.com/is/image/MCY/20549433 </v>
      </c>
    </row>
    <row r="322" spans="1:14" x14ac:dyDescent="0.25">
      <c r="A322" s="21" t="s">
        <v>13854</v>
      </c>
      <c r="B322" s="22" t="s">
        <v>13855</v>
      </c>
      <c r="C322" s="2">
        <v>1</v>
      </c>
      <c r="D322" s="23">
        <v>11.99</v>
      </c>
      <c r="E322" s="3">
        <v>11.99</v>
      </c>
      <c r="F322" s="2" t="s">
        <v>13856</v>
      </c>
      <c r="G322" s="22" t="s">
        <v>19618</v>
      </c>
      <c r="H322" s="24" t="s">
        <v>19352</v>
      </c>
      <c r="I322" s="22" t="s">
        <v>19309</v>
      </c>
      <c r="J322" s="22" t="s">
        <v>19849</v>
      </c>
      <c r="K322" s="22" t="s">
        <v>19850</v>
      </c>
      <c r="L322" s="22"/>
      <c r="M322" s="22"/>
      <c r="N322" s="25" t="str">
        <f>HYPERLINK("http://slimages.macys.com/is/image/MCY/20751956 ")</f>
        <v xml:space="preserve">http://slimages.macys.com/is/image/MCY/20751956 </v>
      </c>
    </row>
    <row r="323" spans="1:14" x14ac:dyDescent="0.25">
      <c r="A323" s="21" t="s">
        <v>13857</v>
      </c>
      <c r="B323" s="22" t="s">
        <v>13858</v>
      </c>
      <c r="C323" s="2">
        <v>2</v>
      </c>
      <c r="D323" s="23">
        <v>11.99</v>
      </c>
      <c r="E323" s="3">
        <v>23.98</v>
      </c>
      <c r="F323" s="2" t="s">
        <v>13856</v>
      </c>
      <c r="G323" s="22" t="s">
        <v>19618</v>
      </c>
      <c r="H323" s="24" t="s">
        <v>19339</v>
      </c>
      <c r="I323" s="22" t="s">
        <v>19309</v>
      </c>
      <c r="J323" s="22" t="s">
        <v>19849</v>
      </c>
      <c r="K323" s="22" t="s">
        <v>19850</v>
      </c>
      <c r="L323" s="22"/>
      <c r="M323" s="22"/>
      <c r="N323" s="25" t="str">
        <f>HYPERLINK("http://slimages.macys.com/is/image/MCY/20751956 ")</f>
        <v xml:space="preserve">http://slimages.macys.com/is/image/MCY/20751956 </v>
      </c>
    </row>
    <row r="324" spans="1:14" ht="24.75" x14ac:dyDescent="0.25">
      <c r="A324" s="21" t="s">
        <v>18505</v>
      </c>
      <c r="B324" s="22" t="s">
        <v>18506</v>
      </c>
      <c r="C324" s="2">
        <v>1</v>
      </c>
      <c r="D324" s="23">
        <v>14.99</v>
      </c>
      <c r="E324" s="3">
        <v>14.99</v>
      </c>
      <c r="F324" s="2" t="s">
        <v>18501</v>
      </c>
      <c r="G324" s="22" t="s">
        <v>19323</v>
      </c>
      <c r="H324" s="24" t="s">
        <v>18507</v>
      </c>
      <c r="I324" s="22" t="s">
        <v>19309</v>
      </c>
      <c r="J324" s="22" t="s">
        <v>19595</v>
      </c>
      <c r="K324" s="22" t="s">
        <v>18498</v>
      </c>
      <c r="L324" s="22"/>
      <c r="M324" s="22"/>
      <c r="N324" s="25" t="str">
        <f>HYPERLINK("http://slimages.macys.com/is/image/MCY/21365889 ")</f>
        <v xml:space="preserve">http://slimages.macys.com/is/image/MCY/21365889 </v>
      </c>
    </row>
    <row r="325" spans="1:14" x14ac:dyDescent="0.25">
      <c r="A325" s="21" t="s">
        <v>13859</v>
      </c>
      <c r="B325" s="22" t="s">
        <v>13860</v>
      </c>
      <c r="C325" s="2">
        <v>1</v>
      </c>
      <c r="D325" s="23">
        <v>11.99</v>
      </c>
      <c r="E325" s="3">
        <v>11.99</v>
      </c>
      <c r="F325" s="2" t="s">
        <v>13856</v>
      </c>
      <c r="G325" s="22" t="s">
        <v>19618</v>
      </c>
      <c r="H325" s="24" t="s">
        <v>19797</v>
      </c>
      <c r="I325" s="22" t="s">
        <v>19309</v>
      </c>
      <c r="J325" s="22" t="s">
        <v>19849</v>
      </c>
      <c r="K325" s="22" t="s">
        <v>19850</v>
      </c>
      <c r="L325" s="22"/>
      <c r="M325" s="22"/>
      <c r="N325" s="25" t="str">
        <f>HYPERLINK("http://slimages.macys.com/is/image/MCY/20751956 ")</f>
        <v xml:space="preserve">http://slimages.macys.com/is/image/MCY/20751956 </v>
      </c>
    </row>
    <row r="326" spans="1:14" x14ac:dyDescent="0.25">
      <c r="A326" s="21" t="s">
        <v>13861</v>
      </c>
      <c r="B326" s="22" t="s">
        <v>13862</v>
      </c>
      <c r="C326" s="2">
        <v>1</v>
      </c>
      <c r="D326" s="23">
        <v>11.99</v>
      </c>
      <c r="E326" s="3">
        <v>11.99</v>
      </c>
      <c r="F326" s="2" t="s">
        <v>13853</v>
      </c>
      <c r="G326" s="22" t="s">
        <v>19351</v>
      </c>
      <c r="H326" s="24" t="s">
        <v>19339</v>
      </c>
      <c r="I326" s="22" t="s">
        <v>19309</v>
      </c>
      <c r="J326" s="22" t="s">
        <v>19849</v>
      </c>
      <c r="K326" s="22" t="s">
        <v>19850</v>
      </c>
      <c r="L326" s="22"/>
      <c r="M326" s="22"/>
      <c r="N326" s="25" t="str">
        <f>HYPERLINK("http://slimages.macys.com/is/image/MCY/20549433 ")</f>
        <v xml:space="preserve">http://slimages.macys.com/is/image/MCY/20549433 </v>
      </c>
    </row>
    <row r="327" spans="1:14" ht="24.75" x14ac:dyDescent="0.25">
      <c r="A327" s="21" t="s">
        <v>13863</v>
      </c>
      <c r="B327" s="22" t="s">
        <v>13864</v>
      </c>
      <c r="C327" s="2">
        <v>1</v>
      </c>
      <c r="D327" s="23">
        <v>13.99</v>
      </c>
      <c r="E327" s="3">
        <v>13.99</v>
      </c>
      <c r="F327" s="2" t="s">
        <v>18536</v>
      </c>
      <c r="G327" s="22" t="s">
        <v>19674</v>
      </c>
      <c r="H327" s="24" t="s">
        <v>19538</v>
      </c>
      <c r="I327" s="22" t="s">
        <v>19309</v>
      </c>
      <c r="J327" s="22" t="s">
        <v>19573</v>
      </c>
      <c r="K327" s="22" t="s">
        <v>19574</v>
      </c>
      <c r="L327" s="22"/>
      <c r="M327" s="22"/>
      <c r="N327" s="25" t="str">
        <f>HYPERLINK("http://slimages.macys.com/is/image/MCY/22037419 ")</f>
        <v xml:space="preserve">http://slimages.macys.com/is/image/MCY/22037419 </v>
      </c>
    </row>
    <row r="328" spans="1:14" ht="24.75" x14ac:dyDescent="0.25">
      <c r="A328" s="21" t="s">
        <v>16241</v>
      </c>
      <c r="B328" s="22" t="s">
        <v>16242</v>
      </c>
      <c r="C328" s="2">
        <v>2</v>
      </c>
      <c r="D328" s="23">
        <v>13.99</v>
      </c>
      <c r="E328" s="3">
        <v>27.98</v>
      </c>
      <c r="F328" s="2" t="s">
        <v>18536</v>
      </c>
      <c r="G328" s="22" t="s">
        <v>19674</v>
      </c>
      <c r="H328" s="24" t="s">
        <v>19416</v>
      </c>
      <c r="I328" s="22" t="s">
        <v>19309</v>
      </c>
      <c r="J328" s="22" t="s">
        <v>19573</v>
      </c>
      <c r="K328" s="22" t="s">
        <v>19574</v>
      </c>
      <c r="L328" s="22"/>
      <c r="M328" s="22"/>
      <c r="N328" s="25" t="str">
        <f>HYPERLINK("http://slimages.macys.com/is/image/MCY/22037419 ")</f>
        <v xml:space="preserve">http://slimages.macys.com/is/image/MCY/22037419 </v>
      </c>
    </row>
    <row r="329" spans="1:14" ht="24.75" x14ac:dyDescent="0.25">
      <c r="A329" s="21" t="s">
        <v>18534</v>
      </c>
      <c r="B329" s="22" t="s">
        <v>18535</v>
      </c>
      <c r="C329" s="2">
        <v>2</v>
      </c>
      <c r="D329" s="23">
        <v>13.99</v>
      </c>
      <c r="E329" s="3">
        <v>27.98</v>
      </c>
      <c r="F329" s="2" t="s">
        <v>18536</v>
      </c>
      <c r="G329" s="22" t="s">
        <v>19674</v>
      </c>
      <c r="H329" s="24" t="s">
        <v>19384</v>
      </c>
      <c r="I329" s="22" t="s">
        <v>19309</v>
      </c>
      <c r="J329" s="22" t="s">
        <v>19573</v>
      </c>
      <c r="K329" s="22" t="s">
        <v>19574</v>
      </c>
      <c r="L329" s="22"/>
      <c r="M329" s="22"/>
      <c r="N329" s="25" t="str">
        <f>HYPERLINK("http://slimages.macys.com/is/image/MCY/22037419 ")</f>
        <v xml:space="preserve">http://slimages.macys.com/is/image/MCY/22037419 </v>
      </c>
    </row>
    <row r="330" spans="1:14" x14ac:dyDescent="0.25">
      <c r="A330" s="21" t="s">
        <v>13865</v>
      </c>
      <c r="B330" s="22" t="s">
        <v>13866</v>
      </c>
      <c r="C330" s="2">
        <v>1</v>
      </c>
      <c r="D330" s="23">
        <v>9.99</v>
      </c>
      <c r="E330" s="3">
        <v>9.99</v>
      </c>
      <c r="F330" s="2" t="s">
        <v>16524</v>
      </c>
      <c r="G330" s="22" t="s">
        <v>19477</v>
      </c>
      <c r="H330" s="24" t="s">
        <v>19542</v>
      </c>
      <c r="I330" s="22" t="s">
        <v>19309</v>
      </c>
      <c r="J330" s="22" t="s">
        <v>19849</v>
      </c>
      <c r="K330" s="22" t="s">
        <v>19850</v>
      </c>
      <c r="L330" s="22"/>
      <c r="M330" s="22"/>
      <c r="N330" s="25" t="str">
        <f>HYPERLINK("http://slimages.macys.com/is/image/MCY/20751960 ")</f>
        <v xml:space="preserve">http://slimages.macys.com/is/image/MCY/20751960 </v>
      </c>
    </row>
    <row r="331" spans="1:14" x14ac:dyDescent="0.25">
      <c r="A331" s="21" t="s">
        <v>13867</v>
      </c>
      <c r="B331" s="22" t="s">
        <v>13868</v>
      </c>
      <c r="C331" s="2">
        <v>1</v>
      </c>
      <c r="D331" s="23">
        <v>16.989999999999998</v>
      </c>
      <c r="E331" s="3">
        <v>16.989999999999998</v>
      </c>
      <c r="F331" s="2" t="s">
        <v>16527</v>
      </c>
      <c r="G331" s="22" t="s">
        <v>19674</v>
      </c>
      <c r="H331" s="24" t="s">
        <v>20089</v>
      </c>
      <c r="I331" s="22" t="s">
        <v>19309</v>
      </c>
      <c r="J331" s="22" t="s">
        <v>19849</v>
      </c>
      <c r="K331" s="22" t="s">
        <v>19850</v>
      </c>
      <c r="L331" s="22"/>
      <c r="M331" s="22"/>
      <c r="N331" s="25" t="str">
        <f>HYPERLINK("http://slimages.macys.com/is/image/MCY/1504995 ")</f>
        <v xml:space="preserve">http://slimages.macys.com/is/image/MCY/1504995 </v>
      </c>
    </row>
    <row r="332" spans="1:14" ht="24.75" x14ac:dyDescent="0.25">
      <c r="A332" s="21" t="s">
        <v>13869</v>
      </c>
      <c r="B332" s="22" t="s">
        <v>13870</v>
      </c>
      <c r="C332" s="2">
        <v>1</v>
      </c>
      <c r="D332" s="23">
        <v>11.99</v>
      </c>
      <c r="E332" s="3">
        <v>11.99</v>
      </c>
      <c r="F332" s="2" t="s">
        <v>16530</v>
      </c>
      <c r="G332" s="22" t="s">
        <v>19814</v>
      </c>
      <c r="H332" s="24" t="s">
        <v>19361</v>
      </c>
      <c r="I332" s="22" t="s">
        <v>19309</v>
      </c>
      <c r="J332" s="22" t="s">
        <v>19908</v>
      </c>
      <c r="K332" s="22" t="s">
        <v>19524</v>
      </c>
      <c r="L332" s="22"/>
      <c r="M332" s="22"/>
      <c r="N332" s="25" t="str">
        <f>HYPERLINK("http://slimages.macys.com/is/image/MCY/21569943 ")</f>
        <v xml:space="preserve">http://slimages.macys.com/is/image/MCY/21569943 </v>
      </c>
    </row>
    <row r="333" spans="1:14" ht="24.75" x14ac:dyDescent="0.25">
      <c r="A333" s="21" t="s">
        <v>13871</v>
      </c>
      <c r="B333" s="22" t="s">
        <v>13872</v>
      </c>
      <c r="C333" s="2">
        <v>1</v>
      </c>
      <c r="D333" s="23">
        <v>11.99</v>
      </c>
      <c r="E333" s="3">
        <v>11.99</v>
      </c>
      <c r="F333" s="2" t="s">
        <v>16530</v>
      </c>
      <c r="G333" s="22" t="s">
        <v>19814</v>
      </c>
      <c r="H333" s="24" t="s">
        <v>19542</v>
      </c>
      <c r="I333" s="22" t="s">
        <v>19309</v>
      </c>
      <c r="J333" s="22" t="s">
        <v>19908</v>
      </c>
      <c r="K333" s="22" t="s">
        <v>19524</v>
      </c>
      <c r="L333" s="22"/>
      <c r="M333" s="22"/>
      <c r="N333" s="25" t="str">
        <f>HYPERLINK("http://slimages.macys.com/is/image/MCY/21569943 ")</f>
        <v xml:space="preserve">http://slimages.macys.com/is/image/MCY/21569943 </v>
      </c>
    </row>
    <row r="334" spans="1:14" ht="24.75" x14ac:dyDescent="0.25">
      <c r="A334" s="21" t="s">
        <v>18549</v>
      </c>
      <c r="B334" s="22" t="s">
        <v>18550</v>
      </c>
      <c r="C334" s="2">
        <v>1</v>
      </c>
      <c r="D334" s="23">
        <v>13.99</v>
      </c>
      <c r="E334" s="3">
        <v>13.99</v>
      </c>
      <c r="F334" s="2" t="s">
        <v>18551</v>
      </c>
      <c r="G334" s="22" t="s">
        <v>19467</v>
      </c>
      <c r="H334" s="24" t="s">
        <v>19384</v>
      </c>
      <c r="I334" s="22" t="s">
        <v>19309</v>
      </c>
      <c r="J334" s="22" t="s">
        <v>19573</v>
      </c>
      <c r="K334" s="22" t="s">
        <v>19574</v>
      </c>
      <c r="L334" s="22"/>
      <c r="M334" s="22"/>
      <c r="N334" s="25" t="str">
        <f>HYPERLINK("http://slimages.macys.com/is/image/MCY/21361645 ")</f>
        <v xml:space="preserve">http://slimages.macys.com/is/image/MCY/21361645 </v>
      </c>
    </row>
    <row r="335" spans="1:14" ht="24.75" x14ac:dyDescent="0.25">
      <c r="A335" s="21" t="s">
        <v>13873</v>
      </c>
      <c r="B335" s="22" t="s">
        <v>13874</v>
      </c>
      <c r="C335" s="2">
        <v>1</v>
      </c>
      <c r="D335" s="23">
        <v>13.99</v>
      </c>
      <c r="E335" s="3">
        <v>13.99</v>
      </c>
      <c r="F335" s="2" t="s">
        <v>18551</v>
      </c>
      <c r="G335" s="22" t="s">
        <v>19415</v>
      </c>
      <c r="H335" s="24" t="s">
        <v>19330</v>
      </c>
      <c r="I335" s="22" t="s">
        <v>19309</v>
      </c>
      <c r="J335" s="22" t="s">
        <v>19573</v>
      </c>
      <c r="K335" s="22" t="s">
        <v>19574</v>
      </c>
      <c r="L335" s="22"/>
      <c r="M335" s="22"/>
      <c r="N335" s="25" t="str">
        <f>HYPERLINK("http://slimages.macys.com/is/image/MCY/1554883 ")</f>
        <v xml:space="preserve">http://slimages.macys.com/is/image/MCY/1554883 </v>
      </c>
    </row>
    <row r="336" spans="1:14" ht="24.75" x14ac:dyDescent="0.25">
      <c r="A336" s="21" t="s">
        <v>13875</v>
      </c>
      <c r="B336" s="22" t="s">
        <v>13876</v>
      </c>
      <c r="C336" s="2">
        <v>1</v>
      </c>
      <c r="D336" s="23">
        <v>16.989999999999998</v>
      </c>
      <c r="E336" s="3">
        <v>16.989999999999998</v>
      </c>
      <c r="F336" s="2" t="s">
        <v>18581</v>
      </c>
      <c r="G336" s="22" t="s">
        <v>19333</v>
      </c>
      <c r="H336" s="24" t="s">
        <v>19907</v>
      </c>
      <c r="I336" s="22" t="s">
        <v>19309</v>
      </c>
      <c r="J336" s="22" t="s">
        <v>19454</v>
      </c>
      <c r="K336" s="22" t="s">
        <v>19524</v>
      </c>
      <c r="L336" s="22"/>
      <c r="M336" s="22"/>
      <c r="N336" s="25" t="str">
        <f>HYPERLINK("http://slimages.macys.com/is/image/MCY/21265927 ")</f>
        <v xml:space="preserve">http://slimages.macys.com/is/image/MCY/21265927 </v>
      </c>
    </row>
    <row r="337" spans="1:14" ht="24.75" x14ac:dyDescent="0.25">
      <c r="A337" s="21" t="s">
        <v>13877</v>
      </c>
      <c r="B337" s="22" t="s">
        <v>13878</v>
      </c>
      <c r="C337" s="2">
        <v>1</v>
      </c>
      <c r="D337" s="23">
        <v>16.989999999999998</v>
      </c>
      <c r="E337" s="3">
        <v>16.989999999999998</v>
      </c>
      <c r="F337" s="2" t="s">
        <v>18581</v>
      </c>
      <c r="G337" s="22" t="s">
        <v>19333</v>
      </c>
      <c r="H337" s="24" t="s">
        <v>19361</v>
      </c>
      <c r="I337" s="22" t="s">
        <v>19309</v>
      </c>
      <c r="J337" s="22" t="s">
        <v>19454</v>
      </c>
      <c r="K337" s="22" t="s">
        <v>19524</v>
      </c>
      <c r="L337" s="22"/>
      <c r="M337" s="22"/>
      <c r="N337" s="25" t="str">
        <f>HYPERLINK("http://slimages.macys.com/is/image/MCY/21265927 ")</f>
        <v xml:space="preserve">http://slimages.macys.com/is/image/MCY/21265927 </v>
      </c>
    </row>
    <row r="338" spans="1:14" ht="24.75" x14ac:dyDescent="0.25">
      <c r="A338" s="21" t="s">
        <v>13879</v>
      </c>
      <c r="B338" s="22" t="s">
        <v>13880</v>
      </c>
      <c r="C338" s="2">
        <v>1</v>
      </c>
      <c r="D338" s="23">
        <v>16.989999999999998</v>
      </c>
      <c r="E338" s="3">
        <v>16.989999999999998</v>
      </c>
      <c r="F338" s="2" t="s">
        <v>18581</v>
      </c>
      <c r="G338" s="22" t="s">
        <v>19333</v>
      </c>
      <c r="H338" s="24" t="s">
        <v>19392</v>
      </c>
      <c r="I338" s="22" t="s">
        <v>19309</v>
      </c>
      <c r="J338" s="22" t="s">
        <v>19454</v>
      </c>
      <c r="K338" s="22" t="s">
        <v>19524</v>
      </c>
      <c r="L338" s="22"/>
      <c r="M338" s="22"/>
      <c r="N338" s="25" t="str">
        <f>HYPERLINK("http://slimages.macys.com/is/image/MCY/21265927 ")</f>
        <v xml:space="preserve">http://slimages.macys.com/is/image/MCY/21265927 </v>
      </c>
    </row>
    <row r="339" spans="1:14" ht="24.75" x14ac:dyDescent="0.25">
      <c r="A339" s="21" t="s">
        <v>13881</v>
      </c>
      <c r="B339" s="22" t="s">
        <v>13882</v>
      </c>
      <c r="C339" s="2">
        <v>1</v>
      </c>
      <c r="D339" s="23">
        <v>7.99</v>
      </c>
      <c r="E339" s="3">
        <v>7.99</v>
      </c>
      <c r="F339" s="2" t="s">
        <v>13883</v>
      </c>
      <c r="G339" s="22" t="s">
        <v>19357</v>
      </c>
      <c r="H339" s="24" t="s">
        <v>19308</v>
      </c>
      <c r="I339" s="22" t="s">
        <v>19309</v>
      </c>
      <c r="J339" s="22" t="s">
        <v>19310</v>
      </c>
      <c r="K339" s="22" t="s">
        <v>19873</v>
      </c>
      <c r="L339" s="22"/>
      <c r="M339" s="22"/>
      <c r="N339" s="25" t="str">
        <f>HYPERLINK("http://slimages.macys.com/is/image/MCY/21030926 ")</f>
        <v xml:space="preserve">http://slimages.macys.com/is/image/MCY/21030926 </v>
      </c>
    </row>
    <row r="340" spans="1:14" ht="24.75" x14ac:dyDescent="0.25">
      <c r="A340" s="21" t="s">
        <v>13884</v>
      </c>
      <c r="B340" s="22" t="s">
        <v>13885</v>
      </c>
      <c r="C340" s="2">
        <v>1</v>
      </c>
      <c r="D340" s="23">
        <v>11.99</v>
      </c>
      <c r="E340" s="3">
        <v>11.99</v>
      </c>
      <c r="F340" s="2" t="s">
        <v>18611</v>
      </c>
      <c r="G340" s="22" t="s">
        <v>19906</v>
      </c>
      <c r="H340" s="24" t="s">
        <v>19538</v>
      </c>
      <c r="I340" s="22" t="s">
        <v>19309</v>
      </c>
      <c r="J340" s="22" t="s">
        <v>19573</v>
      </c>
      <c r="K340" s="22" t="s">
        <v>19574</v>
      </c>
      <c r="L340" s="22"/>
      <c r="M340" s="22"/>
      <c r="N340" s="25" t="str">
        <f>HYPERLINK("http://slimages.macys.com/is/image/MCY/21361512 ")</f>
        <v xml:space="preserve">http://slimages.macys.com/is/image/MCY/21361512 </v>
      </c>
    </row>
    <row r="341" spans="1:14" x14ac:dyDescent="0.25">
      <c r="A341" s="21" t="s">
        <v>13886</v>
      </c>
      <c r="B341" s="22" t="s">
        <v>13887</v>
      </c>
      <c r="C341" s="2">
        <v>1</v>
      </c>
      <c r="D341" s="23">
        <v>8.99</v>
      </c>
      <c r="E341" s="3">
        <v>8.99</v>
      </c>
      <c r="F341" s="2" t="s">
        <v>18605</v>
      </c>
      <c r="G341" s="22" t="s">
        <v>19422</v>
      </c>
      <c r="H341" s="24" t="s">
        <v>19361</v>
      </c>
      <c r="I341" s="22" t="s">
        <v>19309</v>
      </c>
      <c r="J341" s="22" t="s">
        <v>19514</v>
      </c>
      <c r="K341" s="22" t="s">
        <v>18514</v>
      </c>
      <c r="L341" s="22" t="s">
        <v>19319</v>
      </c>
      <c r="M341" s="22" t="s">
        <v>19435</v>
      </c>
      <c r="N341" s="25" t="str">
        <f>HYPERLINK("http://slimages.macys.com/is/image/MCY/9995089 ")</f>
        <v xml:space="preserve">http://slimages.macys.com/is/image/MCY/9995089 </v>
      </c>
    </row>
    <row r="342" spans="1:14" ht="24.75" x14ac:dyDescent="0.25">
      <c r="A342" s="21" t="s">
        <v>13888</v>
      </c>
      <c r="B342" s="22" t="s">
        <v>13889</v>
      </c>
      <c r="C342" s="2">
        <v>1</v>
      </c>
      <c r="D342" s="23">
        <v>13.99</v>
      </c>
      <c r="E342" s="3">
        <v>13.99</v>
      </c>
      <c r="F342" s="2" t="s">
        <v>16593</v>
      </c>
      <c r="G342" s="22" t="s">
        <v>19315</v>
      </c>
      <c r="H342" s="24" t="s">
        <v>19364</v>
      </c>
      <c r="I342" s="22" t="s">
        <v>19309</v>
      </c>
      <c r="J342" s="22" t="s">
        <v>19815</v>
      </c>
      <c r="K342" s="22" t="s">
        <v>19816</v>
      </c>
      <c r="L342" s="22"/>
      <c r="M342" s="22"/>
      <c r="N342" s="25" t="str">
        <f>HYPERLINK("http://slimages.macys.com/is/image/MCY/21188139 ")</f>
        <v xml:space="preserve">http://slimages.macys.com/is/image/MCY/21188139 </v>
      </c>
    </row>
    <row r="343" spans="1:14" ht="24.75" x14ac:dyDescent="0.25">
      <c r="A343" s="21" t="s">
        <v>13890</v>
      </c>
      <c r="B343" s="22" t="s">
        <v>13891</v>
      </c>
      <c r="C343" s="2">
        <v>1</v>
      </c>
      <c r="D343" s="23">
        <v>10.91</v>
      </c>
      <c r="E343" s="3">
        <v>10.91</v>
      </c>
      <c r="F343" s="2" t="s">
        <v>16602</v>
      </c>
      <c r="G343" s="22" t="s">
        <v>19357</v>
      </c>
      <c r="H343" s="24"/>
      <c r="I343" s="22" t="s">
        <v>19309</v>
      </c>
      <c r="J343" s="22" t="s">
        <v>19602</v>
      </c>
      <c r="K343" s="22" t="s">
        <v>20041</v>
      </c>
      <c r="L343" s="22"/>
      <c r="M343" s="22"/>
      <c r="N343" s="25" t="str">
        <f>HYPERLINK("http://slimages.macys.com/is/image/MCY/21723141 ")</f>
        <v xml:space="preserve">http://slimages.macys.com/is/image/MCY/21723141 </v>
      </c>
    </row>
    <row r="344" spans="1:14" ht="24.75" x14ac:dyDescent="0.25">
      <c r="A344" s="21" t="s">
        <v>16286</v>
      </c>
      <c r="B344" s="22" t="s">
        <v>16287</v>
      </c>
      <c r="C344" s="2">
        <v>1</v>
      </c>
      <c r="D344" s="23">
        <v>10.91</v>
      </c>
      <c r="E344" s="3">
        <v>10.91</v>
      </c>
      <c r="F344" s="2" t="s">
        <v>16605</v>
      </c>
      <c r="G344" s="22" t="s">
        <v>19594</v>
      </c>
      <c r="H344" s="24" t="s">
        <v>19345</v>
      </c>
      <c r="I344" s="22" t="s">
        <v>19309</v>
      </c>
      <c r="J344" s="22" t="s">
        <v>19602</v>
      </c>
      <c r="K344" s="22" t="s">
        <v>20041</v>
      </c>
      <c r="L344" s="22"/>
      <c r="M344" s="22"/>
      <c r="N344" s="25" t="str">
        <f>HYPERLINK("http://slimages.macys.com/is/image/MCY/21723141 ")</f>
        <v xml:space="preserve">http://slimages.macys.com/is/image/MCY/21723141 </v>
      </c>
    </row>
    <row r="345" spans="1:14" ht="24.75" x14ac:dyDescent="0.25">
      <c r="A345" s="21" t="s">
        <v>13892</v>
      </c>
      <c r="B345" s="22" t="s">
        <v>13893</v>
      </c>
      <c r="C345" s="2">
        <v>1</v>
      </c>
      <c r="D345" s="23">
        <v>10.91</v>
      </c>
      <c r="E345" s="3">
        <v>10.91</v>
      </c>
      <c r="F345" s="2" t="s">
        <v>13894</v>
      </c>
      <c r="G345" s="22"/>
      <c r="H345" s="24" t="s">
        <v>19392</v>
      </c>
      <c r="I345" s="22" t="s">
        <v>19309</v>
      </c>
      <c r="J345" s="22" t="s">
        <v>19602</v>
      </c>
      <c r="K345" s="22" t="s">
        <v>19603</v>
      </c>
      <c r="L345" s="22"/>
      <c r="M345" s="22"/>
      <c r="N345" s="25" t="str">
        <f>HYPERLINK("http://slimages.macys.com/is/image/MCY/21723977 ")</f>
        <v xml:space="preserve">http://slimages.macys.com/is/image/MCY/21723977 </v>
      </c>
    </row>
    <row r="346" spans="1:14" x14ac:dyDescent="0.25">
      <c r="A346" s="21" t="s">
        <v>13895</v>
      </c>
      <c r="B346" s="22" t="s">
        <v>13896</v>
      </c>
      <c r="C346" s="2">
        <v>1</v>
      </c>
      <c r="D346" s="23">
        <v>13.27</v>
      </c>
      <c r="E346" s="3">
        <v>13.27</v>
      </c>
      <c r="F346" s="2" t="s">
        <v>13897</v>
      </c>
      <c r="G346" s="22"/>
      <c r="H346" s="24" t="s">
        <v>19330</v>
      </c>
      <c r="I346" s="22" t="s">
        <v>19309</v>
      </c>
      <c r="J346" s="22" t="s">
        <v>19708</v>
      </c>
      <c r="K346" s="22" t="s">
        <v>19754</v>
      </c>
      <c r="L346" s="22"/>
      <c r="M346" s="22"/>
      <c r="N346" s="25" t="str">
        <f>HYPERLINK("http://slimages.macys.com/is/image/MCY/21414718 ")</f>
        <v xml:space="preserve">http://slimages.macys.com/is/image/MCY/21414718 </v>
      </c>
    </row>
    <row r="347" spans="1:14" ht="24.75" x14ac:dyDescent="0.25">
      <c r="A347" s="21" t="s">
        <v>16600</v>
      </c>
      <c r="B347" s="22" t="s">
        <v>16601</v>
      </c>
      <c r="C347" s="2">
        <v>1</v>
      </c>
      <c r="D347" s="23">
        <v>10.91</v>
      </c>
      <c r="E347" s="3">
        <v>10.91</v>
      </c>
      <c r="F347" s="2" t="s">
        <v>16602</v>
      </c>
      <c r="G347" s="22" t="s">
        <v>19357</v>
      </c>
      <c r="H347" s="24" t="s">
        <v>19334</v>
      </c>
      <c r="I347" s="22" t="s">
        <v>19309</v>
      </c>
      <c r="J347" s="22" t="s">
        <v>19602</v>
      </c>
      <c r="K347" s="22" t="s">
        <v>20041</v>
      </c>
      <c r="L347" s="22"/>
      <c r="M347" s="22"/>
      <c r="N347" s="25" t="str">
        <f>HYPERLINK("http://slimages.macys.com/is/image/MCY/21723141 ")</f>
        <v xml:space="preserve">http://slimages.macys.com/is/image/MCY/21723141 </v>
      </c>
    </row>
    <row r="348" spans="1:14" ht="24.75" x14ac:dyDescent="0.25">
      <c r="A348" s="21" t="s">
        <v>13898</v>
      </c>
      <c r="B348" s="22" t="s">
        <v>13899</v>
      </c>
      <c r="C348" s="2">
        <v>1</v>
      </c>
      <c r="D348" s="23">
        <v>10.91</v>
      </c>
      <c r="E348" s="3">
        <v>10.91</v>
      </c>
      <c r="F348" s="2" t="s">
        <v>16605</v>
      </c>
      <c r="G348" s="22" t="s">
        <v>19594</v>
      </c>
      <c r="H348" s="24" t="s">
        <v>19392</v>
      </c>
      <c r="I348" s="22" t="s">
        <v>19309</v>
      </c>
      <c r="J348" s="22" t="s">
        <v>19602</v>
      </c>
      <c r="K348" s="22" t="s">
        <v>20041</v>
      </c>
      <c r="L348" s="22"/>
      <c r="M348" s="22"/>
      <c r="N348" s="25" t="str">
        <f>HYPERLINK("http://slimages.macys.com/is/image/MCY/21723141 ")</f>
        <v xml:space="preserve">http://slimages.macys.com/is/image/MCY/21723141 </v>
      </c>
    </row>
    <row r="349" spans="1:14" ht="24.75" x14ac:dyDescent="0.25">
      <c r="A349" s="21" t="s">
        <v>13900</v>
      </c>
      <c r="B349" s="22" t="s">
        <v>13901</v>
      </c>
      <c r="C349" s="2">
        <v>1</v>
      </c>
      <c r="D349" s="23">
        <v>11.99</v>
      </c>
      <c r="E349" s="3">
        <v>11.99</v>
      </c>
      <c r="F349" s="2" t="s">
        <v>13902</v>
      </c>
      <c r="G349" s="22" t="s">
        <v>19351</v>
      </c>
      <c r="H349" s="24" t="s">
        <v>20089</v>
      </c>
      <c r="I349" s="22" t="s">
        <v>19309</v>
      </c>
      <c r="J349" s="22" t="s">
        <v>19908</v>
      </c>
      <c r="K349" s="22" t="s">
        <v>19524</v>
      </c>
      <c r="L349" s="22"/>
      <c r="M349" s="22"/>
      <c r="N349" s="25" t="str">
        <f>HYPERLINK("http://slimages.macys.com/is/image/MCY/1110249 ")</f>
        <v xml:space="preserve">http://slimages.macys.com/is/image/MCY/1110249 </v>
      </c>
    </row>
    <row r="350" spans="1:14" ht="24.75" x14ac:dyDescent="0.25">
      <c r="A350" s="21" t="s">
        <v>18655</v>
      </c>
      <c r="B350" s="22" t="s">
        <v>18656</v>
      </c>
      <c r="C350" s="2">
        <v>1</v>
      </c>
      <c r="D350" s="23">
        <v>10.99</v>
      </c>
      <c r="E350" s="3">
        <v>10.99</v>
      </c>
      <c r="F350" s="2" t="s">
        <v>18657</v>
      </c>
      <c r="G350" s="22" t="s">
        <v>19814</v>
      </c>
      <c r="H350" s="24" t="s">
        <v>19364</v>
      </c>
      <c r="I350" s="22" t="s">
        <v>19309</v>
      </c>
      <c r="J350" s="22" t="s">
        <v>19353</v>
      </c>
      <c r="K350" s="22" t="s">
        <v>19524</v>
      </c>
      <c r="L350" s="22"/>
      <c r="M350" s="22"/>
      <c r="N350" s="25" t="str">
        <f>HYPERLINK("http://slimages.macys.com/is/image/MCY/20702948 ")</f>
        <v xml:space="preserve">http://slimages.macys.com/is/image/MCY/20702948 </v>
      </c>
    </row>
    <row r="351" spans="1:14" ht="24.75" x14ac:dyDescent="0.25">
      <c r="A351" s="21" t="s">
        <v>13903</v>
      </c>
      <c r="B351" s="22" t="s">
        <v>13904</v>
      </c>
      <c r="C351" s="2">
        <v>1</v>
      </c>
      <c r="D351" s="23">
        <v>11.99</v>
      </c>
      <c r="E351" s="3">
        <v>11.99</v>
      </c>
      <c r="F351" s="2" t="s">
        <v>13902</v>
      </c>
      <c r="G351" s="22" t="s">
        <v>19351</v>
      </c>
      <c r="H351" s="24" t="s">
        <v>19361</v>
      </c>
      <c r="I351" s="22" t="s">
        <v>19309</v>
      </c>
      <c r="J351" s="22" t="s">
        <v>19908</v>
      </c>
      <c r="K351" s="22" t="s">
        <v>19524</v>
      </c>
      <c r="L351" s="22"/>
      <c r="M351" s="22"/>
      <c r="N351" s="25" t="str">
        <f>HYPERLINK("http://slimages.macys.com/is/image/MCY/1110249 ")</f>
        <v xml:space="preserve">http://slimages.macys.com/is/image/MCY/1110249 </v>
      </c>
    </row>
    <row r="352" spans="1:14" x14ac:dyDescent="0.25">
      <c r="A352" s="21" t="s">
        <v>13905</v>
      </c>
      <c r="B352" s="22" t="s">
        <v>13906</v>
      </c>
      <c r="C352" s="2">
        <v>1</v>
      </c>
      <c r="D352" s="23">
        <v>26</v>
      </c>
      <c r="E352" s="3">
        <v>26</v>
      </c>
      <c r="F352" s="2" t="s">
        <v>13907</v>
      </c>
      <c r="G352" s="22" t="s">
        <v>19357</v>
      </c>
      <c r="H352" s="24" t="s">
        <v>19538</v>
      </c>
      <c r="I352" s="22" t="s">
        <v>19309</v>
      </c>
      <c r="J352" s="22" t="s">
        <v>19417</v>
      </c>
      <c r="K352" s="22" t="s">
        <v>18317</v>
      </c>
      <c r="L352" s="22"/>
      <c r="M352" s="22"/>
      <c r="N352" s="25" t="str">
        <f>HYPERLINK("http://slimages.macys.com/is/image/MCY/21614828 ")</f>
        <v xml:space="preserve">http://slimages.macys.com/is/image/MCY/21614828 </v>
      </c>
    </row>
    <row r="353" spans="1:14" ht="24.75" x14ac:dyDescent="0.25">
      <c r="A353" s="21" t="s">
        <v>16635</v>
      </c>
      <c r="B353" s="22" t="s">
        <v>16636</v>
      </c>
      <c r="C353" s="2">
        <v>1</v>
      </c>
      <c r="D353" s="23">
        <v>8.99</v>
      </c>
      <c r="E353" s="3">
        <v>8.99</v>
      </c>
      <c r="F353" s="2" t="s">
        <v>16637</v>
      </c>
      <c r="G353" s="22" t="s">
        <v>19585</v>
      </c>
      <c r="H353" s="24" t="s">
        <v>19339</v>
      </c>
      <c r="I353" s="22" t="s">
        <v>19309</v>
      </c>
      <c r="J353" s="22" t="s">
        <v>19815</v>
      </c>
      <c r="K353" s="22" t="s">
        <v>19816</v>
      </c>
      <c r="L353" s="22"/>
      <c r="M353" s="22"/>
      <c r="N353" s="25" t="str">
        <f>HYPERLINK("http://slimages.macys.com/is/image/MCY/1424941 ")</f>
        <v xml:space="preserve">http://slimages.macys.com/is/image/MCY/1424941 </v>
      </c>
    </row>
    <row r="354" spans="1:14" ht="24.75" x14ac:dyDescent="0.25">
      <c r="A354" s="21" t="s">
        <v>13908</v>
      </c>
      <c r="B354" s="22" t="s">
        <v>13909</v>
      </c>
      <c r="C354" s="2">
        <v>1</v>
      </c>
      <c r="D354" s="23">
        <v>8.99</v>
      </c>
      <c r="E354" s="3">
        <v>8.99</v>
      </c>
      <c r="F354" s="2" t="s">
        <v>16637</v>
      </c>
      <c r="G354" s="22" t="s">
        <v>19404</v>
      </c>
      <c r="H354" s="24" t="s">
        <v>19352</v>
      </c>
      <c r="I354" s="22" t="s">
        <v>19309</v>
      </c>
      <c r="J354" s="22" t="s">
        <v>19815</v>
      </c>
      <c r="K354" s="22" t="s">
        <v>19816</v>
      </c>
      <c r="L354" s="22"/>
      <c r="M354" s="22"/>
      <c r="N354" s="25" t="str">
        <f>HYPERLINK("http://slimages.macys.com/is/image/MCY/21769912 ")</f>
        <v xml:space="preserve">http://slimages.macys.com/is/image/MCY/21769912 </v>
      </c>
    </row>
    <row r="355" spans="1:14" ht="24.75" x14ac:dyDescent="0.25">
      <c r="A355" s="21" t="s">
        <v>13910</v>
      </c>
      <c r="B355" s="22" t="s">
        <v>13911</v>
      </c>
      <c r="C355" s="2">
        <v>2</v>
      </c>
      <c r="D355" s="23">
        <v>8.99</v>
      </c>
      <c r="E355" s="3">
        <v>17.98</v>
      </c>
      <c r="F355" s="2" t="s">
        <v>16637</v>
      </c>
      <c r="G355" s="22" t="s">
        <v>19404</v>
      </c>
      <c r="H355" s="24" t="s">
        <v>19308</v>
      </c>
      <c r="I355" s="22" t="s">
        <v>19309</v>
      </c>
      <c r="J355" s="22" t="s">
        <v>19815</v>
      </c>
      <c r="K355" s="22" t="s">
        <v>19816</v>
      </c>
      <c r="L355" s="22"/>
      <c r="M355" s="22"/>
      <c r="N355" s="25" t="str">
        <f>HYPERLINK("http://slimages.macys.com/is/image/MCY/21769912 ")</f>
        <v xml:space="preserve">http://slimages.macys.com/is/image/MCY/21769912 </v>
      </c>
    </row>
    <row r="356" spans="1:14" ht="24.75" x14ac:dyDescent="0.25">
      <c r="A356" s="21" t="s">
        <v>13912</v>
      </c>
      <c r="B356" s="22" t="s">
        <v>13913</v>
      </c>
      <c r="C356" s="2">
        <v>2</v>
      </c>
      <c r="D356" s="23">
        <v>8.99</v>
      </c>
      <c r="E356" s="3">
        <v>17.98</v>
      </c>
      <c r="F356" s="2" t="s">
        <v>16637</v>
      </c>
      <c r="G356" s="22" t="s">
        <v>19404</v>
      </c>
      <c r="H356" s="24" t="s">
        <v>19364</v>
      </c>
      <c r="I356" s="22" t="s">
        <v>19309</v>
      </c>
      <c r="J356" s="22" t="s">
        <v>19815</v>
      </c>
      <c r="K356" s="22" t="s">
        <v>19816</v>
      </c>
      <c r="L356" s="22"/>
      <c r="M356" s="22"/>
      <c r="N356" s="25" t="str">
        <f>HYPERLINK("http://slimages.macys.com/is/image/MCY/21769912 ")</f>
        <v xml:space="preserve">http://slimages.macys.com/is/image/MCY/21769912 </v>
      </c>
    </row>
    <row r="357" spans="1:14" ht="24.75" x14ac:dyDescent="0.25">
      <c r="A357" s="21" t="s">
        <v>13914</v>
      </c>
      <c r="B357" s="22" t="s">
        <v>13915</v>
      </c>
      <c r="C357" s="2">
        <v>1</v>
      </c>
      <c r="D357" s="23">
        <v>11.99</v>
      </c>
      <c r="E357" s="3">
        <v>11.99</v>
      </c>
      <c r="F357" s="2" t="s">
        <v>16646</v>
      </c>
      <c r="G357" s="22" t="s">
        <v>19794</v>
      </c>
      <c r="H357" s="24" t="s">
        <v>19324</v>
      </c>
      <c r="I357" s="22" t="s">
        <v>19309</v>
      </c>
      <c r="J357" s="22" t="s">
        <v>19573</v>
      </c>
      <c r="K357" s="22" t="s">
        <v>19574</v>
      </c>
      <c r="L357" s="22"/>
      <c r="M357" s="22"/>
      <c r="N357" s="25" t="str">
        <f>HYPERLINK("http://slimages.macys.com/is/image/MCY/21209521 ")</f>
        <v xml:space="preserve">http://slimages.macys.com/is/image/MCY/21209521 </v>
      </c>
    </row>
    <row r="358" spans="1:14" ht="24.75" x14ac:dyDescent="0.25">
      <c r="A358" s="21" t="s">
        <v>13916</v>
      </c>
      <c r="B358" s="22" t="s">
        <v>13917</v>
      </c>
      <c r="C358" s="2">
        <v>1</v>
      </c>
      <c r="D358" s="23">
        <v>8.99</v>
      </c>
      <c r="E358" s="3">
        <v>8.99</v>
      </c>
      <c r="F358" s="2" t="s">
        <v>18622</v>
      </c>
      <c r="G358" s="22" t="s">
        <v>19467</v>
      </c>
      <c r="H358" s="24" t="s">
        <v>20135</v>
      </c>
      <c r="I358" s="22" t="s">
        <v>19309</v>
      </c>
      <c r="J358" s="22" t="s">
        <v>19815</v>
      </c>
      <c r="K358" s="22" t="s">
        <v>19816</v>
      </c>
      <c r="L358" s="22"/>
      <c r="M358" s="22"/>
      <c r="N358" s="25" t="str">
        <f>HYPERLINK("http://slimages.macys.com/is/image/MCY/20531081 ")</f>
        <v xml:space="preserve">http://slimages.macys.com/is/image/MCY/20531081 </v>
      </c>
    </row>
    <row r="359" spans="1:14" ht="24.75" x14ac:dyDescent="0.25">
      <c r="A359" s="21" t="s">
        <v>13918</v>
      </c>
      <c r="B359" s="22" t="s">
        <v>13919</v>
      </c>
      <c r="C359" s="2">
        <v>1</v>
      </c>
      <c r="D359" s="23">
        <v>8.99</v>
      </c>
      <c r="E359" s="3">
        <v>8.99</v>
      </c>
      <c r="F359" s="2" t="s">
        <v>18622</v>
      </c>
      <c r="G359" s="22" t="s">
        <v>19467</v>
      </c>
      <c r="H359" s="24" t="s">
        <v>19361</v>
      </c>
      <c r="I359" s="22" t="s">
        <v>19309</v>
      </c>
      <c r="J359" s="22" t="s">
        <v>19815</v>
      </c>
      <c r="K359" s="22" t="s">
        <v>19816</v>
      </c>
      <c r="L359" s="22"/>
      <c r="M359" s="22"/>
      <c r="N359" s="25" t="str">
        <f>HYPERLINK("http://slimages.macys.com/is/image/MCY/20531081 ")</f>
        <v xml:space="preserve">http://slimages.macys.com/is/image/MCY/20531081 </v>
      </c>
    </row>
    <row r="360" spans="1:14" ht="24.75" x14ac:dyDescent="0.25">
      <c r="A360" s="21" t="s">
        <v>13920</v>
      </c>
      <c r="B360" s="22" t="s">
        <v>13921</v>
      </c>
      <c r="C360" s="2">
        <v>1</v>
      </c>
      <c r="D360" s="23">
        <v>8.99</v>
      </c>
      <c r="E360" s="3">
        <v>8.99</v>
      </c>
      <c r="F360" s="2" t="s">
        <v>18622</v>
      </c>
      <c r="G360" s="22" t="s">
        <v>19467</v>
      </c>
      <c r="H360" s="24" t="s">
        <v>19432</v>
      </c>
      <c r="I360" s="22" t="s">
        <v>19309</v>
      </c>
      <c r="J360" s="22" t="s">
        <v>19815</v>
      </c>
      <c r="K360" s="22" t="s">
        <v>19816</v>
      </c>
      <c r="L360" s="22"/>
      <c r="M360" s="22"/>
      <c r="N360" s="25" t="str">
        <f>HYPERLINK("http://slimages.macys.com/is/image/MCY/20531081 ")</f>
        <v xml:space="preserve">http://slimages.macys.com/is/image/MCY/20531081 </v>
      </c>
    </row>
    <row r="361" spans="1:14" ht="24.75" x14ac:dyDescent="0.25">
      <c r="A361" s="21" t="s">
        <v>13922</v>
      </c>
      <c r="B361" s="22" t="s">
        <v>13923</v>
      </c>
      <c r="C361" s="2">
        <v>1</v>
      </c>
      <c r="D361" s="23">
        <v>8.99</v>
      </c>
      <c r="E361" s="3">
        <v>8.99</v>
      </c>
      <c r="F361" s="2" t="s">
        <v>18622</v>
      </c>
      <c r="G361" s="22" t="s">
        <v>19518</v>
      </c>
      <c r="H361" s="24" t="s">
        <v>19392</v>
      </c>
      <c r="I361" s="22" t="s">
        <v>19309</v>
      </c>
      <c r="J361" s="22" t="s">
        <v>19815</v>
      </c>
      <c r="K361" s="22" t="s">
        <v>19816</v>
      </c>
      <c r="L361" s="22"/>
      <c r="M361" s="22"/>
      <c r="N361" s="25" t="str">
        <f>HYPERLINK("http://slimages.macys.com/is/image/MCY/20531081 ")</f>
        <v xml:space="preserve">http://slimages.macys.com/is/image/MCY/20531081 </v>
      </c>
    </row>
    <row r="362" spans="1:14" ht="24.75" x14ac:dyDescent="0.25">
      <c r="A362" s="21" t="s">
        <v>13924</v>
      </c>
      <c r="B362" s="22" t="s">
        <v>13925</v>
      </c>
      <c r="C362" s="2">
        <v>1</v>
      </c>
      <c r="D362" s="23">
        <v>8.99</v>
      </c>
      <c r="E362" s="3">
        <v>8.99</v>
      </c>
      <c r="F362" s="2" t="s">
        <v>18622</v>
      </c>
      <c r="G362" s="22" t="s">
        <v>19518</v>
      </c>
      <c r="H362" s="24" t="s">
        <v>19432</v>
      </c>
      <c r="I362" s="22" t="s">
        <v>19309</v>
      </c>
      <c r="J362" s="22" t="s">
        <v>19815</v>
      </c>
      <c r="K362" s="22" t="s">
        <v>19816</v>
      </c>
      <c r="L362" s="22"/>
      <c r="M362" s="22"/>
      <c r="N362" s="25" t="str">
        <f>HYPERLINK("http://slimages.macys.com/is/image/MCY/20531082 ")</f>
        <v xml:space="preserve">http://slimages.macys.com/is/image/MCY/20531082 </v>
      </c>
    </row>
    <row r="363" spans="1:14" ht="24.75" x14ac:dyDescent="0.25">
      <c r="A363" s="21" t="s">
        <v>13926</v>
      </c>
      <c r="B363" s="22" t="s">
        <v>13927</v>
      </c>
      <c r="C363" s="2">
        <v>1</v>
      </c>
      <c r="D363" s="23">
        <v>8.99</v>
      </c>
      <c r="E363" s="3">
        <v>8.99</v>
      </c>
      <c r="F363" s="2" t="s">
        <v>18622</v>
      </c>
      <c r="G363" s="22" t="s">
        <v>19467</v>
      </c>
      <c r="H363" s="24" t="s">
        <v>19542</v>
      </c>
      <c r="I363" s="22" t="s">
        <v>19309</v>
      </c>
      <c r="J363" s="22" t="s">
        <v>19815</v>
      </c>
      <c r="K363" s="22" t="s">
        <v>19816</v>
      </c>
      <c r="L363" s="22"/>
      <c r="M363" s="22"/>
      <c r="N363" s="25" t="str">
        <f>HYPERLINK("http://slimages.macys.com/is/image/MCY/20531081 ")</f>
        <v xml:space="preserve">http://slimages.macys.com/is/image/MCY/20531081 </v>
      </c>
    </row>
    <row r="364" spans="1:14" ht="24.75" x14ac:dyDescent="0.25">
      <c r="A364" s="21" t="s">
        <v>13928</v>
      </c>
      <c r="B364" s="22" t="s">
        <v>13929</v>
      </c>
      <c r="C364" s="2">
        <v>1</v>
      </c>
      <c r="D364" s="23">
        <v>8.99</v>
      </c>
      <c r="E364" s="3">
        <v>8.99</v>
      </c>
      <c r="F364" s="2" t="s">
        <v>18622</v>
      </c>
      <c r="G364" s="22" t="s">
        <v>19518</v>
      </c>
      <c r="H364" s="24" t="s">
        <v>19361</v>
      </c>
      <c r="I364" s="22" t="s">
        <v>19309</v>
      </c>
      <c r="J364" s="22" t="s">
        <v>19815</v>
      </c>
      <c r="K364" s="22" t="s">
        <v>19816</v>
      </c>
      <c r="L364" s="22"/>
      <c r="M364" s="22"/>
      <c r="N364" s="25" t="str">
        <f>HYPERLINK("http://slimages.macys.com/is/image/MCY/20531081 ")</f>
        <v xml:space="preserve">http://slimages.macys.com/is/image/MCY/20531081 </v>
      </c>
    </row>
    <row r="365" spans="1:14" ht="24.75" x14ac:dyDescent="0.25">
      <c r="A365" s="21" t="s">
        <v>13930</v>
      </c>
      <c r="B365" s="22" t="s">
        <v>13931</v>
      </c>
      <c r="C365" s="2">
        <v>1</v>
      </c>
      <c r="D365" s="23">
        <v>10.99</v>
      </c>
      <c r="E365" s="3">
        <v>10.99</v>
      </c>
      <c r="F365" s="2" t="s">
        <v>13932</v>
      </c>
      <c r="G365" s="22" t="s">
        <v>19879</v>
      </c>
      <c r="H365" s="24" t="s">
        <v>19339</v>
      </c>
      <c r="I365" s="22" t="s">
        <v>19309</v>
      </c>
      <c r="J365" s="22" t="s">
        <v>19353</v>
      </c>
      <c r="K365" s="22" t="s">
        <v>19524</v>
      </c>
      <c r="L365" s="22"/>
      <c r="M365" s="22"/>
      <c r="N365" s="25" t="str">
        <f>HYPERLINK("http://slimages.macys.com/is/image/MCY/1111487 ")</f>
        <v xml:space="preserve">http://slimages.macys.com/is/image/MCY/1111487 </v>
      </c>
    </row>
    <row r="366" spans="1:14" ht="24.75" x14ac:dyDescent="0.25">
      <c r="A366" s="21" t="s">
        <v>18687</v>
      </c>
      <c r="B366" s="22" t="s">
        <v>18688</v>
      </c>
      <c r="C366" s="2">
        <v>1</v>
      </c>
      <c r="D366" s="23">
        <v>9.99</v>
      </c>
      <c r="E366" s="3">
        <v>9.99</v>
      </c>
      <c r="F366" s="2" t="s">
        <v>18689</v>
      </c>
      <c r="G366" s="22" t="s">
        <v>19351</v>
      </c>
      <c r="H366" s="24"/>
      <c r="I366" s="22" t="s">
        <v>19309</v>
      </c>
      <c r="J366" s="22" t="s">
        <v>19573</v>
      </c>
      <c r="K366" s="22" t="s">
        <v>19574</v>
      </c>
      <c r="L366" s="22"/>
      <c r="M366" s="22"/>
      <c r="N366" s="25" t="str">
        <f>HYPERLINK("http://slimages.macys.com/is/image/MCY/1699968 ")</f>
        <v xml:space="preserve">http://slimages.macys.com/is/image/MCY/1699968 </v>
      </c>
    </row>
    <row r="367" spans="1:14" ht="24.75" x14ac:dyDescent="0.25">
      <c r="A367" s="21" t="s">
        <v>13933</v>
      </c>
      <c r="B367" s="22" t="s">
        <v>13934</v>
      </c>
      <c r="C367" s="2">
        <v>1</v>
      </c>
      <c r="D367" s="23">
        <v>9.99</v>
      </c>
      <c r="E367" s="3">
        <v>9.99</v>
      </c>
      <c r="F367" s="2" t="s">
        <v>18689</v>
      </c>
      <c r="G367" s="22" t="s">
        <v>19351</v>
      </c>
      <c r="H367" s="24" t="s">
        <v>19384</v>
      </c>
      <c r="I367" s="22" t="s">
        <v>19309</v>
      </c>
      <c r="J367" s="22" t="s">
        <v>19573</v>
      </c>
      <c r="K367" s="22" t="s">
        <v>19574</v>
      </c>
      <c r="L367" s="22"/>
      <c r="M367" s="22"/>
      <c r="N367" s="25" t="str">
        <f>HYPERLINK("http://slimages.macys.com/is/image/MCY/1679025 ")</f>
        <v xml:space="preserve">http://slimages.macys.com/is/image/MCY/1679025 </v>
      </c>
    </row>
    <row r="368" spans="1:14" ht="24.75" x14ac:dyDescent="0.25">
      <c r="A368" s="21" t="s">
        <v>18692</v>
      </c>
      <c r="B368" s="22" t="s">
        <v>18693</v>
      </c>
      <c r="C368" s="2">
        <v>1</v>
      </c>
      <c r="D368" s="23">
        <v>9.99</v>
      </c>
      <c r="E368" s="3">
        <v>9.99</v>
      </c>
      <c r="F368" s="2" t="s">
        <v>18689</v>
      </c>
      <c r="G368" s="22" t="s">
        <v>19351</v>
      </c>
      <c r="H368" s="24" t="s">
        <v>19538</v>
      </c>
      <c r="I368" s="22" t="s">
        <v>19309</v>
      </c>
      <c r="J368" s="22" t="s">
        <v>19573</v>
      </c>
      <c r="K368" s="22" t="s">
        <v>19574</v>
      </c>
      <c r="L368" s="22"/>
      <c r="M368" s="22"/>
      <c r="N368" s="25" t="str">
        <f>HYPERLINK("http://slimages.macys.com/is/image/MCY/1679025 ")</f>
        <v xml:space="preserve">http://slimages.macys.com/is/image/MCY/1679025 </v>
      </c>
    </row>
    <row r="369" spans="1:14" ht="24.75" x14ac:dyDescent="0.25">
      <c r="A369" s="21" t="s">
        <v>13935</v>
      </c>
      <c r="B369" s="22" t="s">
        <v>13936</v>
      </c>
      <c r="C369" s="2">
        <v>1</v>
      </c>
      <c r="D369" s="23">
        <v>10.99</v>
      </c>
      <c r="E369" s="3">
        <v>10.99</v>
      </c>
      <c r="F369" s="2" t="s">
        <v>18702</v>
      </c>
      <c r="G369" s="22" t="s">
        <v>19670</v>
      </c>
      <c r="H369" s="24" t="s">
        <v>19797</v>
      </c>
      <c r="I369" s="22" t="s">
        <v>19309</v>
      </c>
      <c r="J369" s="22" t="s">
        <v>19353</v>
      </c>
      <c r="K369" s="22" t="s">
        <v>19524</v>
      </c>
      <c r="L369" s="22"/>
      <c r="M369" s="22"/>
      <c r="N369" s="25" t="str">
        <f>HYPERLINK("http://slimages.macys.com/is/image/MCY/1484637 ")</f>
        <v xml:space="preserve">http://slimages.macys.com/is/image/MCY/1484637 </v>
      </c>
    </row>
    <row r="370" spans="1:14" ht="24.75" x14ac:dyDescent="0.25">
      <c r="A370" s="21" t="s">
        <v>18700</v>
      </c>
      <c r="B370" s="22" t="s">
        <v>18701</v>
      </c>
      <c r="C370" s="2">
        <v>1</v>
      </c>
      <c r="D370" s="23">
        <v>10.99</v>
      </c>
      <c r="E370" s="3">
        <v>10.99</v>
      </c>
      <c r="F370" s="2" t="s">
        <v>18702</v>
      </c>
      <c r="G370" s="22" t="s">
        <v>19670</v>
      </c>
      <c r="H370" s="24" t="s">
        <v>19352</v>
      </c>
      <c r="I370" s="22" t="s">
        <v>19309</v>
      </c>
      <c r="J370" s="22" t="s">
        <v>19353</v>
      </c>
      <c r="K370" s="22" t="s">
        <v>19524</v>
      </c>
      <c r="L370" s="22"/>
      <c r="M370" s="22"/>
      <c r="N370" s="25" t="str">
        <f>HYPERLINK("http://slimages.macys.com/is/image/MCY/1484637 ")</f>
        <v xml:space="preserve">http://slimages.macys.com/is/image/MCY/1484637 </v>
      </c>
    </row>
    <row r="371" spans="1:14" ht="24.75" x14ac:dyDescent="0.25">
      <c r="A371" s="21" t="s">
        <v>13937</v>
      </c>
      <c r="B371" s="22" t="s">
        <v>13938</v>
      </c>
      <c r="C371" s="2">
        <v>2</v>
      </c>
      <c r="D371" s="23">
        <v>10.99</v>
      </c>
      <c r="E371" s="3">
        <v>21.98</v>
      </c>
      <c r="F371" s="2" t="s">
        <v>18702</v>
      </c>
      <c r="G371" s="22" t="s">
        <v>19670</v>
      </c>
      <c r="H371" s="24" t="s">
        <v>19364</v>
      </c>
      <c r="I371" s="22" t="s">
        <v>19309</v>
      </c>
      <c r="J371" s="22" t="s">
        <v>19353</v>
      </c>
      <c r="K371" s="22" t="s">
        <v>19524</v>
      </c>
      <c r="L371" s="22"/>
      <c r="M371" s="22"/>
      <c r="N371" s="25" t="str">
        <f>HYPERLINK("http://slimages.macys.com/is/image/MCY/1484637 ")</f>
        <v xml:space="preserve">http://slimages.macys.com/is/image/MCY/1484637 </v>
      </c>
    </row>
    <row r="372" spans="1:14" ht="24.75" x14ac:dyDescent="0.25">
      <c r="A372" s="21" t="s">
        <v>13939</v>
      </c>
      <c r="B372" s="22" t="s">
        <v>13940</v>
      </c>
      <c r="C372" s="2">
        <v>1</v>
      </c>
      <c r="D372" s="23">
        <v>12.99</v>
      </c>
      <c r="E372" s="3">
        <v>12.99</v>
      </c>
      <c r="F372" s="2" t="s">
        <v>13941</v>
      </c>
      <c r="G372" s="22"/>
      <c r="H372" s="24" t="s">
        <v>17505</v>
      </c>
      <c r="I372" s="22" t="s">
        <v>19309</v>
      </c>
      <c r="J372" s="22" t="s">
        <v>16678</v>
      </c>
      <c r="K372" s="22" t="s">
        <v>16679</v>
      </c>
      <c r="L372" s="22"/>
      <c r="M372" s="22"/>
      <c r="N372" s="25" t="str">
        <f>HYPERLINK("http://slimages.macys.com/is/image/MCY/20138306 ")</f>
        <v xml:space="preserve">http://slimages.macys.com/is/image/MCY/20138306 </v>
      </c>
    </row>
    <row r="373" spans="1:14" ht="24.75" x14ac:dyDescent="0.25">
      <c r="A373" s="21" t="s">
        <v>13942</v>
      </c>
      <c r="B373" s="22" t="s">
        <v>13943</v>
      </c>
      <c r="C373" s="2">
        <v>1</v>
      </c>
      <c r="D373" s="23">
        <v>7.99</v>
      </c>
      <c r="E373" s="3">
        <v>7.99</v>
      </c>
      <c r="F373" s="2" t="s">
        <v>18717</v>
      </c>
      <c r="G373" s="22" t="s">
        <v>19906</v>
      </c>
      <c r="H373" s="24" t="s">
        <v>19361</v>
      </c>
      <c r="I373" s="22" t="s">
        <v>19309</v>
      </c>
      <c r="J373" s="22" t="s">
        <v>19849</v>
      </c>
      <c r="K373" s="22" t="s">
        <v>19850</v>
      </c>
      <c r="L373" s="22"/>
      <c r="M373" s="22"/>
      <c r="N373" s="25" t="str">
        <f>HYPERLINK("http://slimages.macys.com/is/image/MCY/1928300 ")</f>
        <v xml:space="preserve">http://slimages.macys.com/is/image/MCY/1928300 </v>
      </c>
    </row>
    <row r="374" spans="1:14" ht="24.75" x14ac:dyDescent="0.25">
      <c r="A374" s="21" t="s">
        <v>13944</v>
      </c>
      <c r="B374" s="22" t="s">
        <v>13945</v>
      </c>
      <c r="C374" s="2">
        <v>2</v>
      </c>
      <c r="D374" s="23">
        <v>10.99</v>
      </c>
      <c r="E374" s="3">
        <v>21.98</v>
      </c>
      <c r="F374" s="2" t="s">
        <v>13946</v>
      </c>
      <c r="G374" s="22" t="s">
        <v>19674</v>
      </c>
      <c r="H374" s="24" t="s">
        <v>19797</v>
      </c>
      <c r="I374" s="22" t="s">
        <v>19309</v>
      </c>
      <c r="J374" s="22" t="s">
        <v>19353</v>
      </c>
      <c r="K374" s="22" t="s">
        <v>19524</v>
      </c>
      <c r="L374" s="22"/>
      <c r="M374" s="22"/>
      <c r="N374" s="25" t="str">
        <f>HYPERLINK("http://slimages.macys.com/is/image/MCY/21083376 ")</f>
        <v xml:space="preserve">http://slimages.macys.com/is/image/MCY/21083376 </v>
      </c>
    </row>
    <row r="375" spans="1:14" ht="24.75" x14ac:dyDescent="0.25">
      <c r="A375" s="21" t="s">
        <v>13947</v>
      </c>
      <c r="B375" s="22" t="s">
        <v>13948</v>
      </c>
      <c r="C375" s="2">
        <v>1</v>
      </c>
      <c r="D375" s="23">
        <v>10.99</v>
      </c>
      <c r="E375" s="3">
        <v>10.99</v>
      </c>
      <c r="F375" s="2" t="s">
        <v>18711</v>
      </c>
      <c r="G375" s="22" t="s">
        <v>19338</v>
      </c>
      <c r="H375" s="24" t="s">
        <v>19364</v>
      </c>
      <c r="I375" s="22" t="s">
        <v>19309</v>
      </c>
      <c r="J375" s="22" t="s">
        <v>19353</v>
      </c>
      <c r="K375" s="22" t="s">
        <v>19524</v>
      </c>
      <c r="L375" s="22"/>
      <c r="M375" s="22"/>
      <c r="N375" s="25" t="str">
        <f>HYPERLINK("http://slimages.macys.com/is/image/MCY/21694514 ")</f>
        <v xml:space="preserve">http://slimages.macys.com/is/image/MCY/21694514 </v>
      </c>
    </row>
    <row r="376" spans="1:14" ht="24.75" x14ac:dyDescent="0.25">
      <c r="A376" s="21" t="s">
        <v>16344</v>
      </c>
      <c r="B376" s="22" t="s">
        <v>16345</v>
      </c>
      <c r="C376" s="2">
        <v>1</v>
      </c>
      <c r="D376" s="23">
        <v>7.99</v>
      </c>
      <c r="E376" s="3">
        <v>7.99</v>
      </c>
      <c r="F376" s="2" t="s">
        <v>18714</v>
      </c>
      <c r="G376" s="22" t="s">
        <v>20145</v>
      </c>
      <c r="H376" s="24" t="s">
        <v>19345</v>
      </c>
      <c r="I376" s="22" t="s">
        <v>19309</v>
      </c>
      <c r="J376" s="22" t="s">
        <v>19310</v>
      </c>
      <c r="K376" s="22" t="s">
        <v>19468</v>
      </c>
      <c r="L376" s="22"/>
      <c r="M376" s="22"/>
      <c r="N376" s="25" t="str">
        <f>HYPERLINK("http://slimages.macys.com/is/image/MCY/21616102 ")</f>
        <v xml:space="preserve">http://slimages.macys.com/is/image/MCY/21616102 </v>
      </c>
    </row>
    <row r="377" spans="1:14" ht="24.75" x14ac:dyDescent="0.25">
      <c r="A377" s="21" t="s">
        <v>13949</v>
      </c>
      <c r="B377" s="22" t="s">
        <v>13950</v>
      </c>
      <c r="C377" s="2">
        <v>2</v>
      </c>
      <c r="D377" s="23">
        <v>10.99</v>
      </c>
      <c r="E377" s="3">
        <v>21.98</v>
      </c>
      <c r="F377" s="2" t="s">
        <v>13951</v>
      </c>
      <c r="G377" s="22" t="s">
        <v>19618</v>
      </c>
      <c r="H377" s="24" t="s">
        <v>19797</v>
      </c>
      <c r="I377" s="22" t="s">
        <v>19309</v>
      </c>
      <c r="J377" s="22" t="s">
        <v>19353</v>
      </c>
      <c r="K377" s="22" t="s">
        <v>19524</v>
      </c>
      <c r="L377" s="22"/>
      <c r="M377" s="22"/>
      <c r="N377" s="25" t="str">
        <f>HYPERLINK("http://slimages.macys.com/is/image/MCY/21694521 ")</f>
        <v xml:space="preserve">http://slimages.macys.com/is/image/MCY/21694521 </v>
      </c>
    </row>
    <row r="378" spans="1:14" ht="24.75" x14ac:dyDescent="0.25">
      <c r="A378" s="21" t="s">
        <v>13952</v>
      </c>
      <c r="B378" s="22" t="s">
        <v>13953</v>
      </c>
      <c r="C378" s="2">
        <v>3</v>
      </c>
      <c r="D378" s="23">
        <v>10.99</v>
      </c>
      <c r="E378" s="3">
        <v>32.97</v>
      </c>
      <c r="F378" s="2" t="s">
        <v>13951</v>
      </c>
      <c r="G378" s="22" t="s">
        <v>19618</v>
      </c>
      <c r="H378" s="24" t="s">
        <v>19352</v>
      </c>
      <c r="I378" s="22" t="s">
        <v>19309</v>
      </c>
      <c r="J378" s="22" t="s">
        <v>19353</v>
      </c>
      <c r="K378" s="22" t="s">
        <v>19524</v>
      </c>
      <c r="L378" s="22"/>
      <c r="M378" s="22"/>
      <c r="N378" s="25" t="str">
        <f>HYPERLINK("http://slimages.macys.com/is/image/MCY/21694521 ")</f>
        <v xml:space="preserve">http://slimages.macys.com/is/image/MCY/21694521 </v>
      </c>
    </row>
    <row r="379" spans="1:14" ht="24.75" x14ac:dyDescent="0.25">
      <c r="A379" s="21" t="s">
        <v>13954</v>
      </c>
      <c r="B379" s="22" t="s">
        <v>13955</v>
      </c>
      <c r="C379" s="2">
        <v>1</v>
      </c>
      <c r="D379" s="23">
        <v>10.99</v>
      </c>
      <c r="E379" s="3">
        <v>10.99</v>
      </c>
      <c r="F379" s="2" t="s">
        <v>13951</v>
      </c>
      <c r="G379" s="22" t="s">
        <v>19618</v>
      </c>
      <c r="H379" s="24" t="s">
        <v>19339</v>
      </c>
      <c r="I379" s="22" t="s">
        <v>19309</v>
      </c>
      <c r="J379" s="22" t="s">
        <v>19353</v>
      </c>
      <c r="K379" s="22" t="s">
        <v>19524</v>
      </c>
      <c r="L379" s="22"/>
      <c r="M379" s="22"/>
      <c r="N379" s="25" t="str">
        <f>HYPERLINK("http://slimages.macys.com/is/image/MCY/21694521 ")</f>
        <v xml:space="preserve">http://slimages.macys.com/is/image/MCY/21694521 </v>
      </c>
    </row>
    <row r="380" spans="1:14" ht="24.75" x14ac:dyDescent="0.25">
      <c r="A380" s="21" t="s">
        <v>13956</v>
      </c>
      <c r="B380" s="22" t="s">
        <v>13957</v>
      </c>
      <c r="C380" s="2">
        <v>3</v>
      </c>
      <c r="D380" s="23">
        <v>10.99</v>
      </c>
      <c r="E380" s="3">
        <v>32.97</v>
      </c>
      <c r="F380" s="2" t="s">
        <v>13951</v>
      </c>
      <c r="G380" s="22" t="s">
        <v>19618</v>
      </c>
      <c r="H380" s="24" t="s">
        <v>19364</v>
      </c>
      <c r="I380" s="22" t="s">
        <v>19309</v>
      </c>
      <c r="J380" s="22" t="s">
        <v>19353</v>
      </c>
      <c r="K380" s="22" t="s">
        <v>19524</v>
      </c>
      <c r="L380" s="22"/>
      <c r="M380" s="22"/>
      <c r="N380" s="25" t="str">
        <f>HYPERLINK("http://slimages.macys.com/is/image/MCY/21694521 ")</f>
        <v xml:space="preserve">http://slimages.macys.com/is/image/MCY/21694521 </v>
      </c>
    </row>
    <row r="381" spans="1:14" ht="24.75" x14ac:dyDescent="0.25">
      <c r="A381" s="21" t="s">
        <v>16710</v>
      </c>
      <c r="B381" s="22" t="s">
        <v>16711</v>
      </c>
      <c r="C381" s="2">
        <v>1</v>
      </c>
      <c r="D381" s="23">
        <v>10.99</v>
      </c>
      <c r="E381" s="3">
        <v>10.99</v>
      </c>
      <c r="F381" s="2" t="s">
        <v>18732</v>
      </c>
      <c r="G381" s="22" t="s">
        <v>18439</v>
      </c>
      <c r="H381" s="24" t="s">
        <v>19339</v>
      </c>
      <c r="I381" s="22" t="s">
        <v>19309</v>
      </c>
      <c r="J381" s="22" t="s">
        <v>19353</v>
      </c>
      <c r="K381" s="22" t="s">
        <v>19524</v>
      </c>
      <c r="L381" s="22"/>
      <c r="M381" s="22"/>
      <c r="N381" s="25" t="str">
        <f>HYPERLINK("http://slimages.macys.com/is/image/MCY/1472546 ")</f>
        <v xml:space="preserve">http://slimages.macys.com/is/image/MCY/1472546 </v>
      </c>
    </row>
    <row r="382" spans="1:14" ht="24.75" x14ac:dyDescent="0.25">
      <c r="A382" s="21" t="s">
        <v>13958</v>
      </c>
      <c r="B382" s="22" t="s">
        <v>13959</v>
      </c>
      <c r="C382" s="2">
        <v>1</v>
      </c>
      <c r="D382" s="23">
        <v>11.99</v>
      </c>
      <c r="E382" s="3">
        <v>11.99</v>
      </c>
      <c r="F382" s="2" t="s">
        <v>13960</v>
      </c>
      <c r="G382" s="22" t="s">
        <v>19323</v>
      </c>
      <c r="H382" s="24" t="s">
        <v>19542</v>
      </c>
      <c r="I382" s="22" t="s">
        <v>19309</v>
      </c>
      <c r="J382" s="22" t="s">
        <v>19908</v>
      </c>
      <c r="K382" s="22" t="s">
        <v>19524</v>
      </c>
      <c r="L382" s="22"/>
      <c r="M382" s="22"/>
      <c r="N382" s="25" t="str">
        <f>HYPERLINK("http://slimages.macys.com/is/image/MCY/19072790 ")</f>
        <v xml:space="preserve">http://slimages.macys.com/is/image/MCY/19072790 </v>
      </c>
    </row>
    <row r="383" spans="1:14" ht="24.75" x14ac:dyDescent="0.25">
      <c r="A383" s="21" t="s">
        <v>18730</v>
      </c>
      <c r="B383" s="22" t="s">
        <v>18731</v>
      </c>
      <c r="C383" s="2">
        <v>1</v>
      </c>
      <c r="D383" s="23">
        <v>10.99</v>
      </c>
      <c r="E383" s="3">
        <v>10.99</v>
      </c>
      <c r="F383" s="2" t="s">
        <v>18732</v>
      </c>
      <c r="G383" s="22" t="s">
        <v>18439</v>
      </c>
      <c r="H383" s="24" t="s">
        <v>19352</v>
      </c>
      <c r="I383" s="22" t="s">
        <v>19309</v>
      </c>
      <c r="J383" s="22" t="s">
        <v>19353</v>
      </c>
      <c r="K383" s="22" t="s">
        <v>19524</v>
      </c>
      <c r="L383" s="22"/>
      <c r="M383" s="22"/>
      <c r="N383" s="25" t="str">
        <f>HYPERLINK("http://slimages.macys.com/is/image/MCY/1472546 ")</f>
        <v xml:space="preserve">http://slimages.macys.com/is/image/MCY/1472546 </v>
      </c>
    </row>
    <row r="384" spans="1:14" x14ac:dyDescent="0.25">
      <c r="A384" s="21" t="s">
        <v>18747</v>
      </c>
      <c r="B384" s="22" t="s">
        <v>18748</v>
      </c>
      <c r="C384" s="2">
        <v>1</v>
      </c>
      <c r="D384" s="23">
        <v>11.38</v>
      </c>
      <c r="E384" s="3">
        <v>11.38</v>
      </c>
      <c r="F384" s="2" t="s">
        <v>18749</v>
      </c>
      <c r="G384" s="22"/>
      <c r="H384" s="24" t="s">
        <v>19416</v>
      </c>
      <c r="I384" s="22" t="s">
        <v>19309</v>
      </c>
      <c r="J384" s="22" t="s">
        <v>19708</v>
      </c>
      <c r="K384" s="22" t="s">
        <v>19709</v>
      </c>
      <c r="L384" s="22"/>
      <c r="M384" s="22"/>
      <c r="N384" s="25" t="str">
        <f>HYPERLINK("http://slimages.macys.com/is/image/MCY/21414119 ")</f>
        <v xml:space="preserve">http://slimages.macys.com/is/image/MCY/21414119 </v>
      </c>
    </row>
    <row r="385" spans="1:14" x14ac:dyDescent="0.25">
      <c r="A385" s="21" t="s">
        <v>13961</v>
      </c>
      <c r="B385" s="22" t="s">
        <v>13962</v>
      </c>
      <c r="C385" s="2">
        <v>1</v>
      </c>
      <c r="D385" s="23">
        <v>11.38</v>
      </c>
      <c r="E385" s="3">
        <v>11.38</v>
      </c>
      <c r="F385" s="2" t="s">
        <v>13963</v>
      </c>
      <c r="G385" s="22"/>
      <c r="H385" s="24" t="s">
        <v>20159</v>
      </c>
      <c r="I385" s="22" t="s">
        <v>19309</v>
      </c>
      <c r="J385" s="22" t="s">
        <v>19708</v>
      </c>
      <c r="K385" s="22" t="s">
        <v>19709</v>
      </c>
      <c r="L385" s="22"/>
      <c r="M385" s="22"/>
      <c r="N385" s="25" t="str">
        <f>HYPERLINK("http://slimages.macys.com/is/image/MCY/21414194 ")</f>
        <v xml:space="preserve">http://slimages.macys.com/is/image/MCY/21414194 </v>
      </c>
    </row>
    <row r="386" spans="1:14" x14ac:dyDescent="0.25">
      <c r="A386" s="21" t="s">
        <v>16373</v>
      </c>
      <c r="B386" s="22" t="s">
        <v>16374</v>
      </c>
      <c r="C386" s="2">
        <v>1</v>
      </c>
      <c r="D386" s="23">
        <v>11.38</v>
      </c>
      <c r="E386" s="3">
        <v>11.38</v>
      </c>
      <c r="F386" s="2" t="s">
        <v>16739</v>
      </c>
      <c r="G386" s="22" t="s">
        <v>19594</v>
      </c>
      <c r="H386" s="24" t="s">
        <v>19367</v>
      </c>
      <c r="I386" s="22" t="s">
        <v>19309</v>
      </c>
      <c r="J386" s="22" t="s">
        <v>19708</v>
      </c>
      <c r="K386" s="22" t="s">
        <v>19709</v>
      </c>
      <c r="L386" s="22"/>
      <c r="M386" s="22"/>
      <c r="N386" s="25" t="str">
        <f>HYPERLINK("http://slimages.macys.com/is/image/MCY/21414308 ")</f>
        <v xml:space="preserve">http://slimages.macys.com/is/image/MCY/21414308 </v>
      </c>
    </row>
    <row r="387" spans="1:14" x14ac:dyDescent="0.25">
      <c r="A387" s="21" t="s">
        <v>18752</v>
      </c>
      <c r="B387" s="22" t="s">
        <v>18753</v>
      </c>
      <c r="C387" s="2">
        <v>1</v>
      </c>
      <c r="D387" s="23">
        <v>11.99</v>
      </c>
      <c r="E387" s="3">
        <v>11.99</v>
      </c>
      <c r="F387" s="2" t="s">
        <v>18754</v>
      </c>
      <c r="G387" s="22" t="s">
        <v>18439</v>
      </c>
      <c r="H387" s="24" t="s">
        <v>19339</v>
      </c>
      <c r="I387" s="22" t="s">
        <v>19309</v>
      </c>
      <c r="J387" s="22" t="s">
        <v>19849</v>
      </c>
      <c r="K387" s="22" t="s">
        <v>19850</v>
      </c>
      <c r="L387" s="22"/>
      <c r="M387" s="22"/>
      <c r="N387" s="25" t="str">
        <f>HYPERLINK("http://slimages.macys.com/is/image/MCY/21956286 ")</f>
        <v xml:space="preserve">http://slimages.macys.com/is/image/MCY/21956286 </v>
      </c>
    </row>
    <row r="388" spans="1:14" ht="24.75" x14ac:dyDescent="0.25">
      <c r="A388" s="21" t="s">
        <v>13964</v>
      </c>
      <c r="B388" s="22" t="s">
        <v>13965</v>
      </c>
      <c r="C388" s="2">
        <v>1</v>
      </c>
      <c r="D388" s="23">
        <v>10.99</v>
      </c>
      <c r="E388" s="3">
        <v>10.99</v>
      </c>
      <c r="F388" s="2" t="s">
        <v>18763</v>
      </c>
      <c r="G388" s="22" t="s">
        <v>18764</v>
      </c>
      <c r="H388" s="24" t="s">
        <v>19324</v>
      </c>
      <c r="I388" s="22" t="s">
        <v>19309</v>
      </c>
      <c r="J388" s="22" t="s">
        <v>19573</v>
      </c>
      <c r="K388" s="22" t="s">
        <v>19574</v>
      </c>
      <c r="L388" s="22"/>
      <c r="M388" s="22"/>
      <c r="N388" s="25" t="str">
        <f>HYPERLINK("http://slimages.macys.com/is/image/MCY/17720840 ")</f>
        <v xml:space="preserve">http://slimages.macys.com/is/image/MCY/17720840 </v>
      </c>
    </row>
    <row r="389" spans="1:14" ht="24.75" x14ac:dyDescent="0.25">
      <c r="A389" s="21" t="s">
        <v>13966</v>
      </c>
      <c r="B389" s="22" t="s">
        <v>13967</v>
      </c>
      <c r="C389" s="2">
        <v>1</v>
      </c>
      <c r="D389" s="23">
        <v>10.99</v>
      </c>
      <c r="E389" s="3">
        <v>10.99</v>
      </c>
      <c r="F389" s="2" t="s">
        <v>16382</v>
      </c>
      <c r="G389" s="22" t="s">
        <v>19462</v>
      </c>
      <c r="H389" s="24" t="s">
        <v>19364</v>
      </c>
      <c r="I389" s="22" t="s">
        <v>19309</v>
      </c>
      <c r="J389" s="22" t="s">
        <v>19353</v>
      </c>
      <c r="K389" s="22" t="s">
        <v>19524</v>
      </c>
      <c r="L389" s="22"/>
      <c r="M389" s="22"/>
      <c r="N389" s="25" t="str">
        <f>HYPERLINK("http://slimages.macys.com/is/image/MCY/21733964 ")</f>
        <v xml:space="preserve">http://slimages.macys.com/is/image/MCY/21733964 </v>
      </c>
    </row>
    <row r="390" spans="1:14" ht="24.75" x14ac:dyDescent="0.25">
      <c r="A390" s="21" t="s">
        <v>13968</v>
      </c>
      <c r="B390" s="22" t="s">
        <v>13969</v>
      </c>
      <c r="C390" s="2">
        <v>1</v>
      </c>
      <c r="D390" s="23">
        <v>10.99</v>
      </c>
      <c r="E390" s="3">
        <v>10.99</v>
      </c>
      <c r="F390" s="2" t="s">
        <v>13970</v>
      </c>
      <c r="G390" s="22" t="s">
        <v>18439</v>
      </c>
      <c r="H390" s="24" t="s">
        <v>19364</v>
      </c>
      <c r="I390" s="22" t="s">
        <v>19309</v>
      </c>
      <c r="J390" s="22" t="s">
        <v>19353</v>
      </c>
      <c r="K390" s="22" t="s">
        <v>19524</v>
      </c>
      <c r="L390" s="22"/>
      <c r="M390" s="22"/>
      <c r="N390" s="25" t="str">
        <f>HYPERLINK("http://slimages.macys.com/is/image/MCY/1571040 ")</f>
        <v xml:space="preserve">http://slimages.macys.com/is/image/MCY/1571040 </v>
      </c>
    </row>
    <row r="391" spans="1:14" ht="24.75" x14ac:dyDescent="0.25">
      <c r="A391" s="21" t="s">
        <v>13971</v>
      </c>
      <c r="B391" s="22" t="s">
        <v>13972</v>
      </c>
      <c r="C391" s="2">
        <v>1</v>
      </c>
      <c r="D391" s="23">
        <v>10.99</v>
      </c>
      <c r="E391" s="3">
        <v>10.99</v>
      </c>
      <c r="F391" s="2" t="s">
        <v>13970</v>
      </c>
      <c r="G391" s="22" t="s">
        <v>18439</v>
      </c>
      <c r="H391" s="24" t="s">
        <v>19797</v>
      </c>
      <c r="I391" s="22" t="s">
        <v>19309</v>
      </c>
      <c r="J391" s="22" t="s">
        <v>19353</v>
      </c>
      <c r="K391" s="22" t="s">
        <v>19524</v>
      </c>
      <c r="L391" s="22"/>
      <c r="M391" s="22"/>
      <c r="N391" s="25" t="str">
        <f>HYPERLINK("http://slimages.macys.com/is/image/MCY/1571017 ")</f>
        <v xml:space="preserve">http://slimages.macys.com/is/image/MCY/1571017 </v>
      </c>
    </row>
    <row r="392" spans="1:14" ht="24.75" x14ac:dyDescent="0.25">
      <c r="A392" s="21" t="s">
        <v>13973</v>
      </c>
      <c r="B392" s="22" t="s">
        <v>13974</v>
      </c>
      <c r="C392" s="2">
        <v>1</v>
      </c>
      <c r="D392" s="23">
        <v>10.99</v>
      </c>
      <c r="E392" s="3">
        <v>10.99</v>
      </c>
      <c r="F392" s="2" t="s">
        <v>13970</v>
      </c>
      <c r="G392" s="22" t="s">
        <v>19422</v>
      </c>
      <c r="H392" s="24" t="s">
        <v>19352</v>
      </c>
      <c r="I392" s="22" t="s">
        <v>19309</v>
      </c>
      <c r="J392" s="22" t="s">
        <v>19353</v>
      </c>
      <c r="K392" s="22" t="s">
        <v>19524</v>
      </c>
      <c r="L392" s="22"/>
      <c r="M392" s="22"/>
      <c r="N392" s="25" t="str">
        <f>HYPERLINK("http://slimages.macys.com/is/image/MCY/1571017 ")</f>
        <v xml:space="preserve">http://slimages.macys.com/is/image/MCY/1571017 </v>
      </c>
    </row>
    <row r="393" spans="1:14" ht="24.75" x14ac:dyDescent="0.25">
      <c r="A393" s="21" t="s">
        <v>13975</v>
      </c>
      <c r="B393" s="22" t="s">
        <v>13976</v>
      </c>
      <c r="C393" s="2">
        <v>1</v>
      </c>
      <c r="D393" s="23">
        <v>10.99</v>
      </c>
      <c r="E393" s="3">
        <v>10.99</v>
      </c>
      <c r="F393" s="2" t="s">
        <v>13970</v>
      </c>
      <c r="G393" s="22" t="s">
        <v>19422</v>
      </c>
      <c r="H393" s="24" t="s">
        <v>19364</v>
      </c>
      <c r="I393" s="22" t="s">
        <v>19309</v>
      </c>
      <c r="J393" s="22" t="s">
        <v>19353</v>
      </c>
      <c r="K393" s="22" t="s">
        <v>19524</v>
      </c>
      <c r="L393" s="22"/>
      <c r="M393" s="22"/>
      <c r="N393" s="25" t="str">
        <f>HYPERLINK("http://slimages.macys.com/is/image/MCY/1571017 ")</f>
        <v xml:space="preserve">http://slimages.macys.com/is/image/MCY/1571017 </v>
      </c>
    </row>
    <row r="394" spans="1:14" ht="24.75" x14ac:dyDescent="0.25">
      <c r="A394" s="21" t="s">
        <v>13977</v>
      </c>
      <c r="B394" s="22" t="s">
        <v>13978</v>
      </c>
      <c r="C394" s="2">
        <v>1</v>
      </c>
      <c r="D394" s="23">
        <v>10.99</v>
      </c>
      <c r="E394" s="3">
        <v>10.99</v>
      </c>
      <c r="F394" s="2" t="s">
        <v>13979</v>
      </c>
      <c r="G394" s="22" t="s">
        <v>19477</v>
      </c>
      <c r="H394" s="24" t="s">
        <v>19538</v>
      </c>
      <c r="I394" s="22" t="s">
        <v>19309</v>
      </c>
      <c r="J394" s="22" t="s">
        <v>19573</v>
      </c>
      <c r="K394" s="22" t="s">
        <v>19574</v>
      </c>
      <c r="L394" s="22"/>
      <c r="M394" s="22"/>
      <c r="N394" s="25" t="str">
        <f>HYPERLINK("http://slimages.macys.com/is/image/MCY/1290284 ")</f>
        <v xml:space="preserve">http://slimages.macys.com/is/image/MCY/1290284 </v>
      </c>
    </row>
    <row r="395" spans="1:14" ht="24.75" x14ac:dyDescent="0.25">
      <c r="A395" s="21" t="s">
        <v>13980</v>
      </c>
      <c r="B395" s="22" t="s">
        <v>13981</v>
      </c>
      <c r="C395" s="2">
        <v>1</v>
      </c>
      <c r="D395" s="23">
        <v>10.99</v>
      </c>
      <c r="E395" s="3">
        <v>10.99</v>
      </c>
      <c r="F395" s="2" t="s">
        <v>18785</v>
      </c>
      <c r="G395" s="22" t="s">
        <v>19585</v>
      </c>
      <c r="H395" s="24"/>
      <c r="I395" s="22" t="s">
        <v>19309</v>
      </c>
      <c r="J395" s="22" t="s">
        <v>19573</v>
      </c>
      <c r="K395" s="22" t="s">
        <v>19574</v>
      </c>
      <c r="L395" s="22"/>
      <c r="M395" s="22"/>
      <c r="N395" s="25" t="str">
        <f>HYPERLINK("http://slimages.macys.com/is/image/MCY/20551163 ")</f>
        <v xml:space="preserve">http://slimages.macys.com/is/image/MCY/20551163 </v>
      </c>
    </row>
    <row r="396" spans="1:14" ht="24.75" x14ac:dyDescent="0.25">
      <c r="A396" s="21" t="s">
        <v>16386</v>
      </c>
      <c r="B396" s="22" t="s">
        <v>16387</v>
      </c>
      <c r="C396" s="2">
        <v>1</v>
      </c>
      <c r="D396" s="23">
        <v>8.89</v>
      </c>
      <c r="E396" s="3">
        <v>8.89</v>
      </c>
      <c r="F396" s="2" t="s">
        <v>16388</v>
      </c>
      <c r="G396" s="22" t="s">
        <v>19630</v>
      </c>
      <c r="H396" s="24" t="s">
        <v>19308</v>
      </c>
      <c r="I396" s="22" t="s">
        <v>19309</v>
      </c>
      <c r="J396" s="22" t="s">
        <v>19565</v>
      </c>
      <c r="K396" s="22" t="s">
        <v>18514</v>
      </c>
      <c r="L396" s="22"/>
      <c r="M396" s="22"/>
      <c r="N396" s="25" t="str">
        <f>HYPERLINK("http://slimages.macys.com/is/image/MCY/21149762 ")</f>
        <v xml:space="preserve">http://slimages.macys.com/is/image/MCY/21149762 </v>
      </c>
    </row>
    <row r="397" spans="1:14" ht="24.75" x14ac:dyDescent="0.25">
      <c r="A397" s="21" t="s">
        <v>18791</v>
      </c>
      <c r="B397" s="22" t="s">
        <v>18792</v>
      </c>
      <c r="C397" s="2">
        <v>1</v>
      </c>
      <c r="D397" s="23">
        <v>8.89</v>
      </c>
      <c r="E397" s="3">
        <v>8.89</v>
      </c>
      <c r="F397" s="2" t="s">
        <v>18790</v>
      </c>
      <c r="G397" s="22" t="s">
        <v>19618</v>
      </c>
      <c r="H397" s="24" t="s">
        <v>19308</v>
      </c>
      <c r="I397" s="22" t="s">
        <v>19309</v>
      </c>
      <c r="J397" s="22" t="s">
        <v>19565</v>
      </c>
      <c r="K397" s="22" t="s">
        <v>18514</v>
      </c>
      <c r="L397" s="22"/>
      <c r="M397" s="22"/>
      <c r="N397" s="25" t="str">
        <f>HYPERLINK("http://slimages.macys.com/is/image/MCY/21621971 ")</f>
        <v xml:space="preserve">http://slimages.macys.com/is/image/MCY/21621971 </v>
      </c>
    </row>
    <row r="398" spans="1:14" x14ac:dyDescent="0.25">
      <c r="A398" s="21" t="s">
        <v>13982</v>
      </c>
      <c r="B398" s="22" t="s">
        <v>13983</v>
      </c>
      <c r="C398" s="2">
        <v>1</v>
      </c>
      <c r="D398" s="23">
        <v>8.99</v>
      </c>
      <c r="E398" s="3">
        <v>8.99</v>
      </c>
      <c r="F398" s="2" t="s">
        <v>16396</v>
      </c>
      <c r="G398" s="22" t="s">
        <v>19618</v>
      </c>
      <c r="H398" s="24" t="s">
        <v>19361</v>
      </c>
      <c r="I398" s="22" t="s">
        <v>19309</v>
      </c>
      <c r="J398" s="22" t="s">
        <v>19849</v>
      </c>
      <c r="K398" s="22" t="s">
        <v>19850</v>
      </c>
      <c r="L398" s="22"/>
      <c r="M398" s="22"/>
      <c r="N398" s="25" t="str">
        <f>HYPERLINK("http://slimages.macys.com/is/image/MCY/19068331 ")</f>
        <v xml:space="preserve">http://slimages.macys.com/is/image/MCY/19068331 </v>
      </c>
    </row>
    <row r="399" spans="1:14" ht="24.75" x14ac:dyDescent="0.25">
      <c r="A399" s="21" t="s">
        <v>13984</v>
      </c>
      <c r="B399" s="22" t="s">
        <v>13985</v>
      </c>
      <c r="C399" s="2">
        <v>1</v>
      </c>
      <c r="D399" s="23">
        <v>11.99</v>
      </c>
      <c r="E399" s="3">
        <v>11.99</v>
      </c>
      <c r="F399" s="2" t="s">
        <v>13986</v>
      </c>
      <c r="G399" s="22" t="s">
        <v>19431</v>
      </c>
      <c r="H399" s="24" t="s">
        <v>19324</v>
      </c>
      <c r="I399" s="22" t="s">
        <v>19309</v>
      </c>
      <c r="J399" s="22" t="s">
        <v>19573</v>
      </c>
      <c r="K399" s="22" t="s">
        <v>19574</v>
      </c>
      <c r="L399" s="22"/>
      <c r="M399" s="22"/>
      <c r="N399" s="25" t="str">
        <f>HYPERLINK("http://slimages.macys.com/is/image/MCY/1439098 ")</f>
        <v xml:space="preserve">http://slimages.macys.com/is/image/MCY/1439098 </v>
      </c>
    </row>
    <row r="400" spans="1:14" ht="24.75" x14ac:dyDescent="0.25">
      <c r="A400" s="21" t="s">
        <v>13987</v>
      </c>
      <c r="B400" s="22" t="s">
        <v>13988</v>
      </c>
      <c r="C400" s="2">
        <v>1</v>
      </c>
      <c r="D400" s="23">
        <v>11.99</v>
      </c>
      <c r="E400" s="3">
        <v>11.99</v>
      </c>
      <c r="F400" s="2" t="s">
        <v>13989</v>
      </c>
      <c r="G400" s="22" t="s">
        <v>19315</v>
      </c>
      <c r="H400" s="24" t="s">
        <v>19361</v>
      </c>
      <c r="I400" s="22" t="s">
        <v>19309</v>
      </c>
      <c r="J400" s="22" t="s">
        <v>19815</v>
      </c>
      <c r="K400" s="22" t="s">
        <v>19816</v>
      </c>
      <c r="L400" s="22"/>
      <c r="M400" s="22"/>
      <c r="N400" s="25" t="str">
        <f>HYPERLINK("http://slimages.macys.com/is/image/MCY/21188139 ")</f>
        <v xml:space="preserve">http://slimages.macys.com/is/image/MCY/21188139 </v>
      </c>
    </row>
    <row r="401" spans="1:14" x14ac:dyDescent="0.25">
      <c r="A401" s="21" t="s">
        <v>13990</v>
      </c>
      <c r="B401" s="22" t="s">
        <v>13991</v>
      </c>
      <c r="C401" s="2">
        <v>1</v>
      </c>
      <c r="D401" s="23">
        <v>9.99</v>
      </c>
      <c r="E401" s="3">
        <v>9.99</v>
      </c>
      <c r="F401" s="2" t="s">
        <v>16800</v>
      </c>
      <c r="G401" s="22" t="s">
        <v>19670</v>
      </c>
      <c r="H401" s="24" t="s">
        <v>20135</v>
      </c>
      <c r="I401" s="22" t="s">
        <v>19309</v>
      </c>
      <c r="J401" s="22" t="s">
        <v>19849</v>
      </c>
      <c r="K401" s="22" t="s">
        <v>19850</v>
      </c>
      <c r="L401" s="22"/>
      <c r="M401" s="22"/>
      <c r="N401" s="25" t="str">
        <f>HYPERLINK("http://slimages.macys.com/is/image/MCY/1449793 ")</f>
        <v xml:space="preserve">http://slimages.macys.com/is/image/MCY/1449793 </v>
      </c>
    </row>
    <row r="402" spans="1:14" ht="24.75" x14ac:dyDescent="0.25">
      <c r="A402" s="21" t="s">
        <v>13992</v>
      </c>
      <c r="B402" s="22" t="s">
        <v>13993</v>
      </c>
      <c r="C402" s="2">
        <v>1</v>
      </c>
      <c r="D402" s="23">
        <v>11.99</v>
      </c>
      <c r="E402" s="3">
        <v>11.99</v>
      </c>
      <c r="F402" s="2" t="s">
        <v>13989</v>
      </c>
      <c r="G402" s="22" t="s">
        <v>19315</v>
      </c>
      <c r="H402" s="24" t="s">
        <v>19907</v>
      </c>
      <c r="I402" s="22" t="s">
        <v>19309</v>
      </c>
      <c r="J402" s="22" t="s">
        <v>19815</v>
      </c>
      <c r="K402" s="22" t="s">
        <v>19816</v>
      </c>
      <c r="L402" s="22"/>
      <c r="M402" s="22"/>
      <c r="N402" s="25" t="str">
        <f>HYPERLINK("http://slimages.macys.com/is/image/MCY/21188139 ")</f>
        <v xml:space="preserve">http://slimages.macys.com/is/image/MCY/21188139 </v>
      </c>
    </row>
    <row r="403" spans="1:14" ht="24.75" x14ac:dyDescent="0.25">
      <c r="A403" s="21" t="s">
        <v>13994</v>
      </c>
      <c r="B403" s="22" t="s">
        <v>13995</v>
      </c>
      <c r="C403" s="2">
        <v>1</v>
      </c>
      <c r="D403" s="23">
        <v>11.99</v>
      </c>
      <c r="E403" s="3">
        <v>11.99</v>
      </c>
      <c r="F403" s="2" t="s">
        <v>13989</v>
      </c>
      <c r="G403" s="22" t="s">
        <v>19315</v>
      </c>
      <c r="H403" s="24" t="s">
        <v>19432</v>
      </c>
      <c r="I403" s="22" t="s">
        <v>19309</v>
      </c>
      <c r="J403" s="22" t="s">
        <v>19815</v>
      </c>
      <c r="K403" s="22" t="s">
        <v>19816</v>
      </c>
      <c r="L403" s="22"/>
      <c r="M403" s="22"/>
      <c r="N403" s="25" t="str">
        <f>HYPERLINK("http://slimages.macys.com/is/image/MCY/21188139 ")</f>
        <v xml:space="preserve">http://slimages.macys.com/is/image/MCY/21188139 </v>
      </c>
    </row>
    <row r="404" spans="1:14" ht="24.75" x14ac:dyDescent="0.25">
      <c r="A404" s="21" t="s">
        <v>13996</v>
      </c>
      <c r="B404" s="22" t="s">
        <v>13997</v>
      </c>
      <c r="C404" s="2">
        <v>1</v>
      </c>
      <c r="D404" s="23">
        <v>11.99</v>
      </c>
      <c r="E404" s="3">
        <v>11.99</v>
      </c>
      <c r="F404" s="2" t="s">
        <v>13989</v>
      </c>
      <c r="G404" s="22" t="s">
        <v>19315</v>
      </c>
      <c r="H404" s="24" t="s">
        <v>19542</v>
      </c>
      <c r="I404" s="22" t="s">
        <v>19309</v>
      </c>
      <c r="J404" s="22" t="s">
        <v>19815</v>
      </c>
      <c r="K404" s="22" t="s">
        <v>19816</v>
      </c>
      <c r="L404" s="22"/>
      <c r="M404" s="22"/>
      <c r="N404" s="25" t="str">
        <f>HYPERLINK("http://slimages.macys.com/is/image/MCY/21188139 ")</f>
        <v xml:space="preserve">http://slimages.macys.com/is/image/MCY/21188139 </v>
      </c>
    </row>
    <row r="405" spans="1:14" ht="24.75" x14ac:dyDescent="0.25">
      <c r="A405" s="21" t="s">
        <v>13998</v>
      </c>
      <c r="B405" s="22" t="s">
        <v>13999</v>
      </c>
      <c r="C405" s="2">
        <v>1</v>
      </c>
      <c r="D405" s="23">
        <v>11.99</v>
      </c>
      <c r="E405" s="3">
        <v>11.99</v>
      </c>
      <c r="F405" s="2" t="s">
        <v>13989</v>
      </c>
      <c r="G405" s="22" t="s">
        <v>19315</v>
      </c>
      <c r="H405" s="24" t="s">
        <v>19392</v>
      </c>
      <c r="I405" s="22" t="s">
        <v>19309</v>
      </c>
      <c r="J405" s="22" t="s">
        <v>19815</v>
      </c>
      <c r="K405" s="22" t="s">
        <v>19816</v>
      </c>
      <c r="L405" s="22"/>
      <c r="M405" s="22"/>
      <c r="N405" s="25" t="str">
        <f>HYPERLINK("http://slimages.macys.com/is/image/MCY/21188139 ")</f>
        <v xml:space="preserve">http://slimages.macys.com/is/image/MCY/21188139 </v>
      </c>
    </row>
    <row r="406" spans="1:14" x14ac:dyDescent="0.25">
      <c r="A406" s="21" t="s">
        <v>16405</v>
      </c>
      <c r="B406" s="22" t="s">
        <v>16406</v>
      </c>
      <c r="C406" s="2">
        <v>1</v>
      </c>
      <c r="D406" s="23">
        <v>9.99</v>
      </c>
      <c r="E406" s="3">
        <v>9.99</v>
      </c>
      <c r="F406" s="2" t="s">
        <v>16800</v>
      </c>
      <c r="G406" s="22" t="s">
        <v>19670</v>
      </c>
      <c r="H406" s="24" t="s">
        <v>19907</v>
      </c>
      <c r="I406" s="22" t="s">
        <v>19309</v>
      </c>
      <c r="J406" s="22" t="s">
        <v>19849</v>
      </c>
      <c r="K406" s="22" t="s">
        <v>19850</v>
      </c>
      <c r="L406" s="22"/>
      <c r="M406" s="22"/>
      <c r="N406" s="25" t="str">
        <f>HYPERLINK("http://slimages.macys.com/is/image/MCY/20949718 ")</f>
        <v xml:space="preserve">http://slimages.macys.com/is/image/MCY/20949718 </v>
      </c>
    </row>
    <row r="407" spans="1:14" ht="24.75" x14ac:dyDescent="0.25">
      <c r="A407" s="21" t="s">
        <v>14000</v>
      </c>
      <c r="B407" s="22" t="s">
        <v>14001</v>
      </c>
      <c r="C407" s="2">
        <v>1</v>
      </c>
      <c r="D407" s="23">
        <v>11.99</v>
      </c>
      <c r="E407" s="3">
        <v>11.99</v>
      </c>
      <c r="F407" s="2" t="s">
        <v>13989</v>
      </c>
      <c r="G407" s="22" t="s">
        <v>19315</v>
      </c>
      <c r="H407" s="24" t="s">
        <v>20135</v>
      </c>
      <c r="I407" s="22" t="s">
        <v>19309</v>
      </c>
      <c r="J407" s="22" t="s">
        <v>19815</v>
      </c>
      <c r="K407" s="22" t="s">
        <v>19816</v>
      </c>
      <c r="L407" s="22"/>
      <c r="M407" s="22"/>
      <c r="N407" s="25" t="str">
        <f>HYPERLINK("http://slimages.macys.com/is/image/MCY/21188139 ")</f>
        <v xml:space="preserve">http://slimages.macys.com/is/image/MCY/21188139 </v>
      </c>
    </row>
    <row r="408" spans="1:14" ht="24.75" x14ac:dyDescent="0.25">
      <c r="A408" s="21" t="s">
        <v>14002</v>
      </c>
      <c r="B408" s="22" t="s">
        <v>14003</v>
      </c>
      <c r="C408" s="2">
        <v>1</v>
      </c>
      <c r="D408" s="23">
        <v>10.99</v>
      </c>
      <c r="E408" s="3">
        <v>10.99</v>
      </c>
      <c r="F408" s="2" t="s">
        <v>18814</v>
      </c>
      <c r="G408" s="22" t="s">
        <v>19585</v>
      </c>
      <c r="H408" s="24" t="s">
        <v>19330</v>
      </c>
      <c r="I408" s="22" t="s">
        <v>19309</v>
      </c>
      <c r="J408" s="22" t="s">
        <v>19573</v>
      </c>
      <c r="K408" s="22" t="s">
        <v>19574</v>
      </c>
      <c r="L408" s="22"/>
      <c r="M408" s="22"/>
      <c r="N408" s="25" t="str">
        <f>HYPERLINK("http://slimages.macys.com/is/image/MCY/18117481 ")</f>
        <v xml:space="preserve">http://slimages.macys.com/is/image/MCY/18117481 </v>
      </c>
    </row>
    <row r="409" spans="1:14" ht="24.75" x14ac:dyDescent="0.25">
      <c r="A409" s="21" t="s">
        <v>14004</v>
      </c>
      <c r="B409" s="22" t="s">
        <v>14005</v>
      </c>
      <c r="C409" s="2">
        <v>1</v>
      </c>
      <c r="D409" s="23">
        <v>11.99</v>
      </c>
      <c r="E409" s="3">
        <v>11.99</v>
      </c>
      <c r="F409" s="2" t="s">
        <v>14006</v>
      </c>
      <c r="G409" s="22" t="s">
        <v>19431</v>
      </c>
      <c r="H409" s="24" t="s">
        <v>20135</v>
      </c>
      <c r="I409" s="22" t="s">
        <v>19309</v>
      </c>
      <c r="J409" s="22" t="s">
        <v>19815</v>
      </c>
      <c r="K409" s="22" t="s">
        <v>19816</v>
      </c>
      <c r="L409" s="22"/>
      <c r="M409" s="22"/>
      <c r="N409" s="25" t="str">
        <f>HYPERLINK("http://slimages.macys.com/is/image/MCY/21341654 ")</f>
        <v xml:space="preserve">http://slimages.macys.com/is/image/MCY/21341654 </v>
      </c>
    </row>
    <row r="410" spans="1:14" x14ac:dyDescent="0.25">
      <c r="A410" s="21" t="s">
        <v>14007</v>
      </c>
      <c r="B410" s="22" t="s">
        <v>14008</v>
      </c>
      <c r="C410" s="2">
        <v>1</v>
      </c>
      <c r="D410" s="23">
        <v>10.47</v>
      </c>
      <c r="E410" s="3">
        <v>10.47</v>
      </c>
      <c r="F410" s="2" t="s">
        <v>14009</v>
      </c>
      <c r="G410" s="22" t="s">
        <v>19879</v>
      </c>
      <c r="H410" s="24" t="s">
        <v>19416</v>
      </c>
      <c r="I410" s="22" t="s">
        <v>19309</v>
      </c>
      <c r="J410" s="22" t="s">
        <v>19708</v>
      </c>
      <c r="K410" s="22" t="s">
        <v>19709</v>
      </c>
      <c r="L410" s="22"/>
      <c r="M410" s="22"/>
      <c r="N410" s="25" t="str">
        <f>HYPERLINK("http://slimages.macys.com/is/image/MCY/21184055 ")</f>
        <v xml:space="preserve">http://slimages.macys.com/is/image/MCY/21184055 </v>
      </c>
    </row>
    <row r="411" spans="1:14" ht="24.75" x14ac:dyDescent="0.25">
      <c r="A411" s="21" t="s">
        <v>14010</v>
      </c>
      <c r="B411" s="22" t="s">
        <v>14011</v>
      </c>
      <c r="C411" s="2">
        <v>1</v>
      </c>
      <c r="D411" s="23">
        <v>7.99</v>
      </c>
      <c r="E411" s="3">
        <v>7.99</v>
      </c>
      <c r="F411" s="2" t="s">
        <v>14012</v>
      </c>
      <c r="G411" s="22" t="s">
        <v>19431</v>
      </c>
      <c r="H411" s="24" t="s">
        <v>19361</v>
      </c>
      <c r="I411" s="22" t="s">
        <v>19309</v>
      </c>
      <c r="J411" s="22" t="s">
        <v>19815</v>
      </c>
      <c r="K411" s="22" t="s">
        <v>19816</v>
      </c>
      <c r="L411" s="22"/>
      <c r="M411" s="22"/>
      <c r="N411" s="25" t="str">
        <f>HYPERLINK("http://slimages.macys.com/is/image/MCY/1520989 ")</f>
        <v xml:space="preserve">http://slimages.macys.com/is/image/MCY/1520989 </v>
      </c>
    </row>
    <row r="412" spans="1:14" ht="24.75" x14ac:dyDescent="0.25">
      <c r="A412" s="21" t="s">
        <v>14013</v>
      </c>
      <c r="B412" s="22" t="s">
        <v>14011</v>
      </c>
      <c r="C412" s="2">
        <v>1</v>
      </c>
      <c r="D412" s="23">
        <v>7.99</v>
      </c>
      <c r="E412" s="3">
        <v>7.99</v>
      </c>
      <c r="F412" s="2" t="s">
        <v>14012</v>
      </c>
      <c r="G412" s="22" t="s">
        <v>19431</v>
      </c>
      <c r="H412" s="24" t="s">
        <v>19542</v>
      </c>
      <c r="I412" s="22" t="s">
        <v>19309</v>
      </c>
      <c r="J412" s="22" t="s">
        <v>19815</v>
      </c>
      <c r="K412" s="22" t="s">
        <v>19816</v>
      </c>
      <c r="L412" s="22"/>
      <c r="M412" s="22"/>
      <c r="N412" s="25" t="str">
        <f t="shared" ref="N412:N417" si="1">HYPERLINK("http://slimages.macys.com/is/image/MCY/20752798 ")</f>
        <v xml:space="preserve">http://slimages.macys.com/is/image/MCY/20752798 </v>
      </c>
    </row>
    <row r="413" spans="1:14" ht="24.75" x14ac:dyDescent="0.25">
      <c r="A413" s="21" t="s">
        <v>14014</v>
      </c>
      <c r="B413" s="22" t="s">
        <v>14015</v>
      </c>
      <c r="C413" s="2">
        <v>1</v>
      </c>
      <c r="D413" s="23">
        <v>7.99</v>
      </c>
      <c r="E413" s="3">
        <v>7.99</v>
      </c>
      <c r="F413" s="2" t="s">
        <v>14012</v>
      </c>
      <c r="G413" s="22" t="s">
        <v>19763</v>
      </c>
      <c r="H413" s="24" t="s">
        <v>20135</v>
      </c>
      <c r="I413" s="22" t="s">
        <v>19309</v>
      </c>
      <c r="J413" s="22" t="s">
        <v>19815</v>
      </c>
      <c r="K413" s="22" t="s">
        <v>19816</v>
      </c>
      <c r="L413" s="22"/>
      <c r="M413" s="22"/>
      <c r="N413" s="25" t="str">
        <f t="shared" si="1"/>
        <v xml:space="preserve">http://slimages.macys.com/is/image/MCY/20752798 </v>
      </c>
    </row>
    <row r="414" spans="1:14" ht="24.75" x14ac:dyDescent="0.25">
      <c r="A414" s="21" t="s">
        <v>14016</v>
      </c>
      <c r="B414" s="22" t="s">
        <v>14017</v>
      </c>
      <c r="C414" s="2">
        <v>1</v>
      </c>
      <c r="D414" s="23">
        <v>7.99</v>
      </c>
      <c r="E414" s="3">
        <v>7.99</v>
      </c>
      <c r="F414" s="2" t="s">
        <v>14012</v>
      </c>
      <c r="G414" s="22" t="s">
        <v>19763</v>
      </c>
      <c r="H414" s="24" t="s">
        <v>19432</v>
      </c>
      <c r="I414" s="22" t="s">
        <v>19309</v>
      </c>
      <c r="J414" s="22" t="s">
        <v>19815</v>
      </c>
      <c r="K414" s="22" t="s">
        <v>19816</v>
      </c>
      <c r="L414" s="22"/>
      <c r="M414" s="22"/>
      <c r="N414" s="25" t="str">
        <f t="shared" si="1"/>
        <v xml:space="preserve">http://slimages.macys.com/is/image/MCY/20752798 </v>
      </c>
    </row>
    <row r="415" spans="1:14" ht="24.75" x14ac:dyDescent="0.25">
      <c r="A415" s="21" t="s">
        <v>14018</v>
      </c>
      <c r="B415" s="22" t="s">
        <v>14019</v>
      </c>
      <c r="C415" s="2">
        <v>1</v>
      </c>
      <c r="D415" s="23">
        <v>7.99</v>
      </c>
      <c r="E415" s="3">
        <v>7.99</v>
      </c>
      <c r="F415" s="2" t="s">
        <v>14012</v>
      </c>
      <c r="G415" s="22" t="s">
        <v>19404</v>
      </c>
      <c r="H415" s="24" t="s">
        <v>19432</v>
      </c>
      <c r="I415" s="22" t="s">
        <v>19309</v>
      </c>
      <c r="J415" s="22" t="s">
        <v>19815</v>
      </c>
      <c r="K415" s="22" t="s">
        <v>19816</v>
      </c>
      <c r="L415" s="22"/>
      <c r="M415" s="22"/>
      <c r="N415" s="25" t="str">
        <f t="shared" si="1"/>
        <v xml:space="preserve">http://slimages.macys.com/is/image/MCY/20752798 </v>
      </c>
    </row>
    <row r="416" spans="1:14" ht="24.75" x14ac:dyDescent="0.25">
      <c r="A416" s="21" t="s">
        <v>14020</v>
      </c>
      <c r="B416" s="22" t="s">
        <v>14011</v>
      </c>
      <c r="C416" s="2">
        <v>1</v>
      </c>
      <c r="D416" s="23">
        <v>7.99</v>
      </c>
      <c r="E416" s="3">
        <v>7.99</v>
      </c>
      <c r="F416" s="2" t="s">
        <v>14012</v>
      </c>
      <c r="G416" s="22" t="s">
        <v>19431</v>
      </c>
      <c r="H416" s="24" t="s">
        <v>19392</v>
      </c>
      <c r="I416" s="22" t="s">
        <v>19309</v>
      </c>
      <c r="J416" s="22" t="s">
        <v>19815</v>
      </c>
      <c r="K416" s="22" t="s">
        <v>19816</v>
      </c>
      <c r="L416" s="22"/>
      <c r="M416" s="22"/>
      <c r="N416" s="25" t="str">
        <f t="shared" si="1"/>
        <v xml:space="preserve">http://slimages.macys.com/is/image/MCY/20752798 </v>
      </c>
    </row>
    <row r="417" spans="1:14" ht="24.75" x14ac:dyDescent="0.25">
      <c r="A417" s="21" t="s">
        <v>14021</v>
      </c>
      <c r="B417" s="22" t="s">
        <v>14022</v>
      </c>
      <c r="C417" s="2">
        <v>1</v>
      </c>
      <c r="D417" s="23">
        <v>7.99</v>
      </c>
      <c r="E417" s="3">
        <v>7.99</v>
      </c>
      <c r="F417" s="2" t="s">
        <v>14012</v>
      </c>
      <c r="G417" s="22" t="s">
        <v>19404</v>
      </c>
      <c r="H417" s="24" t="s">
        <v>19542</v>
      </c>
      <c r="I417" s="22" t="s">
        <v>19309</v>
      </c>
      <c r="J417" s="22" t="s">
        <v>19815</v>
      </c>
      <c r="K417" s="22" t="s">
        <v>19816</v>
      </c>
      <c r="L417" s="22"/>
      <c r="M417" s="22"/>
      <c r="N417" s="25" t="str">
        <f t="shared" si="1"/>
        <v xml:space="preserve">http://slimages.macys.com/is/image/MCY/20752798 </v>
      </c>
    </row>
    <row r="418" spans="1:14" ht="24.75" x14ac:dyDescent="0.25">
      <c r="A418" s="21" t="s">
        <v>14023</v>
      </c>
      <c r="B418" s="22" t="s">
        <v>14024</v>
      </c>
      <c r="C418" s="2">
        <v>1</v>
      </c>
      <c r="D418" s="23">
        <v>7.99</v>
      </c>
      <c r="E418" s="3">
        <v>7.99</v>
      </c>
      <c r="F418" s="2" t="s">
        <v>14012</v>
      </c>
      <c r="G418" s="22" t="s">
        <v>19518</v>
      </c>
      <c r="H418" s="24" t="s">
        <v>19432</v>
      </c>
      <c r="I418" s="22" t="s">
        <v>19309</v>
      </c>
      <c r="J418" s="22" t="s">
        <v>19815</v>
      </c>
      <c r="K418" s="22" t="s">
        <v>19816</v>
      </c>
      <c r="L418" s="22"/>
      <c r="M418" s="22"/>
      <c r="N418" s="25" t="str">
        <f>HYPERLINK("http://slimages.macys.com/is/image/MCY/1504991 ")</f>
        <v xml:space="preserve">http://slimages.macys.com/is/image/MCY/1504991 </v>
      </c>
    </row>
    <row r="419" spans="1:14" ht="24.75" x14ac:dyDescent="0.25">
      <c r="A419" s="21" t="s">
        <v>14025</v>
      </c>
      <c r="B419" s="22" t="s">
        <v>14026</v>
      </c>
      <c r="C419" s="2">
        <v>1</v>
      </c>
      <c r="D419" s="23">
        <v>7.99</v>
      </c>
      <c r="E419" s="3">
        <v>7.99</v>
      </c>
      <c r="F419" s="2" t="s">
        <v>14012</v>
      </c>
      <c r="G419" s="22" t="s">
        <v>19518</v>
      </c>
      <c r="H419" s="24" t="s">
        <v>19542</v>
      </c>
      <c r="I419" s="22" t="s">
        <v>19309</v>
      </c>
      <c r="J419" s="22" t="s">
        <v>19815</v>
      </c>
      <c r="K419" s="22" t="s">
        <v>19816</v>
      </c>
      <c r="L419" s="22"/>
      <c r="M419" s="22"/>
      <c r="N419" s="25" t="str">
        <f>HYPERLINK("http://slimages.macys.com/is/image/MCY/1504991 ")</f>
        <v xml:space="preserve">http://slimages.macys.com/is/image/MCY/1504991 </v>
      </c>
    </row>
    <row r="420" spans="1:14" ht="24.75" x14ac:dyDescent="0.25">
      <c r="A420" s="21" t="s">
        <v>14027</v>
      </c>
      <c r="B420" s="22" t="s">
        <v>14028</v>
      </c>
      <c r="C420" s="2">
        <v>1</v>
      </c>
      <c r="D420" s="23">
        <v>7.99</v>
      </c>
      <c r="E420" s="3">
        <v>7.99</v>
      </c>
      <c r="F420" s="2" t="s">
        <v>14012</v>
      </c>
      <c r="G420" s="22" t="s">
        <v>19763</v>
      </c>
      <c r="H420" s="24" t="s">
        <v>19542</v>
      </c>
      <c r="I420" s="22" t="s">
        <v>19309</v>
      </c>
      <c r="J420" s="22" t="s">
        <v>19815</v>
      </c>
      <c r="K420" s="22" t="s">
        <v>19816</v>
      </c>
      <c r="L420" s="22"/>
      <c r="M420" s="22"/>
      <c r="N420" s="25" t="str">
        <f>HYPERLINK("http://slimages.macys.com/is/image/MCY/20752798 ")</f>
        <v xml:space="preserve">http://slimages.macys.com/is/image/MCY/20752798 </v>
      </c>
    </row>
    <row r="421" spans="1:14" ht="24.75" x14ac:dyDescent="0.25">
      <c r="A421" s="21" t="s">
        <v>14029</v>
      </c>
      <c r="B421" s="22" t="s">
        <v>14011</v>
      </c>
      <c r="C421" s="2">
        <v>1</v>
      </c>
      <c r="D421" s="23">
        <v>7.99</v>
      </c>
      <c r="E421" s="3">
        <v>7.99</v>
      </c>
      <c r="F421" s="2" t="s">
        <v>14012</v>
      </c>
      <c r="G421" s="22" t="s">
        <v>19431</v>
      </c>
      <c r="H421" s="24" t="s">
        <v>19907</v>
      </c>
      <c r="I421" s="22" t="s">
        <v>19309</v>
      </c>
      <c r="J421" s="22" t="s">
        <v>19815</v>
      </c>
      <c r="K421" s="22" t="s">
        <v>19816</v>
      </c>
      <c r="L421" s="22"/>
      <c r="M421" s="22"/>
      <c r="N421" s="25" t="str">
        <f>HYPERLINK("http://slimages.macys.com/is/image/MCY/20752798 ")</f>
        <v xml:space="preserve">http://slimages.macys.com/is/image/MCY/20752798 </v>
      </c>
    </row>
    <row r="422" spans="1:14" ht="24.75" x14ac:dyDescent="0.25">
      <c r="A422" s="21" t="s">
        <v>14030</v>
      </c>
      <c r="B422" s="22" t="s">
        <v>14031</v>
      </c>
      <c r="C422" s="2">
        <v>1</v>
      </c>
      <c r="D422" s="23">
        <v>7.99</v>
      </c>
      <c r="E422" s="3">
        <v>7.99</v>
      </c>
      <c r="F422" s="2" t="s">
        <v>14012</v>
      </c>
      <c r="G422" s="22" t="s">
        <v>19518</v>
      </c>
      <c r="H422" s="24" t="s">
        <v>19392</v>
      </c>
      <c r="I422" s="22" t="s">
        <v>19309</v>
      </c>
      <c r="J422" s="22" t="s">
        <v>19815</v>
      </c>
      <c r="K422" s="22" t="s">
        <v>19816</v>
      </c>
      <c r="L422" s="22"/>
      <c r="M422" s="22"/>
      <c r="N422" s="25" t="str">
        <f>HYPERLINK("http://slimages.macys.com/is/image/MCY/1504991 ")</f>
        <v xml:space="preserve">http://slimages.macys.com/is/image/MCY/1504991 </v>
      </c>
    </row>
    <row r="423" spans="1:14" x14ac:dyDescent="0.25">
      <c r="A423" s="21" t="s">
        <v>14032</v>
      </c>
      <c r="B423" s="22" t="s">
        <v>14033</v>
      </c>
      <c r="C423" s="2">
        <v>1</v>
      </c>
      <c r="D423" s="23">
        <v>7.99</v>
      </c>
      <c r="E423" s="3">
        <v>7.99</v>
      </c>
      <c r="F423" s="2" t="s">
        <v>16840</v>
      </c>
      <c r="G423" s="22" t="s">
        <v>19674</v>
      </c>
      <c r="H423" s="24" t="s">
        <v>19542</v>
      </c>
      <c r="I423" s="22" t="s">
        <v>19309</v>
      </c>
      <c r="J423" s="22" t="s">
        <v>19849</v>
      </c>
      <c r="K423" s="22" t="s">
        <v>19850</v>
      </c>
      <c r="L423" s="22"/>
      <c r="M423" s="22"/>
      <c r="N423" s="25" t="str">
        <f>HYPERLINK("http://slimages.macys.com/is/image/MCY/19068277 ")</f>
        <v xml:space="preserve">http://slimages.macys.com/is/image/MCY/19068277 </v>
      </c>
    </row>
    <row r="424" spans="1:14" ht="24.75" x14ac:dyDescent="0.25">
      <c r="A424" s="21" t="s">
        <v>14034</v>
      </c>
      <c r="B424" s="22" t="s">
        <v>14035</v>
      </c>
      <c r="C424" s="2">
        <v>1</v>
      </c>
      <c r="D424" s="23">
        <v>10.99</v>
      </c>
      <c r="E424" s="3">
        <v>10.99</v>
      </c>
      <c r="F424" s="2" t="s">
        <v>14036</v>
      </c>
      <c r="G424" s="22" t="s">
        <v>19338</v>
      </c>
      <c r="H424" s="24" t="s">
        <v>19339</v>
      </c>
      <c r="I424" s="22" t="s">
        <v>19309</v>
      </c>
      <c r="J424" s="22" t="s">
        <v>19353</v>
      </c>
      <c r="K424" s="22" t="s">
        <v>19524</v>
      </c>
      <c r="L424" s="22"/>
      <c r="M424" s="22"/>
      <c r="N424" s="25" t="str">
        <f>HYPERLINK("http://slimages.macys.com/is/image/MCY/19635820 ")</f>
        <v xml:space="preserve">http://slimages.macys.com/is/image/MCY/19635820 </v>
      </c>
    </row>
    <row r="425" spans="1:14" x14ac:dyDescent="0.25">
      <c r="A425" s="21" t="s">
        <v>14037</v>
      </c>
      <c r="B425" s="22" t="s">
        <v>14038</v>
      </c>
      <c r="C425" s="2">
        <v>1</v>
      </c>
      <c r="D425" s="23">
        <v>7.99</v>
      </c>
      <c r="E425" s="3">
        <v>7.99</v>
      </c>
      <c r="F425" s="2" t="s">
        <v>16840</v>
      </c>
      <c r="G425" s="22" t="s">
        <v>19674</v>
      </c>
      <c r="H425" s="24" t="s">
        <v>19907</v>
      </c>
      <c r="I425" s="22" t="s">
        <v>19309</v>
      </c>
      <c r="J425" s="22" t="s">
        <v>19849</v>
      </c>
      <c r="K425" s="22" t="s">
        <v>19850</v>
      </c>
      <c r="L425" s="22"/>
      <c r="M425" s="22"/>
      <c r="N425" s="25" t="str">
        <f>HYPERLINK("http://slimages.macys.com/is/image/MCY/1622118 ")</f>
        <v xml:space="preserve">http://slimages.macys.com/is/image/MCY/1622118 </v>
      </c>
    </row>
    <row r="426" spans="1:14" x14ac:dyDescent="0.25">
      <c r="A426" s="21" t="s">
        <v>14039</v>
      </c>
      <c r="B426" s="22" t="s">
        <v>14040</v>
      </c>
      <c r="C426" s="2">
        <v>1</v>
      </c>
      <c r="D426" s="23">
        <v>7.99</v>
      </c>
      <c r="E426" s="3">
        <v>7.99</v>
      </c>
      <c r="F426" s="2" t="s">
        <v>16840</v>
      </c>
      <c r="G426" s="22" t="s">
        <v>19674</v>
      </c>
      <c r="H426" s="24" t="s">
        <v>20135</v>
      </c>
      <c r="I426" s="22" t="s">
        <v>19309</v>
      </c>
      <c r="J426" s="22" t="s">
        <v>19849</v>
      </c>
      <c r="K426" s="22" t="s">
        <v>19850</v>
      </c>
      <c r="L426" s="22"/>
      <c r="M426" s="22"/>
      <c r="N426" s="25" t="str">
        <f>HYPERLINK("http://slimages.macys.com/is/image/MCY/1622118 ")</f>
        <v xml:space="preserve">http://slimages.macys.com/is/image/MCY/1622118 </v>
      </c>
    </row>
    <row r="427" spans="1:14" x14ac:dyDescent="0.25">
      <c r="A427" s="21" t="s">
        <v>14041</v>
      </c>
      <c r="B427" s="22" t="s">
        <v>14042</v>
      </c>
      <c r="C427" s="2">
        <v>1</v>
      </c>
      <c r="D427" s="23">
        <v>7.99</v>
      </c>
      <c r="E427" s="3">
        <v>7.99</v>
      </c>
      <c r="F427" s="2" t="s">
        <v>16840</v>
      </c>
      <c r="G427" s="22" t="s">
        <v>19674</v>
      </c>
      <c r="H427" s="24" t="s">
        <v>20089</v>
      </c>
      <c r="I427" s="22" t="s">
        <v>19309</v>
      </c>
      <c r="J427" s="22" t="s">
        <v>19849</v>
      </c>
      <c r="K427" s="22" t="s">
        <v>19850</v>
      </c>
      <c r="L427" s="22"/>
      <c r="M427" s="22"/>
      <c r="N427" s="25" t="str">
        <f>HYPERLINK("http://slimages.macys.com/is/image/MCY/1622118 ")</f>
        <v xml:space="preserve">http://slimages.macys.com/is/image/MCY/1622118 </v>
      </c>
    </row>
    <row r="428" spans="1:14" x14ac:dyDescent="0.25">
      <c r="A428" s="21" t="s">
        <v>14043</v>
      </c>
      <c r="B428" s="22" t="s">
        <v>14044</v>
      </c>
      <c r="C428" s="2">
        <v>1</v>
      </c>
      <c r="D428" s="23">
        <v>7.99</v>
      </c>
      <c r="E428" s="3">
        <v>7.99</v>
      </c>
      <c r="F428" s="2" t="s">
        <v>16840</v>
      </c>
      <c r="G428" s="22" t="s">
        <v>19674</v>
      </c>
      <c r="H428" s="24" t="s">
        <v>19361</v>
      </c>
      <c r="I428" s="22" t="s">
        <v>19309</v>
      </c>
      <c r="J428" s="22" t="s">
        <v>19849</v>
      </c>
      <c r="K428" s="22" t="s">
        <v>19850</v>
      </c>
      <c r="L428" s="22"/>
      <c r="M428" s="22"/>
      <c r="N428" s="25" t="str">
        <f>HYPERLINK("http://slimages.macys.com/is/image/MCY/19068277 ")</f>
        <v xml:space="preserve">http://slimages.macys.com/is/image/MCY/19068277 </v>
      </c>
    </row>
    <row r="429" spans="1:14" ht="24.75" x14ac:dyDescent="0.25">
      <c r="A429" s="21" t="s">
        <v>14045</v>
      </c>
      <c r="B429" s="22" t="s">
        <v>14046</v>
      </c>
      <c r="C429" s="2">
        <v>1</v>
      </c>
      <c r="D429" s="23">
        <v>13.99</v>
      </c>
      <c r="E429" s="3">
        <v>13.99</v>
      </c>
      <c r="F429" s="2" t="s">
        <v>16432</v>
      </c>
      <c r="G429" s="22" t="s">
        <v>19351</v>
      </c>
      <c r="H429" s="24" t="s">
        <v>19542</v>
      </c>
      <c r="I429" s="22" t="s">
        <v>19309</v>
      </c>
      <c r="J429" s="22" t="s">
        <v>19815</v>
      </c>
      <c r="K429" s="22" t="s">
        <v>19816</v>
      </c>
      <c r="L429" s="22"/>
      <c r="M429" s="22"/>
      <c r="N429" s="25" t="str">
        <f>HYPERLINK("http://slimages.macys.com/is/image/MCY/21278560 ")</f>
        <v xml:space="preserve">http://slimages.macys.com/is/image/MCY/21278560 </v>
      </c>
    </row>
    <row r="430" spans="1:14" x14ac:dyDescent="0.25">
      <c r="A430" s="21" t="s">
        <v>14047</v>
      </c>
      <c r="B430" s="22" t="s">
        <v>14048</v>
      </c>
      <c r="C430" s="2">
        <v>1</v>
      </c>
      <c r="D430" s="23">
        <v>8.33</v>
      </c>
      <c r="E430" s="3">
        <v>8.33</v>
      </c>
      <c r="F430" s="2" t="s">
        <v>16437</v>
      </c>
      <c r="G430" s="22" t="s">
        <v>19801</v>
      </c>
      <c r="H430" s="24" t="s">
        <v>19395</v>
      </c>
      <c r="I430" s="22" t="s">
        <v>19309</v>
      </c>
      <c r="J430" s="22" t="s">
        <v>19514</v>
      </c>
      <c r="K430" s="22" t="s">
        <v>18514</v>
      </c>
      <c r="L430" s="22"/>
      <c r="M430" s="22"/>
      <c r="N430" s="25" t="str">
        <f>HYPERLINK("http://slimages.macys.com/is/image/MCY/21511198 ")</f>
        <v xml:space="preserve">http://slimages.macys.com/is/image/MCY/21511198 </v>
      </c>
    </row>
    <row r="431" spans="1:14" ht="24.75" x14ac:dyDescent="0.25">
      <c r="A431" s="21" t="s">
        <v>14049</v>
      </c>
      <c r="B431" s="22" t="s">
        <v>14050</v>
      </c>
      <c r="C431" s="2">
        <v>1</v>
      </c>
      <c r="D431" s="23">
        <v>10.99</v>
      </c>
      <c r="E431" s="3">
        <v>10.99</v>
      </c>
      <c r="F431" s="2" t="s">
        <v>14051</v>
      </c>
      <c r="G431" s="22" t="s">
        <v>19528</v>
      </c>
      <c r="H431" s="24" t="s">
        <v>19345</v>
      </c>
      <c r="I431" s="22" t="s">
        <v>19309</v>
      </c>
      <c r="J431" s="22" t="s">
        <v>19595</v>
      </c>
      <c r="K431" s="22" t="s">
        <v>19596</v>
      </c>
      <c r="L431" s="22"/>
      <c r="M431" s="22"/>
      <c r="N431" s="25" t="str">
        <f>HYPERLINK("http://slimages.macys.com/is/image/MCY/19856681 ")</f>
        <v xml:space="preserve">http://slimages.macys.com/is/image/MCY/19856681 </v>
      </c>
    </row>
    <row r="432" spans="1:14" x14ac:dyDescent="0.25">
      <c r="A432" s="21" t="s">
        <v>14052</v>
      </c>
      <c r="B432" s="22" t="s">
        <v>14053</v>
      </c>
      <c r="C432" s="2">
        <v>1</v>
      </c>
      <c r="D432" s="23">
        <v>8.33</v>
      </c>
      <c r="E432" s="3">
        <v>8.33</v>
      </c>
      <c r="F432" s="2" t="s">
        <v>14054</v>
      </c>
      <c r="G432" s="22" t="s">
        <v>19618</v>
      </c>
      <c r="H432" s="24" t="s">
        <v>18530</v>
      </c>
      <c r="I432" s="22" t="s">
        <v>19309</v>
      </c>
      <c r="J432" s="22" t="s">
        <v>19514</v>
      </c>
      <c r="K432" s="22" t="s">
        <v>18514</v>
      </c>
      <c r="L432" s="22"/>
      <c r="M432" s="22"/>
      <c r="N432" s="25" t="str">
        <f>HYPERLINK("http://slimages.macys.com/is/image/MCY/21511189 ")</f>
        <v xml:space="preserve">http://slimages.macys.com/is/image/MCY/21511189 </v>
      </c>
    </row>
    <row r="433" spans="1:14" x14ac:dyDescent="0.25">
      <c r="A433" s="21" t="s">
        <v>14055</v>
      </c>
      <c r="B433" s="22" t="s">
        <v>14056</v>
      </c>
      <c r="C433" s="2">
        <v>1</v>
      </c>
      <c r="D433" s="23">
        <v>8.33</v>
      </c>
      <c r="E433" s="3">
        <v>8.33</v>
      </c>
      <c r="F433" s="2" t="s">
        <v>16437</v>
      </c>
      <c r="G433" s="22" t="s">
        <v>19801</v>
      </c>
      <c r="H433" s="24" t="s">
        <v>19361</v>
      </c>
      <c r="I433" s="22" t="s">
        <v>19309</v>
      </c>
      <c r="J433" s="22" t="s">
        <v>19514</v>
      </c>
      <c r="K433" s="22" t="s">
        <v>18514</v>
      </c>
      <c r="L433" s="22"/>
      <c r="M433" s="22"/>
      <c r="N433" s="25" t="str">
        <f>HYPERLINK("http://slimages.macys.com/is/image/MCY/21511193 ")</f>
        <v xml:space="preserve">http://slimages.macys.com/is/image/MCY/21511193 </v>
      </c>
    </row>
    <row r="434" spans="1:14" ht="24.75" x14ac:dyDescent="0.25">
      <c r="A434" s="21" t="s">
        <v>14057</v>
      </c>
      <c r="B434" s="22" t="s">
        <v>14058</v>
      </c>
      <c r="C434" s="2">
        <v>1</v>
      </c>
      <c r="D434" s="23">
        <v>14.99</v>
      </c>
      <c r="E434" s="3">
        <v>14.99</v>
      </c>
      <c r="F434" s="2" t="s">
        <v>14059</v>
      </c>
      <c r="G434" s="22" t="s">
        <v>17811</v>
      </c>
      <c r="H434" s="24" t="s">
        <v>19432</v>
      </c>
      <c r="I434" s="22" t="s">
        <v>19309</v>
      </c>
      <c r="J434" s="22" t="s">
        <v>19454</v>
      </c>
      <c r="K434" s="22" t="s">
        <v>19524</v>
      </c>
      <c r="L434" s="22"/>
      <c r="M434" s="22"/>
      <c r="N434" s="25" t="str">
        <f>HYPERLINK("http://slimages.macys.com/is/image/MCY/18663848 ")</f>
        <v xml:space="preserve">http://slimages.macys.com/is/image/MCY/18663848 </v>
      </c>
    </row>
    <row r="435" spans="1:14" x14ac:dyDescent="0.25">
      <c r="A435" s="21" t="s">
        <v>14060</v>
      </c>
      <c r="B435" s="22" t="s">
        <v>14061</v>
      </c>
      <c r="C435" s="2">
        <v>1</v>
      </c>
      <c r="D435" s="23">
        <v>9.99</v>
      </c>
      <c r="E435" s="3">
        <v>9.99</v>
      </c>
      <c r="F435" s="2" t="s">
        <v>16446</v>
      </c>
      <c r="G435" s="22" t="s">
        <v>19315</v>
      </c>
      <c r="H435" s="24" t="s">
        <v>19907</v>
      </c>
      <c r="I435" s="22" t="s">
        <v>19309</v>
      </c>
      <c r="J435" s="22" t="s">
        <v>19849</v>
      </c>
      <c r="K435" s="22" t="s">
        <v>19850</v>
      </c>
      <c r="L435" s="22"/>
      <c r="M435" s="22"/>
      <c r="N435" s="25" t="str">
        <f>HYPERLINK("http://slimages.macys.com/is/image/MCY/21251285 ")</f>
        <v xml:space="preserve">http://slimages.macys.com/is/image/MCY/21251285 </v>
      </c>
    </row>
    <row r="436" spans="1:14" ht="24.75" x14ac:dyDescent="0.25">
      <c r="A436" s="21" t="s">
        <v>14062</v>
      </c>
      <c r="B436" s="22" t="s">
        <v>14063</v>
      </c>
      <c r="C436" s="2">
        <v>1</v>
      </c>
      <c r="D436" s="23">
        <v>7.99</v>
      </c>
      <c r="E436" s="3">
        <v>7.99</v>
      </c>
      <c r="F436" s="2" t="s">
        <v>14064</v>
      </c>
      <c r="G436" s="22" t="s">
        <v>19462</v>
      </c>
      <c r="H436" s="24" t="s">
        <v>19361</v>
      </c>
      <c r="I436" s="22" t="s">
        <v>19309</v>
      </c>
      <c r="J436" s="22" t="s">
        <v>19908</v>
      </c>
      <c r="K436" s="22" t="s">
        <v>19524</v>
      </c>
      <c r="L436" s="22"/>
      <c r="M436" s="22"/>
      <c r="N436" s="25" t="str">
        <f>HYPERLINK("http://slimages.macys.com/is/image/MCY/21727287 ")</f>
        <v xml:space="preserve">http://slimages.macys.com/is/image/MCY/21727287 </v>
      </c>
    </row>
    <row r="437" spans="1:14" ht="24.75" x14ac:dyDescent="0.25">
      <c r="A437" s="21" t="s">
        <v>14065</v>
      </c>
      <c r="B437" s="22" t="s">
        <v>14066</v>
      </c>
      <c r="C437" s="2">
        <v>1</v>
      </c>
      <c r="D437" s="23">
        <v>9.99</v>
      </c>
      <c r="E437" s="3">
        <v>9.99</v>
      </c>
      <c r="F437" s="2" t="s">
        <v>18863</v>
      </c>
      <c r="G437" s="22" t="s">
        <v>19333</v>
      </c>
      <c r="H437" s="24" t="s">
        <v>19364</v>
      </c>
      <c r="I437" s="22" t="s">
        <v>19309</v>
      </c>
      <c r="J437" s="22" t="s">
        <v>19353</v>
      </c>
      <c r="K437" s="22" t="s">
        <v>19524</v>
      </c>
      <c r="L437" s="22"/>
      <c r="M437" s="22"/>
      <c r="N437" s="25" t="str">
        <f>HYPERLINK("http://slimages.macys.com/is/image/MCY/21083396 ")</f>
        <v xml:space="preserve">http://slimages.macys.com/is/image/MCY/21083396 </v>
      </c>
    </row>
    <row r="438" spans="1:14" ht="24.75" x14ac:dyDescent="0.25">
      <c r="A438" s="21" t="s">
        <v>14067</v>
      </c>
      <c r="B438" s="22" t="s">
        <v>14068</v>
      </c>
      <c r="C438" s="2">
        <v>1</v>
      </c>
      <c r="D438" s="23">
        <v>7.99</v>
      </c>
      <c r="E438" s="3">
        <v>7.99</v>
      </c>
      <c r="F438" s="2" t="s">
        <v>16858</v>
      </c>
      <c r="G438" s="22" t="s">
        <v>19351</v>
      </c>
      <c r="H438" s="24" t="s">
        <v>20135</v>
      </c>
      <c r="I438" s="22" t="s">
        <v>19309</v>
      </c>
      <c r="J438" s="22" t="s">
        <v>19908</v>
      </c>
      <c r="K438" s="22" t="s">
        <v>19524</v>
      </c>
      <c r="L438" s="22"/>
      <c r="M438" s="22"/>
      <c r="N438" s="25" t="str">
        <f>HYPERLINK("http://slimages.macys.com/is/image/MCY/21727281 ")</f>
        <v xml:space="preserve">http://slimages.macys.com/is/image/MCY/21727281 </v>
      </c>
    </row>
    <row r="439" spans="1:14" ht="24.75" x14ac:dyDescent="0.25">
      <c r="A439" s="21" t="s">
        <v>14069</v>
      </c>
      <c r="B439" s="22" t="s">
        <v>14070</v>
      </c>
      <c r="C439" s="2">
        <v>1</v>
      </c>
      <c r="D439" s="23">
        <v>9.99</v>
      </c>
      <c r="E439" s="3">
        <v>9.99</v>
      </c>
      <c r="F439" s="2" t="s">
        <v>16863</v>
      </c>
      <c r="G439" s="22" t="s">
        <v>19462</v>
      </c>
      <c r="H439" s="24" t="s">
        <v>19364</v>
      </c>
      <c r="I439" s="22" t="s">
        <v>19309</v>
      </c>
      <c r="J439" s="22" t="s">
        <v>19353</v>
      </c>
      <c r="K439" s="22" t="s">
        <v>19524</v>
      </c>
      <c r="L439" s="22"/>
      <c r="M439" s="22"/>
      <c r="N439" s="25" t="str">
        <f>HYPERLINK("http://slimages.macys.com/is/image/MCY/1472574 ")</f>
        <v xml:space="preserve">http://slimages.macys.com/is/image/MCY/1472574 </v>
      </c>
    </row>
    <row r="440" spans="1:14" ht="24.75" x14ac:dyDescent="0.25">
      <c r="A440" s="21" t="s">
        <v>14071</v>
      </c>
      <c r="B440" s="22" t="s">
        <v>14072</v>
      </c>
      <c r="C440" s="2">
        <v>1</v>
      </c>
      <c r="D440" s="23">
        <v>8.99</v>
      </c>
      <c r="E440" s="3">
        <v>8.99</v>
      </c>
      <c r="F440" s="2" t="s">
        <v>18872</v>
      </c>
      <c r="G440" s="22" t="s">
        <v>19906</v>
      </c>
      <c r="H440" s="24" t="s">
        <v>20135</v>
      </c>
      <c r="I440" s="22" t="s">
        <v>19309</v>
      </c>
      <c r="J440" s="22" t="s">
        <v>19573</v>
      </c>
      <c r="K440" s="22" t="s">
        <v>19574</v>
      </c>
      <c r="L440" s="22"/>
      <c r="M440" s="22"/>
      <c r="N440" s="25" t="str">
        <f>HYPERLINK("http://slimages.macys.com/is/image/MCY/21361653 ")</f>
        <v xml:space="preserve">http://slimages.macys.com/is/image/MCY/21361653 </v>
      </c>
    </row>
    <row r="441" spans="1:14" ht="24.75" x14ac:dyDescent="0.25">
      <c r="A441" s="21" t="s">
        <v>14073</v>
      </c>
      <c r="B441" s="22" t="s">
        <v>14074</v>
      </c>
      <c r="C441" s="2">
        <v>1</v>
      </c>
      <c r="D441" s="23">
        <v>8.99</v>
      </c>
      <c r="E441" s="3">
        <v>8.99</v>
      </c>
      <c r="F441" s="2" t="s">
        <v>18872</v>
      </c>
      <c r="G441" s="22" t="s">
        <v>19518</v>
      </c>
      <c r="H441" s="24" t="s">
        <v>20135</v>
      </c>
      <c r="I441" s="22" t="s">
        <v>19309</v>
      </c>
      <c r="J441" s="22" t="s">
        <v>19573</v>
      </c>
      <c r="K441" s="22" t="s">
        <v>19574</v>
      </c>
      <c r="L441" s="22"/>
      <c r="M441" s="22"/>
      <c r="N441" s="25" t="str">
        <f>HYPERLINK("http://slimages.macys.com/is/image/MCY/21361653 ")</f>
        <v xml:space="preserve">http://slimages.macys.com/is/image/MCY/21361653 </v>
      </c>
    </row>
    <row r="442" spans="1:14" ht="24.75" x14ac:dyDescent="0.25">
      <c r="A442" s="21" t="s">
        <v>18884</v>
      </c>
      <c r="B442" s="22" t="s">
        <v>18885</v>
      </c>
      <c r="C442" s="2">
        <v>1</v>
      </c>
      <c r="D442" s="23">
        <v>8.99</v>
      </c>
      <c r="E442" s="3">
        <v>8.99</v>
      </c>
      <c r="F442" s="2" t="s">
        <v>18886</v>
      </c>
      <c r="G442" s="22" t="s">
        <v>19415</v>
      </c>
      <c r="H442" s="24" t="s">
        <v>19907</v>
      </c>
      <c r="I442" s="22" t="s">
        <v>19309</v>
      </c>
      <c r="J442" s="22" t="s">
        <v>19573</v>
      </c>
      <c r="K442" s="22" t="s">
        <v>19574</v>
      </c>
      <c r="L442" s="22"/>
      <c r="M442" s="22"/>
      <c r="N442" s="25" t="str">
        <f>HYPERLINK("http://slimages.macys.com/is/image/MCY/21361541 ")</f>
        <v xml:space="preserve">http://slimages.macys.com/is/image/MCY/21361541 </v>
      </c>
    </row>
    <row r="443" spans="1:14" ht="24.75" x14ac:dyDescent="0.25">
      <c r="A443" s="21" t="s">
        <v>14075</v>
      </c>
      <c r="B443" s="22" t="s">
        <v>14076</v>
      </c>
      <c r="C443" s="2">
        <v>1</v>
      </c>
      <c r="D443" s="23">
        <v>9.99</v>
      </c>
      <c r="E443" s="3">
        <v>9.99</v>
      </c>
      <c r="F443" s="2" t="s">
        <v>18881</v>
      </c>
      <c r="G443" s="22" t="s">
        <v>19415</v>
      </c>
      <c r="H443" s="24" t="s">
        <v>19364</v>
      </c>
      <c r="I443" s="22" t="s">
        <v>19309</v>
      </c>
      <c r="J443" s="22" t="s">
        <v>19353</v>
      </c>
      <c r="K443" s="22" t="s">
        <v>19524</v>
      </c>
      <c r="L443" s="22"/>
      <c r="M443" s="22"/>
      <c r="N443" s="25" t="str">
        <f>HYPERLINK("http://slimages.macys.com/is/image/MCY/21083388 ")</f>
        <v xml:space="preserve">http://slimages.macys.com/is/image/MCY/21083388 </v>
      </c>
    </row>
    <row r="444" spans="1:14" ht="24.75" x14ac:dyDescent="0.25">
      <c r="A444" s="21" t="s">
        <v>14077</v>
      </c>
      <c r="B444" s="22" t="s">
        <v>14078</v>
      </c>
      <c r="C444" s="2">
        <v>1</v>
      </c>
      <c r="D444" s="23">
        <v>8.99</v>
      </c>
      <c r="E444" s="3">
        <v>8.99</v>
      </c>
      <c r="F444" s="2" t="s">
        <v>16881</v>
      </c>
      <c r="G444" s="22" t="s">
        <v>19431</v>
      </c>
      <c r="H444" s="24" t="s">
        <v>19907</v>
      </c>
      <c r="I444" s="22" t="s">
        <v>19309</v>
      </c>
      <c r="J444" s="22" t="s">
        <v>19815</v>
      </c>
      <c r="K444" s="22" t="s">
        <v>19816</v>
      </c>
      <c r="L444" s="22"/>
      <c r="M444" s="22"/>
      <c r="N444" s="25" t="str">
        <f>HYPERLINK("http://slimages.macys.com/is/image/MCY/21341659 ")</f>
        <v xml:space="preserve">http://slimages.macys.com/is/image/MCY/21341659 </v>
      </c>
    </row>
    <row r="445" spans="1:14" ht="24.75" x14ac:dyDescent="0.25">
      <c r="A445" s="21" t="s">
        <v>14079</v>
      </c>
      <c r="B445" s="22" t="s">
        <v>14080</v>
      </c>
      <c r="C445" s="2">
        <v>1</v>
      </c>
      <c r="D445" s="23">
        <v>8.99</v>
      </c>
      <c r="E445" s="3">
        <v>8.99</v>
      </c>
      <c r="F445" s="2" t="s">
        <v>16881</v>
      </c>
      <c r="G445" s="22" t="s">
        <v>19431</v>
      </c>
      <c r="H445" s="24" t="s">
        <v>19392</v>
      </c>
      <c r="I445" s="22" t="s">
        <v>19309</v>
      </c>
      <c r="J445" s="22" t="s">
        <v>19815</v>
      </c>
      <c r="K445" s="22" t="s">
        <v>19816</v>
      </c>
      <c r="L445" s="22"/>
      <c r="M445" s="22"/>
      <c r="N445" s="25" t="str">
        <f>HYPERLINK("http://slimages.macys.com/is/image/MCY/1505064 ")</f>
        <v xml:space="preserve">http://slimages.macys.com/is/image/MCY/1505064 </v>
      </c>
    </row>
    <row r="446" spans="1:14" ht="24.75" x14ac:dyDescent="0.25">
      <c r="A446" s="21" t="s">
        <v>14081</v>
      </c>
      <c r="B446" s="22" t="s">
        <v>14082</v>
      </c>
      <c r="C446" s="2">
        <v>1</v>
      </c>
      <c r="D446" s="23">
        <v>8.99</v>
      </c>
      <c r="E446" s="3">
        <v>8.99</v>
      </c>
      <c r="F446" s="2" t="s">
        <v>16881</v>
      </c>
      <c r="G446" s="22" t="s">
        <v>19431</v>
      </c>
      <c r="H446" s="24" t="s">
        <v>19542</v>
      </c>
      <c r="I446" s="22" t="s">
        <v>19309</v>
      </c>
      <c r="J446" s="22" t="s">
        <v>19815</v>
      </c>
      <c r="K446" s="22" t="s">
        <v>19816</v>
      </c>
      <c r="L446" s="22"/>
      <c r="M446" s="22"/>
      <c r="N446" s="25" t="str">
        <f>HYPERLINK("http://slimages.macys.com/is/image/MCY/21341659 ")</f>
        <v xml:space="preserve">http://slimages.macys.com/is/image/MCY/21341659 </v>
      </c>
    </row>
    <row r="447" spans="1:14" ht="24.75" x14ac:dyDescent="0.25">
      <c r="A447" s="21" t="s">
        <v>14083</v>
      </c>
      <c r="B447" s="22" t="s">
        <v>14084</v>
      </c>
      <c r="C447" s="2">
        <v>1</v>
      </c>
      <c r="D447" s="23">
        <v>8.42</v>
      </c>
      <c r="E447" s="3">
        <v>8.42</v>
      </c>
      <c r="F447" s="2" t="s">
        <v>16460</v>
      </c>
      <c r="G447" s="22"/>
      <c r="H447" s="24" t="s">
        <v>19345</v>
      </c>
      <c r="I447" s="22" t="s">
        <v>19309</v>
      </c>
      <c r="J447" s="22" t="s">
        <v>19602</v>
      </c>
      <c r="K447" s="22" t="s">
        <v>20041</v>
      </c>
      <c r="L447" s="22"/>
      <c r="M447" s="22"/>
      <c r="N447" s="25" t="str">
        <f>HYPERLINK("http://slimages.macys.com/is/image/MCY/21722988 ")</f>
        <v xml:space="preserve">http://slimages.macys.com/is/image/MCY/21722988 </v>
      </c>
    </row>
    <row r="448" spans="1:14" ht="24.75" x14ac:dyDescent="0.25">
      <c r="A448" s="21" t="s">
        <v>14085</v>
      </c>
      <c r="B448" s="22" t="s">
        <v>14086</v>
      </c>
      <c r="C448" s="2">
        <v>1</v>
      </c>
      <c r="D448" s="23">
        <v>9.99</v>
      </c>
      <c r="E448" s="3">
        <v>9.99</v>
      </c>
      <c r="F448" s="2" t="s">
        <v>18881</v>
      </c>
      <c r="G448" s="22" t="s">
        <v>19333</v>
      </c>
      <c r="H448" s="24" t="s">
        <v>19364</v>
      </c>
      <c r="I448" s="22" t="s">
        <v>19309</v>
      </c>
      <c r="J448" s="22" t="s">
        <v>19353</v>
      </c>
      <c r="K448" s="22" t="s">
        <v>19524</v>
      </c>
      <c r="L448" s="22"/>
      <c r="M448" s="22"/>
      <c r="N448" s="25" t="str">
        <f>HYPERLINK("http://slimages.macys.com/is/image/MCY/1484637 ")</f>
        <v xml:space="preserve">http://slimages.macys.com/is/image/MCY/1484637 </v>
      </c>
    </row>
    <row r="449" spans="1:14" ht="24.75" x14ac:dyDescent="0.25">
      <c r="A449" s="21" t="s">
        <v>14087</v>
      </c>
      <c r="B449" s="22" t="s">
        <v>14088</v>
      </c>
      <c r="C449" s="2">
        <v>1</v>
      </c>
      <c r="D449" s="23">
        <v>9.99</v>
      </c>
      <c r="E449" s="3">
        <v>9.99</v>
      </c>
      <c r="F449" s="2" t="s">
        <v>18881</v>
      </c>
      <c r="G449" s="22" t="s">
        <v>19415</v>
      </c>
      <c r="H449" s="24" t="s">
        <v>19339</v>
      </c>
      <c r="I449" s="22" t="s">
        <v>19309</v>
      </c>
      <c r="J449" s="22" t="s">
        <v>19353</v>
      </c>
      <c r="K449" s="22" t="s">
        <v>19524</v>
      </c>
      <c r="L449" s="22"/>
      <c r="M449" s="22"/>
      <c r="N449" s="25" t="str">
        <f>HYPERLINK("http://slimages.macys.com/is/image/MCY/21083388 ")</f>
        <v xml:space="preserve">http://slimages.macys.com/is/image/MCY/21083388 </v>
      </c>
    </row>
    <row r="450" spans="1:14" ht="24.75" x14ac:dyDescent="0.25">
      <c r="A450" s="21" t="s">
        <v>14089</v>
      </c>
      <c r="B450" s="22" t="s">
        <v>14090</v>
      </c>
      <c r="C450" s="2">
        <v>1</v>
      </c>
      <c r="D450" s="23">
        <v>8.42</v>
      </c>
      <c r="E450" s="3">
        <v>8.42</v>
      </c>
      <c r="F450" s="2" t="s">
        <v>16463</v>
      </c>
      <c r="G450" s="22"/>
      <c r="H450" s="24" t="s">
        <v>19392</v>
      </c>
      <c r="I450" s="22" t="s">
        <v>19309</v>
      </c>
      <c r="J450" s="22" t="s">
        <v>19602</v>
      </c>
      <c r="K450" s="22" t="s">
        <v>20041</v>
      </c>
      <c r="L450" s="22"/>
      <c r="M450" s="22"/>
      <c r="N450" s="25" t="str">
        <f>HYPERLINK("http://slimages.macys.com/is/image/MCY/21722988 ")</f>
        <v xml:space="preserve">http://slimages.macys.com/is/image/MCY/21722988 </v>
      </c>
    </row>
    <row r="451" spans="1:14" x14ac:dyDescent="0.25">
      <c r="A451" s="21" t="s">
        <v>14623</v>
      </c>
      <c r="B451" s="22" t="s">
        <v>14624</v>
      </c>
      <c r="C451" s="2">
        <v>1</v>
      </c>
      <c r="D451" s="23">
        <v>9.99</v>
      </c>
      <c r="E451" s="3">
        <v>9.99</v>
      </c>
      <c r="F451" s="2" t="s">
        <v>16466</v>
      </c>
      <c r="G451" s="22" t="s">
        <v>19674</v>
      </c>
      <c r="H451" s="24" t="s">
        <v>20089</v>
      </c>
      <c r="I451" s="22" t="s">
        <v>19309</v>
      </c>
      <c r="J451" s="22" t="s">
        <v>19849</v>
      </c>
      <c r="K451" s="22" t="s">
        <v>19850</v>
      </c>
      <c r="L451" s="22"/>
      <c r="M451" s="22"/>
      <c r="N451" s="25" t="str">
        <f>HYPERLINK("http://slimages.macys.com/is/image/MCY/1521210 ")</f>
        <v xml:space="preserve">http://slimages.macys.com/is/image/MCY/1521210 </v>
      </c>
    </row>
    <row r="452" spans="1:14" ht="24.75" x14ac:dyDescent="0.25">
      <c r="A452" s="21" t="s">
        <v>14091</v>
      </c>
      <c r="B452" s="22" t="s">
        <v>14092</v>
      </c>
      <c r="C452" s="2">
        <v>1</v>
      </c>
      <c r="D452" s="23">
        <v>7.99</v>
      </c>
      <c r="E452" s="3">
        <v>7.99</v>
      </c>
      <c r="F452" s="2" t="s">
        <v>16892</v>
      </c>
      <c r="G452" s="22" t="s">
        <v>19814</v>
      </c>
      <c r="H452" s="24" t="s">
        <v>19432</v>
      </c>
      <c r="I452" s="22" t="s">
        <v>19309</v>
      </c>
      <c r="J452" s="22" t="s">
        <v>19815</v>
      </c>
      <c r="K452" s="22" t="s">
        <v>19816</v>
      </c>
      <c r="L452" s="22"/>
      <c r="M452" s="22"/>
      <c r="N452" s="25" t="str">
        <f>HYPERLINK("http://slimages.macys.com/is/image/MCY/1695984 ")</f>
        <v xml:space="preserve">http://slimages.macys.com/is/image/MCY/1695984 </v>
      </c>
    </row>
    <row r="453" spans="1:14" x14ac:dyDescent="0.25">
      <c r="A453" s="21" t="s">
        <v>16464</v>
      </c>
      <c r="B453" s="22" t="s">
        <v>16465</v>
      </c>
      <c r="C453" s="2">
        <v>1</v>
      </c>
      <c r="D453" s="23">
        <v>9.99</v>
      </c>
      <c r="E453" s="3">
        <v>9.99</v>
      </c>
      <c r="F453" s="2" t="s">
        <v>16466</v>
      </c>
      <c r="G453" s="22" t="s">
        <v>19674</v>
      </c>
      <c r="H453" s="24" t="s">
        <v>20135</v>
      </c>
      <c r="I453" s="22" t="s">
        <v>19309</v>
      </c>
      <c r="J453" s="22" t="s">
        <v>19849</v>
      </c>
      <c r="K453" s="22" t="s">
        <v>19850</v>
      </c>
      <c r="L453" s="22"/>
      <c r="M453" s="22"/>
      <c r="N453" s="25" t="str">
        <f>HYPERLINK("http://slimages.macys.com/is/image/MCY/21351561 ")</f>
        <v xml:space="preserve">http://slimages.macys.com/is/image/MCY/21351561 </v>
      </c>
    </row>
    <row r="454" spans="1:14" x14ac:dyDescent="0.25">
      <c r="A454" s="21" t="s">
        <v>14625</v>
      </c>
      <c r="B454" s="22" t="s">
        <v>14626</v>
      </c>
      <c r="C454" s="2">
        <v>2</v>
      </c>
      <c r="D454" s="23">
        <v>9.99</v>
      </c>
      <c r="E454" s="3">
        <v>19.98</v>
      </c>
      <c r="F454" s="2" t="s">
        <v>16466</v>
      </c>
      <c r="G454" s="22" t="s">
        <v>19674</v>
      </c>
      <c r="H454" s="24" t="s">
        <v>19361</v>
      </c>
      <c r="I454" s="22" t="s">
        <v>19309</v>
      </c>
      <c r="J454" s="22" t="s">
        <v>19849</v>
      </c>
      <c r="K454" s="22" t="s">
        <v>19850</v>
      </c>
      <c r="L454" s="22"/>
      <c r="M454" s="22"/>
      <c r="N454" s="25" t="str">
        <f>HYPERLINK("http://slimages.macys.com/is/image/MCY/21351561 ")</f>
        <v xml:space="preserve">http://slimages.macys.com/is/image/MCY/21351561 </v>
      </c>
    </row>
    <row r="455" spans="1:14" ht="24.75" x14ac:dyDescent="0.25">
      <c r="A455" s="21" t="s">
        <v>16899</v>
      </c>
      <c r="B455" s="22" t="s">
        <v>16900</v>
      </c>
      <c r="C455" s="2">
        <v>1</v>
      </c>
      <c r="D455" s="23">
        <v>7.99</v>
      </c>
      <c r="E455" s="3">
        <v>7.99</v>
      </c>
      <c r="F455" s="2" t="s">
        <v>16901</v>
      </c>
      <c r="G455" s="22" t="s">
        <v>18439</v>
      </c>
      <c r="H455" s="24" t="s">
        <v>20089</v>
      </c>
      <c r="I455" s="22" t="s">
        <v>19309</v>
      </c>
      <c r="J455" s="22" t="s">
        <v>19908</v>
      </c>
      <c r="K455" s="22" t="s">
        <v>19524</v>
      </c>
      <c r="L455" s="22"/>
      <c r="M455" s="22"/>
      <c r="N455" s="25" t="str">
        <f>HYPERLINK("http://slimages.macys.com/is/image/MCY/21727277 ")</f>
        <v xml:space="preserve">http://slimages.macys.com/is/image/MCY/21727277 </v>
      </c>
    </row>
    <row r="456" spans="1:14" x14ac:dyDescent="0.25">
      <c r="A456" s="21" t="s">
        <v>14644</v>
      </c>
      <c r="B456" s="22" t="s">
        <v>14645</v>
      </c>
      <c r="C456" s="2">
        <v>1</v>
      </c>
      <c r="D456" s="23">
        <v>11.99</v>
      </c>
      <c r="E456" s="3">
        <v>11.99</v>
      </c>
      <c r="F456" s="2" t="s">
        <v>14643</v>
      </c>
      <c r="G456" s="22" t="s">
        <v>19513</v>
      </c>
      <c r="H456" s="24" t="s">
        <v>19364</v>
      </c>
      <c r="I456" s="22" t="s">
        <v>19309</v>
      </c>
      <c r="J456" s="22" t="s">
        <v>19849</v>
      </c>
      <c r="K456" s="22" t="s">
        <v>19850</v>
      </c>
      <c r="L456" s="22"/>
      <c r="M456" s="22"/>
      <c r="N456" s="25" t="str">
        <f>HYPERLINK("http://slimages.macys.com/is/image/MCY/21278245 ")</f>
        <v xml:space="preserve">http://slimages.macys.com/is/image/MCY/21278245 </v>
      </c>
    </row>
    <row r="457" spans="1:14" x14ac:dyDescent="0.25">
      <c r="A457" s="21" t="s">
        <v>14648</v>
      </c>
      <c r="B457" s="22" t="s">
        <v>14649</v>
      </c>
      <c r="C457" s="2">
        <v>3</v>
      </c>
      <c r="D457" s="23">
        <v>11.99</v>
      </c>
      <c r="E457" s="3">
        <v>35.97</v>
      </c>
      <c r="F457" s="2" t="s">
        <v>14643</v>
      </c>
      <c r="G457" s="22" t="s">
        <v>19513</v>
      </c>
      <c r="H457" s="24" t="s">
        <v>19339</v>
      </c>
      <c r="I457" s="22" t="s">
        <v>19309</v>
      </c>
      <c r="J457" s="22" t="s">
        <v>19849</v>
      </c>
      <c r="K457" s="22" t="s">
        <v>19850</v>
      </c>
      <c r="L457" s="22"/>
      <c r="M457" s="22"/>
      <c r="N457" s="25" t="str">
        <f>HYPERLINK("http://slimages.macys.com/is/image/MCY/21278245 ")</f>
        <v xml:space="preserve">http://slimages.macys.com/is/image/MCY/21278245 </v>
      </c>
    </row>
    <row r="458" spans="1:14" x14ac:dyDescent="0.25">
      <c r="A458" s="21" t="s">
        <v>14641</v>
      </c>
      <c r="B458" s="22" t="s">
        <v>14642</v>
      </c>
      <c r="C458" s="2">
        <v>2</v>
      </c>
      <c r="D458" s="23">
        <v>11.99</v>
      </c>
      <c r="E458" s="3">
        <v>23.98</v>
      </c>
      <c r="F458" s="2" t="s">
        <v>14643</v>
      </c>
      <c r="G458" s="22" t="s">
        <v>19513</v>
      </c>
      <c r="H458" s="24" t="s">
        <v>19352</v>
      </c>
      <c r="I458" s="22" t="s">
        <v>19309</v>
      </c>
      <c r="J458" s="22" t="s">
        <v>19849</v>
      </c>
      <c r="K458" s="22" t="s">
        <v>19850</v>
      </c>
      <c r="L458" s="22"/>
      <c r="M458" s="22"/>
      <c r="N458" s="25" t="str">
        <f>HYPERLINK("http://slimages.macys.com/is/image/MCY/21278245 ")</f>
        <v xml:space="preserve">http://slimages.macys.com/is/image/MCY/21278245 </v>
      </c>
    </row>
    <row r="459" spans="1:14" x14ac:dyDescent="0.25">
      <c r="A459" s="21" t="s">
        <v>18893</v>
      </c>
      <c r="B459" s="22" t="s">
        <v>18894</v>
      </c>
      <c r="C459" s="2">
        <v>4</v>
      </c>
      <c r="D459" s="23">
        <v>9.99</v>
      </c>
      <c r="E459" s="3">
        <v>39.96</v>
      </c>
      <c r="F459" s="2" t="s">
        <v>18895</v>
      </c>
      <c r="G459" s="22" t="s">
        <v>19462</v>
      </c>
      <c r="H459" s="24" t="s">
        <v>19361</v>
      </c>
      <c r="I459" s="22" t="s">
        <v>19309</v>
      </c>
      <c r="J459" s="22" t="s">
        <v>19849</v>
      </c>
      <c r="K459" s="22" t="s">
        <v>19850</v>
      </c>
      <c r="L459" s="22"/>
      <c r="M459" s="22"/>
      <c r="N459" s="25" t="str">
        <f>HYPERLINK("http://slimages.macys.com/is/image/MCY/21251249 ")</f>
        <v xml:space="preserve">http://slimages.macys.com/is/image/MCY/21251249 </v>
      </c>
    </row>
    <row r="460" spans="1:14" ht="24.75" x14ac:dyDescent="0.25">
      <c r="A460" s="21" t="s">
        <v>18907</v>
      </c>
      <c r="B460" s="22" t="s">
        <v>18908</v>
      </c>
      <c r="C460" s="2">
        <v>1</v>
      </c>
      <c r="D460" s="23">
        <v>8.99</v>
      </c>
      <c r="E460" s="3">
        <v>8.99</v>
      </c>
      <c r="F460" s="2" t="s">
        <v>18909</v>
      </c>
      <c r="G460" s="22" t="s">
        <v>19518</v>
      </c>
      <c r="H460" s="24" t="s">
        <v>19364</v>
      </c>
      <c r="I460" s="22" t="s">
        <v>19309</v>
      </c>
      <c r="J460" s="22" t="s">
        <v>19815</v>
      </c>
      <c r="K460" s="22" t="s">
        <v>19816</v>
      </c>
      <c r="L460" s="22"/>
      <c r="M460" s="22"/>
      <c r="N460" s="25" t="str">
        <f>HYPERLINK("http://slimages.macys.com/is/image/MCY/20454073 ")</f>
        <v xml:space="preserve">http://slimages.macys.com/is/image/MCY/20454073 </v>
      </c>
    </row>
    <row r="461" spans="1:14" ht="24.75" x14ac:dyDescent="0.25">
      <c r="A461" s="21" t="s">
        <v>14093</v>
      </c>
      <c r="B461" s="22" t="s">
        <v>14094</v>
      </c>
      <c r="C461" s="2">
        <v>1</v>
      </c>
      <c r="D461" s="23">
        <v>7.99</v>
      </c>
      <c r="E461" s="3">
        <v>7.99</v>
      </c>
      <c r="F461" s="2" t="s">
        <v>14095</v>
      </c>
      <c r="G461" s="22" t="s">
        <v>19431</v>
      </c>
      <c r="H461" s="24" t="s">
        <v>20135</v>
      </c>
      <c r="I461" s="22" t="s">
        <v>19309</v>
      </c>
      <c r="J461" s="22" t="s">
        <v>19454</v>
      </c>
      <c r="K461" s="22" t="s">
        <v>19524</v>
      </c>
      <c r="L461" s="22"/>
      <c r="M461" s="22"/>
      <c r="N461" s="25" t="str">
        <f>HYPERLINK("http://slimages.macys.com/is/image/MCY/21708693 ")</f>
        <v xml:space="preserve">http://slimages.macys.com/is/image/MCY/21708693 </v>
      </c>
    </row>
    <row r="462" spans="1:14" ht="24.75" x14ac:dyDescent="0.25">
      <c r="A462" s="21" t="s">
        <v>14096</v>
      </c>
      <c r="B462" s="22" t="s">
        <v>14097</v>
      </c>
      <c r="C462" s="2">
        <v>1</v>
      </c>
      <c r="D462" s="23">
        <v>7.99</v>
      </c>
      <c r="E462" s="3">
        <v>7.99</v>
      </c>
      <c r="F462" s="2" t="s">
        <v>14098</v>
      </c>
      <c r="G462" s="22" t="s">
        <v>19415</v>
      </c>
      <c r="H462" s="24" t="s">
        <v>19542</v>
      </c>
      <c r="I462" s="22" t="s">
        <v>19309</v>
      </c>
      <c r="J462" s="22" t="s">
        <v>19454</v>
      </c>
      <c r="K462" s="22" t="s">
        <v>19524</v>
      </c>
      <c r="L462" s="22"/>
      <c r="M462" s="22"/>
      <c r="N462" s="25" t="str">
        <f>HYPERLINK("http://slimages.macys.com/is/image/MCY/21265947 ")</f>
        <v xml:space="preserve">http://slimages.macys.com/is/image/MCY/21265947 </v>
      </c>
    </row>
    <row r="463" spans="1:14" ht="24.75" x14ac:dyDescent="0.25">
      <c r="A463" s="21" t="s">
        <v>14099</v>
      </c>
      <c r="B463" s="22" t="s">
        <v>14100</v>
      </c>
      <c r="C463" s="2">
        <v>1</v>
      </c>
      <c r="D463" s="23">
        <v>7.99</v>
      </c>
      <c r="E463" s="3">
        <v>7.99</v>
      </c>
      <c r="F463" s="2" t="s">
        <v>16961</v>
      </c>
      <c r="G463" s="22" t="s">
        <v>19351</v>
      </c>
      <c r="H463" s="24" t="s">
        <v>19392</v>
      </c>
      <c r="I463" s="22" t="s">
        <v>19309</v>
      </c>
      <c r="J463" s="22" t="s">
        <v>19454</v>
      </c>
      <c r="K463" s="22" t="s">
        <v>19524</v>
      </c>
      <c r="L463" s="22"/>
      <c r="M463" s="22"/>
      <c r="N463" s="25" t="str">
        <f>HYPERLINK("http://slimages.macys.com/is/image/MCY/1415872 ")</f>
        <v xml:space="preserve">http://slimages.macys.com/is/image/MCY/1415872 </v>
      </c>
    </row>
    <row r="464" spans="1:14" ht="24.75" x14ac:dyDescent="0.25">
      <c r="A464" s="21" t="s">
        <v>14101</v>
      </c>
      <c r="B464" s="22" t="s">
        <v>14102</v>
      </c>
      <c r="C464" s="2">
        <v>1</v>
      </c>
      <c r="D464" s="23">
        <v>7.99</v>
      </c>
      <c r="E464" s="3">
        <v>7.99</v>
      </c>
      <c r="F464" s="2" t="s">
        <v>14103</v>
      </c>
      <c r="G464" s="22" t="s">
        <v>19415</v>
      </c>
      <c r="H464" s="24" t="s">
        <v>19361</v>
      </c>
      <c r="I464" s="22" t="s">
        <v>19309</v>
      </c>
      <c r="J464" s="22" t="s">
        <v>19454</v>
      </c>
      <c r="K464" s="22" t="s">
        <v>19524</v>
      </c>
      <c r="L464" s="22"/>
      <c r="M464" s="22"/>
      <c r="N464" s="25" t="str">
        <f>HYPERLINK("http://slimages.macys.com/is/image/MCY/21048692 ")</f>
        <v xml:space="preserve">http://slimages.macys.com/is/image/MCY/21048692 </v>
      </c>
    </row>
    <row r="465" spans="1:14" x14ac:dyDescent="0.25">
      <c r="A465" s="21" t="s">
        <v>14104</v>
      </c>
      <c r="B465" s="22" t="s">
        <v>14105</v>
      </c>
      <c r="C465" s="2">
        <v>1</v>
      </c>
      <c r="D465" s="23">
        <v>7.99</v>
      </c>
      <c r="E465" s="3">
        <v>7.99</v>
      </c>
      <c r="F465" s="2" t="s">
        <v>16840</v>
      </c>
      <c r="G465" s="22" t="s">
        <v>19467</v>
      </c>
      <c r="H465" s="24" t="s">
        <v>19542</v>
      </c>
      <c r="I465" s="22" t="s">
        <v>19309</v>
      </c>
      <c r="J465" s="22" t="s">
        <v>19849</v>
      </c>
      <c r="K465" s="22" t="s">
        <v>19850</v>
      </c>
      <c r="L465" s="22"/>
      <c r="M465" s="22"/>
      <c r="N465" s="25" t="str">
        <f>HYPERLINK("http://slimages.macys.com/is/image/MCY/19068277 ")</f>
        <v xml:space="preserve">http://slimages.macys.com/is/image/MCY/19068277 </v>
      </c>
    </row>
    <row r="466" spans="1:14" ht="24.75" x14ac:dyDescent="0.25">
      <c r="A466" s="21" t="s">
        <v>14106</v>
      </c>
      <c r="B466" s="22" t="s">
        <v>14107</v>
      </c>
      <c r="C466" s="2">
        <v>1</v>
      </c>
      <c r="D466" s="23">
        <v>7.99</v>
      </c>
      <c r="E466" s="3">
        <v>7.99</v>
      </c>
      <c r="F466" s="2" t="s">
        <v>14108</v>
      </c>
      <c r="G466" s="22" t="s">
        <v>19351</v>
      </c>
      <c r="H466" s="24" t="s">
        <v>20089</v>
      </c>
      <c r="I466" s="22" t="s">
        <v>19309</v>
      </c>
      <c r="J466" s="22" t="s">
        <v>19908</v>
      </c>
      <c r="K466" s="22" t="s">
        <v>19524</v>
      </c>
      <c r="L466" s="22"/>
      <c r="M466" s="22"/>
      <c r="N466" s="25" t="str">
        <f>HYPERLINK("http://slimages.macys.com/is/image/MCY/20450163 ")</f>
        <v xml:space="preserve">http://slimages.macys.com/is/image/MCY/20450163 </v>
      </c>
    </row>
    <row r="467" spans="1:14" ht="24.75" x14ac:dyDescent="0.25">
      <c r="A467" s="21" t="s">
        <v>14109</v>
      </c>
      <c r="B467" s="22" t="s">
        <v>14110</v>
      </c>
      <c r="C467" s="2">
        <v>2</v>
      </c>
      <c r="D467" s="23">
        <v>7.99</v>
      </c>
      <c r="E467" s="3">
        <v>15.98</v>
      </c>
      <c r="F467" s="2" t="s">
        <v>16987</v>
      </c>
      <c r="G467" s="22" t="s">
        <v>19351</v>
      </c>
      <c r="H467" s="24" t="s">
        <v>20135</v>
      </c>
      <c r="I467" s="22" t="s">
        <v>19309</v>
      </c>
      <c r="J467" s="22" t="s">
        <v>19908</v>
      </c>
      <c r="K467" s="22" t="s">
        <v>19524</v>
      </c>
      <c r="L467" s="22"/>
      <c r="M467" s="22"/>
      <c r="N467" s="25" t="str">
        <f>HYPERLINK("http://slimages.macys.com/is/image/MCY/1472593 ")</f>
        <v xml:space="preserve">http://slimages.macys.com/is/image/MCY/1472593 </v>
      </c>
    </row>
    <row r="468" spans="1:14" ht="24.75" x14ac:dyDescent="0.25">
      <c r="A468" s="21" t="s">
        <v>14111</v>
      </c>
      <c r="B468" s="22" t="s">
        <v>14112</v>
      </c>
      <c r="C468" s="2">
        <v>1</v>
      </c>
      <c r="D468" s="23">
        <v>7.99</v>
      </c>
      <c r="E468" s="3">
        <v>7.99</v>
      </c>
      <c r="F468" s="2" t="s">
        <v>14113</v>
      </c>
      <c r="G468" s="22" t="s">
        <v>19333</v>
      </c>
      <c r="H468" s="24" t="s">
        <v>20135</v>
      </c>
      <c r="I468" s="22" t="s">
        <v>19309</v>
      </c>
      <c r="J468" s="22" t="s">
        <v>19908</v>
      </c>
      <c r="K468" s="22" t="s">
        <v>19524</v>
      </c>
      <c r="L468" s="22"/>
      <c r="M468" s="22"/>
      <c r="N468" s="25" t="str">
        <f>HYPERLINK("http://slimages.macys.com/is/image/MCY/21070257 ")</f>
        <v xml:space="preserve">http://slimages.macys.com/is/image/MCY/21070257 </v>
      </c>
    </row>
    <row r="469" spans="1:14" ht="24.75" x14ac:dyDescent="0.25">
      <c r="A469" s="21" t="s">
        <v>14114</v>
      </c>
      <c r="B469" s="22" t="s">
        <v>14115</v>
      </c>
      <c r="C469" s="2">
        <v>1</v>
      </c>
      <c r="D469" s="23">
        <v>7.99</v>
      </c>
      <c r="E469" s="3">
        <v>7.99</v>
      </c>
      <c r="F469" s="2" t="s">
        <v>14684</v>
      </c>
      <c r="G469" s="22" t="s">
        <v>19323</v>
      </c>
      <c r="H469" s="24" t="s">
        <v>19907</v>
      </c>
      <c r="I469" s="22" t="s">
        <v>19309</v>
      </c>
      <c r="J469" s="22" t="s">
        <v>19908</v>
      </c>
      <c r="K469" s="22" t="s">
        <v>19524</v>
      </c>
      <c r="L469" s="22"/>
      <c r="M469" s="22"/>
      <c r="N469" s="25" t="str">
        <f>HYPERLINK("http://slimages.macys.com/is/image/MCY/21070264 ")</f>
        <v xml:space="preserve">http://slimages.macys.com/is/image/MCY/21070264 </v>
      </c>
    </row>
    <row r="470" spans="1:14" ht="24.75" x14ac:dyDescent="0.25">
      <c r="A470" s="21" t="s">
        <v>14116</v>
      </c>
      <c r="B470" s="22" t="s">
        <v>14117</v>
      </c>
      <c r="C470" s="2">
        <v>1</v>
      </c>
      <c r="D470" s="23">
        <v>7.99</v>
      </c>
      <c r="E470" s="3">
        <v>7.99</v>
      </c>
      <c r="F470" s="2" t="s">
        <v>14113</v>
      </c>
      <c r="G470" s="22" t="s">
        <v>19333</v>
      </c>
      <c r="H470" s="24" t="s">
        <v>19907</v>
      </c>
      <c r="I470" s="22" t="s">
        <v>19309</v>
      </c>
      <c r="J470" s="22" t="s">
        <v>19908</v>
      </c>
      <c r="K470" s="22" t="s">
        <v>19524</v>
      </c>
      <c r="L470" s="22"/>
      <c r="M470" s="22"/>
      <c r="N470" s="25" t="str">
        <f>HYPERLINK("http://slimages.macys.com/is/image/MCY/21070257 ")</f>
        <v xml:space="preserve">http://slimages.macys.com/is/image/MCY/21070257 </v>
      </c>
    </row>
    <row r="471" spans="1:14" ht="24.75" x14ac:dyDescent="0.25">
      <c r="A471" s="21" t="s">
        <v>16997</v>
      </c>
      <c r="B471" s="22" t="s">
        <v>16998</v>
      </c>
      <c r="C471" s="2">
        <v>1</v>
      </c>
      <c r="D471" s="23">
        <v>7.99</v>
      </c>
      <c r="E471" s="3">
        <v>7.99</v>
      </c>
      <c r="F471" s="2" t="s">
        <v>16984</v>
      </c>
      <c r="G471" s="22" t="s">
        <v>19431</v>
      </c>
      <c r="H471" s="24" t="s">
        <v>19907</v>
      </c>
      <c r="I471" s="22" t="s">
        <v>19309</v>
      </c>
      <c r="J471" s="22" t="s">
        <v>19908</v>
      </c>
      <c r="K471" s="22" t="s">
        <v>19524</v>
      </c>
      <c r="L471" s="22"/>
      <c r="M471" s="22"/>
      <c r="N471" s="25" t="str">
        <f>HYPERLINK("http://slimages.macys.com/is/image/MCY/1554688 ")</f>
        <v xml:space="preserve">http://slimages.macys.com/is/image/MCY/1554688 </v>
      </c>
    </row>
    <row r="472" spans="1:14" ht="24.75" x14ac:dyDescent="0.25">
      <c r="A472" s="21" t="s">
        <v>14118</v>
      </c>
      <c r="B472" s="22" t="s">
        <v>14119</v>
      </c>
      <c r="C472" s="2">
        <v>1</v>
      </c>
      <c r="D472" s="23">
        <v>7.99</v>
      </c>
      <c r="E472" s="3">
        <v>7.99</v>
      </c>
      <c r="F472" s="2" t="s">
        <v>14120</v>
      </c>
      <c r="G472" s="22" t="s">
        <v>19351</v>
      </c>
      <c r="H472" s="24" t="s">
        <v>19377</v>
      </c>
      <c r="I472" s="22" t="s">
        <v>19309</v>
      </c>
      <c r="J472" s="22" t="s">
        <v>19908</v>
      </c>
      <c r="K472" s="22" t="s">
        <v>19524</v>
      </c>
      <c r="L472" s="22"/>
      <c r="M472" s="22"/>
      <c r="N472" s="25" t="str">
        <f>HYPERLINK("http://slimages.macys.com/is/image/MCY/21434074 ")</f>
        <v xml:space="preserve">http://slimages.macys.com/is/image/MCY/21434074 </v>
      </c>
    </row>
    <row r="473" spans="1:14" ht="24.75" x14ac:dyDescent="0.25">
      <c r="A473" s="21" t="s">
        <v>14121</v>
      </c>
      <c r="B473" s="22" t="s">
        <v>14122</v>
      </c>
      <c r="C473" s="2">
        <v>1</v>
      </c>
      <c r="D473" s="23">
        <v>7.99</v>
      </c>
      <c r="E473" s="3">
        <v>7.99</v>
      </c>
      <c r="F473" s="2" t="s">
        <v>14113</v>
      </c>
      <c r="G473" s="22" t="s">
        <v>19333</v>
      </c>
      <c r="H473" s="24" t="s">
        <v>20089</v>
      </c>
      <c r="I473" s="22" t="s">
        <v>19309</v>
      </c>
      <c r="J473" s="22" t="s">
        <v>19908</v>
      </c>
      <c r="K473" s="22" t="s">
        <v>19524</v>
      </c>
      <c r="L473" s="22"/>
      <c r="M473" s="22"/>
      <c r="N473" s="25" t="str">
        <f>HYPERLINK("http://slimages.macys.com/is/image/MCY/21070257 ")</f>
        <v xml:space="preserve">http://slimages.macys.com/is/image/MCY/21070257 </v>
      </c>
    </row>
    <row r="474" spans="1:14" ht="24.75" x14ac:dyDescent="0.25">
      <c r="A474" s="21" t="s">
        <v>16994</v>
      </c>
      <c r="B474" s="22" t="s">
        <v>16995</v>
      </c>
      <c r="C474" s="2">
        <v>1</v>
      </c>
      <c r="D474" s="23">
        <v>7.99</v>
      </c>
      <c r="E474" s="3">
        <v>7.99</v>
      </c>
      <c r="F474" s="2" t="s">
        <v>16996</v>
      </c>
      <c r="G474" s="22" t="s">
        <v>19431</v>
      </c>
      <c r="H474" s="24" t="s">
        <v>19907</v>
      </c>
      <c r="I474" s="22" t="s">
        <v>19309</v>
      </c>
      <c r="J474" s="22" t="s">
        <v>19908</v>
      </c>
      <c r="K474" s="22" t="s">
        <v>19524</v>
      </c>
      <c r="L474" s="22"/>
      <c r="M474" s="22"/>
      <c r="N474" s="25" t="str">
        <f>HYPERLINK("http://slimages.macys.com/is/image/MCY/21727268 ")</f>
        <v xml:space="preserve">http://slimages.macys.com/is/image/MCY/21727268 </v>
      </c>
    </row>
    <row r="475" spans="1:14" ht="24.75" x14ac:dyDescent="0.25">
      <c r="A475" s="21" t="s">
        <v>14123</v>
      </c>
      <c r="B475" s="22" t="s">
        <v>14124</v>
      </c>
      <c r="C475" s="2">
        <v>1</v>
      </c>
      <c r="D475" s="23">
        <v>7.99</v>
      </c>
      <c r="E475" s="3">
        <v>7.99</v>
      </c>
      <c r="F475" s="2" t="s">
        <v>17027</v>
      </c>
      <c r="G475" s="22" t="s">
        <v>19333</v>
      </c>
      <c r="H475" s="24" t="s">
        <v>19377</v>
      </c>
      <c r="I475" s="22" t="s">
        <v>19309</v>
      </c>
      <c r="J475" s="22" t="s">
        <v>19908</v>
      </c>
      <c r="K475" s="22" t="s">
        <v>19524</v>
      </c>
      <c r="L475" s="22"/>
      <c r="M475" s="22"/>
      <c r="N475" s="25" t="str">
        <f>HYPERLINK("http://slimages.macys.com/is/image/MCY/21434600 ")</f>
        <v xml:space="preserve">http://slimages.macys.com/is/image/MCY/21434600 </v>
      </c>
    </row>
    <row r="476" spans="1:14" ht="24.75" x14ac:dyDescent="0.25">
      <c r="A476" s="21" t="s">
        <v>14125</v>
      </c>
      <c r="B476" s="22" t="s">
        <v>14126</v>
      </c>
      <c r="C476" s="2">
        <v>2</v>
      </c>
      <c r="D476" s="23">
        <v>7.99</v>
      </c>
      <c r="E476" s="3">
        <v>15.98</v>
      </c>
      <c r="F476" s="2" t="s">
        <v>14127</v>
      </c>
      <c r="G476" s="22" t="s">
        <v>19415</v>
      </c>
      <c r="H476" s="24" t="s">
        <v>20089</v>
      </c>
      <c r="I476" s="22" t="s">
        <v>19309</v>
      </c>
      <c r="J476" s="22" t="s">
        <v>19908</v>
      </c>
      <c r="K476" s="22" t="s">
        <v>19524</v>
      </c>
      <c r="L476" s="22"/>
      <c r="M476" s="22"/>
      <c r="N476" s="25" t="str">
        <f>HYPERLINK("http://slimages.macys.com/is/image/MCY/20450170 ")</f>
        <v xml:space="preserve">http://slimages.macys.com/is/image/MCY/20450170 </v>
      </c>
    </row>
    <row r="477" spans="1:14" ht="24.75" x14ac:dyDescent="0.25">
      <c r="A477" s="21" t="s">
        <v>14128</v>
      </c>
      <c r="B477" s="22" t="s">
        <v>14129</v>
      </c>
      <c r="C477" s="2">
        <v>1</v>
      </c>
      <c r="D477" s="23">
        <v>7.99</v>
      </c>
      <c r="E477" s="3">
        <v>7.99</v>
      </c>
      <c r="F477" s="2" t="s">
        <v>14130</v>
      </c>
      <c r="G477" s="22" t="s">
        <v>19351</v>
      </c>
      <c r="H477" s="24"/>
      <c r="I477" s="22" t="s">
        <v>19309</v>
      </c>
      <c r="J477" s="22" t="s">
        <v>19573</v>
      </c>
      <c r="K477" s="22" t="s">
        <v>19574</v>
      </c>
      <c r="L477" s="22"/>
      <c r="M477" s="22"/>
      <c r="N477" s="25" t="str">
        <f>HYPERLINK("http://slimages.macys.com/is/image/MCY/20551287 ")</f>
        <v xml:space="preserve">http://slimages.macys.com/is/image/MCY/20551287 </v>
      </c>
    </row>
    <row r="478" spans="1:14" ht="24.75" x14ac:dyDescent="0.25">
      <c r="A478" s="21" t="s">
        <v>14131</v>
      </c>
      <c r="B478" s="22" t="s">
        <v>14132</v>
      </c>
      <c r="C478" s="2">
        <v>1</v>
      </c>
      <c r="D478" s="23">
        <v>8.99</v>
      </c>
      <c r="E478" s="3">
        <v>8.99</v>
      </c>
      <c r="F478" s="2" t="s">
        <v>18984</v>
      </c>
      <c r="G478" s="22" t="s">
        <v>18429</v>
      </c>
      <c r="H478" s="24" t="s">
        <v>19364</v>
      </c>
      <c r="I478" s="22" t="s">
        <v>19309</v>
      </c>
      <c r="J478" s="22" t="s">
        <v>19815</v>
      </c>
      <c r="K478" s="22" t="s">
        <v>19816</v>
      </c>
      <c r="L478" s="22"/>
      <c r="M478" s="22"/>
      <c r="N478" s="25" t="str">
        <f>HYPERLINK("http://slimages.macys.com/is/image/MCY/21278530 ")</f>
        <v xml:space="preserve">http://slimages.macys.com/is/image/MCY/21278530 </v>
      </c>
    </row>
    <row r="479" spans="1:14" ht="24.75" x14ac:dyDescent="0.25">
      <c r="A479" s="21" t="s">
        <v>14133</v>
      </c>
      <c r="B479" s="22" t="s">
        <v>14134</v>
      </c>
      <c r="C479" s="2">
        <v>1</v>
      </c>
      <c r="D479" s="23">
        <v>8.99</v>
      </c>
      <c r="E479" s="3">
        <v>8.99</v>
      </c>
      <c r="F479" s="2" t="s">
        <v>18984</v>
      </c>
      <c r="G479" s="22" t="s">
        <v>19814</v>
      </c>
      <c r="H479" s="24" t="s">
        <v>19364</v>
      </c>
      <c r="I479" s="22" t="s">
        <v>19309</v>
      </c>
      <c r="J479" s="22" t="s">
        <v>19815</v>
      </c>
      <c r="K479" s="22" t="s">
        <v>19816</v>
      </c>
      <c r="L479" s="22"/>
      <c r="M479" s="22"/>
      <c r="N479" s="25" t="str">
        <f>HYPERLINK("http://slimages.macys.com/is/image/MCY/21278530 ")</f>
        <v xml:space="preserve">http://slimages.macys.com/is/image/MCY/21278530 </v>
      </c>
    </row>
    <row r="480" spans="1:14" ht="24.75" x14ac:dyDescent="0.25">
      <c r="A480" s="21" t="s">
        <v>14135</v>
      </c>
      <c r="B480" s="22" t="s">
        <v>14136</v>
      </c>
      <c r="C480" s="2">
        <v>1</v>
      </c>
      <c r="D480" s="23">
        <v>6.99</v>
      </c>
      <c r="E480" s="3">
        <v>6.99</v>
      </c>
      <c r="F480" s="2" t="s">
        <v>14137</v>
      </c>
      <c r="G480" s="22" t="s">
        <v>19906</v>
      </c>
      <c r="H480" s="24" t="s">
        <v>19384</v>
      </c>
      <c r="I480" s="22" t="s">
        <v>19309</v>
      </c>
      <c r="J480" s="22" t="s">
        <v>19573</v>
      </c>
      <c r="K480" s="22" t="s">
        <v>19574</v>
      </c>
      <c r="L480" s="22"/>
      <c r="M480" s="22"/>
      <c r="N480" s="25" t="str">
        <f>HYPERLINK("http://slimages.macys.com/is/image/MCY/1586967 ")</f>
        <v xml:space="preserve">http://slimages.macys.com/is/image/MCY/1586967 </v>
      </c>
    </row>
    <row r="481" spans="1:14" ht="24.75" x14ac:dyDescent="0.25">
      <c r="A481" s="21" t="s">
        <v>14138</v>
      </c>
      <c r="B481" s="22" t="s">
        <v>14139</v>
      </c>
      <c r="C481" s="2">
        <v>1</v>
      </c>
      <c r="D481" s="23">
        <v>6.99</v>
      </c>
      <c r="E481" s="3">
        <v>6.99</v>
      </c>
      <c r="F481" s="2" t="s">
        <v>14137</v>
      </c>
      <c r="G481" s="22" t="s">
        <v>19906</v>
      </c>
      <c r="H481" s="24" t="s">
        <v>19538</v>
      </c>
      <c r="I481" s="22" t="s">
        <v>19309</v>
      </c>
      <c r="J481" s="22" t="s">
        <v>19573</v>
      </c>
      <c r="K481" s="22" t="s">
        <v>19574</v>
      </c>
      <c r="L481" s="22"/>
      <c r="M481" s="22"/>
      <c r="N481" s="25" t="str">
        <f>HYPERLINK("http://slimages.macys.com/is/image/MCY/21361653 ")</f>
        <v xml:space="preserve">http://slimages.macys.com/is/image/MCY/21361653 </v>
      </c>
    </row>
    <row r="482" spans="1:14" ht="24.75" x14ac:dyDescent="0.25">
      <c r="A482" s="21" t="s">
        <v>14140</v>
      </c>
      <c r="B482" s="22" t="s">
        <v>14141</v>
      </c>
      <c r="C482" s="2">
        <v>2</v>
      </c>
      <c r="D482" s="23">
        <v>6.99</v>
      </c>
      <c r="E482" s="3">
        <v>13.98</v>
      </c>
      <c r="F482" s="2" t="s">
        <v>14137</v>
      </c>
      <c r="G482" s="22" t="s">
        <v>19906</v>
      </c>
      <c r="H482" s="24" t="s">
        <v>19324</v>
      </c>
      <c r="I482" s="22" t="s">
        <v>19309</v>
      </c>
      <c r="J482" s="22" t="s">
        <v>19573</v>
      </c>
      <c r="K482" s="22" t="s">
        <v>19574</v>
      </c>
      <c r="L482" s="22"/>
      <c r="M482" s="22"/>
      <c r="N482" s="25" t="str">
        <f>HYPERLINK("http://slimages.macys.com/is/image/MCY/21361653 ")</f>
        <v xml:space="preserve">http://slimages.macys.com/is/image/MCY/21361653 </v>
      </c>
    </row>
    <row r="483" spans="1:14" ht="24.75" x14ac:dyDescent="0.25">
      <c r="A483" s="21" t="s">
        <v>17052</v>
      </c>
      <c r="B483" s="22" t="s">
        <v>17053</v>
      </c>
      <c r="C483" s="2">
        <v>1</v>
      </c>
      <c r="D483" s="23">
        <v>6.99</v>
      </c>
      <c r="E483" s="3">
        <v>6.99</v>
      </c>
      <c r="F483" s="2" t="s">
        <v>17054</v>
      </c>
      <c r="G483" s="22" t="s">
        <v>19415</v>
      </c>
      <c r="H483" s="24" t="s">
        <v>19324</v>
      </c>
      <c r="I483" s="22" t="s">
        <v>19309</v>
      </c>
      <c r="J483" s="22" t="s">
        <v>19573</v>
      </c>
      <c r="K483" s="22" t="s">
        <v>19574</v>
      </c>
      <c r="L483" s="22"/>
      <c r="M483" s="22"/>
      <c r="N483" s="25" t="str">
        <f>HYPERLINK("http://slimages.macys.com/is/image/MCY/21361541 ")</f>
        <v xml:space="preserve">http://slimages.macys.com/is/image/MCY/21361541 </v>
      </c>
    </row>
    <row r="484" spans="1:14" ht="24.75" x14ac:dyDescent="0.25">
      <c r="A484" s="21" t="s">
        <v>14142</v>
      </c>
      <c r="B484" s="22" t="s">
        <v>14143</v>
      </c>
      <c r="C484" s="2">
        <v>1</v>
      </c>
      <c r="D484" s="23">
        <v>6.99</v>
      </c>
      <c r="E484" s="3">
        <v>6.99</v>
      </c>
      <c r="F484" s="2" t="s">
        <v>17054</v>
      </c>
      <c r="G484" s="22" t="s">
        <v>19415</v>
      </c>
      <c r="H484" s="24" t="s">
        <v>19538</v>
      </c>
      <c r="I484" s="22" t="s">
        <v>19309</v>
      </c>
      <c r="J484" s="22" t="s">
        <v>19573</v>
      </c>
      <c r="K484" s="22" t="s">
        <v>19574</v>
      </c>
      <c r="L484" s="22"/>
      <c r="M484" s="22"/>
      <c r="N484" s="25" t="str">
        <f>HYPERLINK("http://slimages.macys.com/is/image/MCY/21361541 ")</f>
        <v xml:space="preserve">http://slimages.macys.com/is/image/MCY/21361541 </v>
      </c>
    </row>
    <row r="485" spans="1:14" ht="24.75" x14ac:dyDescent="0.25">
      <c r="A485" s="21" t="s">
        <v>14144</v>
      </c>
      <c r="B485" s="22" t="s">
        <v>14145</v>
      </c>
      <c r="C485" s="2">
        <v>1</v>
      </c>
      <c r="D485" s="23">
        <v>6.99</v>
      </c>
      <c r="E485" s="3">
        <v>6.99</v>
      </c>
      <c r="F485" s="2" t="s">
        <v>14146</v>
      </c>
      <c r="G485" s="22" t="s">
        <v>19713</v>
      </c>
      <c r="H485" s="24" t="s">
        <v>19364</v>
      </c>
      <c r="I485" s="22" t="s">
        <v>19309</v>
      </c>
      <c r="J485" s="22" t="s">
        <v>19353</v>
      </c>
      <c r="K485" s="22" t="s">
        <v>19354</v>
      </c>
      <c r="L485" s="22"/>
      <c r="M485" s="22"/>
      <c r="N485" s="25" t="str">
        <f>HYPERLINK("http://slimages.macys.com/is/image/MCY/1528079 ")</f>
        <v xml:space="preserve">http://slimages.macys.com/is/image/MCY/1528079 </v>
      </c>
    </row>
    <row r="486" spans="1:14" ht="24.75" x14ac:dyDescent="0.25">
      <c r="A486" s="21" t="s">
        <v>14147</v>
      </c>
      <c r="B486" s="22" t="s">
        <v>14148</v>
      </c>
      <c r="C486" s="2">
        <v>1</v>
      </c>
      <c r="D486" s="23">
        <v>7.99</v>
      </c>
      <c r="E486" s="3">
        <v>7.99</v>
      </c>
      <c r="F486" s="2" t="s">
        <v>19012</v>
      </c>
      <c r="G486" s="22" t="s">
        <v>19674</v>
      </c>
      <c r="H486" s="24" t="s">
        <v>19384</v>
      </c>
      <c r="I486" s="22" t="s">
        <v>19309</v>
      </c>
      <c r="J486" s="22" t="s">
        <v>19573</v>
      </c>
      <c r="K486" s="22" t="s">
        <v>19574</v>
      </c>
      <c r="L486" s="22"/>
      <c r="M486" s="22"/>
      <c r="N486" s="25" t="str">
        <f>HYPERLINK("http://slimages.macys.com/is/image/MCY/1554787 ")</f>
        <v xml:space="preserve">http://slimages.macys.com/is/image/MCY/1554787 </v>
      </c>
    </row>
    <row r="487" spans="1:14" ht="24.75" x14ac:dyDescent="0.25">
      <c r="A487" s="21" t="s">
        <v>14149</v>
      </c>
      <c r="B487" s="22" t="s">
        <v>14150</v>
      </c>
      <c r="C487" s="2">
        <v>1</v>
      </c>
      <c r="D487" s="23">
        <v>6.99</v>
      </c>
      <c r="E487" s="3">
        <v>6.99</v>
      </c>
      <c r="F487" s="2" t="s">
        <v>14151</v>
      </c>
      <c r="G487" s="22" t="s">
        <v>19513</v>
      </c>
      <c r="H487" s="24" t="s">
        <v>19384</v>
      </c>
      <c r="I487" s="22" t="s">
        <v>19309</v>
      </c>
      <c r="J487" s="22" t="s">
        <v>19573</v>
      </c>
      <c r="K487" s="22" t="s">
        <v>19574</v>
      </c>
      <c r="L487" s="22"/>
      <c r="M487" s="22"/>
      <c r="N487" s="25" t="str">
        <f>HYPERLINK("http://slimages.macys.com/is/image/MCY/17709085 ")</f>
        <v xml:space="preserve">http://slimages.macys.com/is/image/MCY/17709085 </v>
      </c>
    </row>
    <row r="488" spans="1:14" ht="24.75" x14ac:dyDescent="0.25">
      <c r="A488" s="21" t="s">
        <v>14152</v>
      </c>
      <c r="B488" s="22" t="s">
        <v>14153</v>
      </c>
      <c r="C488" s="2">
        <v>1</v>
      </c>
      <c r="D488" s="23">
        <v>5.99</v>
      </c>
      <c r="E488" s="3">
        <v>5.99</v>
      </c>
      <c r="F488" s="2" t="s">
        <v>14154</v>
      </c>
      <c r="G488" s="22" t="s">
        <v>19618</v>
      </c>
      <c r="H488" s="24" t="s">
        <v>19361</v>
      </c>
      <c r="I488" s="22" t="s">
        <v>19309</v>
      </c>
      <c r="J488" s="22" t="s">
        <v>19454</v>
      </c>
      <c r="K488" s="22" t="s">
        <v>19524</v>
      </c>
      <c r="L488" s="22"/>
      <c r="M488" s="22"/>
      <c r="N488" s="25" t="str">
        <f>HYPERLINK("http://slimages.macys.com/is/image/MCY/19239542 ")</f>
        <v xml:space="preserve">http://slimages.macys.com/is/image/MCY/19239542 </v>
      </c>
    </row>
    <row r="489" spans="1:14" ht="24.75" x14ac:dyDescent="0.25">
      <c r="A489" s="21" t="s">
        <v>14155</v>
      </c>
      <c r="B489" s="22" t="s">
        <v>14156</v>
      </c>
      <c r="C489" s="2">
        <v>1</v>
      </c>
      <c r="D489" s="23">
        <v>7.99</v>
      </c>
      <c r="E489" s="3">
        <v>7.99</v>
      </c>
      <c r="F489" s="2" t="s">
        <v>14157</v>
      </c>
      <c r="G489" s="22" t="s">
        <v>19477</v>
      </c>
      <c r="H489" s="24" t="s">
        <v>20089</v>
      </c>
      <c r="I489" s="22" t="s">
        <v>19309</v>
      </c>
      <c r="J489" s="22" t="s">
        <v>19573</v>
      </c>
      <c r="K489" s="22" t="s">
        <v>19574</v>
      </c>
      <c r="L489" s="22"/>
      <c r="M489" s="22"/>
      <c r="N489" s="25" t="str">
        <f>HYPERLINK("http://slimages.macys.com/is/image/MCY/21209257 ")</f>
        <v xml:space="preserve">http://slimages.macys.com/is/image/MCY/21209257 </v>
      </c>
    </row>
    <row r="490" spans="1:14" ht="24.75" x14ac:dyDescent="0.25">
      <c r="A490" s="21" t="s">
        <v>14158</v>
      </c>
      <c r="B490" s="22" t="s">
        <v>14159</v>
      </c>
      <c r="C490" s="2">
        <v>1</v>
      </c>
      <c r="D490" s="23">
        <v>6.99</v>
      </c>
      <c r="E490" s="3">
        <v>6.99</v>
      </c>
      <c r="F490" s="2" t="s">
        <v>17073</v>
      </c>
      <c r="G490" s="22" t="s">
        <v>19351</v>
      </c>
      <c r="H490" s="24" t="s">
        <v>19538</v>
      </c>
      <c r="I490" s="22" t="s">
        <v>19309</v>
      </c>
      <c r="J490" s="22" t="s">
        <v>19573</v>
      </c>
      <c r="K490" s="22" t="s">
        <v>19574</v>
      </c>
      <c r="L490" s="22"/>
      <c r="M490" s="22"/>
      <c r="N490" s="25" t="str">
        <f>HYPERLINK("http://slimages.macys.com/is/image/MCY/19507834 ")</f>
        <v xml:space="preserve">http://slimages.macys.com/is/image/MCY/19507834 </v>
      </c>
    </row>
    <row r="491" spans="1:14" ht="24.75" x14ac:dyDescent="0.25">
      <c r="A491" s="21" t="s">
        <v>14160</v>
      </c>
      <c r="B491" s="22" t="s">
        <v>14161</v>
      </c>
      <c r="C491" s="2">
        <v>1</v>
      </c>
      <c r="D491" s="23">
        <v>6.99</v>
      </c>
      <c r="E491" s="3">
        <v>6.99</v>
      </c>
      <c r="F491" s="2" t="s">
        <v>17073</v>
      </c>
      <c r="G491" s="22" t="s">
        <v>19351</v>
      </c>
      <c r="H491" s="24" t="s">
        <v>19330</v>
      </c>
      <c r="I491" s="22" t="s">
        <v>19309</v>
      </c>
      <c r="J491" s="22" t="s">
        <v>19573</v>
      </c>
      <c r="K491" s="22" t="s">
        <v>19574</v>
      </c>
      <c r="L491" s="22"/>
      <c r="M491" s="22"/>
      <c r="N491" s="25" t="str">
        <f>HYPERLINK("http://slimages.macys.com/is/image/MCY/19507834 ")</f>
        <v xml:space="preserve">http://slimages.macys.com/is/image/MCY/19507834 </v>
      </c>
    </row>
    <row r="492" spans="1:14" ht="24.75" x14ac:dyDescent="0.25">
      <c r="A492" s="21" t="s">
        <v>14162</v>
      </c>
      <c r="B492" s="22" t="s">
        <v>14163</v>
      </c>
      <c r="C492" s="2">
        <v>2</v>
      </c>
      <c r="D492" s="23">
        <v>6.99</v>
      </c>
      <c r="E492" s="3">
        <v>13.98</v>
      </c>
      <c r="F492" s="2" t="s">
        <v>14164</v>
      </c>
      <c r="G492" s="22" t="s">
        <v>19431</v>
      </c>
      <c r="H492" s="24" t="s">
        <v>19384</v>
      </c>
      <c r="I492" s="22" t="s">
        <v>19309</v>
      </c>
      <c r="J492" s="22" t="s">
        <v>19573</v>
      </c>
      <c r="K492" s="22" t="s">
        <v>19574</v>
      </c>
      <c r="L492" s="22"/>
      <c r="M492" s="22"/>
      <c r="N492" s="25" t="str">
        <f>HYPERLINK("http://slimages.macys.com/is/image/MCY/19754501 ")</f>
        <v xml:space="preserve">http://slimages.macys.com/is/image/MCY/19754501 </v>
      </c>
    </row>
    <row r="493" spans="1:14" ht="24.75" x14ac:dyDescent="0.25">
      <c r="A493" s="21" t="s">
        <v>14165</v>
      </c>
      <c r="B493" s="22" t="s">
        <v>14166</v>
      </c>
      <c r="C493" s="2">
        <v>1</v>
      </c>
      <c r="D493" s="23">
        <v>6.99</v>
      </c>
      <c r="E493" s="3">
        <v>6.99</v>
      </c>
      <c r="F493" s="2" t="s">
        <v>14164</v>
      </c>
      <c r="G493" s="22" t="s">
        <v>19431</v>
      </c>
      <c r="H493" s="24" t="s">
        <v>19324</v>
      </c>
      <c r="I493" s="22" t="s">
        <v>19309</v>
      </c>
      <c r="J493" s="22" t="s">
        <v>19573</v>
      </c>
      <c r="K493" s="22" t="s">
        <v>19574</v>
      </c>
      <c r="L493" s="22"/>
      <c r="M493" s="22"/>
      <c r="N493" s="25" t="str">
        <f>HYPERLINK("http://slimages.macys.com/is/image/MCY/19754501 ")</f>
        <v xml:space="preserve">http://slimages.macys.com/is/image/MCY/19754501 </v>
      </c>
    </row>
    <row r="494" spans="1:14" ht="24.75" x14ac:dyDescent="0.25">
      <c r="A494" s="21" t="s">
        <v>17071</v>
      </c>
      <c r="B494" s="22" t="s">
        <v>17072</v>
      </c>
      <c r="C494" s="2">
        <v>1</v>
      </c>
      <c r="D494" s="23">
        <v>6.99</v>
      </c>
      <c r="E494" s="3">
        <v>6.99</v>
      </c>
      <c r="F494" s="2" t="s">
        <v>17073</v>
      </c>
      <c r="G494" s="22" t="s">
        <v>19351</v>
      </c>
      <c r="H494" s="24" t="s">
        <v>19324</v>
      </c>
      <c r="I494" s="22" t="s">
        <v>19309</v>
      </c>
      <c r="J494" s="22" t="s">
        <v>19573</v>
      </c>
      <c r="K494" s="22" t="s">
        <v>19574</v>
      </c>
      <c r="L494" s="22"/>
      <c r="M494" s="22"/>
      <c r="N494" s="25" t="str">
        <f>HYPERLINK("http://slimages.macys.com/is/image/MCY/19507834 ")</f>
        <v xml:space="preserve">http://slimages.macys.com/is/image/MCY/19507834 </v>
      </c>
    </row>
    <row r="495" spans="1:14" ht="24.75" x14ac:dyDescent="0.25">
      <c r="A495" s="21" t="s">
        <v>14167</v>
      </c>
      <c r="B495" s="22" t="s">
        <v>14168</v>
      </c>
      <c r="C495" s="2">
        <v>1</v>
      </c>
      <c r="D495" s="23">
        <v>6.99</v>
      </c>
      <c r="E495" s="3">
        <v>6.99</v>
      </c>
      <c r="F495" s="2" t="s">
        <v>17073</v>
      </c>
      <c r="G495" s="22" t="s">
        <v>19351</v>
      </c>
      <c r="H495" s="24" t="s">
        <v>19416</v>
      </c>
      <c r="I495" s="22" t="s">
        <v>19309</v>
      </c>
      <c r="J495" s="22" t="s">
        <v>19573</v>
      </c>
      <c r="K495" s="22" t="s">
        <v>19574</v>
      </c>
      <c r="L495" s="22"/>
      <c r="M495" s="22"/>
      <c r="N495" s="25" t="str">
        <f>HYPERLINK("http://slimages.macys.com/is/image/MCY/19507834 ")</f>
        <v xml:space="preserve">http://slimages.macys.com/is/image/MCY/19507834 </v>
      </c>
    </row>
    <row r="496" spans="1:14" ht="24.75" x14ac:dyDescent="0.25">
      <c r="A496" s="21" t="s">
        <v>14169</v>
      </c>
      <c r="B496" s="22" t="s">
        <v>14170</v>
      </c>
      <c r="C496" s="2">
        <v>1</v>
      </c>
      <c r="D496" s="23">
        <v>5.99</v>
      </c>
      <c r="E496" s="3">
        <v>5.99</v>
      </c>
      <c r="F496" s="2" t="s">
        <v>14171</v>
      </c>
      <c r="G496" s="22" t="s">
        <v>19351</v>
      </c>
      <c r="H496" s="24" t="s">
        <v>19538</v>
      </c>
      <c r="I496" s="22" t="s">
        <v>19309</v>
      </c>
      <c r="J496" s="22" t="s">
        <v>19573</v>
      </c>
      <c r="K496" s="22" t="s">
        <v>19574</v>
      </c>
      <c r="L496" s="22"/>
      <c r="M496" s="22"/>
      <c r="N496" s="25" t="str">
        <f>HYPERLINK("http://slimages.macys.com/is/image/MCY/21361177 ")</f>
        <v xml:space="preserve">http://slimages.macys.com/is/image/MCY/21361177 </v>
      </c>
    </row>
    <row r="497" spans="1:14" ht="24.75" x14ac:dyDescent="0.25">
      <c r="A497" s="21" t="s">
        <v>14172</v>
      </c>
      <c r="B497" s="22" t="s">
        <v>14173</v>
      </c>
      <c r="C497" s="2">
        <v>2</v>
      </c>
      <c r="D497" s="23">
        <v>6.99</v>
      </c>
      <c r="E497" s="3">
        <v>13.98</v>
      </c>
      <c r="F497" s="2" t="s">
        <v>17073</v>
      </c>
      <c r="G497" s="22" t="s">
        <v>19351</v>
      </c>
      <c r="H497" s="24" t="s">
        <v>19384</v>
      </c>
      <c r="I497" s="22" t="s">
        <v>19309</v>
      </c>
      <c r="J497" s="22" t="s">
        <v>19573</v>
      </c>
      <c r="K497" s="22" t="s">
        <v>19574</v>
      </c>
      <c r="L497" s="22"/>
      <c r="M497" s="22"/>
      <c r="N497" s="25" t="str">
        <f>HYPERLINK("http://slimages.macys.com/is/image/MCY/19507834 ")</f>
        <v xml:space="preserve">http://slimages.macys.com/is/image/MCY/19507834 </v>
      </c>
    </row>
    <row r="498" spans="1:14" ht="24.75" x14ac:dyDescent="0.25">
      <c r="A498" s="21" t="s">
        <v>14174</v>
      </c>
      <c r="B498" s="22" t="s">
        <v>14175</v>
      </c>
      <c r="C498" s="2">
        <v>1</v>
      </c>
      <c r="D498" s="23">
        <v>6.99</v>
      </c>
      <c r="E498" s="3">
        <v>6.99</v>
      </c>
      <c r="F498" s="2" t="s">
        <v>14164</v>
      </c>
      <c r="G498" s="22" t="s">
        <v>19431</v>
      </c>
      <c r="H498" s="24" t="s">
        <v>19416</v>
      </c>
      <c r="I498" s="22" t="s">
        <v>19309</v>
      </c>
      <c r="J498" s="22" t="s">
        <v>19573</v>
      </c>
      <c r="K498" s="22" t="s">
        <v>19574</v>
      </c>
      <c r="L498" s="22"/>
      <c r="M498" s="22"/>
      <c r="N498" s="25" t="str">
        <f>HYPERLINK("http://slimages.macys.com/is/image/MCY/19754501 ")</f>
        <v xml:space="preserve">http://slimages.macys.com/is/image/MCY/19754501 </v>
      </c>
    </row>
    <row r="499" spans="1:14" ht="24.75" x14ac:dyDescent="0.25">
      <c r="A499" s="21" t="s">
        <v>14176</v>
      </c>
      <c r="B499" s="22" t="s">
        <v>14177</v>
      </c>
      <c r="C499" s="2">
        <v>2</v>
      </c>
      <c r="D499" s="23">
        <v>5.99</v>
      </c>
      <c r="E499" s="3">
        <v>11.98</v>
      </c>
      <c r="F499" s="2" t="s">
        <v>19048</v>
      </c>
      <c r="G499" s="22" t="s">
        <v>19467</v>
      </c>
      <c r="H499" s="24" t="s">
        <v>19538</v>
      </c>
      <c r="I499" s="22" t="s">
        <v>19309</v>
      </c>
      <c r="J499" s="22" t="s">
        <v>19573</v>
      </c>
      <c r="K499" s="22" t="s">
        <v>19574</v>
      </c>
      <c r="L499" s="22"/>
      <c r="M499" s="22"/>
      <c r="N499" s="25" t="str">
        <f>HYPERLINK("http://slimages.macys.com/is/image/MCY/1586078 ")</f>
        <v xml:space="preserve">http://slimages.macys.com/is/image/MCY/1586078 </v>
      </c>
    </row>
    <row r="500" spans="1:14" ht="24.75" x14ac:dyDescent="0.25">
      <c r="A500" s="21" t="s">
        <v>14178</v>
      </c>
      <c r="B500" s="22" t="s">
        <v>14179</v>
      </c>
      <c r="C500" s="2">
        <v>1</v>
      </c>
      <c r="D500" s="23">
        <v>5.99</v>
      </c>
      <c r="E500" s="3">
        <v>5.99</v>
      </c>
      <c r="F500" s="2" t="s">
        <v>14180</v>
      </c>
      <c r="G500" s="22" t="s">
        <v>19431</v>
      </c>
      <c r="H500" s="24" t="s">
        <v>19324</v>
      </c>
      <c r="I500" s="22" t="s">
        <v>19309</v>
      </c>
      <c r="J500" s="22" t="s">
        <v>19573</v>
      </c>
      <c r="K500" s="22" t="s">
        <v>19574</v>
      </c>
      <c r="L500" s="22"/>
      <c r="M500" s="22"/>
      <c r="N500" s="25" t="str">
        <f>HYPERLINK("http://slimages.macys.com/is/image/MCY/21209393 ")</f>
        <v xml:space="preserve">http://slimages.macys.com/is/image/MCY/21209393 </v>
      </c>
    </row>
    <row r="501" spans="1:14" ht="24.75" x14ac:dyDescent="0.25">
      <c r="A501" s="21" t="s">
        <v>14181</v>
      </c>
      <c r="B501" s="22" t="s">
        <v>14182</v>
      </c>
      <c r="C501" s="2">
        <v>1</v>
      </c>
      <c r="D501" s="23">
        <v>5.99</v>
      </c>
      <c r="E501" s="3">
        <v>5.99</v>
      </c>
      <c r="F501" s="2" t="s">
        <v>14180</v>
      </c>
      <c r="G501" s="22" t="s">
        <v>19431</v>
      </c>
      <c r="H501" s="24" t="s">
        <v>19416</v>
      </c>
      <c r="I501" s="22" t="s">
        <v>19309</v>
      </c>
      <c r="J501" s="22" t="s">
        <v>19573</v>
      </c>
      <c r="K501" s="22" t="s">
        <v>19574</v>
      </c>
      <c r="L501" s="22"/>
      <c r="M501" s="22"/>
      <c r="N501" s="25" t="str">
        <f>HYPERLINK("http://slimages.macys.com/is/image/MCY/21209393 ")</f>
        <v xml:space="preserve">http://slimages.macys.com/is/image/MCY/21209393 </v>
      </c>
    </row>
    <row r="502" spans="1:14" ht="24.75" x14ac:dyDescent="0.25">
      <c r="A502" s="21" t="s">
        <v>14183</v>
      </c>
      <c r="B502" s="22" t="s">
        <v>14184</v>
      </c>
      <c r="C502" s="2">
        <v>2</v>
      </c>
      <c r="D502" s="23">
        <v>5.99</v>
      </c>
      <c r="E502" s="3">
        <v>11.98</v>
      </c>
      <c r="F502" s="2" t="s">
        <v>14180</v>
      </c>
      <c r="G502" s="22" t="s">
        <v>19431</v>
      </c>
      <c r="H502" s="24" t="s">
        <v>19538</v>
      </c>
      <c r="I502" s="22" t="s">
        <v>19309</v>
      </c>
      <c r="J502" s="22" t="s">
        <v>19573</v>
      </c>
      <c r="K502" s="22" t="s">
        <v>19574</v>
      </c>
      <c r="L502" s="22"/>
      <c r="M502" s="22"/>
      <c r="N502" s="25" t="str">
        <f>HYPERLINK("http://slimages.macys.com/is/image/MCY/21209393 ")</f>
        <v xml:space="preserve">http://slimages.macys.com/is/image/MCY/21209393 </v>
      </c>
    </row>
    <row r="503" spans="1:14" ht="24.75" x14ac:dyDescent="0.25">
      <c r="A503" s="21" t="s">
        <v>14185</v>
      </c>
      <c r="B503" s="22" t="s">
        <v>14186</v>
      </c>
      <c r="C503" s="2">
        <v>1</v>
      </c>
      <c r="D503" s="23">
        <v>5.99</v>
      </c>
      <c r="E503" s="3">
        <v>5.99</v>
      </c>
      <c r="F503" s="2" t="s">
        <v>19043</v>
      </c>
      <c r="G503" s="22" t="s">
        <v>19415</v>
      </c>
      <c r="H503" s="24" t="s">
        <v>19330</v>
      </c>
      <c r="I503" s="22" t="s">
        <v>19309</v>
      </c>
      <c r="J503" s="22" t="s">
        <v>19573</v>
      </c>
      <c r="K503" s="22" t="s">
        <v>19574</v>
      </c>
      <c r="L503" s="22"/>
      <c r="M503" s="22"/>
      <c r="N503" s="25" t="str">
        <f>HYPERLINK("http://slimages.macys.com/is/image/MCY/21209612 ")</f>
        <v xml:space="preserve">http://slimages.macys.com/is/image/MCY/21209612 </v>
      </c>
    </row>
    <row r="504" spans="1:14" ht="24.75" x14ac:dyDescent="0.25">
      <c r="A504" s="21" t="s">
        <v>17083</v>
      </c>
      <c r="B504" s="22" t="s">
        <v>17084</v>
      </c>
      <c r="C504" s="2">
        <v>1</v>
      </c>
      <c r="D504" s="23">
        <v>7.99</v>
      </c>
      <c r="E504" s="3">
        <v>7.99</v>
      </c>
      <c r="F504" s="2" t="s">
        <v>18975</v>
      </c>
      <c r="G504" s="22" t="s">
        <v>19431</v>
      </c>
      <c r="H504" s="24" t="s">
        <v>19907</v>
      </c>
      <c r="I504" s="22" t="s">
        <v>19309</v>
      </c>
      <c r="J504" s="22" t="s">
        <v>19815</v>
      </c>
      <c r="K504" s="22" t="s">
        <v>19816</v>
      </c>
      <c r="L504" s="22"/>
      <c r="M504" s="22"/>
      <c r="N504" s="25" t="str">
        <f>HYPERLINK("http://slimages.macys.com/is/image/MCY/1499389 ")</f>
        <v xml:space="preserve">http://slimages.macys.com/is/image/MCY/1499389 </v>
      </c>
    </row>
    <row r="505" spans="1:14" ht="24.75" x14ac:dyDescent="0.25">
      <c r="A505" s="21" t="s">
        <v>17093</v>
      </c>
      <c r="B505" s="22" t="s">
        <v>17094</v>
      </c>
      <c r="C505" s="2">
        <v>1</v>
      </c>
      <c r="D505" s="23">
        <v>7.99</v>
      </c>
      <c r="E505" s="3">
        <v>7.99</v>
      </c>
      <c r="F505" s="2" t="s">
        <v>18975</v>
      </c>
      <c r="G505" s="22" t="s">
        <v>19431</v>
      </c>
      <c r="H505" s="24" t="s">
        <v>20135</v>
      </c>
      <c r="I505" s="22" t="s">
        <v>19309</v>
      </c>
      <c r="J505" s="22" t="s">
        <v>19815</v>
      </c>
      <c r="K505" s="22" t="s">
        <v>19816</v>
      </c>
      <c r="L505" s="22"/>
      <c r="M505" s="22"/>
      <c r="N505" s="25" t="str">
        <f>HYPERLINK("http://slimages.macys.com/is/image/MCY/1499389 ")</f>
        <v xml:space="preserve">http://slimages.macys.com/is/image/MCY/1499389 </v>
      </c>
    </row>
    <row r="506" spans="1:14" ht="24.75" x14ac:dyDescent="0.25">
      <c r="A506" s="21" t="s">
        <v>17085</v>
      </c>
      <c r="B506" s="22" t="s">
        <v>17086</v>
      </c>
      <c r="C506" s="2">
        <v>1</v>
      </c>
      <c r="D506" s="23">
        <v>7.99</v>
      </c>
      <c r="E506" s="3">
        <v>7.99</v>
      </c>
      <c r="F506" s="2" t="s">
        <v>18975</v>
      </c>
      <c r="G506" s="22" t="s">
        <v>19431</v>
      </c>
      <c r="H506" s="24" t="s">
        <v>19361</v>
      </c>
      <c r="I506" s="22" t="s">
        <v>19309</v>
      </c>
      <c r="J506" s="22" t="s">
        <v>19815</v>
      </c>
      <c r="K506" s="22" t="s">
        <v>19816</v>
      </c>
      <c r="L506" s="22"/>
      <c r="M506" s="22"/>
      <c r="N506" s="25" t="str">
        <f>HYPERLINK("http://slimages.macys.com/is/image/MCY/1499389 ")</f>
        <v xml:space="preserve">http://slimages.macys.com/is/image/MCY/1499389 </v>
      </c>
    </row>
    <row r="507" spans="1:14" ht="24.75" x14ac:dyDescent="0.25">
      <c r="A507" s="21" t="s">
        <v>17091</v>
      </c>
      <c r="B507" s="22" t="s">
        <v>17092</v>
      </c>
      <c r="C507" s="2">
        <v>1</v>
      </c>
      <c r="D507" s="23">
        <v>7.99</v>
      </c>
      <c r="E507" s="3">
        <v>7.99</v>
      </c>
      <c r="F507" s="2" t="s">
        <v>18975</v>
      </c>
      <c r="G507" s="22" t="s">
        <v>19431</v>
      </c>
      <c r="H507" s="24" t="s">
        <v>19542</v>
      </c>
      <c r="I507" s="22" t="s">
        <v>19309</v>
      </c>
      <c r="J507" s="22" t="s">
        <v>19815</v>
      </c>
      <c r="K507" s="22" t="s">
        <v>19816</v>
      </c>
      <c r="L507" s="22"/>
      <c r="M507" s="22"/>
      <c r="N507" s="25" t="str">
        <f>HYPERLINK("http://slimages.macys.com/is/image/MCY/1499389 ")</f>
        <v xml:space="preserve">http://slimages.macys.com/is/image/MCY/1499389 </v>
      </c>
    </row>
    <row r="508" spans="1:14" ht="24.75" x14ac:dyDescent="0.25">
      <c r="A508" s="21" t="s">
        <v>14187</v>
      </c>
      <c r="B508" s="22" t="s">
        <v>14188</v>
      </c>
      <c r="C508" s="2">
        <v>1</v>
      </c>
      <c r="D508" s="23">
        <v>7.99</v>
      </c>
      <c r="E508" s="3">
        <v>7.99</v>
      </c>
      <c r="F508" s="2" t="s">
        <v>18975</v>
      </c>
      <c r="G508" s="22" t="s">
        <v>19431</v>
      </c>
      <c r="H508" s="24" t="s">
        <v>19432</v>
      </c>
      <c r="I508" s="22" t="s">
        <v>19309</v>
      </c>
      <c r="J508" s="22" t="s">
        <v>19815</v>
      </c>
      <c r="K508" s="22" t="s">
        <v>19816</v>
      </c>
      <c r="L508" s="22"/>
      <c r="M508" s="22"/>
      <c r="N508" s="25" t="str">
        <f>HYPERLINK("http://slimages.macys.com/is/image/MCY/1499389 ")</f>
        <v xml:space="preserve">http://slimages.macys.com/is/image/MCY/1499389 </v>
      </c>
    </row>
    <row r="509" spans="1:14" ht="24.75" x14ac:dyDescent="0.25">
      <c r="A509" s="21" t="s">
        <v>14189</v>
      </c>
      <c r="B509" s="22" t="s">
        <v>14190</v>
      </c>
      <c r="C509" s="2">
        <v>1</v>
      </c>
      <c r="D509" s="23">
        <v>7.99</v>
      </c>
      <c r="E509" s="3">
        <v>7.99</v>
      </c>
      <c r="F509" s="2" t="s">
        <v>18975</v>
      </c>
      <c r="G509" s="22" t="s">
        <v>19585</v>
      </c>
      <c r="H509" s="24" t="s">
        <v>19361</v>
      </c>
      <c r="I509" s="22" t="s">
        <v>19309</v>
      </c>
      <c r="J509" s="22" t="s">
        <v>19815</v>
      </c>
      <c r="K509" s="22" t="s">
        <v>19816</v>
      </c>
      <c r="L509" s="22"/>
      <c r="M509" s="22"/>
      <c r="N509" s="25" t="str">
        <f>HYPERLINK("http://slimages.macys.com/is/image/MCY/20454015 ")</f>
        <v xml:space="preserve">http://slimages.macys.com/is/image/MCY/20454015 </v>
      </c>
    </row>
    <row r="510" spans="1:14" ht="24.75" x14ac:dyDescent="0.25">
      <c r="A510" s="21" t="s">
        <v>14191</v>
      </c>
      <c r="B510" s="22" t="s">
        <v>14192</v>
      </c>
      <c r="C510" s="2">
        <v>1</v>
      </c>
      <c r="D510" s="23">
        <v>7.99</v>
      </c>
      <c r="E510" s="3">
        <v>7.99</v>
      </c>
      <c r="F510" s="2" t="s">
        <v>18975</v>
      </c>
      <c r="G510" s="22" t="s">
        <v>19404</v>
      </c>
      <c r="H510" s="24" t="s">
        <v>20135</v>
      </c>
      <c r="I510" s="22" t="s">
        <v>19309</v>
      </c>
      <c r="J510" s="22" t="s">
        <v>19815</v>
      </c>
      <c r="K510" s="22" t="s">
        <v>19816</v>
      </c>
      <c r="L510" s="22"/>
      <c r="M510" s="22"/>
      <c r="N510" s="25" t="str">
        <f>HYPERLINK("http://slimages.macys.com/is/image/MCY/23423563 ")</f>
        <v xml:space="preserve">http://slimages.macys.com/is/image/MCY/23423563 </v>
      </c>
    </row>
    <row r="511" spans="1:14" ht="24.75" x14ac:dyDescent="0.25">
      <c r="A511" s="21" t="s">
        <v>14193</v>
      </c>
      <c r="B511" s="22" t="s">
        <v>14194</v>
      </c>
      <c r="C511" s="2">
        <v>2</v>
      </c>
      <c r="D511" s="23">
        <v>7.99</v>
      </c>
      <c r="E511" s="3">
        <v>15.98</v>
      </c>
      <c r="F511" s="2" t="s">
        <v>18975</v>
      </c>
      <c r="G511" s="22" t="s">
        <v>19518</v>
      </c>
      <c r="H511" s="24" t="s">
        <v>19542</v>
      </c>
      <c r="I511" s="22" t="s">
        <v>19309</v>
      </c>
      <c r="J511" s="22" t="s">
        <v>19815</v>
      </c>
      <c r="K511" s="22" t="s">
        <v>19816</v>
      </c>
      <c r="L511" s="22"/>
      <c r="M511" s="22"/>
      <c r="N511" s="25" t="str">
        <f>HYPERLINK("http://slimages.macys.com/is/image/MCY/20454015 ")</f>
        <v xml:space="preserve">http://slimages.macys.com/is/image/MCY/20454015 </v>
      </c>
    </row>
    <row r="512" spans="1:14" ht="24.75" x14ac:dyDescent="0.25">
      <c r="A512" s="21" t="s">
        <v>14195</v>
      </c>
      <c r="B512" s="22" t="s">
        <v>14196</v>
      </c>
      <c r="C512" s="2">
        <v>2</v>
      </c>
      <c r="D512" s="23">
        <v>7.99</v>
      </c>
      <c r="E512" s="3">
        <v>15.98</v>
      </c>
      <c r="F512" s="2" t="s">
        <v>18975</v>
      </c>
      <c r="G512" s="22" t="s">
        <v>19518</v>
      </c>
      <c r="H512" s="24" t="s">
        <v>20135</v>
      </c>
      <c r="I512" s="22" t="s">
        <v>19309</v>
      </c>
      <c r="J512" s="22" t="s">
        <v>19815</v>
      </c>
      <c r="K512" s="22" t="s">
        <v>19816</v>
      </c>
      <c r="L512" s="22"/>
      <c r="M512" s="22"/>
      <c r="N512" s="25" t="str">
        <f t="shared" ref="N512:N519" si="2">HYPERLINK("http://slimages.macys.com/is/image/MCY/23423563 ")</f>
        <v xml:space="preserve">http://slimages.macys.com/is/image/MCY/23423563 </v>
      </c>
    </row>
    <row r="513" spans="1:14" ht="24.75" x14ac:dyDescent="0.25">
      <c r="A513" s="21" t="s">
        <v>14197</v>
      </c>
      <c r="B513" s="22" t="s">
        <v>14198</v>
      </c>
      <c r="C513" s="2">
        <v>1</v>
      </c>
      <c r="D513" s="23">
        <v>7.99</v>
      </c>
      <c r="E513" s="3">
        <v>7.99</v>
      </c>
      <c r="F513" s="2" t="s">
        <v>18975</v>
      </c>
      <c r="G513" s="22" t="s">
        <v>19518</v>
      </c>
      <c r="H513" s="24" t="s">
        <v>19361</v>
      </c>
      <c r="I513" s="22" t="s">
        <v>19309</v>
      </c>
      <c r="J513" s="22" t="s">
        <v>19815</v>
      </c>
      <c r="K513" s="22" t="s">
        <v>19816</v>
      </c>
      <c r="L513" s="22"/>
      <c r="M513" s="22"/>
      <c r="N513" s="25" t="str">
        <f t="shared" si="2"/>
        <v xml:space="preserve">http://slimages.macys.com/is/image/MCY/23423563 </v>
      </c>
    </row>
    <row r="514" spans="1:14" ht="24.75" x14ac:dyDescent="0.25">
      <c r="A514" s="21" t="s">
        <v>14199</v>
      </c>
      <c r="B514" s="22" t="s">
        <v>14200</v>
      </c>
      <c r="C514" s="2">
        <v>2</v>
      </c>
      <c r="D514" s="23">
        <v>7.99</v>
      </c>
      <c r="E514" s="3">
        <v>15.98</v>
      </c>
      <c r="F514" s="2" t="s">
        <v>18975</v>
      </c>
      <c r="G514" s="22" t="s">
        <v>19518</v>
      </c>
      <c r="H514" s="24" t="s">
        <v>19432</v>
      </c>
      <c r="I514" s="22" t="s">
        <v>19309</v>
      </c>
      <c r="J514" s="22" t="s">
        <v>19815</v>
      </c>
      <c r="K514" s="22" t="s">
        <v>19816</v>
      </c>
      <c r="L514" s="22"/>
      <c r="M514" s="22"/>
      <c r="N514" s="25" t="str">
        <f t="shared" si="2"/>
        <v xml:space="preserve">http://slimages.macys.com/is/image/MCY/23423563 </v>
      </c>
    </row>
    <row r="515" spans="1:14" ht="24.75" x14ac:dyDescent="0.25">
      <c r="A515" s="21" t="s">
        <v>14201</v>
      </c>
      <c r="B515" s="22" t="s">
        <v>14202</v>
      </c>
      <c r="C515" s="2">
        <v>1</v>
      </c>
      <c r="D515" s="23">
        <v>7.99</v>
      </c>
      <c r="E515" s="3">
        <v>7.99</v>
      </c>
      <c r="F515" s="2" t="s">
        <v>18975</v>
      </c>
      <c r="G515" s="22" t="s">
        <v>19763</v>
      </c>
      <c r="H515" s="24" t="s">
        <v>19907</v>
      </c>
      <c r="I515" s="22" t="s">
        <v>19309</v>
      </c>
      <c r="J515" s="22" t="s">
        <v>19815</v>
      </c>
      <c r="K515" s="22" t="s">
        <v>19816</v>
      </c>
      <c r="L515" s="22"/>
      <c r="M515" s="22"/>
      <c r="N515" s="25" t="str">
        <f t="shared" si="2"/>
        <v xml:space="preserve">http://slimages.macys.com/is/image/MCY/23423563 </v>
      </c>
    </row>
    <row r="516" spans="1:14" ht="24.75" x14ac:dyDescent="0.25">
      <c r="A516" s="21" t="s">
        <v>14203</v>
      </c>
      <c r="B516" s="22" t="s">
        <v>14204</v>
      </c>
      <c r="C516" s="2">
        <v>1</v>
      </c>
      <c r="D516" s="23">
        <v>7.99</v>
      </c>
      <c r="E516" s="3">
        <v>7.99</v>
      </c>
      <c r="F516" s="2" t="s">
        <v>18975</v>
      </c>
      <c r="G516" s="22" t="s">
        <v>19763</v>
      </c>
      <c r="H516" s="24" t="s">
        <v>19392</v>
      </c>
      <c r="I516" s="22" t="s">
        <v>19309</v>
      </c>
      <c r="J516" s="22" t="s">
        <v>19815</v>
      </c>
      <c r="K516" s="22" t="s">
        <v>19816</v>
      </c>
      <c r="L516" s="22"/>
      <c r="M516" s="22"/>
      <c r="N516" s="25" t="str">
        <f t="shared" si="2"/>
        <v xml:space="preserve">http://slimages.macys.com/is/image/MCY/23423563 </v>
      </c>
    </row>
    <row r="517" spans="1:14" ht="24.75" x14ac:dyDescent="0.25">
      <c r="A517" s="21" t="s">
        <v>14746</v>
      </c>
      <c r="B517" s="22" t="s">
        <v>14747</v>
      </c>
      <c r="C517" s="2">
        <v>1</v>
      </c>
      <c r="D517" s="23">
        <v>7.99</v>
      </c>
      <c r="E517" s="3">
        <v>7.99</v>
      </c>
      <c r="F517" s="2" t="s">
        <v>18975</v>
      </c>
      <c r="G517" s="22" t="s">
        <v>19763</v>
      </c>
      <c r="H517" s="24" t="s">
        <v>19361</v>
      </c>
      <c r="I517" s="22" t="s">
        <v>19309</v>
      </c>
      <c r="J517" s="22" t="s">
        <v>19815</v>
      </c>
      <c r="K517" s="22" t="s">
        <v>19816</v>
      </c>
      <c r="L517" s="22"/>
      <c r="M517" s="22"/>
      <c r="N517" s="25" t="str">
        <f t="shared" si="2"/>
        <v xml:space="preserve">http://slimages.macys.com/is/image/MCY/23423563 </v>
      </c>
    </row>
    <row r="518" spans="1:14" ht="24.75" x14ac:dyDescent="0.25">
      <c r="A518" s="21" t="s">
        <v>14205</v>
      </c>
      <c r="B518" s="22" t="s">
        <v>14206</v>
      </c>
      <c r="C518" s="2">
        <v>1</v>
      </c>
      <c r="D518" s="23">
        <v>7.99</v>
      </c>
      <c r="E518" s="3">
        <v>7.99</v>
      </c>
      <c r="F518" s="2" t="s">
        <v>18975</v>
      </c>
      <c r="G518" s="22" t="s">
        <v>19763</v>
      </c>
      <c r="H518" s="24" t="s">
        <v>19542</v>
      </c>
      <c r="I518" s="22" t="s">
        <v>19309</v>
      </c>
      <c r="J518" s="22" t="s">
        <v>19815</v>
      </c>
      <c r="K518" s="22" t="s">
        <v>19816</v>
      </c>
      <c r="L518" s="22"/>
      <c r="M518" s="22"/>
      <c r="N518" s="25" t="str">
        <f t="shared" si="2"/>
        <v xml:space="preserve">http://slimages.macys.com/is/image/MCY/23423563 </v>
      </c>
    </row>
    <row r="519" spans="1:14" ht="24.75" x14ac:dyDescent="0.25">
      <c r="A519" s="21" t="s">
        <v>14207</v>
      </c>
      <c r="B519" s="22" t="s">
        <v>14208</v>
      </c>
      <c r="C519" s="2">
        <v>1</v>
      </c>
      <c r="D519" s="23">
        <v>7.99</v>
      </c>
      <c r="E519" s="3">
        <v>7.99</v>
      </c>
      <c r="F519" s="2" t="s">
        <v>18975</v>
      </c>
      <c r="G519" s="22" t="s">
        <v>19763</v>
      </c>
      <c r="H519" s="24" t="s">
        <v>19432</v>
      </c>
      <c r="I519" s="22" t="s">
        <v>19309</v>
      </c>
      <c r="J519" s="22" t="s">
        <v>19815</v>
      </c>
      <c r="K519" s="22" t="s">
        <v>19816</v>
      </c>
      <c r="L519" s="22"/>
      <c r="M519" s="22"/>
      <c r="N519" s="25" t="str">
        <f t="shared" si="2"/>
        <v xml:space="preserve">http://slimages.macys.com/is/image/MCY/23423563 </v>
      </c>
    </row>
    <row r="520" spans="1:14" ht="24.75" x14ac:dyDescent="0.25">
      <c r="A520" s="21" t="s">
        <v>17089</v>
      </c>
      <c r="B520" s="22" t="s">
        <v>17090</v>
      </c>
      <c r="C520" s="2">
        <v>1</v>
      </c>
      <c r="D520" s="23">
        <v>7.99</v>
      </c>
      <c r="E520" s="3">
        <v>7.99</v>
      </c>
      <c r="F520" s="2" t="s">
        <v>18975</v>
      </c>
      <c r="G520" s="22" t="s">
        <v>19431</v>
      </c>
      <c r="H520" s="24" t="s">
        <v>19392</v>
      </c>
      <c r="I520" s="22" t="s">
        <v>19309</v>
      </c>
      <c r="J520" s="22" t="s">
        <v>19815</v>
      </c>
      <c r="K520" s="22" t="s">
        <v>19816</v>
      </c>
      <c r="L520" s="22"/>
      <c r="M520" s="22"/>
      <c r="N520" s="25" t="str">
        <f>HYPERLINK("http://slimages.macys.com/is/image/MCY/1499389 ")</f>
        <v xml:space="preserve">http://slimages.macys.com/is/image/MCY/1499389 </v>
      </c>
    </row>
    <row r="521" spans="1:14" ht="24.75" x14ac:dyDescent="0.25">
      <c r="A521" s="21" t="s">
        <v>14209</v>
      </c>
      <c r="B521" s="22" t="s">
        <v>14210</v>
      </c>
      <c r="C521" s="2">
        <v>1</v>
      </c>
      <c r="D521" s="23">
        <v>7.99</v>
      </c>
      <c r="E521" s="3">
        <v>7.99</v>
      </c>
      <c r="F521" s="2" t="s">
        <v>14211</v>
      </c>
      <c r="G521" s="22" t="s">
        <v>19467</v>
      </c>
      <c r="H521" s="24" t="s">
        <v>19907</v>
      </c>
      <c r="I521" s="22" t="s">
        <v>19309</v>
      </c>
      <c r="J521" s="22" t="s">
        <v>19573</v>
      </c>
      <c r="K521" s="22" t="s">
        <v>19574</v>
      </c>
      <c r="L521" s="22"/>
      <c r="M521" s="22"/>
      <c r="N521" s="25" t="str">
        <f>HYPERLINK("http://slimages.macys.com/is/image/MCY/1554794 ")</f>
        <v xml:space="preserve">http://slimages.macys.com/is/image/MCY/1554794 </v>
      </c>
    </row>
    <row r="522" spans="1:14" ht="24.75" x14ac:dyDescent="0.25">
      <c r="A522" s="21" t="s">
        <v>14212</v>
      </c>
      <c r="B522" s="22" t="s">
        <v>14213</v>
      </c>
      <c r="C522" s="2">
        <v>2</v>
      </c>
      <c r="D522" s="23">
        <v>6.99</v>
      </c>
      <c r="E522" s="3">
        <v>13.98</v>
      </c>
      <c r="F522" s="2" t="s">
        <v>14214</v>
      </c>
      <c r="G522" s="22" t="s">
        <v>19351</v>
      </c>
      <c r="H522" s="24" t="s">
        <v>19538</v>
      </c>
      <c r="I522" s="22" t="s">
        <v>19309</v>
      </c>
      <c r="J522" s="22" t="s">
        <v>19573</v>
      </c>
      <c r="K522" s="22" t="s">
        <v>19574</v>
      </c>
      <c r="L522" s="22"/>
      <c r="M522" s="22"/>
      <c r="N522" s="25" t="str">
        <f>HYPERLINK("http://slimages.macys.com/is/image/MCY/992998 ")</f>
        <v xml:space="preserve">http://slimages.macys.com/is/image/MCY/992998 </v>
      </c>
    </row>
    <row r="523" spans="1:14" ht="24.75" x14ac:dyDescent="0.25">
      <c r="A523" s="21" t="s">
        <v>14215</v>
      </c>
      <c r="B523" s="22" t="s">
        <v>14216</v>
      </c>
      <c r="C523" s="2">
        <v>1</v>
      </c>
      <c r="D523" s="23">
        <v>7.99</v>
      </c>
      <c r="E523" s="3">
        <v>7.99</v>
      </c>
      <c r="F523" s="2" t="s">
        <v>17100</v>
      </c>
      <c r="G523" s="22" t="s">
        <v>19518</v>
      </c>
      <c r="H523" s="24" t="s">
        <v>20135</v>
      </c>
      <c r="I523" s="22" t="s">
        <v>19309</v>
      </c>
      <c r="J523" s="22" t="s">
        <v>19815</v>
      </c>
      <c r="K523" s="22" t="s">
        <v>19816</v>
      </c>
      <c r="L523" s="22"/>
      <c r="M523" s="22"/>
      <c r="N523" s="25" t="str">
        <f>HYPERLINK("http://slimages.macys.com/is/image/MCY/1520495 ")</f>
        <v xml:space="preserve">http://slimages.macys.com/is/image/MCY/1520495 </v>
      </c>
    </row>
    <row r="524" spans="1:14" ht="24.75" x14ac:dyDescent="0.25">
      <c r="A524" s="21" t="s">
        <v>14217</v>
      </c>
      <c r="B524" s="22" t="s">
        <v>14218</v>
      </c>
      <c r="C524" s="2">
        <v>1</v>
      </c>
      <c r="D524" s="23">
        <v>7.99</v>
      </c>
      <c r="E524" s="3">
        <v>7.99</v>
      </c>
      <c r="F524" s="2" t="s">
        <v>17100</v>
      </c>
      <c r="G524" s="22" t="s">
        <v>19518</v>
      </c>
      <c r="H524" s="24" t="s">
        <v>19361</v>
      </c>
      <c r="I524" s="22" t="s">
        <v>19309</v>
      </c>
      <c r="J524" s="22" t="s">
        <v>19815</v>
      </c>
      <c r="K524" s="22" t="s">
        <v>19816</v>
      </c>
      <c r="L524" s="22"/>
      <c r="M524" s="22"/>
      <c r="N524" s="25" t="str">
        <f>HYPERLINK("http://slimages.macys.com/is/image/MCY/21188057 ")</f>
        <v xml:space="preserve">http://slimages.macys.com/is/image/MCY/21188057 </v>
      </c>
    </row>
    <row r="525" spans="1:14" ht="24.75" x14ac:dyDescent="0.25">
      <c r="A525" s="21" t="s">
        <v>14219</v>
      </c>
      <c r="B525" s="22" t="s">
        <v>14220</v>
      </c>
      <c r="C525" s="2">
        <v>1</v>
      </c>
      <c r="D525" s="23">
        <v>7.99</v>
      </c>
      <c r="E525" s="3">
        <v>7.99</v>
      </c>
      <c r="F525" s="2" t="s">
        <v>17100</v>
      </c>
      <c r="G525" s="22" t="s">
        <v>19315</v>
      </c>
      <c r="H525" s="24" t="s">
        <v>19361</v>
      </c>
      <c r="I525" s="22" t="s">
        <v>19309</v>
      </c>
      <c r="J525" s="22" t="s">
        <v>19815</v>
      </c>
      <c r="K525" s="22" t="s">
        <v>19816</v>
      </c>
      <c r="L525" s="22"/>
      <c r="M525" s="22"/>
      <c r="N525" s="25" t="str">
        <f>HYPERLINK("http://slimages.macys.com/is/image/MCY/21188057 ")</f>
        <v xml:space="preserve">http://slimages.macys.com/is/image/MCY/21188057 </v>
      </c>
    </row>
    <row r="526" spans="1:14" ht="24.75" x14ac:dyDescent="0.25">
      <c r="A526" s="21" t="s">
        <v>14221</v>
      </c>
      <c r="B526" s="22" t="s">
        <v>14222</v>
      </c>
      <c r="C526" s="2">
        <v>1</v>
      </c>
      <c r="D526" s="23">
        <v>7.99</v>
      </c>
      <c r="E526" s="3">
        <v>7.99</v>
      </c>
      <c r="F526" s="2" t="s">
        <v>17100</v>
      </c>
      <c r="G526" s="22" t="s">
        <v>19585</v>
      </c>
      <c r="H526" s="24" t="s">
        <v>19432</v>
      </c>
      <c r="I526" s="22" t="s">
        <v>19309</v>
      </c>
      <c r="J526" s="22" t="s">
        <v>19815</v>
      </c>
      <c r="K526" s="22" t="s">
        <v>19816</v>
      </c>
      <c r="L526" s="22"/>
      <c r="M526" s="22"/>
      <c r="N526" s="25" t="str">
        <f>HYPERLINK("http://slimages.macys.com/is/image/MCY/1520495 ")</f>
        <v xml:space="preserve">http://slimages.macys.com/is/image/MCY/1520495 </v>
      </c>
    </row>
    <row r="527" spans="1:14" ht="24.75" x14ac:dyDescent="0.25">
      <c r="A527" s="21" t="s">
        <v>14223</v>
      </c>
      <c r="B527" s="22" t="s">
        <v>14224</v>
      </c>
      <c r="C527" s="2">
        <v>1</v>
      </c>
      <c r="D527" s="23">
        <v>7.99</v>
      </c>
      <c r="E527" s="3">
        <v>7.99</v>
      </c>
      <c r="F527" s="2" t="s">
        <v>17100</v>
      </c>
      <c r="G527" s="22" t="s">
        <v>19315</v>
      </c>
      <c r="H527" s="24" t="s">
        <v>19432</v>
      </c>
      <c r="I527" s="22" t="s">
        <v>19309</v>
      </c>
      <c r="J527" s="22" t="s">
        <v>19815</v>
      </c>
      <c r="K527" s="22" t="s">
        <v>19816</v>
      </c>
      <c r="L527" s="22"/>
      <c r="M527" s="22"/>
      <c r="N527" s="25" t="str">
        <f>HYPERLINK("http://slimages.macys.com/is/image/MCY/21188057 ")</f>
        <v xml:space="preserve">http://slimages.macys.com/is/image/MCY/21188057 </v>
      </c>
    </row>
    <row r="528" spans="1:14" ht="24.75" x14ac:dyDescent="0.25">
      <c r="A528" s="21" t="s">
        <v>14225</v>
      </c>
      <c r="B528" s="22" t="s">
        <v>14226</v>
      </c>
      <c r="C528" s="2">
        <v>1</v>
      </c>
      <c r="D528" s="23">
        <v>7.99</v>
      </c>
      <c r="E528" s="3">
        <v>7.99</v>
      </c>
      <c r="F528" s="2" t="s">
        <v>17100</v>
      </c>
      <c r="G528" s="22" t="s">
        <v>19814</v>
      </c>
      <c r="H528" s="24" t="s">
        <v>19432</v>
      </c>
      <c r="I528" s="22" t="s">
        <v>19309</v>
      </c>
      <c r="J528" s="22" t="s">
        <v>19815</v>
      </c>
      <c r="K528" s="22" t="s">
        <v>19816</v>
      </c>
      <c r="L528" s="22"/>
      <c r="M528" s="22"/>
      <c r="N528" s="25" t="str">
        <f>HYPERLINK("http://slimages.macys.com/is/image/MCY/21188057 ")</f>
        <v xml:space="preserve">http://slimages.macys.com/is/image/MCY/21188057 </v>
      </c>
    </row>
    <row r="529" spans="1:14" ht="24.75" x14ac:dyDescent="0.25">
      <c r="A529" s="21" t="s">
        <v>14227</v>
      </c>
      <c r="B529" s="22" t="s">
        <v>14228</v>
      </c>
      <c r="C529" s="2">
        <v>1</v>
      </c>
      <c r="D529" s="23">
        <v>7.99</v>
      </c>
      <c r="E529" s="3">
        <v>7.99</v>
      </c>
      <c r="F529" s="2" t="s">
        <v>17100</v>
      </c>
      <c r="G529" s="22" t="s">
        <v>19518</v>
      </c>
      <c r="H529" s="24" t="s">
        <v>19907</v>
      </c>
      <c r="I529" s="22" t="s">
        <v>19309</v>
      </c>
      <c r="J529" s="22" t="s">
        <v>19815</v>
      </c>
      <c r="K529" s="22" t="s">
        <v>19816</v>
      </c>
      <c r="L529" s="22"/>
      <c r="M529" s="22"/>
      <c r="N529" s="25" t="str">
        <f>HYPERLINK("http://slimages.macys.com/is/image/MCY/1520495 ")</f>
        <v xml:space="preserve">http://slimages.macys.com/is/image/MCY/1520495 </v>
      </c>
    </row>
    <row r="530" spans="1:14" ht="24.75" x14ac:dyDescent="0.25">
      <c r="A530" s="21" t="s">
        <v>14229</v>
      </c>
      <c r="B530" s="22" t="s">
        <v>14230</v>
      </c>
      <c r="C530" s="2">
        <v>1</v>
      </c>
      <c r="D530" s="23">
        <v>7.99</v>
      </c>
      <c r="E530" s="3">
        <v>7.99</v>
      </c>
      <c r="F530" s="2" t="s">
        <v>17100</v>
      </c>
      <c r="G530" s="22" t="s">
        <v>19585</v>
      </c>
      <c r="H530" s="24" t="s">
        <v>19542</v>
      </c>
      <c r="I530" s="22" t="s">
        <v>19309</v>
      </c>
      <c r="J530" s="22" t="s">
        <v>19815</v>
      </c>
      <c r="K530" s="22" t="s">
        <v>19816</v>
      </c>
      <c r="L530" s="22"/>
      <c r="M530" s="22"/>
      <c r="N530" s="25" t="str">
        <f>HYPERLINK("http://slimages.macys.com/is/image/MCY/1520495 ")</f>
        <v xml:space="preserve">http://slimages.macys.com/is/image/MCY/1520495 </v>
      </c>
    </row>
    <row r="531" spans="1:14" ht="24.75" x14ac:dyDescent="0.25">
      <c r="A531" s="21" t="s">
        <v>14231</v>
      </c>
      <c r="B531" s="22" t="s">
        <v>14232</v>
      </c>
      <c r="C531" s="2">
        <v>1</v>
      </c>
      <c r="D531" s="23">
        <v>7.99</v>
      </c>
      <c r="E531" s="3">
        <v>7.99</v>
      </c>
      <c r="F531" s="2" t="s">
        <v>17100</v>
      </c>
      <c r="G531" s="22" t="s">
        <v>19585</v>
      </c>
      <c r="H531" s="24" t="s">
        <v>19907</v>
      </c>
      <c r="I531" s="22" t="s">
        <v>19309</v>
      </c>
      <c r="J531" s="22" t="s">
        <v>19815</v>
      </c>
      <c r="K531" s="22" t="s">
        <v>19816</v>
      </c>
      <c r="L531" s="22"/>
      <c r="M531" s="22"/>
      <c r="N531" s="25" t="str">
        <f>HYPERLINK("http://slimages.macys.com/is/image/MCY/1520495 ")</f>
        <v xml:space="preserve">http://slimages.macys.com/is/image/MCY/1520495 </v>
      </c>
    </row>
    <row r="532" spans="1:14" ht="24.75" x14ac:dyDescent="0.25">
      <c r="A532" s="21" t="s">
        <v>14233</v>
      </c>
      <c r="B532" s="22" t="s">
        <v>14234</v>
      </c>
      <c r="C532" s="2">
        <v>1</v>
      </c>
      <c r="D532" s="23">
        <v>7.99</v>
      </c>
      <c r="E532" s="3">
        <v>7.99</v>
      </c>
      <c r="F532" s="2" t="s">
        <v>17100</v>
      </c>
      <c r="G532" s="22" t="s">
        <v>19518</v>
      </c>
      <c r="H532" s="24" t="s">
        <v>19432</v>
      </c>
      <c r="I532" s="22" t="s">
        <v>19309</v>
      </c>
      <c r="J532" s="22" t="s">
        <v>19815</v>
      </c>
      <c r="K532" s="22" t="s">
        <v>19816</v>
      </c>
      <c r="L532" s="22"/>
      <c r="M532" s="22"/>
      <c r="N532" s="25" t="str">
        <f>HYPERLINK("http://slimages.macys.com/is/image/MCY/1520495 ")</f>
        <v xml:space="preserve">http://slimages.macys.com/is/image/MCY/1520495 </v>
      </c>
    </row>
    <row r="533" spans="1:14" ht="24.75" x14ac:dyDescent="0.25">
      <c r="A533" s="21" t="s">
        <v>14235</v>
      </c>
      <c r="B533" s="22" t="s">
        <v>14236</v>
      </c>
      <c r="C533" s="2">
        <v>1</v>
      </c>
      <c r="D533" s="23">
        <v>7.99</v>
      </c>
      <c r="E533" s="3">
        <v>7.99</v>
      </c>
      <c r="F533" s="2" t="s">
        <v>17100</v>
      </c>
      <c r="G533" s="22" t="s">
        <v>19315</v>
      </c>
      <c r="H533" s="24" t="s">
        <v>19542</v>
      </c>
      <c r="I533" s="22" t="s">
        <v>19309</v>
      </c>
      <c r="J533" s="22" t="s">
        <v>19815</v>
      </c>
      <c r="K533" s="22" t="s">
        <v>19816</v>
      </c>
      <c r="L533" s="22"/>
      <c r="M533" s="22"/>
      <c r="N533" s="25" t="str">
        <f>HYPERLINK("http://slimages.macys.com/is/image/MCY/21188057 ")</f>
        <v xml:space="preserve">http://slimages.macys.com/is/image/MCY/21188057 </v>
      </c>
    </row>
    <row r="534" spans="1:14" ht="24.75" x14ac:dyDescent="0.25">
      <c r="A534" s="21" t="s">
        <v>14237</v>
      </c>
      <c r="B534" s="22" t="s">
        <v>14238</v>
      </c>
      <c r="C534" s="2">
        <v>1</v>
      </c>
      <c r="D534" s="23">
        <v>7.99</v>
      </c>
      <c r="E534" s="3">
        <v>7.99</v>
      </c>
      <c r="F534" s="2" t="s">
        <v>17100</v>
      </c>
      <c r="G534" s="22" t="s">
        <v>19585</v>
      </c>
      <c r="H534" s="24" t="s">
        <v>20135</v>
      </c>
      <c r="I534" s="22" t="s">
        <v>19309</v>
      </c>
      <c r="J534" s="22" t="s">
        <v>19815</v>
      </c>
      <c r="K534" s="22" t="s">
        <v>19816</v>
      </c>
      <c r="L534" s="22"/>
      <c r="M534" s="22"/>
      <c r="N534" s="25" t="str">
        <f>HYPERLINK("http://slimages.macys.com/is/image/MCY/1520495 ")</f>
        <v xml:space="preserve">http://slimages.macys.com/is/image/MCY/1520495 </v>
      </c>
    </row>
    <row r="535" spans="1:14" ht="24.75" x14ac:dyDescent="0.25">
      <c r="A535" s="21" t="s">
        <v>14239</v>
      </c>
      <c r="B535" s="22" t="s">
        <v>14240</v>
      </c>
      <c r="C535" s="2">
        <v>1</v>
      </c>
      <c r="D535" s="23">
        <v>7.99</v>
      </c>
      <c r="E535" s="3">
        <v>7.99</v>
      </c>
      <c r="F535" s="2" t="s">
        <v>17100</v>
      </c>
      <c r="G535" s="22" t="s">
        <v>19518</v>
      </c>
      <c r="H535" s="24" t="s">
        <v>19542</v>
      </c>
      <c r="I535" s="22" t="s">
        <v>19309</v>
      </c>
      <c r="J535" s="22" t="s">
        <v>19815</v>
      </c>
      <c r="K535" s="22" t="s">
        <v>19816</v>
      </c>
      <c r="L535" s="22"/>
      <c r="M535" s="22"/>
      <c r="N535" s="25" t="str">
        <f>HYPERLINK("http://slimages.macys.com/is/image/MCY/21188057 ")</f>
        <v xml:space="preserve">http://slimages.macys.com/is/image/MCY/21188057 </v>
      </c>
    </row>
    <row r="536" spans="1:14" ht="24.75" x14ac:dyDescent="0.25">
      <c r="A536" s="21" t="s">
        <v>14241</v>
      </c>
      <c r="B536" s="22" t="s">
        <v>14242</v>
      </c>
      <c r="C536" s="2">
        <v>1</v>
      </c>
      <c r="D536" s="23">
        <v>7.99</v>
      </c>
      <c r="E536" s="3">
        <v>7.99</v>
      </c>
      <c r="F536" s="2" t="s">
        <v>17100</v>
      </c>
      <c r="G536" s="22" t="s">
        <v>19518</v>
      </c>
      <c r="H536" s="24" t="s">
        <v>19392</v>
      </c>
      <c r="I536" s="22" t="s">
        <v>19309</v>
      </c>
      <c r="J536" s="22" t="s">
        <v>19815</v>
      </c>
      <c r="K536" s="22" t="s">
        <v>19816</v>
      </c>
      <c r="L536" s="22"/>
      <c r="M536" s="22"/>
      <c r="N536" s="25" t="str">
        <f>HYPERLINK("http://slimages.macys.com/is/image/MCY/1520495 ")</f>
        <v xml:space="preserve">http://slimages.macys.com/is/image/MCY/1520495 </v>
      </c>
    </row>
    <row r="537" spans="1:14" ht="24.75" x14ac:dyDescent="0.25">
      <c r="A537" s="21" t="s">
        <v>19075</v>
      </c>
      <c r="B537" s="22" t="s">
        <v>19076</v>
      </c>
      <c r="C537" s="2">
        <v>1</v>
      </c>
      <c r="D537" s="23">
        <v>6.99</v>
      </c>
      <c r="E537" s="3">
        <v>6.99</v>
      </c>
      <c r="F537" s="2" t="s">
        <v>19072</v>
      </c>
      <c r="G537" s="22" t="s">
        <v>19431</v>
      </c>
      <c r="H537" s="24" t="s">
        <v>19339</v>
      </c>
      <c r="I537" s="22" t="s">
        <v>19309</v>
      </c>
      <c r="J537" s="22" t="s">
        <v>19353</v>
      </c>
      <c r="K537" s="22" t="s">
        <v>19354</v>
      </c>
      <c r="L537" s="22"/>
      <c r="M537" s="22"/>
      <c r="N537" s="25" t="str">
        <f>HYPERLINK("http://slimages.macys.com/is/image/MCY/20737633 ")</f>
        <v xml:space="preserve">http://slimages.macys.com/is/image/MCY/20737633 </v>
      </c>
    </row>
    <row r="538" spans="1:14" ht="24.75" x14ac:dyDescent="0.25">
      <c r="A538" s="21" t="s">
        <v>14243</v>
      </c>
      <c r="B538" s="22" t="s">
        <v>14244</v>
      </c>
      <c r="C538" s="2">
        <v>1</v>
      </c>
      <c r="D538" s="23">
        <v>6.99</v>
      </c>
      <c r="E538" s="3">
        <v>6.99</v>
      </c>
      <c r="F538" s="2" t="s">
        <v>19072</v>
      </c>
      <c r="G538" s="22" t="s">
        <v>19462</v>
      </c>
      <c r="H538" s="24" t="s">
        <v>19339</v>
      </c>
      <c r="I538" s="22" t="s">
        <v>19309</v>
      </c>
      <c r="J538" s="22" t="s">
        <v>19353</v>
      </c>
      <c r="K538" s="22" t="s">
        <v>19354</v>
      </c>
      <c r="L538" s="22"/>
      <c r="M538" s="22"/>
      <c r="N538" s="25" t="str">
        <f>HYPERLINK("http://slimages.macys.com/is/image/MCY/20737633 ")</f>
        <v xml:space="preserve">http://slimages.macys.com/is/image/MCY/20737633 </v>
      </c>
    </row>
    <row r="539" spans="1:14" ht="24.75" x14ac:dyDescent="0.25">
      <c r="A539" s="21" t="s">
        <v>14756</v>
      </c>
      <c r="B539" s="22" t="s">
        <v>14757</v>
      </c>
      <c r="C539" s="2">
        <v>1</v>
      </c>
      <c r="D539" s="23">
        <v>5.99</v>
      </c>
      <c r="E539" s="3">
        <v>5.99</v>
      </c>
      <c r="F539" s="2" t="s">
        <v>14758</v>
      </c>
      <c r="G539" s="22" t="s">
        <v>19351</v>
      </c>
      <c r="H539" s="24" t="s">
        <v>19384</v>
      </c>
      <c r="I539" s="22" t="s">
        <v>19309</v>
      </c>
      <c r="J539" s="22" t="s">
        <v>19573</v>
      </c>
      <c r="K539" s="22" t="s">
        <v>19574</v>
      </c>
      <c r="L539" s="22"/>
      <c r="M539" s="22"/>
      <c r="N539" s="25" t="str">
        <f>HYPERLINK("http://slimages.macys.com/is/image/MCY/1537013 ")</f>
        <v xml:space="preserve">http://slimages.macys.com/is/image/MCY/1537013 </v>
      </c>
    </row>
    <row r="540" spans="1:14" ht="24.75" x14ac:dyDescent="0.25">
      <c r="A540" s="21" t="s">
        <v>14245</v>
      </c>
      <c r="B540" s="22" t="s">
        <v>14246</v>
      </c>
      <c r="C540" s="2">
        <v>1</v>
      </c>
      <c r="D540" s="23">
        <v>6.99</v>
      </c>
      <c r="E540" s="3">
        <v>6.99</v>
      </c>
      <c r="F540" s="2" t="s">
        <v>14247</v>
      </c>
      <c r="G540" s="22" t="s">
        <v>19467</v>
      </c>
      <c r="H540" s="24" t="s">
        <v>19384</v>
      </c>
      <c r="I540" s="22" t="s">
        <v>19309</v>
      </c>
      <c r="J540" s="22" t="s">
        <v>19573</v>
      </c>
      <c r="K540" s="22" t="s">
        <v>19574</v>
      </c>
      <c r="L540" s="22"/>
      <c r="M540" s="22"/>
      <c r="N540" s="25" t="str">
        <f>HYPERLINK("http://slimages.macys.com/is/image/MCY/19977413 ")</f>
        <v xml:space="preserve">http://slimages.macys.com/is/image/MCY/19977413 </v>
      </c>
    </row>
    <row r="541" spans="1:14" ht="24.75" x14ac:dyDescent="0.25">
      <c r="A541" s="21" t="s">
        <v>14248</v>
      </c>
      <c r="B541" s="22" t="s">
        <v>14249</v>
      </c>
      <c r="C541" s="2">
        <v>2</v>
      </c>
      <c r="D541" s="23">
        <v>5.99</v>
      </c>
      <c r="E541" s="3">
        <v>11.98</v>
      </c>
      <c r="F541" s="2" t="s">
        <v>14250</v>
      </c>
      <c r="G541" s="22" t="s">
        <v>19618</v>
      </c>
      <c r="H541" s="24" t="s">
        <v>19416</v>
      </c>
      <c r="I541" s="22" t="s">
        <v>19309</v>
      </c>
      <c r="J541" s="22" t="s">
        <v>19573</v>
      </c>
      <c r="K541" s="22" t="s">
        <v>19574</v>
      </c>
      <c r="L541" s="22"/>
      <c r="M541" s="22"/>
      <c r="N541" s="25" t="str">
        <f>HYPERLINK("http://slimages.macys.com/is/image/MCY/20547866 ")</f>
        <v xml:space="preserve">http://slimages.macys.com/is/image/MCY/20547866 </v>
      </c>
    </row>
    <row r="542" spans="1:14" ht="24.75" x14ac:dyDescent="0.25">
      <c r="A542" s="21" t="s">
        <v>14251</v>
      </c>
      <c r="B542" s="22" t="s">
        <v>14252</v>
      </c>
      <c r="C542" s="2">
        <v>1</v>
      </c>
      <c r="D542" s="23">
        <v>7.99</v>
      </c>
      <c r="E542" s="3">
        <v>7.99</v>
      </c>
      <c r="F542" s="2" t="s">
        <v>14253</v>
      </c>
      <c r="G542" s="22" t="s">
        <v>19518</v>
      </c>
      <c r="H542" s="24" t="s">
        <v>20089</v>
      </c>
      <c r="I542" s="22" t="s">
        <v>19309</v>
      </c>
      <c r="J542" s="22" t="s">
        <v>19573</v>
      </c>
      <c r="K542" s="22" t="s">
        <v>19574</v>
      </c>
      <c r="L542" s="22"/>
      <c r="M542" s="22"/>
      <c r="N542" s="25" t="str">
        <f>HYPERLINK("http://slimages.macys.com/is/image/MCY/19507413 ")</f>
        <v xml:space="preserve">http://slimages.macys.com/is/image/MCY/19507413 </v>
      </c>
    </row>
    <row r="543" spans="1:14" ht="24.75" x14ac:dyDescent="0.25">
      <c r="A543" s="21" t="s">
        <v>14254</v>
      </c>
      <c r="B543" s="22" t="s">
        <v>14255</v>
      </c>
      <c r="C543" s="2">
        <v>1</v>
      </c>
      <c r="D543" s="23">
        <v>5.99</v>
      </c>
      <c r="E543" s="3">
        <v>5.99</v>
      </c>
      <c r="F543" s="2" t="s">
        <v>17122</v>
      </c>
      <c r="G543" s="22" t="s">
        <v>19415</v>
      </c>
      <c r="H543" s="24" t="s">
        <v>19538</v>
      </c>
      <c r="I543" s="22" t="s">
        <v>19309</v>
      </c>
      <c r="J543" s="22" t="s">
        <v>19573</v>
      </c>
      <c r="K543" s="22" t="s">
        <v>19574</v>
      </c>
      <c r="L543" s="22"/>
      <c r="M543" s="22"/>
      <c r="N543" s="25" t="str">
        <f>HYPERLINK("http://slimages.macys.com/is/image/MCY/21209558 ")</f>
        <v xml:space="preserve">http://slimages.macys.com/is/image/MCY/21209558 </v>
      </c>
    </row>
    <row r="544" spans="1:14" ht="24.75" x14ac:dyDescent="0.25">
      <c r="A544" s="21" t="s">
        <v>14256</v>
      </c>
      <c r="B544" s="22" t="s">
        <v>14257</v>
      </c>
      <c r="C544" s="2">
        <v>2</v>
      </c>
      <c r="D544" s="23">
        <v>5.99</v>
      </c>
      <c r="E544" s="3">
        <v>11.98</v>
      </c>
      <c r="F544" s="2" t="s">
        <v>14250</v>
      </c>
      <c r="G544" s="22" t="s">
        <v>19618</v>
      </c>
      <c r="H544" s="24" t="s">
        <v>19330</v>
      </c>
      <c r="I544" s="22" t="s">
        <v>19309</v>
      </c>
      <c r="J544" s="22" t="s">
        <v>19573</v>
      </c>
      <c r="K544" s="22" t="s">
        <v>19574</v>
      </c>
      <c r="L544" s="22"/>
      <c r="M544" s="22"/>
      <c r="N544" s="25" t="str">
        <f>HYPERLINK("http://slimages.macys.com/is/image/MCY/20547866 ")</f>
        <v xml:space="preserve">http://slimages.macys.com/is/image/MCY/20547866 </v>
      </c>
    </row>
    <row r="545" spans="1:14" ht="24.75" x14ac:dyDescent="0.25">
      <c r="A545" s="21" t="s">
        <v>17116</v>
      </c>
      <c r="B545" s="22" t="s">
        <v>17117</v>
      </c>
      <c r="C545" s="2">
        <v>1</v>
      </c>
      <c r="D545" s="23">
        <v>5.99</v>
      </c>
      <c r="E545" s="3">
        <v>5.99</v>
      </c>
      <c r="F545" s="2" t="s">
        <v>17113</v>
      </c>
      <c r="G545" s="22" t="s">
        <v>19618</v>
      </c>
      <c r="H545" s="24" t="s">
        <v>19538</v>
      </c>
      <c r="I545" s="22" t="s">
        <v>19309</v>
      </c>
      <c r="J545" s="22" t="s">
        <v>19573</v>
      </c>
      <c r="K545" s="22" t="s">
        <v>19574</v>
      </c>
      <c r="L545" s="22"/>
      <c r="M545" s="22"/>
      <c r="N545" s="25" t="str">
        <f>HYPERLINK("http://slimages.macys.com/is/image/MCY/21209585 ")</f>
        <v xml:space="preserve">http://slimages.macys.com/is/image/MCY/21209585 </v>
      </c>
    </row>
    <row r="546" spans="1:14" x14ac:dyDescent="0.25">
      <c r="A546" s="21" t="s">
        <v>14258</v>
      </c>
      <c r="B546" s="22" t="s">
        <v>14259</v>
      </c>
      <c r="C546" s="2">
        <v>1</v>
      </c>
      <c r="D546" s="23">
        <v>5.99</v>
      </c>
      <c r="E546" s="3">
        <v>5.99</v>
      </c>
      <c r="F546" s="2" t="s">
        <v>19096</v>
      </c>
      <c r="G546" s="22" t="s">
        <v>19513</v>
      </c>
      <c r="H546" s="24" t="s">
        <v>19395</v>
      </c>
      <c r="I546" s="22" t="s">
        <v>19309</v>
      </c>
      <c r="J546" s="22" t="s">
        <v>19514</v>
      </c>
      <c r="K546" s="22" t="s">
        <v>18514</v>
      </c>
      <c r="L546" s="22" t="s">
        <v>19319</v>
      </c>
      <c r="M546" s="22" t="s">
        <v>19435</v>
      </c>
      <c r="N546" s="25" t="str">
        <f>HYPERLINK("http://slimages.macys.com/is/image/MCY/9337988 ")</f>
        <v xml:space="preserve">http://slimages.macys.com/is/image/MCY/9337988 </v>
      </c>
    </row>
    <row r="547" spans="1:14" x14ac:dyDescent="0.25">
      <c r="A547" s="21" t="s">
        <v>14260</v>
      </c>
      <c r="B547" s="22" t="s">
        <v>14261</v>
      </c>
      <c r="C547" s="2">
        <v>1</v>
      </c>
      <c r="D547" s="23">
        <v>5.99</v>
      </c>
      <c r="E547" s="3">
        <v>5.99</v>
      </c>
      <c r="F547" s="2" t="s">
        <v>19096</v>
      </c>
      <c r="G547" s="22" t="s">
        <v>19513</v>
      </c>
      <c r="H547" s="24" t="s">
        <v>20232</v>
      </c>
      <c r="I547" s="22" t="s">
        <v>19309</v>
      </c>
      <c r="J547" s="22" t="s">
        <v>19514</v>
      </c>
      <c r="K547" s="22" t="s">
        <v>18514</v>
      </c>
      <c r="L547" s="22" t="s">
        <v>19319</v>
      </c>
      <c r="M547" s="22" t="s">
        <v>20257</v>
      </c>
      <c r="N547" s="25" t="str">
        <f>HYPERLINK("http://slimages.macys.com/is/image/MCY/9337988 ")</f>
        <v xml:space="preserve">http://slimages.macys.com/is/image/MCY/9337988 </v>
      </c>
    </row>
    <row r="548" spans="1:14" ht="24.75" x14ac:dyDescent="0.25">
      <c r="A548" s="21" t="s">
        <v>19125</v>
      </c>
      <c r="B548" s="22" t="s">
        <v>19126</v>
      </c>
      <c r="C548" s="2">
        <v>1</v>
      </c>
      <c r="D548" s="23">
        <v>5.99</v>
      </c>
      <c r="E548" s="3">
        <v>5.99</v>
      </c>
      <c r="F548" s="2" t="s">
        <v>19109</v>
      </c>
      <c r="G548" s="22" t="s">
        <v>19674</v>
      </c>
      <c r="H548" s="24" t="s">
        <v>19384</v>
      </c>
      <c r="I548" s="22" t="s">
        <v>19309</v>
      </c>
      <c r="J548" s="22" t="s">
        <v>19573</v>
      </c>
      <c r="K548" s="22" t="s">
        <v>19574</v>
      </c>
      <c r="L548" s="22"/>
      <c r="M548" s="22"/>
      <c r="N548" s="25" t="str">
        <f>HYPERLINK("http://slimages.macys.com/is/image/MCY/21209382 ")</f>
        <v xml:space="preserve">http://slimages.macys.com/is/image/MCY/21209382 </v>
      </c>
    </row>
    <row r="549" spans="1:14" ht="24.75" x14ac:dyDescent="0.25">
      <c r="A549" s="21" t="s">
        <v>19121</v>
      </c>
      <c r="B549" s="22" t="s">
        <v>19122</v>
      </c>
      <c r="C549" s="2">
        <v>1</v>
      </c>
      <c r="D549" s="23">
        <v>5.99</v>
      </c>
      <c r="E549" s="3">
        <v>5.99</v>
      </c>
      <c r="F549" s="2" t="s">
        <v>19109</v>
      </c>
      <c r="G549" s="22" t="s">
        <v>19670</v>
      </c>
      <c r="H549" s="24" t="s">
        <v>19330</v>
      </c>
      <c r="I549" s="22" t="s">
        <v>19309</v>
      </c>
      <c r="J549" s="22" t="s">
        <v>19573</v>
      </c>
      <c r="K549" s="22" t="s">
        <v>19574</v>
      </c>
      <c r="L549" s="22"/>
      <c r="M549" s="22"/>
      <c r="N549" s="25" t="str">
        <f>HYPERLINK("http://slimages.macys.com/is/image/MCY/1734374 ")</f>
        <v xml:space="preserve">http://slimages.macys.com/is/image/MCY/1734374 </v>
      </c>
    </row>
    <row r="550" spans="1:14" ht="24.75" x14ac:dyDescent="0.25">
      <c r="A550" s="21" t="s">
        <v>14262</v>
      </c>
      <c r="B550" s="22" t="s">
        <v>14263</v>
      </c>
      <c r="C550" s="2">
        <v>1</v>
      </c>
      <c r="D550" s="23">
        <v>5.99</v>
      </c>
      <c r="E550" s="3">
        <v>5.99</v>
      </c>
      <c r="F550" s="2" t="s">
        <v>14264</v>
      </c>
      <c r="G550" s="22" t="s">
        <v>19315</v>
      </c>
      <c r="H550" s="24" t="s">
        <v>19542</v>
      </c>
      <c r="I550" s="22" t="s">
        <v>19309</v>
      </c>
      <c r="J550" s="22" t="s">
        <v>19454</v>
      </c>
      <c r="K550" s="22" t="s">
        <v>19524</v>
      </c>
      <c r="L550" s="22"/>
      <c r="M550" s="22"/>
      <c r="N550" s="25" t="str">
        <f>HYPERLINK("http://slimages.macys.com/is/image/MCY/19239496 ")</f>
        <v xml:space="preserve">http://slimages.macys.com/is/image/MCY/19239496 </v>
      </c>
    </row>
    <row r="551" spans="1:14" ht="24.75" x14ac:dyDescent="0.25">
      <c r="A551" s="21" t="s">
        <v>14265</v>
      </c>
      <c r="B551" s="22" t="s">
        <v>14266</v>
      </c>
      <c r="C551" s="2">
        <v>2</v>
      </c>
      <c r="D551" s="23">
        <v>6.99</v>
      </c>
      <c r="E551" s="3">
        <v>13.98</v>
      </c>
      <c r="F551" s="2" t="s">
        <v>14267</v>
      </c>
      <c r="G551" s="22" t="s">
        <v>19518</v>
      </c>
      <c r="H551" s="24" t="s">
        <v>19330</v>
      </c>
      <c r="I551" s="22" t="s">
        <v>19309</v>
      </c>
      <c r="J551" s="22" t="s">
        <v>19573</v>
      </c>
      <c r="K551" s="22" t="s">
        <v>19574</v>
      </c>
      <c r="L551" s="22"/>
      <c r="M551" s="22"/>
      <c r="N551" s="25" t="str">
        <f>HYPERLINK("http://slimages.macys.com/is/image/MCY/992998 ")</f>
        <v xml:space="preserve">http://slimages.macys.com/is/image/MCY/992998 </v>
      </c>
    </row>
    <row r="552" spans="1:14" ht="24.75" x14ac:dyDescent="0.25">
      <c r="A552" s="21" t="s">
        <v>14268</v>
      </c>
      <c r="B552" s="22" t="s">
        <v>14269</v>
      </c>
      <c r="C552" s="2">
        <v>1</v>
      </c>
      <c r="D552" s="23">
        <v>6.99</v>
      </c>
      <c r="E552" s="3">
        <v>6.99</v>
      </c>
      <c r="F552" s="2" t="s">
        <v>14267</v>
      </c>
      <c r="G552" s="22" t="s">
        <v>19674</v>
      </c>
      <c r="H552" s="24" t="s">
        <v>19416</v>
      </c>
      <c r="I552" s="22" t="s">
        <v>19309</v>
      </c>
      <c r="J552" s="22" t="s">
        <v>19573</v>
      </c>
      <c r="K552" s="22" t="s">
        <v>19574</v>
      </c>
      <c r="L552" s="22"/>
      <c r="M552" s="22"/>
      <c r="N552" s="25" t="str">
        <f>HYPERLINK("http://slimages.macys.com/is/image/MCY/20385765 ")</f>
        <v xml:space="preserve">http://slimages.macys.com/is/image/MCY/20385765 </v>
      </c>
    </row>
    <row r="553" spans="1:14" ht="24.75" x14ac:dyDescent="0.25">
      <c r="A553" s="21" t="s">
        <v>14270</v>
      </c>
      <c r="B553" s="22" t="s">
        <v>14271</v>
      </c>
      <c r="C553" s="2">
        <v>1</v>
      </c>
      <c r="D553" s="23">
        <v>6.99</v>
      </c>
      <c r="E553" s="3">
        <v>6.99</v>
      </c>
      <c r="F553" s="2" t="s">
        <v>14267</v>
      </c>
      <c r="G553" s="22" t="s">
        <v>19518</v>
      </c>
      <c r="H553" s="24" t="s">
        <v>19416</v>
      </c>
      <c r="I553" s="22" t="s">
        <v>19309</v>
      </c>
      <c r="J553" s="22" t="s">
        <v>19573</v>
      </c>
      <c r="K553" s="22" t="s">
        <v>19574</v>
      </c>
      <c r="L553" s="22"/>
      <c r="M553" s="22"/>
      <c r="N553" s="25" t="str">
        <f>HYPERLINK("http://slimages.macys.com/is/image/MCY/992998 ")</f>
        <v xml:space="preserve">http://slimages.macys.com/is/image/MCY/992998 </v>
      </c>
    </row>
    <row r="554" spans="1:14" ht="24.75" x14ac:dyDescent="0.25">
      <c r="A554" s="21" t="s">
        <v>14272</v>
      </c>
      <c r="B554" s="22" t="s">
        <v>14273</v>
      </c>
      <c r="C554" s="2">
        <v>1</v>
      </c>
      <c r="D554" s="23">
        <v>6.99</v>
      </c>
      <c r="E554" s="3">
        <v>6.99</v>
      </c>
      <c r="F554" s="2" t="s">
        <v>14267</v>
      </c>
      <c r="G554" s="22" t="s">
        <v>19518</v>
      </c>
      <c r="H554" s="24" t="s">
        <v>19384</v>
      </c>
      <c r="I554" s="22" t="s">
        <v>19309</v>
      </c>
      <c r="J554" s="22" t="s">
        <v>19573</v>
      </c>
      <c r="K554" s="22" t="s">
        <v>19574</v>
      </c>
      <c r="L554" s="22"/>
      <c r="M554" s="22"/>
      <c r="N554" s="25" t="str">
        <f>HYPERLINK("http://slimages.macys.com/is/image/MCY/992998 ")</f>
        <v xml:space="preserve">http://slimages.macys.com/is/image/MCY/992998 </v>
      </c>
    </row>
    <row r="555" spans="1:14" ht="24.75" x14ac:dyDescent="0.25">
      <c r="A555" s="21" t="s">
        <v>14274</v>
      </c>
      <c r="B555" s="22" t="s">
        <v>14275</v>
      </c>
      <c r="C555" s="2">
        <v>1</v>
      </c>
      <c r="D555" s="23">
        <v>6.99</v>
      </c>
      <c r="E555" s="3">
        <v>6.99</v>
      </c>
      <c r="F555" s="2" t="s">
        <v>14267</v>
      </c>
      <c r="G555" s="22" t="s">
        <v>19674</v>
      </c>
      <c r="H555" s="24" t="s">
        <v>19324</v>
      </c>
      <c r="I555" s="22" t="s">
        <v>19309</v>
      </c>
      <c r="J555" s="22" t="s">
        <v>19573</v>
      </c>
      <c r="K555" s="22" t="s">
        <v>19574</v>
      </c>
      <c r="L555" s="22"/>
      <c r="M555" s="22"/>
      <c r="N555" s="25" t="str">
        <f>HYPERLINK("http://slimages.macys.com/is/image/MCY/992998 ")</f>
        <v xml:space="preserve">http://slimages.macys.com/is/image/MCY/992998 </v>
      </c>
    </row>
    <row r="556" spans="1:14" ht="24.75" x14ac:dyDescent="0.25">
      <c r="A556" s="21" t="s">
        <v>14276</v>
      </c>
      <c r="B556" s="22" t="s">
        <v>14277</v>
      </c>
      <c r="C556" s="2">
        <v>2</v>
      </c>
      <c r="D556" s="23">
        <v>6.99</v>
      </c>
      <c r="E556" s="3">
        <v>13.98</v>
      </c>
      <c r="F556" s="2" t="s">
        <v>14267</v>
      </c>
      <c r="G556" s="22" t="s">
        <v>19674</v>
      </c>
      <c r="H556" s="24" t="s">
        <v>19330</v>
      </c>
      <c r="I556" s="22" t="s">
        <v>19309</v>
      </c>
      <c r="J556" s="22" t="s">
        <v>19573</v>
      </c>
      <c r="K556" s="22" t="s">
        <v>19574</v>
      </c>
      <c r="L556" s="22"/>
      <c r="M556" s="22"/>
      <c r="N556" s="25" t="str">
        <f>HYPERLINK("http://slimages.macys.com/is/image/MCY/20385765 ")</f>
        <v xml:space="preserve">http://slimages.macys.com/is/image/MCY/20385765 </v>
      </c>
    </row>
    <row r="557" spans="1:14" ht="24.75" x14ac:dyDescent="0.25">
      <c r="A557" s="21" t="s">
        <v>14278</v>
      </c>
      <c r="B557" s="22" t="s">
        <v>14279</v>
      </c>
      <c r="C557" s="2">
        <v>1</v>
      </c>
      <c r="D557" s="23">
        <v>6.99</v>
      </c>
      <c r="E557" s="3">
        <v>6.99</v>
      </c>
      <c r="F557" s="2" t="s">
        <v>14267</v>
      </c>
      <c r="G557" s="22" t="s">
        <v>19518</v>
      </c>
      <c r="H557" s="24" t="s">
        <v>19538</v>
      </c>
      <c r="I557" s="22" t="s">
        <v>19309</v>
      </c>
      <c r="J557" s="22" t="s">
        <v>19573</v>
      </c>
      <c r="K557" s="22" t="s">
        <v>19574</v>
      </c>
      <c r="L557" s="22"/>
      <c r="M557" s="22"/>
      <c r="N557" s="25" t="str">
        <f>HYPERLINK("http://slimages.macys.com/is/image/MCY/992998 ")</f>
        <v xml:space="preserve">http://slimages.macys.com/is/image/MCY/992998 </v>
      </c>
    </row>
    <row r="558" spans="1:14" ht="24.75" x14ac:dyDescent="0.25">
      <c r="A558" s="21" t="s">
        <v>14814</v>
      </c>
      <c r="B558" s="22" t="s">
        <v>14815</v>
      </c>
      <c r="C558" s="2">
        <v>1</v>
      </c>
      <c r="D558" s="23">
        <v>6.99</v>
      </c>
      <c r="E558" s="3">
        <v>6.99</v>
      </c>
      <c r="F558" s="2" t="s">
        <v>14809</v>
      </c>
      <c r="G558" s="22" t="s">
        <v>19674</v>
      </c>
      <c r="H558" s="24" t="s">
        <v>19384</v>
      </c>
      <c r="I558" s="22" t="s">
        <v>19309</v>
      </c>
      <c r="J558" s="22" t="s">
        <v>19573</v>
      </c>
      <c r="K558" s="22" t="s">
        <v>19574</v>
      </c>
      <c r="L558" s="22"/>
      <c r="M558" s="22"/>
      <c r="N558" s="25" t="str">
        <f>HYPERLINK("http://slimages.macys.com/is/image/MCY/20385753 ")</f>
        <v xml:space="preserve">http://slimages.macys.com/is/image/MCY/20385753 </v>
      </c>
    </row>
    <row r="559" spans="1:14" ht="24.75" x14ac:dyDescent="0.25">
      <c r="A559" s="21" t="s">
        <v>14280</v>
      </c>
      <c r="B559" s="22" t="s">
        <v>14281</v>
      </c>
      <c r="C559" s="2">
        <v>1</v>
      </c>
      <c r="D559" s="23">
        <v>6.99</v>
      </c>
      <c r="E559" s="3">
        <v>6.99</v>
      </c>
      <c r="F559" s="2" t="s">
        <v>17155</v>
      </c>
      <c r="G559" s="22" t="s">
        <v>19518</v>
      </c>
      <c r="H559" s="24" t="s">
        <v>19538</v>
      </c>
      <c r="I559" s="22" t="s">
        <v>19309</v>
      </c>
      <c r="J559" s="22" t="s">
        <v>19573</v>
      </c>
      <c r="K559" s="22" t="s">
        <v>19574</v>
      </c>
      <c r="L559" s="22"/>
      <c r="M559" s="22"/>
      <c r="N559" s="25" t="str">
        <f>HYPERLINK("http://slimages.macys.com/is/image/MCY/14885497 ")</f>
        <v xml:space="preserve">http://slimages.macys.com/is/image/MCY/14885497 </v>
      </c>
    </row>
    <row r="560" spans="1:14" ht="24.75" x14ac:dyDescent="0.25">
      <c r="A560" s="21" t="s">
        <v>19135</v>
      </c>
      <c r="B560" s="22" t="s">
        <v>19136</v>
      </c>
      <c r="C560" s="2">
        <v>1</v>
      </c>
      <c r="D560" s="23">
        <v>6.99</v>
      </c>
      <c r="E560" s="3">
        <v>6.99</v>
      </c>
      <c r="F560" s="2" t="s">
        <v>19137</v>
      </c>
      <c r="G560" s="22" t="s">
        <v>19518</v>
      </c>
      <c r="H560" s="24" t="s">
        <v>19538</v>
      </c>
      <c r="I560" s="22" t="s">
        <v>19309</v>
      </c>
      <c r="J560" s="22" t="s">
        <v>19573</v>
      </c>
      <c r="K560" s="22" t="s">
        <v>19574</v>
      </c>
      <c r="L560" s="22"/>
      <c r="M560" s="22"/>
      <c r="N560" s="25" t="str">
        <f>HYPERLINK("http://slimages.macys.com/is/image/MCY/19737450 ")</f>
        <v xml:space="preserve">http://slimages.macys.com/is/image/MCY/19737450 </v>
      </c>
    </row>
    <row r="561" spans="1:14" ht="24.75" x14ac:dyDescent="0.25">
      <c r="A561" s="21" t="s">
        <v>17161</v>
      </c>
      <c r="B561" s="22" t="s">
        <v>17162</v>
      </c>
      <c r="C561" s="2">
        <v>1</v>
      </c>
      <c r="D561" s="23">
        <v>6.99</v>
      </c>
      <c r="E561" s="3">
        <v>6.99</v>
      </c>
      <c r="F561" s="2" t="s">
        <v>19137</v>
      </c>
      <c r="G561" s="22" t="s">
        <v>19518</v>
      </c>
      <c r="H561" s="24" t="s">
        <v>19416</v>
      </c>
      <c r="I561" s="22" t="s">
        <v>19309</v>
      </c>
      <c r="J561" s="22" t="s">
        <v>19573</v>
      </c>
      <c r="K561" s="22" t="s">
        <v>19574</v>
      </c>
      <c r="L561" s="22"/>
      <c r="M561" s="22"/>
      <c r="N561" s="25" t="str">
        <f>HYPERLINK("http://slimages.macys.com/is/image/MCY/19737450 ")</f>
        <v xml:space="preserve">http://slimages.macys.com/is/image/MCY/19737450 </v>
      </c>
    </row>
    <row r="562" spans="1:14" ht="24.75" x14ac:dyDescent="0.25">
      <c r="A562" s="21" t="s">
        <v>14282</v>
      </c>
      <c r="B562" s="22" t="s">
        <v>14283</v>
      </c>
      <c r="C562" s="2">
        <v>1</v>
      </c>
      <c r="D562" s="23">
        <v>5.99</v>
      </c>
      <c r="E562" s="3">
        <v>5.99</v>
      </c>
      <c r="F562" s="2" t="s">
        <v>14858</v>
      </c>
      <c r="G562" s="22" t="s">
        <v>19351</v>
      </c>
      <c r="H562" s="24" t="s">
        <v>19538</v>
      </c>
      <c r="I562" s="22" t="s">
        <v>19309</v>
      </c>
      <c r="J562" s="22" t="s">
        <v>19573</v>
      </c>
      <c r="K562" s="22" t="s">
        <v>19574</v>
      </c>
      <c r="L562" s="22"/>
      <c r="M562" s="22"/>
      <c r="N562" s="25" t="str">
        <f>HYPERLINK("http://slimages.macys.com/is/image/MCY/21088493 ")</f>
        <v xml:space="preserve">http://slimages.macys.com/is/image/MCY/21088493 </v>
      </c>
    </row>
    <row r="563" spans="1:14" ht="24.75" x14ac:dyDescent="0.25">
      <c r="A563" s="21" t="s">
        <v>14284</v>
      </c>
      <c r="B563" s="22" t="s">
        <v>14285</v>
      </c>
      <c r="C563" s="2">
        <v>1</v>
      </c>
      <c r="D563" s="23">
        <v>5.99</v>
      </c>
      <c r="E563" s="3">
        <v>5.99</v>
      </c>
      <c r="F563" s="2" t="s">
        <v>17185</v>
      </c>
      <c r="G563" s="22" t="s">
        <v>19477</v>
      </c>
      <c r="H563" s="24" t="s">
        <v>19538</v>
      </c>
      <c r="I563" s="22" t="s">
        <v>19309</v>
      </c>
      <c r="J563" s="22" t="s">
        <v>19573</v>
      </c>
      <c r="K563" s="22" t="s">
        <v>19574</v>
      </c>
      <c r="L563" s="22"/>
      <c r="M563" s="22"/>
      <c r="N563" s="25" t="str">
        <f>HYPERLINK("http://slimages.macys.com/is/image/MCY/21209412 ")</f>
        <v xml:space="preserve">http://slimages.macys.com/is/image/MCY/21209412 </v>
      </c>
    </row>
    <row r="564" spans="1:14" ht="24.75" x14ac:dyDescent="0.25">
      <c r="A564" s="21" t="s">
        <v>19165</v>
      </c>
      <c r="B564" s="22" t="s">
        <v>19166</v>
      </c>
      <c r="C564" s="2">
        <v>2</v>
      </c>
      <c r="D564" s="23">
        <v>5.99</v>
      </c>
      <c r="E564" s="3">
        <v>11.98</v>
      </c>
      <c r="F564" s="2" t="s">
        <v>19167</v>
      </c>
      <c r="G564" s="22" t="s">
        <v>19618</v>
      </c>
      <c r="H564" s="24" t="s">
        <v>19538</v>
      </c>
      <c r="I564" s="22" t="s">
        <v>19309</v>
      </c>
      <c r="J564" s="22" t="s">
        <v>19573</v>
      </c>
      <c r="K564" s="22" t="s">
        <v>19574</v>
      </c>
      <c r="L564" s="22"/>
      <c r="M564" s="22"/>
      <c r="N564" s="25" t="str">
        <f>HYPERLINK("http://slimages.macys.com/is/image/MCY/20736377 ")</f>
        <v xml:space="preserve">http://slimages.macys.com/is/image/MCY/20736377 </v>
      </c>
    </row>
    <row r="565" spans="1:14" ht="24.75" x14ac:dyDescent="0.25">
      <c r="A565" s="21" t="s">
        <v>14286</v>
      </c>
      <c r="B565" s="22" t="s">
        <v>14287</v>
      </c>
      <c r="C565" s="2">
        <v>1</v>
      </c>
      <c r="D565" s="23">
        <v>6.99</v>
      </c>
      <c r="E565" s="3">
        <v>6.99</v>
      </c>
      <c r="F565" s="2" t="s">
        <v>19192</v>
      </c>
      <c r="G565" s="22" t="s">
        <v>19315</v>
      </c>
      <c r="H565" s="24" t="s">
        <v>19324</v>
      </c>
      <c r="I565" s="22" t="s">
        <v>19309</v>
      </c>
      <c r="J565" s="22" t="s">
        <v>19573</v>
      </c>
      <c r="K565" s="22" t="s">
        <v>19574</v>
      </c>
      <c r="L565" s="22"/>
      <c r="M565" s="22"/>
      <c r="N565" s="25" t="str">
        <f>HYPERLINK("http://slimages.macys.com/is/image/MCY/1655977 ")</f>
        <v xml:space="preserve">http://slimages.macys.com/is/image/MCY/1655977 </v>
      </c>
    </row>
    <row r="566" spans="1:14" ht="24.75" x14ac:dyDescent="0.25">
      <c r="A566" s="21" t="s">
        <v>14288</v>
      </c>
      <c r="B566" s="22" t="s">
        <v>14289</v>
      </c>
      <c r="C566" s="2">
        <v>1</v>
      </c>
      <c r="D566" s="23">
        <v>6.99</v>
      </c>
      <c r="E566" s="3">
        <v>6.99</v>
      </c>
      <c r="F566" s="2" t="s">
        <v>19192</v>
      </c>
      <c r="G566" s="22" t="s">
        <v>19315</v>
      </c>
      <c r="H566" s="24" t="s">
        <v>19416</v>
      </c>
      <c r="I566" s="22" t="s">
        <v>19309</v>
      </c>
      <c r="J566" s="22" t="s">
        <v>19573</v>
      </c>
      <c r="K566" s="22" t="s">
        <v>19574</v>
      </c>
      <c r="L566" s="22"/>
      <c r="M566" s="22"/>
      <c r="N566" s="25" t="str">
        <f>HYPERLINK("http://slimages.macys.com/is/image/MCY/1655977 ")</f>
        <v xml:space="preserve">http://slimages.macys.com/is/image/MCY/1655977 </v>
      </c>
    </row>
    <row r="567" spans="1:14" ht="24.75" x14ac:dyDescent="0.25">
      <c r="A567" s="21" t="s">
        <v>19190</v>
      </c>
      <c r="B567" s="22" t="s">
        <v>19191</v>
      </c>
      <c r="C567" s="2">
        <v>1</v>
      </c>
      <c r="D567" s="23">
        <v>6.99</v>
      </c>
      <c r="E567" s="3">
        <v>6.99</v>
      </c>
      <c r="F567" s="2" t="s">
        <v>19192</v>
      </c>
      <c r="G567" s="22" t="s">
        <v>19315</v>
      </c>
      <c r="H567" s="24" t="s">
        <v>19330</v>
      </c>
      <c r="I567" s="22" t="s">
        <v>19309</v>
      </c>
      <c r="J567" s="22" t="s">
        <v>19573</v>
      </c>
      <c r="K567" s="22" t="s">
        <v>19574</v>
      </c>
      <c r="L567" s="22"/>
      <c r="M567" s="22"/>
      <c r="N567" s="25" t="str">
        <f>HYPERLINK("http://slimages.macys.com/is/image/MCY/1655977 ")</f>
        <v xml:space="preserve">http://slimages.macys.com/is/image/MCY/1655977 </v>
      </c>
    </row>
    <row r="568" spans="1:14" ht="24.75" x14ac:dyDescent="0.25">
      <c r="A568" s="21" t="s">
        <v>19205</v>
      </c>
      <c r="B568" s="22" t="s">
        <v>19206</v>
      </c>
      <c r="C568" s="2">
        <v>1</v>
      </c>
      <c r="D568" s="23">
        <v>5.99</v>
      </c>
      <c r="E568" s="3">
        <v>5.99</v>
      </c>
      <c r="F568" s="2" t="s">
        <v>19204</v>
      </c>
      <c r="G568" s="22" t="s">
        <v>19431</v>
      </c>
      <c r="H568" s="24" t="s">
        <v>19538</v>
      </c>
      <c r="I568" s="22" t="s">
        <v>19309</v>
      </c>
      <c r="J568" s="22" t="s">
        <v>19573</v>
      </c>
      <c r="K568" s="22" t="s">
        <v>19574</v>
      </c>
      <c r="L568" s="22"/>
      <c r="M568" s="22"/>
      <c r="N568" s="25" t="str">
        <f>HYPERLINK("http://slimages.macys.com/is/image/MCY/1537013 ")</f>
        <v xml:space="preserve">http://slimages.macys.com/is/image/MCY/1537013 </v>
      </c>
    </row>
    <row r="569" spans="1:14" ht="24.75" x14ac:dyDescent="0.25">
      <c r="A569" s="21" t="s">
        <v>14290</v>
      </c>
      <c r="B569" s="22" t="s">
        <v>14291</v>
      </c>
      <c r="C569" s="2">
        <v>1</v>
      </c>
      <c r="D569" s="23">
        <v>7.99</v>
      </c>
      <c r="E569" s="3">
        <v>7.99</v>
      </c>
      <c r="F569" s="2" t="s">
        <v>14292</v>
      </c>
      <c r="G569" s="22" t="s">
        <v>18439</v>
      </c>
      <c r="H569" s="24" t="s">
        <v>20089</v>
      </c>
      <c r="I569" s="22" t="s">
        <v>19309</v>
      </c>
      <c r="J569" s="22" t="s">
        <v>19573</v>
      </c>
      <c r="K569" s="22" t="s">
        <v>19574</v>
      </c>
      <c r="L569" s="22"/>
      <c r="M569" s="22"/>
      <c r="N569" s="25" t="str">
        <f>HYPERLINK("http://slimages.macys.com/is/image/MCY/20555212 ")</f>
        <v xml:space="preserve">http://slimages.macys.com/is/image/MCY/20555212 </v>
      </c>
    </row>
    <row r="570" spans="1:14" ht="24.75" x14ac:dyDescent="0.25">
      <c r="A570" s="21" t="s">
        <v>14293</v>
      </c>
      <c r="B570" s="22" t="s">
        <v>14294</v>
      </c>
      <c r="C570" s="2">
        <v>1</v>
      </c>
      <c r="D570" s="23">
        <v>5.99</v>
      </c>
      <c r="E570" s="3">
        <v>5.99</v>
      </c>
      <c r="F570" s="2" t="s">
        <v>14295</v>
      </c>
      <c r="G570" s="22" t="s">
        <v>19315</v>
      </c>
      <c r="H570" s="24" t="s">
        <v>19361</v>
      </c>
      <c r="I570" s="22" t="s">
        <v>19309</v>
      </c>
      <c r="J570" s="22" t="s">
        <v>19908</v>
      </c>
      <c r="K570" s="22" t="s">
        <v>19524</v>
      </c>
      <c r="L570" s="22"/>
      <c r="M570" s="22"/>
      <c r="N570" s="25" t="str">
        <f>HYPERLINK("http://slimages.macys.com/is/image/MCY/18024474 ")</f>
        <v xml:space="preserve">http://slimages.macys.com/is/image/MCY/18024474 </v>
      </c>
    </row>
    <row r="571" spans="1:14" ht="24.75" x14ac:dyDescent="0.25">
      <c r="A571" s="21" t="s">
        <v>14296</v>
      </c>
      <c r="B571" s="22" t="s">
        <v>14297</v>
      </c>
      <c r="C571" s="2">
        <v>1</v>
      </c>
      <c r="D571" s="23">
        <v>5.99</v>
      </c>
      <c r="E571" s="3">
        <v>5.99</v>
      </c>
      <c r="F571" s="2" t="s">
        <v>14911</v>
      </c>
      <c r="G571" s="22" t="s">
        <v>19415</v>
      </c>
      <c r="H571" s="24" t="s">
        <v>19330</v>
      </c>
      <c r="I571" s="22" t="s">
        <v>19309</v>
      </c>
      <c r="J571" s="22" t="s">
        <v>19573</v>
      </c>
      <c r="K571" s="22" t="s">
        <v>19574</v>
      </c>
      <c r="L571" s="22"/>
      <c r="M571" s="22"/>
      <c r="N571" s="25" t="str">
        <f>HYPERLINK("http://slimages.macys.com/is/image/MCY/21371388 ")</f>
        <v xml:space="preserve">http://slimages.macys.com/is/image/MCY/21371388 </v>
      </c>
    </row>
    <row r="572" spans="1:14" ht="24.75" x14ac:dyDescent="0.25">
      <c r="A572" s="21" t="s">
        <v>14298</v>
      </c>
      <c r="B572" s="22" t="s">
        <v>14299</v>
      </c>
      <c r="C572" s="2">
        <v>2</v>
      </c>
      <c r="D572" s="23">
        <v>5.99</v>
      </c>
      <c r="E572" s="3">
        <v>11.98</v>
      </c>
      <c r="F572" s="2" t="s">
        <v>14911</v>
      </c>
      <c r="G572" s="22" t="s">
        <v>19415</v>
      </c>
      <c r="H572" s="24" t="s">
        <v>19538</v>
      </c>
      <c r="I572" s="22" t="s">
        <v>19309</v>
      </c>
      <c r="J572" s="22" t="s">
        <v>19573</v>
      </c>
      <c r="K572" s="22" t="s">
        <v>19574</v>
      </c>
      <c r="L572" s="22"/>
      <c r="M572" s="22"/>
      <c r="N572" s="25" t="str">
        <f>HYPERLINK("http://slimages.macys.com/is/image/MCY/21371388 ")</f>
        <v xml:space="preserve">http://slimages.macys.com/is/image/MCY/21371388 </v>
      </c>
    </row>
    <row r="573" spans="1:14" ht="24.75" x14ac:dyDescent="0.25">
      <c r="A573" s="21" t="s">
        <v>14300</v>
      </c>
      <c r="B573" s="22" t="s">
        <v>14301</v>
      </c>
      <c r="C573" s="2">
        <v>2</v>
      </c>
      <c r="D573" s="23">
        <v>5.99</v>
      </c>
      <c r="E573" s="3">
        <v>11.98</v>
      </c>
      <c r="F573" s="2" t="s">
        <v>14302</v>
      </c>
      <c r="G573" s="22" t="s">
        <v>19351</v>
      </c>
      <c r="H573" s="24" t="s">
        <v>19538</v>
      </c>
      <c r="I573" s="22" t="s">
        <v>19309</v>
      </c>
      <c r="J573" s="22" t="s">
        <v>19573</v>
      </c>
      <c r="K573" s="22" t="s">
        <v>19574</v>
      </c>
      <c r="L573" s="22"/>
      <c r="M573" s="22"/>
      <c r="N573" s="25" t="str">
        <f>HYPERLINK("http://slimages.macys.com/is/image/MCY/21371433 ")</f>
        <v xml:space="preserve">http://slimages.macys.com/is/image/MCY/21371433 </v>
      </c>
    </row>
    <row r="574" spans="1:14" ht="24.75" x14ac:dyDescent="0.25">
      <c r="A574" s="21" t="s">
        <v>14303</v>
      </c>
      <c r="B574" s="22" t="s">
        <v>14304</v>
      </c>
      <c r="C574" s="2">
        <v>1</v>
      </c>
      <c r="D574" s="23">
        <v>5.99</v>
      </c>
      <c r="E574" s="3">
        <v>5.99</v>
      </c>
      <c r="F574" s="2" t="s">
        <v>14302</v>
      </c>
      <c r="G574" s="22" t="s">
        <v>19351</v>
      </c>
      <c r="H574" s="24" t="s">
        <v>19330</v>
      </c>
      <c r="I574" s="22" t="s">
        <v>19309</v>
      </c>
      <c r="J574" s="22" t="s">
        <v>19573</v>
      </c>
      <c r="K574" s="22" t="s">
        <v>19574</v>
      </c>
      <c r="L574" s="22"/>
      <c r="M574" s="22"/>
      <c r="N574" s="25" t="str">
        <f>HYPERLINK("http://slimages.macys.com/is/image/MCY/21371433 ")</f>
        <v xml:space="preserve">http://slimages.macys.com/is/image/MCY/21371433 </v>
      </c>
    </row>
    <row r="575" spans="1:14" ht="24.75" x14ac:dyDescent="0.25">
      <c r="A575" s="21" t="s">
        <v>14305</v>
      </c>
      <c r="B575" s="22" t="s">
        <v>14306</v>
      </c>
      <c r="C575" s="2">
        <v>1</v>
      </c>
      <c r="D575" s="23">
        <v>5.99</v>
      </c>
      <c r="E575" s="3">
        <v>5.99</v>
      </c>
      <c r="F575" s="2" t="s">
        <v>14911</v>
      </c>
      <c r="G575" s="22" t="s">
        <v>19415</v>
      </c>
      <c r="H575" s="24" t="s">
        <v>19416</v>
      </c>
      <c r="I575" s="22" t="s">
        <v>19309</v>
      </c>
      <c r="J575" s="22" t="s">
        <v>19573</v>
      </c>
      <c r="K575" s="22" t="s">
        <v>19574</v>
      </c>
      <c r="L575" s="22"/>
      <c r="M575" s="22"/>
      <c r="N575" s="25" t="str">
        <f>HYPERLINK("http://slimages.macys.com/is/image/MCY/21371388 ")</f>
        <v xml:space="preserve">http://slimages.macys.com/is/image/MCY/21371388 </v>
      </c>
    </row>
    <row r="576" spans="1:14" ht="24.75" x14ac:dyDescent="0.25">
      <c r="A576" s="21" t="s">
        <v>14307</v>
      </c>
      <c r="B576" s="22" t="s">
        <v>14308</v>
      </c>
      <c r="C576" s="2">
        <v>1</v>
      </c>
      <c r="D576" s="23">
        <v>5.99</v>
      </c>
      <c r="E576" s="3">
        <v>5.99</v>
      </c>
      <c r="F576" s="2" t="s">
        <v>14911</v>
      </c>
      <c r="G576" s="22" t="s">
        <v>19415</v>
      </c>
      <c r="H576" s="24" t="s">
        <v>19384</v>
      </c>
      <c r="I576" s="22" t="s">
        <v>19309</v>
      </c>
      <c r="J576" s="22" t="s">
        <v>19573</v>
      </c>
      <c r="K576" s="22" t="s">
        <v>19574</v>
      </c>
      <c r="L576" s="22"/>
      <c r="M576" s="22"/>
      <c r="N576" s="25" t="str">
        <f>HYPERLINK("http://slimages.macys.com/is/image/MCY/21371388 ")</f>
        <v xml:space="preserve">http://slimages.macys.com/is/image/MCY/21371388 </v>
      </c>
    </row>
    <row r="577" spans="1:14" ht="24.75" x14ac:dyDescent="0.25">
      <c r="A577" s="21" t="s">
        <v>14309</v>
      </c>
      <c r="B577" s="22" t="s">
        <v>14310</v>
      </c>
      <c r="C577" s="2">
        <v>1</v>
      </c>
      <c r="D577" s="23">
        <v>5.99</v>
      </c>
      <c r="E577" s="3">
        <v>5.99</v>
      </c>
      <c r="F577" s="2" t="s">
        <v>14302</v>
      </c>
      <c r="G577" s="22" t="s">
        <v>19351</v>
      </c>
      <c r="H577" s="24" t="s">
        <v>19384</v>
      </c>
      <c r="I577" s="22" t="s">
        <v>19309</v>
      </c>
      <c r="J577" s="22" t="s">
        <v>19573</v>
      </c>
      <c r="K577" s="22" t="s">
        <v>19574</v>
      </c>
      <c r="L577" s="22"/>
      <c r="M577" s="22"/>
      <c r="N577" s="25" t="str">
        <f>HYPERLINK("http://slimages.macys.com/is/image/MCY/21371433 ")</f>
        <v xml:space="preserve">http://slimages.macys.com/is/image/MCY/21371433 </v>
      </c>
    </row>
    <row r="578" spans="1:14" ht="24.75" x14ac:dyDescent="0.25">
      <c r="A578" s="21" t="s">
        <v>19246</v>
      </c>
      <c r="B578" s="22" t="s">
        <v>19247</v>
      </c>
      <c r="C578" s="2">
        <v>1</v>
      </c>
      <c r="D578" s="23">
        <v>5.99</v>
      </c>
      <c r="E578" s="3">
        <v>5.99</v>
      </c>
      <c r="F578" s="2" t="s">
        <v>19248</v>
      </c>
      <c r="G578" s="22" t="s">
        <v>19585</v>
      </c>
      <c r="H578" s="24" t="s">
        <v>19384</v>
      </c>
      <c r="I578" s="22" t="s">
        <v>19309</v>
      </c>
      <c r="J578" s="22" t="s">
        <v>19573</v>
      </c>
      <c r="K578" s="22" t="s">
        <v>19574</v>
      </c>
      <c r="L578" s="22"/>
      <c r="M578" s="22"/>
      <c r="N578" s="25" t="str">
        <f>HYPERLINK("http://slimages.macys.com/is/image/MCY/20757535 ")</f>
        <v xml:space="preserve">http://slimages.macys.com/is/image/MCY/20757535 </v>
      </c>
    </row>
    <row r="579" spans="1:14" ht="24.75" x14ac:dyDescent="0.25">
      <c r="A579" s="21" t="s">
        <v>19252</v>
      </c>
      <c r="B579" s="22" t="s">
        <v>19253</v>
      </c>
      <c r="C579" s="2">
        <v>1</v>
      </c>
      <c r="D579" s="23">
        <v>5.99</v>
      </c>
      <c r="E579" s="3">
        <v>5.99</v>
      </c>
      <c r="F579" s="2" t="s">
        <v>19254</v>
      </c>
      <c r="G579" s="22" t="s">
        <v>19431</v>
      </c>
      <c r="H579" s="24" t="s">
        <v>19324</v>
      </c>
      <c r="I579" s="22" t="s">
        <v>19309</v>
      </c>
      <c r="J579" s="22" t="s">
        <v>19573</v>
      </c>
      <c r="K579" s="22" t="s">
        <v>19574</v>
      </c>
      <c r="L579" s="22"/>
      <c r="M579" s="22"/>
      <c r="N579" s="25" t="str">
        <f>HYPERLINK("http://slimages.macys.com/is/image/MCY/21209124 ")</f>
        <v xml:space="preserve">http://slimages.macys.com/is/image/MCY/21209124 </v>
      </c>
    </row>
    <row r="580" spans="1:14" ht="24.75" x14ac:dyDescent="0.25">
      <c r="A580" s="21" t="s">
        <v>14311</v>
      </c>
      <c r="B580" s="22" t="s">
        <v>14312</v>
      </c>
      <c r="C580" s="2">
        <v>1</v>
      </c>
      <c r="D580" s="23">
        <v>5.99</v>
      </c>
      <c r="E580" s="3">
        <v>5.99</v>
      </c>
      <c r="F580" s="2" t="s">
        <v>19254</v>
      </c>
      <c r="G580" s="22" t="s">
        <v>19431</v>
      </c>
      <c r="H580" s="24" t="s">
        <v>19416</v>
      </c>
      <c r="I580" s="22" t="s">
        <v>19309</v>
      </c>
      <c r="J580" s="22" t="s">
        <v>19573</v>
      </c>
      <c r="K580" s="22" t="s">
        <v>19574</v>
      </c>
      <c r="L580" s="22"/>
      <c r="M580" s="22"/>
      <c r="N580" s="25" t="str">
        <f>HYPERLINK("http://slimages.macys.com/is/image/MCY/21209124 ")</f>
        <v xml:space="preserve">http://slimages.macys.com/is/image/MCY/21209124 </v>
      </c>
    </row>
    <row r="581" spans="1:14" ht="24.75" x14ac:dyDescent="0.25">
      <c r="A581" s="21" t="s">
        <v>14943</v>
      </c>
      <c r="B581" s="22" t="s">
        <v>14944</v>
      </c>
      <c r="C581" s="2">
        <v>1</v>
      </c>
      <c r="D581" s="23">
        <v>6.99</v>
      </c>
      <c r="E581" s="3">
        <v>6.99</v>
      </c>
      <c r="F581" s="2" t="s">
        <v>14938</v>
      </c>
      <c r="G581" s="22" t="s">
        <v>19462</v>
      </c>
      <c r="H581" s="24" t="s">
        <v>19324</v>
      </c>
      <c r="I581" s="22" t="s">
        <v>19309</v>
      </c>
      <c r="J581" s="22" t="s">
        <v>19573</v>
      </c>
      <c r="K581" s="22" t="s">
        <v>19574</v>
      </c>
      <c r="L581" s="22"/>
      <c r="M581" s="22"/>
      <c r="N581" s="25" t="str">
        <f>HYPERLINK("http://slimages.macys.com/is/image/MCY/19977390 ")</f>
        <v xml:space="preserve">http://slimages.macys.com/is/image/MCY/19977390 </v>
      </c>
    </row>
    <row r="582" spans="1:14" ht="24.75" x14ac:dyDescent="0.25">
      <c r="A582" s="21" t="s">
        <v>14941</v>
      </c>
      <c r="B582" s="22" t="s">
        <v>14942</v>
      </c>
      <c r="C582" s="2">
        <v>1</v>
      </c>
      <c r="D582" s="23">
        <v>6.99</v>
      </c>
      <c r="E582" s="3">
        <v>6.99</v>
      </c>
      <c r="F582" s="2" t="s">
        <v>14938</v>
      </c>
      <c r="G582" s="22" t="s">
        <v>19462</v>
      </c>
      <c r="H582" s="24" t="s">
        <v>19538</v>
      </c>
      <c r="I582" s="22" t="s">
        <v>19309</v>
      </c>
      <c r="J582" s="22" t="s">
        <v>19573</v>
      </c>
      <c r="K582" s="22" t="s">
        <v>19574</v>
      </c>
      <c r="L582" s="22"/>
      <c r="M582" s="22"/>
      <c r="N582" s="25" t="str">
        <f>HYPERLINK("http://slimages.macys.com/is/image/MCY/19977390 ")</f>
        <v xml:space="preserve">http://slimages.macys.com/is/image/MCY/19977390 </v>
      </c>
    </row>
    <row r="583" spans="1:14" ht="24.75" x14ac:dyDescent="0.25">
      <c r="A583" s="21" t="s">
        <v>14313</v>
      </c>
      <c r="B583" s="22" t="s">
        <v>14314</v>
      </c>
      <c r="C583" s="2">
        <v>2</v>
      </c>
      <c r="D583" s="23">
        <v>6.99</v>
      </c>
      <c r="E583" s="3">
        <v>13.98</v>
      </c>
      <c r="F583" s="2" t="s">
        <v>14938</v>
      </c>
      <c r="G583" s="22" t="s">
        <v>19462</v>
      </c>
      <c r="H583" s="24" t="s">
        <v>19384</v>
      </c>
      <c r="I583" s="22" t="s">
        <v>19309</v>
      </c>
      <c r="J583" s="22" t="s">
        <v>19573</v>
      </c>
      <c r="K583" s="22" t="s">
        <v>19574</v>
      </c>
      <c r="L583" s="22"/>
      <c r="M583" s="22"/>
      <c r="N583" s="25" t="str">
        <f>HYPERLINK("http://slimages.macys.com/is/image/MCY/19977390 ")</f>
        <v xml:space="preserve">http://slimages.macys.com/is/image/MCY/19977390 </v>
      </c>
    </row>
    <row r="584" spans="1:14" ht="24.75" x14ac:dyDescent="0.25">
      <c r="A584" s="21" t="s">
        <v>14315</v>
      </c>
      <c r="B584" s="22" t="s">
        <v>14316</v>
      </c>
      <c r="C584" s="2">
        <v>1</v>
      </c>
      <c r="D584" s="23">
        <v>6.99</v>
      </c>
      <c r="E584" s="3">
        <v>6.99</v>
      </c>
      <c r="F584" s="2" t="s">
        <v>14317</v>
      </c>
      <c r="G584" s="22" t="s">
        <v>19351</v>
      </c>
      <c r="H584" s="24" t="s">
        <v>19384</v>
      </c>
      <c r="I584" s="22" t="s">
        <v>19309</v>
      </c>
      <c r="J584" s="22" t="s">
        <v>19573</v>
      </c>
      <c r="K584" s="22" t="s">
        <v>19574</v>
      </c>
      <c r="L584" s="22"/>
      <c r="M584" s="22"/>
      <c r="N584" s="25" t="str">
        <f>HYPERLINK("http://slimages.macys.com/is/image/MCY/19977362 ")</f>
        <v xml:space="preserve">http://slimages.macys.com/is/image/MCY/19977362 </v>
      </c>
    </row>
    <row r="585" spans="1:14" ht="24.75" x14ac:dyDescent="0.25">
      <c r="A585" s="21" t="s">
        <v>14318</v>
      </c>
      <c r="B585" s="22" t="s">
        <v>14319</v>
      </c>
      <c r="C585" s="2">
        <v>2</v>
      </c>
      <c r="D585" s="23">
        <v>5.99</v>
      </c>
      <c r="E585" s="3">
        <v>11.98</v>
      </c>
      <c r="F585" s="2" t="s">
        <v>17245</v>
      </c>
      <c r="G585" s="22" t="s">
        <v>19431</v>
      </c>
      <c r="H585" s="24" t="s">
        <v>19330</v>
      </c>
      <c r="I585" s="22" t="s">
        <v>19309</v>
      </c>
      <c r="J585" s="22" t="s">
        <v>19573</v>
      </c>
      <c r="K585" s="22" t="s">
        <v>19574</v>
      </c>
      <c r="L585" s="22"/>
      <c r="M585" s="22"/>
      <c r="N585" s="25" t="str">
        <f>HYPERLINK("http://slimages.macys.com/is/image/MCY/1523158 ")</f>
        <v xml:space="preserve">http://slimages.macys.com/is/image/MCY/1523158 </v>
      </c>
    </row>
    <row r="586" spans="1:14" ht="24.75" x14ac:dyDescent="0.25">
      <c r="A586" s="21" t="s">
        <v>14320</v>
      </c>
      <c r="B586" s="22" t="s">
        <v>14321</v>
      </c>
      <c r="C586" s="2">
        <v>1</v>
      </c>
      <c r="D586" s="23">
        <v>5.99</v>
      </c>
      <c r="E586" s="3">
        <v>5.99</v>
      </c>
      <c r="F586" s="2" t="s">
        <v>17245</v>
      </c>
      <c r="G586" s="22" t="s">
        <v>19431</v>
      </c>
      <c r="H586" s="24" t="s">
        <v>19384</v>
      </c>
      <c r="I586" s="22" t="s">
        <v>19309</v>
      </c>
      <c r="J586" s="22" t="s">
        <v>19573</v>
      </c>
      <c r="K586" s="22" t="s">
        <v>19574</v>
      </c>
      <c r="L586" s="22"/>
      <c r="M586" s="22"/>
      <c r="N586" s="25" t="str">
        <f>HYPERLINK("http://slimages.macys.com/is/image/MCY/1523158 ")</f>
        <v xml:space="preserve">http://slimages.macys.com/is/image/MCY/1523158 </v>
      </c>
    </row>
    <row r="587" spans="1:14" ht="24.75" x14ac:dyDescent="0.25">
      <c r="A587" s="21" t="s">
        <v>14322</v>
      </c>
      <c r="B587" s="22" t="s">
        <v>14323</v>
      </c>
      <c r="C587" s="2">
        <v>1</v>
      </c>
      <c r="D587" s="23">
        <v>5.99</v>
      </c>
      <c r="E587" s="3">
        <v>5.99</v>
      </c>
      <c r="F587" s="2" t="s">
        <v>17245</v>
      </c>
      <c r="G587" s="22" t="s">
        <v>19431</v>
      </c>
      <c r="H587" s="24" t="s">
        <v>19324</v>
      </c>
      <c r="I587" s="22" t="s">
        <v>19309</v>
      </c>
      <c r="J587" s="22" t="s">
        <v>19573</v>
      </c>
      <c r="K587" s="22" t="s">
        <v>19574</v>
      </c>
      <c r="L587" s="22"/>
      <c r="M587" s="22"/>
      <c r="N587" s="25" t="str">
        <f>HYPERLINK("http://slimages.macys.com/is/image/MCY/21209342 ")</f>
        <v xml:space="preserve">http://slimages.macys.com/is/image/MCY/21209342 </v>
      </c>
    </row>
    <row r="588" spans="1:14" ht="24.75" x14ac:dyDescent="0.25">
      <c r="A588" s="21" t="s">
        <v>14324</v>
      </c>
      <c r="B588" s="22" t="s">
        <v>14325</v>
      </c>
      <c r="C588" s="2">
        <v>2</v>
      </c>
      <c r="D588" s="23">
        <v>5.99</v>
      </c>
      <c r="E588" s="3">
        <v>11.98</v>
      </c>
      <c r="F588" s="2" t="s">
        <v>17245</v>
      </c>
      <c r="G588" s="22" t="s">
        <v>19431</v>
      </c>
      <c r="H588" s="24" t="s">
        <v>19416</v>
      </c>
      <c r="I588" s="22" t="s">
        <v>19309</v>
      </c>
      <c r="J588" s="22" t="s">
        <v>19573</v>
      </c>
      <c r="K588" s="22" t="s">
        <v>19574</v>
      </c>
      <c r="L588" s="22"/>
      <c r="M588" s="22"/>
      <c r="N588" s="25" t="str">
        <f>HYPERLINK("http://slimages.macys.com/is/image/MCY/1523158 ")</f>
        <v xml:space="preserve">http://slimages.macys.com/is/image/MCY/1523158 </v>
      </c>
    </row>
    <row r="589" spans="1:14" ht="24.75" x14ac:dyDescent="0.25">
      <c r="A589" s="21" t="s">
        <v>14326</v>
      </c>
      <c r="B589" s="22" t="s">
        <v>14327</v>
      </c>
      <c r="C589" s="2">
        <v>2</v>
      </c>
      <c r="D589" s="23">
        <v>5.99</v>
      </c>
      <c r="E589" s="3">
        <v>11.98</v>
      </c>
      <c r="F589" s="2" t="s">
        <v>17245</v>
      </c>
      <c r="G589" s="22" t="s">
        <v>19431</v>
      </c>
      <c r="H589" s="24" t="s">
        <v>19384</v>
      </c>
      <c r="I589" s="22" t="s">
        <v>19309</v>
      </c>
      <c r="J589" s="22" t="s">
        <v>19573</v>
      </c>
      <c r="K589" s="22" t="s">
        <v>19574</v>
      </c>
      <c r="L589" s="22"/>
      <c r="M589" s="22"/>
      <c r="N589" s="25" t="str">
        <f>HYPERLINK("http://slimages.macys.com/is/image/MCY/1523158 ")</f>
        <v xml:space="preserve">http://slimages.macys.com/is/image/MCY/1523158 </v>
      </c>
    </row>
    <row r="590" spans="1:14" ht="24.75" x14ac:dyDescent="0.25">
      <c r="A590" s="21" t="s">
        <v>14328</v>
      </c>
      <c r="B590" s="22" t="s">
        <v>14329</v>
      </c>
      <c r="C590" s="2">
        <v>1</v>
      </c>
      <c r="D590" s="23">
        <v>5.99</v>
      </c>
      <c r="E590" s="3">
        <v>5.99</v>
      </c>
      <c r="F590" s="2" t="s">
        <v>17245</v>
      </c>
      <c r="G590" s="22" t="s">
        <v>19431</v>
      </c>
      <c r="H590" s="24" t="s">
        <v>19538</v>
      </c>
      <c r="I590" s="22" t="s">
        <v>19309</v>
      </c>
      <c r="J590" s="22" t="s">
        <v>19573</v>
      </c>
      <c r="K590" s="22" t="s">
        <v>19574</v>
      </c>
      <c r="L590" s="22"/>
      <c r="M590" s="22"/>
      <c r="N590" s="25" t="str">
        <f>HYPERLINK("http://slimages.macys.com/is/image/MCY/1523158 ")</f>
        <v xml:space="preserve">http://slimages.macys.com/is/image/MCY/1523158 </v>
      </c>
    </row>
    <row r="591" spans="1:14" ht="24.75" x14ac:dyDescent="0.25">
      <c r="A591" s="21" t="s">
        <v>14330</v>
      </c>
      <c r="B591" s="22" t="s">
        <v>14331</v>
      </c>
      <c r="C591" s="2">
        <v>4</v>
      </c>
      <c r="D591" s="23">
        <v>5.99</v>
      </c>
      <c r="E591" s="3">
        <v>23.96</v>
      </c>
      <c r="F591" s="2" t="s">
        <v>17245</v>
      </c>
      <c r="G591" s="22" t="s">
        <v>19431</v>
      </c>
      <c r="H591" s="24" t="s">
        <v>19538</v>
      </c>
      <c r="I591" s="22" t="s">
        <v>19309</v>
      </c>
      <c r="J591" s="22" t="s">
        <v>19573</v>
      </c>
      <c r="K591" s="22" t="s">
        <v>19574</v>
      </c>
      <c r="L591" s="22"/>
      <c r="M591" s="22"/>
      <c r="N591" s="25" t="str">
        <f>HYPERLINK("http://slimages.macys.com/is/image/MCY/1523158 ")</f>
        <v xml:space="preserve">http://slimages.macys.com/is/image/MCY/1523158 </v>
      </c>
    </row>
    <row r="592" spans="1:14" ht="24.75" x14ac:dyDescent="0.25">
      <c r="A592" s="21" t="s">
        <v>14972</v>
      </c>
      <c r="B592" s="22" t="s">
        <v>14973</v>
      </c>
      <c r="C592" s="2">
        <v>1</v>
      </c>
      <c r="D592" s="23">
        <v>5.99</v>
      </c>
      <c r="E592" s="3">
        <v>5.99</v>
      </c>
      <c r="F592" s="2" t="s">
        <v>19273</v>
      </c>
      <c r="G592" s="22" t="s">
        <v>19794</v>
      </c>
      <c r="H592" s="24" t="s">
        <v>19324</v>
      </c>
      <c r="I592" s="22" t="s">
        <v>19309</v>
      </c>
      <c r="J592" s="22" t="s">
        <v>19573</v>
      </c>
      <c r="K592" s="22" t="s">
        <v>19574</v>
      </c>
      <c r="L592" s="22"/>
      <c r="M592" s="22"/>
      <c r="N592" s="25" t="str">
        <f>HYPERLINK("http://slimages.macys.com/is/image/MCY/21209112 ")</f>
        <v xml:space="preserve">http://slimages.macys.com/is/image/MCY/21209112 </v>
      </c>
    </row>
    <row r="593" spans="1:14" ht="24.75" x14ac:dyDescent="0.25">
      <c r="A593" s="21" t="s">
        <v>14978</v>
      </c>
      <c r="B593" s="22" t="s">
        <v>14979</v>
      </c>
      <c r="C593" s="2">
        <v>1</v>
      </c>
      <c r="D593" s="23">
        <v>5.99</v>
      </c>
      <c r="E593" s="3">
        <v>5.99</v>
      </c>
      <c r="F593" s="2" t="s">
        <v>19273</v>
      </c>
      <c r="G593" s="22" t="s">
        <v>19794</v>
      </c>
      <c r="H593" s="24" t="s">
        <v>19330</v>
      </c>
      <c r="I593" s="22" t="s">
        <v>19309</v>
      </c>
      <c r="J593" s="22" t="s">
        <v>19573</v>
      </c>
      <c r="K593" s="22" t="s">
        <v>19574</v>
      </c>
      <c r="L593" s="22"/>
      <c r="M593" s="22"/>
      <c r="N593" s="25" t="str">
        <f>HYPERLINK("http://slimages.macys.com/is/image/MCY/21209112 ")</f>
        <v xml:space="preserve">http://slimages.macys.com/is/image/MCY/21209112 </v>
      </c>
    </row>
    <row r="594" spans="1:14" ht="24.75" x14ac:dyDescent="0.25">
      <c r="A594" s="21" t="s">
        <v>14976</v>
      </c>
      <c r="B594" s="22" t="s">
        <v>14977</v>
      </c>
      <c r="C594" s="2">
        <v>1</v>
      </c>
      <c r="D594" s="23">
        <v>5.99</v>
      </c>
      <c r="E594" s="3">
        <v>5.99</v>
      </c>
      <c r="F594" s="2" t="s">
        <v>19273</v>
      </c>
      <c r="G594" s="22" t="s">
        <v>19794</v>
      </c>
      <c r="H594" s="24" t="s">
        <v>19416</v>
      </c>
      <c r="I594" s="22" t="s">
        <v>19309</v>
      </c>
      <c r="J594" s="22" t="s">
        <v>19573</v>
      </c>
      <c r="K594" s="22" t="s">
        <v>19574</v>
      </c>
      <c r="L594" s="22"/>
      <c r="M594" s="22"/>
      <c r="N594" s="25" t="str">
        <f>HYPERLINK("http://slimages.macys.com/is/image/MCY/21209112 ")</f>
        <v xml:space="preserve">http://slimages.macys.com/is/image/MCY/21209112 </v>
      </c>
    </row>
    <row r="595" spans="1:14" ht="24.75" x14ac:dyDescent="0.25">
      <c r="A595" s="21" t="s">
        <v>14974</v>
      </c>
      <c r="B595" s="22" t="s">
        <v>14975</v>
      </c>
      <c r="C595" s="2">
        <v>2</v>
      </c>
      <c r="D595" s="23">
        <v>5.99</v>
      </c>
      <c r="E595" s="3">
        <v>11.98</v>
      </c>
      <c r="F595" s="2" t="s">
        <v>19273</v>
      </c>
      <c r="G595" s="22" t="s">
        <v>19794</v>
      </c>
      <c r="H595" s="24" t="s">
        <v>19384</v>
      </c>
      <c r="I595" s="22" t="s">
        <v>19309</v>
      </c>
      <c r="J595" s="22" t="s">
        <v>19573</v>
      </c>
      <c r="K595" s="22" t="s">
        <v>19574</v>
      </c>
      <c r="L595" s="22"/>
      <c r="M595" s="22"/>
      <c r="N595" s="25" t="str">
        <f>HYPERLINK("http://slimages.macys.com/is/image/MCY/21209112 ")</f>
        <v xml:space="preserve">http://slimages.macys.com/is/image/MCY/21209112 </v>
      </c>
    </row>
    <row r="596" spans="1:14" ht="24.75" x14ac:dyDescent="0.25">
      <c r="A596" s="21" t="s">
        <v>14332</v>
      </c>
      <c r="B596" s="22" t="s">
        <v>14333</v>
      </c>
      <c r="C596" s="2">
        <v>1</v>
      </c>
      <c r="D596" s="23">
        <v>5.99</v>
      </c>
      <c r="E596" s="3">
        <v>5.99</v>
      </c>
      <c r="F596" s="2" t="s">
        <v>14334</v>
      </c>
      <c r="G596" s="22" t="s">
        <v>19422</v>
      </c>
      <c r="H596" s="24" t="s">
        <v>19324</v>
      </c>
      <c r="I596" s="22" t="s">
        <v>19309</v>
      </c>
      <c r="J596" s="22" t="s">
        <v>19573</v>
      </c>
      <c r="K596" s="22" t="s">
        <v>19574</v>
      </c>
      <c r="L596" s="22"/>
      <c r="M596" s="22"/>
      <c r="N596" s="25" t="str">
        <f>HYPERLINK("http://slimages.macys.com/is/image/MCY/1491821 ")</f>
        <v xml:space="preserve">http://slimages.macys.com/is/image/MCY/1491821 </v>
      </c>
    </row>
    <row r="597" spans="1:14" ht="24.75" x14ac:dyDescent="0.25">
      <c r="A597" s="21" t="s">
        <v>14335</v>
      </c>
      <c r="B597" s="22" t="s">
        <v>14336</v>
      </c>
      <c r="C597" s="2">
        <v>1</v>
      </c>
      <c r="D597" s="23">
        <v>5.99</v>
      </c>
      <c r="E597" s="3">
        <v>5.99</v>
      </c>
      <c r="F597" s="2" t="s">
        <v>14334</v>
      </c>
      <c r="G597" s="22" t="s">
        <v>19422</v>
      </c>
      <c r="H597" s="24" t="s">
        <v>19384</v>
      </c>
      <c r="I597" s="22" t="s">
        <v>19309</v>
      </c>
      <c r="J597" s="22" t="s">
        <v>19573</v>
      </c>
      <c r="K597" s="22" t="s">
        <v>19574</v>
      </c>
      <c r="L597" s="22"/>
      <c r="M597" s="22"/>
      <c r="N597" s="25" t="str">
        <f>HYPERLINK("http://slimages.macys.com/is/image/MCY/1491821 ")</f>
        <v xml:space="preserve">http://slimages.macys.com/is/image/MCY/1491821 </v>
      </c>
    </row>
    <row r="598" spans="1:14" ht="24.75" x14ac:dyDescent="0.25">
      <c r="A598" s="21" t="s">
        <v>17400</v>
      </c>
      <c r="B598" s="22" t="s">
        <v>17401</v>
      </c>
      <c r="C598" s="2">
        <v>1</v>
      </c>
      <c r="D598" s="23">
        <v>5.99</v>
      </c>
      <c r="E598" s="3">
        <v>5.99</v>
      </c>
      <c r="F598" s="2" t="s">
        <v>17402</v>
      </c>
      <c r="G598" s="22" t="s">
        <v>19415</v>
      </c>
      <c r="H598" s="24" t="s">
        <v>19538</v>
      </c>
      <c r="I598" s="22" t="s">
        <v>19309</v>
      </c>
      <c r="J598" s="22" t="s">
        <v>19573</v>
      </c>
      <c r="K598" s="22" t="s">
        <v>19574</v>
      </c>
      <c r="L598" s="22"/>
      <c r="M598" s="22"/>
      <c r="N598" s="25" t="str">
        <f>HYPERLINK("http://slimages.macys.com/is/image/MCY/20736365 ")</f>
        <v xml:space="preserve">http://slimages.macys.com/is/image/MCY/20736365 </v>
      </c>
    </row>
    <row r="599" spans="1:14" ht="24.75" x14ac:dyDescent="0.25">
      <c r="A599" s="21" t="s">
        <v>14337</v>
      </c>
      <c r="B599" s="22" t="s">
        <v>14338</v>
      </c>
      <c r="C599" s="2">
        <v>1</v>
      </c>
      <c r="D599" s="23">
        <v>6.99</v>
      </c>
      <c r="E599" s="3">
        <v>6.99</v>
      </c>
      <c r="F599" s="2" t="s">
        <v>14339</v>
      </c>
      <c r="G599" s="22" t="s">
        <v>18439</v>
      </c>
      <c r="H599" s="24" t="s">
        <v>19538</v>
      </c>
      <c r="I599" s="22" t="s">
        <v>19309</v>
      </c>
      <c r="J599" s="22" t="s">
        <v>19573</v>
      </c>
      <c r="K599" s="22" t="s">
        <v>19574</v>
      </c>
      <c r="L599" s="22"/>
      <c r="M599" s="22"/>
      <c r="N599" s="25" t="str">
        <f>HYPERLINK("http://slimages.macys.com/is/image/MCY/19977418 ")</f>
        <v xml:space="preserve">http://slimages.macys.com/is/image/MCY/19977418 </v>
      </c>
    </row>
    <row r="600" spans="1:14" ht="24.75" x14ac:dyDescent="0.25">
      <c r="A600" s="21" t="s">
        <v>17273</v>
      </c>
      <c r="B600" s="22" t="s">
        <v>17274</v>
      </c>
      <c r="C600" s="2">
        <v>2</v>
      </c>
      <c r="D600" s="23">
        <v>5.99</v>
      </c>
      <c r="E600" s="3">
        <v>11.98</v>
      </c>
      <c r="F600" s="2" t="s">
        <v>17408</v>
      </c>
      <c r="G600" s="22" t="s">
        <v>19467</v>
      </c>
      <c r="H600" s="24" t="s">
        <v>19330</v>
      </c>
      <c r="I600" s="22" t="s">
        <v>19309</v>
      </c>
      <c r="J600" s="22" t="s">
        <v>19573</v>
      </c>
      <c r="K600" s="22" t="s">
        <v>19574</v>
      </c>
      <c r="L600" s="22"/>
      <c r="M600" s="22"/>
      <c r="N600" s="25" t="str">
        <f>HYPERLINK("http://slimages.macys.com/is/image/MCY/21970244 ")</f>
        <v xml:space="preserve">http://slimages.macys.com/is/image/MCY/21970244 </v>
      </c>
    </row>
    <row r="601" spans="1:14" ht="24.75" x14ac:dyDescent="0.25">
      <c r="A601" s="21" t="s">
        <v>14340</v>
      </c>
      <c r="B601" s="22" t="s">
        <v>17308</v>
      </c>
      <c r="C601" s="2">
        <v>1</v>
      </c>
      <c r="D601" s="23">
        <v>5.99</v>
      </c>
      <c r="E601" s="3">
        <v>5.99</v>
      </c>
      <c r="F601" s="2" t="s">
        <v>17405</v>
      </c>
      <c r="G601" s="22" t="s">
        <v>19351</v>
      </c>
      <c r="H601" s="24" t="s">
        <v>19330</v>
      </c>
      <c r="I601" s="22" t="s">
        <v>19309</v>
      </c>
      <c r="J601" s="22" t="s">
        <v>19573</v>
      </c>
      <c r="K601" s="22" t="s">
        <v>19574</v>
      </c>
      <c r="L601" s="22"/>
      <c r="M601" s="22"/>
      <c r="N601" s="25" t="str">
        <f>HYPERLINK("http://slimages.macys.com/is/image/MCY/1570641 ")</f>
        <v xml:space="preserve">http://slimages.macys.com/is/image/MCY/1570641 </v>
      </c>
    </row>
    <row r="602" spans="1:14" ht="24.75" x14ac:dyDescent="0.25">
      <c r="A602" s="21" t="s">
        <v>17406</v>
      </c>
      <c r="B602" s="22" t="s">
        <v>17407</v>
      </c>
      <c r="C602" s="2">
        <v>1</v>
      </c>
      <c r="D602" s="23">
        <v>5.99</v>
      </c>
      <c r="E602" s="3">
        <v>5.99</v>
      </c>
      <c r="F602" s="2" t="s">
        <v>17408</v>
      </c>
      <c r="G602" s="22" t="s">
        <v>19467</v>
      </c>
      <c r="H602" s="24" t="s">
        <v>19538</v>
      </c>
      <c r="I602" s="22" t="s">
        <v>19309</v>
      </c>
      <c r="J602" s="22" t="s">
        <v>19573</v>
      </c>
      <c r="K602" s="22" t="s">
        <v>19574</v>
      </c>
      <c r="L602" s="22"/>
      <c r="M602" s="22"/>
      <c r="N602" s="25" t="str">
        <f>HYPERLINK("http://slimages.macys.com/is/image/MCY/21970244 ")</f>
        <v xml:space="preserve">http://slimages.macys.com/is/image/MCY/21970244 </v>
      </c>
    </row>
    <row r="603" spans="1:14" ht="24.75" x14ac:dyDescent="0.25">
      <c r="A603" s="21" t="s">
        <v>14341</v>
      </c>
      <c r="B603" s="22" t="s">
        <v>14342</v>
      </c>
      <c r="C603" s="2">
        <v>1</v>
      </c>
      <c r="D603" s="23">
        <v>6.99</v>
      </c>
      <c r="E603" s="3">
        <v>6.99</v>
      </c>
      <c r="F603" s="2" t="s">
        <v>14343</v>
      </c>
      <c r="G603" s="22" t="s">
        <v>19315</v>
      </c>
      <c r="H603" s="24" t="s">
        <v>19538</v>
      </c>
      <c r="I603" s="22" t="s">
        <v>19309</v>
      </c>
      <c r="J603" s="22" t="s">
        <v>19573</v>
      </c>
      <c r="K603" s="22" t="s">
        <v>19574</v>
      </c>
      <c r="L603" s="22"/>
      <c r="M603" s="22"/>
      <c r="N603" s="25" t="str">
        <f>HYPERLINK("http://slimages.macys.com/is/image/MCY/20385718 ")</f>
        <v xml:space="preserve">http://slimages.macys.com/is/image/MCY/20385718 </v>
      </c>
    </row>
    <row r="604" spans="1:14" ht="24.75" x14ac:dyDescent="0.25">
      <c r="A604" s="21" t="s">
        <v>14344</v>
      </c>
      <c r="B604" s="22" t="s">
        <v>14345</v>
      </c>
      <c r="C604" s="2">
        <v>1</v>
      </c>
      <c r="D604" s="23">
        <v>6.99</v>
      </c>
      <c r="E604" s="3">
        <v>6.99</v>
      </c>
      <c r="F604" s="2" t="s">
        <v>14343</v>
      </c>
      <c r="G604" s="22" t="s">
        <v>19315</v>
      </c>
      <c r="H604" s="24" t="s">
        <v>19330</v>
      </c>
      <c r="I604" s="22" t="s">
        <v>19309</v>
      </c>
      <c r="J604" s="22" t="s">
        <v>19573</v>
      </c>
      <c r="K604" s="22" t="s">
        <v>19574</v>
      </c>
      <c r="L604" s="22"/>
      <c r="M604" s="22"/>
      <c r="N604" s="25" t="str">
        <f>HYPERLINK("http://slimages.macys.com/is/image/MCY/20385718 ")</f>
        <v xml:space="preserve">http://slimages.macys.com/is/image/MCY/20385718 </v>
      </c>
    </row>
    <row r="605" spans="1:14" ht="24.75" x14ac:dyDescent="0.25">
      <c r="A605" s="21" t="s">
        <v>14991</v>
      </c>
      <c r="B605" s="22" t="s">
        <v>14992</v>
      </c>
      <c r="C605" s="2">
        <v>1</v>
      </c>
      <c r="D605" s="23">
        <v>5.99</v>
      </c>
      <c r="E605" s="3">
        <v>5.99</v>
      </c>
      <c r="F605" s="2" t="s">
        <v>17280</v>
      </c>
      <c r="G605" s="22" t="s">
        <v>19618</v>
      </c>
      <c r="H605" s="24" t="s">
        <v>19416</v>
      </c>
      <c r="I605" s="22" t="s">
        <v>19309</v>
      </c>
      <c r="J605" s="22" t="s">
        <v>19573</v>
      </c>
      <c r="K605" s="22" t="s">
        <v>19574</v>
      </c>
      <c r="L605" s="22"/>
      <c r="M605" s="22"/>
      <c r="N605" s="25" t="str">
        <f>HYPERLINK("http://slimages.macys.com/is/image/MCY/20839692 ")</f>
        <v xml:space="preserve">http://slimages.macys.com/is/image/MCY/20839692 </v>
      </c>
    </row>
    <row r="606" spans="1:14" ht="24.75" x14ac:dyDescent="0.25">
      <c r="A606" s="21" t="s">
        <v>14346</v>
      </c>
      <c r="B606" s="22" t="s">
        <v>14347</v>
      </c>
      <c r="C606" s="2">
        <v>1</v>
      </c>
      <c r="D606" s="23">
        <v>5.99</v>
      </c>
      <c r="E606" s="3">
        <v>5.99</v>
      </c>
      <c r="F606" s="2" t="s">
        <v>17280</v>
      </c>
      <c r="G606" s="22" t="s">
        <v>19618</v>
      </c>
      <c r="H606" s="24" t="s">
        <v>19384</v>
      </c>
      <c r="I606" s="22" t="s">
        <v>19309</v>
      </c>
      <c r="J606" s="22" t="s">
        <v>19573</v>
      </c>
      <c r="K606" s="22" t="s">
        <v>19574</v>
      </c>
      <c r="L606" s="22"/>
      <c r="M606" s="22"/>
      <c r="N606" s="25" t="str">
        <f>HYPERLINK("http://slimages.macys.com/is/image/MCY/20839692 ")</f>
        <v xml:space="preserve">http://slimages.macys.com/is/image/MCY/20839692 </v>
      </c>
    </row>
    <row r="607" spans="1:14" ht="24.75" x14ac:dyDescent="0.25">
      <c r="A607" s="21" t="s">
        <v>17278</v>
      </c>
      <c r="B607" s="22" t="s">
        <v>17279</v>
      </c>
      <c r="C607" s="2">
        <v>2</v>
      </c>
      <c r="D607" s="23">
        <v>5.99</v>
      </c>
      <c r="E607" s="3">
        <v>11.98</v>
      </c>
      <c r="F607" s="2" t="s">
        <v>17280</v>
      </c>
      <c r="G607" s="22" t="s">
        <v>19618</v>
      </c>
      <c r="H607" s="24" t="s">
        <v>19538</v>
      </c>
      <c r="I607" s="22" t="s">
        <v>19309</v>
      </c>
      <c r="J607" s="22" t="s">
        <v>19573</v>
      </c>
      <c r="K607" s="22" t="s">
        <v>19574</v>
      </c>
      <c r="L607" s="22"/>
      <c r="M607" s="22"/>
      <c r="N607" s="25" t="str">
        <f>HYPERLINK("http://slimages.macys.com/is/image/MCY/20839692 ")</f>
        <v xml:space="preserve">http://slimages.macys.com/is/image/MCY/20839692 </v>
      </c>
    </row>
    <row r="608" spans="1:14" ht="24.75" x14ac:dyDescent="0.25">
      <c r="A608" s="21" t="s">
        <v>14348</v>
      </c>
      <c r="B608" s="22" t="s">
        <v>14349</v>
      </c>
      <c r="C608" s="2">
        <v>1</v>
      </c>
      <c r="D608" s="23">
        <v>5.99</v>
      </c>
      <c r="E608" s="3">
        <v>5.99</v>
      </c>
      <c r="F608" s="2" t="s">
        <v>17283</v>
      </c>
      <c r="G608" s="22" t="s">
        <v>19618</v>
      </c>
      <c r="H608" s="24" t="s">
        <v>19538</v>
      </c>
      <c r="I608" s="22" t="s">
        <v>19309</v>
      </c>
      <c r="J608" s="22" t="s">
        <v>19573</v>
      </c>
      <c r="K608" s="22" t="s">
        <v>19574</v>
      </c>
      <c r="L608" s="22"/>
      <c r="M608" s="22"/>
      <c r="N608" s="25" t="str">
        <f>HYPERLINK("http://slimages.macys.com/is/image/MCY/21089253 ")</f>
        <v xml:space="preserve">http://slimages.macys.com/is/image/MCY/21089253 </v>
      </c>
    </row>
    <row r="609" spans="1:14" ht="24.75" x14ac:dyDescent="0.25">
      <c r="A609" s="21" t="s">
        <v>14350</v>
      </c>
      <c r="B609" s="22" t="s">
        <v>14351</v>
      </c>
      <c r="C609" s="2">
        <v>1</v>
      </c>
      <c r="D609" s="23">
        <v>5.99</v>
      </c>
      <c r="E609" s="3">
        <v>5.99</v>
      </c>
      <c r="F609" s="2" t="s">
        <v>15004</v>
      </c>
      <c r="G609" s="22" t="s">
        <v>19351</v>
      </c>
      <c r="H609" s="24" t="s">
        <v>19384</v>
      </c>
      <c r="I609" s="22" t="s">
        <v>19309</v>
      </c>
      <c r="J609" s="22" t="s">
        <v>19573</v>
      </c>
      <c r="K609" s="22" t="s">
        <v>19574</v>
      </c>
      <c r="L609" s="22"/>
      <c r="M609" s="22"/>
      <c r="N609" s="25" t="str">
        <f>HYPERLINK("http://slimages.macys.com/is/image/MCY/1537013 ")</f>
        <v xml:space="preserve">http://slimages.macys.com/is/image/MCY/1537013 </v>
      </c>
    </row>
    <row r="610" spans="1:14" ht="24.75" x14ac:dyDescent="0.25">
      <c r="A610" s="21" t="s">
        <v>17292</v>
      </c>
      <c r="B610" s="22" t="s">
        <v>17293</v>
      </c>
      <c r="C610" s="2">
        <v>1</v>
      </c>
      <c r="D610" s="23">
        <v>5.99</v>
      </c>
      <c r="E610" s="3">
        <v>5.99</v>
      </c>
      <c r="F610" s="2" t="s">
        <v>17449</v>
      </c>
      <c r="G610" s="22" t="s">
        <v>19415</v>
      </c>
      <c r="H610" s="24" t="s">
        <v>19538</v>
      </c>
      <c r="I610" s="22" t="s">
        <v>19309</v>
      </c>
      <c r="J610" s="22" t="s">
        <v>19573</v>
      </c>
      <c r="K610" s="22" t="s">
        <v>19574</v>
      </c>
      <c r="L610" s="22"/>
      <c r="M610" s="22"/>
      <c r="N610" s="25" t="str">
        <f>HYPERLINK("http://slimages.macys.com/is/image/MCY/21209295 ")</f>
        <v xml:space="preserve">http://slimages.macys.com/is/image/MCY/21209295 </v>
      </c>
    </row>
    <row r="611" spans="1:14" ht="24.75" x14ac:dyDescent="0.25">
      <c r="A611" s="21" t="s">
        <v>14352</v>
      </c>
      <c r="B611" s="22" t="s">
        <v>14353</v>
      </c>
      <c r="C611" s="2">
        <v>1</v>
      </c>
      <c r="D611" s="23">
        <v>5.99</v>
      </c>
      <c r="E611" s="3">
        <v>5.99</v>
      </c>
      <c r="F611" s="2" t="s">
        <v>17304</v>
      </c>
      <c r="G611" s="22" t="s">
        <v>19518</v>
      </c>
      <c r="H611" s="24" t="s">
        <v>19538</v>
      </c>
      <c r="I611" s="22" t="s">
        <v>19309</v>
      </c>
      <c r="J611" s="22" t="s">
        <v>19573</v>
      </c>
      <c r="K611" s="22" t="s">
        <v>19574</v>
      </c>
      <c r="L611" s="22"/>
      <c r="M611" s="22"/>
      <c r="N611" s="25" t="str">
        <f>HYPERLINK("http://slimages.macys.com/is/image/MCY/20839692 ")</f>
        <v xml:space="preserve">http://slimages.macys.com/is/image/MCY/20839692 </v>
      </c>
    </row>
    <row r="612" spans="1:14" ht="24.75" x14ac:dyDescent="0.25">
      <c r="A612" s="21" t="s">
        <v>17302</v>
      </c>
      <c r="B612" s="22" t="s">
        <v>17303</v>
      </c>
      <c r="C612" s="2">
        <v>1</v>
      </c>
      <c r="D612" s="23">
        <v>5.99</v>
      </c>
      <c r="E612" s="3">
        <v>5.99</v>
      </c>
      <c r="F612" s="2" t="s">
        <v>17304</v>
      </c>
      <c r="G612" s="22" t="s">
        <v>19518</v>
      </c>
      <c r="H612" s="24" t="s">
        <v>19330</v>
      </c>
      <c r="I612" s="22" t="s">
        <v>19309</v>
      </c>
      <c r="J612" s="22" t="s">
        <v>19573</v>
      </c>
      <c r="K612" s="22" t="s">
        <v>19574</v>
      </c>
      <c r="L612" s="22"/>
      <c r="M612" s="22"/>
      <c r="N612" s="25" t="str">
        <f>HYPERLINK("http://slimages.macys.com/is/image/MCY/21089247 ")</f>
        <v xml:space="preserve">http://slimages.macys.com/is/image/MCY/21089247 </v>
      </c>
    </row>
    <row r="613" spans="1:14" ht="24.75" x14ac:dyDescent="0.25">
      <c r="A613" s="21" t="s">
        <v>14354</v>
      </c>
      <c r="B613" s="22" t="s">
        <v>14355</v>
      </c>
      <c r="C613" s="2">
        <v>1</v>
      </c>
      <c r="D613" s="23">
        <v>5.99</v>
      </c>
      <c r="E613" s="3">
        <v>5.99</v>
      </c>
      <c r="F613" s="2" t="s">
        <v>17304</v>
      </c>
      <c r="G613" s="22" t="s">
        <v>19518</v>
      </c>
      <c r="H613" s="24" t="s">
        <v>19384</v>
      </c>
      <c r="I613" s="22" t="s">
        <v>19309</v>
      </c>
      <c r="J613" s="22" t="s">
        <v>19573</v>
      </c>
      <c r="K613" s="22" t="s">
        <v>19574</v>
      </c>
      <c r="L613" s="22"/>
      <c r="M613" s="22"/>
      <c r="N613" s="25" t="str">
        <f>HYPERLINK("http://slimages.macys.com/is/image/MCY/21089247 ")</f>
        <v xml:space="preserve">http://slimages.macys.com/is/image/MCY/21089247 </v>
      </c>
    </row>
    <row r="614" spans="1:14" ht="24.75" x14ac:dyDescent="0.25">
      <c r="A614" s="21" t="s">
        <v>14356</v>
      </c>
      <c r="B614" s="22" t="s">
        <v>14357</v>
      </c>
      <c r="C614" s="2">
        <v>1</v>
      </c>
      <c r="D614" s="23">
        <v>100</v>
      </c>
      <c r="E614" s="3">
        <v>100</v>
      </c>
      <c r="F614" s="2">
        <v>726108384780</v>
      </c>
      <c r="G614" s="22"/>
      <c r="H614" s="24" t="s">
        <v>17505</v>
      </c>
      <c r="I614" s="22" t="s">
        <v>19309</v>
      </c>
      <c r="J614" s="22" t="s">
        <v>15506</v>
      </c>
      <c r="K614" s="22" t="s">
        <v>15219</v>
      </c>
      <c r="L614" s="22"/>
      <c r="M614" s="22"/>
      <c r="N614" s="25"/>
    </row>
    <row r="615" spans="1:14" ht="24.75" x14ac:dyDescent="0.25">
      <c r="A615" s="21" t="s">
        <v>14358</v>
      </c>
      <c r="B615" s="22" t="s">
        <v>14359</v>
      </c>
      <c r="C615" s="2">
        <v>2</v>
      </c>
      <c r="D615" s="23">
        <v>85</v>
      </c>
      <c r="E615" s="3">
        <v>170</v>
      </c>
      <c r="F615" s="2">
        <v>726108384827</v>
      </c>
      <c r="G615" s="22"/>
      <c r="H615" s="24" t="s">
        <v>17505</v>
      </c>
      <c r="I615" s="22" t="s">
        <v>19309</v>
      </c>
      <c r="J615" s="22" t="s">
        <v>15506</v>
      </c>
      <c r="K615" s="22" t="s">
        <v>15219</v>
      </c>
      <c r="L615" s="22"/>
      <c r="M615" s="22"/>
      <c r="N615" s="25"/>
    </row>
    <row r="616" spans="1:14" ht="24.75" x14ac:dyDescent="0.25">
      <c r="A616" s="21" t="s">
        <v>14360</v>
      </c>
      <c r="B616" s="22" t="s">
        <v>14359</v>
      </c>
      <c r="C616" s="2">
        <v>3</v>
      </c>
      <c r="D616" s="23">
        <v>85</v>
      </c>
      <c r="E616" s="3">
        <v>255</v>
      </c>
      <c r="F616" s="2">
        <v>726108384773</v>
      </c>
      <c r="G616" s="22"/>
      <c r="H616" s="24" t="s">
        <v>17505</v>
      </c>
      <c r="I616" s="22" t="s">
        <v>19309</v>
      </c>
      <c r="J616" s="22" t="s">
        <v>15506</v>
      </c>
      <c r="K616" s="22" t="s">
        <v>15219</v>
      </c>
      <c r="L616" s="22"/>
      <c r="M616" s="22"/>
      <c r="N616" s="25"/>
    </row>
    <row r="617" spans="1:14" ht="24.75" x14ac:dyDescent="0.25">
      <c r="A617" s="21" t="s">
        <v>14361</v>
      </c>
      <c r="B617" s="22" t="s">
        <v>14359</v>
      </c>
      <c r="C617" s="2">
        <v>2</v>
      </c>
      <c r="D617" s="23">
        <v>60</v>
      </c>
      <c r="E617" s="3">
        <v>120</v>
      </c>
      <c r="F617" s="2">
        <v>726108385220</v>
      </c>
      <c r="G617" s="22"/>
      <c r="H617" s="24" t="s">
        <v>17505</v>
      </c>
      <c r="I617" s="22" t="s">
        <v>19309</v>
      </c>
      <c r="J617" s="22" t="s">
        <v>15506</v>
      </c>
      <c r="K617" s="22" t="s">
        <v>15219</v>
      </c>
      <c r="L617" s="22"/>
      <c r="M617" s="22"/>
      <c r="N617" s="25"/>
    </row>
    <row r="618" spans="1:14" ht="24.75" x14ac:dyDescent="0.25">
      <c r="A618" s="21" t="s">
        <v>17322</v>
      </c>
      <c r="B618" s="22" t="s">
        <v>17323</v>
      </c>
      <c r="C618" s="2">
        <v>1</v>
      </c>
      <c r="D618" s="23">
        <v>33.99</v>
      </c>
      <c r="E618" s="3">
        <v>33.99</v>
      </c>
      <c r="F618" s="2" t="s">
        <v>17595</v>
      </c>
      <c r="G618" s="22" t="s">
        <v>19498</v>
      </c>
      <c r="H618" s="24" t="s">
        <v>19384</v>
      </c>
      <c r="I618" s="22" t="s">
        <v>19309</v>
      </c>
      <c r="J618" s="22" t="s">
        <v>19385</v>
      </c>
      <c r="K618" s="22" t="s">
        <v>19386</v>
      </c>
      <c r="L618" s="22"/>
      <c r="M618" s="22"/>
      <c r="N618" s="25"/>
    </row>
    <row r="619" spans="1:14" ht="24.75" x14ac:dyDescent="0.25">
      <c r="A619" s="21" t="s">
        <v>14362</v>
      </c>
      <c r="B619" s="22" t="s">
        <v>14363</v>
      </c>
      <c r="C619" s="2">
        <v>1</v>
      </c>
      <c r="D619" s="23">
        <v>33.99</v>
      </c>
      <c r="E619" s="3">
        <v>33.99</v>
      </c>
      <c r="F619" s="2" t="s">
        <v>17592</v>
      </c>
      <c r="G619" s="22" t="s">
        <v>19422</v>
      </c>
      <c r="H619" s="24" t="s">
        <v>19384</v>
      </c>
      <c r="I619" s="22" t="s">
        <v>19309</v>
      </c>
      <c r="J619" s="22" t="s">
        <v>19385</v>
      </c>
      <c r="K619" s="22" t="s">
        <v>19386</v>
      </c>
      <c r="L619" s="22"/>
      <c r="M619" s="22"/>
      <c r="N619" s="25"/>
    </row>
    <row r="620" spans="1:14" x14ac:dyDescent="0.25">
      <c r="A620" s="21" t="s">
        <v>14364</v>
      </c>
      <c r="B620" s="22" t="s">
        <v>14365</v>
      </c>
      <c r="C620" s="2">
        <v>1</v>
      </c>
      <c r="D620" s="23">
        <v>46</v>
      </c>
      <c r="E620" s="3">
        <v>46</v>
      </c>
      <c r="F620" s="2" t="s">
        <v>14366</v>
      </c>
      <c r="G620" s="22" t="s">
        <v>19323</v>
      </c>
      <c r="H620" s="24" t="s">
        <v>17327</v>
      </c>
      <c r="I620" s="22" t="s">
        <v>19309</v>
      </c>
      <c r="J620" s="22" t="s">
        <v>17328</v>
      </c>
      <c r="K620" s="22" t="s">
        <v>17329</v>
      </c>
      <c r="L620" s="22"/>
      <c r="M620" s="22"/>
      <c r="N620" s="25"/>
    </row>
    <row r="621" spans="1:14" ht="24.75" x14ac:dyDescent="0.25">
      <c r="A621" s="21" t="s">
        <v>14367</v>
      </c>
      <c r="B621" s="22" t="s">
        <v>14368</v>
      </c>
      <c r="C621" s="2">
        <v>1</v>
      </c>
      <c r="D621" s="23">
        <v>28.99</v>
      </c>
      <c r="E621" s="3">
        <v>28.99</v>
      </c>
      <c r="F621" s="2" t="s">
        <v>14369</v>
      </c>
      <c r="G621" s="22" t="s">
        <v>19307</v>
      </c>
      <c r="H621" s="24" t="s">
        <v>19377</v>
      </c>
      <c r="I621" s="22" t="s">
        <v>19309</v>
      </c>
      <c r="J621" s="22" t="s">
        <v>19447</v>
      </c>
      <c r="K621" s="22" t="s">
        <v>19463</v>
      </c>
      <c r="L621" s="22"/>
      <c r="M621" s="22"/>
      <c r="N621" s="25"/>
    </row>
    <row r="622" spans="1:14" ht="24.75" x14ac:dyDescent="0.25">
      <c r="A622" s="21" t="s">
        <v>14370</v>
      </c>
      <c r="B622" s="22" t="s">
        <v>14371</v>
      </c>
      <c r="C622" s="2">
        <v>1</v>
      </c>
      <c r="D622" s="23">
        <v>26.99</v>
      </c>
      <c r="E622" s="3">
        <v>26.99</v>
      </c>
      <c r="F622" s="2" t="s">
        <v>14372</v>
      </c>
      <c r="G622" s="22" t="s">
        <v>19674</v>
      </c>
      <c r="H622" s="24" t="s">
        <v>19345</v>
      </c>
      <c r="I622" s="22" t="s">
        <v>19309</v>
      </c>
      <c r="J622" s="22" t="s">
        <v>15506</v>
      </c>
      <c r="K622" s="22" t="s">
        <v>15219</v>
      </c>
      <c r="L622" s="22"/>
      <c r="M622" s="22"/>
      <c r="N622" s="25"/>
    </row>
    <row r="623" spans="1:14" ht="24.75" x14ac:dyDescent="0.25">
      <c r="A623" s="21" t="s">
        <v>17509</v>
      </c>
      <c r="B623" s="22" t="s">
        <v>17510</v>
      </c>
      <c r="C623" s="2">
        <v>7</v>
      </c>
      <c r="D623" s="23">
        <v>7.5</v>
      </c>
      <c r="E623" s="3">
        <v>52.5</v>
      </c>
      <c r="F623" s="2" t="s">
        <v>17510</v>
      </c>
      <c r="G623" s="22" t="s">
        <v>17504</v>
      </c>
      <c r="H623" s="24" t="s">
        <v>17505</v>
      </c>
      <c r="I623" s="22" t="s">
        <v>19309</v>
      </c>
      <c r="J623" s="22" t="s">
        <v>19708</v>
      </c>
      <c r="K623" s="22" t="s">
        <v>19709</v>
      </c>
      <c r="L623" s="22"/>
      <c r="M623" s="22"/>
      <c r="N623" s="25"/>
    </row>
  </sheetData>
  <phoneticPr fontId="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95"/>
  <sheetViews>
    <sheetView workbookViewId="0">
      <selection activeCell="C12" sqref="C12"/>
    </sheetView>
  </sheetViews>
  <sheetFormatPr defaultRowHeight="15" x14ac:dyDescent="0.25"/>
  <cols>
    <col min="1" max="1" width="14.42578125" customWidth="1"/>
    <col min="2" max="2" width="54.42578125" customWidth="1"/>
    <col min="3" max="4" width="15" customWidth="1"/>
    <col min="5" max="5" width="10.42578125" customWidth="1"/>
    <col min="6" max="6" width="17.140625" customWidth="1"/>
    <col min="7" max="8" width="11.42578125" customWidth="1"/>
    <col min="9" max="9" width="10.85546875" customWidth="1"/>
    <col min="10" max="10" width="12.140625" customWidth="1"/>
    <col min="11" max="11" width="36.5703125" bestFit="1" customWidth="1"/>
    <col min="12" max="13" width="20.5703125" customWidth="1"/>
    <col min="14" max="14" width="64.42578125" customWidth="1"/>
  </cols>
  <sheetData>
    <row r="1" spans="1:14" ht="36" x14ac:dyDescent="0.25">
      <c r="A1" s="1" t="s">
        <v>19291</v>
      </c>
      <c r="B1" s="1" t="s">
        <v>19292</v>
      </c>
      <c r="C1" s="1" t="s">
        <v>19293</v>
      </c>
      <c r="D1" s="1" t="s">
        <v>19284</v>
      </c>
      <c r="E1" s="1" t="s">
        <v>19294</v>
      </c>
      <c r="F1" s="1" t="s">
        <v>19295</v>
      </c>
      <c r="G1" s="1" t="s">
        <v>19296</v>
      </c>
      <c r="H1" s="1" t="s">
        <v>19297</v>
      </c>
      <c r="I1" s="1" t="s">
        <v>19298</v>
      </c>
      <c r="J1" s="1" t="s">
        <v>19299</v>
      </c>
      <c r="K1" s="1" t="s">
        <v>19300</v>
      </c>
      <c r="L1" s="1" t="s">
        <v>19301</v>
      </c>
      <c r="M1" s="1" t="s">
        <v>19302</v>
      </c>
      <c r="N1" s="1" t="s">
        <v>19303</v>
      </c>
    </row>
    <row r="2" spans="1:14" ht="24.75" x14ac:dyDescent="0.25">
      <c r="A2" s="21" t="s">
        <v>17373</v>
      </c>
      <c r="B2" s="22" t="s">
        <v>17374</v>
      </c>
      <c r="C2" s="2">
        <v>1</v>
      </c>
      <c r="D2" s="23">
        <v>79.5</v>
      </c>
      <c r="E2" s="3">
        <v>79.5</v>
      </c>
      <c r="F2" s="2">
        <v>323859782001</v>
      </c>
      <c r="G2" s="22" t="s">
        <v>19333</v>
      </c>
      <c r="H2" s="24" t="s">
        <v>19339</v>
      </c>
      <c r="I2" s="22" t="s">
        <v>19309</v>
      </c>
      <c r="J2" s="22" t="s">
        <v>19335</v>
      </c>
      <c r="K2" s="22" t="s">
        <v>19326</v>
      </c>
      <c r="L2" s="22"/>
      <c r="M2" s="22"/>
      <c r="N2" s="25" t="str">
        <f>HYPERLINK("http://slimages.macys.com/is/image/MCY/20670948 ")</f>
        <v xml:space="preserve">http://slimages.macys.com/is/image/MCY/20670948 </v>
      </c>
    </row>
    <row r="3" spans="1:14" ht="24.75" x14ac:dyDescent="0.25">
      <c r="A3" s="21" t="s">
        <v>17375</v>
      </c>
      <c r="B3" s="22" t="s">
        <v>17376</v>
      </c>
      <c r="C3" s="2">
        <v>1</v>
      </c>
      <c r="D3" s="23">
        <v>58</v>
      </c>
      <c r="E3" s="3">
        <v>58</v>
      </c>
      <c r="F3" s="2" t="s">
        <v>17377</v>
      </c>
      <c r="G3" s="22" t="s">
        <v>19323</v>
      </c>
      <c r="H3" s="24"/>
      <c r="I3" s="22" t="s">
        <v>19309</v>
      </c>
      <c r="J3" s="22" t="s">
        <v>19550</v>
      </c>
      <c r="K3" s="22" t="s">
        <v>17378</v>
      </c>
      <c r="L3" s="22" t="s">
        <v>19319</v>
      </c>
      <c r="M3" s="22" t="s">
        <v>19320</v>
      </c>
      <c r="N3" s="25" t="str">
        <f>HYPERLINK("http://slimages.macys.com/is/image/MCY/16406290 ")</f>
        <v xml:space="preserve">http://slimages.macys.com/is/image/MCY/16406290 </v>
      </c>
    </row>
    <row r="4" spans="1:14" ht="24.75" x14ac:dyDescent="0.25">
      <c r="A4" s="21" t="s">
        <v>17379</v>
      </c>
      <c r="B4" s="22" t="s">
        <v>17380</v>
      </c>
      <c r="C4" s="2">
        <v>1</v>
      </c>
      <c r="D4" s="23">
        <v>69.5</v>
      </c>
      <c r="E4" s="3">
        <v>69.5</v>
      </c>
      <c r="F4" s="2">
        <v>320865754001</v>
      </c>
      <c r="G4" s="22" t="s">
        <v>19333</v>
      </c>
      <c r="H4" s="24" t="s">
        <v>20159</v>
      </c>
      <c r="I4" s="22" t="s">
        <v>19309</v>
      </c>
      <c r="J4" s="22" t="s">
        <v>19325</v>
      </c>
      <c r="K4" s="22" t="s">
        <v>19326</v>
      </c>
      <c r="L4" s="22"/>
      <c r="M4" s="22"/>
      <c r="N4" s="25" t="str">
        <f>HYPERLINK("http://slimages.macys.com/is/image/MCY/21825421 ")</f>
        <v xml:space="preserve">http://slimages.macys.com/is/image/MCY/21825421 </v>
      </c>
    </row>
    <row r="5" spans="1:14" ht="24.75" x14ac:dyDescent="0.25">
      <c r="A5" s="21" t="s">
        <v>17381</v>
      </c>
      <c r="B5" s="22" t="s">
        <v>17382</v>
      </c>
      <c r="C5" s="2">
        <v>1</v>
      </c>
      <c r="D5" s="23">
        <v>54.99</v>
      </c>
      <c r="E5" s="3">
        <v>54.99</v>
      </c>
      <c r="F5" s="2" t="s">
        <v>15498</v>
      </c>
      <c r="G5" s="22" t="s">
        <v>19351</v>
      </c>
      <c r="H5" s="24" t="s">
        <v>19334</v>
      </c>
      <c r="I5" s="22" t="s">
        <v>19309</v>
      </c>
      <c r="J5" s="22" t="s">
        <v>19317</v>
      </c>
      <c r="K5" s="22" t="s">
        <v>15499</v>
      </c>
      <c r="L5" s="22"/>
      <c r="M5" s="22"/>
      <c r="N5" s="25" t="str">
        <f>HYPERLINK("http://slimages.macys.com/is/image/MCY/21680412 ")</f>
        <v xml:space="preserve">http://slimages.macys.com/is/image/MCY/21680412 </v>
      </c>
    </row>
    <row r="6" spans="1:14" ht="24.75" x14ac:dyDescent="0.25">
      <c r="A6" s="21" t="s">
        <v>15500</v>
      </c>
      <c r="B6" s="22" t="s">
        <v>15501</v>
      </c>
      <c r="C6" s="2">
        <v>1</v>
      </c>
      <c r="D6" s="23">
        <v>55</v>
      </c>
      <c r="E6" s="3">
        <v>55</v>
      </c>
      <c r="F6" s="2">
        <v>310862504001</v>
      </c>
      <c r="G6" s="22" t="s">
        <v>19351</v>
      </c>
      <c r="H6" s="24" t="s">
        <v>20159</v>
      </c>
      <c r="I6" s="22" t="s">
        <v>19309</v>
      </c>
      <c r="J6" s="22" t="s">
        <v>19325</v>
      </c>
      <c r="K6" s="22" t="s">
        <v>19326</v>
      </c>
      <c r="L6" s="22"/>
      <c r="M6" s="22"/>
      <c r="N6" s="25" t="str">
        <f>HYPERLINK("http://slimages.macys.com/is/image/MCY/21502465 ")</f>
        <v xml:space="preserve">http://slimages.macys.com/is/image/MCY/21502465 </v>
      </c>
    </row>
    <row r="7" spans="1:14" ht="24.75" x14ac:dyDescent="0.25">
      <c r="A7" s="21" t="s">
        <v>15502</v>
      </c>
      <c r="B7" s="22" t="s">
        <v>15503</v>
      </c>
      <c r="C7" s="2">
        <v>1</v>
      </c>
      <c r="D7" s="23">
        <v>55</v>
      </c>
      <c r="E7" s="3">
        <v>55</v>
      </c>
      <c r="F7" s="2">
        <v>310862504001</v>
      </c>
      <c r="G7" s="22" t="s">
        <v>19351</v>
      </c>
      <c r="H7" s="24" t="s">
        <v>19330</v>
      </c>
      <c r="I7" s="22" t="s">
        <v>19309</v>
      </c>
      <c r="J7" s="22" t="s">
        <v>19325</v>
      </c>
      <c r="K7" s="22" t="s">
        <v>19326</v>
      </c>
      <c r="L7" s="22" t="s">
        <v>17530</v>
      </c>
      <c r="M7" s="22" t="s">
        <v>17531</v>
      </c>
      <c r="N7" s="25" t="str">
        <f>HYPERLINK("http://images.bloomingdales.com/is/image/BLM/12180706 ")</f>
        <v xml:space="preserve">http://images.bloomingdales.com/is/image/BLM/12180706 </v>
      </c>
    </row>
    <row r="8" spans="1:14" ht="24.75" x14ac:dyDescent="0.25">
      <c r="A8" s="21" t="s">
        <v>15504</v>
      </c>
      <c r="B8" s="22" t="s">
        <v>15505</v>
      </c>
      <c r="C8" s="2">
        <v>1</v>
      </c>
      <c r="D8" s="23">
        <v>49.99</v>
      </c>
      <c r="E8" s="3">
        <v>49.99</v>
      </c>
      <c r="F8" s="2">
        <v>1580631</v>
      </c>
      <c r="G8" s="22" t="s">
        <v>19357</v>
      </c>
      <c r="H8" s="24" t="s">
        <v>19352</v>
      </c>
      <c r="I8" s="22" t="s">
        <v>19309</v>
      </c>
      <c r="J8" s="22" t="s">
        <v>15506</v>
      </c>
      <c r="K8" s="22" t="s">
        <v>15507</v>
      </c>
      <c r="L8" s="22"/>
      <c r="M8" s="22"/>
      <c r="N8" s="25" t="str">
        <f>HYPERLINK("http://slimages.macys.com/is/image/MCY/21321714 ")</f>
        <v xml:space="preserve">http://slimages.macys.com/is/image/MCY/21321714 </v>
      </c>
    </row>
    <row r="9" spans="1:14" ht="24.75" x14ac:dyDescent="0.25">
      <c r="A9" s="21" t="s">
        <v>15508</v>
      </c>
      <c r="B9" s="22" t="s">
        <v>15509</v>
      </c>
      <c r="C9" s="2">
        <v>1</v>
      </c>
      <c r="D9" s="23">
        <v>54.99</v>
      </c>
      <c r="E9" s="3">
        <v>54.99</v>
      </c>
      <c r="F9" s="2" t="s">
        <v>15510</v>
      </c>
      <c r="G9" s="22" t="s">
        <v>18429</v>
      </c>
      <c r="H9" s="24"/>
      <c r="I9" s="22" t="s">
        <v>19309</v>
      </c>
      <c r="J9" s="22" t="s">
        <v>15506</v>
      </c>
      <c r="K9" s="22" t="s">
        <v>15511</v>
      </c>
      <c r="L9" s="22"/>
      <c r="M9" s="22"/>
      <c r="N9" s="25" t="str">
        <f>HYPERLINK("http://slimages.macys.com/is/image/MCY/20035386 ")</f>
        <v xml:space="preserve">http://slimages.macys.com/is/image/MCY/20035386 </v>
      </c>
    </row>
    <row r="10" spans="1:14" x14ac:dyDescent="0.25">
      <c r="A10" s="21" t="s">
        <v>15512</v>
      </c>
      <c r="B10" s="22" t="s">
        <v>15513</v>
      </c>
      <c r="C10" s="2">
        <v>1</v>
      </c>
      <c r="D10" s="23">
        <v>41.99</v>
      </c>
      <c r="E10" s="3">
        <v>41.99</v>
      </c>
      <c r="F10" s="2" t="s">
        <v>15514</v>
      </c>
      <c r="G10" s="22" t="s">
        <v>19307</v>
      </c>
      <c r="H10" s="24" t="s">
        <v>19339</v>
      </c>
      <c r="I10" s="22" t="s">
        <v>19309</v>
      </c>
      <c r="J10" s="22" t="s">
        <v>19310</v>
      </c>
      <c r="K10" s="22" t="s">
        <v>19311</v>
      </c>
      <c r="L10" s="22"/>
      <c r="M10" s="22"/>
      <c r="N10" s="25" t="str">
        <f>HYPERLINK("http://slimages.macys.com/is/image/MCY/17980559 ")</f>
        <v xml:space="preserve">http://slimages.macys.com/is/image/MCY/17980559 </v>
      </c>
    </row>
    <row r="11" spans="1:14" ht="24.75" x14ac:dyDescent="0.25">
      <c r="A11" s="21" t="s">
        <v>15515</v>
      </c>
      <c r="B11" s="22" t="s">
        <v>15516</v>
      </c>
      <c r="C11" s="2">
        <v>1</v>
      </c>
      <c r="D11" s="23">
        <v>54.99</v>
      </c>
      <c r="E11" s="3">
        <v>54.99</v>
      </c>
      <c r="F11" s="2" t="s">
        <v>15517</v>
      </c>
      <c r="G11" s="22" t="s">
        <v>19477</v>
      </c>
      <c r="H11" s="24" t="s">
        <v>19392</v>
      </c>
      <c r="I11" s="22" t="s">
        <v>19309</v>
      </c>
      <c r="J11" s="22" t="s">
        <v>19378</v>
      </c>
      <c r="K11" s="22" t="s">
        <v>19386</v>
      </c>
      <c r="L11" s="22"/>
      <c r="M11" s="22"/>
      <c r="N11" s="25" t="str">
        <f>HYPERLINK("http://slimages.macys.com/is/image/MCY/20547078 ")</f>
        <v xml:space="preserve">http://slimages.macys.com/is/image/MCY/20547078 </v>
      </c>
    </row>
    <row r="12" spans="1:14" ht="24.75" x14ac:dyDescent="0.25">
      <c r="A12" s="21" t="s">
        <v>15518</v>
      </c>
      <c r="B12" s="22" t="s">
        <v>15519</v>
      </c>
      <c r="C12" s="2">
        <v>1</v>
      </c>
      <c r="D12" s="23">
        <v>40</v>
      </c>
      <c r="E12" s="3">
        <v>40</v>
      </c>
      <c r="F12" s="2">
        <v>1368153</v>
      </c>
      <c r="G12" s="22" t="s">
        <v>19333</v>
      </c>
      <c r="H12" s="24" t="s">
        <v>19339</v>
      </c>
      <c r="I12" s="22" t="s">
        <v>19309</v>
      </c>
      <c r="J12" s="22" t="s">
        <v>19447</v>
      </c>
      <c r="K12" s="22" t="s">
        <v>17686</v>
      </c>
      <c r="L12" s="22"/>
      <c r="M12" s="22"/>
      <c r="N12" s="25" t="str">
        <f>HYPERLINK("http://slimages.macys.com/is/image/MCY/20277567 ")</f>
        <v xml:space="preserve">http://slimages.macys.com/is/image/MCY/20277567 </v>
      </c>
    </row>
    <row r="13" spans="1:14" ht="24.75" x14ac:dyDescent="0.25">
      <c r="A13" s="21" t="s">
        <v>15520</v>
      </c>
      <c r="B13" s="22" t="s">
        <v>15521</v>
      </c>
      <c r="C13" s="2">
        <v>1</v>
      </c>
      <c r="D13" s="23">
        <v>39.5</v>
      </c>
      <c r="E13" s="3">
        <v>39.5</v>
      </c>
      <c r="F13" s="2">
        <v>320867159003</v>
      </c>
      <c r="G13" s="22" t="s">
        <v>19333</v>
      </c>
      <c r="H13" s="24" t="s">
        <v>20159</v>
      </c>
      <c r="I13" s="22" t="s">
        <v>19309</v>
      </c>
      <c r="J13" s="22" t="s">
        <v>19325</v>
      </c>
      <c r="K13" s="22" t="s">
        <v>19326</v>
      </c>
      <c r="L13" s="22"/>
      <c r="M13" s="22"/>
      <c r="N13" s="25" t="str">
        <f>HYPERLINK("http://slimages.macys.com/is/image/MCY/21258745 ")</f>
        <v xml:space="preserve">http://slimages.macys.com/is/image/MCY/21258745 </v>
      </c>
    </row>
    <row r="14" spans="1:14" x14ac:dyDescent="0.25">
      <c r="A14" s="21" t="s">
        <v>15522</v>
      </c>
      <c r="B14" s="22" t="s">
        <v>15523</v>
      </c>
      <c r="C14" s="2">
        <v>1</v>
      </c>
      <c r="D14" s="23">
        <v>42</v>
      </c>
      <c r="E14" s="3">
        <v>42</v>
      </c>
      <c r="F14" s="2" t="s">
        <v>15524</v>
      </c>
      <c r="G14" s="22" t="s">
        <v>17811</v>
      </c>
      <c r="H14" s="24"/>
      <c r="I14" s="22" t="s">
        <v>19309</v>
      </c>
      <c r="J14" s="22" t="s">
        <v>19559</v>
      </c>
      <c r="K14" s="22" t="s">
        <v>15525</v>
      </c>
      <c r="L14" s="22"/>
      <c r="M14" s="22"/>
      <c r="N14" s="25" t="str">
        <f>HYPERLINK("http://slimages.macys.com/is/image/MCY/21267047 ")</f>
        <v xml:space="preserve">http://slimages.macys.com/is/image/MCY/21267047 </v>
      </c>
    </row>
    <row r="15" spans="1:14" ht="24.75" x14ac:dyDescent="0.25">
      <c r="A15" s="21" t="s">
        <v>15526</v>
      </c>
      <c r="B15" s="22" t="s">
        <v>15527</v>
      </c>
      <c r="C15" s="2">
        <v>1</v>
      </c>
      <c r="D15" s="23">
        <v>42.99</v>
      </c>
      <c r="E15" s="3">
        <v>42.99</v>
      </c>
      <c r="F15" s="2" t="s">
        <v>17566</v>
      </c>
      <c r="G15" s="22" t="s">
        <v>17567</v>
      </c>
      <c r="H15" s="24" t="s">
        <v>19384</v>
      </c>
      <c r="I15" s="22" t="s">
        <v>19309</v>
      </c>
      <c r="J15" s="22" t="s">
        <v>19385</v>
      </c>
      <c r="K15" s="22" t="s">
        <v>19386</v>
      </c>
      <c r="L15" s="22"/>
      <c r="M15" s="22"/>
      <c r="N15" s="25" t="str">
        <f>HYPERLINK("http://slimages.macys.com/is/image/MCY/21878287 ")</f>
        <v xml:space="preserve">http://slimages.macys.com/is/image/MCY/21878287 </v>
      </c>
    </row>
    <row r="16" spans="1:14" ht="24.75" x14ac:dyDescent="0.25">
      <c r="A16" s="21" t="s">
        <v>15528</v>
      </c>
      <c r="B16" s="22" t="s">
        <v>15529</v>
      </c>
      <c r="C16" s="2">
        <v>1</v>
      </c>
      <c r="D16" s="23">
        <v>49.99</v>
      </c>
      <c r="E16" s="3">
        <v>49.99</v>
      </c>
      <c r="F16" s="2" t="s">
        <v>15530</v>
      </c>
      <c r="G16" s="22" t="s">
        <v>19879</v>
      </c>
      <c r="H16" s="24" t="s">
        <v>19361</v>
      </c>
      <c r="I16" s="22" t="s">
        <v>19309</v>
      </c>
      <c r="J16" s="22" t="s">
        <v>19378</v>
      </c>
      <c r="K16" s="22" t="s">
        <v>19487</v>
      </c>
      <c r="L16" s="22"/>
      <c r="M16" s="22"/>
      <c r="N16" s="25" t="str">
        <f>HYPERLINK("http://slimages.macys.com/is/image/MCY/20341630 ")</f>
        <v xml:space="preserve">http://slimages.macys.com/is/image/MCY/20341630 </v>
      </c>
    </row>
    <row r="17" spans="1:14" x14ac:dyDescent="0.25">
      <c r="A17" s="21" t="s">
        <v>15531</v>
      </c>
      <c r="B17" s="22" t="s">
        <v>15532</v>
      </c>
      <c r="C17" s="2">
        <v>1</v>
      </c>
      <c r="D17" s="23">
        <v>35.99</v>
      </c>
      <c r="E17" s="3">
        <v>35.99</v>
      </c>
      <c r="F17" s="2" t="s">
        <v>15533</v>
      </c>
      <c r="G17" s="22" t="s">
        <v>19630</v>
      </c>
      <c r="H17" s="24" t="s">
        <v>19339</v>
      </c>
      <c r="I17" s="22" t="s">
        <v>19309</v>
      </c>
      <c r="J17" s="22" t="s">
        <v>19310</v>
      </c>
      <c r="K17" s="22" t="s">
        <v>19631</v>
      </c>
      <c r="L17" s="22"/>
      <c r="M17" s="22"/>
      <c r="N17" s="25" t="str">
        <f>HYPERLINK("http://slimages.macys.com/is/image/MCY/21927836 ")</f>
        <v xml:space="preserve">http://slimages.macys.com/is/image/MCY/21927836 </v>
      </c>
    </row>
    <row r="18" spans="1:14" x14ac:dyDescent="0.25">
      <c r="A18" s="21" t="s">
        <v>15534</v>
      </c>
      <c r="B18" s="22" t="s">
        <v>15535</v>
      </c>
      <c r="C18" s="2">
        <v>1</v>
      </c>
      <c r="D18" s="23">
        <v>34.99</v>
      </c>
      <c r="E18" s="3">
        <v>34.99</v>
      </c>
      <c r="F18" s="2" t="s">
        <v>15536</v>
      </c>
      <c r="G18" s="22" t="s">
        <v>19307</v>
      </c>
      <c r="H18" s="24" t="s">
        <v>19364</v>
      </c>
      <c r="I18" s="22" t="s">
        <v>19309</v>
      </c>
      <c r="J18" s="22" t="s">
        <v>19310</v>
      </c>
      <c r="K18" s="22" t="s">
        <v>19631</v>
      </c>
      <c r="L18" s="22"/>
      <c r="M18" s="22"/>
      <c r="N18" s="25" t="str">
        <f>HYPERLINK("http://slimages.macys.com/is/image/MCY/21118457 ")</f>
        <v xml:space="preserve">http://slimages.macys.com/is/image/MCY/21118457 </v>
      </c>
    </row>
    <row r="19" spans="1:14" ht="24.75" x14ac:dyDescent="0.25">
      <c r="A19" s="21" t="s">
        <v>15537</v>
      </c>
      <c r="B19" s="22" t="s">
        <v>15538</v>
      </c>
      <c r="C19" s="2">
        <v>1</v>
      </c>
      <c r="D19" s="23">
        <v>34.99</v>
      </c>
      <c r="E19" s="3">
        <v>34.99</v>
      </c>
      <c r="F19" s="2" t="s">
        <v>15539</v>
      </c>
      <c r="G19" s="22" t="s">
        <v>19333</v>
      </c>
      <c r="H19" s="24" t="s">
        <v>19324</v>
      </c>
      <c r="I19" s="22" t="s">
        <v>19309</v>
      </c>
      <c r="J19" s="22" t="s">
        <v>19385</v>
      </c>
      <c r="K19" s="22" t="s">
        <v>19386</v>
      </c>
      <c r="L19" s="22"/>
      <c r="M19" s="22"/>
      <c r="N19" s="25" t="str">
        <f>HYPERLINK("http://slimages.macys.com/is/image/MCY/21185185 ")</f>
        <v xml:space="preserve">http://slimages.macys.com/is/image/MCY/21185185 </v>
      </c>
    </row>
    <row r="20" spans="1:14" x14ac:dyDescent="0.25">
      <c r="A20" s="21" t="s">
        <v>15540</v>
      </c>
      <c r="B20" s="22" t="s">
        <v>15541</v>
      </c>
      <c r="C20" s="2">
        <v>1</v>
      </c>
      <c r="D20" s="23">
        <v>18.11</v>
      </c>
      <c r="E20" s="3">
        <v>18.11</v>
      </c>
      <c r="F20" s="2" t="s">
        <v>15542</v>
      </c>
      <c r="G20" s="22" t="s">
        <v>19338</v>
      </c>
      <c r="H20" s="24" t="s">
        <v>19352</v>
      </c>
      <c r="I20" s="22" t="s">
        <v>19309</v>
      </c>
      <c r="J20" s="22" t="s">
        <v>19310</v>
      </c>
      <c r="K20" s="22" t="s">
        <v>19311</v>
      </c>
      <c r="L20" s="22"/>
      <c r="M20" s="22"/>
      <c r="N20" s="25" t="str">
        <f>HYPERLINK("http://slimages.macys.com/is/image/MCY/21276195 ")</f>
        <v xml:space="preserve">http://slimages.macys.com/is/image/MCY/21276195 </v>
      </c>
    </row>
    <row r="21" spans="1:14" ht="24.75" x14ac:dyDescent="0.25">
      <c r="A21" s="21" t="s">
        <v>15543</v>
      </c>
      <c r="B21" s="22" t="s">
        <v>15544</v>
      </c>
      <c r="C21" s="2">
        <v>1</v>
      </c>
      <c r="D21" s="23">
        <v>18.11</v>
      </c>
      <c r="E21" s="3">
        <v>18.11</v>
      </c>
      <c r="F21" s="2" t="s">
        <v>19398</v>
      </c>
      <c r="G21" s="22" t="s">
        <v>19333</v>
      </c>
      <c r="H21" s="24" t="s">
        <v>19501</v>
      </c>
      <c r="I21" s="22" t="s">
        <v>19309</v>
      </c>
      <c r="J21" s="22" t="s">
        <v>19400</v>
      </c>
      <c r="K21" s="22" t="s">
        <v>19386</v>
      </c>
      <c r="L21" s="22"/>
      <c r="M21" s="22"/>
      <c r="N21" s="25" t="str">
        <f>HYPERLINK("http://slimages.macys.com/is/image/MCY/20340310 ")</f>
        <v xml:space="preserve">http://slimages.macys.com/is/image/MCY/20340310 </v>
      </c>
    </row>
    <row r="22" spans="1:14" ht="24.75" x14ac:dyDescent="0.25">
      <c r="A22" s="21" t="s">
        <v>15545</v>
      </c>
      <c r="B22" s="22" t="s">
        <v>15546</v>
      </c>
      <c r="C22" s="2">
        <v>1</v>
      </c>
      <c r="D22" s="23">
        <v>46.99</v>
      </c>
      <c r="E22" s="3">
        <v>46.99</v>
      </c>
      <c r="F22" s="2" t="s">
        <v>15547</v>
      </c>
      <c r="G22" s="22" t="s">
        <v>19674</v>
      </c>
      <c r="H22" s="24" t="s">
        <v>19316</v>
      </c>
      <c r="I22" s="22" t="s">
        <v>19309</v>
      </c>
      <c r="J22" s="22" t="s">
        <v>19400</v>
      </c>
      <c r="K22" s="22" t="s">
        <v>19423</v>
      </c>
      <c r="L22" s="22"/>
      <c r="M22" s="22"/>
      <c r="N22" s="25" t="str">
        <f>HYPERLINK("http://slimages.macys.com/is/image/MCY/20574140 ")</f>
        <v xml:space="preserve">http://slimages.macys.com/is/image/MCY/20574140 </v>
      </c>
    </row>
    <row r="23" spans="1:14" x14ac:dyDescent="0.25">
      <c r="A23" s="21" t="s">
        <v>15548</v>
      </c>
      <c r="B23" s="22" t="s">
        <v>15549</v>
      </c>
      <c r="C23" s="2">
        <v>1</v>
      </c>
      <c r="D23" s="23">
        <v>49</v>
      </c>
      <c r="E23" s="3">
        <v>49</v>
      </c>
      <c r="F23" s="2" t="s">
        <v>15550</v>
      </c>
      <c r="G23" s="22" t="s">
        <v>19351</v>
      </c>
      <c r="H23" s="24" t="s">
        <v>19361</v>
      </c>
      <c r="I23" s="22" t="s">
        <v>19309</v>
      </c>
      <c r="J23" s="22" t="s">
        <v>17328</v>
      </c>
      <c r="K23" s="22" t="s">
        <v>15551</v>
      </c>
      <c r="L23" s="22"/>
      <c r="M23" s="22"/>
      <c r="N23" s="25" t="str">
        <f>HYPERLINK("http://slimages.macys.com/is/image/MCY/19227145 ")</f>
        <v xml:space="preserve">http://slimages.macys.com/is/image/MCY/19227145 </v>
      </c>
    </row>
    <row r="24" spans="1:14" ht="24.75" x14ac:dyDescent="0.25">
      <c r="A24" s="21" t="s">
        <v>15552</v>
      </c>
      <c r="B24" s="22" t="s">
        <v>15553</v>
      </c>
      <c r="C24" s="2">
        <v>1</v>
      </c>
      <c r="D24" s="23">
        <v>39.99</v>
      </c>
      <c r="E24" s="3">
        <v>39.99</v>
      </c>
      <c r="F24" s="2" t="s">
        <v>15554</v>
      </c>
      <c r="G24" s="22" t="s">
        <v>18429</v>
      </c>
      <c r="H24" s="24" t="s">
        <v>19339</v>
      </c>
      <c r="I24" s="22" t="s">
        <v>19309</v>
      </c>
      <c r="J24" s="22" t="s">
        <v>19310</v>
      </c>
      <c r="K24" s="22" t="s">
        <v>19529</v>
      </c>
      <c r="L24" s="22"/>
      <c r="M24" s="22"/>
      <c r="N24" s="25" t="str">
        <f>HYPERLINK("http://slimages.macys.com/is/image/MCY/20229013 ")</f>
        <v xml:space="preserve">http://slimages.macys.com/is/image/MCY/20229013 </v>
      </c>
    </row>
    <row r="25" spans="1:14" ht="24.75" x14ac:dyDescent="0.25">
      <c r="A25" s="21" t="s">
        <v>15555</v>
      </c>
      <c r="B25" s="22" t="s">
        <v>15556</v>
      </c>
      <c r="C25" s="2">
        <v>1</v>
      </c>
      <c r="D25" s="23">
        <v>39.99</v>
      </c>
      <c r="E25" s="3">
        <v>39.99</v>
      </c>
      <c r="F25" s="2" t="s">
        <v>15557</v>
      </c>
      <c r="G25" s="22" t="s">
        <v>19307</v>
      </c>
      <c r="H25" s="24" t="s">
        <v>19352</v>
      </c>
      <c r="I25" s="22" t="s">
        <v>19309</v>
      </c>
      <c r="J25" s="22" t="s">
        <v>19447</v>
      </c>
      <c r="K25" s="22" t="s">
        <v>19533</v>
      </c>
      <c r="L25" s="22"/>
      <c r="M25" s="22"/>
      <c r="N25" s="25" t="str">
        <f>HYPERLINK("http://slimages.macys.com/is/image/MCY/20219975 ")</f>
        <v xml:space="preserve">http://slimages.macys.com/is/image/MCY/20219975 </v>
      </c>
    </row>
    <row r="26" spans="1:14" ht="24.75" x14ac:dyDescent="0.25">
      <c r="A26" s="21" t="s">
        <v>15558</v>
      </c>
      <c r="B26" s="22" t="s">
        <v>15559</v>
      </c>
      <c r="C26" s="2">
        <v>1</v>
      </c>
      <c r="D26" s="23">
        <v>30.99</v>
      </c>
      <c r="E26" s="3">
        <v>30.99</v>
      </c>
      <c r="F26" s="2" t="s">
        <v>15560</v>
      </c>
      <c r="G26" s="22" t="s">
        <v>19315</v>
      </c>
      <c r="H26" s="24" t="s">
        <v>19797</v>
      </c>
      <c r="I26" s="22" t="s">
        <v>19309</v>
      </c>
      <c r="J26" s="22" t="s">
        <v>19447</v>
      </c>
      <c r="K26" s="22" t="s">
        <v>19533</v>
      </c>
      <c r="L26" s="22"/>
      <c r="M26" s="22"/>
      <c r="N26" s="25" t="str">
        <f>HYPERLINK("http://slimages.macys.com/is/image/MCY/20930974 ")</f>
        <v xml:space="preserve">http://slimages.macys.com/is/image/MCY/20930974 </v>
      </c>
    </row>
    <row r="27" spans="1:14" ht="24.75" x14ac:dyDescent="0.25">
      <c r="A27" s="21" t="s">
        <v>15561</v>
      </c>
      <c r="B27" s="22" t="s">
        <v>15562</v>
      </c>
      <c r="C27" s="2">
        <v>1</v>
      </c>
      <c r="D27" s="23">
        <v>30.99</v>
      </c>
      <c r="E27" s="3">
        <v>30.99</v>
      </c>
      <c r="F27" s="2" t="s">
        <v>15560</v>
      </c>
      <c r="G27" s="22" t="s">
        <v>19315</v>
      </c>
      <c r="H27" s="24" t="s">
        <v>19339</v>
      </c>
      <c r="I27" s="22" t="s">
        <v>19309</v>
      </c>
      <c r="J27" s="22" t="s">
        <v>19447</v>
      </c>
      <c r="K27" s="22" t="s">
        <v>19533</v>
      </c>
      <c r="L27" s="22"/>
      <c r="M27" s="22"/>
      <c r="N27" s="25" t="str">
        <f>HYPERLINK("http://slimages.macys.com/is/image/MCY/20930974 ")</f>
        <v xml:space="preserve">http://slimages.macys.com/is/image/MCY/20930974 </v>
      </c>
    </row>
    <row r="28" spans="1:14" x14ac:dyDescent="0.25">
      <c r="A28" s="21" t="s">
        <v>15563</v>
      </c>
      <c r="B28" s="22" t="s">
        <v>15564</v>
      </c>
      <c r="C28" s="2">
        <v>1</v>
      </c>
      <c r="D28" s="23">
        <v>35</v>
      </c>
      <c r="E28" s="3">
        <v>35</v>
      </c>
      <c r="F28" s="2">
        <v>2151</v>
      </c>
      <c r="G28" s="22" t="s">
        <v>19351</v>
      </c>
      <c r="H28" s="24" t="s">
        <v>15565</v>
      </c>
      <c r="I28" s="22" t="s">
        <v>19309</v>
      </c>
      <c r="J28" s="22" t="s">
        <v>19417</v>
      </c>
      <c r="K28" s="22" t="s">
        <v>15566</v>
      </c>
      <c r="L28" s="22" t="s">
        <v>19319</v>
      </c>
      <c r="M28" s="22" t="s">
        <v>17531</v>
      </c>
      <c r="N28" s="25" t="str">
        <f>HYPERLINK("http://slimages.macys.com/is/image/MCY/13945006 ")</f>
        <v xml:space="preserve">http://slimages.macys.com/is/image/MCY/13945006 </v>
      </c>
    </row>
    <row r="29" spans="1:14" ht="24.75" x14ac:dyDescent="0.25">
      <c r="A29" s="21" t="s">
        <v>15567</v>
      </c>
      <c r="B29" s="22" t="s">
        <v>15568</v>
      </c>
      <c r="C29" s="2">
        <v>1</v>
      </c>
      <c r="D29" s="23">
        <v>46</v>
      </c>
      <c r="E29" s="3">
        <v>46</v>
      </c>
      <c r="F29" s="2" t="s">
        <v>15569</v>
      </c>
      <c r="G29" s="22" t="s">
        <v>19315</v>
      </c>
      <c r="H29" s="24" t="s">
        <v>19361</v>
      </c>
      <c r="I29" s="22" t="s">
        <v>19309</v>
      </c>
      <c r="J29" s="22" t="s">
        <v>19310</v>
      </c>
      <c r="K29" s="22" t="s">
        <v>15570</v>
      </c>
      <c r="L29" s="22"/>
      <c r="M29" s="22"/>
      <c r="N29" s="25" t="str">
        <f>HYPERLINK("http://slimages.macys.com/is/image/MCY/20144889 ")</f>
        <v xml:space="preserve">http://slimages.macys.com/is/image/MCY/20144889 </v>
      </c>
    </row>
    <row r="30" spans="1:14" ht="24.75" x14ac:dyDescent="0.25">
      <c r="A30" s="21" t="s">
        <v>15571</v>
      </c>
      <c r="B30" s="22" t="s">
        <v>15572</v>
      </c>
      <c r="C30" s="2">
        <v>2</v>
      </c>
      <c r="D30" s="23">
        <v>33.99</v>
      </c>
      <c r="E30" s="3">
        <v>67.98</v>
      </c>
      <c r="F30" s="2" t="s">
        <v>15573</v>
      </c>
      <c r="G30" s="22"/>
      <c r="H30" s="24" t="s">
        <v>19538</v>
      </c>
      <c r="I30" s="22" t="s">
        <v>19309</v>
      </c>
      <c r="J30" s="22" t="s">
        <v>19385</v>
      </c>
      <c r="K30" s="22" t="s">
        <v>19487</v>
      </c>
      <c r="L30" s="22"/>
      <c r="M30" s="22"/>
      <c r="N30" s="25" t="str">
        <f>HYPERLINK("http://slimages.macys.com/is/image/MCY/21174126 ")</f>
        <v xml:space="preserve">http://slimages.macys.com/is/image/MCY/21174126 </v>
      </c>
    </row>
    <row r="31" spans="1:14" ht="24.75" x14ac:dyDescent="0.25">
      <c r="A31" s="21" t="s">
        <v>15574</v>
      </c>
      <c r="B31" s="22" t="s">
        <v>15575</v>
      </c>
      <c r="C31" s="2">
        <v>1</v>
      </c>
      <c r="D31" s="23">
        <v>29.99</v>
      </c>
      <c r="E31" s="3">
        <v>29.99</v>
      </c>
      <c r="F31" s="2" t="s">
        <v>15576</v>
      </c>
      <c r="G31" s="22" t="s">
        <v>19528</v>
      </c>
      <c r="H31" s="24" t="s">
        <v>19361</v>
      </c>
      <c r="I31" s="22" t="s">
        <v>19309</v>
      </c>
      <c r="J31" s="22" t="s">
        <v>19310</v>
      </c>
      <c r="K31" s="22" t="s">
        <v>19440</v>
      </c>
      <c r="L31" s="22"/>
      <c r="M31" s="22"/>
      <c r="N31" s="25" t="str">
        <f>HYPERLINK("http://slimages.macys.com/is/image/MCY/21149138 ")</f>
        <v xml:space="preserve">http://slimages.macys.com/is/image/MCY/21149138 </v>
      </c>
    </row>
    <row r="32" spans="1:14" x14ac:dyDescent="0.25">
      <c r="A32" s="21" t="s">
        <v>15577</v>
      </c>
      <c r="B32" s="22" t="s">
        <v>15578</v>
      </c>
      <c r="C32" s="2">
        <v>1</v>
      </c>
      <c r="D32" s="23">
        <v>29.99</v>
      </c>
      <c r="E32" s="3">
        <v>29.99</v>
      </c>
      <c r="F32" s="2" t="s">
        <v>15579</v>
      </c>
      <c r="G32" s="22" t="s">
        <v>19315</v>
      </c>
      <c r="H32" s="24" t="s">
        <v>19361</v>
      </c>
      <c r="I32" s="22" t="s">
        <v>19309</v>
      </c>
      <c r="J32" s="22" t="s">
        <v>19310</v>
      </c>
      <c r="K32" s="22" t="s">
        <v>19440</v>
      </c>
      <c r="L32" s="22"/>
      <c r="M32" s="22"/>
      <c r="N32" s="25" t="str">
        <f>HYPERLINK("http://slimages.macys.com/is/image/MCY/20923513 ")</f>
        <v xml:space="preserve">http://slimages.macys.com/is/image/MCY/20923513 </v>
      </c>
    </row>
    <row r="33" spans="1:14" ht="24.75" x14ac:dyDescent="0.25">
      <c r="A33" s="21" t="s">
        <v>15580</v>
      </c>
      <c r="B33" s="22" t="s">
        <v>15581</v>
      </c>
      <c r="C33" s="2">
        <v>1</v>
      </c>
      <c r="D33" s="23">
        <v>42</v>
      </c>
      <c r="E33" s="3">
        <v>42</v>
      </c>
      <c r="F33" s="2" t="s">
        <v>15582</v>
      </c>
      <c r="G33" s="22" t="s">
        <v>19315</v>
      </c>
      <c r="H33" s="24" t="s">
        <v>19538</v>
      </c>
      <c r="I33" s="22" t="s">
        <v>19309</v>
      </c>
      <c r="J33" s="22" t="s">
        <v>19491</v>
      </c>
      <c r="K33" s="22" t="s">
        <v>17934</v>
      </c>
      <c r="L33" s="22"/>
      <c r="M33" s="22"/>
      <c r="N33" s="25" t="str">
        <f>HYPERLINK("http://slimages.macys.com/is/image/MCY/19911754 ")</f>
        <v xml:space="preserve">http://slimages.macys.com/is/image/MCY/19911754 </v>
      </c>
    </row>
    <row r="34" spans="1:14" ht="24.75" x14ac:dyDescent="0.25">
      <c r="A34" s="21" t="s">
        <v>15583</v>
      </c>
      <c r="B34" s="22" t="s">
        <v>15584</v>
      </c>
      <c r="C34" s="2">
        <v>1</v>
      </c>
      <c r="D34" s="23">
        <v>29.99</v>
      </c>
      <c r="E34" s="3">
        <v>29.99</v>
      </c>
      <c r="F34" s="2" t="s">
        <v>15585</v>
      </c>
      <c r="G34" s="22" t="s">
        <v>19307</v>
      </c>
      <c r="H34" s="24" t="s">
        <v>19377</v>
      </c>
      <c r="I34" s="22" t="s">
        <v>19309</v>
      </c>
      <c r="J34" s="22" t="s">
        <v>19447</v>
      </c>
      <c r="K34" s="22" t="s">
        <v>19463</v>
      </c>
      <c r="L34" s="22"/>
      <c r="M34" s="22"/>
      <c r="N34" s="25" t="str">
        <f>HYPERLINK("http://slimages.macys.com/is/image/MCY/20277722 ")</f>
        <v xml:space="preserve">http://slimages.macys.com/is/image/MCY/20277722 </v>
      </c>
    </row>
    <row r="35" spans="1:14" ht="24.75" x14ac:dyDescent="0.25">
      <c r="A35" s="21" t="s">
        <v>15586</v>
      </c>
      <c r="B35" s="22" t="s">
        <v>15587</v>
      </c>
      <c r="C35" s="2">
        <v>1</v>
      </c>
      <c r="D35" s="23">
        <v>29.99</v>
      </c>
      <c r="E35" s="3">
        <v>29.99</v>
      </c>
      <c r="F35" s="2" t="s">
        <v>15588</v>
      </c>
      <c r="G35" s="22" t="s">
        <v>20306</v>
      </c>
      <c r="H35" s="24" t="s">
        <v>19392</v>
      </c>
      <c r="I35" s="22" t="s">
        <v>19309</v>
      </c>
      <c r="J35" s="22" t="s">
        <v>19447</v>
      </c>
      <c r="K35" s="22" t="s">
        <v>19463</v>
      </c>
      <c r="L35" s="22"/>
      <c r="M35" s="22"/>
      <c r="N35" s="25" t="str">
        <f>HYPERLINK("http://slimages.macys.com/is/image/MCY/21682218 ")</f>
        <v xml:space="preserve">http://slimages.macys.com/is/image/MCY/21682218 </v>
      </c>
    </row>
    <row r="36" spans="1:14" ht="24.75" x14ac:dyDescent="0.25">
      <c r="A36" s="21" t="s">
        <v>19459</v>
      </c>
      <c r="B36" s="22" t="s">
        <v>19460</v>
      </c>
      <c r="C36" s="2">
        <v>1</v>
      </c>
      <c r="D36" s="23">
        <v>28.99</v>
      </c>
      <c r="E36" s="3">
        <v>28.99</v>
      </c>
      <c r="F36" s="2" t="s">
        <v>19461</v>
      </c>
      <c r="G36" s="22" t="s">
        <v>19462</v>
      </c>
      <c r="H36" s="24" t="s">
        <v>19416</v>
      </c>
      <c r="I36" s="22" t="s">
        <v>19309</v>
      </c>
      <c r="J36" s="22" t="s">
        <v>19385</v>
      </c>
      <c r="K36" s="22" t="s">
        <v>19463</v>
      </c>
      <c r="L36" s="22"/>
      <c r="M36" s="22"/>
      <c r="N36" s="25" t="str">
        <f>HYPERLINK("http://slimages.macys.com/is/image/MCY/21423842 ")</f>
        <v xml:space="preserve">http://slimages.macys.com/is/image/MCY/21423842 </v>
      </c>
    </row>
    <row r="37" spans="1:14" ht="24.75" x14ac:dyDescent="0.25">
      <c r="A37" s="21" t="s">
        <v>15589</v>
      </c>
      <c r="B37" s="22" t="s">
        <v>15590</v>
      </c>
      <c r="C37" s="2">
        <v>3</v>
      </c>
      <c r="D37" s="23">
        <v>28.99</v>
      </c>
      <c r="E37" s="3">
        <v>86.97</v>
      </c>
      <c r="F37" s="2" t="s">
        <v>19461</v>
      </c>
      <c r="G37" s="22" t="s">
        <v>19462</v>
      </c>
      <c r="H37" s="24" t="s">
        <v>19330</v>
      </c>
      <c r="I37" s="22" t="s">
        <v>19309</v>
      </c>
      <c r="J37" s="22" t="s">
        <v>19385</v>
      </c>
      <c r="K37" s="22" t="s">
        <v>19463</v>
      </c>
      <c r="L37" s="22"/>
      <c r="M37" s="22"/>
      <c r="N37" s="25" t="str">
        <f>HYPERLINK("http://slimages.macys.com/is/image/MCY/21423842 ")</f>
        <v xml:space="preserve">http://slimages.macys.com/is/image/MCY/21423842 </v>
      </c>
    </row>
    <row r="38" spans="1:14" ht="24.75" x14ac:dyDescent="0.25">
      <c r="A38" s="21" t="s">
        <v>15591</v>
      </c>
      <c r="B38" s="22" t="s">
        <v>15592</v>
      </c>
      <c r="C38" s="2">
        <v>1</v>
      </c>
      <c r="D38" s="23">
        <v>29.99</v>
      </c>
      <c r="E38" s="3">
        <v>29.99</v>
      </c>
      <c r="F38" s="2" t="s">
        <v>15593</v>
      </c>
      <c r="G38" s="22" t="s">
        <v>19528</v>
      </c>
      <c r="H38" s="24" t="s">
        <v>19364</v>
      </c>
      <c r="I38" s="22" t="s">
        <v>19309</v>
      </c>
      <c r="J38" s="22" t="s">
        <v>19310</v>
      </c>
      <c r="K38" s="22" t="s">
        <v>19932</v>
      </c>
      <c r="L38" s="22"/>
      <c r="M38" s="22"/>
      <c r="N38" s="25" t="str">
        <f>HYPERLINK("http://slimages.macys.com/is/image/MCY/21862208 ")</f>
        <v xml:space="preserve">http://slimages.macys.com/is/image/MCY/21862208 </v>
      </c>
    </row>
    <row r="39" spans="1:14" x14ac:dyDescent="0.25">
      <c r="A39" s="21" t="s">
        <v>15594</v>
      </c>
      <c r="B39" s="22" t="s">
        <v>15595</v>
      </c>
      <c r="C39" s="2">
        <v>2</v>
      </c>
      <c r="D39" s="23">
        <v>28.99</v>
      </c>
      <c r="E39" s="3">
        <v>57.98</v>
      </c>
      <c r="F39" s="2" t="s">
        <v>15596</v>
      </c>
      <c r="G39" s="22" t="s">
        <v>19333</v>
      </c>
      <c r="H39" s="24" t="s">
        <v>19392</v>
      </c>
      <c r="I39" s="22" t="s">
        <v>19309</v>
      </c>
      <c r="J39" s="22" t="s">
        <v>19310</v>
      </c>
      <c r="K39" s="22" t="s">
        <v>19433</v>
      </c>
      <c r="L39" s="22"/>
      <c r="M39" s="22"/>
      <c r="N39" s="25" t="str">
        <f>HYPERLINK("http://slimages.macys.com/is/image/MCY/21677802 ")</f>
        <v xml:space="preserve">http://slimages.macys.com/is/image/MCY/21677802 </v>
      </c>
    </row>
    <row r="40" spans="1:14" x14ac:dyDescent="0.25">
      <c r="A40" s="21" t="s">
        <v>15597</v>
      </c>
      <c r="B40" s="22" t="s">
        <v>15598</v>
      </c>
      <c r="C40" s="2">
        <v>1</v>
      </c>
      <c r="D40" s="23">
        <v>28.99</v>
      </c>
      <c r="E40" s="3">
        <v>28.99</v>
      </c>
      <c r="F40" s="2" t="s">
        <v>15596</v>
      </c>
      <c r="G40" s="22" t="s">
        <v>19333</v>
      </c>
      <c r="H40" s="24" t="s">
        <v>19345</v>
      </c>
      <c r="I40" s="22" t="s">
        <v>19309</v>
      </c>
      <c r="J40" s="22" t="s">
        <v>19310</v>
      </c>
      <c r="K40" s="22" t="s">
        <v>19433</v>
      </c>
      <c r="L40" s="22"/>
      <c r="M40" s="22"/>
      <c r="N40" s="25" t="str">
        <f>HYPERLINK("http://slimages.macys.com/is/image/MCY/21677802 ")</f>
        <v xml:space="preserve">http://slimages.macys.com/is/image/MCY/21677802 </v>
      </c>
    </row>
    <row r="41" spans="1:14" x14ac:dyDescent="0.25">
      <c r="A41" s="21" t="s">
        <v>15599</v>
      </c>
      <c r="B41" s="22" t="s">
        <v>15600</v>
      </c>
      <c r="C41" s="2">
        <v>1</v>
      </c>
      <c r="D41" s="23">
        <v>28.99</v>
      </c>
      <c r="E41" s="3">
        <v>28.99</v>
      </c>
      <c r="F41" s="2" t="s">
        <v>17618</v>
      </c>
      <c r="G41" s="22" t="s">
        <v>19431</v>
      </c>
      <c r="H41" s="24" t="s">
        <v>19392</v>
      </c>
      <c r="I41" s="22" t="s">
        <v>19309</v>
      </c>
      <c r="J41" s="22" t="s">
        <v>19310</v>
      </c>
      <c r="K41" s="22" t="s">
        <v>19433</v>
      </c>
      <c r="L41" s="22"/>
      <c r="M41" s="22"/>
      <c r="N41" s="25" t="str">
        <f>HYPERLINK("http://slimages.macys.com/is/image/MCY/21784642 ")</f>
        <v xml:space="preserve">http://slimages.macys.com/is/image/MCY/21784642 </v>
      </c>
    </row>
    <row r="42" spans="1:14" ht="24.75" x14ac:dyDescent="0.25">
      <c r="A42" s="21" t="s">
        <v>15601</v>
      </c>
      <c r="B42" s="22" t="s">
        <v>15602</v>
      </c>
      <c r="C42" s="2">
        <v>2</v>
      </c>
      <c r="D42" s="23">
        <v>28.99</v>
      </c>
      <c r="E42" s="3">
        <v>57.98</v>
      </c>
      <c r="F42" s="2" t="s">
        <v>15603</v>
      </c>
      <c r="G42" s="22" t="s">
        <v>19674</v>
      </c>
      <c r="H42" s="24" t="s">
        <v>19395</v>
      </c>
      <c r="I42" s="22" t="s">
        <v>19309</v>
      </c>
      <c r="J42" s="22" t="s">
        <v>19447</v>
      </c>
      <c r="K42" s="22" t="s">
        <v>19463</v>
      </c>
      <c r="L42" s="22"/>
      <c r="M42" s="22"/>
      <c r="N42" s="25" t="str">
        <f>HYPERLINK("http://slimages.macys.com/is/image/MCY/21681410 ")</f>
        <v xml:space="preserve">http://slimages.macys.com/is/image/MCY/21681410 </v>
      </c>
    </row>
    <row r="43" spans="1:14" ht="24.75" x14ac:dyDescent="0.25">
      <c r="A43" s="21" t="s">
        <v>15604</v>
      </c>
      <c r="B43" s="22" t="s">
        <v>15605</v>
      </c>
      <c r="C43" s="2">
        <v>1</v>
      </c>
      <c r="D43" s="23">
        <v>27.99</v>
      </c>
      <c r="E43" s="3">
        <v>27.99</v>
      </c>
      <c r="F43" s="2" t="s">
        <v>15606</v>
      </c>
      <c r="G43" s="22" t="s">
        <v>19622</v>
      </c>
      <c r="H43" s="24" t="s">
        <v>19364</v>
      </c>
      <c r="I43" s="22" t="s">
        <v>19309</v>
      </c>
      <c r="J43" s="22" t="s">
        <v>19310</v>
      </c>
      <c r="K43" s="22" t="s">
        <v>19932</v>
      </c>
      <c r="L43" s="22"/>
      <c r="M43" s="22"/>
      <c r="N43" s="25" t="str">
        <f>HYPERLINK("http://slimages.macys.com/is/image/MCY/21824852 ")</f>
        <v xml:space="preserve">http://slimages.macys.com/is/image/MCY/21824852 </v>
      </c>
    </row>
    <row r="44" spans="1:14" x14ac:dyDescent="0.25">
      <c r="A44" s="21" t="s">
        <v>15607</v>
      </c>
      <c r="B44" s="22" t="s">
        <v>15608</v>
      </c>
      <c r="C44" s="2">
        <v>1</v>
      </c>
      <c r="D44" s="23">
        <v>27.99</v>
      </c>
      <c r="E44" s="3">
        <v>27.99</v>
      </c>
      <c r="F44" s="2" t="s">
        <v>15609</v>
      </c>
      <c r="G44" s="22" t="s">
        <v>19513</v>
      </c>
      <c r="H44" s="24" t="s">
        <v>19542</v>
      </c>
      <c r="I44" s="22" t="s">
        <v>19309</v>
      </c>
      <c r="J44" s="22" t="s">
        <v>19310</v>
      </c>
      <c r="K44" s="22" t="s">
        <v>19433</v>
      </c>
      <c r="L44" s="22"/>
      <c r="M44" s="22"/>
      <c r="N44" s="25" t="str">
        <f>HYPERLINK("http://slimages.macys.com/is/image/MCY/21499404 ")</f>
        <v xml:space="preserve">http://slimages.macys.com/is/image/MCY/21499404 </v>
      </c>
    </row>
    <row r="45" spans="1:14" ht="24.75" x14ac:dyDescent="0.25">
      <c r="A45" s="21" t="s">
        <v>15610</v>
      </c>
      <c r="B45" s="22" t="s">
        <v>15611</v>
      </c>
      <c r="C45" s="2">
        <v>1</v>
      </c>
      <c r="D45" s="23">
        <v>26.99</v>
      </c>
      <c r="E45" s="3">
        <v>26.99</v>
      </c>
      <c r="F45" s="2" t="s">
        <v>15612</v>
      </c>
      <c r="G45" s="22" t="s">
        <v>19670</v>
      </c>
      <c r="H45" s="24" t="s">
        <v>19330</v>
      </c>
      <c r="I45" s="22" t="s">
        <v>19309</v>
      </c>
      <c r="J45" s="22" t="s">
        <v>19385</v>
      </c>
      <c r="K45" s="22" t="s">
        <v>19463</v>
      </c>
      <c r="L45" s="22"/>
      <c r="M45" s="22"/>
      <c r="N45" s="25" t="str">
        <f>HYPERLINK("http://slimages.macys.com/is/image/MCY/21423696 ")</f>
        <v xml:space="preserve">http://slimages.macys.com/is/image/MCY/21423696 </v>
      </c>
    </row>
    <row r="46" spans="1:14" x14ac:dyDescent="0.25">
      <c r="A46" s="21" t="s">
        <v>15613</v>
      </c>
      <c r="B46" s="22" t="s">
        <v>15614</v>
      </c>
      <c r="C46" s="2">
        <v>1</v>
      </c>
      <c r="D46" s="23">
        <v>24.99</v>
      </c>
      <c r="E46" s="3">
        <v>24.99</v>
      </c>
      <c r="F46" s="2" t="s">
        <v>15615</v>
      </c>
      <c r="G46" s="22" t="s">
        <v>19333</v>
      </c>
      <c r="H46" s="24" t="s">
        <v>19352</v>
      </c>
      <c r="I46" s="22" t="s">
        <v>19309</v>
      </c>
      <c r="J46" s="22" t="s">
        <v>19310</v>
      </c>
      <c r="K46" s="22" t="s">
        <v>19529</v>
      </c>
      <c r="L46" s="22"/>
      <c r="M46" s="22"/>
      <c r="N46" s="25" t="str">
        <f>HYPERLINK("http://slimages.macys.com/is/image/MCY/21646819 ")</f>
        <v xml:space="preserve">http://slimages.macys.com/is/image/MCY/21646819 </v>
      </c>
    </row>
    <row r="47" spans="1:14" x14ac:dyDescent="0.25">
      <c r="A47" s="21" t="s">
        <v>15616</v>
      </c>
      <c r="B47" s="22" t="s">
        <v>15617</v>
      </c>
      <c r="C47" s="2">
        <v>1</v>
      </c>
      <c r="D47" s="23">
        <v>24.99</v>
      </c>
      <c r="E47" s="3">
        <v>24.99</v>
      </c>
      <c r="F47" s="2" t="s">
        <v>15618</v>
      </c>
      <c r="G47" s="22" t="s">
        <v>19357</v>
      </c>
      <c r="H47" s="24"/>
      <c r="I47" s="22" t="s">
        <v>19309</v>
      </c>
      <c r="J47" s="22" t="s">
        <v>19310</v>
      </c>
      <c r="K47" s="22" t="s">
        <v>19529</v>
      </c>
      <c r="L47" s="22"/>
      <c r="M47" s="22"/>
      <c r="N47" s="25" t="str">
        <f>HYPERLINK("http://slimages.macys.com/is/image/MCY/20918911 ")</f>
        <v xml:space="preserve">http://slimages.macys.com/is/image/MCY/20918911 </v>
      </c>
    </row>
    <row r="48" spans="1:14" ht="24.75" x14ac:dyDescent="0.25">
      <c r="A48" s="21" t="s">
        <v>15619</v>
      </c>
      <c r="B48" s="22" t="s">
        <v>15620</v>
      </c>
      <c r="C48" s="2">
        <v>1</v>
      </c>
      <c r="D48" s="23">
        <v>21.99</v>
      </c>
      <c r="E48" s="3">
        <v>21.99</v>
      </c>
      <c r="F48" s="2" t="s">
        <v>15621</v>
      </c>
      <c r="G48" s="22" t="s">
        <v>19307</v>
      </c>
      <c r="H48" s="24" t="s">
        <v>19364</v>
      </c>
      <c r="I48" s="22" t="s">
        <v>19309</v>
      </c>
      <c r="J48" s="22" t="s">
        <v>19447</v>
      </c>
      <c r="K48" s="22" t="s">
        <v>19533</v>
      </c>
      <c r="L48" s="22"/>
      <c r="M48" s="22"/>
      <c r="N48" s="25" t="str">
        <f>HYPERLINK("http://slimages.macys.com/is/image/MCY/20219973 ")</f>
        <v xml:space="preserve">http://slimages.macys.com/is/image/MCY/20219973 </v>
      </c>
    </row>
    <row r="49" spans="1:14" ht="24.75" x14ac:dyDescent="0.25">
      <c r="A49" s="21" t="s">
        <v>15622</v>
      </c>
      <c r="B49" s="22" t="s">
        <v>15623</v>
      </c>
      <c r="C49" s="2">
        <v>1</v>
      </c>
      <c r="D49" s="23">
        <v>23.99</v>
      </c>
      <c r="E49" s="3">
        <v>23.99</v>
      </c>
      <c r="F49" s="2" t="s">
        <v>15624</v>
      </c>
      <c r="G49" s="22" t="s">
        <v>20145</v>
      </c>
      <c r="H49" s="24"/>
      <c r="I49" s="22" t="s">
        <v>19309</v>
      </c>
      <c r="J49" s="22" t="s">
        <v>19310</v>
      </c>
      <c r="K49" s="22" t="s">
        <v>19311</v>
      </c>
      <c r="L49" s="22"/>
      <c r="M49" s="22"/>
      <c r="N49" s="25" t="str">
        <f>HYPERLINK("http://slimages.macys.com/is/image/MCY/21356586 ")</f>
        <v xml:space="preserve">http://slimages.macys.com/is/image/MCY/21356586 </v>
      </c>
    </row>
    <row r="50" spans="1:14" ht="24.75" x14ac:dyDescent="0.25">
      <c r="A50" s="21" t="s">
        <v>15625</v>
      </c>
      <c r="B50" s="22" t="s">
        <v>15626</v>
      </c>
      <c r="C50" s="2">
        <v>1</v>
      </c>
      <c r="D50" s="23">
        <v>26.99</v>
      </c>
      <c r="E50" s="3">
        <v>26.99</v>
      </c>
      <c r="F50" s="2" t="s">
        <v>15627</v>
      </c>
      <c r="G50" s="22" t="s">
        <v>19431</v>
      </c>
      <c r="H50" s="24" t="s">
        <v>19416</v>
      </c>
      <c r="I50" s="22" t="s">
        <v>19309</v>
      </c>
      <c r="J50" s="22" t="s">
        <v>19573</v>
      </c>
      <c r="K50" s="22" t="s">
        <v>19574</v>
      </c>
      <c r="L50" s="22"/>
      <c r="M50" s="22"/>
      <c r="N50" s="25" t="str">
        <f>HYPERLINK("http://slimages.macys.com/is/image/MCY/20142450 ")</f>
        <v xml:space="preserve">http://slimages.macys.com/is/image/MCY/20142450 </v>
      </c>
    </row>
    <row r="51" spans="1:14" ht="24.75" x14ac:dyDescent="0.25">
      <c r="A51" s="21" t="s">
        <v>19597</v>
      </c>
      <c r="B51" s="22" t="s">
        <v>19598</v>
      </c>
      <c r="C51" s="2">
        <v>1</v>
      </c>
      <c r="D51" s="23">
        <v>26.99</v>
      </c>
      <c r="E51" s="3">
        <v>26.99</v>
      </c>
      <c r="F51" s="2" t="s">
        <v>19593</v>
      </c>
      <c r="G51" s="22" t="s">
        <v>19594</v>
      </c>
      <c r="H51" s="24" t="s">
        <v>19334</v>
      </c>
      <c r="I51" s="22" t="s">
        <v>19309</v>
      </c>
      <c r="J51" s="22" t="s">
        <v>19595</v>
      </c>
      <c r="K51" s="22" t="s">
        <v>19596</v>
      </c>
      <c r="L51" s="22"/>
      <c r="M51" s="22"/>
      <c r="N51" s="25" t="str">
        <f>HYPERLINK("http://slimages.macys.com/is/image/MCY/21622966 ")</f>
        <v xml:space="preserve">http://slimages.macys.com/is/image/MCY/21622966 </v>
      </c>
    </row>
    <row r="52" spans="1:14" ht="24.75" x14ac:dyDescent="0.25">
      <c r="A52" s="21" t="s">
        <v>15628</v>
      </c>
      <c r="B52" s="22" t="s">
        <v>15629</v>
      </c>
      <c r="C52" s="2">
        <v>1</v>
      </c>
      <c r="D52" s="23">
        <v>24.99</v>
      </c>
      <c r="E52" s="3">
        <v>24.99</v>
      </c>
      <c r="F52" s="2" t="s">
        <v>17681</v>
      </c>
      <c r="G52" s="22" t="s">
        <v>19618</v>
      </c>
      <c r="H52" s="24" t="s">
        <v>19797</v>
      </c>
      <c r="I52" s="22" t="s">
        <v>19309</v>
      </c>
      <c r="J52" s="22" t="s">
        <v>19447</v>
      </c>
      <c r="K52" s="22" t="s">
        <v>19533</v>
      </c>
      <c r="L52" s="22"/>
      <c r="M52" s="22"/>
      <c r="N52" s="25" t="str">
        <f>HYPERLINK("http://slimages.macys.com/is/image/MCY/21150450 ")</f>
        <v xml:space="preserve">http://slimages.macys.com/is/image/MCY/21150450 </v>
      </c>
    </row>
    <row r="53" spans="1:14" ht="24.75" x14ac:dyDescent="0.25">
      <c r="A53" s="21" t="s">
        <v>15630</v>
      </c>
      <c r="B53" s="22" t="s">
        <v>15631</v>
      </c>
      <c r="C53" s="2">
        <v>1</v>
      </c>
      <c r="D53" s="23">
        <v>24.99</v>
      </c>
      <c r="E53" s="3">
        <v>24.99</v>
      </c>
      <c r="F53" s="2" t="s">
        <v>15632</v>
      </c>
      <c r="G53" s="22" t="s">
        <v>19342</v>
      </c>
      <c r="H53" s="24" t="s">
        <v>19324</v>
      </c>
      <c r="I53" s="22" t="s">
        <v>19309</v>
      </c>
      <c r="J53" s="22" t="s">
        <v>19491</v>
      </c>
      <c r="K53" s="22" t="s">
        <v>19554</v>
      </c>
      <c r="L53" s="22"/>
      <c r="M53" s="22"/>
      <c r="N53" s="25" t="str">
        <f>HYPERLINK("http://slimages.macys.com/is/image/MCY/21779045 ")</f>
        <v xml:space="preserve">http://slimages.macys.com/is/image/MCY/21779045 </v>
      </c>
    </row>
    <row r="54" spans="1:14" ht="24.75" x14ac:dyDescent="0.25">
      <c r="A54" s="21" t="s">
        <v>15633</v>
      </c>
      <c r="B54" s="22" t="s">
        <v>15634</v>
      </c>
      <c r="C54" s="2">
        <v>1</v>
      </c>
      <c r="D54" s="23">
        <v>24.99</v>
      </c>
      <c r="E54" s="3">
        <v>24.99</v>
      </c>
      <c r="F54" s="2" t="s">
        <v>15632</v>
      </c>
      <c r="G54" s="22" t="s">
        <v>19342</v>
      </c>
      <c r="H54" s="24" t="s">
        <v>19416</v>
      </c>
      <c r="I54" s="22" t="s">
        <v>19309</v>
      </c>
      <c r="J54" s="22" t="s">
        <v>19491</v>
      </c>
      <c r="K54" s="22" t="s">
        <v>19554</v>
      </c>
      <c r="L54" s="22"/>
      <c r="M54" s="22"/>
      <c r="N54" s="25" t="str">
        <f>HYPERLINK("http://slimages.macys.com/is/image/MCY/21779045 ")</f>
        <v xml:space="preserve">http://slimages.macys.com/is/image/MCY/21779045 </v>
      </c>
    </row>
    <row r="55" spans="1:14" ht="24.75" x14ac:dyDescent="0.25">
      <c r="A55" s="21" t="s">
        <v>15635</v>
      </c>
      <c r="B55" s="22" t="s">
        <v>15636</v>
      </c>
      <c r="C55" s="2">
        <v>2</v>
      </c>
      <c r="D55" s="23">
        <v>24.99</v>
      </c>
      <c r="E55" s="3">
        <v>49.98</v>
      </c>
      <c r="F55" s="2" t="s">
        <v>15632</v>
      </c>
      <c r="G55" s="22" t="s">
        <v>19342</v>
      </c>
      <c r="H55" s="24" t="s">
        <v>19330</v>
      </c>
      <c r="I55" s="22" t="s">
        <v>19309</v>
      </c>
      <c r="J55" s="22" t="s">
        <v>19491</v>
      </c>
      <c r="K55" s="22" t="s">
        <v>19554</v>
      </c>
      <c r="L55" s="22"/>
      <c r="M55" s="22"/>
      <c r="N55" s="25" t="str">
        <f>HYPERLINK("http://slimages.macys.com/is/image/MCY/21779045 ")</f>
        <v xml:space="preserve">http://slimages.macys.com/is/image/MCY/21779045 </v>
      </c>
    </row>
    <row r="56" spans="1:14" ht="24.75" x14ac:dyDescent="0.25">
      <c r="A56" s="21" t="s">
        <v>15637</v>
      </c>
      <c r="B56" s="22" t="s">
        <v>15638</v>
      </c>
      <c r="C56" s="2">
        <v>1</v>
      </c>
      <c r="D56" s="23">
        <v>24.99</v>
      </c>
      <c r="E56" s="3">
        <v>24.99</v>
      </c>
      <c r="F56" s="2" t="s">
        <v>15639</v>
      </c>
      <c r="G56" s="22" t="s">
        <v>19342</v>
      </c>
      <c r="H56" s="24" t="s">
        <v>19384</v>
      </c>
      <c r="I56" s="22" t="s">
        <v>19309</v>
      </c>
      <c r="J56" s="22" t="s">
        <v>19491</v>
      </c>
      <c r="K56" s="22" t="s">
        <v>19554</v>
      </c>
      <c r="L56" s="22"/>
      <c r="M56" s="22"/>
      <c r="N56" s="25" t="str">
        <f>HYPERLINK("http://slimages.macys.com/is/image/MCY/21483061 ")</f>
        <v xml:space="preserve">http://slimages.macys.com/is/image/MCY/21483061 </v>
      </c>
    </row>
    <row r="57" spans="1:14" ht="24.75" x14ac:dyDescent="0.25">
      <c r="A57" s="21" t="s">
        <v>15640</v>
      </c>
      <c r="B57" s="22" t="s">
        <v>15641</v>
      </c>
      <c r="C57" s="2">
        <v>1</v>
      </c>
      <c r="D57" s="23">
        <v>23.99</v>
      </c>
      <c r="E57" s="3">
        <v>23.99</v>
      </c>
      <c r="F57" s="2" t="s">
        <v>15642</v>
      </c>
      <c r="G57" s="22" t="s">
        <v>19431</v>
      </c>
      <c r="H57" s="24" t="s">
        <v>19416</v>
      </c>
      <c r="I57" s="22" t="s">
        <v>19309</v>
      </c>
      <c r="J57" s="22" t="s">
        <v>19491</v>
      </c>
      <c r="K57" s="22" t="s">
        <v>19463</v>
      </c>
      <c r="L57" s="22"/>
      <c r="M57" s="22"/>
      <c r="N57" s="25" t="str">
        <f>HYPERLINK("http://slimages.macys.com/is/image/MCY/22021266 ")</f>
        <v xml:space="preserve">http://slimages.macys.com/is/image/MCY/22021266 </v>
      </c>
    </row>
    <row r="58" spans="1:14" ht="24.75" x14ac:dyDescent="0.25">
      <c r="A58" s="21" t="s">
        <v>15643</v>
      </c>
      <c r="B58" s="22" t="s">
        <v>15644</v>
      </c>
      <c r="C58" s="2">
        <v>1</v>
      </c>
      <c r="D58" s="23">
        <v>26.99</v>
      </c>
      <c r="E58" s="3">
        <v>26.99</v>
      </c>
      <c r="F58" s="2" t="s">
        <v>17700</v>
      </c>
      <c r="G58" s="22" t="s">
        <v>19528</v>
      </c>
      <c r="H58" s="24" t="s">
        <v>19330</v>
      </c>
      <c r="I58" s="22" t="s">
        <v>19309</v>
      </c>
      <c r="J58" s="22" t="s">
        <v>19385</v>
      </c>
      <c r="K58" s="22" t="s">
        <v>19463</v>
      </c>
      <c r="L58" s="22"/>
      <c r="M58" s="22"/>
      <c r="N58" s="25" t="str">
        <f>HYPERLINK("http://slimages.macys.com/is/image/MCY/22291356 ")</f>
        <v xml:space="preserve">http://slimages.macys.com/is/image/MCY/22291356 </v>
      </c>
    </row>
    <row r="59" spans="1:14" ht="24.75" x14ac:dyDescent="0.25">
      <c r="A59" s="21" t="s">
        <v>15645</v>
      </c>
      <c r="B59" s="22" t="s">
        <v>15646</v>
      </c>
      <c r="C59" s="2">
        <v>3</v>
      </c>
      <c r="D59" s="23">
        <v>26.99</v>
      </c>
      <c r="E59" s="3">
        <v>80.97</v>
      </c>
      <c r="F59" s="2" t="s">
        <v>17700</v>
      </c>
      <c r="G59" s="22" t="s">
        <v>19528</v>
      </c>
      <c r="H59" s="24" t="s">
        <v>19324</v>
      </c>
      <c r="I59" s="22" t="s">
        <v>19309</v>
      </c>
      <c r="J59" s="22" t="s">
        <v>19385</v>
      </c>
      <c r="K59" s="22" t="s">
        <v>19463</v>
      </c>
      <c r="L59" s="22"/>
      <c r="M59" s="22"/>
      <c r="N59" s="25" t="str">
        <f>HYPERLINK("http://slimages.macys.com/is/image/MCY/22291356 ")</f>
        <v xml:space="preserve">http://slimages.macys.com/is/image/MCY/22291356 </v>
      </c>
    </row>
    <row r="60" spans="1:14" ht="24.75" x14ac:dyDescent="0.25">
      <c r="A60" s="21" t="s">
        <v>15647</v>
      </c>
      <c r="B60" s="22" t="s">
        <v>15648</v>
      </c>
      <c r="C60" s="2">
        <v>1</v>
      </c>
      <c r="D60" s="23">
        <v>26.99</v>
      </c>
      <c r="E60" s="3">
        <v>26.99</v>
      </c>
      <c r="F60" s="2" t="s">
        <v>15649</v>
      </c>
      <c r="G60" s="22" t="s">
        <v>19307</v>
      </c>
      <c r="H60" s="24"/>
      <c r="I60" s="22" t="s">
        <v>19309</v>
      </c>
      <c r="J60" s="22" t="s">
        <v>15506</v>
      </c>
      <c r="K60" s="22" t="s">
        <v>15511</v>
      </c>
      <c r="L60" s="22"/>
      <c r="M60" s="22"/>
      <c r="N60" s="25" t="str">
        <f>HYPERLINK("http://slimages.macys.com/is/image/MCY/20077171 ")</f>
        <v xml:space="preserve">http://slimages.macys.com/is/image/MCY/20077171 </v>
      </c>
    </row>
    <row r="61" spans="1:14" ht="24.75" x14ac:dyDescent="0.25">
      <c r="A61" s="21" t="s">
        <v>15650</v>
      </c>
      <c r="B61" s="22" t="s">
        <v>15651</v>
      </c>
      <c r="C61" s="2">
        <v>1</v>
      </c>
      <c r="D61" s="23">
        <v>26.99</v>
      </c>
      <c r="E61" s="3">
        <v>26.99</v>
      </c>
      <c r="F61" s="2" t="s">
        <v>15652</v>
      </c>
      <c r="G61" s="22" t="s">
        <v>19431</v>
      </c>
      <c r="H61" s="24"/>
      <c r="I61" s="22" t="s">
        <v>19309</v>
      </c>
      <c r="J61" s="22" t="s">
        <v>15506</v>
      </c>
      <c r="K61" s="22" t="s">
        <v>15511</v>
      </c>
      <c r="L61" s="22"/>
      <c r="M61" s="22"/>
      <c r="N61" s="25" t="str">
        <f>HYPERLINK("http://slimages.macys.com/is/image/MCY/20077180 ")</f>
        <v xml:space="preserve">http://slimages.macys.com/is/image/MCY/20077180 </v>
      </c>
    </row>
    <row r="62" spans="1:14" ht="24.75" x14ac:dyDescent="0.25">
      <c r="A62" s="21" t="s">
        <v>15653</v>
      </c>
      <c r="B62" s="22" t="s">
        <v>15654</v>
      </c>
      <c r="C62" s="2">
        <v>1</v>
      </c>
      <c r="D62" s="23">
        <v>26.99</v>
      </c>
      <c r="E62" s="3">
        <v>26.99</v>
      </c>
      <c r="F62" s="2" t="s">
        <v>15652</v>
      </c>
      <c r="G62" s="22" t="s">
        <v>19431</v>
      </c>
      <c r="H62" s="24"/>
      <c r="I62" s="22" t="s">
        <v>19309</v>
      </c>
      <c r="J62" s="22" t="s">
        <v>15506</v>
      </c>
      <c r="K62" s="22" t="s">
        <v>15511</v>
      </c>
      <c r="L62" s="22"/>
      <c r="M62" s="22"/>
      <c r="N62" s="25" t="str">
        <f>HYPERLINK("http://slimages.macys.com/is/image/MCY/20077180 ")</f>
        <v xml:space="preserve">http://slimages.macys.com/is/image/MCY/20077180 </v>
      </c>
    </row>
    <row r="63" spans="1:14" x14ac:dyDescent="0.25">
      <c r="A63" s="21" t="s">
        <v>15655</v>
      </c>
      <c r="B63" s="22" t="s">
        <v>15656</v>
      </c>
      <c r="C63" s="2">
        <v>1</v>
      </c>
      <c r="D63" s="23">
        <v>29.99</v>
      </c>
      <c r="E63" s="3">
        <v>29.99</v>
      </c>
      <c r="F63" s="2" t="s">
        <v>15657</v>
      </c>
      <c r="G63" s="22" t="s">
        <v>19342</v>
      </c>
      <c r="H63" s="24" t="s">
        <v>19395</v>
      </c>
      <c r="I63" s="22" t="s">
        <v>19309</v>
      </c>
      <c r="J63" s="22" t="s">
        <v>19696</v>
      </c>
      <c r="K63" s="22" t="s">
        <v>19965</v>
      </c>
      <c r="L63" s="22"/>
      <c r="M63" s="22"/>
      <c r="N63" s="25" t="str">
        <f>HYPERLINK("http://slimages.macys.com/is/image/MCY/21497271 ")</f>
        <v xml:space="preserve">http://slimages.macys.com/is/image/MCY/21497271 </v>
      </c>
    </row>
    <row r="64" spans="1:14" x14ac:dyDescent="0.25">
      <c r="A64" s="21" t="s">
        <v>15658</v>
      </c>
      <c r="B64" s="22" t="s">
        <v>15659</v>
      </c>
      <c r="C64" s="2">
        <v>1</v>
      </c>
      <c r="D64" s="23">
        <v>30.99</v>
      </c>
      <c r="E64" s="3">
        <v>30.99</v>
      </c>
      <c r="F64" s="2">
        <v>4000</v>
      </c>
      <c r="G64" s="22" t="s">
        <v>19404</v>
      </c>
      <c r="H64" s="24" t="s">
        <v>19339</v>
      </c>
      <c r="I64" s="22" t="s">
        <v>19309</v>
      </c>
      <c r="J64" s="22" t="s">
        <v>19696</v>
      </c>
      <c r="K64" s="22" t="s">
        <v>15660</v>
      </c>
      <c r="L64" s="22"/>
      <c r="M64" s="22"/>
      <c r="N64" s="25" t="str">
        <f>HYPERLINK("http://slimages.macys.com/is/image/MCY/20586527 ")</f>
        <v xml:space="preserve">http://slimages.macys.com/is/image/MCY/20586527 </v>
      </c>
    </row>
    <row r="65" spans="1:14" ht="24.75" x14ac:dyDescent="0.25">
      <c r="A65" s="21" t="s">
        <v>17719</v>
      </c>
      <c r="B65" s="22" t="s">
        <v>17720</v>
      </c>
      <c r="C65" s="2">
        <v>1</v>
      </c>
      <c r="D65" s="23">
        <v>24.99</v>
      </c>
      <c r="E65" s="3">
        <v>24.99</v>
      </c>
      <c r="F65" s="2" t="s">
        <v>17721</v>
      </c>
      <c r="G65" s="22" t="s">
        <v>19422</v>
      </c>
      <c r="H65" s="24" t="s">
        <v>19416</v>
      </c>
      <c r="I65" s="22" t="s">
        <v>19309</v>
      </c>
      <c r="J65" s="22" t="s">
        <v>19573</v>
      </c>
      <c r="K65" s="22" t="s">
        <v>19574</v>
      </c>
      <c r="L65" s="22"/>
      <c r="M65" s="22"/>
      <c r="N65" s="25" t="str">
        <f>HYPERLINK("http://slimages.macys.com/is/image/MCY/2096925 ")</f>
        <v xml:space="preserve">http://slimages.macys.com/is/image/MCY/2096925 </v>
      </c>
    </row>
    <row r="66" spans="1:14" ht="24.75" x14ac:dyDescent="0.25">
      <c r="A66" s="21" t="s">
        <v>15661</v>
      </c>
      <c r="B66" s="22" t="s">
        <v>15662</v>
      </c>
      <c r="C66" s="2">
        <v>2</v>
      </c>
      <c r="D66" s="23">
        <v>24.99</v>
      </c>
      <c r="E66" s="3">
        <v>49.98</v>
      </c>
      <c r="F66" s="2" t="s">
        <v>17721</v>
      </c>
      <c r="G66" s="22" t="s">
        <v>19422</v>
      </c>
      <c r="H66" s="24" t="s">
        <v>19538</v>
      </c>
      <c r="I66" s="22" t="s">
        <v>19309</v>
      </c>
      <c r="J66" s="22" t="s">
        <v>19573</v>
      </c>
      <c r="K66" s="22" t="s">
        <v>19574</v>
      </c>
      <c r="L66" s="22"/>
      <c r="M66" s="22"/>
      <c r="N66" s="25" t="str">
        <f>HYPERLINK("http://slimages.macys.com/is/image/MCY/21209500 ")</f>
        <v xml:space="preserve">http://slimages.macys.com/is/image/MCY/21209500 </v>
      </c>
    </row>
    <row r="67" spans="1:14" x14ac:dyDescent="0.25">
      <c r="A67" s="21" t="s">
        <v>15663</v>
      </c>
      <c r="B67" s="22" t="s">
        <v>15664</v>
      </c>
      <c r="C67" s="2">
        <v>1</v>
      </c>
      <c r="D67" s="23">
        <v>19.22</v>
      </c>
      <c r="E67" s="3">
        <v>19.22</v>
      </c>
      <c r="F67" s="2" t="s">
        <v>15665</v>
      </c>
      <c r="G67" s="22" t="s">
        <v>19467</v>
      </c>
      <c r="H67" s="24" t="s">
        <v>19395</v>
      </c>
      <c r="I67" s="22" t="s">
        <v>19309</v>
      </c>
      <c r="J67" s="22" t="s">
        <v>19514</v>
      </c>
      <c r="K67" s="22" t="s">
        <v>18514</v>
      </c>
      <c r="L67" s="22"/>
      <c r="M67" s="22"/>
      <c r="N67" s="25" t="str">
        <f>HYPERLINK("http://slimages.macys.com/is/image/MCY/21374448 ")</f>
        <v xml:space="preserve">http://slimages.macys.com/is/image/MCY/21374448 </v>
      </c>
    </row>
    <row r="68" spans="1:14" x14ac:dyDescent="0.25">
      <c r="A68" s="21" t="s">
        <v>15666</v>
      </c>
      <c r="B68" s="22" t="s">
        <v>15667</v>
      </c>
      <c r="C68" s="2">
        <v>1</v>
      </c>
      <c r="D68" s="23">
        <v>19.22</v>
      </c>
      <c r="E68" s="3">
        <v>19.22</v>
      </c>
      <c r="F68" s="2" t="s">
        <v>15668</v>
      </c>
      <c r="G68" s="22" t="s">
        <v>19618</v>
      </c>
      <c r="H68" s="24" t="s">
        <v>19361</v>
      </c>
      <c r="I68" s="22" t="s">
        <v>19309</v>
      </c>
      <c r="J68" s="22" t="s">
        <v>19514</v>
      </c>
      <c r="K68" s="22" t="s">
        <v>18514</v>
      </c>
      <c r="L68" s="22"/>
      <c r="M68" s="22"/>
      <c r="N68" s="25" t="str">
        <f>HYPERLINK("http://slimages.macys.com/is/image/MCY/21374454 ")</f>
        <v xml:space="preserve">http://slimages.macys.com/is/image/MCY/21374454 </v>
      </c>
    </row>
    <row r="69" spans="1:14" x14ac:dyDescent="0.25">
      <c r="A69" s="21" t="s">
        <v>15669</v>
      </c>
      <c r="B69" s="22" t="s">
        <v>15670</v>
      </c>
      <c r="C69" s="2">
        <v>1</v>
      </c>
      <c r="D69" s="23">
        <v>21.99</v>
      </c>
      <c r="E69" s="3">
        <v>21.99</v>
      </c>
      <c r="F69" s="2" t="s">
        <v>15671</v>
      </c>
      <c r="G69" s="22" t="s">
        <v>19315</v>
      </c>
      <c r="H69" s="24" t="s">
        <v>19352</v>
      </c>
      <c r="I69" s="22" t="s">
        <v>19309</v>
      </c>
      <c r="J69" s="22" t="s">
        <v>19310</v>
      </c>
      <c r="K69" s="22" t="s">
        <v>19529</v>
      </c>
      <c r="L69" s="22"/>
      <c r="M69" s="22"/>
      <c r="N69" s="25" t="str">
        <f>HYPERLINK("http://slimages.macys.com/is/image/MCY/17060765 ")</f>
        <v xml:space="preserve">http://slimages.macys.com/is/image/MCY/17060765 </v>
      </c>
    </row>
    <row r="70" spans="1:14" x14ac:dyDescent="0.25">
      <c r="A70" s="21" t="s">
        <v>15672</v>
      </c>
      <c r="B70" s="22" t="s">
        <v>15673</v>
      </c>
      <c r="C70" s="2">
        <v>1</v>
      </c>
      <c r="D70" s="23">
        <v>19.22</v>
      </c>
      <c r="E70" s="3">
        <v>19.22</v>
      </c>
      <c r="F70" s="2" t="s">
        <v>15665</v>
      </c>
      <c r="G70" s="22" t="s">
        <v>19467</v>
      </c>
      <c r="H70" s="24" t="s">
        <v>19542</v>
      </c>
      <c r="I70" s="22" t="s">
        <v>19309</v>
      </c>
      <c r="J70" s="22" t="s">
        <v>19514</v>
      </c>
      <c r="K70" s="22" t="s">
        <v>18514</v>
      </c>
      <c r="L70" s="22"/>
      <c r="M70" s="22"/>
      <c r="N70" s="25" t="str">
        <f>HYPERLINK("http://slimages.macys.com/is/image/MCY/21374448 ")</f>
        <v xml:space="preserve">http://slimages.macys.com/is/image/MCY/21374448 </v>
      </c>
    </row>
    <row r="71" spans="1:14" ht="24.75" x14ac:dyDescent="0.25">
      <c r="A71" s="21" t="s">
        <v>15674</v>
      </c>
      <c r="B71" s="22" t="s">
        <v>15675</v>
      </c>
      <c r="C71" s="2">
        <v>1</v>
      </c>
      <c r="D71" s="23">
        <v>32.99</v>
      </c>
      <c r="E71" s="3">
        <v>32.99</v>
      </c>
      <c r="F71" s="2" t="s">
        <v>15676</v>
      </c>
      <c r="G71" s="22" t="s">
        <v>19351</v>
      </c>
      <c r="H71" s="24" t="s">
        <v>19797</v>
      </c>
      <c r="I71" s="22" t="s">
        <v>19309</v>
      </c>
      <c r="J71" s="22" t="s">
        <v>19595</v>
      </c>
      <c r="K71" s="22" t="s">
        <v>19423</v>
      </c>
      <c r="L71" s="22"/>
      <c r="M71" s="22"/>
      <c r="N71" s="25" t="str">
        <f>HYPERLINK("http://slimages.macys.com/is/image/MCY/21398450 ")</f>
        <v xml:space="preserve">http://slimages.macys.com/is/image/MCY/21398450 </v>
      </c>
    </row>
    <row r="72" spans="1:14" ht="24.75" x14ac:dyDescent="0.25">
      <c r="A72" s="21" t="s">
        <v>15677</v>
      </c>
      <c r="B72" s="22" t="s">
        <v>15678</v>
      </c>
      <c r="C72" s="2">
        <v>1</v>
      </c>
      <c r="D72" s="23">
        <v>32.99</v>
      </c>
      <c r="E72" s="3">
        <v>32.99</v>
      </c>
      <c r="F72" s="2" t="s">
        <v>15679</v>
      </c>
      <c r="G72" s="22" t="s">
        <v>19810</v>
      </c>
      <c r="H72" s="24" t="s">
        <v>19797</v>
      </c>
      <c r="I72" s="22" t="s">
        <v>19309</v>
      </c>
      <c r="J72" s="22" t="s">
        <v>19595</v>
      </c>
      <c r="K72" s="22" t="s">
        <v>19423</v>
      </c>
      <c r="L72" s="22"/>
      <c r="M72" s="22"/>
      <c r="N72" s="25" t="str">
        <f>HYPERLINK("http://slimages.macys.com/is/image/MCY/21398452 ")</f>
        <v xml:space="preserve">http://slimages.macys.com/is/image/MCY/21398452 </v>
      </c>
    </row>
    <row r="73" spans="1:14" ht="24.75" x14ac:dyDescent="0.25">
      <c r="A73" s="21" t="s">
        <v>15680</v>
      </c>
      <c r="B73" s="22" t="s">
        <v>15681</v>
      </c>
      <c r="C73" s="2">
        <v>1</v>
      </c>
      <c r="D73" s="23">
        <v>32.99</v>
      </c>
      <c r="E73" s="3">
        <v>32.99</v>
      </c>
      <c r="F73" s="2" t="s">
        <v>15682</v>
      </c>
      <c r="G73" s="22" t="s">
        <v>19794</v>
      </c>
      <c r="H73" s="24"/>
      <c r="I73" s="22" t="s">
        <v>19309</v>
      </c>
      <c r="J73" s="22" t="s">
        <v>19400</v>
      </c>
      <c r="K73" s="22" t="s">
        <v>19423</v>
      </c>
      <c r="L73" s="22"/>
      <c r="M73" s="22"/>
      <c r="N73" s="25" t="str">
        <f>HYPERLINK("http://slimages.macys.com/is/image/MCY/20091554 ")</f>
        <v xml:space="preserve">http://slimages.macys.com/is/image/MCY/20091554 </v>
      </c>
    </row>
    <row r="74" spans="1:14" ht="24.75" x14ac:dyDescent="0.25">
      <c r="A74" s="21" t="s">
        <v>17726</v>
      </c>
      <c r="B74" s="22" t="s">
        <v>17727</v>
      </c>
      <c r="C74" s="2">
        <v>1</v>
      </c>
      <c r="D74" s="23">
        <v>32.99</v>
      </c>
      <c r="E74" s="3">
        <v>32.99</v>
      </c>
      <c r="F74" s="2" t="s">
        <v>17728</v>
      </c>
      <c r="G74" s="22"/>
      <c r="H74" s="24" t="s">
        <v>19797</v>
      </c>
      <c r="I74" s="22" t="s">
        <v>19309</v>
      </c>
      <c r="J74" s="22" t="s">
        <v>19595</v>
      </c>
      <c r="K74" s="22" t="s">
        <v>19423</v>
      </c>
      <c r="L74" s="22"/>
      <c r="M74" s="22"/>
      <c r="N74" s="25" t="str">
        <f>HYPERLINK("http://slimages.macys.com/is/image/MCY/21423347 ")</f>
        <v xml:space="preserve">http://slimages.macys.com/is/image/MCY/21423347 </v>
      </c>
    </row>
    <row r="75" spans="1:14" x14ac:dyDescent="0.25">
      <c r="A75" s="21" t="s">
        <v>15683</v>
      </c>
      <c r="B75" s="22" t="s">
        <v>15684</v>
      </c>
      <c r="C75" s="2">
        <v>1</v>
      </c>
      <c r="D75" s="23">
        <v>18.989999999999998</v>
      </c>
      <c r="E75" s="3">
        <v>18.989999999999998</v>
      </c>
      <c r="F75" s="2" t="s">
        <v>15685</v>
      </c>
      <c r="G75" s="22" t="s">
        <v>19513</v>
      </c>
      <c r="H75" s="24" t="s">
        <v>19364</v>
      </c>
      <c r="I75" s="22" t="s">
        <v>19309</v>
      </c>
      <c r="J75" s="22" t="s">
        <v>19310</v>
      </c>
      <c r="K75" s="22" t="s">
        <v>19873</v>
      </c>
      <c r="L75" s="22"/>
      <c r="M75" s="22"/>
      <c r="N75" s="25" t="str">
        <f>HYPERLINK("http://slimages.macys.com/is/image/MCY/20663274 ")</f>
        <v xml:space="preserve">http://slimages.macys.com/is/image/MCY/20663274 </v>
      </c>
    </row>
    <row r="76" spans="1:14" ht="24.75" x14ac:dyDescent="0.25">
      <c r="A76" s="21" t="s">
        <v>15686</v>
      </c>
      <c r="B76" s="22" t="s">
        <v>15687</v>
      </c>
      <c r="C76" s="2">
        <v>1</v>
      </c>
      <c r="D76" s="23">
        <v>23.64</v>
      </c>
      <c r="E76" s="3">
        <v>23.64</v>
      </c>
      <c r="F76" s="2" t="s">
        <v>15688</v>
      </c>
      <c r="G76" s="22" t="s">
        <v>19618</v>
      </c>
      <c r="H76" s="24" t="s">
        <v>19352</v>
      </c>
      <c r="I76" s="22" t="s">
        <v>19309</v>
      </c>
      <c r="J76" s="22" t="s">
        <v>19405</v>
      </c>
      <c r="K76" s="22" t="s">
        <v>19406</v>
      </c>
      <c r="L76" s="22"/>
      <c r="M76" s="22"/>
      <c r="N76" s="25" t="str">
        <f>HYPERLINK("http://slimages.macys.com/is/image/MCY/19699892 ")</f>
        <v xml:space="preserve">http://slimages.macys.com/is/image/MCY/19699892 </v>
      </c>
    </row>
    <row r="77" spans="1:14" ht="24.75" x14ac:dyDescent="0.25">
      <c r="A77" s="21" t="s">
        <v>17750</v>
      </c>
      <c r="B77" s="22" t="s">
        <v>17751</v>
      </c>
      <c r="C77" s="2">
        <v>1</v>
      </c>
      <c r="D77" s="23">
        <v>25.99</v>
      </c>
      <c r="E77" s="3">
        <v>25.99</v>
      </c>
      <c r="F77" s="2" t="s">
        <v>17752</v>
      </c>
      <c r="G77" s="22" t="s">
        <v>19431</v>
      </c>
      <c r="H77" s="24"/>
      <c r="I77" s="22" t="s">
        <v>19309</v>
      </c>
      <c r="J77" s="22" t="s">
        <v>19573</v>
      </c>
      <c r="K77" s="22" t="s">
        <v>19574</v>
      </c>
      <c r="L77" s="22"/>
      <c r="M77" s="22"/>
      <c r="N77" s="25" t="str">
        <f>HYPERLINK("http://slimages.macys.com/is/image/MCY/1554793 ")</f>
        <v xml:space="preserve">http://slimages.macys.com/is/image/MCY/1554793 </v>
      </c>
    </row>
    <row r="78" spans="1:14" ht="24.75" x14ac:dyDescent="0.25">
      <c r="A78" s="21" t="s">
        <v>15689</v>
      </c>
      <c r="B78" s="22" t="s">
        <v>15690</v>
      </c>
      <c r="C78" s="2">
        <v>1</v>
      </c>
      <c r="D78" s="23">
        <v>25.99</v>
      </c>
      <c r="E78" s="3">
        <v>25.99</v>
      </c>
      <c r="F78" s="2" t="s">
        <v>15691</v>
      </c>
      <c r="G78" s="22" t="s">
        <v>18439</v>
      </c>
      <c r="H78" s="24"/>
      <c r="I78" s="22" t="s">
        <v>19309</v>
      </c>
      <c r="J78" s="22" t="s">
        <v>19573</v>
      </c>
      <c r="K78" s="22" t="s">
        <v>19574</v>
      </c>
      <c r="L78" s="22"/>
      <c r="M78" s="22"/>
      <c r="N78" s="25" t="str">
        <f>HYPERLINK("http://slimages.macys.com/is/image/MCY/1116904 ")</f>
        <v xml:space="preserve">http://slimages.macys.com/is/image/MCY/1116904 </v>
      </c>
    </row>
    <row r="79" spans="1:14" ht="24.75" x14ac:dyDescent="0.25">
      <c r="A79" s="21" t="s">
        <v>19654</v>
      </c>
      <c r="B79" s="22" t="s">
        <v>19655</v>
      </c>
      <c r="C79" s="2">
        <v>1</v>
      </c>
      <c r="D79" s="23">
        <v>24.99</v>
      </c>
      <c r="E79" s="3">
        <v>24.99</v>
      </c>
      <c r="F79" s="2" t="s">
        <v>19656</v>
      </c>
      <c r="G79" s="22" t="s">
        <v>19333</v>
      </c>
      <c r="H79" s="24" t="s">
        <v>19416</v>
      </c>
      <c r="I79" s="22" t="s">
        <v>19309</v>
      </c>
      <c r="J79" s="22" t="s">
        <v>19385</v>
      </c>
      <c r="K79" s="22" t="s">
        <v>19487</v>
      </c>
      <c r="L79" s="22"/>
      <c r="M79" s="22"/>
      <c r="N79" s="25" t="str">
        <f>HYPERLINK("http://slimages.macys.com/is/image/MCY/21856823 ")</f>
        <v xml:space="preserve">http://slimages.macys.com/is/image/MCY/21856823 </v>
      </c>
    </row>
    <row r="80" spans="1:14" ht="24.75" x14ac:dyDescent="0.25">
      <c r="A80" s="21" t="s">
        <v>15692</v>
      </c>
      <c r="B80" s="22" t="s">
        <v>15693</v>
      </c>
      <c r="C80" s="2">
        <v>1</v>
      </c>
      <c r="D80" s="23">
        <v>24.99</v>
      </c>
      <c r="E80" s="3">
        <v>24.99</v>
      </c>
      <c r="F80" s="2" t="s">
        <v>19656</v>
      </c>
      <c r="G80" s="22" t="s">
        <v>19333</v>
      </c>
      <c r="H80" s="24" t="s">
        <v>19384</v>
      </c>
      <c r="I80" s="22" t="s">
        <v>19309</v>
      </c>
      <c r="J80" s="22" t="s">
        <v>19385</v>
      </c>
      <c r="K80" s="22" t="s">
        <v>19487</v>
      </c>
      <c r="L80" s="22"/>
      <c r="M80" s="22"/>
      <c r="N80" s="25" t="str">
        <f>HYPERLINK("http://slimages.macys.com/is/image/MCY/21856823 ")</f>
        <v xml:space="preserve">http://slimages.macys.com/is/image/MCY/21856823 </v>
      </c>
    </row>
    <row r="81" spans="1:14" ht="24.75" x14ac:dyDescent="0.25">
      <c r="A81" s="21" t="s">
        <v>15694</v>
      </c>
      <c r="B81" s="22" t="s">
        <v>15695</v>
      </c>
      <c r="C81" s="2">
        <v>1</v>
      </c>
      <c r="D81" s="23">
        <v>26.99</v>
      </c>
      <c r="E81" s="3">
        <v>26.99</v>
      </c>
      <c r="F81" s="2" t="s">
        <v>19663</v>
      </c>
      <c r="G81" s="22" t="s">
        <v>19333</v>
      </c>
      <c r="H81" s="24" t="s">
        <v>19330</v>
      </c>
      <c r="I81" s="22" t="s">
        <v>19309</v>
      </c>
      <c r="J81" s="22" t="s">
        <v>19385</v>
      </c>
      <c r="K81" s="22" t="s">
        <v>19487</v>
      </c>
      <c r="L81" s="22"/>
      <c r="M81" s="22"/>
      <c r="N81" s="25" t="str">
        <f>HYPERLINK("http://slimages.macys.com/is/image/MCY/21856819 ")</f>
        <v xml:space="preserve">http://slimages.macys.com/is/image/MCY/21856819 </v>
      </c>
    </row>
    <row r="82" spans="1:14" x14ac:dyDescent="0.25">
      <c r="A82" s="21" t="s">
        <v>15696</v>
      </c>
      <c r="B82" s="22" t="s">
        <v>15697</v>
      </c>
      <c r="C82" s="2">
        <v>2</v>
      </c>
      <c r="D82" s="23">
        <v>27.99</v>
      </c>
      <c r="E82" s="3">
        <v>55.98</v>
      </c>
      <c r="F82" s="2" t="s">
        <v>15698</v>
      </c>
      <c r="G82" s="22" t="s">
        <v>19342</v>
      </c>
      <c r="H82" s="24" t="s">
        <v>19392</v>
      </c>
      <c r="I82" s="22" t="s">
        <v>19309</v>
      </c>
      <c r="J82" s="22" t="s">
        <v>19696</v>
      </c>
      <c r="K82" s="22" t="s">
        <v>19965</v>
      </c>
      <c r="L82" s="22"/>
      <c r="M82" s="22"/>
      <c r="N82" s="25" t="str">
        <f>HYPERLINK("http://slimages.macys.com/is/image/MCY/20662541 ")</f>
        <v xml:space="preserve">http://slimages.macys.com/is/image/MCY/20662541 </v>
      </c>
    </row>
    <row r="83" spans="1:14" x14ac:dyDescent="0.25">
      <c r="A83" s="21" t="s">
        <v>15699</v>
      </c>
      <c r="B83" s="22" t="s">
        <v>15700</v>
      </c>
      <c r="C83" s="2">
        <v>2</v>
      </c>
      <c r="D83" s="23">
        <v>27.99</v>
      </c>
      <c r="E83" s="3">
        <v>55.98</v>
      </c>
      <c r="F83" s="2" t="s">
        <v>15698</v>
      </c>
      <c r="G83" s="22" t="s">
        <v>19342</v>
      </c>
      <c r="H83" s="24" t="s">
        <v>19334</v>
      </c>
      <c r="I83" s="22" t="s">
        <v>19309</v>
      </c>
      <c r="J83" s="22" t="s">
        <v>19696</v>
      </c>
      <c r="K83" s="22" t="s">
        <v>19965</v>
      </c>
      <c r="L83" s="22"/>
      <c r="M83" s="22"/>
      <c r="N83" s="25" t="str">
        <f>HYPERLINK("http://slimages.macys.com/is/image/MCY/20662541 ")</f>
        <v xml:space="preserve">http://slimages.macys.com/is/image/MCY/20662541 </v>
      </c>
    </row>
    <row r="84" spans="1:14" x14ac:dyDescent="0.25">
      <c r="A84" s="21" t="s">
        <v>17766</v>
      </c>
      <c r="B84" s="22" t="s">
        <v>17767</v>
      </c>
      <c r="C84" s="2">
        <v>2</v>
      </c>
      <c r="D84" s="23">
        <v>16.989999999999998</v>
      </c>
      <c r="E84" s="3">
        <v>33.979999999999997</v>
      </c>
      <c r="F84" s="2" t="s">
        <v>17768</v>
      </c>
      <c r="G84" s="22" t="s">
        <v>19618</v>
      </c>
      <c r="H84" s="24" t="s">
        <v>19334</v>
      </c>
      <c r="I84" s="22" t="s">
        <v>19309</v>
      </c>
      <c r="J84" s="22" t="s">
        <v>19310</v>
      </c>
      <c r="K84" s="22" t="s">
        <v>19468</v>
      </c>
      <c r="L84" s="22"/>
      <c r="M84" s="22"/>
      <c r="N84" s="25" t="str">
        <f>HYPERLINK("http://slimages.macys.com/is/image/MCY/20663245 ")</f>
        <v xml:space="preserve">http://slimages.macys.com/is/image/MCY/20663245 </v>
      </c>
    </row>
    <row r="85" spans="1:14" ht="24.75" x14ac:dyDescent="0.25">
      <c r="A85" s="21" t="s">
        <v>15701</v>
      </c>
      <c r="B85" s="22" t="s">
        <v>15702</v>
      </c>
      <c r="C85" s="2">
        <v>1</v>
      </c>
      <c r="D85" s="23">
        <v>18.989999999999998</v>
      </c>
      <c r="E85" s="3">
        <v>18.989999999999998</v>
      </c>
      <c r="F85" s="2" t="s">
        <v>15703</v>
      </c>
      <c r="G85" s="22" t="s">
        <v>19323</v>
      </c>
      <c r="H85" s="24" t="s">
        <v>19334</v>
      </c>
      <c r="I85" s="22" t="s">
        <v>19309</v>
      </c>
      <c r="J85" s="22" t="s">
        <v>19447</v>
      </c>
      <c r="K85" s="22" t="s">
        <v>20146</v>
      </c>
      <c r="L85" s="22"/>
      <c r="M85" s="22"/>
      <c r="N85" s="25" t="str">
        <f>HYPERLINK("http://slimages.macys.com/is/image/MCY/20676961 ")</f>
        <v xml:space="preserve">http://slimages.macys.com/is/image/MCY/20676961 </v>
      </c>
    </row>
    <row r="86" spans="1:14" x14ac:dyDescent="0.25">
      <c r="A86" s="21" t="s">
        <v>15704</v>
      </c>
      <c r="B86" s="22" t="s">
        <v>15705</v>
      </c>
      <c r="C86" s="2">
        <v>1</v>
      </c>
      <c r="D86" s="23">
        <v>22.99</v>
      </c>
      <c r="E86" s="3">
        <v>22.99</v>
      </c>
      <c r="F86" s="2" t="s">
        <v>19541</v>
      </c>
      <c r="G86" s="22" t="s">
        <v>19415</v>
      </c>
      <c r="H86" s="24" t="s">
        <v>19345</v>
      </c>
      <c r="I86" s="22" t="s">
        <v>19309</v>
      </c>
      <c r="J86" s="22" t="s">
        <v>19310</v>
      </c>
      <c r="K86" s="22" t="s">
        <v>19433</v>
      </c>
      <c r="L86" s="22"/>
      <c r="M86" s="22"/>
      <c r="N86" s="25" t="str">
        <f>HYPERLINK("http://slimages.macys.com/is/image/MCY/21677791 ")</f>
        <v xml:space="preserve">http://slimages.macys.com/is/image/MCY/21677791 </v>
      </c>
    </row>
    <row r="87" spans="1:14" ht="24.75" x14ac:dyDescent="0.25">
      <c r="A87" s="21" t="s">
        <v>15706</v>
      </c>
      <c r="B87" s="22" t="s">
        <v>15707</v>
      </c>
      <c r="C87" s="2">
        <v>1</v>
      </c>
      <c r="D87" s="23">
        <v>21.99</v>
      </c>
      <c r="E87" s="3">
        <v>21.99</v>
      </c>
      <c r="F87" s="2" t="s">
        <v>19679</v>
      </c>
      <c r="G87" s="22" t="s">
        <v>19680</v>
      </c>
      <c r="H87" s="24" t="s">
        <v>19542</v>
      </c>
      <c r="I87" s="22" t="s">
        <v>19309</v>
      </c>
      <c r="J87" s="22" t="s">
        <v>19310</v>
      </c>
      <c r="K87" s="22" t="s">
        <v>19433</v>
      </c>
      <c r="L87" s="22"/>
      <c r="M87" s="22"/>
      <c r="N87" s="25" t="str">
        <f>HYPERLINK("http://slimages.macys.com/is/image/MCY/12377458 ")</f>
        <v xml:space="preserve">http://slimages.macys.com/is/image/MCY/12377458 </v>
      </c>
    </row>
    <row r="88" spans="1:14" ht="24.75" x14ac:dyDescent="0.25">
      <c r="A88" s="21" t="s">
        <v>15708</v>
      </c>
      <c r="B88" s="22" t="s">
        <v>15709</v>
      </c>
      <c r="C88" s="2">
        <v>1</v>
      </c>
      <c r="D88" s="23">
        <v>23.99</v>
      </c>
      <c r="E88" s="3">
        <v>23.99</v>
      </c>
      <c r="F88" s="2" t="s">
        <v>15710</v>
      </c>
      <c r="G88" s="22" t="s">
        <v>19351</v>
      </c>
      <c r="H88" s="24" t="s">
        <v>19324</v>
      </c>
      <c r="I88" s="22" t="s">
        <v>19309</v>
      </c>
      <c r="J88" s="22" t="s">
        <v>19573</v>
      </c>
      <c r="K88" s="22" t="s">
        <v>19574</v>
      </c>
      <c r="L88" s="22"/>
      <c r="M88" s="22"/>
      <c r="N88" s="25" t="str">
        <f>HYPERLINK("http://slimages.macys.com/is/image/MCY/20753432 ")</f>
        <v xml:space="preserve">http://slimages.macys.com/is/image/MCY/20753432 </v>
      </c>
    </row>
    <row r="89" spans="1:14" x14ac:dyDescent="0.25">
      <c r="A89" s="21" t="s">
        <v>15711</v>
      </c>
      <c r="B89" s="22" t="s">
        <v>15712</v>
      </c>
      <c r="C89" s="2">
        <v>1</v>
      </c>
      <c r="D89" s="23">
        <v>27.99</v>
      </c>
      <c r="E89" s="3">
        <v>27.99</v>
      </c>
      <c r="F89" s="2" t="s">
        <v>15713</v>
      </c>
      <c r="G89" s="22" t="s">
        <v>19342</v>
      </c>
      <c r="H89" s="24" t="s">
        <v>19334</v>
      </c>
      <c r="I89" s="22" t="s">
        <v>19309</v>
      </c>
      <c r="J89" s="22" t="s">
        <v>19696</v>
      </c>
      <c r="K89" s="22" t="s">
        <v>19965</v>
      </c>
      <c r="L89" s="22"/>
      <c r="M89" s="22"/>
      <c r="N89" s="25" t="str">
        <f>HYPERLINK("http://slimages.macys.com/is/image/MCY/21530621 ")</f>
        <v xml:space="preserve">http://slimages.macys.com/is/image/MCY/21530621 </v>
      </c>
    </row>
    <row r="90" spans="1:14" x14ac:dyDescent="0.25">
      <c r="A90" s="21" t="s">
        <v>15714</v>
      </c>
      <c r="B90" s="22" t="s">
        <v>15715</v>
      </c>
      <c r="C90" s="2">
        <v>2</v>
      </c>
      <c r="D90" s="23">
        <v>27.99</v>
      </c>
      <c r="E90" s="3">
        <v>55.98</v>
      </c>
      <c r="F90" s="2" t="s">
        <v>17774</v>
      </c>
      <c r="G90" s="22" t="s">
        <v>19342</v>
      </c>
      <c r="H90" s="24" t="s">
        <v>19334</v>
      </c>
      <c r="I90" s="22" t="s">
        <v>19309</v>
      </c>
      <c r="J90" s="22" t="s">
        <v>19696</v>
      </c>
      <c r="K90" s="22" t="s">
        <v>19965</v>
      </c>
      <c r="L90" s="22"/>
      <c r="M90" s="22"/>
      <c r="N90" s="25" t="str">
        <f>HYPERLINK("http://slimages.macys.com/is/image/MCY/21540669 ")</f>
        <v xml:space="preserve">http://slimages.macys.com/is/image/MCY/21540669 </v>
      </c>
    </row>
    <row r="91" spans="1:14" x14ac:dyDescent="0.25">
      <c r="A91" s="21" t="s">
        <v>15716</v>
      </c>
      <c r="B91" s="22" t="s">
        <v>15717</v>
      </c>
      <c r="C91" s="2">
        <v>1</v>
      </c>
      <c r="D91" s="23">
        <v>27.99</v>
      </c>
      <c r="E91" s="3">
        <v>27.99</v>
      </c>
      <c r="F91" s="2" t="s">
        <v>15713</v>
      </c>
      <c r="G91" s="22" t="s">
        <v>19342</v>
      </c>
      <c r="H91" s="24" t="s">
        <v>19345</v>
      </c>
      <c r="I91" s="22" t="s">
        <v>19309</v>
      </c>
      <c r="J91" s="22" t="s">
        <v>19696</v>
      </c>
      <c r="K91" s="22" t="s">
        <v>19965</v>
      </c>
      <c r="L91" s="22"/>
      <c r="M91" s="22"/>
      <c r="N91" s="25" t="str">
        <f>HYPERLINK("http://slimages.macys.com/is/image/MCY/21530621 ")</f>
        <v xml:space="preserve">http://slimages.macys.com/is/image/MCY/21530621 </v>
      </c>
    </row>
    <row r="92" spans="1:14" x14ac:dyDescent="0.25">
      <c r="A92" s="21" t="s">
        <v>17778</v>
      </c>
      <c r="B92" s="22" t="s">
        <v>17779</v>
      </c>
      <c r="C92" s="2">
        <v>1</v>
      </c>
      <c r="D92" s="23">
        <v>27.99</v>
      </c>
      <c r="E92" s="3">
        <v>27.99</v>
      </c>
      <c r="F92" s="2" t="s">
        <v>17771</v>
      </c>
      <c r="G92" s="22" t="s">
        <v>19342</v>
      </c>
      <c r="H92" s="24" t="s">
        <v>19334</v>
      </c>
      <c r="I92" s="22" t="s">
        <v>19309</v>
      </c>
      <c r="J92" s="22" t="s">
        <v>19696</v>
      </c>
      <c r="K92" s="22" t="s">
        <v>19965</v>
      </c>
      <c r="L92" s="22"/>
      <c r="M92" s="22"/>
      <c r="N92" s="25" t="str">
        <f>HYPERLINK("http://slimages.macys.com/is/image/MCY/21355979 ")</f>
        <v xml:space="preserve">http://slimages.macys.com/is/image/MCY/21355979 </v>
      </c>
    </row>
    <row r="93" spans="1:14" ht="24.75" x14ac:dyDescent="0.25">
      <c r="A93" s="21" t="s">
        <v>15718</v>
      </c>
      <c r="B93" s="22" t="s">
        <v>15719</v>
      </c>
      <c r="C93" s="2">
        <v>2</v>
      </c>
      <c r="D93" s="23">
        <v>19.989999999999998</v>
      </c>
      <c r="E93" s="3">
        <v>39.979999999999997</v>
      </c>
      <c r="F93" s="2" t="s">
        <v>19692</v>
      </c>
      <c r="G93" s="22" t="s">
        <v>19315</v>
      </c>
      <c r="H93" s="24" t="s">
        <v>19538</v>
      </c>
      <c r="I93" s="22" t="s">
        <v>19309</v>
      </c>
      <c r="J93" s="22" t="s">
        <v>19573</v>
      </c>
      <c r="K93" s="22" t="s">
        <v>19574</v>
      </c>
      <c r="L93" s="22"/>
      <c r="M93" s="22"/>
      <c r="N93" s="25" t="str">
        <f>HYPERLINK("http://slimages.macys.com/is/image/MCY/21731432 ")</f>
        <v xml:space="preserve">http://slimages.macys.com/is/image/MCY/21731432 </v>
      </c>
    </row>
    <row r="94" spans="1:14" ht="24.75" x14ac:dyDescent="0.25">
      <c r="A94" s="21" t="s">
        <v>19690</v>
      </c>
      <c r="B94" s="22" t="s">
        <v>19691</v>
      </c>
      <c r="C94" s="2">
        <v>1</v>
      </c>
      <c r="D94" s="23">
        <v>19.989999999999998</v>
      </c>
      <c r="E94" s="3">
        <v>19.989999999999998</v>
      </c>
      <c r="F94" s="2" t="s">
        <v>19692</v>
      </c>
      <c r="G94" s="22" t="s">
        <v>19315</v>
      </c>
      <c r="H94" s="24"/>
      <c r="I94" s="22" t="s">
        <v>19309</v>
      </c>
      <c r="J94" s="22" t="s">
        <v>19573</v>
      </c>
      <c r="K94" s="22" t="s">
        <v>19574</v>
      </c>
      <c r="L94" s="22"/>
      <c r="M94" s="22"/>
      <c r="N94" s="25" t="str">
        <f>HYPERLINK("http://slimages.macys.com/is/image/MCY/21731432 ")</f>
        <v xml:space="preserve">http://slimages.macys.com/is/image/MCY/21731432 </v>
      </c>
    </row>
    <row r="95" spans="1:14" x14ac:dyDescent="0.25">
      <c r="A95" s="21" t="s">
        <v>15720</v>
      </c>
      <c r="B95" s="22" t="s">
        <v>15721</v>
      </c>
      <c r="C95" s="2">
        <v>1</v>
      </c>
      <c r="D95" s="23">
        <v>27.99</v>
      </c>
      <c r="E95" s="3">
        <v>27.99</v>
      </c>
      <c r="F95" s="2" t="s">
        <v>17774</v>
      </c>
      <c r="G95" s="22" t="s">
        <v>19342</v>
      </c>
      <c r="H95" s="24" t="s">
        <v>19345</v>
      </c>
      <c r="I95" s="22" t="s">
        <v>19309</v>
      </c>
      <c r="J95" s="22" t="s">
        <v>19696</v>
      </c>
      <c r="K95" s="22" t="s">
        <v>19965</v>
      </c>
      <c r="L95" s="22"/>
      <c r="M95" s="22"/>
      <c r="N95" s="25" t="str">
        <f>HYPERLINK("http://slimages.macys.com/is/image/MCY/21540669 ")</f>
        <v xml:space="preserve">http://slimages.macys.com/is/image/MCY/21540669 </v>
      </c>
    </row>
    <row r="96" spans="1:14" ht="24.75" x14ac:dyDescent="0.25">
      <c r="A96" s="21" t="s">
        <v>15722</v>
      </c>
      <c r="B96" s="22" t="s">
        <v>15723</v>
      </c>
      <c r="C96" s="2">
        <v>1</v>
      </c>
      <c r="D96" s="23">
        <v>29.99</v>
      </c>
      <c r="E96" s="3">
        <v>29.99</v>
      </c>
      <c r="F96" s="2" t="s">
        <v>15724</v>
      </c>
      <c r="G96" s="22" t="s">
        <v>19342</v>
      </c>
      <c r="H96" s="24" t="s">
        <v>19330</v>
      </c>
      <c r="I96" s="22" t="s">
        <v>19309</v>
      </c>
      <c r="J96" s="22" t="s">
        <v>19491</v>
      </c>
      <c r="K96" s="22" t="s">
        <v>15725</v>
      </c>
      <c r="L96" s="22"/>
      <c r="M96" s="22"/>
      <c r="N96" s="25" t="str">
        <f>HYPERLINK("http://slimages.macys.com/is/image/MCY/21176916 ")</f>
        <v xml:space="preserve">http://slimages.macys.com/is/image/MCY/21176916 </v>
      </c>
    </row>
    <row r="97" spans="1:14" x14ac:dyDescent="0.25">
      <c r="A97" s="21" t="s">
        <v>15726</v>
      </c>
      <c r="B97" s="22" t="s">
        <v>15727</v>
      </c>
      <c r="C97" s="2">
        <v>1</v>
      </c>
      <c r="D97" s="23">
        <v>15.99</v>
      </c>
      <c r="E97" s="3">
        <v>15.99</v>
      </c>
      <c r="F97" s="2">
        <v>72676</v>
      </c>
      <c r="G97" s="22" t="s">
        <v>19333</v>
      </c>
      <c r="H97" s="24" t="s">
        <v>19538</v>
      </c>
      <c r="I97" s="22" t="s">
        <v>19309</v>
      </c>
      <c r="J97" s="22" t="s">
        <v>19417</v>
      </c>
      <c r="K97" s="22" t="s">
        <v>19969</v>
      </c>
      <c r="L97" s="22"/>
      <c r="M97" s="22"/>
      <c r="N97" s="25" t="str">
        <f>HYPERLINK("http://slimages.macys.com/is/image/MCY/16790692 ")</f>
        <v xml:space="preserve">http://slimages.macys.com/is/image/MCY/16790692 </v>
      </c>
    </row>
    <row r="98" spans="1:14" ht="24.75" x14ac:dyDescent="0.25">
      <c r="A98" s="21" t="s">
        <v>15728</v>
      </c>
      <c r="B98" s="22" t="s">
        <v>15729</v>
      </c>
      <c r="C98" s="2">
        <v>1</v>
      </c>
      <c r="D98" s="23">
        <v>23.99</v>
      </c>
      <c r="E98" s="3">
        <v>23.99</v>
      </c>
      <c r="F98" s="2" t="s">
        <v>15730</v>
      </c>
      <c r="G98" s="22" t="s">
        <v>19618</v>
      </c>
      <c r="H98" s="24" t="s">
        <v>19361</v>
      </c>
      <c r="I98" s="22" t="s">
        <v>19309</v>
      </c>
      <c r="J98" s="22" t="s">
        <v>19908</v>
      </c>
      <c r="K98" s="22" t="s">
        <v>19524</v>
      </c>
      <c r="L98" s="22"/>
      <c r="M98" s="22"/>
      <c r="N98" s="25" t="str">
        <f>HYPERLINK("http://slimages.macys.com/is/image/MCY/21070316 ")</f>
        <v xml:space="preserve">http://slimages.macys.com/is/image/MCY/21070316 </v>
      </c>
    </row>
    <row r="99" spans="1:14" ht="24.75" x14ac:dyDescent="0.25">
      <c r="A99" s="21" t="s">
        <v>15731</v>
      </c>
      <c r="B99" s="22" t="s">
        <v>15732</v>
      </c>
      <c r="C99" s="2">
        <v>1</v>
      </c>
      <c r="D99" s="23">
        <v>18.989999999999998</v>
      </c>
      <c r="E99" s="3">
        <v>18.989999999999998</v>
      </c>
      <c r="F99" s="2" t="s">
        <v>17797</v>
      </c>
      <c r="G99" s="22" t="s">
        <v>19315</v>
      </c>
      <c r="H99" s="24" t="s">
        <v>19542</v>
      </c>
      <c r="I99" s="22" t="s">
        <v>19309</v>
      </c>
      <c r="J99" s="22" t="s">
        <v>19447</v>
      </c>
      <c r="K99" s="22" t="s">
        <v>20146</v>
      </c>
      <c r="L99" s="22"/>
      <c r="M99" s="22"/>
      <c r="N99" s="25" t="str">
        <f>HYPERLINK("http://slimages.macys.com/is/image/MCY/20016812 ")</f>
        <v xml:space="preserve">http://slimages.macys.com/is/image/MCY/20016812 </v>
      </c>
    </row>
    <row r="100" spans="1:14" ht="24.75" x14ac:dyDescent="0.25">
      <c r="A100" s="21" t="s">
        <v>15733</v>
      </c>
      <c r="B100" s="22" t="s">
        <v>15734</v>
      </c>
      <c r="C100" s="2">
        <v>1</v>
      </c>
      <c r="D100" s="23">
        <v>18.989999999999998</v>
      </c>
      <c r="E100" s="3">
        <v>18.989999999999998</v>
      </c>
      <c r="F100" s="2" t="s">
        <v>17797</v>
      </c>
      <c r="G100" s="22" t="s">
        <v>19315</v>
      </c>
      <c r="H100" s="24" t="s">
        <v>19395</v>
      </c>
      <c r="I100" s="22" t="s">
        <v>19309</v>
      </c>
      <c r="J100" s="22" t="s">
        <v>19447</v>
      </c>
      <c r="K100" s="22" t="s">
        <v>20146</v>
      </c>
      <c r="L100" s="22"/>
      <c r="M100" s="22"/>
      <c r="N100" s="25" t="str">
        <f>HYPERLINK("http://slimages.macys.com/is/image/MCY/20016812 ")</f>
        <v xml:space="preserve">http://slimages.macys.com/is/image/MCY/20016812 </v>
      </c>
    </row>
    <row r="101" spans="1:14" ht="24.75" x14ac:dyDescent="0.25">
      <c r="A101" s="21" t="s">
        <v>17795</v>
      </c>
      <c r="B101" s="22" t="s">
        <v>17796</v>
      </c>
      <c r="C101" s="2">
        <v>2</v>
      </c>
      <c r="D101" s="23">
        <v>18.989999999999998</v>
      </c>
      <c r="E101" s="3">
        <v>37.979999999999997</v>
      </c>
      <c r="F101" s="2" t="s">
        <v>17797</v>
      </c>
      <c r="G101" s="22" t="s">
        <v>19315</v>
      </c>
      <c r="H101" s="24" t="s">
        <v>19361</v>
      </c>
      <c r="I101" s="22" t="s">
        <v>19309</v>
      </c>
      <c r="J101" s="22" t="s">
        <v>19447</v>
      </c>
      <c r="K101" s="22" t="s">
        <v>20146</v>
      </c>
      <c r="L101" s="22"/>
      <c r="M101" s="22"/>
      <c r="N101" s="25" t="str">
        <f>HYPERLINK("http://slimages.macys.com/is/image/MCY/20016812 ")</f>
        <v xml:space="preserve">http://slimages.macys.com/is/image/MCY/20016812 </v>
      </c>
    </row>
    <row r="102" spans="1:14" ht="24.75" x14ac:dyDescent="0.25">
      <c r="A102" s="21" t="s">
        <v>15735</v>
      </c>
      <c r="B102" s="22" t="s">
        <v>15736</v>
      </c>
      <c r="C102" s="2">
        <v>1</v>
      </c>
      <c r="D102" s="23">
        <v>20.62</v>
      </c>
      <c r="E102" s="3">
        <v>20.62</v>
      </c>
      <c r="F102" s="2" t="s">
        <v>15737</v>
      </c>
      <c r="G102" s="22" t="s">
        <v>19351</v>
      </c>
      <c r="H102" s="24" t="s">
        <v>15738</v>
      </c>
      <c r="I102" s="22" t="s">
        <v>19309</v>
      </c>
      <c r="J102" s="22" t="s">
        <v>19565</v>
      </c>
      <c r="K102" s="22" t="s">
        <v>17934</v>
      </c>
      <c r="L102" s="22"/>
      <c r="M102" s="22"/>
      <c r="N102" s="25" t="str">
        <f>HYPERLINK("http://slimages.macys.com/is/image/MCY/21929113 ")</f>
        <v xml:space="preserve">http://slimages.macys.com/is/image/MCY/21929113 </v>
      </c>
    </row>
    <row r="103" spans="1:14" ht="24.75" x14ac:dyDescent="0.25">
      <c r="A103" s="21" t="s">
        <v>15739</v>
      </c>
      <c r="B103" s="22" t="s">
        <v>15740</v>
      </c>
      <c r="C103" s="2">
        <v>2</v>
      </c>
      <c r="D103" s="23">
        <v>23.99</v>
      </c>
      <c r="E103" s="3">
        <v>47.98</v>
      </c>
      <c r="F103" s="2" t="s">
        <v>15741</v>
      </c>
      <c r="G103" s="22" t="s">
        <v>19462</v>
      </c>
      <c r="H103" s="24" t="s">
        <v>20089</v>
      </c>
      <c r="I103" s="22" t="s">
        <v>19309</v>
      </c>
      <c r="J103" s="22" t="s">
        <v>19908</v>
      </c>
      <c r="K103" s="22" t="s">
        <v>19524</v>
      </c>
      <c r="L103" s="22"/>
      <c r="M103" s="22"/>
      <c r="N103" s="25" t="str">
        <f>HYPERLINK("http://slimages.macys.com/is/image/MCY/1554818 ")</f>
        <v xml:space="preserve">http://slimages.macys.com/is/image/MCY/1554818 </v>
      </c>
    </row>
    <row r="104" spans="1:14" ht="24.75" x14ac:dyDescent="0.25">
      <c r="A104" s="21" t="s">
        <v>15742</v>
      </c>
      <c r="B104" s="22" t="s">
        <v>15743</v>
      </c>
      <c r="C104" s="2">
        <v>2</v>
      </c>
      <c r="D104" s="23">
        <v>23.99</v>
      </c>
      <c r="E104" s="3">
        <v>47.98</v>
      </c>
      <c r="F104" s="2" t="s">
        <v>15741</v>
      </c>
      <c r="G104" s="22" t="s">
        <v>19462</v>
      </c>
      <c r="H104" s="24" t="s">
        <v>19361</v>
      </c>
      <c r="I104" s="22" t="s">
        <v>19309</v>
      </c>
      <c r="J104" s="22" t="s">
        <v>19908</v>
      </c>
      <c r="K104" s="22" t="s">
        <v>19524</v>
      </c>
      <c r="L104" s="22"/>
      <c r="M104" s="22"/>
      <c r="N104" s="25" t="str">
        <f>HYPERLINK("http://slimages.macys.com/is/image/MCY/22028931 ")</f>
        <v xml:space="preserve">http://slimages.macys.com/is/image/MCY/22028931 </v>
      </c>
    </row>
    <row r="105" spans="1:14" ht="24.75" x14ac:dyDescent="0.25">
      <c r="A105" s="21" t="s">
        <v>15744</v>
      </c>
      <c r="B105" s="22" t="s">
        <v>15745</v>
      </c>
      <c r="C105" s="2">
        <v>1</v>
      </c>
      <c r="D105" s="23">
        <v>23.99</v>
      </c>
      <c r="E105" s="3">
        <v>23.99</v>
      </c>
      <c r="F105" s="2" t="s">
        <v>15741</v>
      </c>
      <c r="G105" s="22" t="s">
        <v>19462</v>
      </c>
      <c r="H105" s="24" t="s">
        <v>19907</v>
      </c>
      <c r="I105" s="22" t="s">
        <v>19309</v>
      </c>
      <c r="J105" s="22" t="s">
        <v>19908</v>
      </c>
      <c r="K105" s="22" t="s">
        <v>19524</v>
      </c>
      <c r="L105" s="22"/>
      <c r="M105" s="22"/>
      <c r="N105" s="25" t="str">
        <f>HYPERLINK("http://slimages.macys.com/is/image/MCY/22028940 ")</f>
        <v xml:space="preserve">http://slimages.macys.com/is/image/MCY/22028940 </v>
      </c>
    </row>
    <row r="106" spans="1:14" ht="24.75" x14ac:dyDescent="0.25">
      <c r="A106" s="21" t="s">
        <v>15746</v>
      </c>
      <c r="B106" s="22" t="s">
        <v>15747</v>
      </c>
      <c r="C106" s="2">
        <v>1</v>
      </c>
      <c r="D106" s="23">
        <v>23.99</v>
      </c>
      <c r="E106" s="3">
        <v>23.99</v>
      </c>
      <c r="F106" s="2" t="s">
        <v>15741</v>
      </c>
      <c r="G106" s="22" t="s">
        <v>19462</v>
      </c>
      <c r="H106" s="24" t="s">
        <v>19377</v>
      </c>
      <c r="I106" s="22" t="s">
        <v>19309</v>
      </c>
      <c r="J106" s="22" t="s">
        <v>19908</v>
      </c>
      <c r="K106" s="22" t="s">
        <v>19524</v>
      </c>
      <c r="L106" s="22"/>
      <c r="M106" s="22"/>
      <c r="N106" s="25" t="str">
        <f>HYPERLINK("http://slimages.macys.com/is/image/MCY/1554818 ")</f>
        <v xml:space="preserve">http://slimages.macys.com/is/image/MCY/1554818 </v>
      </c>
    </row>
    <row r="107" spans="1:14" x14ac:dyDescent="0.25">
      <c r="A107" s="21" t="s">
        <v>15748</v>
      </c>
      <c r="B107" s="22" t="s">
        <v>15749</v>
      </c>
      <c r="C107" s="2">
        <v>1</v>
      </c>
      <c r="D107" s="23">
        <v>20.99</v>
      </c>
      <c r="E107" s="3">
        <v>20.99</v>
      </c>
      <c r="F107" s="2" t="s">
        <v>15750</v>
      </c>
      <c r="G107" s="22" t="s">
        <v>19315</v>
      </c>
      <c r="H107" s="24" t="s">
        <v>19345</v>
      </c>
      <c r="I107" s="22" t="s">
        <v>19309</v>
      </c>
      <c r="J107" s="22" t="s">
        <v>19310</v>
      </c>
      <c r="K107" s="22" t="s">
        <v>19440</v>
      </c>
      <c r="L107" s="22"/>
      <c r="M107" s="22"/>
      <c r="N107" s="25" t="str">
        <f>HYPERLINK("http://slimages.macys.com/is/image/MCY/21477633 ")</f>
        <v xml:space="preserve">http://slimages.macys.com/is/image/MCY/21477633 </v>
      </c>
    </row>
    <row r="108" spans="1:14" x14ac:dyDescent="0.25">
      <c r="A108" s="21" t="s">
        <v>15751</v>
      </c>
      <c r="B108" s="22" t="s">
        <v>15752</v>
      </c>
      <c r="C108" s="2">
        <v>2</v>
      </c>
      <c r="D108" s="23">
        <v>20.58</v>
      </c>
      <c r="E108" s="3">
        <v>41.16</v>
      </c>
      <c r="F108" s="2" t="s">
        <v>15753</v>
      </c>
      <c r="G108" s="22" t="s">
        <v>19342</v>
      </c>
      <c r="H108" s="24" t="s">
        <v>19345</v>
      </c>
      <c r="I108" s="22" t="s">
        <v>19309</v>
      </c>
      <c r="J108" s="22" t="s">
        <v>19514</v>
      </c>
      <c r="K108" s="22" t="s">
        <v>19639</v>
      </c>
      <c r="L108" s="22"/>
      <c r="M108" s="22"/>
      <c r="N108" s="25" t="str">
        <f>HYPERLINK("http://slimages.macys.com/is/image/MCY/21645849 ")</f>
        <v xml:space="preserve">http://slimages.macys.com/is/image/MCY/21645849 </v>
      </c>
    </row>
    <row r="109" spans="1:14" ht="24.75" x14ac:dyDescent="0.25">
      <c r="A109" s="21" t="s">
        <v>15754</v>
      </c>
      <c r="B109" s="22" t="s">
        <v>15755</v>
      </c>
      <c r="C109" s="2">
        <v>1</v>
      </c>
      <c r="D109" s="23">
        <v>25.99</v>
      </c>
      <c r="E109" s="3">
        <v>25.99</v>
      </c>
      <c r="F109" s="2" t="s">
        <v>15756</v>
      </c>
      <c r="G109" s="22" t="s">
        <v>19585</v>
      </c>
      <c r="H109" s="24"/>
      <c r="I109" s="22" t="s">
        <v>19309</v>
      </c>
      <c r="J109" s="22" t="s">
        <v>19573</v>
      </c>
      <c r="K109" s="22" t="s">
        <v>19574</v>
      </c>
      <c r="L109" s="22"/>
      <c r="M109" s="22"/>
      <c r="N109" s="25" t="str">
        <f>HYPERLINK("http://slimages.macys.com/is/image/MCY/20550614 ")</f>
        <v xml:space="preserve">http://slimages.macys.com/is/image/MCY/20550614 </v>
      </c>
    </row>
    <row r="110" spans="1:14" ht="24.75" x14ac:dyDescent="0.25">
      <c r="A110" s="21" t="s">
        <v>15757</v>
      </c>
      <c r="B110" s="22" t="s">
        <v>15758</v>
      </c>
      <c r="C110" s="2">
        <v>1</v>
      </c>
      <c r="D110" s="23">
        <v>24.99</v>
      </c>
      <c r="E110" s="3">
        <v>24.99</v>
      </c>
      <c r="F110" s="2" t="s">
        <v>15759</v>
      </c>
      <c r="G110" s="22" t="s">
        <v>19342</v>
      </c>
      <c r="H110" s="24" t="s">
        <v>19416</v>
      </c>
      <c r="I110" s="22" t="s">
        <v>19309</v>
      </c>
      <c r="J110" s="22" t="s">
        <v>19385</v>
      </c>
      <c r="K110" s="22" t="s">
        <v>19729</v>
      </c>
      <c r="L110" s="22"/>
      <c r="M110" s="22"/>
      <c r="N110" s="25" t="str">
        <f>HYPERLINK("http://slimages.macys.com/is/image/MCY/21221564 ")</f>
        <v xml:space="preserve">http://slimages.macys.com/is/image/MCY/21221564 </v>
      </c>
    </row>
    <row r="111" spans="1:14" ht="24.75" x14ac:dyDescent="0.25">
      <c r="A111" s="21" t="s">
        <v>19743</v>
      </c>
      <c r="B111" s="22" t="s">
        <v>19744</v>
      </c>
      <c r="C111" s="2">
        <v>4</v>
      </c>
      <c r="D111" s="23">
        <v>24.99</v>
      </c>
      <c r="E111" s="3">
        <v>99.96</v>
      </c>
      <c r="F111" s="2" t="s">
        <v>19728</v>
      </c>
      <c r="G111" s="22" t="s">
        <v>19342</v>
      </c>
      <c r="H111" s="24" t="s">
        <v>19330</v>
      </c>
      <c r="I111" s="22" t="s">
        <v>19309</v>
      </c>
      <c r="J111" s="22" t="s">
        <v>19385</v>
      </c>
      <c r="K111" s="22" t="s">
        <v>19729</v>
      </c>
      <c r="L111" s="22"/>
      <c r="M111" s="22"/>
      <c r="N111" s="25" t="str">
        <f>HYPERLINK("http://slimages.macys.com/is/image/MCY/21773792 ")</f>
        <v xml:space="preserve">http://slimages.macys.com/is/image/MCY/21773792 </v>
      </c>
    </row>
    <row r="112" spans="1:14" ht="24.75" x14ac:dyDescent="0.25">
      <c r="A112" s="21" t="s">
        <v>15760</v>
      </c>
      <c r="B112" s="22" t="s">
        <v>15761</v>
      </c>
      <c r="C112" s="2">
        <v>1</v>
      </c>
      <c r="D112" s="23">
        <v>24.99</v>
      </c>
      <c r="E112" s="3">
        <v>24.99</v>
      </c>
      <c r="F112" s="2" t="s">
        <v>15762</v>
      </c>
      <c r="G112" s="22" t="s">
        <v>19342</v>
      </c>
      <c r="H112" s="24" t="s">
        <v>19324</v>
      </c>
      <c r="I112" s="22" t="s">
        <v>19309</v>
      </c>
      <c r="J112" s="22" t="s">
        <v>19385</v>
      </c>
      <c r="K112" s="22" t="s">
        <v>19729</v>
      </c>
      <c r="L112" s="22"/>
      <c r="M112" s="22"/>
      <c r="N112" s="25" t="str">
        <f>HYPERLINK("http://slimages.macys.com/is/image/MCY/21091518 ")</f>
        <v xml:space="preserve">http://slimages.macys.com/is/image/MCY/21091518 </v>
      </c>
    </row>
    <row r="113" spans="1:14" ht="24.75" x14ac:dyDescent="0.25">
      <c r="A113" s="21" t="s">
        <v>15763</v>
      </c>
      <c r="B113" s="22" t="s">
        <v>15764</v>
      </c>
      <c r="C113" s="2">
        <v>1</v>
      </c>
      <c r="D113" s="23">
        <v>24.99</v>
      </c>
      <c r="E113" s="3">
        <v>24.99</v>
      </c>
      <c r="F113" s="2" t="s">
        <v>15765</v>
      </c>
      <c r="G113" s="22" t="s">
        <v>19342</v>
      </c>
      <c r="H113" s="24"/>
      <c r="I113" s="22" t="s">
        <v>19309</v>
      </c>
      <c r="J113" s="22" t="s">
        <v>19385</v>
      </c>
      <c r="K113" s="22" t="s">
        <v>19729</v>
      </c>
      <c r="L113" s="22"/>
      <c r="M113" s="22"/>
      <c r="N113" s="25" t="str">
        <f>HYPERLINK("http://slimages.macys.com/is/image/MCY/21265741 ")</f>
        <v xml:space="preserve">http://slimages.macys.com/is/image/MCY/21265741 </v>
      </c>
    </row>
    <row r="114" spans="1:14" ht="24.75" x14ac:dyDescent="0.25">
      <c r="A114" s="21" t="s">
        <v>15766</v>
      </c>
      <c r="B114" s="22" t="s">
        <v>15767</v>
      </c>
      <c r="C114" s="2">
        <v>1</v>
      </c>
      <c r="D114" s="23">
        <v>24.99</v>
      </c>
      <c r="E114" s="3">
        <v>24.99</v>
      </c>
      <c r="F114" s="2" t="s">
        <v>15768</v>
      </c>
      <c r="G114" s="22" t="s">
        <v>19342</v>
      </c>
      <c r="H114" s="24" t="s">
        <v>19324</v>
      </c>
      <c r="I114" s="22" t="s">
        <v>19309</v>
      </c>
      <c r="J114" s="22" t="s">
        <v>19385</v>
      </c>
      <c r="K114" s="22" t="s">
        <v>19729</v>
      </c>
      <c r="L114" s="22"/>
      <c r="M114" s="22"/>
      <c r="N114" s="25" t="str">
        <f>HYPERLINK("http://slimages.macys.com/is/image/MCY/21506898 ")</f>
        <v xml:space="preserve">http://slimages.macys.com/is/image/MCY/21506898 </v>
      </c>
    </row>
    <row r="115" spans="1:14" ht="24.75" x14ac:dyDescent="0.25">
      <c r="A115" s="21" t="s">
        <v>15769</v>
      </c>
      <c r="B115" s="22" t="s">
        <v>15770</v>
      </c>
      <c r="C115" s="2">
        <v>1</v>
      </c>
      <c r="D115" s="23">
        <v>24.99</v>
      </c>
      <c r="E115" s="3">
        <v>24.99</v>
      </c>
      <c r="F115" s="2" t="s">
        <v>15771</v>
      </c>
      <c r="G115" s="22" t="s">
        <v>19342</v>
      </c>
      <c r="H115" s="24" t="s">
        <v>19330</v>
      </c>
      <c r="I115" s="22" t="s">
        <v>19309</v>
      </c>
      <c r="J115" s="22" t="s">
        <v>19385</v>
      </c>
      <c r="K115" s="22" t="s">
        <v>19729</v>
      </c>
      <c r="L115" s="22"/>
      <c r="M115" s="22"/>
      <c r="N115" s="25" t="str">
        <f>HYPERLINK("http://slimages.macys.com/is/image/MCY/20123054 ")</f>
        <v xml:space="preserve">http://slimages.macys.com/is/image/MCY/20123054 </v>
      </c>
    </row>
    <row r="116" spans="1:14" ht="24.75" x14ac:dyDescent="0.25">
      <c r="A116" s="21" t="s">
        <v>19741</v>
      </c>
      <c r="B116" s="22" t="s">
        <v>19742</v>
      </c>
      <c r="C116" s="2">
        <v>3</v>
      </c>
      <c r="D116" s="23">
        <v>24.99</v>
      </c>
      <c r="E116" s="3">
        <v>74.97</v>
      </c>
      <c r="F116" s="2" t="s">
        <v>19728</v>
      </c>
      <c r="G116" s="22" t="s">
        <v>19342</v>
      </c>
      <c r="H116" s="24" t="s">
        <v>19416</v>
      </c>
      <c r="I116" s="22" t="s">
        <v>19309</v>
      </c>
      <c r="J116" s="22" t="s">
        <v>19385</v>
      </c>
      <c r="K116" s="22" t="s">
        <v>19729</v>
      </c>
      <c r="L116" s="22"/>
      <c r="M116" s="22"/>
      <c r="N116" s="25" t="str">
        <f>HYPERLINK("http://slimages.macys.com/is/image/MCY/21773792 ")</f>
        <v xml:space="preserve">http://slimages.macys.com/is/image/MCY/21773792 </v>
      </c>
    </row>
    <row r="117" spans="1:14" ht="24.75" x14ac:dyDescent="0.25">
      <c r="A117" s="21" t="s">
        <v>19726</v>
      </c>
      <c r="B117" s="22" t="s">
        <v>19727</v>
      </c>
      <c r="C117" s="2">
        <v>2</v>
      </c>
      <c r="D117" s="23">
        <v>24.99</v>
      </c>
      <c r="E117" s="3">
        <v>49.98</v>
      </c>
      <c r="F117" s="2" t="s">
        <v>19728</v>
      </c>
      <c r="G117" s="22" t="s">
        <v>19342</v>
      </c>
      <c r="H117" s="24" t="s">
        <v>19324</v>
      </c>
      <c r="I117" s="22" t="s">
        <v>19309</v>
      </c>
      <c r="J117" s="22" t="s">
        <v>19385</v>
      </c>
      <c r="K117" s="22" t="s">
        <v>19729</v>
      </c>
      <c r="L117" s="22"/>
      <c r="M117" s="22"/>
      <c r="N117" s="25" t="str">
        <f>HYPERLINK("http://slimages.macys.com/is/image/MCY/21773792 ")</f>
        <v xml:space="preserve">http://slimages.macys.com/is/image/MCY/21773792 </v>
      </c>
    </row>
    <row r="118" spans="1:14" ht="24.75" x14ac:dyDescent="0.25">
      <c r="A118" s="21" t="s">
        <v>15772</v>
      </c>
      <c r="B118" s="22" t="s">
        <v>15773</v>
      </c>
      <c r="C118" s="2">
        <v>1</v>
      </c>
      <c r="D118" s="23">
        <v>24.99</v>
      </c>
      <c r="E118" s="3">
        <v>24.99</v>
      </c>
      <c r="F118" s="2" t="s">
        <v>15774</v>
      </c>
      <c r="G118" s="22" t="s">
        <v>19342</v>
      </c>
      <c r="H118" s="24" t="s">
        <v>19324</v>
      </c>
      <c r="I118" s="22" t="s">
        <v>19309</v>
      </c>
      <c r="J118" s="22" t="s">
        <v>19385</v>
      </c>
      <c r="K118" s="22" t="s">
        <v>19614</v>
      </c>
      <c r="L118" s="22"/>
      <c r="M118" s="22"/>
      <c r="N118" s="25" t="str">
        <f>HYPERLINK("http://slimages.macys.com/is/image/MCY/21483857 ")</f>
        <v xml:space="preserve">http://slimages.macys.com/is/image/MCY/21483857 </v>
      </c>
    </row>
    <row r="119" spans="1:14" ht="24.75" x14ac:dyDescent="0.25">
      <c r="A119" s="21" t="s">
        <v>15775</v>
      </c>
      <c r="B119" s="22" t="s">
        <v>15776</v>
      </c>
      <c r="C119" s="2">
        <v>1</v>
      </c>
      <c r="D119" s="23">
        <v>24.99</v>
      </c>
      <c r="E119" s="3">
        <v>24.99</v>
      </c>
      <c r="F119" s="2" t="s">
        <v>15777</v>
      </c>
      <c r="G119" s="22" t="s">
        <v>19342</v>
      </c>
      <c r="H119" s="24" t="s">
        <v>19330</v>
      </c>
      <c r="I119" s="22" t="s">
        <v>19309</v>
      </c>
      <c r="J119" s="22" t="s">
        <v>19385</v>
      </c>
      <c r="K119" s="22" t="s">
        <v>19729</v>
      </c>
      <c r="L119" s="22"/>
      <c r="M119" s="22"/>
      <c r="N119" s="25" t="str">
        <f>HYPERLINK("http://slimages.macys.com/is/image/MCY/21091520 ")</f>
        <v xml:space="preserve">http://slimages.macys.com/is/image/MCY/21091520 </v>
      </c>
    </row>
    <row r="120" spans="1:14" ht="24.75" x14ac:dyDescent="0.25">
      <c r="A120" s="21" t="s">
        <v>15778</v>
      </c>
      <c r="B120" s="22" t="s">
        <v>15779</v>
      </c>
      <c r="C120" s="2">
        <v>1</v>
      </c>
      <c r="D120" s="23">
        <v>24.99</v>
      </c>
      <c r="E120" s="3">
        <v>24.99</v>
      </c>
      <c r="F120" s="2" t="s">
        <v>15780</v>
      </c>
      <c r="G120" s="22" t="s">
        <v>19342</v>
      </c>
      <c r="H120" s="24" t="s">
        <v>19324</v>
      </c>
      <c r="I120" s="22" t="s">
        <v>19309</v>
      </c>
      <c r="J120" s="22" t="s">
        <v>19385</v>
      </c>
      <c r="K120" s="22" t="s">
        <v>19729</v>
      </c>
      <c r="L120" s="22"/>
      <c r="M120" s="22"/>
      <c r="N120" s="25" t="str">
        <f>HYPERLINK("http://slimages.macys.com/is/image/MCY/21506851 ")</f>
        <v xml:space="preserve">http://slimages.macys.com/is/image/MCY/21506851 </v>
      </c>
    </row>
    <row r="121" spans="1:14" ht="24.75" x14ac:dyDescent="0.25">
      <c r="A121" s="21" t="s">
        <v>15781</v>
      </c>
      <c r="B121" s="22" t="s">
        <v>15782</v>
      </c>
      <c r="C121" s="2">
        <v>1</v>
      </c>
      <c r="D121" s="23">
        <v>24.99</v>
      </c>
      <c r="E121" s="3">
        <v>24.99</v>
      </c>
      <c r="F121" s="2" t="s">
        <v>15783</v>
      </c>
      <c r="G121" s="22" t="s">
        <v>19342</v>
      </c>
      <c r="H121" s="24" t="s">
        <v>19324</v>
      </c>
      <c r="I121" s="22" t="s">
        <v>19309</v>
      </c>
      <c r="J121" s="22" t="s">
        <v>19491</v>
      </c>
      <c r="K121" s="22" t="s">
        <v>19554</v>
      </c>
      <c r="L121" s="22"/>
      <c r="M121" s="22"/>
      <c r="N121" s="25" t="str">
        <f>HYPERLINK("http://slimages.macys.com/is/image/MCY/21243477 ")</f>
        <v xml:space="preserve">http://slimages.macys.com/is/image/MCY/21243477 </v>
      </c>
    </row>
    <row r="122" spans="1:14" ht="24.75" x14ac:dyDescent="0.25">
      <c r="A122" s="21" t="s">
        <v>15784</v>
      </c>
      <c r="B122" s="22" t="s">
        <v>15785</v>
      </c>
      <c r="C122" s="2">
        <v>1</v>
      </c>
      <c r="D122" s="23">
        <v>24.99</v>
      </c>
      <c r="E122" s="3">
        <v>24.99</v>
      </c>
      <c r="F122" s="2" t="s">
        <v>15786</v>
      </c>
      <c r="G122" s="22" t="s">
        <v>19342</v>
      </c>
      <c r="H122" s="24" t="s">
        <v>19330</v>
      </c>
      <c r="I122" s="22" t="s">
        <v>19309</v>
      </c>
      <c r="J122" s="22" t="s">
        <v>19491</v>
      </c>
      <c r="K122" s="22" t="s">
        <v>19546</v>
      </c>
      <c r="L122" s="22"/>
      <c r="M122" s="22"/>
      <c r="N122" s="25" t="str">
        <f>HYPERLINK("http://slimages.macys.com/is/image/MCY/21241936 ")</f>
        <v xml:space="preserve">http://slimages.macys.com/is/image/MCY/21241936 </v>
      </c>
    </row>
    <row r="123" spans="1:14" ht="24.75" x14ac:dyDescent="0.25">
      <c r="A123" s="21" t="s">
        <v>15787</v>
      </c>
      <c r="B123" s="22" t="s">
        <v>15788</v>
      </c>
      <c r="C123" s="2">
        <v>1</v>
      </c>
      <c r="D123" s="23">
        <v>23.99</v>
      </c>
      <c r="E123" s="3">
        <v>23.99</v>
      </c>
      <c r="F123" s="2" t="s">
        <v>15789</v>
      </c>
      <c r="G123" s="22" t="s">
        <v>19342</v>
      </c>
      <c r="H123" s="24" t="s">
        <v>19416</v>
      </c>
      <c r="I123" s="22" t="s">
        <v>19309</v>
      </c>
      <c r="J123" s="22" t="s">
        <v>19491</v>
      </c>
      <c r="K123" s="22" t="s">
        <v>19554</v>
      </c>
      <c r="L123" s="22"/>
      <c r="M123" s="22"/>
      <c r="N123" s="25" t="str">
        <f>HYPERLINK("http://slimages.macys.com/is/image/MCY/20389893 ")</f>
        <v xml:space="preserve">http://slimages.macys.com/is/image/MCY/20389893 </v>
      </c>
    </row>
    <row r="124" spans="1:14" ht="24.75" x14ac:dyDescent="0.25">
      <c r="A124" s="21" t="s">
        <v>15790</v>
      </c>
      <c r="B124" s="22" t="s">
        <v>15791</v>
      </c>
      <c r="C124" s="2">
        <v>1</v>
      </c>
      <c r="D124" s="23">
        <v>17.989999999999998</v>
      </c>
      <c r="E124" s="3">
        <v>17.989999999999998</v>
      </c>
      <c r="F124" s="2" t="s">
        <v>15792</v>
      </c>
      <c r="G124" s="22" t="s">
        <v>19431</v>
      </c>
      <c r="H124" s="24" t="s">
        <v>15738</v>
      </c>
      <c r="I124" s="22" t="s">
        <v>19309</v>
      </c>
      <c r="J124" s="22" t="s">
        <v>19565</v>
      </c>
      <c r="K124" s="22" t="s">
        <v>15793</v>
      </c>
      <c r="L124" s="22"/>
      <c r="M124" s="22"/>
      <c r="N124" s="25" t="str">
        <f>HYPERLINK("http://slimages.macys.com/is/image/MCY/18947356 ")</f>
        <v xml:space="preserve">http://slimages.macys.com/is/image/MCY/18947356 </v>
      </c>
    </row>
    <row r="125" spans="1:14" ht="24.75" x14ac:dyDescent="0.25">
      <c r="A125" s="21" t="s">
        <v>15794</v>
      </c>
      <c r="B125" s="22" t="s">
        <v>15795</v>
      </c>
      <c r="C125" s="2">
        <v>1</v>
      </c>
      <c r="D125" s="23">
        <v>24.99</v>
      </c>
      <c r="E125" s="3">
        <v>24.99</v>
      </c>
      <c r="F125" s="2" t="s">
        <v>15796</v>
      </c>
      <c r="G125" s="22" t="s">
        <v>19594</v>
      </c>
      <c r="H125" s="24" t="s">
        <v>19416</v>
      </c>
      <c r="I125" s="22" t="s">
        <v>19309</v>
      </c>
      <c r="J125" s="22" t="s">
        <v>19385</v>
      </c>
      <c r="K125" s="22" t="s">
        <v>19386</v>
      </c>
      <c r="L125" s="22"/>
      <c r="M125" s="22"/>
      <c r="N125" s="25" t="str">
        <f>HYPERLINK("http://slimages.macys.com/is/image/MCY/21820646 ")</f>
        <v xml:space="preserve">http://slimages.macys.com/is/image/MCY/21820646 </v>
      </c>
    </row>
    <row r="126" spans="1:14" ht="24.75" x14ac:dyDescent="0.25">
      <c r="A126" s="21" t="s">
        <v>15797</v>
      </c>
      <c r="B126" s="22" t="s">
        <v>15798</v>
      </c>
      <c r="C126" s="2">
        <v>1</v>
      </c>
      <c r="D126" s="23">
        <v>17.989999999999998</v>
      </c>
      <c r="E126" s="3">
        <v>17.989999999999998</v>
      </c>
      <c r="F126" s="2" t="s">
        <v>15792</v>
      </c>
      <c r="G126" s="22" t="s">
        <v>19431</v>
      </c>
      <c r="H126" s="24" t="s">
        <v>19316</v>
      </c>
      <c r="I126" s="22" t="s">
        <v>19309</v>
      </c>
      <c r="J126" s="22" t="s">
        <v>19565</v>
      </c>
      <c r="K126" s="22" t="s">
        <v>15793</v>
      </c>
      <c r="L126" s="22"/>
      <c r="M126" s="22"/>
      <c r="N126" s="25" t="str">
        <f>HYPERLINK("http://slimages.macys.com/is/image/MCY/18947356 ")</f>
        <v xml:space="preserve">http://slimages.macys.com/is/image/MCY/18947356 </v>
      </c>
    </row>
    <row r="127" spans="1:14" ht="24.75" x14ac:dyDescent="0.25">
      <c r="A127" s="21" t="s">
        <v>15799</v>
      </c>
      <c r="B127" s="22" t="s">
        <v>15800</v>
      </c>
      <c r="C127" s="2">
        <v>1</v>
      </c>
      <c r="D127" s="23">
        <v>17.989999999999998</v>
      </c>
      <c r="E127" s="3">
        <v>17.989999999999998</v>
      </c>
      <c r="F127" s="2" t="s">
        <v>15792</v>
      </c>
      <c r="G127" s="22" t="s">
        <v>19431</v>
      </c>
      <c r="H127" s="24" t="s">
        <v>19399</v>
      </c>
      <c r="I127" s="22" t="s">
        <v>19309</v>
      </c>
      <c r="J127" s="22" t="s">
        <v>19565</v>
      </c>
      <c r="K127" s="22" t="s">
        <v>15793</v>
      </c>
      <c r="L127" s="22"/>
      <c r="M127" s="22"/>
      <c r="N127" s="25" t="str">
        <f>HYPERLINK("http://slimages.macys.com/is/image/MCY/18947356 ")</f>
        <v xml:space="preserve">http://slimages.macys.com/is/image/MCY/18947356 </v>
      </c>
    </row>
    <row r="128" spans="1:14" ht="24.75" x14ac:dyDescent="0.25">
      <c r="A128" s="21" t="s">
        <v>15801</v>
      </c>
      <c r="B128" s="22" t="s">
        <v>15802</v>
      </c>
      <c r="C128" s="2">
        <v>1</v>
      </c>
      <c r="D128" s="23">
        <v>17.989999999999998</v>
      </c>
      <c r="E128" s="3">
        <v>17.989999999999998</v>
      </c>
      <c r="F128" s="2" t="s">
        <v>15792</v>
      </c>
      <c r="G128" s="22" t="s">
        <v>19431</v>
      </c>
      <c r="H128" s="24" t="s">
        <v>15803</v>
      </c>
      <c r="I128" s="22" t="s">
        <v>19309</v>
      </c>
      <c r="J128" s="22" t="s">
        <v>19565</v>
      </c>
      <c r="K128" s="22" t="s">
        <v>15793</v>
      </c>
      <c r="L128" s="22"/>
      <c r="M128" s="22"/>
      <c r="N128" s="25" t="str">
        <f>HYPERLINK("http://slimages.macys.com/is/image/MCY/18947356 ")</f>
        <v xml:space="preserve">http://slimages.macys.com/is/image/MCY/18947356 </v>
      </c>
    </row>
    <row r="129" spans="1:14" x14ac:dyDescent="0.25">
      <c r="A129" s="21" t="s">
        <v>15804</v>
      </c>
      <c r="B129" s="22" t="s">
        <v>15805</v>
      </c>
      <c r="C129" s="2">
        <v>1</v>
      </c>
      <c r="D129" s="23">
        <v>16.989999999999998</v>
      </c>
      <c r="E129" s="3">
        <v>16.989999999999998</v>
      </c>
      <c r="F129" s="2" t="s">
        <v>15806</v>
      </c>
      <c r="G129" s="22" t="s">
        <v>19794</v>
      </c>
      <c r="H129" s="24" t="s">
        <v>19308</v>
      </c>
      <c r="I129" s="22" t="s">
        <v>19309</v>
      </c>
      <c r="J129" s="22" t="s">
        <v>19310</v>
      </c>
      <c r="K129" s="22" t="s">
        <v>19873</v>
      </c>
      <c r="L129" s="22"/>
      <c r="M129" s="22"/>
      <c r="N129" s="25" t="str">
        <f>HYPERLINK("http://slimages.macys.com/is/image/MCY/20060965 ")</f>
        <v xml:space="preserve">http://slimages.macys.com/is/image/MCY/20060965 </v>
      </c>
    </row>
    <row r="130" spans="1:14" x14ac:dyDescent="0.25">
      <c r="A130" s="21" t="s">
        <v>15807</v>
      </c>
      <c r="B130" s="22" t="s">
        <v>15808</v>
      </c>
      <c r="C130" s="2">
        <v>1</v>
      </c>
      <c r="D130" s="23">
        <v>16.989999999999998</v>
      </c>
      <c r="E130" s="3">
        <v>16.989999999999998</v>
      </c>
      <c r="F130" s="2" t="s">
        <v>15809</v>
      </c>
      <c r="G130" s="22" t="s">
        <v>19351</v>
      </c>
      <c r="H130" s="24" t="s">
        <v>19352</v>
      </c>
      <c r="I130" s="22" t="s">
        <v>19309</v>
      </c>
      <c r="J130" s="22" t="s">
        <v>19310</v>
      </c>
      <c r="K130" s="22" t="s">
        <v>19873</v>
      </c>
      <c r="L130" s="22"/>
      <c r="M130" s="22"/>
      <c r="N130" s="25" t="str">
        <f>HYPERLINK("http://slimages.macys.com/is/image/MCY/19513585 ")</f>
        <v xml:space="preserve">http://slimages.macys.com/is/image/MCY/19513585 </v>
      </c>
    </row>
    <row r="131" spans="1:14" ht="24.75" x14ac:dyDescent="0.25">
      <c r="A131" s="21" t="s">
        <v>15810</v>
      </c>
      <c r="B131" s="22" t="s">
        <v>15811</v>
      </c>
      <c r="C131" s="2">
        <v>1</v>
      </c>
      <c r="D131" s="23">
        <v>20.99</v>
      </c>
      <c r="E131" s="3">
        <v>20.99</v>
      </c>
      <c r="F131" s="2" t="s">
        <v>15812</v>
      </c>
      <c r="G131" s="22" t="s">
        <v>20306</v>
      </c>
      <c r="H131" s="24" t="s">
        <v>19367</v>
      </c>
      <c r="I131" s="22" t="s">
        <v>19309</v>
      </c>
      <c r="J131" s="22" t="s">
        <v>19385</v>
      </c>
      <c r="K131" s="22" t="s">
        <v>19463</v>
      </c>
      <c r="L131" s="22"/>
      <c r="M131" s="22"/>
      <c r="N131" s="25" t="str">
        <f>HYPERLINK("http://slimages.macys.com/is/image/MCY/21636882 ")</f>
        <v xml:space="preserve">http://slimages.macys.com/is/image/MCY/21636882 </v>
      </c>
    </row>
    <row r="132" spans="1:14" ht="24.75" x14ac:dyDescent="0.25">
      <c r="A132" s="21" t="s">
        <v>15813</v>
      </c>
      <c r="B132" s="22" t="s">
        <v>15814</v>
      </c>
      <c r="C132" s="2">
        <v>1</v>
      </c>
      <c r="D132" s="23">
        <v>21.43</v>
      </c>
      <c r="E132" s="3">
        <v>21.43</v>
      </c>
      <c r="F132" s="2" t="s">
        <v>19747</v>
      </c>
      <c r="G132" s="22"/>
      <c r="H132" s="24"/>
      <c r="I132" s="22" t="s">
        <v>19309</v>
      </c>
      <c r="J132" s="22" t="s">
        <v>19602</v>
      </c>
      <c r="K132" s="22" t="s">
        <v>19603</v>
      </c>
      <c r="L132" s="22"/>
      <c r="M132" s="22"/>
      <c r="N132" s="25" t="str">
        <f>HYPERLINK("http://slimages.macys.com/is/image/MCY/21421380 ")</f>
        <v xml:space="preserve">http://slimages.macys.com/is/image/MCY/21421380 </v>
      </c>
    </row>
    <row r="133" spans="1:14" x14ac:dyDescent="0.25">
      <c r="A133" s="21" t="s">
        <v>19751</v>
      </c>
      <c r="B133" s="22" t="s">
        <v>19752</v>
      </c>
      <c r="C133" s="2">
        <v>4</v>
      </c>
      <c r="D133" s="23">
        <v>26.05</v>
      </c>
      <c r="E133" s="3">
        <v>104.2</v>
      </c>
      <c r="F133" s="2" t="s">
        <v>19753</v>
      </c>
      <c r="G133" s="22"/>
      <c r="H133" s="24" t="s">
        <v>19324</v>
      </c>
      <c r="I133" s="22" t="s">
        <v>19309</v>
      </c>
      <c r="J133" s="22" t="s">
        <v>19708</v>
      </c>
      <c r="K133" s="22" t="s">
        <v>19754</v>
      </c>
      <c r="L133" s="22"/>
      <c r="M133" s="22"/>
      <c r="N133" s="25" t="str">
        <f>HYPERLINK("http://slimages.macys.com/is/image/MCY/21758335 ")</f>
        <v xml:space="preserve">http://slimages.macys.com/is/image/MCY/21758335 </v>
      </c>
    </row>
    <row r="134" spans="1:14" ht="24.75" x14ac:dyDescent="0.25">
      <c r="A134" s="21" t="s">
        <v>15815</v>
      </c>
      <c r="B134" s="22" t="s">
        <v>15816</v>
      </c>
      <c r="C134" s="2">
        <v>1</v>
      </c>
      <c r="D134" s="23">
        <v>21.43</v>
      </c>
      <c r="E134" s="3">
        <v>21.43</v>
      </c>
      <c r="F134" s="2" t="s">
        <v>15817</v>
      </c>
      <c r="G134" s="22"/>
      <c r="H134" s="24" t="s">
        <v>19392</v>
      </c>
      <c r="I134" s="22" t="s">
        <v>19309</v>
      </c>
      <c r="J134" s="22" t="s">
        <v>19602</v>
      </c>
      <c r="K134" s="22" t="s">
        <v>19603</v>
      </c>
      <c r="L134" s="22"/>
      <c r="M134" s="22"/>
      <c r="N134" s="25" t="str">
        <f>HYPERLINK("http://slimages.macys.com/is/image/MCY/21167883 ")</f>
        <v xml:space="preserve">http://slimages.macys.com/is/image/MCY/21167883 </v>
      </c>
    </row>
    <row r="135" spans="1:14" x14ac:dyDescent="0.25">
      <c r="A135" s="21" t="s">
        <v>15818</v>
      </c>
      <c r="B135" s="22" t="s">
        <v>15819</v>
      </c>
      <c r="C135" s="2">
        <v>1</v>
      </c>
      <c r="D135" s="23">
        <v>26.05</v>
      </c>
      <c r="E135" s="3">
        <v>26.05</v>
      </c>
      <c r="F135" s="2" t="s">
        <v>15820</v>
      </c>
      <c r="G135" s="22"/>
      <c r="H135" s="24" t="s">
        <v>19324</v>
      </c>
      <c r="I135" s="22" t="s">
        <v>19309</v>
      </c>
      <c r="J135" s="22" t="s">
        <v>19708</v>
      </c>
      <c r="K135" s="22" t="s">
        <v>19754</v>
      </c>
      <c r="L135" s="22"/>
      <c r="M135" s="22"/>
      <c r="N135" s="25" t="str">
        <f>HYPERLINK("http://slimages.macys.com/is/image/MCY/21422917 ")</f>
        <v xml:space="preserve">http://slimages.macys.com/is/image/MCY/21422917 </v>
      </c>
    </row>
    <row r="136" spans="1:14" x14ac:dyDescent="0.25">
      <c r="A136" s="21" t="s">
        <v>17839</v>
      </c>
      <c r="B136" s="22" t="s">
        <v>17840</v>
      </c>
      <c r="C136" s="2">
        <v>3</v>
      </c>
      <c r="D136" s="23">
        <v>26.05</v>
      </c>
      <c r="E136" s="3">
        <v>78.150000000000006</v>
      </c>
      <c r="F136" s="2" t="s">
        <v>19753</v>
      </c>
      <c r="G136" s="22"/>
      <c r="H136" s="24" t="s">
        <v>19330</v>
      </c>
      <c r="I136" s="22" t="s">
        <v>19309</v>
      </c>
      <c r="J136" s="22" t="s">
        <v>19708</v>
      </c>
      <c r="K136" s="22" t="s">
        <v>19754</v>
      </c>
      <c r="L136" s="22"/>
      <c r="M136" s="22"/>
      <c r="N136" s="25" t="str">
        <f>HYPERLINK("http://slimages.macys.com/is/image/MCY/21758335 ")</f>
        <v xml:space="preserve">http://slimages.macys.com/is/image/MCY/21758335 </v>
      </c>
    </row>
    <row r="137" spans="1:14" x14ac:dyDescent="0.25">
      <c r="A137" s="21" t="s">
        <v>15821</v>
      </c>
      <c r="B137" s="22" t="s">
        <v>15822</v>
      </c>
      <c r="C137" s="2">
        <v>2</v>
      </c>
      <c r="D137" s="23">
        <v>26.05</v>
      </c>
      <c r="E137" s="3">
        <v>52.1</v>
      </c>
      <c r="F137" s="2" t="s">
        <v>19753</v>
      </c>
      <c r="G137" s="22"/>
      <c r="H137" s="24" t="s">
        <v>19416</v>
      </c>
      <c r="I137" s="22" t="s">
        <v>19309</v>
      </c>
      <c r="J137" s="22" t="s">
        <v>19708</v>
      </c>
      <c r="K137" s="22" t="s">
        <v>19754</v>
      </c>
      <c r="L137" s="22"/>
      <c r="M137" s="22"/>
      <c r="N137" s="25" t="str">
        <f>HYPERLINK("http://slimages.macys.com/is/image/MCY/21758335 ")</f>
        <v xml:space="preserve">http://slimages.macys.com/is/image/MCY/21758335 </v>
      </c>
    </row>
    <row r="138" spans="1:14" x14ac:dyDescent="0.25">
      <c r="A138" s="21" t="s">
        <v>15823</v>
      </c>
      <c r="B138" s="22" t="s">
        <v>15824</v>
      </c>
      <c r="C138" s="2">
        <v>1</v>
      </c>
      <c r="D138" s="23">
        <v>24.99</v>
      </c>
      <c r="E138" s="3">
        <v>24.99</v>
      </c>
      <c r="F138" s="2" t="s">
        <v>15825</v>
      </c>
      <c r="G138" s="22" t="s">
        <v>19422</v>
      </c>
      <c r="H138" s="24" t="s">
        <v>19797</v>
      </c>
      <c r="I138" s="22" t="s">
        <v>19309</v>
      </c>
      <c r="J138" s="22" t="s">
        <v>19849</v>
      </c>
      <c r="K138" s="22" t="s">
        <v>19850</v>
      </c>
      <c r="L138" s="22"/>
      <c r="M138" s="22"/>
      <c r="N138" s="25" t="str">
        <f>HYPERLINK("http://slimages.macys.com/is/image/MCY/18926727 ")</f>
        <v xml:space="preserve">http://slimages.macys.com/is/image/MCY/18926727 </v>
      </c>
    </row>
    <row r="139" spans="1:14" x14ac:dyDescent="0.25">
      <c r="A139" s="21" t="s">
        <v>15826</v>
      </c>
      <c r="B139" s="22" t="s">
        <v>15827</v>
      </c>
      <c r="C139" s="2">
        <v>1</v>
      </c>
      <c r="D139" s="23">
        <v>20</v>
      </c>
      <c r="E139" s="3">
        <v>20</v>
      </c>
      <c r="F139" s="2">
        <v>1363284</v>
      </c>
      <c r="G139" s="22" t="s">
        <v>19618</v>
      </c>
      <c r="H139" s="24" t="s">
        <v>19339</v>
      </c>
      <c r="I139" s="22" t="s">
        <v>19309</v>
      </c>
      <c r="J139" s="22" t="s">
        <v>19310</v>
      </c>
      <c r="K139" s="22" t="s">
        <v>17686</v>
      </c>
      <c r="L139" s="22"/>
      <c r="M139" s="22"/>
      <c r="N139" s="25" t="str">
        <f>HYPERLINK("http://slimages.macys.com/is/image/MCY/18573983 ")</f>
        <v xml:space="preserve">http://slimages.macys.com/is/image/MCY/18573983 </v>
      </c>
    </row>
    <row r="140" spans="1:14" ht="24.75" x14ac:dyDescent="0.25">
      <c r="A140" s="21" t="s">
        <v>15828</v>
      </c>
      <c r="B140" s="22" t="s">
        <v>15829</v>
      </c>
      <c r="C140" s="2">
        <v>1</v>
      </c>
      <c r="D140" s="23">
        <v>21.99</v>
      </c>
      <c r="E140" s="3">
        <v>21.99</v>
      </c>
      <c r="F140" s="2" t="s">
        <v>19809</v>
      </c>
      <c r="G140" s="22" t="s">
        <v>19810</v>
      </c>
      <c r="H140" s="24" t="s">
        <v>19395</v>
      </c>
      <c r="I140" s="22" t="s">
        <v>19309</v>
      </c>
      <c r="J140" s="22" t="s">
        <v>19595</v>
      </c>
      <c r="K140" s="22" t="s">
        <v>19596</v>
      </c>
      <c r="L140" s="22"/>
      <c r="M140" s="22"/>
      <c r="N140" s="25" t="str">
        <f>HYPERLINK("http://slimages.macys.com/is/image/MCY/21623064 ")</f>
        <v xml:space="preserve">http://slimages.macys.com/is/image/MCY/21623064 </v>
      </c>
    </row>
    <row r="141" spans="1:14" x14ac:dyDescent="0.25">
      <c r="A141" s="21" t="s">
        <v>15830</v>
      </c>
      <c r="B141" s="22" t="s">
        <v>15831</v>
      </c>
      <c r="C141" s="2">
        <v>1</v>
      </c>
      <c r="D141" s="23">
        <v>18.989999999999998</v>
      </c>
      <c r="E141" s="3">
        <v>18.989999999999998</v>
      </c>
      <c r="F141" s="2" t="s">
        <v>15832</v>
      </c>
      <c r="G141" s="22" t="s">
        <v>19307</v>
      </c>
      <c r="H141" s="24" t="s">
        <v>19364</v>
      </c>
      <c r="I141" s="22" t="s">
        <v>19309</v>
      </c>
      <c r="J141" s="22" t="s">
        <v>19310</v>
      </c>
      <c r="K141" s="22" t="s">
        <v>19631</v>
      </c>
      <c r="L141" s="22" t="s">
        <v>15833</v>
      </c>
      <c r="M141" s="22" t="s">
        <v>19320</v>
      </c>
      <c r="N141" s="25" t="str">
        <f>HYPERLINK("http://images.bloomingdales.com/is/image/BLM/11248528 ")</f>
        <v xml:space="preserve">http://images.bloomingdales.com/is/image/BLM/11248528 </v>
      </c>
    </row>
    <row r="142" spans="1:14" ht="24.75" x14ac:dyDescent="0.25">
      <c r="A142" s="21" t="s">
        <v>15834</v>
      </c>
      <c r="B142" s="22" t="s">
        <v>15835</v>
      </c>
      <c r="C142" s="2">
        <v>1</v>
      </c>
      <c r="D142" s="23">
        <v>21.99</v>
      </c>
      <c r="E142" s="3">
        <v>21.99</v>
      </c>
      <c r="F142" s="2" t="s">
        <v>19800</v>
      </c>
      <c r="G142" s="22" t="s">
        <v>19801</v>
      </c>
      <c r="H142" s="24" t="s">
        <v>19377</v>
      </c>
      <c r="I142" s="22" t="s">
        <v>19309</v>
      </c>
      <c r="J142" s="22" t="s">
        <v>19595</v>
      </c>
      <c r="K142" s="22" t="s">
        <v>19596</v>
      </c>
      <c r="L142" s="22"/>
      <c r="M142" s="22"/>
      <c r="N142" s="25" t="str">
        <f>HYPERLINK("http://slimages.macys.com/is/image/MCY/21623034 ")</f>
        <v xml:space="preserve">http://slimages.macys.com/is/image/MCY/21623034 </v>
      </c>
    </row>
    <row r="143" spans="1:14" ht="24.75" x14ac:dyDescent="0.25">
      <c r="A143" s="21" t="s">
        <v>15836</v>
      </c>
      <c r="B143" s="22" t="s">
        <v>15837</v>
      </c>
      <c r="C143" s="2">
        <v>1</v>
      </c>
      <c r="D143" s="23">
        <v>21.99</v>
      </c>
      <c r="E143" s="3">
        <v>21.99</v>
      </c>
      <c r="F143" s="2" t="s">
        <v>19804</v>
      </c>
      <c r="G143" s="22" t="s">
        <v>19351</v>
      </c>
      <c r="H143" s="24" t="s">
        <v>19542</v>
      </c>
      <c r="I143" s="22" t="s">
        <v>19309</v>
      </c>
      <c r="J143" s="22" t="s">
        <v>19595</v>
      </c>
      <c r="K143" s="22" t="s">
        <v>19596</v>
      </c>
      <c r="L143" s="22"/>
      <c r="M143" s="22"/>
      <c r="N143" s="25" t="str">
        <f>HYPERLINK("http://slimages.macys.com/is/image/MCY/21623048 ")</f>
        <v xml:space="preserve">http://slimages.macys.com/is/image/MCY/21623048 </v>
      </c>
    </row>
    <row r="144" spans="1:14" ht="24.75" x14ac:dyDescent="0.25">
      <c r="A144" s="21" t="s">
        <v>15838</v>
      </c>
      <c r="B144" s="22" t="s">
        <v>15839</v>
      </c>
      <c r="C144" s="2">
        <v>1</v>
      </c>
      <c r="D144" s="23">
        <v>19.989999999999998</v>
      </c>
      <c r="E144" s="3">
        <v>19.989999999999998</v>
      </c>
      <c r="F144" s="2" t="s">
        <v>15840</v>
      </c>
      <c r="G144" s="22" t="s">
        <v>19594</v>
      </c>
      <c r="H144" s="24" t="s">
        <v>19316</v>
      </c>
      <c r="I144" s="22" t="s">
        <v>19309</v>
      </c>
      <c r="J144" s="22" t="s">
        <v>19353</v>
      </c>
      <c r="K144" s="22" t="s">
        <v>19524</v>
      </c>
      <c r="L144" s="22"/>
      <c r="M144" s="22"/>
      <c r="N144" s="25" t="str">
        <f>HYPERLINK("http://slimages.macys.com/is/image/MCY/21694578 ")</f>
        <v xml:space="preserve">http://slimages.macys.com/is/image/MCY/21694578 </v>
      </c>
    </row>
    <row r="145" spans="1:14" x14ac:dyDescent="0.25">
      <c r="A145" s="21" t="s">
        <v>15841</v>
      </c>
      <c r="B145" s="22" t="s">
        <v>15842</v>
      </c>
      <c r="C145" s="2">
        <v>1</v>
      </c>
      <c r="D145" s="23">
        <v>19.329999999999998</v>
      </c>
      <c r="E145" s="3">
        <v>19.329999999999998</v>
      </c>
      <c r="F145" s="2" t="s">
        <v>15843</v>
      </c>
      <c r="G145" s="22" t="s">
        <v>19342</v>
      </c>
      <c r="H145" s="24" t="s">
        <v>19334</v>
      </c>
      <c r="I145" s="22" t="s">
        <v>19309</v>
      </c>
      <c r="J145" s="22" t="s">
        <v>19514</v>
      </c>
      <c r="K145" s="22" t="s">
        <v>17948</v>
      </c>
      <c r="L145" s="22"/>
      <c r="M145" s="22"/>
      <c r="N145" s="25" t="str">
        <f>HYPERLINK("http://slimages.macys.com/is/image/MCY/20434262 ")</f>
        <v xml:space="preserve">http://slimages.macys.com/is/image/MCY/20434262 </v>
      </c>
    </row>
    <row r="146" spans="1:14" x14ac:dyDescent="0.25">
      <c r="A146" s="21" t="s">
        <v>15844</v>
      </c>
      <c r="B146" s="22" t="s">
        <v>15845</v>
      </c>
      <c r="C146" s="2">
        <v>1</v>
      </c>
      <c r="D146" s="23">
        <v>19.329999999999998</v>
      </c>
      <c r="E146" s="3">
        <v>19.329999999999998</v>
      </c>
      <c r="F146" s="2" t="s">
        <v>15846</v>
      </c>
      <c r="G146" s="22" t="s">
        <v>19342</v>
      </c>
      <c r="H146" s="24" t="s">
        <v>19361</v>
      </c>
      <c r="I146" s="22" t="s">
        <v>19309</v>
      </c>
      <c r="J146" s="22" t="s">
        <v>19514</v>
      </c>
      <c r="K146" s="22" t="s">
        <v>17948</v>
      </c>
      <c r="L146" s="22"/>
      <c r="M146" s="22"/>
      <c r="N146" s="25" t="str">
        <f>HYPERLINK("http://slimages.macys.com/is/image/MCY/20249785 ")</f>
        <v xml:space="preserve">http://slimages.macys.com/is/image/MCY/20249785 </v>
      </c>
    </row>
    <row r="147" spans="1:14" ht="24.75" x14ac:dyDescent="0.25">
      <c r="A147" s="21" t="s">
        <v>15847</v>
      </c>
      <c r="B147" s="22" t="s">
        <v>15848</v>
      </c>
      <c r="C147" s="2">
        <v>1</v>
      </c>
      <c r="D147" s="23">
        <v>18.989999999999998</v>
      </c>
      <c r="E147" s="3">
        <v>18.989999999999998</v>
      </c>
      <c r="F147" s="2" t="s">
        <v>19813</v>
      </c>
      <c r="G147" s="22" t="s">
        <v>19814</v>
      </c>
      <c r="H147" s="24" t="s">
        <v>19364</v>
      </c>
      <c r="I147" s="22" t="s">
        <v>19309</v>
      </c>
      <c r="J147" s="22" t="s">
        <v>19815</v>
      </c>
      <c r="K147" s="22" t="s">
        <v>19816</v>
      </c>
      <c r="L147" s="22"/>
      <c r="M147" s="22"/>
      <c r="N147" s="25" t="str">
        <f>HYPERLINK("http://slimages.macys.com/is/image/MCY/20549863 ")</f>
        <v xml:space="preserve">http://slimages.macys.com/is/image/MCY/20549863 </v>
      </c>
    </row>
    <row r="148" spans="1:14" ht="24.75" x14ac:dyDescent="0.25">
      <c r="A148" s="21" t="s">
        <v>15849</v>
      </c>
      <c r="B148" s="22" t="s">
        <v>15850</v>
      </c>
      <c r="C148" s="2">
        <v>1</v>
      </c>
      <c r="D148" s="23">
        <v>21.99</v>
      </c>
      <c r="E148" s="3">
        <v>21.99</v>
      </c>
      <c r="F148" s="2" t="s">
        <v>15851</v>
      </c>
      <c r="G148" s="22" t="s">
        <v>19357</v>
      </c>
      <c r="H148" s="24" t="s">
        <v>19334</v>
      </c>
      <c r="I148" s="22" t="s">
        <v>19309</v>
      </c>
      <c r="J148" s="22" t="s">
        <v>19595</v>
      </c>
      <c r="K148" s="22" t="s">
        <v>19596</v>
      </c>
      <c r="L148" s="22"/>
      <c r="M148" s="22"/>
      <c r="N148" s="25" t="str">
        <f>HYPERLINK("http://slimages.macys.com/is/image/MCY/21909786 ")</f>
        <v xml:space="preserve">http://slimages.macys.com/is/image/MCY/21909786 </v>
      </c>
    </row>
    <row r="149" spans="1:14" ht="24.75" x14ac:dyDescent="0.25">
      <c r="A149" s="21" t="s">
        <v>15852</v>
      </c>
      <c r="B149" s="22" t="s">
        <v>15853</v>
      </c>
      <c r="C149" s="2">
        <v>1</v>
      </c>
      <c r="D149" s="23">
        <v>21.99</v>
      </c>
      <c r="E149" s="3">
        <v>21.99</v>
      </c>
      <c r="F149" s="2" t="s">
        <v>15851</v>
      </c>
      <c r="G149" s="22" t="s">
        <v>19357</v>
      </c>
      <c r="H149" s="24" t="s">
        <v>19542</v>
      </c>
      <c r="I149" s="22" t="s">
        <v>19309</v>
      </c>
      <c r="J149" s="22" t="s">
        <v>19595</v>
      </c>
      <c r="K149" s="22" t="s">
        <v>19596</v>
      </c>
      <c r="L149" s="22"/>
      <c r="M149" s="22"/>
      <c r="N149" s="25" t="str">
        <f>HYPERLINK("http://slimages.macys.com/is/image/MCY/21909784 ")</f>
        <v xml:space="preserve">http://slimages.macys.com/is/image/MCY/21909784 </v>
      </c>
    </row>
    <row r="150" spans="1:14" ht="24.75" x14ac:dyDescent="0.25">
      <c r="A150" s="21" t="s">
        <v>15854</v>
      </c>
      <c r="B150" s="22" t="s">
        <v>15855</v>
      </c>
      <c r="C150" s="2">
        <v>1</v>
      </c>
      <c r="D150" s="23">
        <v>24.99</v>
      </c>
      <c r="E150" s="3">
        <v>24.99</v>
      </c>
      <c r="F150" s="2" t="s">
        <v>15856</v>
      </c>
      <c r="G150" s="22"/>
      <c r="H150" s="24" t="s">
        <v>19399</v>
      </c>
      <c r="I150" s="22" t="s">
        <v>19309</v>
      </c>
      <c r="J150" s="22" t="s">
        <v>19519</v>
      </c>
      <c r="K150" s="22" t="s">
        <v>19834</v>
      </c>
      <c r="L150" s="22"/>
      <c r="M150" s="22"/>
      <c r="N150" s="25" t="str">
        <f>HYPERLINK("http://slimages.macys.com/is/image/MCY/21352780 ")</f>
        <v xml:space="preserve">http://slimages.macys.com/is/image/MCY/21352780 </v>
      </c>
    </row>
    <row r="151" spans="1:14" x14ac:dyDescent="0.25">
      <c r="A151" s="21" t="s">
        <v>15857</v>
      </c>
      <c r="B151" s="22" t="s">
        <v>15858</v>
      </c>
      <c r="C151" s="2">
        <v>1</v>
      </c>
      <c r="D151" s="23">
        <v>16.989999999999998</v>
      </c>
      <c r="E151" s="3">
        <v>16.989999999999998</v>
      </c>
      <c r="F151" s="2" t="s">
        <v>19848</v>
      </c>
      <c r="G151" s="22" t="s">
        <v>19351</v>
      </c>
      <c r="H151" s="24" t="s">
        <v>19377</v>
      </c>
      <c r="I151" s="22" t="s">
        <v>19309</v>
      </c>
      <c r="J151" s="22" t="s">
        <v>19849</v>
      </c>
      <c r="K151" s="22" t="s">
        <v>19850</v>
      </c>
      <c r="L151" s="22"/>
      <c r="M151" s="22"/>
      <c r="N151" s="25" t="str">
        <f>HYPERLINK("http://slimages.macys.com/is/image/MCY/1504991 ")</f>
        <v xml:space="preserve">http://slimages.macys.com/is/image/MCY/1504991 </v>
      </c>
    </row>
    <row r="152" spans="1:14" ht="24.75" x14ac:dyDescent="0.25">
      <c r="A152" s="21" t="s">
        <v>15859</v>
      </c>
      <c r="B152" s="22" t="s">
        <v>15860</v>
      </c>
      <c r="C152" s="2">
        <v>1</v>
      </c>
      <c r="D152" s="23">
        <v>28</v>
      </c>
      <c r="E152" s="3">
        <v>28</v>
      </c>
      <c r="F152" s="2" t="s">
        <v>15861</v>
      </c>
      <c r="G152" s="22" t="s">
        <v>19763</v>
      </c>
      <c r="H152" s="24" t="s">
        <v>19432</v>
      </c>
      <c r="I152" s="22" t="s">
        <v>19309</v>
      </c>
      <c r="J152" s="22" t="s">
        <v>19310</v>
      </c>
      <c r="K152" s="22" t="s">
        <v>15570</v>
      </c>
      <c r="L152" s="22"/>
      <c r="M152" s="22"/>
      <c r="N152" s="25" t="str">
        <f>HYPERLINK("http://slimages.macys.com/is/image/MCY/19684907 ")</f>
        <v xml:space="preserve">http://slimages.macys.com/is/image/MCY/19684907 </v>
      </c>
    </row>
    <row r="153" spans="1:14" ht="24.75" x14ac:dyDescent="0.25">
      <c r="A153" s="21" t="s">
        <v>15862</v>
      </c>
      <c r="B153" s="22" t="s">
        <v>15863</v>
      </c>
      <c r="C153" s="2">
        <v>1</v>
      </c>
      <c r="D153" s="23">
        <v>28</v>
      </c>
      <c r="E153" s="3">
        <v>28</v>
      </c>
      <c r="F153" s="2" t="s">
        <v>15864</v>
      </c>
      <c r="G153" s="22" t="s">
        <v>19315</v>
      </c>
      <c r="H153" s="24" t="s">
        <v>19334</v>
      </c>
      <c r="I153" s="22" t="s">
        <v>19309</v>
      </c>
      <c r="J153" s="22" t="s">
        <v>19310</v>
      </c>
      <c r="K153" s="22" t="s">
        <v>15570</v>
      </c>
      <c r="L153" s="22"/>
      <c r="M153" s="22"/>
      <c r="N153" s="25" t="str">
        <f>HYPERLINK("http://slimages.macys.com/is/image/MCY/19684909 ")</f>
        <v xml:space="preserve">http://slimages.macys.com/is/image/MCY/19684909 </v>
      </c>
    </row>
    <row r="154" spans="1:14" x14ac:dyDescent="0.25">
      <c r="A154" s="21" t="s">
        <v>19861</v>
      </c>
      <c r="B154" s="22" t="s">
        <v>19862</v>
      </c>
      <c r="C154" s="2">
        <v>1</v>
      </c>
      <c r="D154" s="23">
        <v>19.989999999999998</v>
      </c>
      <c r="E154" s="3">
        <v>19.989999999999998</v>
      </c>
      <c r="F154" s="2" t="s">
        <v>19863</v>
      </c>
      <c r="G154" s="22" t="s">
        <v>19431</v>
      </c>
      <c r="H154" s="24" t="s">
        <v>19334</v>
      </c>
      <c r="I154" s="22" t="s">
        <v>19309</v>
      </c>
      <c r="J154" s="22" t="s">
        <v>19310</v>
      </c>
      <c r="K154" s="22" t="s">
        <v>19433</v>
      </c>
      <c r="L154" s="22"/>
      <c r="M154" s="22"/>
      <c r="N154" s="25" t="str">
        <f>HYPERLINK("http://slimages.macys.com/is/image/MCY/21775845 ")</f>
        <v xml:space="preserve">http://slimages.macys.com/is/image/MCY/21775845 </v>
      </c>
    </row>
    <row r="155" spans="1:14" x14ac:dyDescent="0.25">
      <c r="A155" s="21" t="s">
        <v>15865</v>
      </c>
      <c r="B155" s="22" t="s">
        <v>15866</v>
      </c>
      <c r="C155" s="2">
        <v>1</v>
      </c>
      <c r="D155" s="23">
        <v>19.989999999999998</v>
      </c>
      <c r="E155" s="3">
        <v>19.989999999999998</v>
      </c>
      <c r="F155" s="2" t="s">
        <v>19860</v>
      </c>
      <c r="G155" s="22" t="s">
        <v>19307</v>
      </c>
      <c r="H155" s="24" t="s">
        <v>19361</v>
      </c>
      <c r="I155" s="22" t="s">
        <v>19309</v>
      </c>
      <c r="J155" s="22" t="s">
        <v>19310</v>
      </c>
      <c r="K155" s="22" t="s">
        <v>19433</v>
      </c>
      <c r="L155" s="22"/>
      <c r="M155" s="22"/>
      <c r="N155" s="25" t="str">
        <f>HYPERLINK("http://slimages.macys.com/is/image/MCY/21964983 ")</f>
        <v xml:space="preserve">http://slimages.macys.com/is/image/MCY/21964983 </v>
      </c>
    </row>
    <row r="156" spans="1:14" ht="24.75" x14ac:dyDescent="0.25">
      <c r="A156" s="21" t="s">
        <v>15867</v>
      </c>
      <c r="B156" s="22" t="s">
        <v>15868</v>
      </c>
      <c r="C156" s="2">
        <v>3</v>
      </c>
      <c r="D156" s="23">
        <v>28</v>
      </c>
      <c r="E156" s="3">
        <v>84</v>
      </c>
      <c r="F156" s="2" t="s">
        <v>15869</v>
      </c>
      <c r="G156" s="22" t="s">
        <v>19315</v>
      </c>
      <c r="H156" s="24" t="s">
        <v>19395</v>
      </c>
      <c r="I156" s="22" t="s">
        <v>19309</v>
      </c>
      <c r="J156" s="22" t="s">
        <v>19310</v>
      </c>
      <c r="K156" s="22" t="s">
        <v>15570</v>
      </c>
      <c r="L156" s="22"/>
      <c r="M156" s="22"/>
      <c r="N156" s="25" t="str">
        <f>HYPERLINK("http://slimages.macys.com/is/image/MCY/19684907 ")</f>
        <v xml:space="preserve">http://slimages.macys.com/is/image/MCY/19684907 </v>
      </c>
    </row>
    <row r="157" spans="1:14" ht="24.75" x14ac:dyDescent="0.25">
      <c r="A157" s="21" t="s">
        <v>15870</v>
      </c>
      <c r="B157" s="22" t="s">
        <v>15871</v>
      </c>
      <c r="C157" s="2">
        <v>1</v>
      </c>
      <c r="D157" s="23">
        <v>20</v>
      </c>
      <c r="E157" s="3">
        <v>20</v>
      </c>
      <c r="F157" s="2" t="s">
        <v>15872</v>
      </c>
      <c r="G157" s="22" t="s">
        <v>19404</v>
      </c>
      <c r="H157" s="24"/>
      <c r="I157" s="22" t="s">
        <v>19309</v>
      </c>
      <c r="J157" s="22" t="s">
        <v>19310</v>
      </c>
      <c r="K157" s="22" t="s">
        <v>17538</v>
      </c>
      <c r="L157" s="22" t="s">
        <v>19319</v>
      </c>
      <c r="M157" s="22" t="s">
        <v>15873</v>
      </c>
      <c r="N157" s="25" t="str">
        <f>HYPERLINK("http://slimages.macys.com/is/image/MCY/9470973 ")</f>
        <v xml:space="preserve">http://slimages.macys.com/is/image/MCY/9470973 </v>
      </c>
    </row>
    <row r="158" spans="1:14" ht="24.75" x14ac:dyDescent="0.25">
      <c r="A158" s="21" t="s">
        <v>15874</v>
      </c>
      <c r="B158" s="22" t="s">
        <v>15875</v>
      </c>
      <c r="C158" s="2">
        <v>1</v>
      </c>
      <c r="D158" s="23">
        <v>15</v>
      </c>
      <c r="E158" s="3">
        <v>15</v>
      </c>
      <c r="F158" s="2">
        <v>770100</v>
      </c>
      <c r="G158" s="22" t="s">
        <v>19351</v>
      </c>
      <c r="H158" s="24" t="s">
        <v>19416</v>
      </c>
      <c r="I158" s="22" t="s">
        <v>19309</v>
      </c>
      <c r="J158" s="22" t="s">
        <v>19417</v>
      </c>
      <c r="K158" s="22" t="s">
        <v>15876</v>
      </c>
      <c r="L158" s="22"/>
      <c r="M158" s="22"/>
      <c r="N158" s="25" t="str">
        <f>HYPERLINK("http://slimages.macys.com/is/image/MCY/17016666 ")</f>
        <v xml:space="preserve">http://slimages.macys.com/is/image/MCY/17016666 </v>
      </c>
    </row>
    <row r="159" spans="1:14" ht="24.75" x14ac:dyDescent="0.25">
      <c r="A159" s="21" t="s">
        <v>15877</v>
      </c>
      <c r="B159" s="22" t="s">
        <v>15878</v>
      </c>
      <c r="C159" s="2">
        <v>1</v>
      </c>
      <c r="D159" s="23">
        <v>20</v>
      </c>
      <c r="E159" s="3">
        <v>20</v>
      </c>
      <c r="F159" s="2" t="s">
        <v>15879</v>
      </c>
      <c r="G159" s="22" t="s">
        <v>19315</v>
      </c>
      <c r="H159" s="24"/>
      <c r="I159" s="22" t="s">
        <v>19309</v>
      </c>
      <c r="J159" s="22" t="s">
        <v>19310</v>
      </c>
      <c r="K159" s="22" t="s">
        <v>17538</v>
      </c>
      <c r="L159" s="22" t="s">
        <v>19319</v>
      </c>
      <c r="M159" s="22" t="s">
        <v>15873</v>
      </c>
      <c r="N159" s="25" t="str">
        <f>HYPERLINK("http://slimages.macys.com/is/image/MCY/9470973 ")</f>
        <v xml:space="preserve">http://slimages.macys.com/is/image/MCY/9470973 </v>
      </c>
    </row>
    <row r="160" spans="1:14" ht="24.75" x14ac:dyDescent="0.25">
      <c r="A160" s="21" t="s">
        <v>19870</v>
      </c>
      <c r="B160" s="22" t="s">
        <v>19871</v>
      </c>
      <c r="C160" s="2">
        <v>1</v>
      </c>
      <c r="D160" s="23">
        <v>15.99</v>
      </c>
      <c r="E160" s="3">
        <v>15.99</v>
      </c>
      <c r="F160" s="2" t="s">
        <v>19872</v>
      </c>
      <c r="G160" s="22" t="s">
        <v>19801</v>
      </c>
      <c r="H160" s="24" t="s">
        <v>19308</v>
      </c>
      <c r="I160" s="22" t="s">
        <v>19309</v>
      </c>
      <c r="J160" s="22" t="s">
        <v>19310</v>
      </c>
      <c r="K160" s="22" t="s">
        <v>19873</v>
      </c>
      <c r="L160" s="22"/>
      <c r="M160" s="22"/>
      <c r="N160" s="25" t="str">
        <f>HYPERLINK("http://slimages.macys.com/is/image/MCY/21191742 ")</f>
        <v xml:space="preserve">http://slimages.macys.com/is/image/MCY/21191742 </v>
      </c>
    </row>
    <row r="161" spans="1:14" ht="24.75" x14ac:dyDescent="0.25">
      <c r="A161" s="21" t="s">
        <v>17938</v>
      </c>
      <c r="B161" s="22" t="s">
        <v>17939</v>
      </c>
      <c r="C161" s="2">
        <v>1</v>
      </c>
      <c r="D161" s="23">
        <v>22.99</v>
      </c>
      <c r="E161" s="3">
        <v>22.99</v>
      </c>
      <c r="F161" s="2" t="s">
        <v>17937</v>
      </c>
      <c r="G161" s="22" t="s">
        <v>19342</v>
      </c>
      <c r="H161" s="24" t="s">
        <v>19538</v>
      </c>
      <c r="I161" s="22" t="s">
        <v>19309</v>
      </c>
      <c r="J161" s="22" t="s">
        <v>19385</v>
      </c>
      <c r="K161" s="22" t="s">
        <v>19729</v>
      </c>
      <c r="L161" s="22"/>
      <c r="M161" s="22"/>
      <c r="N161" s="25" t="str">
        <f>HYPERLINK("http://slimages.macys.com/is/image/MCY/21506852 ")</f>
        <v xml:space="preserve">http://slimages.macys.com/is/image/MCY/21506852 </v>
      </c>
    </row>
    <row r="162" spans="1:14" x14ac:dyDescent="0.25">
      <c r="A162" s="21" t="s">
        <v>15880</v>
      </c>
      <c r="B162" s="22" t="s">
        <v>15881</v>
      </c>
      <c r="C162" s="2">
        <v>1</v>
      </c>
      <c r="D162" s="23">
        <v>24.99</v>
      </c>
      <c r="E162" s="3">
        <v>24.99</v>
      </c>
      <c r="F162" s="2" t="s">
        <v>15882</v>
      </c>
      <c r="G162" s="22" t="s">
        <v>19315</v>
      </c>
      <c r="H162" s="24" t="s">
        <v>19797</v>
      </c>
      <c r="I162" s="22" t="s">
        <v>19309</v>
      </c>
      <c r="J162" s="22" t="s">
        <v>19849</v>
      </c>
      <c r="K162" s="22" t="s">
        <v>19850</v>
      </c>
      <c r="L162" s="22"/>
      <c r="M162" s="22"/>
      <c r="N162" s="25" t="str">
        <f>HYPERLINK("http://slimages.macys.com/is/image/MCY/18926737 ")</f>
        <v xml:space="preserve">http://slimages.macys.com/is/image/MCY/18926737 </v>
      </c>
    </row>
    <row r="163" spans="1:14" x14ac:dyDescent="0.25">
      <c r="A163" s="21" t="s">
        <v>15883</v>
      </c>
      <c r="B163" s="22" t="s">
        <v>15884</v>
      </c>
      <c r="C163" s="2">
        <v>1</v>
      </c>
      <c r="D163" s="23">
        <v>17.82</v>
      </c>
      <c r="E163" s="3">
        <v>17.82</v>
      </c>
      <c r="F163" s="2" t="s">
        <v>17944</v>
      </c>
      <c r="G163" s="22"/>
      <c r="H163" s="24" t="s">
        <v>20159</v>
      </c>
      <c r="I163" s="22" t="s">
        <v>19309</v>
      </c>
      <c r="J163" s="22" t="s">
        <v>19708</v>
      </c>
      <c r="K163" s="22" t="s">
        <v>19709</v>
      </c>
      <c r="L163" s="22"/>
      <c r="M163" s="22"/>
      <c r="N163" s="25" t="str">
        <f>HYPERLINK("http://slimages.macys.com/is/image/MCY/21410182 ")</f>
        <v xml:space="preserve">http://slimages.macys.com/is/image/MCY/21410182 </v>
      </c>
    </row>
    <row r="164" spans="1:14" x14ac:dyDescent="0.25">
      <c r="A164" s="21" t="s">
        <v>17945</v>
      </c>
      <c r="B164" s="22" t="s">
        <v>17946</v>
      </c>
      <c r="C164" s="2">
        <v>1</v>
      </c>
      <c r="D164" s="23">
        <v>18.329999999999998</v>
      </c>
      <c r="E164" s="3">
        <v>18.329999999999998</v>
      </c>
      <c r="F164" s="2" t="s">
        <v>17947</v>
      </c>
      <c r="G164" s="22" t="s">
        <v>19342</v>
      </c>
      <c r="H164" s="24" t="s">
        <v>19542</v>
      </c>
      <c r="I164" s="22" t="s">
        <v>19309</v>
      </c>
      <c r="J164" s="22" t="s">
        <v>19514</v>
      </c>
      <c r="K164" s="22" t="s">
        <v>17948</v>
      </c>
      <c r="L164" s="22"/>
      <c r="M164" s="22"/>
      <c r="N164" s="25" t="str">
        <f>HYPERLINK("http://slimages.macys.com/is/image/MCY/21701103 ")</f>
        <v xml:space="preserve">http://slimages.macys.com/is/image/MCY/21701103 </v>
      </c>
    </row>
    <row r="165" spans="1:14" x14ac:dyDescent="0.25">
      <c r="A165" s="21" t="s">
        <v>15885</v>
      </c>
      <c r="B165" s="22" t="s">
        <v>15886</v>
      </c>
      <c r="C165" s="2">
        <v>1</v>
      </c>
      <c r="D165" s="23">
        <v>22.41</v>
      </c>
      <c r="E165" s="3">
        <v>22.41</v>
      </c>
      <c r="F165" s="2" t="s">
        <v>15887</v>
      </c>
      <c r="G165" s="22" t="s">
        <v>19333</v>
      </c>
      <c r="H165" s="24" t="s">
        <v>19367</v>
      </c>
      <c r="I165" s="22" t="s">
        <v>19309</v>
      </c>
      <c r="J165" s="22" t="s">
        <v>19708</v>
      </c>
      <c r="K165" s="22" t="s">
        <v>19709</v>
      </c>
      <c r="L165" s="22"/>
      <c r="M165" s="22"/>
      <c r="N165" s="25" t="str">
        <f>HYPERLINK("http://slimages.macys.com/is/image/MCY/19836556 ")</f>
        <v xml:space="preserve">http://slimages.macys.com/is/image/MCY/19836556 </v>
      </c>
    </row>
    <row r="166" spans="1:14" ht="24.75" x14ac:dyDescent="0.25">
      <c r="A166" s="21" t="s">
        <v>15888</v>
      </c>
      <c r="B166" s="22" t="s">
        <v>15889</v>
      </c>
      <c r="C166" s="2">
        <v>1</v>
      </c>
      <c r="D166" s="23">
        <v>19.989999999999998</v>
      </c>
      <c r="E166" s="3">
        <v>19.989999999999998</v>
      </c>
      <c r="F166" s="2" t="s">
        <v>19897</v>
      </c>
      <c r="G166" s="22" t="s">
        <v>19670</v>
      </c>
      <c r="H166" s="24" t="s">
        <v>19538</v>
      </c>
      <c r="I166" s="22" t="s">
        <v>19309</v>
      </c>
      <c r="J166" s="22" t="s">
        <v>19573</v>
      </c>
      <c r="K166" s="22" t="s">
        <v>19574</v>
      </c>
      <c r="L166" s="22"/>
      <c r="M166" s="22"/>
      <c r="N166" s="25" t="str">
        <f>HYPERLINK("http://slimages.macys.com/is/image/MCY/20757750 ")</f>
        <v xml:space="preserve">http://slimages.macys.com/is/image/MCY/20757750 </v>
      </c>
    </row>
    <row r="167" spans="1:14" ht="24.75" x14ac:dyDescent="0.25">
      <c r="A167" s="21" t="s">
        <v>15890</v>
      </c>
      <c r="B167" s="22" t="s">
        <v>15891</v>
      </c>
      <c r="C167" s="2">
        <v>1</v>
      </c>
      <c r="D167" s="23">
        <v>19.989999999999998</v>
      </c>
      <c r="E167" s="3">
        <v>19.989999999999998</v>
      </c>
      <c r="F167" s="2" t="s">
        <v>15892</v>
      </c>
      <c r="G167" s="22" t="s">
        <v>19351</v>
      </c>
      <c r="H167" s="24" t="s">
        <v>19384</v>
      </c>
      <c r="I167" s="22" t="s">
        <v>19309</v>
      </c>
      <c r="J167" s="22" t="s">
        <v>19573</v>
      </c>
      <c r="K167" s="22" t="s">
        <v>19574</v>
      </c>
      <c r="L167" s="22"/>
      <c r="M167" s="22"/>
      <c r="N167" s="25" t="str">
        <f>HYPERLINK("http://slimages.macys.com/is/image/MCY/20757923 ")</f>
        <v xml:space="preserve">http://slimages.macys.com/is/image/MCY/20757923 </v>
      </c>
    </row>
    <row r="168" spans="1:14" ht="24.75" x14ac:dyDescent="0.25">
      <c r="A168" s="21" t="s">
        <v>15893</v>
      </c>
      <c r="B168" s="22" t="s">
        <v>15894</v>
      </c>
      <c r="C168" s="2">
        <v>1</v>
      </c>
      <c r="D168" s="23">
        <v>17.989999999999998</v>
      </c>
      <c r="E168" s="3">
        <v>17.989999999999998</v>
      </c>
      <c r="F168" s="2" t="s">
        <v>15895</v>
      </c>
      <c r="G168" s="22"/>
      <c r="H168" s="24" t="s">
        <v>20089</v>
      </c>
      <c r="I168" s="22" t="s">
        <v>19309</v>
      </c>
      <c r="J168" s="22" t="s">
        <v>19908</v>
      </c>
      <c r="K168" s="22" t="s">
        <v>19524</v>
      </c>
      <c r="L168" s="22"/>
      <c r="M168" s="22"/>
      <c r="N168" s="25" t="str">
        <f>HYPERLINK("http://slimages.macys.com/is/image/MCY/19631899 ")</f>
        <v xml:space="preserve">http://slimages.macys.com/is/image/MCY/19631899 </v>
      </c>
    </row>
    <row r="169" spans="1:14" x14ac:dyDescent="0.25">
      <c r="A169" s="21" t="s">
        <v>15896</v>
      </c>
      <c r="B169" s="22" t="s">
        <v>15897</v>
      </c>
      <c r="C169" s="2">
        <v>1</v>
      </c>
      <c r="D169" s="23">
        <v>17.989999999999998</v>
      </c>
      <c r="E169" s="3">
        <v>17.989999999999998</v>
      </c>
      <c r="F169" s="2" t="s">
        <v>15898</v>
      </c>
      <c r="G169" s="22" t="s">
        <v>19333</v>
      </c>
      <c r="H169" s="24" t="s">
        <v>19308</v>
      </c>
      <c r="I169" s="22" t="s">
        <v>19309</v>
      </c>
      <c r="J169" s="22" t="s">
        <v>19310</v>
      </c>
      <c r="K169" s="22" t="s">
        <v>19529</v>
      </c>
      <c r="L169" s="22"/>
      <c r="M169" s="22"/>
      <c r="N169" s="25" t="str">
        <f>HYPERLINK("http://slimages.macys.com/is/image/MCY/21532482 ")</f>
        <v xml:space="preserve">http://slimages.macys.com/is/image/MCY/21532482 </v>
      </c>
    </row>
    <row r="170" spans="1:14" ht="24.75" x14ac:dyDescent="0.25">
      <c r="A170" s="21" t="s">
        <v>15899</v>
      </c>
      <c r="B170" s="22" t="s">
        <v>15900</v>
      </c>
      <c r="C170" s="2">
        <v>1</v>
      </c>
      <c r="D170" s="23">
        <v>19.989999999999998</v>
      </c>
      <c r="E170" s="3">
        <v>19.989999999999998</v>
      </c>
      <c r="F170" s="2" t="s">
        <v>15901</v>
      </c>
      <c r="G170" s="22" t="s">
        <v>19594</v>
      </c>
      <c r="H170" s="24" t="s">
        <v>19377</v>
      </c>
      <c r="I170" s="22" t="s">
        <v>19309</v>
      </c>
      <c r="J170" s="22" t="s">
        <v>19908</v>
      </c>
      <c r="K170" s="22" t="s">
        <v>19524</v>
      </c>
      <c r="L170" s="22"/>
      <c r="M170" s="22"/>
      <c r="N170" s="25" t="str">
        <f>HYPERLINK("http://slimages.macys.com/is/image/MCY/1308300 ")</f>
        <v xml:space="preserve">http://slimages.macys.com/is/image/MCY/1308300 </v>
      </c>
    </row>
    <row r="171" spans="1:14" x14ac:dyDescent="0.25">
      <c r="A171" s="21" t="s">
        <v>15902</v>
      </c>
      <c r="B171" s="22" t="s">
        <v>15903</v>
      </c>
      <c r="C171" s="2">
        <v>1</v>
      </c>
      <c r="D171" s="23">
        <v>17.100000000000001</v>
      </c>
      <c r="E171" s="3">
        <v>17.100000000000001</v>
      </c>
      <c r="F171" s="2" t="s">
        <v>15904</v>
      </c>
      <c r="G171" s="22" t="s">
        <v>19342</v>
      </c>
      <c r="H171" s="24" t="s">
        <v>19324</v>
      </c>
      <c r="I171" s="22" t="s">
        <v>19309</v>
      </c>
      <c r="J171" s="22" t="s">
        <v>19708</v>
      </c>
      <c r="K171" s="22" t="s">
        <v>19709</v>
      </c>
      <c r="L171" s="22"/>
      <c r="M171" s="22"/>
      <c r="N171" s="25" t="str">
        <f>HYPERLINK("http://slimages.macys.com/is/image/MCY/19847234 ")</f>
        <v xml:space="preserve">http://slimages.macys.com/is/image/MCY/19847234 </v>
      </c>
    </row>
    <row r="172" spans="1:14" x14ac:dyDescent="0.25">
      <c r="A172" s="21" t="s">
        <v>15905</v>
      </c>
      <c r="B172" s="22" t="s">
        <v>15906</v>
      </c>
      <c r="C172" s="2">
        <v>1</v>
      </c>
      <c r="D172" s="23">
        <v>17.100000000000001</v>
      </c>
      <c r="E172" s="3">
        <v>17.100000000000001</v>
      </c>
      <c r="F172" s="2" t="s">
        <v>17991</v>
      </c>
      <c r="G172" s="22" t="s">
        <v>19342</v>
      </c>
      <c r="H172" s="24" t="s">
        <v>20159</v>
      </c>
      <c r="I172" s="22" t="s">
        <v>19309</v>
      </c>
      <c r="J172" s="22" t="s">
        <v>19708</v>
      </c>
      <c r="K172" s="22" t="s">
        <v>19709</v>
      </c>
      <c r="L172" s="22"/>
      <c r="M172" s="22"/>
      <c r="N172" s="25" t="str">
        <f>HYPERLINK("http://slimages.macys.com/is/image/MCY/17248800 ")</f>
        <v xml:space="preserve">http://slimages.macys.com/is/image/MCY/17248800 </v>
      </c>
    </row>
    <row r="173" spans="1:14" x14ac:dyDescent="0.25">
      <c r="A173" s="21" t="s">
        <v>17994</v>
      </c>
      <c r="B173" s="22" t="s">
        <v>17995</v>
      </c>
      <c r="C173" s="2">
        <v>1</v>
      </c>
      <c r="D173" s="23">
        <v>13.99</v>
      </c>
      <c r="E173" s="3">
        <v>13.99</v>
      </c>
      <c r="F173" s="2" t="s">
        <v>17996</v>
      </c>
      <c r="G173" s="22" t="s">
        <v>19801</v>
      </c>
      <c r="H173" s="24" t="s">
        <v>19432</v>
      </c>
      <c r="I173" s="22" t="s">
        <v>19309</v>
      </c>
      <c r="J173" s="22" t="s">
        <v>19310</v>
      </c>
      <c r="K173" s="22" t="s">
        <v>19468</v>
      </c>
      <c r="L173" s="22"/>
      <c r="M173" s="22"/>
      <c r="N173" s="25" t="str">
        <f>HYPERLINK("http://slimages.macys.com/is/image/MCY/21018757 ")</f>
        <v xml:space="preserve">http://slimages.macys.com/is/image/MCY/21018757 </v>
      </c>
    </row>
    <row r="174" spans="1:14" x14ac:dyDescent="0.25">
      <c r="A174" s="21" t="s">
        <v>15907</v>
      </c>
      <c r="B174" s="22" t="s">
        <v>15908</v>
      </c>
      <c r="C174" s="2">
        <v>1</v>
      </c>
      <c r="D174" s="23">
        <v>21.99</v>
      </c>
      <c r="E174" s="3">
        <v>21.99</v>
      </c>
      <c r="F174" s="2" t="s">
        <v>19954</v>
      </c>
      <c r="G174" s="22" t="s">
        <v>19674</v>
      </c>
      <c r="H174" s="24" t="s">
        <v>19364</v>
      </c>
      <c r="I174" s="22" t="s">
        <v>19309</v>
      </c>
      <c r="J174" s="22" t="s">
        <v>19849</v>
      </c>
      <c r="K174" s="22" t="s">
        <v>19850</v>
      </c>
      <c r="L174" s="22"/>
      <c r="M174" s="22"/>
      <c r="N174" s="25" t="str">
        <f>HYPERLINK("http://slimages.macys.com/is/image/MCY/20530475 ")</f>
        <v xml:space="preserve">http://slimages.macys.com/is/image/MCY/20530475 </v>
      </c>
    </row>
    <row r="175" spans="1:14" ht="24.75" x14ac:dyDescent="0.25">
      <c r="A175" s="21" t="s">
        <v>15909</v>
      </c>
      <c r="B175" s="22" t="s">
        <v>15910</v>
      </c>
      <c r="C175" s="2">
        <v>1</v>
      </c>
      <c r="D175" s="23">
        <v>15.99</v>
      </c>
      <c r="E175" s="3">
        <v>15.99</v>
      </c>
      <c r="F175" s="2" t="s">
        <v>15911</v>
      </c>
      <c r="G175" s="22" t="s">
        <v>19431</v>
      </c>
      <c r="H175" s="24" t="s">
        <v>19384</v>
      </c>
      <c r="I175" s="22" t="s">
        <v>19309</v>
      </c>
      <c r="J175" s="22" t="s">
        <v>19573</v>
      </c>
      <c r="K175" s="22" t="s">
        <v>19574</v>
      </c>
      <c r="L175" s="22"/>
      <c r="M175" s="22"/>
      <c r="N175" s="25" t="str">
        <f>HYPERLINK("http://slimages.macys.com/is/image/MCY/20757739 ")</f>
        <v xml:space="preserve">http://slimages.macys.com/is/image/MCY/20757739 </v>
      </c>
    </row>
    <row r="176" spans="1:14" ht="24.75" x14ac:dyDescent="0.25">
      <c r="A176" s="21" t="s">
        <v>15912</v>
      </c>
      <c r="B176" s="22" t="s">
        <v>15913</v>
      </c>
      <c r="C176" s="2">
        <v>1</v>
      </c>
      <c r="D176" s="23">
        <v>15.99</v>
      </c>
      <c r="E176" s="3">
        <v>15.99</v>
      </c>
      <c r="F176" s="2">
        <v>10014149900</v>
      </c>
      <c r="G176" s="22" t="s">
        <v>19467</v>
      </c>
      <c r="H176" s="24" t="s">
        <v>19324</v>
      </c>
      <c r="I176" s="22" t="s">
        <v>19309</v>
      </c>
      <c r="J176" s="22" t="s">
        <v>19573</v>
      </c>
      <c r="K176" s="22" t="s">
        <v>19574</v>
      </c>
      <c r="L176" s="22"/>
      <c r="M176" s="22"/>
      <c r="N176" s="25" t="str">
        <f>HYPERLINK("http://slimages.macys.com/is/image/MCY/20757797 ")</f>
        <v xml:space="preserve">http://slimages.macys.com/is/image/MCY/20757797 </v>
      </c>
    </row>
    <row r="177" spans="1:14" ht="24.75" x14ac:dyDescent="0.25">
      <c r="A177" s="21" t="s">
        <v>15914</v>
      </c>
      <c r="B177" s="22" t="s">
        <v>15915</v>
      </c>
      <c r="C177" s="2">
        <v>1</v>
      </c>
      <c r="D177" s="23">
        <v>15.99</v>
      </c>
      <c r="E177" s="3">
        <v>15.99</v>
      </c>
      <c r="F177" s="2" t="s">
        <v>15916</v>
      </c>
      <c r="G177" s="22" t="s">
        <v>19670</v>
      </c>
      <c r="H177" s="24" t="s">
        <v>19770</v>
      </c>
      <c r="I177" s="22" t="s">
        <v>19309</v>
      </c>
      <c r="J177" s="22" t="s">
        <v>19573</v>
      </c>
      <c r="K177" s="22" t="s">
        <v>19574</v>
      </c>
      <c r="L177" s="22"/>
      <c r="M177" s="22"/>
      <c r="N177" s="25" t="str">
        <f>HYPERLINK("http://slimages.macys.com/is/image/MCY/20757735 ")</f>
        <v xml:space="preserve">http://slimages.macys.com/is/image/MCY/20757735 </v>
      </c>
    </row>
    <row r="178" spans="1:14" ht="24.75" x14ac:dyDescent="0.25">
      <c r="A178" s="21" t="s">
        <v>15917</v>
      </c>
      <c r="B178" s="22" t="s">
        <v>15918</v>
      </c>
      <c r="C178" s="2">
        <v>1</v>
      </c>
      <c r="D178" s="23">
        <v>15.99</v>
      </c>
      <c r="E178" s="3">
        <v>15.99</v>
      </c>
      <c r="F178" s="2" t="s">
        <v>15916</v>
      </c>
      <c r="G178" s="22" t="s">
        <v>19670</v>
      </c>
      <c r="H178" s="24"/>
      <c r="I178" s="22" t="s">
        <v>19309</v>
      </c>
      <c r="J178" s="22" t="s">
        <v>19573</v>
      </c>
      <c r="K178" s="22" t="s">
        <v>19574</v>
      </c>
      <c r="L178" s="22"/>
      <c r="M178" s="22"/>
      <c r="N178" s="25" t="str">
        <f>HYPERLINK("http://slimages.macys.com/is/image/MCY/20757735 ")</f>
        <v xml:space="preserve">http://slimages.macys.com/is/image/MCY/20757735 </v>
      </c>
    </row>
    <row r="179" spans="1:14" x14ac:dyDescent="0.25">
      <c r="A179" s="21" t="s">
        <v>15919</v>
      </c>
      <c r="B179" s="22" t="s">
        <v>15920</v>
      </c>
      <c r="C179" s="2">
        <v>2</v>
      </c>
      <c r="D179" s="23">
        <v>21.99</v>
      </c>
      <c r="E179" s="3">
        <v>43.98</v>
      </c>
      <c r="F179" s="2" t="s">
        <v>18018</v>
      </c>
      <c r="G179" s="22" t="s">
        <v>19342</v>
      </c>
      <c r="H179" s="24"/>
      <c r="I179" s="22" t="s">
        <v>19309</v>
      </c>
      <c r="J179" s="22" t="s">
        <v>19696</v>
      </c>
      <c r="K179" s="22" t="s">
        <v>19965</v>
      </c>
      <c r="L179" s="22"/>
      <c r="M179" s="22"/>
      <c r="N179" s="25" t="str">
        <f>HYPERLINK("http://slimages.macys.com/is/image/MCY/21530622 ")</f>
        <v xml:space="preserve">http://slimages.macys.com/is/image/MCY/21530622 </v>
      </c>
    </row>
    <row r="180" spans="1:14" ht="24.75" x14ac:dyDescent="0.25">
      <c r="A180" s="21" t="s">
        <v>15921</v>
      </c>
      <c r="B180" s="22" t="s">
        <v>15922</v>
      </c>
      <c r="C180" s="2">
        <v>1</v>
      </c>
      <c r="D180" s="23">
        <v>17.329999999999998</v>
      </c>
      <c r="E180" s="3">
        <v>17.329999999999998</v>
      </c>
      <c r="F180" s="2" t="s">
        <v>15923</v>
      </c>
      <c r="G180" s="22" t="s">
        <v>19415</v>
      </c>
      <c r="H180" s="24" t="s">
        <v>19308</v>
      </c>
      <c r="I180" s="22" t="s">
        <v>19309</v>
      </c>
      <c r="J180" s="22" t="s">
        <v>19565</v>
      </c>
      <c r="K180" s="22" t="s">
        <v>18548</v>
      </c>
      <c r="L180" s="22"/>
      <c r="M180" s="22"/>
      <c r="N180" s="25" t="str">
        <f>HYPERLINK("http://slimages.macys.com/is/image/MCY/21293794 ")</f>
        <v xml:space="preserve">http://slimages.macys.com/is/image/MCY/21293794 </v>
      </c>
    </row>
    <row r="181" spans="1:14" x14ac:dyDescent="0.25">
      <c r="A181" s="21" t="s">
        <v>15924</v>
      </c>
      <c r="B181" s="22" t="s">
        <v>15925</v>
      </c>
      <c r="C181" s="2">
        <v>2</v>
      </c>
      <c r="D181" s="23">
        <v>16.989999999999998</v>
      </c>
      <c r="E181" s="3">
        <v>33.979999999999997</v>
      </c>
      <c r="F181" s="2" t="s">
        <v>19975</v>
      </c>
      <c r="G181" s="22" t="s">
        <v>19333</v>
      </c>
      <c r="H181" s="24" t="s">
        <v>19542</v>
      </c>
      <c r="I181" s="22" t="s">
        <v>19309</v>
      </c>
      <c r="J181" s="22" t="s">
        <v>19310</v>
      </c>
      <c r="K181" s="22" t="s">
        <v>19440</v>
      </c>
      <c r="L181" s="22"/>
      <c r="M181" s="22"/>
      <c r="N181" s="25" t="str">
        <f>HYPERLINK("http://slimages.macys.com/is/image/MCY/21149135 ")</f>
        <v xml:space="preserve">http://slimages.macys.com/is/image/MCY/21149135 </v>
      </c>
    </row>
    <row r="182" spans="1:14" x14ac:dyDescent="0.25">
      <c r="A182" s="21" t="s">
        <v>15926</v>
      </c>
      <c r="B182" s="22" t="s">
        <v>15927</v>
      </c>
      <c r="C182" s="2">
        <v>1</v>
      </c>
      <c r="D182" s="23">
        <v>16.989999999999998</v>
      </c>
      <c r="E182" s="3">
        <v>16.989999999999998</v>
      </c>
      <c r="F182" s="2" t="s">
        <v>19975</v>
      </c>
      <c r="G182" s="22" t="s">
        <v>19333</v>
      </c>
      <c r="H182" s="24" t="s">
        <v>19334</v>
      </c>
      <c r="I182" s="22" t="s">
        <v>19309</v>
      </c>
      <c r="J182" s="22" t="s">
        <v>19310</v>
      </c>
      <c r="K182" s="22" t="s">
        <v>19440</v>
      </c>
      <c r="L182" s="22"/>
      <c r="M182" s="22"/>
      <c r="N182" s="25" t="str">
        <f>HYPERLINK("http://slimages.macys.com/is/image/MCY/21149135 ")</f>
        <v xml:space="preserve">http://slimages.macys.com/is/image/MCY/21149135 </v>
      </c>
    </row>
    <row r="183" spans="1:14" ht="24.75" x14ac:dyDescent="0.25">
      <c r="A183" s="21" t="s">
        <v>15928</v>
      </c>
      <c r="B183" s="22" t="s">
        <v>15929</v>
      </c>
      <c r="C183" s="2">
        <v>1</v>
      </c>
      <c r="D183" s="23">
        <v>16.989999999999998</v>
      </c>
      <c r="E183" s="3">
        <v>16.989999999999998</v>
      </c>
      <c r="F183" s="2" t="s">
        <v>19978</v>
      </c>
      <c r="G183" s="22" t="s">
        <v>19886</v>
      </c>
      <c r="H183" s="24" t="s">
        <v>19361</v>
      </c>
      <c r="I183" s="22" t="s">
        <v>19309</v>
      </c>
      <c r="J183" s="22" t="s">
        <v>19310</v>
      </c>
      <c r="K183" s="22" t="s">
        <v>19440</v>
      </c>
      <c r="L183" s="22"/>
      <c r="M183" s="22"/>
      <c r="N183" s="25" t="str">
        <f>HYPERLINK("http://slimages.macys.com/is/image/MCY/21314245 ")</f>
        <v xml:space="preserve">http://slimages.macys.com/is/image/MCY/21314245 </v>
      </c>
    </row>
    <row r="184" spans="1:14" ht="24.75" x14ac:dyDescent="0.25">
      <c r="A184" s="21" t="s">
        <v>15930</v>
      </c>
      <c r="B184" s="22" t="s">
        <v>15931</v>
      </c>
      <c r="C184" s="2">
        <v>1</v>
      </c>
      <c r="D184" s="23">
        <v>19.989999999999998</v>
      </c>
      <c r="E184" s="3">
        <v>19.989999999999998</v>
      </c>
      <c r="F184" s="2" t="s">
        <v>18042</v>
      </c>
      <c r="G184" s="22" t="s">
        <v>19351</v>
      </c>
      <c r="H184" s="24"/>
      <c r="I184" s="22" t="s">
        <v>19309</v>
      </c>
      <c r="J184" s="22" t="s">
        <v>19573</v>
      </c>
      <c r="K184" s="22" t="s">
        <v>19574</v>
      </c>
      <c r="L184" s="22"/>
      <c r="M184" s="22"/>
      <c r="N184" s="25" t="str">
        <f>HYPERLINK("http://slimages.macys.com/is/image/MCY/21209241 ")</f>
        <v xml:space="preserve">http://slimages.macys.com/is/image/MCY/21209241 </v>
      </c>
    </row>
    <row r="185" spans="1:14" ht="24.75" x14ac:dyDescent="0.25">
      <c r="A185" s="21" t="s">
        <v>15932</v>
      </c>
      <c r="B185" s="22" t="s">
        <v>15933</v>
      </c>
      <c r="C185" s="2">
        <v>1</v>
      </c>
      <c r="D185" s="23">
        <v>13.99</v>
      </c>
      <c r="E185" s="3">
        <v>13.99</v>
      </c>
      <c r="F185" s="2" t="s">
        <v>15934</v>
      </c>
      <c r="G185" s="22" t="s">
        <v>19622</v>
      </c>
      <c r="H185" s="24" t="s">
        <v>15935</v>
      </c>
      <c r="I185" s="22" t="s">
        <v>19309</v>
      </c>
      <c r="J185" s="22" t="s">
        <v>19491</v>
      </c>
      <c r="K185" s="22" t="s">
        <v>19463</v>
      </c>
      <c r="L185" s="22"/>
      <c r="M185" s="22"/>
      <c r="N185" s="25" t="str">
        <f>HYPERLINK("http://slimages.macys.com/is/image/MCY/21622342 ")</f>
        <v xml:space="preserve">http://slimages.macys.com/is/image/MCY/21622342 </v>
      </c>
    </row>
    <row r="186" spans="1:14" ht="24.75" x14ac:dyDescent="0.25">
      <c r="A186" s="21" t="s">
        <v>18059</v>
      </c>
      <c r="B186" s="22" t="s">
        <v>18060</v>
      </c>
      <c r="C186" s="2">
        <v>1</v>
      </c>
      <c r="D186" s="23">
        <v>18.989999999999998</v>
      </c>
      <c r="E186" s="3">
        <v>18.989999999999998</v>
      </c>
      <c r="F186" s="2" t="s">
        <v>20018</v>
      </c>
      <c r="G186" s="22" t="s">
        <v>19585</v>
      </c>
      <c r="H186" s="24" t="s">
        <v>19538</v>
      </c>
      <c r="I186" s="22" t="s">
        <v>19309</v>
      </c>
      <c r="J186" s="22" t="s">
        <v>19573</v>
      </c>
      <c r="K186" s="22" t="s">
        <v>19574</v>
      </c>
      <c r="L186" s="22"/>
      <c r="M186" s="22"/>
      <c r="N186" s="25" t="str">
        <f>HYPERLINK("http://slimages.macys.com/is/image/MCY/20142548 ")</f>
        <v xml:space="preserve">http://slimages.macys.com/is/image/MCY/20142548 </v>
      </c>
    </row>
    <row r="187" spans="1:14" x14ac:dyDescent="0.25">
      <c r="A187" s="21" t="s">
        <v>15936</v>
      </c>
      <c r="B187" s="22" t="s">
        <v>15937</v>
      </c>
      <c r="C187" s="2">
        <v>1</v>
      </c>
      <c r="D187" s="23">
        <v>15.99</v>
      </c>
      <c r="E187" s="3">
        <v>15.99</v>
      </c>
      <c r="F187" s="2" t="s">
        <v>15938</v>
      </c>
      <c r="G187" s="22" t="s">
        <v>19333</v>
      </c>
      <c r="H187" s="24" t="s">
        <v>19334</v>
      </c>
      <c r="I187" s="22" t="s">
        <v>19309</v>
      </c>
      <c r="J187" s="22" t="s">
        <v>19310</v>
      </c>
      <c r="K187" s="22" t="s">
        <v>19440</v>
      </c>
      <c r="L187" s="22"/>
      <c r="M187" s="22"/>
      <c r="N187" s="25" t="str">
        <f>HYPERLINK("http://slimages.macys.com/is/image/MCY/17073627 ")</f>
        <v xml:space="preserve">http://slimages.macys.com/is/image/MCY/17073627 </v>
      </c>
    </row>
    <row r="188" spans="1:14" x14ac:dyDescent="0.25">
      <c r="A188" s="21" t="s">
        <v>15939</v>
      </c>
      <c r="B188" s="22" t="s">
        <v>15940</v>
      </c>
      <c r="C188" s="2">
        <v>1</v>
      </c>
      <c r="D188" s="23">
        <v>15.99</v>
      </c>
      <c r="E188" s="3">
        <v>15.99</v>
      </c>
      <c r="F188" s="2" t="s">
        <v>15938</v>
      </c>
      <c r="G188" s="22" t="s">
        <v>19333</v>
      </c>
      <c r="H188" s="24" t="s">
        <v>19345</v>
      </c>
      <c r="I188" s="22" t="s">
        <v>19309</v>
      </c>
      <c r="J188" s="22" t="s">
        <v>19310</v>
      </c>
      <c r="K188" s="22" t="s">
        <v>19440</v>
      </c>
      <c r="L188" s="22"/>
      <c r="M188" s="22"/>
      <c r="N188" s="25" t="str">
        <f>HYPERLINK("http://slimages.macys.com/is/image/MCY/17073627 ")</f>
        <v xml:space="preserve">http://slimages.macys.com/is/image/MCY/17073627 </v>
      </c>
    </row>
    <row r="189" spans="1:14" x14ac:dyDescent="0.25">
      <c r="A189" s="21" t="s">
        <v>15941</v>
      </c>
      <c r="B189" s="22" t="s">
        <v>15942</v>
      </c>
      <c r="C189" s="2">
        <v>1</v>
      </c>
      <c r="D189" s="23">
        <v>15.99</v>
      </c>
      <c r="E189" s="3">
        <v>15.99</v>
      </c>
      <c r="F189" s="2" t="s">
        <v>15938</v>
      </c>
      <c r="G189" s="22" t="s">
        <v>19315</v>
      </c>
      <c r="H189" s="24" t="s">
        <v>19542</v>
      </c>
      <c r="I189" s="22" t="s">
        <v>19309</v>
      </c>
      <c r="J189" s="22" t="s">
        <v>19310</v>
      </c>
      <c r="K189" s="22" t="s">
        <v>19440</v>
      </c>
      <c r="L189" s="22"/>
      <c r="M189" s="22"/>
      <c r="N189" s="25" t="str">
        <f>HYPERLINK("http://slimages.macys.com/is/image/MCY/18296013 ")</f>
        <v xml:space="preserve">http://slimages.macys.com/is/image/MCY/18296013 </v>
      </c>
    </row>
    <row r="190" spans="1:14" ht="24.75" x14ac:dyDescent="0.25">
      <c r="A190" s="21" t="s">
        <v>15943</v>
      </c>
      <c r="B190" s="22" t="s">
        <v>15944</v>
      </c>
      <c r="C190" s="2">
        <v>1</v>
      </c>
      <c r="D190" s="23">
        <v>16.989999999999998</v>
      </c>
      <c r="E190" s="3">
        <v>16.989999999999998</v>
      </c>
      <c r="F190" s="2" t="s">
        <v>15945</v>
      </c>
      <c r="G190" s="22" t="s">
        <v>19333</v>
      </c>
      <c r="H190" s="24" t="s">
        <v>19334</v>
      </c>
      <c r="I190" s="22" t="s">
        <v>19309</v>
      </c>
      <c r="J190" s="22" t="s">
        <v>19491</v>
      </c>
      <c r="K190" s="22" t="s">
        <v>18197</v>
      </c>
      <c r="L190" s="22"/>
      <c r="M190" s="22"/>
      <c r="N190" s="25" t="str">
        <f>HYPERLINK("http://slimages.macys.com/is/image/MCY/20426719 ")</f>
        <v xml:space="preserve">http://slimages.macys.com/is/image/MCY/20426719 </v>
      </c>
    </row>
    <row r="191" spans="1:14" x14ac:dyDescent="0.25">
      <c r="A191" s="21" t="s">
        <v>15946</v>
      </c>
      <c r="B191" s="22" t="s">
        <v>15947</v>
      </c>
      <c r="C191" s="2">
        <v>1</v>
      </c>
      <c r="D191" s="23">
        <v>15.99</v>
      </c>
      <c r="E191" s="3">
        <v>15.99</v>
      </c>
      <c r="F191" s="2" t="s">
        <v>15938</v>
      </c>
      <c r="G191" s="22" t="s">
        <v>19315</v>
      </c>
      <c r="H191" s="24" t="s">
        <v>19345</v>
      </c>
      <c r="I191" s="22" t="s">
        <v>19309</v>
      </c>
      <c r="J191" s="22" t="s">
        <v>19310</v>
      </c>
      <c r="K191" s="22" t="s">
        <v>19440</v>
      </c>
      <c r="L191" s="22"/>
      <c r="M191" s="22"/>
      <c r="N191" s="25" t="str">
        <f>HYPERLINK("http://slimages.macys.com/is/image/MCY/18642386 ")</f>
        <v xml:space="preserve">http://slimages.macys.com/is/image/MCY/18642386 </v>
      </c>
    </row>
    <row r="192" spans="1:14" ht="24.75" x14ac:dyDescent="0.25">
      <c r="A192" s="21" t="s">
        <v>15948</v>
      </c>
      <c r="B192" s="22" t="s">
        <v>15949</v>
      </c>
      <c r="C192" s="2">
        <v>1</v>
      </c>
      <c r="D192" s="23">
        <v>15.99</v>
      </c>
      <c r="E192" s="3">
        <v>15.99</v>
      </c>
      <c r="F192" s="2" t="s">
        <v>15950</v>
      </c>
      <c r="G192" s="22" t="s">
        <v>19439</v>
      </c>
      <c r="H192" s="24" t="s">
        <v>19339</v>
      </c>
      <c r="I192" s="22" t="s">
        <v>19309</v>
      </c>
      <c r="J192" s="22" t="s">
        <v>19310</v>
      </c>
      <c r="K192" s="22" t="s">
        <v>19529</v>
      </c>
      <c r="L192" s="22"/>
      <c r="M192" s="22"/>
      <c r="N192" s="25" t="str">
        <f>HYPERLINK("http://slimages.macys.com/is/image/MCY/20918879 ")</f>
        <v xml:space="preserve">http://slimages.macys.com/is/image/MCY/20918879 </v>
      </c>
    </row>
    <row r="193" spans="1:14" x14ac:dyDescent="0.25">
      <c r="A193" s="21" t="s">
        <v>15951</v>
      </c>
      <c r="B193" s="22" t="s">
        <v>15952</v>
      </c>
      <c r="C193" s="2">
        <v>16</v>
      </c>
      <c r="D193" s="23">
        <v>24</v>
      </c>
      <c r="E193" s="3">
        <v>384</v>
      </c>
      <c r="F193" s="2" t="s">
        <v>15953</v>
      </c>
      <c r="G193" s="22" t="s">
        <v>19674</v>
      </c>
      <c r="H193" s="24"/>
      <c r="I193" s="22" t="s">
        <v>19309</v>
      </c>
      <c r="J193" s="22" t="s">
        <v>19417</v>
      </c>
      <c r="K193" s="22" t="s">
        <v>20110</v>
      </c>
      <c r="L193" s="22"/>
      <c r="M193" s="22"/>
      <c r="N193" s="25" t="str">
        <f>HYPERLINK("http://slimages.macys.com/is/image/MCY/22296723 ")</f>
        <v xml:space="preserve">http://slimages.macys.com/is/image/MCY/22296723 </v>
      </c>
    </row>
    <row r="194" spans="1:14" ht="24.75" x14ac:dyDescent="0.25">
      <c r="A194" s="21" t="s">
        <v>15954</v>
      </c>
      <c r="B194" s="22" t="s">
        <v>15955</v>
      </c>
      <c r="C194" s="2">
        <v>1</v>
      </c>
      <c r="D194" s="23">
        <v>19.989999999999998</v>
      </c>
      <c r="E194" s="3">
        <v>19.989999999999998</v>
      </c>
      <c r="F194" s="2" t="s">
        <v>15956</v>
      </c>
      <c r="G194" s="22" t="s">
        <v>19342</v>
      </c>
      <c r="H194" s="24" t="s">
        <v>19324</v>
      </c>
      <c r="I194" s="22" t="s">
        <v>19309</v>
      </c>
      <c r="J194" s="22" t="s">
        <v>19385</v>
      </c>
      <c r="K194" s="22" t="s">
        <v>18064</v>
      </c>
      <c r="L194" s="22"/>
      <c r="M194" s="22"/>
      <c r="N194" s="25" t="str">
        <f>HYPERLINK("http://slimages.macys.com/is/image/MCY/19831833 ")</f>
        <v xml:space="preserve">http://slimages.macys.com/is/image/MCY/19831833 </v>
      </c>
    </row>
    <row r="195" spans="1:14" x14ac:dyDescent="0.25">
      <c r="A195" s="21" t="s">
        <v>15957</v>
      </c>
      <c r="B195" s="22" t="s">
        <v>15958</v>
      </c>
      <c r="C195" s="2">
        <v>1</v>
      </c>
      <c r="D195" s="23">
        <v>15.99</v>
      </c>
      <c r="E195" s="3">
        <v>15.99</v>
      </c>
      <c r="F195" s="2" t="s">
        <v>15938</v>
      </c>
      <c r="G195" s="22" t="s">
        <v>19333</v>
      </c>
      <c r="H195" s="24" t="s">
        <v>19432</v>
      </c>
      <c r="I195" s="22" t="s">
        <v>19309</v>
      </c>
      <c r="J195" s="22" t="s">
        <v>19310</v>
      </c>
      <c r="K195" s="22" t="s">
        <v>19440</v>
      </c>
      <c r="L195" s="22"/>
      <c r="M195" s="22"/>
      <c r="N195" s="25" t="str">
        <f>HYPERLINK("http://slimages.macys.com/is/image/MCY/18296013 ")</f>
        <v xml:space="preserve">http://slimages.macys.com/is/image/MCY/18296013 </v>
      </c>
    </row>
    <row r="196" spans="1:14" ht="24.75" x14ac:dyDescent="0.25">
      <c r="A196" s="21" t="s">
        <v>15959</v>
      </c>
      <c r="B196" s="22" t="s">
        <v>15960</v>
      </c>
      <c r="C196" s="2">
        <v>1</v>
      </c>
      <c r="D196" s="23">
        <v>17.82</v>
      </c>
      <c r="E196" s="3">
        <v>17.82</v>
      </c>
      <c r="F196" s="2" t="s">
        <v>15961</v>
      </c>
      <c r="G196" s="22"/>
      <c r="H196" s="24" t="s">
        <v>19345</v>
      </c>
      <c r="I196" s="22" t="s">
        <v>19309</v>
      </c>
      <c r="J196" s="22" t="s">
        <v>19602</v>
      </c>
      <c r="K196" s="22" t="s">
        <v>20041</v>
      </c>
      <c r="L196" s="22"/>
      <c r="M196" s="22"/>
      <c r="N196" s="25" t="str">
        <f>HYPERLINK("http://slimages.macys.com/is/image/MCY/20529098 ")</f>
        <v xml:space="preserve">http://slimages.macys.com/is/image/MCY/20529098 </v>
      </c>
    </row>
    <row r="197" spans="1:14" x14ac:dyDescent="0.25">
      <c r="A197" s="21" t="s">
        <v>15962</v>
      </c>
      <c r="B197" s="22" t="s">
        <v>15963</v>
      </c>
      <c r="C197" s="2">
        <v>1</v>
      </c>
      <c r="D197" s="23">
        <v>16.989999999999998</v>
      </c>
      <c r="E197" s="3">
        <v>16.989999999999998</v>
      </c>
      <c r="F197" s="2" t="s">
        <v>18085</v>
      </c>
      <c r="G197" s="22" t="s">
        <v>19315</v>
      </c>
      <c r="H197" s="24" t="s">
        <v>19364</v>
      </c>
      <c r="I197" s="22" t="s">
        <v>19309</v>
      </c>
      <c r="J197" s="22" t="s">
        <v>19849</v>
      </c>
      <c r="K197" s="22" t="s">
        <v>19850</v>
      </c>
      <c r="L197" s="22"/>
      <c r="M197" s="22"/>
      <c r="N197" s="25" t="str">
        <f>HYPERLINK("http://slimages.macys.com/is/image/MCY/21277192 ")</f>
        <v xml:space="preserve">http://slimages.macys.com/is/image/MCY/21277192 </v>
      </c>
    </row>
    <row r="198" spans="1:14" x14ac:dyDescent="0.25">
      <c r="A198" s="21" t="s">
        <v>18083</v>
      </c>
      <c r="B198" s="22" t="s">
        <v>18084</v>
      </c>
      <c r="C198" s="2">
        <v>1</v>
      </c>
      <c r="D198" s="23">
        <v>16.989999999999998</v>
      </c>
      <c r="E198" s="3">
        <v>16.989999999999998</v>
      </c>
      <c r="F198" s="2" t="s">
        <v>18085</v>
      </c>
      <c r="G198" s="22" t="s">
        <v>19315</v>
      </c>
      <c r="H198" s="24" t="s">
        <v>19797</v>
      </c>
      <c r="I198" s="22" t="s">
        <v>19309</v>
      </c>
      <c r="J198" s="22" t="s">
        <v>19849</v>
      </c>
      <c r="K198" s="22" t="s">
        <v>19850</v>
      </c>
      <c r="L198" s="22"/>
      <c r="M198" s="22"/>
      <c r="N198" s="25" t="str">
        <f>HYPERLINK("http://slimages.macys.com/is/image/MCY/21840264 ")</f>
        <v xml:space="preserve">http://slimages.macys.com/is/image/MCY/21840264 </v>
      </c>
    </row>
    <row r="199" spans="1:14" ht="24.75" x14ac:dyDescent="0.25">
      <c r="A199" s="21" t="s">
        <v>15964</v>
      </c>
      <c r="B199" s="22" t="s">
        <v>15965</v>
      </c>
      <c r="C199" s="2">
        <v>1</v>
      </c>
      <c r="D199" s="23">
        <v>17.82</v>
      </c>
      <c r="E199" s="3">
        <v>17.82</v>
      </c>
      <c r="F199" s="2" t="s">
        <v>15966</v>
      </c>
      <c r="G199" s="22"/>
      <c r="H199" s="24" t="s">
        <v>19345</v>
      </c>
      <c r="I199" s="22" t="s">
        <v>19309</v>
      </c>
      <c r="J199" s="22" t="s">
        <v>19602</v>
      </c>
      <c r="K199" s="22" t="s">
        <v>20041</v>
      </c>
      <c r="L199" s="22"/>
      <c r="M199" s="22"/>
      <c r="N199" s="25" t="str">
        <f>HYPERLINK("http://slimages.macys.com/is/image/MCY/20529029 ")</f>
        <v xml:space="preserve">http://slimages.macys.com/is/image/MCY/20529029 </v>
      </c>
    </row>
    <row r="200" spans="1:14" x14ac:dyDescent="0.25">
      <c r="A200" s="21" t="s">
        <v>15967</v>
      </c>
      <c r="B200" s="22" t="s">
        <v>15968</v>
      </c>
      <c r="C200" s="2">
        <v>1</v>
      </c>
      <c r="D200" s="23">
        <v>16.989999999999998</v>
      </c>
      <c r="E200" s="3">
        <v>16.989999999999998</v>
      </c>
      <c r="F200" s="2" t="s">
        <v>18085</v>
      </c>
      <c r="G200" s="22" t="s">
        <v>19315</v>
      </c>
      <c r="H200" s="24" t="s">
        <v>19339</v>
      </c>
      <c r="I200" s="22" t="s">
        <v>19309</v>
      </c>
      <c r="J200" s="22" t="s">
        <v>19849</v>
      </c>
      <c r="K200" s="22" t="s">
        <v>19850</v>
      </c>
      <c r="L200" s="22"/>
      <c r="M200" s="22"/>
      <c r="N200" s="25" t="str">
        <f>HYPERLINK("http://slimages.macys.com/is/image/MCY/21840264 ")</f>
        <v xml:space="preserve">http://slimages.macys.com/is/image/MCY/21840264 </v>
      </c>
    </row>
    <row r="201" spans="1:14" x14ac:dyDescent="0.25">
      <c r="A201" s="21" t="s">
        <v>18086</v>
      </c>
      <c r="B201" s="22" t="s">
        <v>18087</v>
      </c>
      <c r="C201" s="2">
        <v>1</v>
      </c>
      <c r="D201" s="23">
        <v>16.989999999999998</v>
      </c>
      <c r="E201" s="3">
        <v>16.989999999999998</v>
      </c>
      <c r="F201" s="2" t="s">
        <v>18085</v>
      </c>
      <c r="G201" s="22" t="s">
        <v>19315</v>
      </c>
      <c r="H201" s="24" t="s">
        <v>19352</v>
      </c>
      <c r="I201" s="22" t="s">
        <v>19309</v>
      </c>
      <c r="J201" s="22" t="s">
        <v>19849</v>
      </c>
      <c r="K201" s="22" t="s">
        <v>19850</v>
      </c>
      <c r="L201" s="22"/>
      <c r="M201" s="22"/>
      <c r="N201" s="25" t="str">
        <f>HYPERLINK("http://slimages.macys.com/is/image/MCY/21840264 ")</f>
        <v xml:space="preserve">http://slimages.macys.com/is/image/MCY/21840264 </v>
      </c>
    </row>
    <row r="202" spans="1:14" ht="24.75" x14ac:dyDescent="0.25">
      <c r="A202" s="21" t="s">
        <v>15969</v>
      </c>
      <c r="B202" s="22" t="s">
        <v>15970</v>
      </c>
      <c r="C202" s="2">
        <v>1</v>
      </c>
      <c r="D202" s="23">
        <v>18.989999999999998</v>
      </c>
      <c r="E202" s="3">
        <v>18.989999999999998</v>
      </c>
      <c r="F202" s="2" t="s">
        <v>15971</v>
      </c>
      <c r="G202" s="22" t="s">
        <v>19467</v>
      </c>
      <c r="H202" s="24" t="s">
        <v>19770</v>
      </c>
      <c r="I202" s="22" t="s">
        <v>19309</v>
      </c>
      <c r="J202" s="22" t="s">
        <v>19573</v>
      </c>
      <c r="K202" s="22" t="s">
        <v>19574</v>
      </c>
      <c r="L202" s="22"/>
      <c r="M202" s="22"/>
      <c r="N202" s="25" t="str">
        <f>HYPERLINK("http://slimages.macys.com/is/image/MCY/20753516 ")</f>
        <v xml:space="preserve">http://slimages.macys.com/is/image/MCY/20753516 </v>
      </c>
    </row>
    <row r="203" spans="1:14" ht="24.75" x14ac:dyDescent="0.25">
      <c r="A203" s="21" t="s">
        <v>15972</v>
      </c>
      <c r="B203" s="22" t="s">
        <v>15973</v>
      </c>
      <c r="C203" s="2">
        <v>1</v>
      </c>
      <c r="D203" s="23">
        <v>18.989999999999998</v>
      </c>
      <c r="E203" s="3">
        <v>18.989999999999998</v>
      </c>
      <c r="F203" s="2" t="s">
        <v>15974</v>
      </c>
      <c r="G203" s="22" t="s">
        <v>19585</v>
      </c>
      <c r="H203" s="24" t="s">
        <v>19770</v>
      </c>
      <c r="I203" s="22" t="s">
        <v>19309</v>
      </c>
      <c r="J203" s="22" t="s">
        <v>19573</v>
      </c>
      <c r="K203" s="22" t="s">
        <v>19574</v>
      </c>
      <c r="L203" s="22"/>
      <c r="M203" s="22"/>
      <c r="N203" s="25" t="str">
        <f>HYPERLINK("http://slimages.macys.com/is/image/MCY/20757691 ")</f>
        <v xml:space="preserve">http://slimages.macys.com/is/image/MCY/20757691 </v>
      </c>
    </row>
    <row r="204" spans="1:14" x14ac:dyDescent="0.25">
      <c r="A204" s="21" t="s">
        <v>15975</v>
      </c>
      <c r="B204" s="22" t="s">
        <v>15976</v>
      </c>
      <c r="C204" s="2">
        <v>1</v>
      </c>
      <c r="D204" s="23">
        <v>18.989999999999998</v>
      </c>
      <c r="E204" s="3">
        <v>18.989999999999998</v>
      </c>
      <c r="F204" s="2" t="s">
        <v>15977</v>
      </c>
      <c r="G204" s="22" t="s">
        <v>19594</v>
      </c>
      <c r="H204" s="24"/>
      <c r="I204" s="22" t="s">
        <v>19309</v>
      </c>
      <c r="J204" s="22" t="s">
        <v>19696</v>
      </c>
      <c r="K204" s="22" t="s">
        <v>15978</v>
      </c>
      <c r="L204" s="22"/>
      <c r="M204" s="22"/>
      <c r="N204" s="25" t="str">
        <f>HYPERLINK("http://slimages.macys.com/is/image/MCY/21408526 ")</f>
        <v xml:space="preserve">http://slimages.macys.com/is/image/MCY/21408526 </v>
      </c>
    </row>
    <row r="205" spans="1:14" ht="24.75" x14ac:dyDescent="0.25">
      <c r="A205" s="21" t="s">
        <v>15979</v>
      </c>
      <c r="B205" s="22" t="s">
        <v>15980</v>
      </c>
      <c r="C205" s="2">
        <v>1</v>
      </c>
      <c r="D205" s="23">
        <v>17.72</v>
      </c>
      <c r="E205" s="3">
        <v>17.72</v>
      </c>
      <c r="F205" s="2" t="s">
        <v>15981</v>
      </c>
      <c r="G205" s="22"/>
      <c r="H205" s="24" t="s">
        <v>19334</v>
      </c>
      <c r="I205" s="22" t="s">
        <v>19309</v>
      </c>
      <c r="J205" s="22" t="s">
        <v>19602</v>
      </c>
      <c r="K205" s="22" t="s">
        <v>19603</v>
      </c>
      <c r="L205" s="22"/>
      <c r="M205" s="22"/>
      <c r="N205" s="25" t="str">
        <f>HYPERLINK("http://slimages.macys.com/is/image/MCY/21722946 ")</f>
        <v xml:space="preserve">http://slimages.macys.com/is/image/MCY/21722946 </v>
      </c>
    </row>
    <row r="206" spans="1:14" x14ac:dyDescent="0.25">
      <c r="A206" s="21" t="s">
        <v>20064</v>
      </c>
      <c r="B206" s="22" t="s">
        <v>20065</v>
      </c>
      <c r="C206" s="2">
        <v>1</v>
      </c>
      <c r="D206" s="23">
        <v>15.99</v>
      </c>
      <c r="E206" s="3">
        <v>15.99</v>
      </c>
      <c r="F206" s="2" t="s">
        <v>20066</v>
      </c>
      <c r="G206" s="22" t="s">
        <v>19315</v>
      </c>
      <c r="H206" s="24" t="s">
        <v>19334</v>
      </c>
      <c r="I206" s="22" t="s">
        <v>19309</v>
      </c>
      <c r="J206" s="22" t="s">
        <v>19310</v>
      </c>
      <c r="K206" s="22" t="s">
        <v>19440</v>
      </c>
      <c r="L206" s="22"/>
      <c r="M206" s="22"/>
      <c r="N206" s="25" t="str">
        <f>HYPERLINK("http://slimages.macys.com/is/image/MCY/21267915 ")</f>
        <v xml:space="preserve">http://slimages.macys.com/is/image/MCY/21267915 </v>
      </c>
    </row>
    <row r="207" spans="1:14" ht="24.75" x14ac:dyDescent="0.25">
      <c r="A207" s="21" t="s">
        <v>15982</v>
      </c>
      <c r="B207" s="22" t="s">
        <v>15983</v>
      </c>
      <c r="C207" s="2">
        <v>1</v>
      </c>
      <c r="D207" s="23">
        <v>20.99</v>
      </c>
      <c r="E207" s="3">
        <v>20.99</v>
      </c>
      <c r="F207" s="2" t="s">
        <v>15984</v>
      </c>
      <c r="G207" s="22" t="s">
        <v>19879</v>
      </c>
      <c r="H207" s="24" t="s">
        <v>19538</v>
      </c>
      <c r="I207" s="22" t="s">
        <v>19309</v>
      </c>
      <c r="J207" s="22" t="s">
        <v>19385</v>
      </c>
      <c r="K207" s="22" t="s">
        <v>19386</v>
      </c>
      <c r="L207" s="22"/>
      <c r="M207" s="22"/>
      <c r="N207" s="25" t="str">
        <f>HYPERLINK("http://slimages.macys.com/is/image/MCY/21465532 ")</f>
        <v xml:space="preserve">http://slimages.macys.com/is/image/MCY/21465532 </v>
      </c>
    </row>
    <row r="208" spans="1:14" x14ac:dyDescent="0.25">
      <c r="A208" s="21" t="s">
        <v>15985</v>
      </c>
      <c r="B208" s="22" t="s">
        <v>15986</v>
      </c>
      <c r="C208" s="2">
        <v>2</v>
      </c>
      <c r="D208" s="23">
        <v>15.99</v>
      </c>
      <c r="E208" s="3">
        <v>31.98</v>
      </c>
      <c r="F208" s="2" t="s">
        <v>20066</v>
      </c>
      <c r="G208" s="22" t="s">
        <v>19315</v>
      </c>
      <c r="H208" s="24" t="s">
        <v>19432</v>
      </c>
      <c r="I208" s="22" t="s">
        <v>19309</v>
      </c>
      <c r="J208" s="22" t="s">
        <v>19310</v>
      </c>
      <c r="K208" s="22" t="s">
        <v>19440</v>
      </c>
      <c r="L208" s="22"/>
      <c r="M208" s="22"/>
      <c r="N208" s="25" t="str">
        <f>HYPERLINK("http://slimages.macys.com/is/image/MCY/21267919 ")</f>
        <v xml:space="preserve">http://slimages.macys.com/is/image/MCY/21267919 </v>
      </c>
    </row>
    <row r="209" spans="1:14" x14ac:dyDescent="0.25">
      <c r="A209" s="21" t="s">
        <v>15987</v>
      </c>
      <c r="B209" s="22" t="s">
        <v>15988</v>
      </c>
      <c r="C209" s="2">
        <v>1</v>
      </c>
      <c r="D209" s="23">
        <v>15.99</v>
      </c>
      <c r="E209" s="3">
        <v>15.99</v>
      </c>
      <c r="F209" s="2" t="s">
        <v>18120</v>
      </c>
      <c r="G209" s="22" t="s">
        <v>19338</v>
      </c>
      <c r="H209" s="24" t="s">
        <v>19361</v>
      </c>
      <c r="I209" s="22" t="s">
        <v>19309</v>
      </c>
      <c r="J209" s="22" t="s">
        <v>19310</v>
      </c>
      <c r="K209" s="22" t="s">
        <v>19440</v>
      </c>
      <c r="L209" s="22"/>
      <c r="M209" s="22"/>
      <c r="N209" s="25" t="str">
        <f>HYPERLINK("http://slimages.macys.com/is/image/MCY/20918922 ")</f>
        <v xml:space="preserve">http://slimages.macys.com/is/image/MCY/20918922 </v>
      </c>
    </row>
    <row r="210" spans="1:14" x14ac:dyDescent="0.25">
      <c r="A210" s="21" t="s">
        <v>15989</v>
      </c>
      <c r="B210" s="22" t="s">
        <v>15990</v>
      </c>
      <c r="C210" s="2">
        <v>1</v>
      </c>
      <c r="D210" s="23">
        <v>15.99</v>
      </c>
      <c r="E210" s="3">
        <v>15.99</v>
      </c>
      <c r="F210" s="2" t="s">
        <v>20066</v>
      </c>
      <c r="G210" s="22" t="s">
        <v>19315</v>
      </c>
      <c r="H210" s="24" t="s">
        <v>19361</v>
      </c>
      <c r="I210" s="22" t="s">
        <v>19309</v>
      </c>
      <c r="J210" s="22" t="s">
        <v>19310</v>
      </c>
      <c r="K210" s="22" t="s">
        <v>19440</v>
      </c>
      <c r="L210" s="22"/>
      <c r="M210" s="22"/>
      <c r="N210" s="25" t="str">
        <f>HYPERLINK("http://slimages.macys.com/is/image/MCY/21267919 ")</f>
        <v xml:space="preserve">http://slimages.macys.com/is/image/MCY/21267919 </v>
      </c>
    </row>
    <row r="211" spans="1:14" x14ac:dyDescent="0.25">
      <c r="A211" s="21" t="s">
        <v>15991</v>
      </c>
      <c r="B211" s="22" t="s">
        <v>15992</v>
      </c>
      <c r="C211" s="2">
        <v>1</v>
      </c>
      <c r="D211" s="23">
        <v>15.99</v>
      </c>
      <c r="E211" s="3">
        <v>15.99</v>
      </c>
      <c r="F211" s="2" t="s">
        <v>20066</v>
      </c>
      <c r="G211" s="22" t="s">
        <v>19315</v>
      </c>
      <c r="H211" s="24" t="s">
        <v>19542</v>
      </c>
      <c r="I211" s="22" t="s">
        <v>19309</v>
      </c>
      <c r="J211" s="22" t="s">
        <v>19310</v>
      </c>
      <c r="K211" s="22" t="s">
        <v>19440</v>
      </c>
      <c r="L211" s="22"/>
      <c r="M211" s="22"/>
      <c r="N211" s="25" t="str">
        <f>HYPERLINK("http://slimages.macys.com/is/image/MCY/21267919 ")</f>
        <v xml:space="preserve">http://slimages.macys.com/is/image/MCY/21267919 </v>
      </c>
    </row>
    <row r="212" spans="1:14" ht="24.75" x14ac:dyDescent="0.25">
      <c r="A212" s="21" t="s">
        <v>15993</v>
      </c>
      <c r="B212" s="22" t="s">
        <v>15994</v>
      </c>
      <c r="C212" s="2">
        <v>1</v>
      </c>
      <c r="D212" s="23">
        <v>19.989999999999998</v>
      </c>
      <c r="E212" s="3">
        <v>19.989999999999998</v>
      </c>
      <c r="F212" s="2" t="s">
        <v>15995</v>
      </c>
      <c r="G212" s="22" t="s">
        <v>19431</v>
      </c>
      <c r="H212" s="24" t="s">
        <v>19416</v>
      </c>
      <c r="I212" s="22" t="s">
        <v>19309</v>
      </c>
      <c r="J212" s="22" t="s">
        <v>19573</v>
      </c>
      <c r="K212" s="22" t="s">
        <v>19574</v>
      </c>
      <c r="L212" s="22"/>
      <c r="M212" s="22"/>
      <c r="N212" s="25" t="str">
        <f>HYPERLINK("http://slimages.macys.com/is/image/MCY/20757431 ")</f>
        <v xml:space="preserve">http://slimages.macys.com/is/image/MCY/20757431 </v>
      </c>
    </row>
    <row r="213" spans="1:14" x14ac:dyDescent="0.25">
      <c r="A213" s="21" t="s">
        <v>15996</v>
      </c>
      <c r="B213" s="22" t="s">
        <v>15997</v>
      </c>
      <c r="C213" s="2">
        <v>1</v>
      </c>
      <c r="D213" s="23">
        <v>19.989999999999998</v>
      </c>
      <c r="E213" s="3">
        <v>19.989999999999998</v>
      </c>
      <c r="F213" s="2" t="s">
        <v>15998</v>
      </c>
      <c r="G213" s="22" t="s">
        <v>19342</v>
      </c>
      <c r="H213" s="24" t="s">
        <v>19395</v>
      </c>
      <c r="I213" s="22" t="s">
        <v>19309</v>
      </c>
      <c r="J213" s="22" t="s">
        <v>19696</v>
      </c>
      <c r="K213" s="22" t="s">
        <v>19965</v>
      </c>
      <c r="L213" s="22"/>
      <c r="M213" s="22"/>
      <c r="N213" s="25" t="str">
        <f>HYPERLINK("http://slimages.macys.com/is/image/MCY/20662562 ")</f>
        <v xml:space="preserve">http://slimages.macys.com/is/image/MCY/20662562 </v>
      </c>
    </row>
    <row r="214" spans="1:14" x14ac:dyDescent="0.25">
      <c r="A214" s="21" t="s">
        <v>15999</v>
      </c>
      <c r="B214" s="22" t="s">
        <v>16000</v>
      </c>
      <c r="C214" s="2">
        <v>1</v>
      </c>
      <c r="D214" s="23">
        <v>15.3</v>
      </c>
      <c r="E214" s="3">
        <v>15.3</v>
      </c>
      <c r="F214" s="2" t="s">
        <v>16001</v>
      </c>
      <c r="G214" s="22"/>
      <c r="H214" s="24" t="s">
        <v>19770</v>
      </c>
      <c r="I214" s="22" t="s">
        <v>19309</v>
      </c>
      <c r="J214" s="22" t="s">
        <v>19708</v>
      </c>
      <c r="K214" s="22" t="s">
        <v>19709</v>
      </c>
      <c r="L214" s="22"/>
      <c r="M214" s="22"/>
      <c r="N214" s="25" t="str">
        <f>HYPERLINK("http://slimages.macys.com/is/image/MCY/21409108 ")</f>
        <v xml:space="preserve">http://slimages.macys.com/is/image/MCY/21409108 </v>
      </c>
    </row>
    <row r="215" spans="1:14" ht="24.75" x14ac:dyDescent="0.25">
      <c r="A215" s="21" t="s">
        <v>16002</v>
      </c>
      <c r="B215" s="22" t="s">
        <v>16003</v>
      </c>
      <c r="C215" s="2">
        <v>1</v>
      </c>
      <c r="D215" s="23">
        <v>20</v>
      </c>
      <c r="E215" s="3">
        <v>20</v>
      </c>
      <c r="F215" s="2" t="s">
        <v>16004</v>
      </c>
      <c r="G215" s="22" t="s">
        <v>19315</v>
      </c>
      <c r="H215" s="24" t="s">
        <v>16005</v>
      </c>
      <c r="I215" s="22" t="s">
        <v>19309</v>
      </c>
      <c r="J215" s="22" t="s">
        <v>16678</v>
      </c>
      <c r="K215" s="22" t="s">
        <v>16006</v>
      </c>
      <c r="L215" s="22"/>
      <c r="M215" s="22"/>
      <c r="N215" s="25" t="str">
        <f>HYPERLINK("http://slimages.macys.com/is/image/MCY/20091892 ")</f>
        <v xml:space="preserve">http://slimages.macys.com/is/image/MCY/20091892 </v>
      </c>
    </row>
    <row r="216" spans="1:14" x14ac:dyDescent="0.25">
      <c r="A216" s="21" t="s">
        <v>16007</v>
      </c>
      <c r="B216" s="22" t="s">
        <v>16008</v>
      </c>
      <c r="C216" s="2">
        <v>1</v>
      </c>
      <c r="D216" s="23">
        <v>15.3</v>
      </c>
      <c r="E216" s="3">
        <v>15.3</v>
      </c>
      <c r="F216" s="2" t="s">
        <v>16009</v>
      </c>
      <c r="G216" s="22" t="s">
        <v>19351</v>
      </c>
      <c r="H216" s="24" t="s">
        <v>19770</v>
      </c>
      <c r="I216" s="22" t="s">
        <v>19309</v>
      </c>
      <c r="J216" s="22" t="s">
        <v>19708</v>
      </c>
      <c r="K216" s="22" t="s">
        <v>19709</v>
      </c>
      <c r="L216" s="22"/>
      <c r="M216" s="22"/>
      <c r="N216" s="25" t="str">
        <f>HYPERLINK("http://slimages.macys.com/is/image/MCY/21409830 ")</f>
        <v xml:space="preserve">http://slimages.macys.com/is/image/MCY/21409830 </v>
      </c>
    </row>
    <row r="217" spans="1:14" ht="24.75" x14ac:dyDescent="0.25">
      <c r="A217" s="21" t="s">
        <v>16010</v>
      </c>
      <c r="B217" s="22" t="s">
        <v>16011</v>
      </c>
      <c r="C217" s="2">
        <v>1</v>
      </c>
      <c r="D217" s="23">
        <v>19.989999999999998</v>
      </c>
      <c r="E217" s="3">
        <v>19.989999999999998</v>
      </c>
      <c r="F217" s="2" t="s">
        <v>16012</v>
      </c>
      <c r="G217" s="22" t="s">
        <v>19467</v>
      </c>
      <c r="H217" s="24" t="s">
        <v>19330</v>
      </c>
      <c r="I217" s="22" t="s">
        <v>19309</v>
      </c>
      <c r="J217" s="22" t="s">
        <v>19573</v>
      </c>
      <c r="K217" s="22" t="s">
        <v>19574</v>
      </c>
      <c r="L217" s="22"/>
      <c r="M217" s="22"/>
      <c r="N217" s="25" t="str">
        <f>HYPERLINK("http://slimages.macys.com/is/image/MCY/21361474 ")</f>
        <v xml:space="preserve">http://slimages.macys.com/is/image/MCY/21361474 </v>
      </c>
    </row>
    <row r="218" spans="1:14" x14ac:dyDescent="0.25">
      <c r="A218" s="21" t="s">
        <v>16013</v>
      </c>
      <c r="B218" s="22" t="s">
        <v>16014</v>
      </c>
      <c r="C218" s="2">
        <v>1</v>
      </c>
      <c r="D218" s="23">
        <v>22.99</v>
      </c>
      <c r="E218" s="3">
        <v>22.99</v>
      </c>
      <c r="F218" s="2" t="s">
        <v>20085</v>
      </c>
      <c r="G218" s="22" t="s">
        <v>19674</v>
      </c>
      <c r="H218" s="24" t="s">
        <v>20089</v>
      </c>
      <c r="I218" s="22" t="s">
        <v>19309</v>
      </c>
      <c r="J218" s="22" t="s">
        <v>19849</v>
      </c>
      <c r="K218" s="22" t="s">
        <v>19850</v>
      </c>
      <c r="L218" s="22"/>
      <c r="M218" s="22"/>
      <c r="N218" s="25" t="str">
        <f>HYPERLINK("http://slimages.macys.com/is/image/MCY/1521089 ")</f>
        <v xml:space="preserve">http://slimages.macys.com/is/image/MCY/1521089 </v>
      </c>
    </row>
    <row r="219" spans="1:14" ht="24.75" x14ac:dyDescent="0.25">
      <c r="A219" s="21" t="s">
        <v>16015</v>
      </c>
      <c r="B219" s="22" t="s">
        <v>16016</v>
      </c>
      <c r="C219" s="2">
        <v>1</v>
      </c>
      <c r="D219" s="23">
        <v>19.989999999999998</v>
      </c>
      <c r="E219" s="3">
        <v>19.989999999999998</v>
      </c>
      <c r="F219" s="2" t="s">
        <v>16017</v>
      </c>
      <c r="G219" s="22" t="s">
        <v>19333</v>
      </c>
      <c r="H219" s="24" t="s">
        <v>19907</v>
      </c>
      <c r="I219" s="22" t="s">
        <v>19309</v>
      </c>
      <c r="J219" s="22" t="s">
        <v>19908</v>
      </c>
      <c r="K219" s="22" t="s">
        <v>19524</v>
      </c>
      <c r="L219" s="22"/>
      <c r="M219" s="22"/>
      <c r="N219" s="25" t="str">
        <f>HYPERLINK("http://slimages.macys.com/is/image/MCY/21070253 ")</f>
        <v xml:space="preserve">http://slimages.macys.com/is/image/MCY/21070253 </v>
      </c>
    </row>
    <row r="220" spans="1:14" ht="24.75" x14ac:dyDescent="0.25">
      <c r="A220" s="21" t="s">
        <v>16018</v>
      </c>
      <c r="B220" s="22" t="s">
        <v>16019</v>
      </c>
      <c r="C220" s="2">
        <v>1</v>
      </c>
      <c r="D220" s="23">
        <v>19.989999999999998</v>
      </c>
      <c r="E220" s="3">
        <v>19.989999999999998</v>
      </c>
      <c r="F220" s="2" t="s">
        <v>20094</v>
      </c>
      <c r="G220" s="22" t="s">
        <v>19415</v>
      </c>
      <c r="H220" s="24" t="s">
        <v>19361</v>
      </c>
      <c r="I220" s="22" t="s">
        <v>19309</v>
      </c>
      <c r="J220" s="22" t="s">
        <v>19908</v>
      </c>
      <c r="K220" s="22" t="s">
        <v>19524</v>
      </c>
      <c r="L220" s="22"/>
      <c r="M220" s="22"/>
      <c r="N220" s="25" t="str">
        <f>HYPERLINK("http://slimages.macys.com/is/image/MCY/21070251 ")</f>
        <v xml:space="preserve">http://slimages.macys.com/is/image/MCY/21070251 </v>
      </c>
    </row>
    <row r="221" spans="1:14" ht="24.75" x14ac:dyDescent="0.25">
      <c r="A221" s="21" t="s">
        <v>16020</v>
      </c>
      <c r="B221" s="22" t="s">
        <v>16021</v>
      </c>
      <c r="C221" s="2">
        <v>1</v>
      </c>
      <c r="D221" s="23">
        <v>19.989999999999998</v>
      </c>
      <c r="E221" s="3">
        <v>19.989999999999998</v>
      </c>
      <c r="F221" s="2" t="s">
        <v>16017</v>
      </c>
      <c r="G221" s="22" t="s">
        <v>19333</v>
      </c>
      <c r="H221" s="24" t="s">
        <v>19377</v>
      </c>
      <c r="I221" s="22" t="s">
        <v>19309</v>
      </c>
      <c r="J221" s="22" t="s">
        <v>19908</v>
      </c>
      <c r="K221" s="22" t="s">
        <v>19524</v>
      </c>
      <c r="L221" s="22"/>
      <c r="M221" s="22"/>
      <c r="N221" s="25" t="str">
        <f>HYPERLINK("http://slimages.macys.com/is/image/MCY/21070253 ")</f>
        <v xml:space="preserve">http://slimages.macys.com/is/image/MCY/21070253 </v>
      </c>
    </row>
    <row r="222" spans="1:14" ht="24.75" x14ac:dyDescent="0.25">
      <c r="A222" s="21" t="s">
        <v>16022</v>
      </c>
      <c r="B222" s="22" t="s">
        <v>16023</v>
      </c>
      <c r="C222" s="2">
        <v>1</v>
      </c>
      <c r="D222" s="23">
        <v>16.82</v>
      </c>
      <c r="E222" s="3">
        <v>16.82</v>
      </c>
      <c r="F222" s="2" t="s">
        <v>16024</v>
      </c>
      <c r="G222" s="22"/>
      <c r="H222" s="24" t="s">
        <v>19392</v>
      </c>
      <c r="I222" s="22" t="s">
        <v>19309</v>
      </c>
      <c r="J222" s="22" t="s">
        <v>19602</v>
      </c>
      <c r="K222" s="22" t="s">
        <v>20041</v>
      </c>
      <c r="L222" s="22"/>
      <c r="M222" s="22"/>
      <c r="N222" s="25" t="str">
        <f>HYPERLINK("http://slimages.macys.com/is/image/MCY/21421197 ")</f>
        <v xml:space="preserve">http://slimages.macys.com/is/image/MCY/21421197 </v>
      </c>
    </row>
    <row r="223" spans="1:14" ht="24.75" x14ac:dyDescent="0.25">
      <c r="A223" s="21" t="s">
        <v>16025</v>
      </c>
      <c r="B223" s="22" t="s">
        <v>16026</v>
      </c>
      <c r="C223" s="2">
        <v>1</v>
      </c>
      <c r="D223" s="23">
        <v>16.82</v>
      </c>
      <c r="E223" s="3">
        <v>16.82</v>
      </c>
      <c r="F223" s="2" t="s">
        <v>16027</v>
      </c>
      <c r="G223" s="22"/>
      <c r="H223" s="24" t="s">
        <v>19334</v>
      </c>
      <c r="I223" s="22" t="s">
        <v>19309</v>
      </c>
      <c r="J223" s="22" t="s">
        <v>19602</v>
      </c>
      <c r="K223" s="22" t="s">
        <v>20041</v>
      </c>
      <c r="L223" s="22"/>
      <c r="M223" s="22"/>
      <c r="N223" s="25" t="str">
        <f>HYPERLINK("http://slimages.macys.com/is/image/MCY/21421073 ")</f>
        <v xml:space="preserve">http://slimages.macys.com/is/image/MCY/21421073 </v>
      </c>
    </row>
    <row r="224" spans="1:14" x14ac:dyDescent="0.25">
      <c r="A224" s="21" t="s">
        <v>16028</v>
      </c>
      <c r="B224" s="22" t="s">
        <v>16029</v>
      </c>
      <c r="C224" s="2">
        <v>1</v>
      </c>
      <c r="D224" s="23">
        <v>19</v>
      </c>
      <c r="E224" s="3">
        <v>19</v>
      </c>
      <c r="F224" s="2" t="s">
        <v>16030</v>
      </c>
      <c r="G224" s="22" t="s">
        <v>19431</v>
      </c>
      <c r="H224" s="24" t="s">
        <v>19367</v>
      </c>
      <c r="I224" s="22" t="s">
        <v>19309</v>
      </c>
      <c r="J224" s="22" t="s">
        <v>19708</v>
      </c>
      <c r="K224" s="22" t="s">
        <v>19709</v>
      </c>
      <c r="L224" s="22"/>
      <c r="M224" s="22"/>
      <c r="N224" s="25" t="str">
        <f>HYPERLINK("http://slimages.macys.com/is/image/MCY/21726241 ")</f>
        <v xml:space="preserve">http://slimages.macys.com/is/image/MCY/21726241 </v>
      </c>
    </row>
    <row r="225" spans="1:14" x14ac:dyDescent="0.25">
      <c r="A225" s="21" t="s">
        <v>16031</v>
      </c>
      <c r="B225" s="22" t="s">
        <v>16032</v>
      </c>
      <c r="C225" s="2">
        <v>1</v>
      </c>
      <c r="D225" s="23">
        <v>19</v>
      </c>
      <c r="E225" s="3">
        <v>19</v>
      </c>
      <c r="F225" s="2" t="s">
        <v>16033</v>
      </c>
      <c r="G225" s="22"/>
      <c r="H225" s="24" t="s">
        <v>20159</v>
      </c>
      <c r="I225" s="22" t="s">
        <v>19309</v>
      </c>
      <c r="J225" s="22" t="s">
        <v>19708</v>
      </c>
      <c r="K225" s="22" t="s">
        <v>19709</v>
      </c>
      <c r="L225" s="22"/>
      <c r="M225" s="22"/>
      <c r="N225" s="25" t="str">
        <f>HYPERLINK("http://slimages.macys.com/is/image/MCY/21726179 ")</f>
        <v xml:space="preserve">http://slimages.macys.com/is/image/MCY/21726179 </v>
      </c>
    </row>
    <row r="226" spans="1:14" x14ac:dyDescent="0.25">
      <c r="A226" s="21" t="s">
        <v>16034</v>
      </c>
      <c r="B226" s="22" t="s">
        <v>16035</v>
      </c>
      <c r="C226" s="2">
        <v>2</v>
      </c>
      <c r="D226" s="23">
        <v>16.989999999999998</v>
      </c>
      <c r="E226" s="3">
        <v>33.979999999999997</v>
      </c>
      <c r="F226" s="2" t="s">
        <v>16036</v>
      </c>
      <c r="G226" s="22" t="s">
        <v>19477</v>
      </c>
      <c r="H226" s="24" t="s">
        <v>19361</v>
      </c>
      <c r="I226" s="22" t="s">
        <v>19309</v>
      </c>
      <c r="J226" s="22" t="s">
        <v>19849</v>
      </c>
      <c r="K226" s="22" t="s">
        <v>19850</v>
      </c>
      <c r="L226" s="22"/>
      <c r="M226" s="22"/>
      <c r="N226" s="25" t="str">
        <f>HYPERLINK("http://slimages.macys.com/is/image/MCY/20751974 ")</f>
        <v xml:space="preserve">http://slimages.macys.com/is/image/MCY/20751974 </v>
      </c>
    </row>
    <row r="227" spans="1:14" x14ac:dyDescent="0.25">
      <c r="A227" s="21" t="s">
        <v>16037</v>
      </c>
      <c r="B227" s="22" t="s">
        <v>16038</v>
      </c>
      <c r="C227" s="2">
        <v>1</v>
      </c>
      <c r="D227" s="23">
        <v>16.989999999999998</v>
      </c>
      <c r="E227" s="3">
        <v>16.989999999999998</v>
      </c>
      <c r="F227" s="2" t="s">
        <v>16036</v>
      </c>
      <c r="G227" s="22" t="s">
        <v>19477</v>
      </c>
      <c r="H227" s="24" t="s">
        <v>19542</v>
      </c>
      <c r="I227" s="22" t="s">
        <v>19309</v>
      </c>
      <c r="J227" s="22" t="s">
        <v>19849</v>
      </c>
      <c r="K227" s="22" t="s">
        <v>19850</v>
      </c>
      <c r="L227" s="22"/>
      <c r="M227" s="22"/>
      <c r="N227" s="25" t="str">
        <f>HYPERLINK("http://slimages.macys.com/is/image/MCY/20751974 ")</f>
        <v xml:space="preserve">http://slimages.macys.com/is/image/MCY/20751974 </v>
      </c>
    </row>
    <row r="228" spans="1:14" x14ac:dyDescent="0.25">
      <c r="A228" s="21" t="s">
        <v>16039</v>
      </c>
      <c r="B228" s="22" t="s">
        <v>16040</v>
      </c>
      <c r="C228" s="2">
        <v>1</v>
      </c>
      <c r="D228" s="23">
        <v>16.989999999999998</v>
      </c>
      <c r="E228" s="3">
        <v>16.989999999999998</v>
      </c>
      <c r="F228" s="2" t="s">
        <v>16036</v>
      </c>
      <c r="G228" s="22" t="s">
        <v>19477</v>
      </c>
      <c r="H228" s="24" t="s">
        <v>20089</v>
      </c>
      <c r="I228" s="22" t="s">
        <v>19309</v>
      </c>
      <c r="J228" s="22" t="s">
        <v>19849</v>
      </c>
      <c r="K228" s="22" t="s">
        <v>19850</v>
      </c>
      <c r="L228" s="22"/>
      <c r="M228" s="22"/>
      <c r="N228" s="25" t="str">
        <f>HYPERLINK("http://slimages.macys.com/is/image/MCY/20751974 ")</f>
        <v xml:space="preserve">http://slimages.macys.com/is/image/MCY/20751974 </v>
      </c>
    </row>
    <row r="229" spans="1:14" x14ac:dyDescent="0.25">
      <c r="A229" s="21" t="s">
        <v>16041</v>
      </c>
      <c r="B229" s="22" t="s">
        <v>16042</v>
      </c>
      <c r="C229" s="2">
        <v>3</v>
      </c>
      <c r="D229" s="23">
        <v>18.66</v>
      </c>
      <c r="E229" s="3">
        <v>55.98</v>
      </c>
      <c r="F229" s="2" t="s">
        <v>16043</v>
      </c>
      <c r="G229" s="22" t="s">
        <v>19431</v>
      </c>
      <c r="H229" s="24" t="s">
        <v>19367</v>
      </c>
      <c r="I229" s="22" t="s">
        <v>19309</v>
      </c>
      <c r="J229" s="22" t="s">
        <v>19708</v>
      </c>
      <c r="K229" s="22" t="s">
        <v>19709</v>
      </c>
      <c r="L229" s="22"/>
      <c r="M229" s="22"/>
      <c r="N229" s="25" t="str">
        <f>HYPERLINK("http://slimages.macys.com/is/image/MCY/21414270 ")</f>
        <v xml:space="preserve">http://slimages.macys.com/is/image/MCY/21414270 </v>
      </c>
    </row>
    <row r="230" spans="1:14" x14ac:dyDescent="0.25">
      <c r="A230" s="21" t="s">
        <v>16044</v>
      </c>
      <c r="B230" s="22" t="s">
        <v>16045</v>
      </c>
      <c r="C230" s="2">
        <v>1</v>
      </c>
      <c r="D230" s="23">
        <v>18.11</v>
      </c>
      <c r="E230" s="3">
        <v>18.11</v>
      </c>
      <c r="F230" s="2" t="s">
        <v>16043</v>
      </c>
      <c r="G230" s="22" t="s">
        <v>19431</v>
      </c>
      <c r="H230" s="24" t="s">
        <v>19324</v>
      </c>
      <c r="I230" s="22" t="s">
        <v>19309</v>
      </c>
      <c r="J230" s="22" t="s">
        <v>19708</v>
      </c>
      <c r="K230" s="22" t="s">
        <v>19709</v>
      </c>
      <c r="L230" s="22"/>
      <c r="M230" s="22"/>
      <c r="N230" s="25" t="str">
        <f>HYPERLINK("http://slimages.macys.com/is/image/MCY/21414270 ")</f>
        <v xml:space="preserve">http://slimages.macys.com/is/image/MCY/21414270 </v>
      </c>
    </row>
    <row r="231" spans="1:14" x14ac:dyDescent="0.25">
      <c r="A231" s="21" t="s">
        <v>16046</v>
      </c>
      <c r="B231" s="22" t="s">
        <v>16047</v>
      </c>
      <c r="C231" s="2">
        <v>1</v>
      </c>
      <c r="D231" s="23">
        <v>18.66</v>
      </c>
      <c r="E231" s="3">
        <v>18.66</v>
      </c>
      <c r="F231" s="2" t="s">
        <v>16048</v>
      </c>
      <c r="G231" s="22"/>
      <c r="H231" s="24" t="s">
        <v>19416</v>
      </c>
      <c r="I231" s="22" t="s">
        <v>19309</v>
      </c>
      <c r="J231" s="22" t="s">
        <v>19708</v>
      </c>
      <c r="K231" s="22" t="s">
        <v>19709</v>
      </c>
      <c r="L231" s="22"/>
      <c r="M231" s="22"/>
      <c r="N231" s="25" t="str">
        <f>HYPERLINK("http://slimages.macys.com/is/image/MCY/21414591 ")</f>
        <v xml:space="preserve">http://slimages.macys.com/is/image/MCY/21414591 </v>
      </c>
    </row>
    <row r="232" spans="1:14" x14ac:dyDescent="0.25">
      <c r="A232" s="21" t="s">
        <v>16049</v>
      </c>
      <c r="B232" s="22" t="s">
        <v>16050</v>
      </c>
      <c r="C232" s="2">
        <v>2</v>
      </c>
      <c r="D232" s="23">
        <v>18.66</v>
      </c>
      <c r="E232" s="3">
        <v>37.32</v>
      </c>
      <c r="F232" s="2" t="s">
        <v>16043</v>
      </c>
      <c r="G232" s="22" t="s">
        <v>19431</v>
      </c>
      <c r="H232" s="24" t="s">
        <v>19330</v>
      </c>
      <c r="I232" s="22" t="s">
        <v>19309</v>
      </c>
      <c r="J232" s="22" t="s">
        <v>19708</v>
      </c>
      <c r="K232" s="22" t="s">
        <v>19709</v>
      </c>
      <c r="L232" s="22"/>
      <c r="M232" s="22"/>
      <c r="N232" s="25" t="str">
        <f>HYPERLINK("http://slimages.macys.com/is/image/MCY/21414270 ")</f>
        <v xml:space="preserve">http://slimages.macys.com/is/image/MCY/21414270 </v>
      </c>
    </row>
    <row r="233" spans="1:14" x14ac:dyDescent="0.25">
      <c r="A233" s="21" t="s">
        <v>16051</v>
      </c>
      <c r="B233" s="22" t="s">
        <v>16052</v>
      </c>
      <c r="C233" s="2">
        <v>1</v>
      </c>
      <c r="D233" s="23">
        <v>18.66</v>
      </c>
      <c r="E233" s="3">
        <v>18.66</v>
      </c>
      <c r="F233" s="2" t="s">
        <v>16043</v>
      </c>
      <c r="G233" s="22" t="s">
        <v>19431</v>
      </c>
      <c r="H233" s="24" t="s">
        <v>19416</v>
      </c>
      <c r="I233" s="22" t="s">
        <v>19309</v>
      </c>
      <c r="J233" s="22" t="s">
        <v>19708</v>
      </c>
      <c r="K233" s="22" t="s">
        <v>19709</v>
      </c>
      <c r="L233" s="22"/>
      <c r="M233" s="22"/>
      <c r="N233" s="25" t="str">
        <f>HYPERLINK("http://slimages.macys.com/is/image/MCY/21414270 ")</f>
        <v xml:space="preserve">http://slimages.macys.com/is/image/MCY/21414270 </v>
      </c>
    </row>
    <row r="234" spans="1:14" x14ac:dyDescent="0.25">
      <c r="A234" s="21" t="s">
        <v>16053</v>
      </c>
      <c r="B234" s="22" t="s">
        <v>16054</v>
      </c>
      <c r="C234" s="2">
        <v>1</v>
      </c>
      <c r="D234" s="23">
        <v>14.67</v>
      </c>
      <c r="E234" s="3">
        <v>14.67</v>
      </c>
      <c r="F234" s="2" t="s">
        <v>20162</v>
      </c>
      <c r="G234" s="22" t="s">
        <v>19333</v>
      </c>
      <c r="H234" s="24" t="s">
        <v>19770</v>
      </c>
      <c r="I234" s="22" t="s">
        <v>19309</v>
      </c>
      <c r="J234" s="22" t="s">
        <v>19708</v>
      </c>
      <c r="K234" s="22" t="s">
        <v>19709</v>
      </c>
      <c r="L234" s="22"/>
      <c r="M234" s="22"/>
      <c r="N234" s="25" t="str">
        <f>HYPERLINK("http://slimages.macys.com/is/image/MCY/19063047 ")</f>
        <v xml:space="preserve">http://slimages.macys.com/is/image/MCY/19063047 </v>
      </c>
    </row>
    <row r="235" spans="1:14" ht="24.75" x14ac:dyDescent="0.25">
      <c r="A235" s="21" t="s">
        <v>16055</v>
      </c>
      <c r="B235" s="22" t="s">
        <v>16056</v>
      </c>
      <c r="C235" s="2">
        <v>1</v>
      </c>
      <c r="D235" s="23">
        <v>16.21</v>
      </c>
      <c r="E235" s="3">
        <v>16.21</v>
      </c>
      <c r="F235" s="2" t="s">
        <v>16057</v>
      </c>
      <c r="G235" s="22"/>
      <c r="H235" s="24" t="s">
        <v>19345</v>
      </c>
      <c r="I235" s="22" t="s">
        <v>19309</v>
      </c>
      <c r="J235" s="22" t="s">
        <v>19602</v>
      </c>
      <c r="K235" s="22" t="s">
        <v>20041</v>
      </c>
      <c r="L235" s="22"/>
      <c r="M235" s="22"/>
      <c r="N235" s="25" t="str">
        <f>HYPERLINK("http://slimages.macys.com/is/image/MCY/21728915 ")</f>
        <v xml:space="preserve">http://slimages.macys.com/is/image/MCY/21728915 </v>
      </c>
    </row>
    <row r="236" spans="1:14" ht="24.75" x14ac:dyDescent="0.25">
      <c r="A236" s="21" t="s">
        <v>16058</v>
      </c>
      <c r="B236" s="22" t="s">
        <v>16059</v>
      </c>
      <c r="C236" s="2">
        <v>1</v>
      </c>
      <c r="D236" s="23">
        <v>16.989999999999998</v>
      </c>
      <c r="E236" s="3">
        <v>16.989999999999998</v>
      </c>
      <c r="F236" s="2" t="s">
        <v>16060</v>
      </c>
      <c r="G236" s="22" t="s">
        <v>19431</v>
      </c>
      <c r="H236" s="24"/>
      <c r="I236" s="22" t="s">
        <v>19309</v>
      </c>
      <c r="J236" s="22" t="s">
        <v>19573</v>
      </c>
      <c r="K236" s="22" t="s">
        <v>19574</v>
      </c>
      <c r="L236" s="22"/>
      <c r="M236" s="22"/>
      <c r="N236" s="25" t="str">
        <f>HYPERLINK("http://slimages.macys.com/is/image/MCY/20386147 ")</f>
        <v xml:space="preserve">http://slimages.macys.com/is/image/MCY/20386147 </v>
      </c>
    </row>
    <row r="237" spans="1:14" x14ac:dyDescent="0.25">
      <c r="A237" s="21" t="s">
        <v>16061</v>
      </c>
      <c r="B237" s="22" t="s">
        <v>16062</v>
      </c>
      <c r="C237" s="2">
        <v>1</v>
      </c>
      <c r="D237" s="23">
        <v>24.99</v>
      </c>
      <c r="E237" s="3">
        <v>24.99</v>
      </c>
      <c r="F237" s="2" t="s">
        <v>16063</v>
      </c>
      <c r="G237" s="22" t="s">
        <v>19431</v>
      </c>
      <c r="H237" s="24" t="s">
        <v>19339</v>
      </c>
      <c r="I237" s="22" t="s">
        <v>19309</v>
      </c>
      <c r="J237" s="22" t="s">
        <v>19849</v>
      </c>
      <c r="K237" s="22" t="s">
        <v>19850</v>
      </c>
      <c r="L237" s="22"/>
      <c r="M237" s="22"/>
      <c r="N237" s="25" t="str">
        <f>HYPERLINK("http://slimages.macys.com/is/image/MCY/20751985 ")</f>
        <v xml:space="preserve">http://slimages.macys.com/is/image/MCY/20751985 </v>
      </c>
    </row>
    <row r="238" spans="1:14" x14ac:dyDescent="0.25">
      <c r="A238" s="21" t="s">
        <v>16064</v>
      </c>
      <c r="B238" s="22" t="s">
        <v>16065</v>
      </c>
      <c r="C238" s="2">
        <v>2</v>
      </c>
      <c r="D238" s="23">
        <v>24.99</v>
      </c>
      <c r="E238" s="3">
        <v>49.98</v>
      </c>
      <c r="F238" s="2" t="s">
        <v>16063</v>
      </c>
      <c r="G238" s="22" t="s">
        <v>19431</v>
      </c>
      <c r="H238" s="24" t="s">
        <v>19364</v>
      </c>
      <c r="I238" s="22" t="s">
        <v>19309</v>
      </c>
      <c r="J238" s="22" t="s">
        <v>19849</v>
      </c>
      <c r="K238" s="22" t="s">
        <v>19850</v>
      </c>
      <c r="L238" s="22"/>
      <c r="M238" s="22"/>
      <c r="N238" s="25" t="str">
        <f>HYPERLINK("http://slimages.macys.com/is/image/MCY/20751985 ")</f>
        <v xml:space="preserve">http://slimages.macys.com/is/image/MCY/20751985 </v>
      </c>
    </row>
    <row r="239" spans="1:14" x14ac:dyDescent="0.25">
      <c r="A239" s="21" t="s">
        <v>16066</v>
      </c>
      <c r="B239" s="22" t="s">
        <v>16067</v>
      </c>
      <c r="C239" s="2">
        <v>1</v>
      </c>
      <c r="D239" s="23">
        <v>15</v>
      </c>
      <c r="E239" s="3">
        <v>15</v>
      </c>
      <c r="F239" s="2" t="s">
        <v>16068</v>
      </c>
      <c r="G239" s="22" t="s">
        <v>19622</v>
      </c>
      <c r="H239" s="24" t="s">
        <v>19334</v>
      </c>
      <c r="I239" s="22" t="s">
        <v>19309</v>
      </c>
      <c r="J239" s="22" t="s">
        <v>19310</v>
      </c>
      <c r="K239" s="22" t="s">
        <v>19433</v>
      </c>
      <c r="L239" s="22"/>
      <c r="M239" s="22"/>
      <c r="N239" s="25" t="str">
        <f>HYPERLINK("http://slimages.macys.com/is/image/MCY/21747578 ")</f>
        <v xml:space="preserve">http://slimages.macys.com/is/image/MCY/21747578 </v>
      </c>
    </row>
    <row r="240" spans="1:14" ht="24.75" x14ac:dyDescent="0.25">
      <c r="A240" s="21" t="s">
        <v>16069</v>
      </c>
      <c r="B240" s="22" t="s">
        <v>16070</v>
      </c>
      <c r="C240" s="2">
        <v>1</v>
      </c>
      <c r="D240" s="23">
        <v>15</v>
      </c>
      <c r="E240" s="3">
        <v>15</v>
      </c>
      <c r="F240" s="2" t="s">
        <v>16071</v>
      </c>
      <c r="G240" s="22" t="s">
        <v>19886</v>
      </c>
      <c r="H240" s="24" t="s">
        <v>19395</v>
      </c>
      <c r="I240" s="22" t="s">
        <v>19309</v>
      </c>
      <c r="J240" s="22" t="s">
        <v>19310</v>
      </c>
      <c r="K240" s="22" t="s">
        <v>19433</v>
      </c>
      <c r="L240" s="22"/>
      <c r="M240" s="22"/>
      <c r="N240" s="25" t="str">
        <f>HYPERLINK("http://slimages.macys.com/is/image/MCY/21397229 ")</f>
        <v xml:space="preserve">http://slimages.macys.com/is/image/MCY/21397229 </v>
      </c>
    </row>
    <row r="241" spans="1:14" x14ac:dyDescent="0.25">
      <c r="A241" s="21" t="s">
        <v>20189</v>
      </c>
      <c r="B241" s="22" t="s">
        <v>20190</v>
      </c>
      <c r="C241" s="2">
        <v>2</v>
      </c>
      <c r="D241" s="23">
        <v>15</v>
      </c>
      <c r="E241" s="3">
        <v>30</v>
      </c>
      <c r="F241" s="2" t="s">
        <v>20191</v>
      </c>
      <c r="G241" s="22" t="s">
        <v>19307</v>
      </c>
      <c r="H241" s="24" t="s">
        <v>19432</v>
      </c>
      <c r="I241" s="22" t="s">
        <v>19309</v>
      </c>
      <c r="J241" s="22" t="s">
        <v>19310</v>
      </c>
      <c r="K241" s="22" t="s">
        <v>19433</v>
      </c>
      <c r="L241" s="22"/>
      <c r="M241" s="22"/>
      <c r="N241" s="25" t="str">
        <f>HYPERLINK("http://slimages.macys.com/is/image/MCY/21964836 ")</f>
        <v xml:space="preserve">http://slimages.macys.com/is/image/MCY/21964836 </v>
      </c>
    </row>
    <row r="242" spans="1:14" x14ac:dyDescent="0.25">
      <c r="A242" s="21" t="s">
        <v>18180</v>
      </c>
      <c r="B242" s="22" t="s">
        <v>18181</v>
      </c>
      <c r="C242" s="2">
        <v>1</v>
      </c>
      <c r="D242" s="23">
        <v>15</v>
      </c>
      <c r="E242" s="3">
        <v>15</v>
      </c>
      <c r="F242" s="2" t="s">
        <v>20191</v>
      </c>
      <c r="G242" s="22" t="s">
        <v>19307</v>
      </c>
      <c r="H242" s="24" t="s">
        <v>19542</v>
      </c>
      <c r="I242" s="22" t="s">
        <v>19309</v>
      </c>
      <c r="J242" s="22" t="s">
        <v>19310</v>
      </c>
      <c r="K242" s="22" t="s">
        <v>19433</v>
      </c>
      <c r="L242" s="22"/>
      <c r="M242" s="22"/>
      <c r="N242" s="25" t="str">
        <f>HYPERLINK("http://slimages.macys.com/is/image/MCY/21964836 ")</f>
        <v xml:space="preserve">http://slimages.macys.com/is/image/MCY/21964836 </v>
      </c>
    </row>
    <row r="243" spans="1:14" x14ac:dyDescent="0.25">
      <c r="A243" s="21" t="s">
        <v>16072</v>
      </c>
      <c r="B243" s="22" t="s">
        <v>16073</v>
      </c>
      <c r="C243" s="2">
        <v>1</v>
      </c>
      <c r="D243" s="23">
        <v>15</v>
      </c>
      <c r="E243" s="3">
        <v>15</v>
      </c>
      <c r="F243" s="2" t="s">
        <v>20191</v>
      </c>
      <c r="G243" s="22" t="s">
        <v>19307</v>
      </c>
      <c r="H243" s="24" t="s">
        <v>19361</v>
      </c>
      <c r="I243" s="22" t="s">
        <v>19309</v>
      </c>
      <c r="J243" s="22" t="s">
        <v>19310</v>
      </c>
      <c r="K243" s="22" t="s">
        <v>19433</v>
      </c>
      <c r="L243" s="22"/>
      <c r="M243" s="22"/>
      <c r="N243" s="25" t="str">
        <f>HYPERLINK("http://slimages.macys.com/is/image/MCY/21964836 ")</f>
        <v xml:space="preserve">http://slimages.macys.com/is/image/MCY/21964836 </v>
      </c>
    </row>
    <row r="244" spans="1:14" x14ac:dyDescent="0.25">
      <c r="A244" s="21" t="s">
        <v>16074</v>
      </c>
      <c r="B244" s="22" t="s">
        <v>16075</v>
      </c>
      <c r="C244" s="2">
        <v>1</v>
      </c>
      <c r="D244" s="23">
        <v>17.739999999999998</v>
      </c>
      <c r="E244" s="3">
        <v>17.739999999999998</v>
      </c>
      <c r="F244" s="2" t="s">
        <v>16076</v>
      </c>
      <c r="G244" s="22" t="s">
        <v>19338</v>
      </c>
      <c r="H244" s="24" t="s">
        <v>19324</v>
      </c>
      <c r="I244" s="22" t="s">
        <v>19309</v>
      </c>
      <c r="J244" s="22" t="s">
        <v>19708</v>
      </c>
      <c r="K244" s="22" t="s">
        <v>19709</v>
      </c>
      <c r="L244" s="22"/>
      <c r="M244" s="22"/>
      <c r="N244" s="25" t="str">
        <f>HYPERLINK("http://slimages.macys.com/is/image/MCY/21726560 ")</f>
        <v xml:space="preserve">http://slimages.macys.com/is/image/MCY/21726560 </v>
      </c>
    </row>
    <row r="245" spans="1:14" ht="24.75" x14ac:dyDescent="0.25">
      <c r="A245" s="21" t="s">
        <v>16077</v>
      </c>
      <c r="B245" s="22" t="s">
        <v>16078</v>
      </c>
      <c r="C245" s="2">
        <v>1</v>
      </c>
      <c r="D245" s="23">
        <v>16.989999999999998</v>
      </c>
      <c r="E245" s="3">
        <v>16.989999999999998</v>
      </c>
      <c r="F245" s="2" t="s">
        <v>16079</v>
      </c>
      <c r="G245" s="22" t="s">
        <v>19467</v>
      </c>
      <c r="H245" s="24" t="s">
        <v>19797</v>
      </c>
      <c r="I245" s="22" t="s">
        <v>19309</v>
      </c>
      <c r="J245" s="22" t="s">
        <v>19508</v>
      </c>
      <c r="K245" s="22" t="s">
        <v>19509</v>
      </c>
      <c r="L245" s="22"/>
      <c r="M245" s="22"/>
      <c r="N245" s="25" t="str">
        <f>HYPERLINK("http://slimages.macys.com/is/image/MCY/19273608 ")</f>
        <v xml:space="preserve">http://slimages.macys.com/is/image/MCY/19273608 </v>
      </c>
    </row>
    <row r="246" spans="1:14" ht="24.75" x14ac:dyDescent="0.25">
      <c r="A246" s="21" t="s">
        <v>16080</v>
      </c>
      <c r="B246" s="22" t="s">
        <v>16081</v>
      </c>
      <c r="C246" s="2">
        <v>1</v>
      </c>
      <c r="D246" s="23">
        <v>15.99</v>
      </c>
      <c r="E246" s="3">
        <v>15.99</v>
      </c>
      <c r="F246" s="2" t="s">
        <v>16082</v>
      </c>
      <c r="G246" s="22" t="s">
        <v>19333</v>
      </c>
      <c r="H246" s="24" t="s">
        <v>19392</v>
      </c>
      <c r="I246" s="22" t="s">
        <v>19309</v>
      </c>
      <c r="J246" s="22" t="s">
        <v>19491</v>
      </c>
      <c r="K246" s="22" t="s">
        <v>18197</v>
      </c>
      <c r="L246" s="22"/>
      <c r="M246" s="22"/>
      <c r="N246" s="25" t="str">
        <f>HYPERLINK("http://slimages.macys.com/is/image/MCY/21541845 ")</f>
        <v xml:space="preserve">http://slimages.macys.com/is/image/MCY/21541845 </v>
      </c>
    </row>
    <row r="247" spans="1:14" ht="24.75" x14ac:dyDescent="0.25">
      <c r="A247" s="21" t="s">
        <v>16083</v>
      </c>
      <c r="B247" s="22" t="s">
        <v>16084</v>
      </c>
      <c r="C247" s="2">
        <v>1</v>
      </c>
      <c r="D247" s="23">
        <v>19.989999999999998</v>
      </c>
      <c r="E247" s="3">
        <v>19.989999999999998</v>
      </c>
      <c r="F247" s="2" t="s">
        <v>16085</v>
      </c>
      <c r="G247" s="22" t="s">
        <v>19342</v>
      </c>
      <c r="H247" s="24" t="s">
        <v>19324</v>
      </c>
      <c r="I247" s="22" t="s">
        <v>19309</v>
      </c>
      <c r="J247" s="22" t="s">
        <v>19385</v>
      </c>
      <c r="K247" s="22" t="s">
        <v>15725</v>
      </c>
      <c r="L247" s="22"/>
      <c r="M247" s="22"/>
      <c r="N247" s="25" t="str">
        <f>HYPERLINK("http://slimages.macys.com/is/image/MCY/21375621 ")</f>
        <v xml:space="preserve">http://slimages.macys.com/is/image/MCY/21375621 </v>
      </c>
    </row>
    <row r="248" spans="1:14" ht="24.75" x14ac:dyDescent="0.25">
      <c r="A248" s="21" t="s">
        <v>16086</v>
      </c>
      <c r="B248" s="22" t="s">
        <v>16087</v>
      </c>
      <c r="C248" s="2">
        <v>1</v>
      </c>
      <c r="D248" s="23">
        <v>14.99</v>
      </c>
      <c r="E248" s="3">
        <v>14.99</v>
      </c>
      <c r="F248" s="2" t="s">
        <v>16088</v>
      </c>
      <c r="G248" s="22" t="s">
        <v>19674</v>
      </c>
      <c r="H248" s="24" t="s">
        <v>19367</v>
      </c>
      <c r="I248" s="22" t="s">
        <v>19309</v>
      </c>
      <c r="J248" s="22" t="s">
        <v>19385</v>
      </c>
      <c r="K248" s="22" t="s">
        <v>19463</v>
      </c>
      <c r="L248" s="22"/>
      <c r="M248" s="22"/>
      <c r="N248" s="25" t="str">
        <f>HYPERLINK("http://slimages.macys.com/is/image/MCY/21474435 ")</f>
        <v xml:space="preserve">http://slimages.macys.com/is/image/MCY/21474435 </v>
      </c>
    </row>
    <row r="249" spans="1:14" x14ac:dyDescent="0.25">
      <c r="A249" s="21" t="s">
        <v>16089</v>
      </c>
      <c r="B249" s="22" t="s">
        <v>16090</v>
      </c>
      <c r="C249" s="2">
        <v>1</v>
      </c>
      <c r="D249" s="23">
        <v>17.29</v>
      </c>
      <c r="E249" s="3">
        <v>17.29</v>
      </c>
      <c r="F249" s="2" t="s">
        <v>20210</v>
      </c>
      <c r="G249" s="22"/>
      <c r="H249" s="24" t="s">
        <v>19770</v>
      </c>
      <c r="I249" s="22" t="s">
        <v>19309</v>
      </c>
      <c r="J249" s="22" t="s">
        <v>19708</v>
      </c>
      <c r="K249" s="22" t="s">
        <v>19709</v>
      </c>
      <c r="L249" s="22"/>
      <c r="M249" s="22"/>
      <c r="N249" s="25" t="str">
        <f>HYPERLINK("http://slimages.macys.com/is/image/MCY/20193085 ")</f>
        <v xml:space="preserve">http://slimages.macys.com/is/image/MCY/20193085 </v>
      </c>
    </row>
    <row r="250" spans="1:14" ht="24.75" x14ac:dyDescent="0.25">
      <c r="A250" s="21" t="s">
        <v>16091</v>
      </c>
      <c r="B250" s="22" t="s">
        <v>16092</v>
      </c>
      <c r="C250" s="2">
        <v>1</v>
      </c>
      <c r="D250" s="23">
        <v>11.99</v>
      </c>
      <c r="E250" s="3">
        <v>11.99</v>
      </c>
      <c r="F250" s="2" t="s">
        <v>16093</v>
      </c>
      <c r="G250" s="22" t="s">
        <v>19404</v>
      </c>
      <c r="H250" s="24" t="s">
        <v>19364</v>
      </c>
      <c r="I250" s="22" t="s">
        <v>19309</v>
      </c>
      <c r="J250" s="22" t="s">
        <v>19310</v>
      </c>
      <c r="K250" s="22" t="s">
        <v>19873</v>
      </c>
      <c r="L250" s="22"/>
      <c r="M250" s="22"/>
      <c r="N250" s="25" t="str">
        <f>HYPERLINK("http://slimages.macys.com/is/image/MCY/21191739 ")</f>
        <v xml:space="preserve">http://slimages.macys.com/is/image/MCY/21191739 </v>
      </c>
    </row>
    <row r="251" spans="1:14" x14ac:dyDescent="0.25">
      <c r="A251" s="21" t="s">
        <v>16094</v>
      </c>
      <c r="B251" s="22" t="s">
        <v>16095</v>
      </c>
      <c r="C251" s="2">
        <v>1</v>
      </c>
      <c r="D251" s="23">
        <v>22.99</v>
      </c>
      <c r="E251" s="3">
        <v>22.99</v>
      </c>
      <c r="F251" s="2" t="s">
        <v>16096</v>
      </c>
      <c r="G251" s="22" t="s">
        <v>19477</v>
      </c>
      <c r="H251" s="24" t="s">
        <v>19339</v>
      </c>
      <c r="I251" s="22" t="s">
        <v>19309</v>
      </c>
      <c r="J251" s="22" t="s">
        <v>19849</v>
      </c>
      <c r="K251" s="22" t="s">
        <v>20220</v>
      </c>
      <c r="L251" s="22"/>
      <c r="M251" s="22"/>
      <c r="N251" s="25" t="str">
        <f>HYPERLINK("http://slimages.macys.com/is/image/MCY/20008078 ")</f>
        <v xml:space="preserve">http://slimages.macys.com/is/image/MCY/20008078 </v>
      </c>
    </row>
    <row r="252" spans="1:14" x14ac:dyDescent="0.25">
      <c r="A252" s="21" t="s">
        <v>16097</v>
      </c>
      <c r="B252" s="22" t="s">
        <v>15697</v>
      </c>
      <c r="C252" s="2">
        <v>2</v>
      </c>
      <c r="D252" s="23">
        <v>17.989999999999998</v>
      </c>
      <c r="E252" s="3">
        <v>35.979999999999997</v>
      </c>
      <c r="F252" s="2" t="s">
        <v>16098</v>
      </c>
      <c r="G252" s="22" t="s">
        <v>19342</v>
      </c>
      <c r="H252" s="24" t="s">
        <v>19392</v>
      </c>
      <c r="I252" s="22" t="s">
        <v>19309</v>
      </c>
      <c r="J252" s="22" t="s">
        <v>19696</v>
      </c>
      <c r="K252" s="22" t="s">
        <v>19965</v>
      </c>
      <c r="L252" s="22"/>
      <c r="M252" s="22"/>
      <c r="N252" s="25" t="str">
        <f>HYPERLINK("http://slimages.macys.com/is/image/MCY/20662559 ")</f>
        <v xml:space="preserve">http://slimages.macys.com/is/image/MCY/20662559 </v>
      </c>
    </row>
    <row r="253" spans="1:14" x14ac:dyDescent="0.25">
      <c r="A253" s="21" t="s">
        <v>16099</v>
      </c>
      <c r="B253" s="22" t="s">
        <v>16100</v>
      </c>
      <c r="C253" s="2">
        <v>1</v>
      </c>
      <c r="D253" s="23">
        <v>17.989999999999998</v>
      </c>
      <c r="E253" s="3">
        <v>17.989999999999998</v>
      </c>
      <c r="F253" s="2" t="s">
        <v>16098</v>
      </c>
      <c r="G253" s="22" t="s">
        <v>19342</v>
      </c>
      <c r="H253" s="24" t="s">
        <v>19345</v>
      </c>
      <c r="I253" s="22" t="s">
        <v>19309</v>
      </c>
      <c r="J253" s="22" t="s">
        <v>19696</v>
      </c>
      <c r="K253" s="22" t="s">
        <v>19965</v>
      </c>
      <c r="L253" s="22"/>
      <c r="M253" s="22"/>
      <c r="N253" s="25" t="str">
        <f>HYPERLINK("http://slimages.macys.com/is/image/MCY/20662559 ")</f>
        <v xml:space="preserve">http://slimages.macys.com/is/image/MCY/20662559 </v>
      </c>
    </row>
    <row r="254" spans="1:14" x14ac:dyDescent="0.25">
      <c r="A254" s="21" t="s">
        <v>16101</v>
      </c>
      <c r="B254" s="22" t="s">
        <v>16102</v>
      </c>
      <c r="C254" s="2">
        <v>3</v>
      </c>
      <c r="D254" s="23">
        <v>15.99</v>
      </c>
      <c r="E254" s="3">
        <v>47.97</v>
      </c>
      <c r="F254" s="2" t="s">
        <v>18227</v>
      </c>
      <c r="G254" s="22" t="s">
        <v>19670</v>
      </c>
      <c r="H254" s="24" t="s">
        <v>19352</v>
      </c>
      <c r="I254" s="22" t="s">
        <v>19309</v>
      </c>
      <c r="J254" s="22" t="s">
        <v>19849</v>
      </c>
      <c r="K254" s="22" t="s">
        <v>19850</v>
      </c>
      <c r="L254" s="22"/>
      <c r="M254" s="22"/>
      <c r="N254" s="25" t="str">
        <f>HYPERLINK("http://slimages.macys.com/is/image/MCY/1553370 ")</f>
        <v xml:space="preserve">http://slimages.macys.com/is/image/MCY/1553370 </v>
      </c>
    </row>
    <row r="255" spans="1:14" x14ac:dyDescent="0.25">
      <c r="A255" s="21" t="s">
        <v>16103</v>
      </c>
      <c r="B255" s="22" t="s">
        <v>16104</v>
      </c>
      <c r="C255" s="2">
        <v>2</v>
      </c>
      <c r="D255" s="23">
        <v>15.99</v>
      </c>
      <c r="E255" s="3">
        <v>31.98</v>
      </c>
      <c r="F255" s="2" t="s">
        <v>18227</v>
      </c>
      <c r="G255" s="22" t="s">
        <v>19670</v>
      </c>
      <c r="H255" s="24" t="s">
        <v>19339</v>
      </c>
      <c r="I255" s="22" t="s">
        <v>19309</v>
      </c>
      <c r="J255" s="22" t="s">
        <v>19849</v>
      </c>
      <c r="K255" s="22" t="s">
        <v>19850</v>
      </c>
      <c r="L255" s="22"/>
      <c r="M255" s="22"/>
      <c r="N255" s="25" t="str">
        <f>HYPERLINK("http://slimages.macys.com/is/image/MCY/1553370 ")</f>
        <v xml:space="preserve">http://slimages.macys.com/is/image/MCY/1553370 </v>
      </c>
    </row>
    <row r="256" spans="1:14" x14ac:dyDescent="0.25">
      <c r="A256" s="21" t="s">
        <v>16105</v>
      </c>
      <c r="B256" s="22" t="s">
        <v>16106</v>
      </c>
      <c r="C256" s="2">
        <v>2</v>
      </c>
      <c r="D256" s="23">
        <v>15.99</v>
      </c>
      <c r="E256" s="3">
        <v>31.98</v>
      </c>
      <c r="F256" s="2" t="s">
        <v>18227</v>
      </c>
      <c r="G256" s="22" t="s">
        <v>19670</v>
      </c>
      <c r="H256" s="24" t="s">
        <v>19364</v>
      </c>
      <c r="I256" s="22" t="s">
        <v>19309</v>
      </c>
      <c r="J256" s="22" t="s">
        <v>19849</v>
      </c>
      <c r="K256" s="22" t="s">
        <v>19850</v>
      </c>
      <c r="L256" s="22"/>
      <c r="M256" s="22"/>
      <c r="N256" s="25" t="str">
        <f>HYPERLINK("http://slimages.macys.com/is/image/MCY/1553370 ")</f>
        <v xml:space="preserve">http://slimages.macys.com/is/image/MCY/1553370 </v>
      </c>
    </row>
    <row r="257" spans="1:14" ht="24.75" x14ac:dyDescent="0.25">
      <c r="A257" s="21" t="s">
        <v>16107</v>
      </c>
      <c r="B257" s="22" t="s">
        <v>16108</v>
      </c>
      <c r="C257" s="2">
        <v>1</v>
      </c>
      <c r="D257" s="23">
        <v>16.989999999999998</v>
      </c>
      <c r="E257" s="3">
        <v>16.989999999999998</v>
      </c>
      <c r="F257" s="2" t="s">
        <v>20238</v>
      </c>
      <c r="G257" s="22" t="s">
        <v>19431</v>
      </c>
      <c r="H257" s="24" t="s">
        <v>19330</v>
      </c>
      <c r="I257" s="22" t="s">
        <v>19309</v>
      </c>
      <c r="J257" s="22" t="s">
        <v>19573</v>
      </c>
      <c r="K257" s="22" t="s">
        <v>19574</v>
      </c>
      <c r="L257" s="22"/>
      <c r="M257" s="22"/>
      <c r="N257" s="25" t="str">
        <f>HYPERLINK("http://slimages.macys.com/is/image/MCY/1806359 ")</f>
        <v xml:space="preserve">http://slimages.macys.com/is/image/MCY/1806359 </v>
      </c>
    </row>
    <row r="258" spans="1:14" ht="24.75" x14ac:dyDescent="0.25">
      <c r="A258" s="21" t="s">
        <v>20236</v>
      </c>
      <c r="B258" s="22" t="s">
        <v>20237</v>
      </c>
      <c r="C258" s="2">
        <v>1</v>
      </c>
      <c r="D258" s="23">
        <v>16.989999999999998</v>
      </c>
      <c r="E258" s="3">
        <v>16.989999999999998</v>
      </c>
      <c r="F258" s="2" t="s">
        <v>20238</v>
      </c>
      <c r="G258" s="22" t="s">
        <v>19431</v>
      </c>
      <c r="H258" s="24" t="s">
        <v>19538</v>
      </c>
      <c r="I258" s="22" t="s">
        <v>19309</v>
      </c>
      <c r="J258" s="22" t="s">
        <v>19573</v>
      </c>
      <c r="K258" s="22" t="s">
        <v>19574</v>
      </c>
      <c r="L258" s="22"/>
      <c r="M258" s="22"/>
      <c r="N258" s="25" t="str">
        <f>HYPERLINK("http://slimages.macys.com/is/image/MCY/1806359 ")</f>
        <v xml:space="preserve">http://slimages.macys.com/is/image/MCY/1806359 </v>
      </c>
    </row>
    <row r="259" spans="1:14" x14ac:dyDescent="0.25">
      <c r="A259" s="21" t="s">
        <v>16109</v>
      </c>
      <c r="B259" s="22" t="s">
        <v>16110</v>
      </c>
      <c r="C259" s="2">
        <v>1</v>
      </c>
      <c r="D259" s="23">
        <v>16.72</v>
      </c>
      <c r="E259" s="3">
        <v>16.72</v>
      </c>
      <c r="F259" s="2" t="s">
        <v>20241</v>
      </c>
      <c r="G259" s="22"/>
      <c r="H259" s="24" t="s">
        <v>19416</v>
      </c>
      <c r="I259" s="22" t="s">
        <v>19309</v>
      </c>
      <c r="J259" s="22" t="s">
        <v>19708</v>
      </c>
      <c r="K259" s="22" t="s">
        <v>19709</v>
      </c>
      <c r="L259" s="22"/>
      <c r="M259" s="22"/>
      <c r="N259" s="25" t="str">
        <f>HYPERLINK("http://slimages.macys.com/is/image/MCY/21414678 ")</f>
        <v xml:space="preserve">http://slimages.macys.com/is/image/MCY/21414678 </v>
      </c>
    </row>
    <row r="260" spans="1:14" x14ac:dyDescent="0.25">
      <c r="A260" s="21" t="s">
        <v>16111</v>
      </c>
      <c r="B260" s="22" t="s">
        <v>16112</v>
      </c>
      <c r="C260" s="2">
        <v>1</v>
      </c>
      <c r="D260" s="23">
        <v>16.72</v>
      </c>
      <c r="E260" s="3">
        <v>16.72</v>
      </c>
      <c r="F260" s="2" t="s">
        <v>16113</v>
      </c>
      <c r="G260" s="22"/>
      <c r="H260" s="24" t="s">
        <v>20159</v>
      </c>
      <c r="I260" s="22" t="s">
        <v>19309</v>
      </c>
      <c r="J260" s="22" t="s">
        <v>19708</v>
      </c>
      <c r="K260" s="22" t="s">
        <v>19709</v>
      </c>
      <c r="L260" s="22"/>
      <c r="M260" s="22"/>
      <c r="N260" s="25" t="str">
        <f>HYPERLINK("http://slimages.macys.com/is/image/MCY/21409749 ")</f>
        <v xml:space="preserve">http://slimages.macys.com/is/image/MCY/21409749 </v>
      </c>
    </row>
    <row r="261" spans="1:14" x14ac:dyDescent="0.25">
      <c r="A261" s="21" t="s">
        <v>16114</v>
      </c>
      <c r="B261" s="22" t="s">
        <v>16115</v>
      </c>
      <c r="C261" s="2">
        <v>1</v>
      </c>
      <c r="D261" s="23">
        <v>16.72</v>
      </c>
      <c r="E261" s="3">
        <v>16.72</v>
      </c>
      <c r="F261" s="2" t="s">
        <v>16113</v>
      </c>
      <c r="G261" s="22"/>
      <c r="H261" s="24" t="s">
        <v>20152</v>
      </c>
      <c r="I261" s="22" t="s">
        <v>19309</v>
      </c>
      <c r="J261" s="22" t="s">
        <v>19708</v>
      </c>
      <c r="K261" s="22" t="s">
        <v>19709</v>
      </c>
      <c r="L261" s="22"/>
      <c r="M261" s="22"/>
      <c r="N261" s="25" t="str">
        <f>HYPERLINK("http://slimages.macys.com/is/image/MCY/21409749 ")</f>
        <v xml:space="preserve">http://slimages.macys.com/is/image/MCY/21409749 </v>
      </c>
    </row>
    <row r="262" spans="1:14" x14ac:dyDescent="0.25">
      <c r="A262" s="21" t="s">
        <v>16116</v>
      </c>
      <c r="B262" s="22" t="s">
        <v>16117</v>
      </c>
      <c r="C262" s="2">
        <v>1</v>
      </c>
      <c r="D262" s="23">
        <v>21.99</v>
      </c>
      <c r="E262" s="3">
        <v>21.99</v>
      </c>
      <c r="F262" s="2" t="s">
        <v>16118</v>
      </c>
      <c r="G262" s="22" t="s">
        <v>19585</v>
      </c>
      <c r="H262" s="24" t="s">
        <v>19364</v>
      </c>
      <c r="I262" s="22" t="s">
        <v>19309</v>
      </c>
      <c r="J262" s="22" t="s">
        <v>19849</v>
      </c>
      <c r="K262" s="22" t="s">
        <v>19850</v>
      </c>
      <c r="L262" s="22"/>
      <c r="M262" s="22"/>
      <c r="N262" s="25" t="str">
        <f>HYPERLINK("http://slimages.macys.com/is/image/MCY/20411695 ")</f>
        <v xml:space="preserve">http://slimages.macys.com/is/image/MCY/20411695 </v>
      </c>
    </row>
    <row r="263" spans="1:14" ht="24.75" x14ac:dyDescent="0.25">
      <c r="A263" s="21" t="s">
        <v>16119</v>
      </c>
      <c r="B263" s="22" t="s">
        <v>16120</v>
      </c>
      <c r="C263" s="2">
        <v>1</v>
      </c>
      <c r="D263" s="23">
        <v>11.99</v>
      </c>
      <c r="E263" s="3">
        <v>11.99</v>
      </c>
      <c r="F263" s="2">
        <v>100007424</v>
      </c>
      <c r="G263" s="22" t="s">
        <v>19338</v>
      </c>
      <c r="H263" s="24" t="s">
        <v>19770</v>
      </c>
      <c r="I263" s="22" t="s">
        <v>19309</v>
      </c>
      <c r="J263" s="22" t="s">
        <v>19573</v>
      </c>
      <c r="K263" s="22" t="s">
        <v>20256</v>
      </c>
      <c r="L263" s="22" t="s">
        <v>19319</v>
      </c>
      <c r="M263" s="22" t="s">
        <v>20257</v>
      </c>
      <c r="N263" s="25" t="str">
        <f>HYPERLINK("http://slimages.macys.com/is/image/MCY/9157892 ")</f>
        <v xml:space="preserve">http://slimages.macys.com/is/image/MCY/9157892 </v>
      </c>
    </row>
    <row r="264" spans="1:14" x14ac:dyDescent="0.25">
      <c r="A264" s="21" t="s">
        <v>18256</v>
      </c>
      <c r="B264" s="22" t="s">
        <v>18257</v>
      </c>
      <c r="C264" s="2">
        <v>1</v>
      </c>
      <c r="D264" s="23">
        <v>21.99</v>
      </c>
      <c r="E264" s="3">
        <v>21.99</v>
      </c>
      <c r="F264" s="2" t="s">
        <v>20270</v>
      </c>
      <c r="G264" s="22" t="s">
        <v>19467</v>
      </c>
      <c r="H264" s="24" t="s">
        <v>19339</v>
      </c>
      <c r="I264" s="22" t="s">
        <v>19309</v>
      </c>
      <c r="J264" s="22" t="s">
        <v>19849</v>
      </c>
      <c r="K264" s="22" t="s">
        <v>19850</v>
      </c>
      <c r="L264" s="22"/>
      <c r="M264" s="22"/>
      <c r="N264" s="25" t="str">
        <f>HYPERLINK("http://slimages.macys.com/is/image/MCY/20786240 ")</f>
        <v xml:space="preserve">http://slimages.macys.com/is/image/MCY/20786240 </v>
      </c>
    </row>
    <row r="265" spans="1:14" ht="24.75" x14ac:dyDescent="0.25">
      <c r="A265" s="21" t="s">
        <v>16121</v>
      </c>
      <c r="B265" s="22" t="s">
        <v>16122</v>
      </c>
      <c r="C265" s="2">
        <v>1</v>
      </c>
      <c r="D265" s="23">
        <v>12.28</v>
      </c>
      <c r="E265" s="3">
        <v>12.28</v>
      </c>
      <c r="F265" s="2" t="s">
        <v>16123</v>
      </c>
      <c r="G265" s="22" t="s">
        <v>19879</v>
      </c>
      <c r="H265" s="24" t="s">
        <v>19308</v>
      </c>
      <c r="I265" s="22" t="s">
        <v>19309</v>
      </c>
      <c r="J265" s="22" t="s">
        <v>19317</v>
      </c>
      <c r="K265" s="22" t="s">
        <v>16124</v>
      </c>
      <c r="L265" s="22" t="s">
        <v>19319</v>
      </c>
      <c r="M265" s="22" t="s">
        <v>19764</v>
      </c>
      <c r="N265" s="25" t="str">
        <f>HYPERLINK("http://slimages.macys.com/is/image/MCY/3616081 ")</f>
        <v xml:space="preserve">http://slimages.macys.com/is/image/MCY/3616081 </v>
      </c>
    </row>
    <row r="266" spans="1:14" ht="24.75" x14ac:dyDescent="0.25">
      <c r="A266" s="21" t="s">
        <v>16125</v>
      </c>
      <c r="B266" s="22" t="s">
        <v>16126</v>
      </c>
      <c r="C266" s="2">
        <v>2</v>
      </c>
      <c r="D266" s="23">
        <v>12.28</v>
      </c>
      <c r="E266" s="3">
        <v>24.56</v>
      </c>
      <c r="F266" s="2" t="s">
        <v>16127</v>
      </c>
      <c r="G266" s="22" t="s">
        <v>19404</v>
      </c>
      <c r="H266" s="24"/>
      <c r="I266" s="22" t="s">
        <v>19309</v>
      </c>
      <c r="J266" s="22" t="s">
        <v>19317</v>
      </c>
      <c r="K266" s="22" t="s">
        <v>16124</v>
      </c>
      <c r="L266" s="22" t="s">
        <v>19319</v>
      </c>
      <c r="M266" s="22" t="s">
        <v>19764</v>
      </c>
      <c r="N266" s="25" t="str">
        <f>HYPERLINK("http://slimages.macys.com/is/image/MCY/13987388 ")</f>
        <v xml:space="preserve">http://slimages.macys.com/is/image/MCY/13987388 </v>
      </c>
    </row>
    <row r="267" spans="1:14" x14ac:dyDescent="0.25">
      <c r="A267" s="21" t="s">
        <v>16128</v>
      </c>
      <c r="B267" s="22" t="s">
        <v>16129</v>
      </c>
      <c r="C267" s="2">
        <v>1</v>
      </c>
      <c r="D267" s="23">
        <v>30</v>
      </c>
      <c r="E267" s="3">
        <v>30</v>
      </c>
      <c r="F267" s="2" t="s">
        <v>16130</v>
      </c>
      <c r="G267" s="22" t="s">
        <v>19879</v>
      </c>
      <c r="H267" s="24" t="s">
        <v>19538</v>
      </c>
      <c r="I267" s="22" t="s">
        <v>19309</v>
      </c>
      <c r="J267" s="22" t="s">
        <v>19417</v>
      </c>
      <c r="K267" s="22" t="s">
        <v>18317</v>
      </c>
      <c r="L267" s="22"/>
      <c r="M267" s="22"/>
      <c r="N267" s="25" t="str">
        <f>HYPERLINK("http://slimages.macys.com/is/image/MCY/21614993 ")</f>
        <v xml:space="preserve">http://slimages.macys.com/is/image/MCY/21614993 </v>
      </c>
    </row>
    <row r="268" spans="1:14" x14ac:dyDescent="0.25">
      <c r="A268" s="21" t="s">
        <v>16131</v>
      </c>
      <c r="B268" s="22" t="s">
        <v>16132</v>
      </c>
      <c r="C268" s="2">
        <v>1</v>
      </c>
      <c r="D268" s="23">
        <v>16.989999999999998</v>
      </c>
      <c r="E268" s="3">
        <v>16.989999999999998</v>
      </c>
      <c r="F268" s="2" t="s">
        <v>16133</v>
      </c>
      <c r="G268" s="22" t="s">
        <v>19357</v>
      </c>
      <c r="H268" s="24" t="s">
        <v>19364</v>
      </c>
      <c r="I268" s="22" t="s">
        <v>19309</v>
      </c>
      <c r="J268" s="22" t="s">
        <v>19849</v>
      </c>
      <c r="K268" s="22" t="s">
        <v>19850</v>
      </c>
      <c r="L268" s="22"/>
      <c r="M268" s="22"/>
      <c r="N268" s="25" t="str">
        <f>HYPERLINK("http://slimages.macys.com/is/image/MCY/18685353 ")</f>
        <v xml:space="preserve">http://slimages.macys.com/is/image/MCY/18685353 </v>
      </c>
    </row>
    <row r="269" spans="1:14" x14ac:dyDescent="0.25">
      <c r="A269" s="21" t="s">
        <v>20281</v>
      </c>
      <c r="B269" s="22" t="s">
        <v>20282</v>
      </c>
      <c r="C269" s="2">
        <v>1</v>
      </c>
      <c r="D269" s="23">
        <v>13.99</v>
      </c>
      <c r="E269" s="3">
        <v>13.99</v>
      </c>
      <c r="F269" s="2" t="s">
        <v>20280</v>
      </c>
      <c r="G269" s="22" t="s">
        <v>19404</v>
      </c>
      <c r="H269" s="24" t="s">
        <v>19395</v>
      </c>
      <c r="I269" s="22" t="s">
        <v>19309</v>
      </c>
      <c r="J269" s="22" t="s">
        <v>19310</v>
      </c>
      <c r="K269" s="22" t="s">
        <v>19433</v>
      </c>
      <c r="L269" s="22"/>
      <c r="M269" s="22"/>
      <c r="N269" s="25" t="str">
        <f>HYPERLINK("http://slimages.macys.com/is/image/MCY/21964852 ")</f>
        <v xml:space="preserve">http://slimages.macys.com/is/image/MCY/21964852 </v>
      </c>
    </row>
    <row r="270" spans="1:14" ht="24.75" x14ac:dyDescent="0.25">
      <c r="A270" s="21" t="s">
        <v>16134</v>
      </c>
      <c r="B270" s="22" t="s">
        <v>16135</v>
      </c>
      <c r="C270" s="2">
        <v>1</v>
      </c>
      <c r="D270" s="23">
        <v>16.989999999999998</v>
      </c>
      <c r="E270" s="3">
        <v>16.989999999999998</v>
      </c>
      <c r="F270" s="2" t="s">
        <v>16136</v>
      </c>
      <c r="G270" s="22" t="s">
        <v>19431</v>
      </c>
      <c r="H270" s="24" t="s">
        <v>20089</v>
      </c>
      <c r="I270" s="22" t="s">
        <v>19309</v>
      </c>
      <c r="J270" s="22" t="s">
        <v>19573</v>
      </c>
      <c r="K270" s="22" t="s">
        <v>19574</v>
      </c>
      <c r="L270" s="22"/>
      <c r="M270" s="22"/>
      <c r="N270" s="25" t="str">
        <f>HYPERLINK("http://slimages.macys.com/is/image/MCY/20753653 ")</f>
        <v xml:space="preserve">http://slimages.macys.com/is/image/MCY/20753653 </v>
      </c>
    </row>
    <row r="271" spans="1:14" ht="24.75" x14ac:dyDescent="0.25">
      <c r="A271" s="21" t="s">
        <v>16137</v>
      </c>
      <c r="B271" s="22" t="s">
        <v>16138</v>
      </c>
      <c r="C271" s="2">
        <v>1</v>
      </c>
      <c r="D271" s="23">
        <v>17.989999999999998</v>
      </c>
      <c r="E271" s="3">
        <v>17.989999999999998</v>
      </c>
      <c r="F271" s="2" t="s">
        <v>20294</v>
      </c>
      <c r="G271" s="22" t="s">
        <v>19422</v>
      </c>
      <c r="H271" s="24" t="s">
        <v>19797</v>
      </c>
      <c r="I271" s="22" t="s">
        <v>19309</v>
      </c>
      <c r="J271" s="22" t="s">
        <v>19595</v>
      </c>
      <c r="K271" s="22" t="s">
        <v>19423</v>
      </c>
      <c r="L271" s="22"/>
      <c r="M271" s="22"/>
      <c r="N271" s="25" t="str">
        <f>HYPERLINK("http://slimages.macys.com/is/image/MCY/21398482 ")</f>
        <v xml:space="preserve">http://slimages.macys.com/is/image/MCY/21398482 </v>
      </c>
    </row>
    <row r="272" spans="1:14" x14ac:dyDescent="0.25">
      <c r="A272" s="21" t="s">
        <v>16139</v>
      </c>
      <c r="B272" s="22" t="s">
        <v>16140</v>
      </c>
      <c r="C272" s="2">
        <v>1</v>
      </c>
      <c r="D272" s="23">
        <v>16.989999999999998</v>
      </c>
      <c r="E272" s="3">
        <v>16.989999999999998</v>
      </c>
      <c r="F272" s="2" t="s">
        <v>16141</v>
      </c>
      <c r="G272" s="22" t="s">
        <v>19315</v>
      </c>
      <c r="H272" s="24" t="s">
        <v>19364</v>
      </c>
      <c r="I272" s="22" t="s">
        <v>19309</v>
      </c>
      <c r="J272" s="22" t="s">
        <v>19849</v>
      </c>
      <c r="K272" s="22" t="s">
        <v>19850</v>
      </c>
      <c r="L272" s="22"/>
      <c r="M272" s="22"/>
      <c r="N272" s="25" t="str">
        <f>HYPERLINK("http://slimages.macys.com/is/image/MCY/18685358 ")</f>
        <v xml:space="preserve">http://slimages.macys.com/is/image/MCY/18685358 </v>
      </c>
    </row>
    <row r="273" spans="1:14" ht="24.75" x14ac:dyDescent="0.25">
      <c r="A273" s="21" t="s">
        <v>16142</v>
      </c>
      <c r="B273" s="22" t="s">
        <v>16143</v>
      </c>
      <c r="C273" s="2">
        <v>1</v>
      </c>
      <c r="D273" s="23">
        <v>9.99</v>
      </c>
      <c r="E273" s="3">
        <v>9.99</v>
      </c>
      <c r="F273" s="2" t="s">
        <v>16144</v>
      </c>
      <c r="G273" s="22" t="s">
        <v>18429</v>
      </c>
      <c r="H273" s="24" t="s">
        <v>19364</v>
      </c>
      <c r="I273" s="22" t="s">
        <v>19309</v>
      </c>
      <c r="J273" s="22" t="s">
        <v>19310</v>
      </c>
      <c r="K273" s="22" t="s">
        <v>19873</v>
      </c>
      <c r="L273" s="22"/>
      <c r="M273" s="22"/>
      <c r="N273" s="25" t="str">
        <f>HYPERLINK("http://slimages.macys.com/is/image/MCY/21191730 ")</f>
        <v xml:space="preserve">http://slimages.macys.com/is/image/MCY/21191730 </v>
      </c>
    </row>
    <row r="274" spans="1:14" ht="24.75" x14ac:dyDescent="0.25">
      <c r="A274" s="21" t="s">
        <v>16145</v>
      </c>
      <c r="B274" s="22" t="s">
        <v>16146</v>
      </c>
      <c r="C274" s="2">
        <v>1</v>
      </c>
      <c r="D274" s="23">
        <v>9.99</v>
      </c>
      <c r="E274" s="3">
        <v>9.99</v>
      </c>
      <c r="F274" s="2" t="s">
        <v>16147</v>
      </c>
      <c r="G274" s="22" t="s">
        <v>19333</v>
      </c>
      <c r="H274" s="24" t="s">
        <v>19364</v>
      </c>
      <c r="I274" s="22" t="s">
        <v>19309</v>
      </c>
      <c r="J274" s="22" t="s">
        <v>19310</v>
      </c>
      <c r="K274" s="22" t="s">
        <v>19873</v>
      </c>
      <c r="L274" s="22"/>
      <c r="M274" s="22"/>
      <c r="N274" s="25" t="str">
        <f>HYPERLINK("http://slimages.macys.com/is/image/MCY/21191754 ")</f>
        <v xml:space="preserve">http://slimages.macys.com/is/image/MCY/21191754 </v>
      </c>
    </row>
    <row r="275" spans="1:14" ht="24.75" x14ac:dyDescent="0.25">
      <c r="A275" s="21" t="s">
        <v>16148</v>
      </c>
      <c r="B275" s="22" t="s">
        <v>16149</v>
      </c>
      <c r="C275" s="2">
        <v>1</v>
      </c>
      <c r="D275" s="23">
        <v>12.99</v>
      </c>
      <c r="E275" s="3">
        <v>12.99</v>
      </c>
      <c r="F275" s="2" t="s">
        <v>16150</v>
      </c>
      <c r="G275" s="22" t="s">
        <v>20306</v>
      </c>
      <c r="H275" s="24" t="s">
        <v>19542</v>
      </c>
      <c r="I275" s="22" t="s">
        <v>19309</v>
      </c>
      <c r="J275" s="22" t="s">
        <v>19447</v>
      </c>
      <c r="K275" s="22" t="s">
        <v>19463</v>
      </c>
      <c r="L275" s="22"/>
      <c r="M275" s="22"/>
      <c r="N275" s="25" t="str">
        <f>HYPERLINK("http://slimages.macys.com/is/image/MCY/19696050 ")</f>
        <v xml:space="preserve">http://slimages.macys.com/is/image/MCY/19696050 </v>
      </c>
    </row>
    <row r="276" spans="1:14" ht="24.75" x14ac:dyDescent="0.25">
      <c r="A276" s="21" t="s">
        <v>16151</v>
      </c>
      <c r="B276" s="22" t="s">
        <v>16152</v>
      </c>
      <c r="C276" s="2">
        <v>1</v>
      </c>
      <c r="D276" s="23">
        <v>11.99</v>
      </c>
      <c r="E276" s="3">
        <v>11.99</v>
      </c>
      <c r="F276" s="2" t="s">
        <v>16153</v>
      </c>
      <c r="G276" s="22" t="s">
        <v>17811</v>
      </c>
      <c r="H276" s="24" t="s">
        <v>16154</v>
      </c>
      <c r="I276" s="22" t="s">
        <v>19309</v>
      </c>
      <c r="J276" s="22" t="s">
        <v>20076</v>
      </c>
      <c r="K276" s="22" t="s">
        <v>20077</v>
      </c>
      <c r="L276" s="22"/>
      <c r="M276" s="22"/>
      <c r="N276" s="25" t="str">
        <f>HYPERLINK("http://slimages.macys.com/is/image/MCY/16590400 ")</f>
        <v xml:space="preserve">http://slimages.macys.com/is/image/MCY/16590400 </v>
      </c>
    </row>
    <row r="277" spans="1:14" ht="24.75" x14ac:dyDescent="0.25">
      <c r="A277" s="21" t="s">
        <v>16155</v>
      </c>
      <c r="B277" s="22" t="s">
        <v>16156</v>
      </c>
      <c r="C277" s="2">
        <v>1</v>
      </c>
      <c r="D277" s="23">
        <v>14.99</v>
      </c>
      <c r="E277" s="3">
        <v>14.99</v>
      </c>
      <c r="F277" s="2" t="s">
        <v>16157</v>
      </c>
      <c r="G277" s="22" t="s">
        <v>19333</v>
      </c>
      <c r="H277" s="24"/>
      <c r="I277" s="22" t="s">
        <v>19309</v>
      </c>
      <c r="J277" s="22" t="s">
        <v>19317</v>
      </c>
      <c r="K277" s="22" t="s">
        <v>20320</v>
      </c>
      <c r="L277" s="22"/>
      <c r="M277" s="22"/>
      <c r="N277" s="25" t="str">
        <f>HYPERLINK("http://slimages.macys.com/is/image/MCY/21201826 ")</f>
        <v xml:space="preserve">http://slimages.macys.com/is/image/MCY/21201826 </v>
      </c>
    </row>
    <row r="278" spans="1:14" ht="24.75" x14ac:dyDescent="0.25">
      <c r="A278" s="21" t="s">
        <v>16158</v>
      </c>
      <c r="B278" s="22" t="s">
        <v>16159</v>
      </c>
      <c r="C278" s="2">
        <v>1</v>
      </c>
      <c r="D278" s="23">
        <v>11.99</v>
      </c>
      <c r="E278" s="3">
        <v>11.99</v>
      </c>
      <c r="F278" s="2" t="s">
        <v>16160</v>
      </c>
      <c r="G278" s="22" t="s">
        <v>19351</v>
      </c>
      <c r="H278" s="24" t="s">
        <v>19339</v>
      </c>
      <c r="I278" s="22" t="s">
        <v>19309</v>
      </c>
      <c r="J278" s="22" t="s">
        <v>19565</v>
      </c>
      <c r="K278" s="22" t="s">
        <v>18548</v>
      </c>
      <c r="L278" s="22"/>
      <c r="M278" s="22"/>
      <c r="N278" s="25" t="str">
        <f>HYPERLINK("http://slimages.macys.com/is/image/MCY/18750008 ")</f>
        <v xml:space="preserve">http://slimages.macys.com/is/image/MCY/18750008 </v>
      </c>
    </row>
    <row r="279" spans="1:14" x14ac:dyDescent="0.25">
      <c r="A279" s="21" t="s">
        <v>16161</v>
      </c>
      <c r="B279" s="22" t="s">
        <v>16162</v>
      </c>
      <c r="C279" s="2">
        <v>1</v>
      </c>
      <c r="D279" s="23">
        <v>12.24</v>
      </c>
      <c r="E279" s="3">
        <v>12.24</v>
      </c>
      <c r="F279" s="2" t="s">
        <v>16163</v>
      </c>
      <c r="G279" s="22" t="s">
        <v>19431</v>
      </c>
      <c r="H279" s="24" t="s">
        <v>20159</v>
      </c>
      <c r="I279" s="22" t="s">
        <v>19309</v>
      </c>
      <c r="J279" s="22" t="s">
        <v>19708</v>
      </c>
      <c r="K279" s="22" t="s">
        <v>19709</v>
      </c>
      <c r="L279" s="22"/>
      <c r="M279" s="22"/>
      <c r="N279" s="25" t="str">
        <f>HYPERLINK("http://slimages.macys.com/is/image/MCY/21409024 ")</f>
        <v xml:space="preserve">http://slimages.macys.com/is/image/MCY/21409024 </v>
      </c>
    </row>
    <row r="280" spans="1:14" x14ac:dyDescent="0.25">
      <c r="A280" s="21" t="s">
        <v>18365</v>
      </c>
      <c r="B280" s="22" t="s">
        <v>18366</v>
      </c>
      <c r="C280" s="2">
        <v>1</v>
      </c>
      <c r="D280" s="23">
        <v>15.13</v>
      </c>
      <c r="E280" s="3">
        <v>15.13</v>
      </c>
      <c r="F280" s="2" t="s">
        <v>18367</v>
      </c>
      <c r="G280" s="22" t="s">
        <v>19594</v>
      </c>
      <c r="H280" s="24" t="s">
        <v>19416</v>
      </c>
      <c r="I280" s="22" t="s">
        <v>19309</v>
      </c>
      <c r="J280" s="22" t="s">
        <v>19708</v>
      </c>
      <c r="K280" s="22" t="s">
        <v>19709</v>
      </c>
      <c r="L280" s="22"/>
      <c r="M280" s="22"/>
      <c r="N280" s="25" t="str">
        <f>HYPERLINK("http://slimages.macys.com/is/image/MCY/21184045 ")</f>
        <v xml:space="preserve">http://slimages.macys.com/is/image/MCY/21184045 </v>
      </c>
    </row>
    <row r="281" spans="1:14" x14ac:dyDescent="0.25">
      <c r="A281" s="21" t="s">
        <v>16164</v>
      </c>
      <c r="B281" s="22" t="s">
        <v>16165</v>
      </c>
      <c r="C281" s="2">
        <v>1</v>
      </c>
      <c r="D281" s="23">
        <v>15.13</v>
      </c>
      <c r="E281" s="3">
        <v>15.13</v>
      </c>
      <c r="F281" s="2" t="s">
        <v>16166</v>
      </c>
      <c r="G281" s="22" t="s">
        <v>19323</v>
      </c>
      <c r="H281" s="24" t="s">
        <v>19770</v>
      </c>
      <c r="I281" s="22" t="s">
        <v>19309</v>
      </c>
      <c r="J281" s="22" t="s">
        <v>19708</v>
      </c>
      <c r="K281" s="22" t="s">
        <v>19709</v>
      </c>
      <c r="L281" s="22"/>
      <c r="M281" s="22"/>
      <c r="N281" s="25" t="str">
        <f>HYPERLINK("http://slimages.macys.com/is/image/MCY/21753545 ")</f>
        <v xml:space="preserve">http://slimages.macys.com/is/image/MCY/21753545 </v>
      </c>
    </row>
    <row r="282" spans="1:14" ht="24.75" x14ac:dyDescent="0.25">
      <c r="A282" s="21" t="s">
        <v>16167</v>
      </c>
      <c r="B282" s="22" t="s">
        <v>16168</v>
      </c>
      <c r="C282" s="2">
        <v>1</v>
      </c>
      <c r="D282" s="23">
        <v>13.22</v>
      </c>
      <c r="E282" s="3">
        <v>13.22</v>
      </c>
      <c r="F282" s="2" t="s">
        <v>16169</v>
      </c>
      <c r="G282" s="22" t="s">
        <v>19357</v>
      </c>
      <c r="H282" s="24" t="s">
        <v>19345</v>
      </c>
      <c r="I282" s="22" t="s">
        <v>19309</v>
      </c>
      <c r="J282" s="22" t="s">
        <v>19602</v>
      </c>
      <c r="K282" s="22" t="s">
        <v>20041</v>
      </c>
      <c r="L282" s="22"/>
      <c r="M282" s="22"/>
      <c r="N282" s="25" t="str">
        <f>HYPERLINK("http://slimages.macys.com/is/image/MCY/20529121 ")</f>
        <v xml:space="preserve">http://slimages.macys.com/is/image/MCY/20529121 </v>
      </c>
    </row>
    <row r="283" spans="1:14" x14ac:dyDescent="0.25">
      <c r="A283" s="21" t="s">
        <v>16170</v>
      </c>
      <c r="B283" s="22" t="s">
        <v>16171</v>
      </c>
      <c r="C283" s="2">
        <v>1</v>
      </c>
      <c r="D283" s="23">
        <v>22</v>
      </c>
      <c r="E283" s="3">
        <v>22</v>
      </c>
      <c r="F283" s="2" t="s">
        <v>16172</v>
      </c>
      <c r="G283" s="22" t="s">
        <v>19404</v>
      </c>
      <c r="H283" s="24" t="s">
        <v>19770</v>
      </c>
      <c r="I283" s="22" t="s">
        <v>19309</v>
      </c>
      <c r="J283" s="22" t="s">
        <v>19417</v>
      </c>
      <c r="K283" s="22" t="s">
        <v>20110</v>
      </c>
      <c r="L283" s="22"/>
      <c r="M283" s="22"/>
      <c r="N283" s="25" t="str">
        <f>HYPERLINK("http://slimages.macys.com/is/image/MCY/21735554 ")</f>
        <v xml:space="preserve">http://slimages.macys.com/is/image/MCY/21735554 </v>
      </c>
    </row>
    <row r="284" spans="1:14" ht="24.75" x14ac:dyDescent="0.25">
      <c r="A284" s="21" t="s">
        <v>16173</v>
      </c>
      <c r="B284" s="22" t="s">
        <v>16174</v>
      </c>
      <c r="C284" s="2">
        <v>1</v>
      </c>
      <c r="D284" s="23">
        <v>22</v>
      </c>
      <c r="E284" s="3">
        <v>22</v>
      </c>
      <c r="F284" s="2" t="s">
        <v>16175</v>
      </c>
      <c r="G284" s="22" t="s">
        <v>19404</v>
      </c>
      <c r="H284" s="24" t="s">
        <v>20109</v>
      </c>
      <c r="I284" s="22" t="s">
        <v>19309</v>
      </c>
      <c r="J284" s="22" t="s">
        <v>19417</v>
      </c>
      <c r="K284" s="22" t="s">
        <v>20110</v>
      </c>
      <c r="L284" s="22"/>
      <c r="M284" s="22"/>
      <c r="N284" s="25" t="str">
        <f>HYPERLINK("http://slimages.macys.com/is/image/MCY/21735554 ")</f>
        <v xml:space="preserve">http://slimages.macys.com/is/image/MCY/21735554 </v>
      </c>
    </row>
    <row r="285" spans="1:14" x14ac:dyDescent="0.25">
      <c r="A285" s="21" t="s">
        <v>18321</v>
      </c>
      <c r="B285" s="22" t="s">
        <v>18322</v>
      </c>
      <c r="C285" s="2">
        <v>1</v>
      </c>
      <c r="D285" s="23">
        <v>28</v>
      </c>
      <c r="E285" s="3">
        <v>28</v>
      </c>
      <c r="F285" s="2" t="s">
        <v>18323</v>
      </c>
      <c r="G285" s="22" t="s">
        <v>19422</v>
      </c>
      <c r="H285" s="24"/>
      <c r="I285" s="22" t="s">
        <v>19309</v>
      </c>
      <c r="J285" s="22" t="s">
        <v>19417</v>
      </c>
      <c r="K285" s="22" t="s">
        <v>18317</v>
      </c>
      <c r="L285" s="22"/>
      <c r="M285" s="22"/>
      <c r="N285" s="25" t="str">
        <f>HYPERLINK("http://slimages.macys.com/is/image/MCY/21614884 ")</f>
        <v xml:space="preserve">http://slimages.macys.com/is/image/MCY/21614884 </v>
      </c>
    </row>
    <row r="286" spans="1:14" ht="24.75" x14ac:dyDescent="0.25">
      <c r="A286" s="21" t="s">
        <v>16176</v>
      </c>
      <c r="B286" s="22" t="s">
        <v>16177</v>
      </c>
      <c r="C286" s="2">
        <v>1</v>
      </c>
      <c r="D286" s="23">
        <v>17.989999999999998</v>
      </c>
      <c r="E286" s="3">
        <v>17.989999999999998</v>
      </c>
      <c r="F286" s="2" t="s">
        <v>16178</v>
      </c>
      <c r="G286" s="22" t="s">
        <v>19342</v>
      </c>
      <c r="H286" s="24" t="s">
        <v>19330</v>
      </c>
      <c r="I286" s="22" t="s">
        <v>19309</v>
      </c>
      <c r="J286" s="22" t="s">
        <v>19491</v>
      </c>
      <c r="K286" s="22" t="s">
        <v>15725</v>
      </c>
      <c r="L286" s="22"/>
      <c r="M286" s="22"/>
      <c r="N286" s="25" t="str">
        <f>HYPERLINK("http://slimages.macys.com/is/image/MCY/21176908 ")</f>
        <v xml:space="preserve">http://slimages.macys.com/is/image/MCY/21176908 </v>
      </c>
    </row>
    <row r="287" spans="1:14" x14ac:dyDescent="0.25">
      <c r="A287" s="21" t="s">
        <v>18312</v>
      </c>
      <c r="B287" s="22" t="s">
        <v>18313</v>
      </c>
      <c r="C287" s="2">
        <v>1</v>
      </c>
      <c r="D287" s="23">
        <v>21.99</v>
      </c>
      <c r="E287" s="3">
        <v>21.99</v>
      </c>
      <c r="F287" s="2" t="s">
        <v>18381</v>
      </c>
      <c r="G287" s="22" t="s">
        <v>19674</v>
      </c>
      <c r="H287" s="24" t="s">
        <v>19364</v>
      </c>
      <c r="I287" s="22" t="s">
        <v>19309</v>
      </c>
      <c r="J287" s="22" t="s">
        <v>19849</v>
      </c>
      <c r="K287" s="22" t="s">
        <v>19850</v>
      </c>
      <c r="L287" s="22"/>
      <c r="M287" s="22"/>
      <c r="N287" s="25" t="str">
        <f>HYPERLINK("http://slimages.macys.com/is/image/MCY/1521091 ")</f>
        <v xml:space="preserve">http://slimages.macys.com/is/image/MCY/1521091 </v>
      </c>
    </row>
    <row r="288" spans="1:14" ht="24.75" x14ac:dyDescent="0.25">
      <c r="A288" s="21" t="s">
        <v>16179</v>
      </c>
      <c r="B288" s="22" t="s">
        <v>16180</v>
      </c>
      <c r="C288" s="2">
        <v>1</v>
      </c>
      <c r="D288" s="23">
        <v>18</v>
      </c>
      <c r="E288" s="3">
        <v>18</v>
      </c>
      <c r="F288" s="2" t="s">
        <v>16181</v>
      </c>
      <c r="G288" s="22"/>
      <c r="H288" s="24" t="s">
        <v>19395</v>
      </c>
      <c r="I288" s="22" t="s">
        <v>19309</v>
      </c>
      <c r="J288" s="22" t="s">
        <v>19310</v>
      </c>
      <c r="K288" s="22" t="s">
        <v>15570</v>
      </c>
      <c r="L288" s="22"/>
      <c r="M288" s="22"/>
      <c r="N288" s="25" t="str">
        <f>HYPERLINK("http://slimages.macys.com/is/image/MCY/18626085 ")</f>
        <v xml:space="preserve">http://slimages.macys.com/is/image/MCY/18626085 </v>
      </c>
    </row>
    <row r="289" spans="1:14" ht="24.75" x14ac:dyDescent="0.25">
      <c r="A289" s="21" t="s">
        <v>16182</v>
      </c>
      <c r="B289" s="22" t="s">
        <v>16183</v>
      </c>
      <c r="C289" s="2">
        <v>1</v>
      </c>
      <c r="D289" s="23">
        <v>22.5</v>
      </c>
      <c r="E289" s="3">
        <v>22.5</v>
      </c>
      <c r="F289" s="2" t="s">
        <v>16184</v>
      </c>
      <c r="G289" s="22" t="s">
        <v>19528</v>
      </c>
      <c r="H289" s="24" t="s">
        <v>19334</v>
      </c>
      <c r="I289" s="22" t="s">
        <v>19309</v>
      </c>
      <c r="J289" s="22" t="s">
        <v>19688</v>
      </c>
      <c r="K289" s="22" t="s">
        <v>19614</v>
      </c>
      <c r="L289" s="22"/>
      <c r="M289" s="22"/>
      <c r="N289" s="25" t="str">
        <f>HYPERLINK("http://slimages.macys.com/is/image/MCY/21035884 ")</f>
        <v xml:space="preserve">http://slimages.macys.com/is/image/MCY/21035884 </v>
      </c>
    </row>
    <row r="290" spans="1:14" ht="24.75" x14ac:dyDescent="0.25">
      <c r="A290" s="21" t="s">
        <v>16185</v>
      </c>
      <c r="B290" s="22" t="s">
        <v>16186</v>
      </c>
      <c r="C290" s="2">
        <v>1</v>
      </c>
      <c r="D290" s="23">
        <v>13.99</v>
      </c>
      <c r="E290" s="3">
        <v>13.99</v>
      </c>
      <c r="F290" s="2" t="s">
        <v>18412</v>
      </c>
      <c r="G290" s="22" t="s">
        <v>19351</v>
      </c>
      <c r="H290" s="24" t="s">
        <v>19384</v>
      </c>
      <c r="I290" s="22" t="s">
        <v>19309</v>
      </c>
      <c r="J290" s="22" t="s">
        <v>19573</v>
      </c>
      <c r="K290" s="22" t="s">
        <v>19574</v>
      </c>
      <c r="L290" s="22"/>
      <c r="M290" s="22"/>
      <c r="N290" s="25" t="str">
        <f>HYPERLINK("http://slimages.macys.com/is/image/MCY/1554795 ")</f>
        <v xml:space="preserve">http://slimages.macys.com/is/image/MCY/1554795 </v>
      </c>
    </row>
    <row r="291" spans="1:14" ht="24.75" x14ac:dyDescent="0.25">
      <c r="A291" s="21" t="s">
        <v>16187</v>
      </c>
      <c r="B291" s="22" t="s">
        <v>16188</v>
      </c>
      <c r="C291" s="2">
        <v>1</v>
      </c>
      <c r="D291" s="23">
        <v>12.82</v>
      </c>
      <c r="E291" s="3">
        <v>12.82</v>
      </c>
      <c r="F291" s="2" t="s">
        <v>16189</v>
      </c>
      <c r="G291" s="22"/>
      <c r="H291" s="24" t="s">
        <v>19334</v>
      </c>
      <c r="I291" s="22" t="s">
        <v>19309</v>
      </c>
      <c r="J291" s="22" t="s">
        <v>19602</v>
      </c>
      <c r="K291" s="22" t="s">
        <v>20041</v>
      </c>
      <c r="L291" s="22"/>
      <c r="M291" s="22"/>
      <c r="N291" s="25" t="str">
        <f>HYPERLINK("http://slimages.macys.com/is/image/MCY/21420758 ")</f>
        <v xml:space="preserve">http://slimages.macys.com/is/image/MCY/21420758 </v>
      </c>
    </row>
    <row r="292" spans="1:14" ht="24.75" x14ac:dyDescent="0.25">
      <c r="A292" s="21" t="s">
        <v>16190</v>
      </c>
      <c r="B292" s="22" t="s">
        <v>16191</v>
      </c>
      <c r="C292" s="2">
        <v>2</v>
      </c>
      <c r="D292" s="23">
        <v>28</v>
      </c>
      <c r="E292" s="3">
        <v>56</v>
      </c>
      <c r="F292" s="2" t="s">
        <v>16192</v>
      </c>
      <c r="G292" s="22"/>
      <c r="H292" s="24" t="s">
        <v>19538</v>
      </c>
      <c r="I292" s="22" t="s">
        <v>19309</v>
      </c>
      <c r="J292" s="22" t="s">
        <v>19417</v>
      </c>
      <c r="K292" s="22" t="s">
        <v>18387</v>
      </c>
      <c r="L292" s="22"/>
      <c r="M292" s="22"/>
      <c r="N292" s="25" t="str">
        <f>HYPERLINK("http://slimages.macys.com/is/image/MCY/21530187 ")</f>
        <v xml:space="preserve">http://slimages.macys.com/is/image/MCY/21530187 </v>
      </c>
    </row>
    <row r="293" spans="1:14" ht="24.75" x14ac:dyDescent="0.25">
      <c r="A293" s="21" t="s">
        <v>16193</v>
      </c>
      <c r="B293" s="22" t="s">
        <v>16194</v>
      </c>
      <c r="C293" s="2">
        <v>1</v>
      </c>
      <c r="D293" s="23">
        <v>28</v>
      </c>
      <c r="E293" s="3">
        <v>28</v>
      </c>
      <c r="F293" s="2" t="s">
        <v>16192</v>
      </c>
      <c r="G293" s="22"/>
      <c r="H293" s="24"/>
      <c r="I293" s="22" t="s">
        <v>19309</v>
      </c>
      <c r="J293" s="22" t="s">
        <v>19417</v>
      </c>
      <c r="K293" s="22" t="s">
        <v>18387</v>
      </c>
      <c r="L293" s="22"/>
      <c r="M293" s="22"/>
      <c r="N293" s="25" t="str">
        <f>HYPERLINK("http://slimages.macys.com/is/image/MCY/21530187 ")</f>
        <v xml:space="preserve">http://slimages.macys.com/is/image/MCY/21530187 </v>
      </c>
    </row>
    <row r="294" spans="1:14" ht="24.75" x14ac:dyDescent="0.25">
      <c r="A294" s="21" t="s">
        <v>16195</v>
      </c>
      <c r="B294" s="22" t="s">
        <v>16196</v>
      </c>
      <c r="C294" s="2">
        <v>1</v>
      </c>
      <c r="D294" s="23">
        <v>28</v>
      </c>
      <c r="E294" s="3">
        <v>28</v>
      </c>
      <c r="F294" s="2" t="s">
        <v>16192</v>
      </c>
      <c r="G294" s="22"/>
      <c r="H294" s="24" t="s">
        <v>19384</v>
      </c>
      <c r="I294" s="22" t="s">
        <v>19309</v>
      </c>
      <c r="J294" s="22" t="s">
        <v>19417</v>
      </c>
      <c r="K294" s="22" t="s">
        <v>18387</v>
      </c>
      <c r="L294" s="22"/>
      <c r="M294" s="22"/>
      <c r="N294" s="25" t="str">
        <f>HYPERLINK("http://slimages.macys.com/is/image/MCY/21530187 ")</f>
        <v xml:space="preserve">http://slimages.macys.com/is/image/MCY/21530187 </v>
      </c>
    </row>
    <row r="295" spans="1:14" ht="24.75" x14ac:dyDescent="0.25">
      <c r="A295" s="21" t="s">
        <v>16197</v>
      </c>
      <c r="B295" s="22" t="s">
        <v>16198</v>
      </c>
      <c r="C295" s="2">
        <v>1</v>
      </c>
      <c r="D295" s="23">
        <v>13.99</v>
      </c>
      <c r="E295" s="3">
        <v>13.99</v>
      </c>
      <c r="F295" s="2" t="s">
        <v>16199</v>
      </c>
      <c r="G295" s="22" t="s">
        <v>18439</v>
      </c>
      <c r="H295" s="24"/>
      <c r="I295" s="22" t="s">
        <v>19309</v>
      </c>
      <c r="J295" s="22" t="s">
        <v>19573</v>
      </c>
      <c r="K295" s="22" t="s">
        <v>19574</v>
      </c>
      <c r="L295" s="22"/>
      <c r="M295" s="22"/>
      <c r="N295" s="25" t="str">
        <f>HYPERLINK("http://slimages.macys.com/is/image/MCY/20757807 ")</f>
        <v xml:space="preserve">http://slimages.macys.com/is/image/MCY/20757807 </v>
      </c>
    </row>
    <row r="296" spans="1:14" ht="24.75" x14ac:dyDescent="0.25">
      <c r="A296" s="21" t="s">
        <v>16200</v>
      </c>
      <c r="B296" s="22" t="s">
        <v>16201</v>
      </c>
      <c r="C296" s="2">
        <v>1</v>
      </c>
      <c r="D296" s="23">
        <v>13.99</v>
      </c>
      <c r="E296" s="3">
        <v>13.99</v>
      </c>
      <c r="F296" s="2" t="s">
        <v>16199</v>
      </c>
      <c r="G296" s="22" t="s">
        <v>18439</v>
      </c>
      <c r="H296" s="24" t="s">
        <v>19384</v>
      </c>
      <c r="I296" s="22" t="s">
        <v>19309</v>
      </c>
      <c r="J296" s="22" t="s">
        <v>19573</v>
      </c>
      <c r="K296" s="22" t="s">
        <v>19574</v>
      </c>
      <c r="L296" s="22"/>
      <c r="M296" s="22"/>
      <c r="N296" s="25" t="str">
        <f>HYPERLINK("http://slimages.macys.com/is/image/MCY/20757807 ")</f>
        <v xml:space="preserve">http://slimages.macys.com/is/image/MCY/20757807 </v>
      </c>
    </row>
    <row r="297" spans="1:14" x14ac:dyDescent="0.25">
      <c r="A297" s="21" t="s">
        <v>16202</v>
      </c>
      <c r="B297" s="22" t="s">
        <v>16203</v>
      </c>
      <c r="C297" s="2">
        <v>1</v>
      </c>
      <c r="D297" s="23">
        <v>22</v>
      </c>
      <c r="E297" s="3">
        <v>22</v>
      </c>
      <c r="F297" s="2" t="s">
        <v>16204</v>
      </c>
      <c r="G297" s="22" t="s">
        <v>19333</v>
      </c>
      <c r="H297" s="24" t="s">
        <v>19538</v>
      </c>
      <c r="I297" s="22" t="s">
        <v>19309</v>
      </c>
      <c r="J297" s="22" t="s">
        <v>19417</v>
      </c>
      <c r="K297" s="22" t="s">
        <v>20110</v>
      </c>
      <c r="L297" s="22"/>
      <c r="M297" s="22"/>
      <c r="N297" s="25" t="str">
        <f>HYPERLINK("http://slimages.macys.com/is/image/MCY/21551778 ")</f>
        <v xml:space="preserve">http://slimages.macys.com/is/image/MCY/21551778 </v>
      </c>
    </row>
    <row r="298" spans="1:14" x14ac:dyDescent="0.25">
      <c r="A298" s="21" t="s">
        <v>16205</v>
      </c>
      <c r="B298" s="22" t="s">
        <v>16206</v>
      </c>
      <c r="C298" s="2">
        <v>1</v>
      </c>
      <c r="D298" s="23">
        <v>15.99</v>
      </c>
      <c r="E298" s="3">
        <v>15.99</v>
      </c>
      <c r="F298" s="2" t="s">
        <v>18462</v>
      </c>
      <c r="G298" s="22" t="s">
        <v>19477</v>
      </c>
      <c r="H298" s="24" t="s">
        <v>20135</v>
      </c>
      <c r="I298" s="22" t="s">
        <v>19309</v>
      </c>
      <c r="J298" s="22" t="s">
        <v>19849</v>
      </c>
      <c r="K298" s="22" t="s">
        <v>19850</v>
      </c>
      <c r="L298" s="22"/>
      <c r="M298" s="22"/>
      <c r="N298" s="25" t="str">
        <f>HYPERLINK("http://slimages.macys.com/is/image/MCY/20549437 ")</f>
        <v xml:space="preserve">http://slimages.macys.com/is/image/MCY/20549437 </v>
      </c>
    </row>
    <row r="299" spans="1:14" x14ac:dyDescent="0.25">
      <c r="A299" s="21" t="s">
        <v>16207</v>
      </c>
      <c r="B299" s="22" t="s">
        <v>16208</v>
      </c>
      <c r="C299" s="2">
        <v>1</v>
      </c>
      <c r="D299" s="23">
        <v>15.99</v>
      </c>
      <c r="E299" s="3">
        <v>15.99</v>
      </c>
      <c r="F299" s="2" t="s">
        <v>18462</v>
      </c>
      <c r="G299" s="22" t="s">
        <v>19674</v>
      </c>
      <c r="H299" s="24" t="s">
        <v>19361</v>
      </c>
      <c r="I299" s="22" t="s">
        <v>19309</v>
      </c>
      <c r="J299" s="22" t="s">
        <v>19849</v>
      </c>
      <c r="K299" s="22" t="s">
        <v>19850</v>
      </c>
      <c r="L299" s="22"/>
      <c r="M299" s="22"/>
      <c r="N299" s="25" t="str">
        <f>HYPERLINK("http://slimages.macys.com/is/image/MCY/20549437 ")</f>
        <v xml:space="preserve">http://slimages.macys.com/is/image/MCY/20549437 </v>
      </c>
    </row>
    <row r="300" spans="1:14" x14ac:dyDescent="0.25">
      <c r="A300" s="21" t="s">
        <v>16209</v>
      </c>
      <c r="B300" s="22" t="s">
        <v>16210</v>
      </c>
      <c r="C300" s="2">
        <v>1</v>
      </c>
      <c r="D300" s="23">
        <v>15.99</v>
      </c>
      <c r="E300" s="3">
        <v>15.99</v>
      </c>
      <c r="F300" s="2" t="s">
        <v>18462</v>
      </c>
      <c r="G300" s="22" t="s">
        <v>19477</v>
      </c>
      <c r="H300" s="24" t="s">
        <v>20089</v>
      </c>
      <c r="I300" s="22" t="s">
        <v>19309</v>
      </c>
      <c r="J300" s="22" t="s">
        <v>19849</v>
      </c>
      <c r="K300" s="22" t="s">
        <v>19850</v>
      </c>
      <c r="L300" s="22"/>
      <c r="M300" s="22"/>
      <c r="N300" s="25" t="str">
        <f>HYPERLINK("http://slimages.macys.com/is/image/MCY/20549437 ")</f>
        <v xml:space="preserve">http://slimages.macys.com/is/image/MCY/20549437 </v>
      </c>
    </row>
    <row r="301" spans="1:14" x14ac:dyDescent="0.25">
      <c r="A301" s="21" t="s">
        <v>16211</v>
      </c>
      <c r="B301" s="22" t="s">
        <v>16212</v>
      </c>
      <c r="C301" s="2">
        <v>1</v>
      </c>
      <c r="D301" s="23">
        <v>13.99</v>
      </c>
      <c r="E301" s="3">
        <v>13.99</v>
      </c>
      <c r="F301" s="2" t="s">
        <v>16497</v>
      </c>
      <c r="G301" s="22" t="s">
        <v>19618</v>
      </c>
      <c r="H301" s="24" t="s">
        <v>19797</v>
      </c>
      <c r="I301" s="22" t="s">
        <v>19309</v>
      </c>
      <c r="J301" s="22" t="s">
        <v>19849</v>
      </c>
      <c r="K301" s="22" t="s">
        <v>19850</v>
      </c>
      <c r="L301" s="22"/>
      <c r="M301" s="22"/>
      <c r="N301" s="25" t="str">
        <f>HYPERLINK("http://slimages.macys.com/is/image/MCY/21270437 ")</f>
        <v xml:space="preserve">http://slimages.macys.com/is/image/MCY/21270437 </v>
      </c>
    </row>
    <row r="302" spans="1:14" x14ac:dyDescent="0.25">
      <c r="A302" s="21" t="s">
        <v>16213</v>
      </c>
      <c r="B302" s="22" t="s">
        <v>16214</v>
      </c>
      <c r="C302" s="2">
        <v>1</v>
      </c>
      <c r="D302" s="23">
        <v>13.77</v>
      </c>
      <c r="E302" s="3">
        <v>13.77</v>
      </c>
      <c r="F302" s="2" t="s">
        <v>16513</v>
      </c>
      <c r="G302" s="22" t="s">
        <v>19670</v>
      </c>
      <c r="H302" s="24" t="s">
        <v>19324</v>
      </c>
      <c r="I302" s="22" t="s">
        <v>19309</v>
      </c>
      <c r="J302" s="22" t="s">
        <v>19708</v>
      </c>
      <c r="K302" s="22" t="s">
        <v>19709</v>
      </c>
      <c r="L302" s="22"/>
      <c r="M302" s="22"/>
      <c r="N302" s="25" t="str">
        <f>HYPERLINK("http://slimages.macys.com/is/image/MCY/21414216 ")</f>
        <v xml:space="preserve">http://slimages.macys.com/is/image/MCY/21414216 </v>
      </c>
    </row>
    <row r="303" spans="1:14" x14ac:dyDescent="0.25">
      <c r="A303" s="21" t="s">
        <v>16505</v>
      </c>
      <c r="B303" s="22" t="s">
        <v>16506</v>
      </c>
      <c r="C303" s="2">
        <v>1</v>
      </c>
      <c r="D303" s="23">
        <v>13.77</v>
      </c>
      <c r="E303" s="3">
        <v>13.77</v>
      </c>
      <c r="F303" s="2" t="s">
        <v>16507</v>
      </c>
      <c r="G303" s="22" t="s">
        <v>19323</v>
      </c>
      <c r="H303" s="24" t="s">
        <v>19324</v>
      </c>
      <c r="I303" s="22" t="s">
        <v>19309</v>
      </c>
      <c r="J303" s="22" t="s">
        <v>19708</v>
      </c>
      <c r="K303" s="22" t="s">
        <v>19709</v>
      </c>
      <c r="L303" s="22"/>
      <c r="M303" s="22"/>
      <c r="N303" s="25" t="str">
        <f>HYPERLINK("http://slimages.macys.com/is/image/MCY/21758683 ")</f>
        <v xml:space="preserve">http://slimages.macys.com/is/image/MCY/21758683 </v>
      </c>
    </row>
    <row r="304" spans="1:14" x14ac:dyDescent="0.25">
      <c r="A304" s="21" t="s">
        <v>16215</v>
      </c>
      <c r="B304" s="22" t="s">
        <v>16216</v>
      </c>
      <c r="C304" s="2">
        <v>1</v>
      </c>
      <c r="D304" s="23">
        <v>13.77</v>
      </c>
      <c r="E304" s="3">
        <v>13.77</v>
      </c>
      <c r="F304" s="2" t="s">
        <v>16217</v>
      </c>
      <c r="G304" s="22" t="s">
        <v>19333</v>
      </c>
      <c r="H304" s="24" t="s">
        <v>19770</v>
      </c>
      <c r="I304" s="22" t="s">
        <v>19309</v>
      </c>
      <c r="J304" s="22" t="s">
        <v>19708</v>
      </c>
      <c r="K304" s="22" t="s">
        <v>19709</v>
      </c>
      <c r="L304" s="22"/>
      <c r="M304" s="22"/>
      <c r="N304" s="25" t="str">
        <f>HYPERLINK("http://slimages.macys.com/is/image/MCY/21413620 ")</f>
        <v xml:space="preserve">http://slimages.macys.com/is/image/MCY/21413620 </v>
      </c>
    </row>
    <row r="305" spans="1:14" x14ac:dyDescent="0.25">
      <c r="A305" s="21" t="s">
        <v>16218</v>
      </c>
      <c r="B305" s="22" t="s">
        <v>16219</v>
      </c>
      <c r="C305" s="2">
        <v>1</v>
      </c>
      <c r="D305" s="23">
        <v>13.77</v>
      </c>
      <c r="E305" s="3">
        <v>13.77</v>
      </c>
      <c r="F305" s="2" t="s">
        <v>16507</v>
      </c>
      <c r="G305" s="22" t="s">
        <v>19323</v>
      </c>
      <c r="H305" s="24" t="s">
        <v>19770</v>
      </c>
      <c r="I305" s="22" t="s">
        <v>19309</v>
      </c>
      <c r="J305" s="22" t="s">
        <v>19708</v>
      </c>
      <c r="K305" s="22" t="s">
        <v>19709</v>
      </c>
      <c r="L305" s="22"/>
      <c r="M305" s="22"/>
      <c r="N305" s="25" t="str">
        <f>HYPERLINK("http://slimages.macys.com/is/image/MCY/21758683 ")</f>
        <v xml:space="preserve">http://slimages.macys.com/is/image/MCY/21758683 </v>
      </c>
    </row>
    <row r="306" spans="1:14" x14ac:dyDescent="0.25">
      <c r="A306" s="21" t="s">
        <v>16220</v>
      </c>
      <c r="B306" s="22" t="s">
        <v>16221</v>
      </c>
      <c r="C306" s="2">
        <v>1</v>
      </c>
      <c r="D306" s="23">
        <v>13.99</v>
      </c>
      <c r="E306" s="3">
        <v>13.99</v>
      </c>
      <c r="F306" s="2" t="s">
        <v>16222</v>
      </c>
      <c r="G306" s="22" t="s">
        <v>19670</v>
      </c>
      <c r="H306" s="24"/>
      <c r="I306" s="22" t="s">
        <v>19309</v>
      </c>
      <c r="J306" s="22" t="s">
        <v>19849</v>
      </c>
      <c r="K306" s="22" t="s">
        <v>19850</v>
      </c>
      <c r="L306" s="22"/>
      <c r="M306" s="22"/>
      <c r="N306" s="25" t="str">
        <f>HYPERLINK("http://slimages.macys.com/is/image/MCY/21270377 ")</f>
        <v xml:space="preserve">http://slimages.macys.com/is/image/MCY/21270377 </v>
      </c>
    </row>
    <row r="307" spans="1:14" ht="24.75" x14ac:dyDescent="0.25">
      <c r="A307" s="21" t="s">
        <v>18509</v>
      </c>
      <c r="B307" s="22" t="s">
        <v>18510</v>
      </c>
      <c r="C307" s="2">
        <v>1</v>
      </c>
      <c r="D307" s="23">
        <v>14.99</v>
      </c>
      <c r="E307" s="3">
        <v>14.99</v>
      </c>
      <c r="F307" s="2" t="s">
        <v>18496</v>
      </c>
      <c r="G307" s="22" t="s">
        <v>19422</v>
      </c>
      <c r="H307" s="24" t="s">
        <v>18497</v>
      </c>
      <c r="I307" s="22" t="s">
        <v>19309</v>
      </c>
      <c r="J307" s="22" t="s">
        <v>19595</v>
      </c>
      <c r="K307" s="22" t="s">
        <v>18498</v>
      </c>
      <c r="L307" s="22"/>
      <c r="M307" s="22"/>
      <c r="N307" s="25" t="str">
        <f>HYPERLINK("http://slimages.macys.com/is/image/MCY/21693788 ")</f>
        <v xml:space="preserve">http://slimages.macys.com/is/image/MCY/21693788 </v>
      </c>
    </row>
    <row r="308" spans="1:14" ht="24.75" x14ac:dyDescent="0.25">
      <c r="A308" s="21" t="s">
        <v>16223</v>
      </c>
      <c r="B308" s="22" t="s">
        <v>18506</v>
      </c>
      <c r="C308" s="2">
        <v>1</v>
      </c>
      <c r="D308" s="23">
        <v>14.99</v>
      </c>
      <c r="E308" s="3">
        <v>14.99</v>
      </c>
      <c r="F308" s="2" t="s">
        <v>18496</v>
      </c>
      <c r="G308" s="22" t="s">
        <v>19415</v>
      </c>
      <c r="H308" s="24" t="s">
        <v>18507</v>
      </c>
      <c r="I308" s="22" t="s">
        <v>19309</v>
      </c>
      <c r="J308" s="22" t="s">
        <v>19595</v>
      </c>
      <c r="K308" s="22" t="s">
        <v>18498</v>
      </c>
      <c r="L308" s="22"/>
      <c r="M308" s="22"/>
      <c r="N308" s="25" t="str">
        <f>HYPERLINK("http://slimages.macys.com/is/image/MCY/21693788 ")</f>
        <v xml:space="preserve">http://slimages.macys.com/is/image/MCY/21693788 </v>
      </c>
    </row>
    <row r="309" spans="1:14" ht="24.75" x14ac:dyDescent="0.25">
      <c r="A309" s="21" t="s">
        <v>18494</v>
      </c>
      <c r="B309" s="22" t="s">
        <v>18495</v>
      </c>
      <c r="C309" s="2">
        <v>3</v>
      </c>
      <c r="D309" s="23">
        <v>14.99</v>
      </c>
      <c r="E309" s="3">
        <v>44.97</v>
      </c>
      <c r="F309" s="2" t="s">
        <v>18496</v>
      </c>
      <c r="G309" s="22" t="s">
        <v>19415</v>
      </c>
      <c r="H309" s="24" t="s">
        <v>18497</v>
      </c>
      <c r="I309" s="22" t="s">
        <v>19309</v>
      </c>
      <c r="J309" s="22" t="s">
        <v>19595</v>
      </c>
      <c r="K309" s="22" t="s">
        <v>18498</v>
      </c>
      <c r="L309" s="22"/>
      <c r="M309" s="22"/>
      <c r="N309" s="25" t="str">
        <f>HYPERLINK("http://slimages.macys.com/is/image/MCY/21693788 ")</f>
        <v xml:space="preserve">http://slimages.macys.com/is/image/MCY/21693788 </v>
      </c>
    </row>
    <row r="310" spans="1:14" ht="24.75" x14ac:dyDescent="0.25">
      <c r="A310" s="21" t="s">
        <v>18518</v>
      </c>
      <c r="B310" s="22" t="s">
        <v>18519</v>
      </c>
      <c r="C310" s="2">
        <v>1</v>
      </c>
      <c r="D310" s="23">
        <v>9.8000000000000007</v>
      </c>
      <c r="E310" s="3">
        <v>9.8000000000000007</v>
      </c>
      <c r="F310" s="2" t="s">
        <v>18517</v>
      </c>
      <c r="G310" s="22" t="s">
        <v>19315</v>
      </c>
      <c r="H310" s="24" t="s">
        <v>19339</v>
      </c>
      <c r="I310" s="22" t="s">
        <v>19309</v>
      </c>
      <c r="J310" s="22" t="s">
        <v>19565</v>
      </c>
      <c r="K310" s="22" t="s">
        <v>18514</v>
      </c>
      <c r="L310" s="22"/>
      <c r="M310" s="22"/>
      <c r="N310" s="25" t="str">
        <f>HYPERLINK("http://slimages.macys.com/is/image/MCY/21530310 ")</f>
        <v xml:space="preserve">http://slimages.macys.com/is/image/MCY/21530310 </v>
      </c>
    </row>
    <row r="311" spans="1:14" ht="24.75" x14ac:dyDescent="0.25">
      <c r="A311" s="21" t="s">
        <v>16224</v>
      </c>
      <c r="B311" s="22" t="s">
        <v>16225</v>
      </c>
      <c r="C311" s="2">
        <v>1</v>
      </c>
      <c r="D311" s="23">
        <v>14.99</v>
      </c>
      <c r="E311" s="3">
        <v>14.99</v>
      </c>
      <c r="F311" s="2" t="s">
        <v>18496</v>
      </c>
      <c r="G311" s="22" t="s">
        <v>19422</v>
      </c>
      <c r="H311" s="24" t="s">
        <v>18507</v>
      </c>
      <c r="I311" s="22" t="s">
        <v>19309</v>
      </c>
      <c r="J311" s="22" t="s">
        <v>19595</v>
      </c>
      <c r="K311" s="22" t="s">
        <v>18498</v>
      </c>
      <c r="L311" s="22"/>
      <c r="M311" s="22"/>
      <c r="N311" s="25" t="str">
        <f>HYPERLINK("http://slimages.macys.com/is/image/MCY/21693788 ")</f>
        <v xml:space="preserve">http://slimages.macys.com/is/image/MCY/21693788 </v>
      </c>
    </row>
    <row r="312" spans="1:14" ht="24.75" x14ac:dyDescent="0.25">
      <c r="A312" s="21" t="s">
        <v>16226</v>
      </c>
      <c r="B312" s="22" t="s">
        <v>16227</v>
      </c>
      <c r="C312" s="2">
        <v>3</v>
      </c>
      <c r="D312" s="23">
        <v>11.92</v>
      </c>
      <c r="E312" s="3">
        <v>35.76</v>
      </c>
      <c r="F312" s="2" t="s">
        <v>16228</v>
      </c>
      <c r="G312" s="22" t="s">
        <v>19351</v>
      </c>
      <c r="H312" s="24"/>
      <c r="I312" s="22" t="s">
        <v>19309</v>
      </c>
      <c r="J312" s="22" t="s">
        <v>19602</v>
      </c>
      <c r="K312" s="22" t="s">
        <v>20041</v>
      </c>
      <c r="L312" s="22"/>
      <c r="M312" s="22"/>
      <c r="N312" s="25" t="str">
        <f>HYPERLINK("http://slimages.macys.com/is/image/MCY/21728874 ")</f>
        <v xml:space="preserve">http://slimages.macys.com/is/image/MCY/21728874 </v>
      </c>
    </row>
    <row r="313" spans="1:14" ht="24.75" x14ac:dyDescent="0.25">
      <c r="A313" s="21" t="s">
        <v>16229</v>
      </c>
      <c r="B313" s="22" t="s">
        <v>16230</v>
      </c>
      <c r="C313" s="2">
        <v>1</v>
      </c>
      <c r="D313" s="23">
        <v>11.92</v>
      </c>
      <c r="E313" s="3">
        <v>11.92</v>
      </c>
      <c r="F313" s="2" t="s">
        <v>16228</v>
      </c>
      <c r="G313" s="22" t="s">
        <v>19351</v>
      </c>
      <c r="H313" s="24" t="s">
        <v>19392</v>
      </c>
      <c r="I313" s="22" t="s">
        <v>19309</v>
      </c>
      <c r="J313" s="22" t="s">
        <v>19602</v>
      </c>
      <c r="K313" s="22" t="s">
        <v>20041</v>
      </c>
      <c r="L313" s="22"/>
      <c r="M313" s="22"/>
      <c r="N313" s="25" t="str">
        <f>HYPERLINK("http://slimages.macys.com/is/image/MCY/21728874 ")</f>
        <v xml:space="preserve">http://slimages.macys.com/is/image/MCY/21728874 </v>
      </c>
    </row>
    <row r="314" spans="1:14" ht="24.75" x14ac:dyDescent="0.25">
      <c r="A314" s="21" t="s">
        <v>16231</v>
      </c>
      <c r="B314" s="22" t="s">
        <v>16232</v>
      </c>
      <c r="C314" s="2">
        <v>1</v>
      </c>
      <c r="D314" s="23">
        <v>11.92</v>
      </c>
      <c r="E314" s="3">
        <v>11.92</v>
      </c>
      <c r="F314" s="2" t="s">
        <v>16233</v>
      </c>
      <c r="G314" s="22" t="s">
        <v>19357</v>
      </c>
      <c r="H314" s="24"/>
      <c r="I314" s="22" t="s">
        <v>19309</v>
      </c>
      <c r="J314" s="22" t="s">
        <v>19602</v>
      </c>
      <c r="K314" s="22" t="s">
        <v>20041</v>
      </c>
      <c r="L314" s="22"/>
      <c r="M314" s="22"/>
      <c r="N314" s="25" t="str">
        <f>HYPERLINK("http://slimages.macys.com/is/image/MCY/21728874 ")</f>
        <v xml:space="preserve">http://slimages.macys.com/is/image/MCY/21728874 </v>
      </c>
    </row>
    <row r="315" spans="1:14" ht="24.75" x14ac:dyDescent="0.25">
      <c r="A315" s="21" t="s">
        <v>16234</v>
      </c>
      <c r="B315" s="22" t="s">
        <v>16235</v>
      </c>
      <c r="C315" s="2">
        <v>1</v>
      </c>
      <c r="D315" s="23">
        <v>11.92</v>
      </c>
      <c r="E315" s="3">
        <v>11.92</v>
      </c>
      <c r="F315" s="2" t="s">
        <v>16228</v>
      </c>
      <c r="G315" s="22" t="s">
        <v>19351</v>
      </c>
      <c r="H315" s="24" t="s">
        <v>19334</v>
      </c>
      <c r="I315" s="22" t="s">
        <v>19309</v>
      </c>
      <c r="J315" s="22" t="s">
        <v>19602</v>
      </c>
      <c r="K315" s="22" t="s">
        <v>20041</v>
      </c>
      <c r="L315" s="22"/>
      <c r="M315" s="22"/>
      <c r="N315" s="25" t="str">
        <f>HYPERLINK("http://slimages.macys.com/is/image/MCY/21728874 ")</f>
        <v xml:space="preserve">http://slimages.macys.com/is/image/MCY/21728874 </v>
      </c>
    </row>
    <row r="316" spans="1:14" ht="24.75" x14ac:dyDescent="0.25">
      <c r="A316" s="21" t="s">
        <v>16236</v>
      </c>
      <c r="B316" s="22" t="s">
        <v>16237</v>
      </c>
      <c r="C316" s="2">
        <v>2</v>
      </c>
      <c r="D316" s="23">
        <v>11.92</v>
      </c>
      <c r="E316" s="3">
        <v>23.84</v>
      </c>
      <c r="F316" s="2" t="s">
        <v>16233</v>
      </c>
      <c r="G316" s="22" t="s">
        <v>19357</v>
      </c>
      <c r="H316" s="24" t="s">
        <v>19345</v>
      </c>
      <c r="I316" s="22" t="s">
        <v>19309</v>
      </c>
      <c r="J316" s="22" t="s">
        <v>19602</v>
      </c>
      <c r="K316" s="22" t="s">
        <v>20041</v>
      </c>
      <c r="L316" s="22"/>
      <c r="M316" s="22"/>
      <c r="N316" s="25" t="str">
        <f>HYPERLINK("http://slimages.macys.com/is/image/MCY/21728874 ")</f>
        <v xml:space="preserve">http://slimages.macys.com/is/image/MCY/21728874 </v>
      </c>
    </row>
    <row r="317" spans="1:14" x14ac:dyDescent="0.25">
      <c r="A317" s="21" t="s">
        <v>16238</v>
      </c>
      <c r="B317" s="22" t="s">
        <v>16239</v>
      </c>
      <c r="C317" s="2">
        <v>1</v>
      </c>
      <c r="D317" s="23">
        <v>16.989999999999998</v>
      </c>
      <c r="E317" s="3">
        <v>16.989999999999998</v>
      </c>
      <c r="F317" s="2" t="s">
        <v>16240</v>
      </c>
      <c r="G317" s="22" t="s">
        <v>19351</v>
      </c>
      <c r="H317" s="24" t="s">
        <v>19361</v>
      </c>
      <c r="I317" s="22" t="s">
        <v>19309</v>
      </c>
      <c r="J317" s="22" t="s">
        <v>19849</v>
      </c>
      <c r="K317" s="22" t="s">
        <v>19850</v>
      </c>
      <c r="L317" s="22"/>
      <c r="M317" s="22"/>
      <c r="N317" s="25" t="str">
        <f>HYPERLINK("http://slimages.macys.com/is/image/MCY/21270723 ")</f>
        <v xml:space="preserve">http://slimages.macys.com/is/image/MCY/21270723 </v>
      </c>
    </row>
    <row r="318" spans="1:14" ht="24.75" x14ac:dyDescent="0.25">
      <c r="A318" s="21" t="s">
        <v>16241</v>
      </c>
      <c r="B318" s="22" t="s">
        <v>16242</v>
      </c>
      <c r="C318" s="2">
        <v>1</v>
      </c>
      <c r="D318" s="23">
        <v>13.99</v>
      </c>
      <c r="E318" s="3">
        <v>13.99</v>
      </c>
      <c r="F318" s="2" t="s">
        <v>18536</v>
      </c>
      <c r="G318" s="22" t="s">
        <v>19674</v>
      </c>
      <c r="H318" s="24" t="s">
        <v>19416</v>
      </c>
      <c r="I318" s="22" t="s">
        <v>19309</v>
      </c>
      <c r="J318" s="22" t="s">
        <v>19573</v>
      </c>
      <c r="K318" s="22" t="s">
        <v>19574</v>
      </c>
      <c r="L318" s="22"/>
      <c r="M318" s="22"/>
      <c r="N318" s="25" t="str">
        <f>HYPERLINK("http://slimages.macys.com/is/image/MCY/22037419 ")</f>
        <v xml:space="preserve">http://slimages.macys.com/is/image/MCY/22037419 </v>
      </c>
    </row>
    <row r="319" spans="1:14" ht="24.75" x14ac:dyDescent="0.25">
      <c r="A319" s="21" t="s">
        <v>16243</v>
      </c>
      <c r="B319" s="22" t="s">
        <v>16244</v>
      </c>
      <c r="C319" s="2">
        <v>1</v>
      </c>
      <c r="D319" s="23">
        <v>13.99</v>
      </c>
      <c r="E319" s="3">
        <v>13.99</v>
      </c>
      <c r="F319" s="2" t="s">
        <v>16245</v>
      </c>
      <c r="G319" s="22" t="s">
        <v>19351</v>
      </c>
      <c r="H319" s="24" t="s">
        <v>19538</v>
      </c>
      <c r="I319" s="22" t="s">
        <v>19309</v>
      </c>
      <c r="J319" s="22" t="s">
        <v>19573</v>
      </c>
      <c r="K319" s="22" t="s">
        <v>19574</v>
      </c>
      <c r="L319" s="22"/>
      <c r="M319" s="22"/>
      <c r="N319" s="25" t="str">
        <f>HYPERLINK("http://slimages.macys.com/is/image/MCY/1554881 ")</f>
        <v xml:space="preserve">http://slimages.macys.com/is/image/MCY/1554881 </v>
      </c>
    </row>
    <row r="320" spans="1:14" x14ac:dyDescent="0.25">
      <c r="A320" s="21" t="s">
        <v>16525</v>
      </c>
      <c r="B320" s="22" t="s">
        <v>16526</v>
      </c>
      <c r="C320" s="2">
        <v>1</v>
      </c>
      <c r="D320" s="23">
        <v>16.989999999999998</v>
      </c>
      <c r="E320" s="3">
        <v>16.989999999999998</v>
      </c>
      <c r="F320" s="2" t="s">
        <v>16527</v>
      </c>
      <c r="G320" s="22" t="s">
        <v>19674</v>
      </c>
      <c r="H320" s="24" t="s">
        <v>19542</v>
      </c>
      <c r="I320" s="22" t="s">
        <v>19309</v>
      </c>
      <c r="J320" s="22" t="s">
        <v>19849</v>
      </c>
      <c r="K320" s="22" t="s">
        <v>19850</v>
      </c>
      <c r="L320" s="22"/>
      <c r="M320" s="22"/>
      <c r="N320" s="25" t="str">
        <f>HYPERLINK("http://slimages.macys.com/is/image/MCY/1504995 ")</f>
        <v xml:space="preserve">http://slimages.macys.com/is/image/MCY/1504995 </v>
      </c>
    </row>
    <row r="321" spans="1:14" x14ac:dyDescent="0.25">
      <c r="A321" s="21" t="s">
        <v>16246</v>
      </c>
      <c r="B321" s="22" t="s">
        <v>16247</v>
      </c>
      <c r="C321" s="2">
        <v>1</v>
      </c>
      <c r="D321" s="23">
        <v>19.989999999999998</v>
      </c>
      <c r="E321" s="3">
        <v>19.989999999999998</v>
      </c>
      <c r="F321" s="2" t="s">
        <v>18541</v>
      </c>
      <c r="G321" s="22" t="s">
        <v>19674</v>
      </c>
      <c r="H321" s="24" t="s">
        <v>19361</v>
      </c>
      <c r="I321" s="22" t="s">
        <v>19309</v>
      </c>
      <c r="J321" s="22" t="s">
        <v>19849</v>
      </c>
      <c r="K321" s="22" t="s">
        <v>19850</v>
      </c>
      <c r="L321" s="22"/>
      <c r="M321" s="22"/>
      <c r="N321" s="25" t="str">
        <f>HYPERLINK("http://slimages.macys.com/is/image/MCY/1521138 ")</f>
        <v xml:space="preserve">http://slimages.macys.com/is/image/MCY/1521138 </v>
      </c>
    </row>
    <row r="322" spans="1:14" ht="24.75" x14ac:dyDescent="0.25">
      <c r="A322" s="21" t="s">
        <v>18558</v>
      </c>
      <c r="B322" s="22" t="s">
        <v>18559</v>
      </c>
      <c r="C322" s="2">
        <v>1</v>
      </c>
      <c r="D322" s="23">
        <v>13.99</v>
      </c>
      <c r="E322" s="3">
        <v>13.99</v>
      </c>
      <c r="F322" s="2" t="s">
        <v>18551</v>
      </c>
      <c r="G322" s="22" t="s">
        <v>19415</v>
      </c>
      <c r="H322" s="24" t="s">
        <v>19324</v>
      </c>
      <c r="I322" s="22" t="s">
        <v>19309</v>
      </c>
      <c r="J322" s="22" t="s">
        <v>19573</v>
      </c>
      <c r="K322" s="22" t="s">
        <v>19574</v>
      </c>
      <c r="L322" s="22"/>
      <c r="M322" s="22"/>
      <c r="N322" s="25" t="str">
        <f>HYPERLINK("http://slimages.macys.com/is/image/MCY/1619637 ")</f>
        <v xml:space="preserve">http://slimages.macys.com/is/image/MCY/1619637 </v>
      </c>
    </row>
    <row r="323" spans="1:14" ht="24.75" x14ac:dyDescent="0.25">
      <c r="A323" s="21" t="s">
        <v>18549</v>
      </c>
      <c r="B323" s="22" t="s">
        <v>18550</v>
      </c>
      <c r="C323" s="2">
        <v>1</v>
      </c>
      <c r="D323" s="23">
        <v>13.99</v>
      </c>
      <c r="E323" s="3">
        <v>13.99</v>
      </c>
      <c r="F323" s="2" t="s">
        <v>18551</v>
      </c>
      <c r="G323" s="22" t="s">
        <v>19467</v>
      </c>
      <c r="H323" s="24" t="s">
        <v>19384</v>
      </c>
      <c r="I323" s="22" t="s">
        <v>19309</v>
      </c>
      <c r="J323" s="22" t="s">
        <v>19573</v>
      </c>
      <c r="K323" s="22" t="s">
        <v>19574</v>
      </c>
      <c r="L323" s="22"/>
      <c r="M323" s="22"/>
      <c r="N323" s="25" t="str">
        <f>HYPERLINK("http://slimages.macys.com/is/image/MCY/21361645 ")</f>
        <v xml:space="preserve">http://slimages.macys.com/is/image/MCY/21361645 </v>
      </c>
    </row>
    <row r="324" spans="1:14" ht="24.75" x14ac:dyDescent="0.25">
      <c r="A324" s="21" t="s">
        <v>18552</v>
      </c>
      <c r="B324" s="22" t="s">
        <v>18553</v>
      </c>
      <c r="C324" s="2">
        <v>2</v>
      </c>
      <c r="D324" s="23">
        <v>13.99</v>
      </c>
      <c r="E324" s="3">
        <v>27.98</v>
      </c>
      <c r="F324" s="2" t="s">
        <v>18551</v>
      </c>
      <c r="G324" s="22" t="s">
        <v>19467</v>
      </c>
      <c r="H324" s="24" t="s">
        <v>19330</v>
      </c>
      <c r="I324" s="22" t="s">
        <v>19309</v>
      </c>
      <c r="J324" s="22" t="s">
        <v>19573</v>
      </c>
      <c r="K324" s="22" t="s">
        <v>19574</v>
      </c>
      <c r="L324" s="22"/>
      <c r="M324" s="22"/>
      <c r="N324" s="25" t="str">
        <f>HYPERLINK("http://slimages.macys.com/is/image/MCY/21361645 ")</f>
        <v xml:space="preserve">http://slimages.macys.com/is/image/MCY/21361645 </v>
      </c>
    </row>
    <row r="325" spans="1:14" ht="24.75" x14ac:dyDescent="0.25">
      <c r="A325" s="21" t="s">
        <v>16248</v>
      </c>
      <c r="B325" s="22" t="s">
        <v>16249</v>
      </c>
      <c r="C325" s="2">
        <v>1</v>
      </c>
      <c r="D325" s="23">
        <v>11.35</v>
      </c>
      <c r="E325" s="3">
        <v>11.35</v>
      </c>
      <c r="F325" s="2" t="s">
        <v>16250</v>
      </c>
      <c r="G325" s="22"/>
      <c r="H325" s="24" t="s">
        <v>19345</v>
      </c>
      <c r="I325" s="22" t="s">
        <v>19309</v>
      </c>
      <c r="J325" s="22" t="s">
        <v>19602</v>
      </c>
      <c r="K325" s="22" t="s">
        <v>20041</v>
      </c>
      <c r="L325" s="22"/>
      <c r="M325" s="22"/>
      <c r="N325" s="25" t="str">
        <f>HYPERLINK("http://slimages.macys.com/is/image/MCY/22406119 ")</f>
        <v xml:space="preserve">http://slimages.macys.com/is/image/MCY/22406119 </v>
      </c>
    </row>
    <row r="326" spans="1:14" ht="24.75" x14ac:dyDescent="0.25">
      <c r="A326" s="21" t="s">
        <v>16251</v>
      </c>
      <c r="B326" s="22" t="s">
        <v>16252</v>
      </c>
      <c r="C326" s="2">
        <v>1</v>
      </c>
      <c r="D326" s="23">
        <v>16</v>
      </c>
      <c r="E326" s="3">
        <v>16</v>
      </c>
      <c r="F326" s="2" t="s">
        <v>16253</v>
      </c>
      <c r="G326" s="22" t="s">
        <v>19351</v>
      </c>
      <c r="H326" s="24" t="s">
        <v>19352</v>
      </c>
      <c r="I326" s="22" t="s">
        <v>19309</v>
      </c>
      <c r="J326" s="22" t="s">
        <v>19310</v>
      </c>
      <c r="K326" s="22" t="s">
        <v>19873</v>
      </c>
      <c r="L326" s="22"/>
      <c r="M326" s="22"/>
      <c r="N326" s="25" t="str">
        <f>HYPERLINK("http://slimages.macys.com/is/image/MCY/21694325 ")</f>
        <v xml:space="preserve">http://slimages.macys.com/is/image/MCY/21694325 </v>
      </c>
    </row>
    <row r="327" spans="1:14" ht="24.75" x14ac:dyDescent="0.25">
      <c r="A327" s="21" t="s">
        <v>16254</v>
      </c>
      <c r="B327" s="22" t="s">
        <v>16255</v>
      </c>
      <c r="C327" s="2">
        <v>1</v>
      </c>
      <c r="D327" s="23">
        <v>11.99</v>
      </c>
      <c r="E327" s="3">
        <v>11.99</v>
      </c>
      <c r="F327" s="2" t="s">
        <v>16256</v>
      </c>
      <c r="G327" s="22" t="s">
        <v>19383</v>
      </c>
      <c r="H327" s="24" t="s">
        <v>19907</v>
      </c>
      <c r="I327" s="22" t="s">
        <v>19309</v>
      </c>
      <c r="J327" s="22" t="s">
        <v>19908</v>
      </c>
      <c r="K327" s="22" t="s">
        <v>19524</v>
      </c>
      <c r="L327" s="22"/>
      <c r="M327" s="22"/>
      <c r="N327" s="25" t="str">
        <f>HYPERLINK("http://slimages.macys.com/is/image/MCY/20819683 ")</f>
        <v xml:space="preserve">http://slimages.macys.com/is/image/MCY/20819683 </v>
      </c>
    </row>
    <row r="328" spans="1:14" ht="24.75" x14ac:dyDescent="0.25">
      <c r="A328" s="21" t="s">
        <v>16257</v>
      </c>
      <c r="B328" s="22" t="s">
        <v>16258</v>
      </c>
      <c r="C328" s="2">
        <v>1</v>
      </c>
      <c r="D328" s="23">
        <v>10.99</v>
      </c>
      <c r="E328" s="3">
        <v>10.99</v>
      </c>
      <c r="F328" s="2" t="s">
        <v>16259</v>
      </c>
      <c r="G328" s="22" t="s">
        <v>19431</v>
      </c>
      <c r="H328" s="24" t="s">
        <v>19352</v>
      </c>
      <c r="I328" s="22" t="s">
        <v>19309</v>
      </c>
      <c r="J328" s="22" t="s">
        <v>19353</v>
      </c>
      <c r="K328" s="22" t="s">
        <v>19524</v>
      </c>
      <c r="L328" s="22"/>
      <c r="M328" s="22"/>
      <c r="N328" s="25" t="str">
        <f>HYPERLINK("http://slimages.macys.com/is/image/MCY/851426 ")</f>
        <v xml:space="preserve">http://slimages.macys.com/is/image/MCY/851426 </v>
      </c>
    </row>
    <row r="329" spans="1:14" x14ac:dyDescent="0.25">
      <c r="A329" s="21" t="s">
        <v>16586</v>
      </c>
      <c r="B329" s="22" t="s">
        <v>16587</v>
      </c>
      <c r="C329" s="2">
        <v>2</v>
      </c>
      <c r="D329" s="23">
        <v>16.989999999999998</v>
      </c>
      <c r="E329" s="3">
        <v>33.979999999999997</v>
      </c>
      <c r="F329" s="2" t="s">
        <v>18666</v>
      </c>
      <c r="G329" s="22" t="s">
        <v>19431</v>
      </c>
      <c r="H329" s="24" t="s">
        <v>19364</v>
      </c>
      <c r="I329" s="22" t="s">
        <v>19309</v>
      </c>
      <c r="J329" s="22" t="s">
        <v>19849</v>
      </c>
      <c r="K329" s="22" t="s">
        <v>19850</v>
      </c>
      <c r="L329" s="22"/>
      <c r="M329" s="22"/>
      <c r="N329" s="25" t="str">
        <f>HYPERLINK("http://slimages.macys.com/is/image/MCY/1249846 ")</f>
        <v xml:space="preserve">http://slimages.macys.com/is/image/MCY/1249846 </v>
      </c>
    </row>
    <row r="330" spans="1:14" x14ac:dyDescent="0.25">
      <c r="A330" s="21" t="s">
        <v>16576</v>
      </c>
      <c r="B330" s="22" t="s">
        <v>16577</v>
      </c>
      <c r="C330" s="2">
        <v>1</v>
      </c>
      <c r="D330" s="23">
        <v>16.989999999999998</v>
      </c>
      <c r="E330" s="3">
        <v>16.989999999999998</v>
      </c>
      <c r="F330" s="2" t="s">
        <v>18666</v>
      </c>
      <c r="G330" s="22" t="s">
        <v>19351</v>
      </c>
      <c r="H330" s="24" t="s">
        <v>19352</v>
      </c>
      <c r="I330" s="22" t="s">
        <v>19309</v>
      </c>
      <c r="J330" s="22" t="s">
        <v>19849</v>
      </c>
      <c r="K330" s="22" t="s">
        <v>19850</v>
      </c>
      <c r="L330" s="22"/>
      <c r="M330" s="22"/>
      <c r="N330" s="25" t="str">
        <f>HYPERLINK("http://slimages.macys.com/is/image/MCY/20751778 ")</f>
        <v xml:space="preserve">http://slimages.macys.com/is/image/MCY/20751778 </v>
      </c>
    </row>
    <row r="331" spans="1:14" x14ac:dyDescent="0.25">
      <c r="A331" s="21" t="s">
        <v>16260</v>
      </c>
      <c r="B331" s="22" t="s">
        <v>16261</v>
      </c>
      <c r="C331" s="2">
        <v>1</v>
      </c>
      <c r="D331" s="23">
        <v>16.989999999999998</v>
      </c>
      <c r="E331" s="3">
        <v>16.989999999999998</v>
      </c>
      <c r="F331" s="2" t="s">
        <v>18666</v>
      </c>
      <c r="G331" s="22" t="s">
        <v>19351</v>
      </c>
      <c r="H331" s="24" t="s">
        <v>19797</v>
      </c>
      <c r="I331" s="22" t="s">
        <v>19309</v>
      </c>
      <c r="J331" s="22" t="s">
        <v>19849</v>
      </c>
      <c r="K331" s="22" t="s">
        <v>19850</v>
      </c>
      <c r="L331" s="22"/>
      <c r="M331" s="22"/>
      <c r="N331" s="25" t="str">
        <f>HYPERLINK("http://slimages.macys.com/is/image/MCY/20751778 ")</f>
        <v xml:space="preserve">http://slimages.macys.com/is/image/MCY/20751778 </v>
      </c>
    </row>
    <row r="332" spans="1:14" x14ac:dyDescent="0.25">
      <c r="A332" s="21" t="s">
        <v>16578</v>
      </c>
      <c r="B332" s="22" t="s">
        <v>16579</v>
      </c>
      <c r="C332" s="2">
        <v>1</v>
      </c>
      <c r="D332" s="23">
        <v>16.989999999999998</v>
      </c>
      <c r="E332" s="3">
        <v>16.989999999999998</v>
      </c>
      <c r="F332" s="2" t="s">
        <v>18666</v>
      </c>
      <c r="G332" s="22" t="s">
        <v>19431</v>
      </c>
      <c r="H332" s="24"/>
      <c r="I332" s="22" t="s">
        <v>19309</v>
      </c>
      <c r="J332" s="22" t="s">
        <v>19849</v>
      </c>
      <c r="K332" s="22" t="s">
        <v>19850</v>
      </c>
      <c r="L332" s="22"/>
      <c r="M332" s="22"/>
      <c r="N332" s="25" t="str">
        <f>HYPERLINK("http://slimages.macys.com/is/image/MCY/20751778 ")</f>
        <v xml:space="preserve">http://slimages.macys.com/is/image/MCY/20751778 </v>
      </c>
    </row>
    <row r="333" spans="1:14" x14ac:dyDescent="0.25">
      <c r="A333" s="21" t="s">
        <v>16580</v>
      </c>
      <c r="B333" s="22" t="s">
        <v>16581</v>
      </c>
      <c r="C333" s="2">
        <v>2</v>
      </c>
      <c r="D333" s="23">
        <v>16.989999999999998</v>
      </c>
      <c r="E333" s="3">
        <v>33.979999999999997</v>
      </c>
      <c r="F333" s="2" t="s">
        <v>18666</v>
      </c>
      <c r="G333" s="22" t="s">
        <v>19431</v>
      </c>
      <c r="H333" s="24" t="s">
        <v>19352</v>
      </c>
      <c r="I333" s="22" t="s">
        <v>19309</v>
      </c>
      <c r="J333" s="22" t="s">
        <v>19849</v>
      </c>
      <c r="K333" s="22" t="s">
        <v>19850</v>
      </c>
      <c r="L333" s="22"/>
      <c r="M333" s="22"/>
      <c r="N333" s="25" t="str">
        <f>HYPERLINK("http://slimages.macys.com/is/image/MCY/1249846 ")</f>
        <v xml:space="preserve">http://slimages.macys.com/is/image/MCY/1249846 </v>
      </c>
    </row>
    <row r="334" spans="1:14" x14ac:dyDescent="0.25">
      <c r="A334" s="21" t="s">
        <v>16262</v>
      </c>
      <c r="B334" s="22" t="s">
        <v>16263</v>
      </c>
      <c r="C334" s="2">
        <v>2</v>
      </c>
      <c r="D334" s="23">
        <v>8.99</v>
      </c>
      <c r="E334" s="3">
        <v>17.98</v>
      </c>
      <c r="F334" s="2" t="s">
        <v>16264</v>
      </c>
      <c r="G334" s="22" t="s">
        <v>19315</v>
      </c>
      <c r="H334" s="24" t="s">
        <v>19334</v>
      </c>
      <c r="I334" s="22" t="s">
        <v>19309</v>
      </c>
      <c r="J334" s="22" t="s">
        <v>19310</v>
      </c>
      <c r="K334" s="22" t="s">
        <v>19468</v>
      </c>
      <c r="L334" s="22"/>
      <c r="M334" s="22"/>
      <c r="N334" s="25" t="str">
        <f>HYPERLINK("http://slimages.macys.com/is/image/MCY/20189634 ")</f>
        <v xml:space="preserve">http://slimages.macys.com/is/image/MCY/20189634 </v>
      </c>
    </row>
    <row r="335" spans="1:14" ht="24.75" x14ac:dyDescent="0.25">
      <c r="A335" s="21" t="s">
        <v>16265</v>
      </c>
      <c r="B335" s="22" t="s">
        <v>16266</v>
      </c>
      <c r="C335" s="2">
        <v>2</v>
      </c>
      <c r="D335" s="23">
        <v>10.91</v>
      </c>
      <c r="E335" s="3">
        <v>21.82</v>
      </c>
      <c r="F335" s="2" t="s">
        <v>16267</v>
      </c>
      <c r="G335" s="22"/>
      <c r="H335" s="24" t="s">
        <v>19334</v>
      </c>
      <c r="I335" s="22" t="s">
        <v>19309</v>
      </c>
      <c r="J335" s="22" t="s">
        <v>19602</v>
      </c>
      <c r="K335" s="22" t="s">
        <v>19603</v>
      </c>
      <c r="L335" s="22"/>
      <c r="M335" s="22"/>
      <c r="N335" s="25" t="str">
        <f>HYPERLINK("http://slimages.macys.com/is/image/MCY/21421177 ")</f>
        <v xml:space="preserve">http://slimages.macys.com/is/image/MCY/21421177 </v>
      </c>
    </row>
    <row r="336" spans="1:14" ht="24.75" x14ac:dyDescent="0.25">
      <c r="A336" s="21" t="s">
        <v>16268</v>
      </c>
      <c r="B336" s="22" t="s">
        <v>16269</v>
      </c>
      <c r="C336" s="2">
        <v>1</v>
      </c>
      <c r="D336" s="23">
        <v>10.91</v>
      </c>
      <c r="E336" s="3">
        <v>10.91</v>
      </c>
      <c r="F336" s="2" t="s">
        <v>16605</v>
      </c>
      <c r="G336" s="22" t="s">
        <v>19594</v>
      </c>
      <c r="H336" s="24"/>
      <c r="I336" s="22" t="s">
        <v>19309</v>
      </c>
      <c r="J336" s="22" t="s">
        <v>19602</v>
      </c>
      <c r="K336" s="22" t="s">
        <v>20041</v>
      </c>
      <c r="L336" s="22"/>
      <c r="M336" s="22"/>
      <c r="N336" s="25" t="str">
        <f>HYPERLINK("http://slimages.macys.com/is/image/MCY/21723141 ")</f>
        <v xml:space="preserve">http://slimages.macys.com/is/image/MCY/21723141 </v>
      </c>
    </row>
    <row r="337" spans="1:14" ht="24.75" x14ac:dyDescent="0.25">
      <c r="A337" s="21" t="s">
        <v>16270</v>
      </c>
      <c r="B337" s="22" t="s">
        <v>16271</v>
      </c>
      <c r="C337" s="2">
        <v>2</v>
      </c>
      <c r="D337" s="23">
        <v>10.91</v>
      </c>
      <c r="E337" s="3">
        <v>21.82</v>
      </c>
      <c r="F337" s="2" t="s">
        <v>16267</v>
      </c>
      <c r="G337" s="22"/>
      <c r="H337" s="24" t="s">
        <v>19345</v>
      </c>
      <c r="I337" s="22" t="s">
        <v>19309</v>
      </c>
      <c r="J337" s="22" t="s">
        <v>19602</v>
      </c>
      <c r="K337" s="22" t="s">
        <v>19603</v>
      </c>
      <c r="L337" s="22"/>
      <c r="M337" s="22"/>
      <c r="N337" s="25" t="str">
        <f>HYPERLINK("http://slimages.macys.com/is/image/MCY/21421177 ")</f>
        <v xml:space="preserve">http://slimages.macys.com/is/image/MCY/21421177 </v>
      </c>
    </row>
    <row r="338" spans="1:14" ht="24.75" x14ac:dyDescent="0.25">
      <c r="A338" s="21" t="s">
        <v>16272</v>
      </c>
      <c r="B338" s="22" t="s">
        <v>16273</v>
      </c>
      <c r="C338" s="2">
        <v>1</v>
      </c>
      <c r="D338" s="23">
        <v>10.91</v>
      </c>
      <c r="E338" s="3">
        <v>10.91</v>
      </c>
      <c r="F338" s="2" t="s">
        <v>16267</v>
      </c>
      <c r="G338" s="22"/>
      <c r="H338" s="24"/>
      <c r="I338" s="22" t="s">
        <v>19309</v>
      </c>
      <c r="J338" s="22" t="s">
        <v>19602</v>
      </c>
      <c r="K338" s="22" t="s">
        <v>19603</v>
      </c>
      <c r="L338" s="22"/>
      <c r="M338" s="22"/>
      <c r="N338" s="25" t="str">
        <f>HYPERLINK("http://slimages.macys.com/is/image/MCY/21421177 ")</f>
        <v xml:space="preserve">http://slimages.macys.com/is/image/MCY/21421177 </v>
      </c>
    </row>
    <row r="339" spans="1:14" ht="24.75" x14ac:dyDescent="0.25">
      <c r="A339" s="21" t="s">
        <v>16274</v>
      </c>
      <c r="B339" s="22" t="s">
        <v>16275</v>
      </c>
      <c r="C339" s="2">
        <v>1</v>
      </c>
      <c r="D339" s="23">
        <v>10.91</v>
      </c>
      <c r="E339" s="3">
        <v>10.91</v>
      </c>
      <c r="F339" s="2" t="s">
        <v>16276</v>
      </c>
      <c r="G339" s="22" t="s">
        <v>19357</v>
      </c>
      <c r="H339" s="24" t="s">
        <v>19392</v>
      </c>
      <c r="I339" s="22" t="s">
        <v>19309</v>
      </c>
      <c r="J339" s="22" t="s">
        <v>19602</v>
      </c>
      <c r="K339" s="22" t="s">
        <v>20041</v>
      </c>
      <c r="L339" s="22"/>
      <c r="M339" s="22"/>
      <c r="N339" s="25" t="str">
        <f>HYPERLINK("http://slimages.macys.com/is/image/MCY/21669854 ")</f>
        <v xml:space="preserve">http://slimages.macys.com/is/image/MCY/21669854 </v>
      </c>
    </row>
    <row r="340" spans="1:14" ht="24.75" x14ac:dyDescent="0.25">
      <c r="A340" s="21" t="s">
        <v>16277</v>
      </c>
      <c r="B340" s="22" t="s">
        <v>16278</v>
      </c>
      <c r="C340" s="2">
        <v>1</v>
      </c>
      <c r="D340" s="23">
        <v>10.91</v>
      </c>
      <c r="E340" s="3">
        <v>10.91</v>
      </c>
      <c r="F340" s="2" t="s">
        <v>16279</v>
      </c>
      <c r="G340" s="22" t="s">
        <v>19351</v>
      </c>
      <c r="H340" s="24" t="s">
        <v>19345</v>
      </c>
      <c r="I340" s="22" t="s">
        <v>19309</v>
      </c>
      <c r="J340" s="22" t="s">
        <v>19602</v>
      </c>
      <c r="K340" s="22" t="s">
        <v>20041</v>
      </c>
      <c r="L340" s="22"/>
      <c r="M340" s="22"/>
      <c r="N340" s="25" t="str">
        <f>HYPERLINK("http://slimages.macys.com/is/image/MCY/21669854 ")</f>
        <v xml:space="preserve">http://slimages.macys.com/is/image/MCY/21669854 </v>
      </c>
    </row>
    <row r="341" spans="1:14" ht="24.75" x14ac:dyDescent="0.25">
      <c r="A341" s="21" t="s">
        <v>16280</v>
      </c>
      <c r="B341" s="22" t="s">
        <v>16281</v>
      </c>
      <c r="C341" s="2">
        <v>1</v>
      </c>
      <c r="D341" s="23">
        <v>10.91</v>
      </c>
      <c r="E341" s="3">
        <v>10.91</v>
      </c>
      <c r="F341" s="2" t="s">
        <v>16602</v>
      </c>
      <c r="G341" s="22" t="s">
        <v>19357</v>
      </c>
      <c r="H341" s="24" t="s">
        <v>19392</v>
      </c>
      <c r="I341" s="22" t="s">
        <v>19309</v>
      </c>
      <c r="J341" s="22" t="s">
        <v>19602</v>
      </c>
      <c r="K341" s="22" t="s">
        <v>20041</v>
      </c>
      <c r="L341" s="22"/>
      <c r="M341" s="22"/>
      <c r="N341" s="25" t="str">
        <f>HYPERLINK("http://slimages.macys.com/is/image/MCY/21723141 ")</f>
        <v xml:space="preserve">http://slimages.macys.com/is/image/MCY/21723141 </v>
      </c>
    </row>
    <row r="342" spans="1:14" ht="24.75" x14ac:dyDescent="0.25">
      <c r="A342" s="21" t="s">
        <v>16282</v>
      </c>
      <c r="B342" s="22" t="s">
        <v>16283</v>
      </c>
      <c r="C342" s="2">
        <v>1</v>
      </c>
      <c r="D342" s="23">
        <v>10.91</v>
      </c>
      <c r="E342" s="3">
        <v>10.91</v>
      </c>
      <c r="F342" s="2" t="s">
        <v>16599</v>
      </c>
      <c r="G342" s="22" t="s">
        <v>19323</v>
      </c>
      <c r="H342" s="24"/>
      <c r="I342" s="22" t="s">
        <v>19309</v>
      </c>
      <c r="J342" s="22" t="s">
        <v>19602</v>
      </c>
      <c r="K342" s="22" t="s">
        <v>20041</v>
      </c>
      <c r="L342" s="22"/>
      <c r="M342" s="22"/>
      <c r="N342" s="25" t="str">
        <f>HYPERLINK("http://slimages.macys.com/is/image/MCY/21723141 ")</f>
        <v xml:space="preserve">http://slimages.macys.com/is/image/MCY/21723141 </v>
      </c>
    </row>
    <row r="343" spans="1:14" ht="24.75" x14ac:dyDescent="0.25">
      <c r="A343" s="21" t="s">
        <v>16284</v>
      </c>
      <c r="B343" s="22" t="s">
        <v>16285</v>
      </c>
      <c r="C343" s="2">
        <v>1</v>
      </c>
      <c r="D343" s="23">
        <v>10.91</v>
      </c>
      <c r="E343" s="3">
        <v>10.91</v>
      </c>
      <c r="F343" s="2" t="s">
        <v>18643</v>
      </c>
      <c r="G343" s="22" t="s">
        <v>18644</v>
      </c>
      <c r="H343" s="24" t="s">
        <v>19345</v>
      </c>
      <c r="I343" s="22" t="s">
        <v>19309</v>
      </c>
      <c r="J343" s="22" t="s">
        <v>19602</v>
      </c>
      <c r="K343" s="22" t="s">
        <v>20041</v>
      </c>
      <c r="L343" s="22"/>
      <c r="M343" s="22"/>
      <c r="N343" s="25" t="str">
        <f>HYPERLINK("http://slimages.macys.com/is/image/MCY/21723141 ")</f>
        <v xml:space="preserve">http://slimages.macys.com/is/image/MCY/21723141 </v>
      </c>
    </row>
    <row r="344" spans="1:14" ht="24.75" x14ac:dyDescent="0.25">
      <c r="A344" s="21" t="s">
        <v>16286</v>
      </c>
      <c r="B344" s="22" t="s">
        <v>16287</v>
      </c>
      <c r="C344" s="2">
        <v>1</v>
      </c>
      <c r="D344" s="23">
        <v>10.91</v>
      </c>
      <c r="E344" s="3">
        <v>10.91</v>
      </c>
      <c r="F344" s="2" t="s">
        <v>16605</v>
      </c>
      <c r="G344" s="22" t="s">
        <v>19594</v>
      </c>
      <c r="H344" s="24" t="s">
        <v>19345</v>
      </c>
      <c r="I344" s="22" t="s">
        <v>19309</v>
      </c>
      <c r="J344" s="22" t="s">
        <v>19602</v>
      </c>
      <c r="K344" s="22" t="s">
        <v>20041</v>
      </c>
      <c r="L344" s="22"/>
      <c r="M344" s="22"/>
      <c r="N344" s="25" t="str">
        <f>HYPERLINK("http://slimages.macys.com/is/image/MCY/21723141 ")</f>
        <v xml:space="preserve">http://slimages.macys.com/is/image/MCY/21723141 </v>
      </c>
    </row>
    <row r="345" spans="1:14" ht="24.75" x14ac:dyDescent="0.25">
      <c r="A345" s="21" t="s">
        <v>16288</v>
      </c>
      <c r="B345" s="22" t="s">
        <v>16289</v>
      </c>
      <c r="C345" s="2">
        <v>1</v>
      </c>
      <c r="D345" s="23">
        <v>10.91</v>
      </c>
      <c r="E345" s="3">
        <v>10.91</v>
      </c>
      <c r="F345" s="2" t="s">
        <v>16599</v>
      </c>
      <c r="G345" s="22" t="s">
        <v>19323</v>
      </c>
      <c r="H345" s="24" t="s">
        <v>19392</v>
      </c>
      <c r="I345" s="22" t="s">
        <v>19309</v>
      </c>
      <c r="J345" s="22" t="s">
        <v>19602</v>
      </c>
      <c r="K345" s="22" t="s">
        <v>20041</v>
      </c>
      <c r="L345" s="22"/>
      <c r="M345" s="22"/>
      <c r="N345" s="25" t="str">
        <f>HYPERLINK("http://slimages.macys.com/is/image/MCY/21723141 ")</f>
        <v xml:space="preserve">http://slimages.macys.com/is/image/MCY/21723141 </v>
      </c>
    </row>
    <row r="346" spans="1:14" x14ac:dyDescent="0.25">
      <c r="A346" s="21" t="s">
        <v>16290</v>
      </c>
      <c r="B346" s="22" t="s">
        <v>16291</v>
      </c>
      <c r="C346" s="2">
        <v>2</v>
      </c>
      <c r="D346" s="23">
        <v>13.27</v>
      </c>
      <c r="E346" s="3">
        <v>26.54</v>
      </c>
      <c r="F346" s="2" t="s">
        <v>16292</v>
      </c>
      <c r="G346" s="22"/>
      <c r="H346" s="24" t="s">
        <v>19416</v>
      </c>
      <c r="I346" s="22" t="s">
        <v>19309</v>
      </c>
      <c r="J346" s="22" t="s">
        <v>19708</v>
      </c>
      <c r="K346" s="22" t="s">
        <v>19754</v>
      </c>
      <c r="L346" s="22"/>
      <c r="M346" s="22"/>
      <c r="N346" s="25" t="str">
        <f>HYPERLINK("http://slimages.macys.com/is/image/MCY/21758168 ")</f>
        <v xml:space="preserve">http://slimages.macys.com/is/image/MCY/21758168 </v>
      </c>
    </row>
    <row r="347" spans="1:14" x14ac:dyDescent="0.25">
      <c r="A347" s="21" t="s">
        <v>16293</v>
      </c>
      <c r="B347" s="22" t="s">
        <v>16294</v>
      </c>
      <c r="C347" s="2">
        <v>1</v>
      </c>
      <c r="D347" s="23">
        <v>13.27</v>
      </c>
      <c r="E347" s="3">
        <v>13.27</v>
      </c>
      <c r="F347" s="2" t="s">
        <v>16614</v>
      </c>
      <c r="G347" s="22"/>
      <c r="H347" s="24" t="s">
        <v>19324</v>
      </c>
      <c r="I347" s="22" t="s">
        <v>19309</v>
      </c>
      <c r="J347" s="22" t="s">
        <v>19708</v>
      </c>
      <c r="K347" s="22" t="s">
        <v>19754</v>
      </c>
      <c r="L347" s="22"/>
      <c r="M347" s="22"/>
      <c r="N347" s="25" t="str">
        <f>HYPERLINK("http://slimages.macys.com/is/image/MCY/21758696 ")</f>
        <v xml:space="preserve">http://slimages.macys.com/is/image/MCY/21758696 </v>
      </c>
    </row>
    <row r="348" spans="1:14" x14ac:dyDescent="0.25">
      <c r="A348" s="21" t="s">
        <v>16295</v>
      </c>
      <c r="B348" s="22" t="s">
        <v>16296</v>
      </c>
      <c r="C348" s="2">
        <v>2</v>
      </c>
      <c r="D348" s="23">
        <v>13.27</v>
      </c>
      <c r="E348" s="3">
        <v>26.54</v>
      </c>
      <c r="F348" s="2" t="s">
        <v>16292</v>
      </c>
      <c r="G348" s="22"/>
      <c r="H348" s="24" t="s">
        <v>19330</v>
      </c>
      <c r="I348" s="22" t="s">
        <v>19309</v>
      </c>
      <c r="J348" s="22" t="s">
        <v>19708</v>
      </c>
      <c r="K348" s="22" t="s">
        <v>19754</v>
      </c>
      <c r="L348" s="22"/>
      <c r="M348" s="22"/>
      <c r="N348" s="25" t="str">
        <f>HYPERLINK("http://slimages.macys.com/is/image/MCY/21758168 ")</f>
        <v xml:space="preserve">http://slimages.macys.com/is/image/MCY/21758168 </v>
      </c>
    </row>
    <row r="349" spans="1:14" x14ac:dyDescent="0.25">
      <c r="A349" s="21" t="s">
        <v>16297</v>
      </c>
      <c r="B349" s="22" t="s">
        <v>16298</v>
      </c>
      <c r="C349" s="2">
        <v>3</v>
      </c>
      <c r="D349" s="23">
        <v>13.27</v>
      </c>
      <c r="E349" s="3">
        <v>39.81</v>
      </c>
      <c r="F349" s="2" t="s">
        <v>16292</v>
      </c>
      <c r="G349" s="22"/>
      <c r="H349" s="24" t="s">
        <v>19324</v>
      </c>
      <c r="I349" s="22" t="s">
        <v>19309</v>
      </c>
      <c r="J349" s="22" t="s">
        <v>19708</v>
      </c>
      <c r="K349" s="22" t="s">
        <v>19754</v>
      </c>
      <c r="L349" s="22"/>
      <c r="M349" s="22"/>
      <c r="N349" s="25" t="str">
        <f>HYPERLINK("http://slimages.macys.com/is/image/MCY/21758168 ")</f>
        <v xml:space="preserve">http://slimages.macys.com/is/image/MCY/21758168 </v>
      </c>
    </row>
    <row r="350" spans="1:14" x14ac:dyDescent="0.25">
      <c r="A350" s="21" t="s">
        <v>16299</v>
      </c>
      <c r="B350" s="22" t="s">
        <v>16300</v>
      </c>
      <c r="C350" s="2">
        <v>1</v>
      </c>
      <c r="D350" s="23">
        <v>13.27</v>
      </c>
      <c r="E350" s="3">
        <v>13.27</v>
      </c>
      <c r="F350" s="2" t="s">
        <v>16614</v>
      </c>
      <c r="G350" s="22"/>
      <c r="H350" s="24" t="s">
        <v>19330</v>
      </c>
      <c r="I350" s="22" t="s">
        <v>19309</v>
      </c>
      <c r="J350" s="22" t="s">
        <v>19708</v>
      </c>
      <c r="K350" s="22" t="s">
        <v>19754</v>
      </c>
      <c r="L350" s="22"/>
      <c r="M350" s="22"/>
      <c r="N350" s="25" t="str">
        <f>HYPERLINK("http://slimages.macys.com/is/image/MCY/21758696 ")</f>
        <v xml:space="preserve">http://slimages.macys.com/is/image/MCY/21758696 </v>
      </c>
    </row>
    <row r="351" spans="1:14" x14ac:dyDescent="0.25">
      <c r="A351" s="21" t="s">
        <v>16612</v>
      </c>
      <c r="B351" s="22" t="s">
        <v>16613</v>
      </c>
      <c r="C351" s="2">
        <v>1</v>
      </c>
      <c r="D351" s="23">
        <v>13.27</v>
      </c>
      <c r="E351" s="3">
        <v>13.27</v>
      </c>
      <c r="F351" s="2" t="s">
        <v>16614</v>
      </c>
      <c r="G351" s="22"/>
      <c r="H351" s="24" t="s">
        <v>19416</v>
      </c>
      <c r="I351" s="22" t="s">
        <v>19309</v>
      </c>
      <c r="J351" s="22" t="s">
        <v>19708</v>
      </c>
      <c r="K351" s="22" t="s">
        <v>19754</v>
      </c>
      <c r="L351" s="22"/>
      <c r="M351" s="22"/>
      <c r="N351" s="25" t="str">
        <f>HYPERLINK("http://slimages.macys.com/is/image/MCY/21758696 ")</f>
        <v xml:space="preserve">http://slimages.macys.com/is/image/MCY/21758696 </v>
      </c>
    </row>
    <row r="352" spans="1:14" x14ac:dyDescent="0.25">
      <c r="A352" s="21" t="s">
        <v>16301</v>
      </c>
      <c r="B352" s="22" t="s">
        <v>16302</v>
      </c>
      <c r="C352" s="2">
        <v>3</v>
      </c>
      <c r="D352" s="23">
        <v>13.27</v>
      </c>
      <c r="E352" s="3">
        <v>39.81</v>
      </c>
      <c r="F352" s="2" t="s">
        <v>16303</v>
      </c>
      <c r="G352" s="22"/>
      <c r="H352" s="24" t="s">
        <v>19416</v>
      </c>
      <c r="I352" s="22" t="s">
        <v>19309</v>
      </c>
      <c r="J352" s="22" t="s">
        <v>19708</v>
      </c>
      <c r="K352" s="22" t="s">
        <v>19754</v>
      </c>
      <c r="L352" s="22"/>
      <c r="M352" s="22"/>
      <c r="N352" s="25" t="str">
        <f>HYPERLINK("http://slimages.macys.com/is/image/MCY/22118338 ")</f>
        <v xml:space="preserve">http://slimages.macys.com/is/image/MCY/22118338 </v>
      </c>
    </row>
    <row r="353" spans="1:14" x14ac:dyDescent="0.25">
      <c r="A353" s="21" t="s">
        <v>16304</v>
      </c>
      <c r="B353" s="22" t="s">
        <v>16305</v>
      </c>
      <c r="C353" s="2">
        <v>1</v>
      </c>
      <c r="D353" s="23">
        <v>13.27</v>
      </c>
      <c r="E353" s="3">
        <v>13.27</v>
      </c>
      <c r="F353" s="2" t="s">
        <v>18631</v>
      </c>
      <c r="G353" s="22"/>
      <c r="H353" s="24" t="s">
        <v>19330</v>
      </c>
      <c r="I353" s="22" t="s">
        <v>19309</v>
      </c>
      <c r="J353" s="22" t="s">
        <v>19708</v>
      </c>
      <c r="K353" s="22" t="s">
        <v>19754</v>
      </c>
      <c r="L353" s="22"/>
      <c r="M353" s="22"/>
      <c r="N353" s="25" t="str">
        <f>HYPERLINK("http://slimages.macys.com/is/image/MCY/21414701 ")</f>
        <v xml:space="preserve">http://slimages.macys.com/is/image/MCY/21414701 </v>
      </c>
    </row>
    <row r="354" spans="1:14" x14ac:dyDescent="0.25">
      <c r="A354" s="21" t="s">
        <v>16306</v>
      </c>
      <c r="B354" s="22" t="s">
        <v>16307</v>
      </c>
      <c r="C354" s="2">
        <v>1</v>
      </c>
      <c r="D354" s="23">
        <v>13.27</v>
      </c>
      <c r="E354" s="3">
        <v>13.27</v>
      </c>
      <c r="F354" s="2" t="s">
        <v>16608</v>
      </c>
      <c r="G354" s="22"/>
      <c r="H354" s="24" t="s">
        <v>19416</v>
      </c>
      <c r="I354" s="22" t="s">
        <v>19309</v>
      </c>
      <c r="J354" s="22" t="s">
        <v>19708</v>
      </c>
      <c r="K354" s="22" t="s">
        <v>19754</v>
      </c>
      <c r="L354" s="22"/>
      <c r="M354" s="22"/>
      <c r="N354" s="25" t="str">
        <f>HYPERLINK("http://slimages.macys.com/is/image/MCY/21414680 ")</f>
        <v xml:space="preserve">http://slimages.macys.com/is/image/MCY/21414680 </v>
      </c>
    </row>
    <row r="355" spans="1:14" ht="24.75" x14ac:dyDescent="0.25">
      <c r="A355" s="21" t="s">
        <v>16308</v>
      </c>
      <c r="B355" s="22" t="s">
        <v>16309</v>
      </c>
      <c r="C355" s="2">
        <v>2</v>
      </c>
      <c r="D355" s="23">
        <v>10.91</v>
      </c>
      <c r="E355" s="3">
        <v>21.82</v>
      </c>
      <c r="F355" s="2" t="s">
        <v>16310</v>
      </c>
      <c r="G355" s="22"/>
      <c r="H355" s="24" t="s">
        <v>19334</v>
      </c>
      <c r="I355" s="22" t="s">
        <v>19309</v>
      </c>
      <c r="J355" s="22" t="s">
        <v>19602</v>
      </c>
      <c r="K355" s="22" t="s">
        <v>19603</v>
      </c>
      <c r="L355" s="22"/>
      <c r="M355" s="22"/>
      <c r="N355" s="25" t="str">
        <f>HYPERLINK("http://slimages.macys.com/is/image/MCY/21421177 ")</f>
        <v xml:space="preserve">http://slimages.macys.com/is/image/MCY/21421177 </v>
      </c>
    </row>
    <row r="356" spans="1:14" ht="24.75" x14ac:dyDescent="0.25">
      <c r="A356" s="21" t="s">
        <v>16311</v>
      </c>
      <c r="B356" s="22" t="s">
        <v>16312</v>
      </c>
      <c r="C356" s="2">
        <v>2</v>
      </c>
      <c r="D356" s="23">
        <v>10.99</v>
      </c>
      <c r="E356" s="3">
        <v>21.98</v>
      </c>
      <c r="F356" s="2" t="s">
        <v>16313</v>
      </c>
      <c r="G356" s="22" t="s">
        <v>19879</v>
      </c>
      <c r="H356" s="24" t="s">
        <v>19364</v>
      </c>
      <c r="I356" s="22" t="s">
        <v>19309</v>
      </c>
      <c r="J356" s="22" t="s">
        <v>19353</v>
      </c>
      <c r="K356" s="22" t="s">
        <v>19524</v>
      </c>
      <c r="L356" s="22"/>
      <c r="M356" s="22"/>
      <c r="N356" s="25" t="str">
        <f>HYPERLINK("http://slimages.macys.com/is/image/MCY/1111487 ")</f>
        <v xml:space="preserve">http://slimages.macys.com/is/image/MCY/1111487 </v>
      </c>
    </row>
    <row r="357" spans="1:14" ht="24.75" x14ac:dyDescent="0.25">
      <c r="A357" s="21" t="s">
        <v>18661</v>
      </c>
      <c r="B357" s="22" t="s">
        <v>18662</v>
      </c>
      <c r="C357" s="2">
        <v>1</v>
      </c>
      <c r="D357" s="23">
        <v>11.99</v>
      </c>
      <c r="E357" s="3">
        <v>11.99</v>
      </c>
      <c r="F357" s="2" t="s">
        <v>18663</v>
      </c>
      <c r="G357" s="22" t="s">
        <v>19585</v>
      </c>
      <c r="H357" s="24" t="s">
        <v>19352</v>
      </c>
      <c r="I357" s="22" t="s">
        <v>19309</v>
      </c>
      <c r="J357" s="22" t="s">
        <v>19849</v>
      </c>
      <c r="K357" s="22" t="s">
        <v>19850</v>
      </c>
      <c r="L357" s="22"/>
      <c r="M357" s="22"/>
      <c r="N357" s="25" t="str">
        <f>HYPERLINK("http://slimages.macys.com/is/image/MCY/20752422 ")</f>
        <v xml:space="preserve">http://slimages.macys.com/is/image/MCY/20752422 </v>
      </c>
    </row>
    <row r="358" spans="1:14" x14ac:dyDescent="0.25">
      <c r="A358" s="21" t="s">
        <v>18664</v>
      </c>
      <c r="B358" s="22" t="s">
        <v>18665</v>
      </c>
      <c r="C358" s="2">
        <v>1</v>
      </c>
      <c r="D358" s="23">
        <v>16.989999999999998</v>
      </c>
      <c r="E358" s="3">
        <v>16.989999999999998</v>
      </c>
      <c r="F358" s="2" t="s">
        <v>18666</v>
      </c>
      <c r="G358" s="22" t="s">
        <v>19477</v>
      </c>
      <c r="H358" s="24" t="s">
        <v>19352</v>
      </c>
      <c r="I358" s="22" t="s">
        <v>19309</v>
      </c>
      <c r="J358" s="22" t="s">
        <v>19849</v>
      </c>
      <c r="K358" s="22" t="s">
        <v>19850</v>
      </c>
      <c r="L358" s="22"/>
      <c r="M358" s="22"/>
      <c r="N358" s="25" t="str">
        <f>HYPERLINK("http://slimages.macys.com/is/image/MCY/20549559 ")</f>
        <v xml:space="preserve">http://slimages.macys.com/is/image/MCY/20549559 </v>
      </c>
    </row>
    <row r="359" spans="1:14" x14ac:dyDescent="0.25">
      <c r="A359" s="21" t="s">
        <v>16633</v>
      </c>
      <c r="B359" s="22" t="s">
        <v>16634</v>
      </c>
      <c r="C359" s="2">
        <v>1</v>
      </c>
      <c r="D359" s="23">
        <v>16.989999999999998</v>
      </c>
      <c r="E359" s="3">
        <v>16.989999999999998</v>
      </c>
      <c r="F359" s="2" t="s">
        <v>18666</v>
      </c>
      <c r="G359" s="22" t="s">
        <v>19477</v>
      </c>
      <c r="H359" s="24" t="s">
        <v>19797</v>
      </c>
      <c r="I359" s="22" t="s">
        <v>19309</v>
      </c>
      <c r="J359" s="22" t="s">
        <v>19849</v>
      </c>
      <c r="K359" s="22" t="s">
        <v>19850</v>
      </c>
      <c r="L359" s="22"/>
      <c r="M359" s="22"/>
      <c r="N359" s="25" t="str">
        <f>HYPERLINK("http://slimages.macys.com/is/image/MCY/20549559 ")</f>
        <v xml:space="preserve">http://slimages.macys.com/is/image/MCY/20549559 </v>
      </c>
    </row>
    <row r="360" spans="1:14" ht="24.75" x14ac:dyDescent="0.25">
      <c r="A360" s="21" t="s">
        <v>16314</v>
      </c>
      <c r="B360" s="22" t="s">
        <v>16315</v>
      </c>
      <c r="C360" s="2">
        <v>1</v>
      </c>
      <c r="D360" s="23">
        <v>18</v>
      </c>
      <c r="E360" s="3">
        <v>18</v>
      </c>
      <c r="F360" s="2" t="s">
        <v>16316</v>
      </c>
      <c r="G360" s="22" t="s">
        <v>19431</v>
      </c>
      <c r="H360" s="24"/>
      <c r="I360" s="22" t="s">
        <v>19309</v>
      </c>
      <c r="J360" s="22" t="s">
        <v>19417</v>
      </c>
      <c r="K360" s="22" t="s">
        <v>20110</v>
      </c>
      <c r="L360" s="22"/>
      <c r="M360" s="22"/>
      <c r="N360" s="25" t="str">
        <f>HYPERLINK("http://slimages.macys.com/is/image/MCY/21551781 ")</f>
        <v xml:space="preserve">http://slimages.macys.com/is/image/MCY/21551781 </v>
      </c>
    </row>
    <row r="361" spans="1:14" x14ac:dyDescent="0.25">
      <c r="A361" s="21" t="s">
        <v>16317</v>
      </c>
      <c r="B361" s="22" t="s">
        <v>16318</v>
      </c>
      <c r="C361" s="2">
        <v>1</v>
      </c>
      <c r="D361" s="23">
        <v>18</v>
      </c>
      <c r="E361" s="3">
        <v>18</v>
      </c>
      <c r="F361" s="2" t="s">
        <v>16319</v>
      </c>
      <c r="G361" s="22" t="s">
        <v>19307</v>
      </c>
      <c r="H361" s="24" t="s">
        <v>19538</v>
      </c>
      <c r="I361" s="22" t="s">
        <v>19309</v>
      </c>
      <c r="J361" s="22" t="s">
        <v>19417</v>
      </c>
      <c r="K361" s="22" t="s">
        <v>20110</v>
      </c>
      <c r="L361" s="22"/>
      <c r="M361" s="22"/>
      <c r="N361" s="25" t="str">
        <f>HYPERLINK("http://slimages.macys.com/is/image/MCY/21551781 ")</f>
        <v xml:space="preserve">http://slimages.macys.com/is/image/MCY/21551781 </v>
      </c>
    </row>
    <row r="362" spans="1:14" x14ac:dyDescent="0.25">
      <c r="A362" s="21" t="s">
        <v>16320</v>
      </c>
      <c r="B362" s="22" t="s">
        <v>16321</v>
      </c>
      <c r="C362" s="2">
        <v>2</v>
      </c>
      <c r="D362" s="23">
        <v>18</v>
      </c>
      <c r="E362" s="3">
        <v>36</v>
      </c>
      <c r="F362" s="2" t="s">
        <v>16319</v>
      </c>
      <c r="G362" s="22" t="s">
        <v>19307</v>
      </c>
      <c r="H362" s="24" t="s">
        <v>19770</v>
      </c>
      <c r="I362" s="22" t="s">
        <v>19309</v>
      </c>
      <c r="J362" s="22" t="s">
        <v>19417</v>
      </c>
      <c r="K362" s="22" t="s">
        <v>20110</v>
      </c>
      <c r="L362" s="22"/>
      <c r="M362" s="22"/>
      <c r="N362" s="25" t="str">
        <f>HYPERLINK("http://slimages.macys.com/is/image/MCY/21551781 ")</f>
        <v xml:space="preserve">http://slimages.macys.com/is/image/MCY/21551781 </v>
      </c>
    </row>
    <row r="363" spans="1:14" ht="24.75" x14ac:dyDescent="0.25">
      <c r="A363" s="21" t="s">
        <v>16322</v>
      </c>
      <c r="B363" s="22" t="s">
        <v>16323</v>
      </c>
      <c r="C363" s="2">
        <v>1</v>
      </c>
      <c r="D363" s="23">
        <v>18</v>
      </c>
      <c r="E363" s="3">
        <v>18</v>
      </c>
      <c r="F363" s="2" t="s">
        <v>16316</v>
      </c>
      <c r="G363" s="22" t="s">
        <v>19431</v>
      </c>
      <c r="H363" s="24" t="s">
        <v>19538</v>
      </c>
      <c r="I363" s="22" t="s">
        <v>19309</v>
      </c>
      <c r="J363" s="22" t="s">
        <v>19417</v>
      </c>
      <c r="K363" s="22" t="s">
        <v>20110</v>
      </c>
      <c r="L363" s="22"/>
      <c r="M363" s="22"/>
      <c r="N363" s="25" t="str">
        <f>HYPERLINK("http://slimages.macys.com/is/image/MCY/21551781 ")</f>
        <v xml:space="preserve">http://slimages.macys.com/is/image/MCY/21551781 </v>
      </c>
    </row>
    <row r="364" spans="1:14" x14ac:dyDescent="0.25">
      <c r="A364" s="21" t="s">
        <v>16627</v>
      </c>
      <c r="B364" s="22" t="s">
        <v>16628</v>
      </c>
      <c r="C364" s="2">
        <v>1</v>
      </c>
      <c r="D364" s="23">
        <v>16.989999999999998</v>
      </c>
      <c r="E364" s="3">
        <v>16.989999999999998</v>
      </c>
      <c r="F364" s="2" t="s">
        <v>18666</v>
      </c>
      <c r="G364" s="22" t="s">
        <v>19477</v>
      </c>
      <c r="H364" s="24" t="s">
        <v>19339</v>
      </c>
      <c r="I364" s="22" t="s">
        <v>19309</v>
      </c>
      <c r="J364" s="22" t="s">
        <v>19849</v>
      </c>
      <c r="K364" s="22" t="s">
        <v>19850</v>
      </c>
      <c r="L364" s="22"/>
      <c r="M364" s="22"/>
      <c r="N364" s="25" t="str">
        <f>HYPERLINK("http://slimages.macys.com/is/image/MCY/20549559 ")</f>
        <v xml:space="preserve">http://slimages.macys.com/is/image/MCY/20549559 </v>
      </c>
    </row>
    <row r="365" spans="1:14" x14ac:dyDescent="0.25">
      <c r="A365" s="21" t="s">
        <v>16625</v>
      </c>
      <c r="B365" s="22" t="s">
        <v>16626</v>
      </c>
      <c r="C365" s="2">
        <v>2</v>
      </c>
      <c r="D365" s="23">
        <v>16.989999999999998</v>
      </c>
      <c r="E365" s="3">
        <v>33.979999999999997</v>
      </c>
      <c r="F365" s="2" t="s">
        <v>18666</v>
      </c>
      <c r="G365" s="22" t="s">
        <v>19477</v>
      </c>
      <c r="H365" s="24" t="s">
        <v>19364</v>
      </c>
      <c r="I365" s="22" t="s">
        <v>19309</v>
      </c>
      <c r="J365" s="22" t="s">
        <v>19849</v>
      </c>
      <c r="K365" s="22" t="s">
        <v>19850</v>
      </c>
      <c r="L365" s="22"/>
      <c r="M365" s="22"/>
      <c r="N365" s="25" t="str">
        <f>HYPERLINK("http://slimages.macys.com/is/image/MCY/20549559 ")</f>
        <v xml:space="preserve">http://slimages.macys.com/is/image/MCY/20549559 </v>
      </c>
    </row>
    <row r="366" spans="1:14" ht="24.75" x14ac:dyDescent="0.25">
      <c r="A366" s="21" t="s">
        <v>16324</v>
      </c>
      <c r="B366" s="22" t="s">
        <v>16325</v>
      </c>
      <c r="C366" s="2">
        <v>2</v>
      </c>
      <c r="D366" s="23">
        <v>18</v>
      </c>
      <c r="E366" s="3">
        <v>36</v>
      </c>
      <c r="F366" s="2" t="s">
        <v>16316</v>
      </c>
      <c r="G366" s="22" t="s">
        <v>19431</v>
      </c>
      <c r="H366" s="24" t="s">
        <v>19384</v>
      </c>
      <c r="I366" s="22" t="s">
        <v>19309</v>
      </c>
      <c r="J366" s="22" t="s">
        <v>19417</v>
      </c>
      <c r="K366" s="22" t="s">
        <v>20110</v>
      </c>
      <c r="L366" s="22"/>
      <c r="M366" s="22"/>
      <c r="N366" s="25" t="str">
        <f>HYPERLINK("http://slimages.macys.com/is/image/MCY/21551781 ")</f>
        <v xml:space="preserve">http://slimages.macys.com/is/image/MCY/21551781 </v>
      </c>
    </row>
    <row r="367" spans="1:14" x14ac:dyDescent="0.25">
      <c r="A367" s="21" t="s">
        <v>16326</v>
      </c>
      <c r="B367" s="22" t="s">
        <v>16327</v>
      </c>
      <c r="C367" s="2">
        <v>1</v>
      </c>
      <c r="D367" s="23">
        <v>18</v>
      </c>
      <c r="E367" s="3">
        <v>18</v>
      </c>
      <c r="F367" s="2" t="s">
        <v>16319</v>
      </c>
      <c r="G367" s="22" t="s">
        <v>19307</v>
      </c>
      <c r="H367" s="24"/>
      <c r="I367" s="22" t="s">
        <v>19309</v>
      </c>
      <c r="J367" s="22" t="s">
        <v>19417</v>
      </c>
      <c r="K367" s="22" t="s">
        <v>20110</v>
      </c>
      <c r="L367" s="22"/>
      <c r="M367" s="22"/>
      <c r="N367" s="25" t="str">
        <f>HYPERLINK("http://slimages.macys.com/is/image/MCY/21551781 ")</f>
        <v xml:space="preserve">http://slimages.macys.com/is/image/MCY/21551781 </v>
      </c>
    </row>
    <row r="368" spans="1:14" x14ac:dyDescent="0.25">
      <c r="A368" s="21" t="s">
        <v>16328</v>
      </c>
      <c r="B368" s="22" t="s">
        <v>16329</v>
      </c>
      <c r="C368" s="2">
        <v>1</v>
      </c>
      <c r="D368" s="23">
        <v>11.99</v>
      </c>
      <c r="E368" s="3">
        <v>11.99</v>
      </c>
      <c r="F368" s="2" t="s">
        <v>16330</v>
      </c>
      <c r="G368" s="22" t="s">
        <v>19315</v>
      </c>
      <c r="H368" s="24" t="s">
        <v>19361</v>
      </c>
      <c r="I368" s="22" t="s">
        <v>19309</v>
      </c>
      <c r="J368" s="22" t="s">
        <v>19849</v>
      </c>
      <c r="K368" s="22" t="s">
        <v>19850</v>
      </c>
      <c r="L368" s="22"/>
      <c r="M368" s="22"/>
      <c r="N368" s="25" t="str">
        <f>HYPERLINK("http://slimages.macys.com/is/image/MCY/21251264 ")</f>
        <v xml:space="preserve">http://slimages.macys.com/is/image/MCY/21251264 </v>
      </c>
    </row>
    <row r="369" spans="1:14" ht="24.75" x14ac:dyDescent="0.25">
      <c r="A369" s="21" t="s">
        <v>18677</v>
      </c>
      <c r="B369" s="22" t="s">
        <v>18678</v>
      </c>
      <c r="C369" s="2">
        <v>1</v>
      </c>
      <c r="D369" s="23">
        <v>9.99</v>
      </c>
      <c r="E369" s="3">
        <v>9.99</v>
      </c>
      <c r="F369" s="2">
        <v>10015240800</v>
      </c>
      <c r="G369" s="22" t="s">
        <v>19351</v>
      </c>
      <c r="H369" s="24" t="s">
        <v>19770</v>
      </c>
      <c r="I369" s="22" t="s">
        <v>19309</v>
      </c>
      <c r="J369" s="22" t="s">
        <v>19573</v>
      </c>
      <c r="K369" s="22" t="s">
        <v>19574</v>
      </c>
      <c r="L369" s="22"/>
      <c r="M369" s="22"/>
      <c r="N369" s="25" t="str">
        <f>HYPERLINK("http://slimages.macys.com/is/image/MCY/2023449 ")</f>
        <v xml:space="preserve">http://slimages.macys.com/is/image/MCY/2023449 </v>
      </c>
    </row>
    <row r="370" spans="1:14" ht="24.75" x14ac:dyDescent="0.25">
      <c r="A370" s="21" t="s">
        <v>18685</v>
      </c>
      <c r="B370" s="22" t="s">
        <v>18686</v>
      </c>
      <c r="C370" s="2">
        <v>7</v>
      </c>
      <c r="D370" s="23">
        <v>9.99</v>
      </c>
      <c r="E370" s="3">
        <v>69.930000000000007</v>
      </c>
      <c r="F370" s="2">
        <v>10015240700</v>
      </c>
      <c r="G370" s="22" t="s">
        <v>19315</v>
      </c>
      <c r="H370" s="24" t="s">
        <v>19538</v>
      </c>
      <c r="I370" s="22" t="s">
        <v>19309</v>
      </c>
      <c r="J370" s="22" t="s">
        <v>19573</v>
      </c>
      <c r="K370" s="22" t="s">
        <v>19574</v>
      </c>
      <c r="L370" s="22"/>
      <c r="M370" s="22"/>
      <c r="N370" s="25" t="str">
        <f>HYPERLINK("http://slimages.macys.com/is/image/MCY/2023449 ")</f>
        <v xml:space="preserve">http://slimages.macys.com/is/image/MCY/2023449 </v>
      </c>
    </row>
    <row r="371" spans="1:14" x14ac:dyDescent="0.25">
      <c r="A371" s="21" t="s">
        <v>16331</v>
      </c>
      <c r="B371" s="22" t="s">
        <v>16332</v>
      </c>
      <c r="C371" s="2">
        <v>1</v>
      </c>
      <c r="D371" s="23">
        <v>11.93</v>
      </c>
      <c r="E371" s="3">
        <v>11.93</v>
      </c>
      <c r="F371" s="2" t="s">
        <v>16333</v>
      </c>
      <c r="G371" s="22" t="s">
        <v>19357</v>
      </c>
      <c r="H371" s="24" t="s">
        <v>19416</v>
      </c>
      <c r="I371" s="22" t="s">
        <v>19309</v>
      </c>
      <c r="J371" s="22" t="s">
        <v>19708</v>
      </c>
      <c r="K371" s="22" t="s">
        <v>19709</v>
      </c>
      <c r="L371" s="22"/>
      <c r="M371" s="22"/>
      <c r="N371" s="25" t="str">
        <f>HYPERLINK("http://slimages.macys.com/is/image/MCY/21726492 ")</f>
        <v xml:space="preserve">http://slimages.macys.com/is/image/MCY/21726492 </v>
      </c>
    </row>
    <row r="372" spans="1:14" ht="24.75" x14ac:dyDescent="0.25">
      <c r="A372" s="21" t="s">
        <v>16334</v>
      </c>
      <c r="B372" s="22" t="s">
        <v>16335</v>
      </c>
      <c r="C372" s="2">
        <v>1</v>
      </c>
      <c r="D372" s="23">
        <v>11.99</v>
      </c>
      <c r="E372" s="3">
        <v>11.99</v>
      </c>
      <c r="F372" s="2" t="s">
        <v>16336</v>
      </c>
      <c r="G372" s="22" t="s">
        <v>19670</v>
      </c>
      <c r="H372" s="24" t="s">
        <v>19339</v>
      </c>
      <c r="I372" s="22" t="s">
        <v>19309</v>
      </c>
      <c r="J372" s="22" t="s">
        <v>19454</v>
      </c>
      <c r="K372" s="22" t="s">
        <v>18654</v>
      </c>
      <c r="L372" s="22"/>
      <c r="M372" s="22"/>
      <c r="N372" s="25" t="str">
        <f>HYPERLINK("http://slimages.macys.com/is/image/MCY/1415233 ")</f>
        <v xml:space="preserve">http://slimages.macys.com/is/image/MCY/1415233 </v>
      </c>
    </row>
    <row r="373" spans="1:14" x14ac:dyDescent="0.25">
      <c r="A373" s="21" t="s">
        <v>16669</v>
      </c>
      <c r="B373" s="22" t="s">
        <v>16670</v>
      </c>
      <c r="C373" s="2">
        <v>1</v>
      </c>
      <c r="D373" s="23">
        <v>13.99</v>
      </c>
      <c r="E373" s="3">
        <v>13.99</v>
      </c>
      <c r="F373" s="2" t="s">
        <v>16671</v>
      </c>
      <c r="G373" s="22" t="s">
        <v>19431</v>
      </c>
      <c r="H373" s="24" t="s">
        <v>19352</v>
      </c>
      <c r="I373" s="22" t="s">
        <v>19309</v>
      </c>
      <c r="J373" s="22" t="s">
        <v>19849</v>
      </c>
      <c r="K373" s="22" t="s">
        <v>19850</v>
      </c>
      <c r="L373" s="22"/>
      <c r="M373" s="22"/>
      <c r="N373" s="25" t="str">
        <f>HYPERLINK("http://slimages.macys.com/is/image/MCY/21270419 ")</f>
        <v xml:space="preserve">http://slimages.macys.com/is/image/MCY/21270419 </v>
      </c>
    </row>
    <row r="374" spans="1:14" x14ac:dyDescent="0.25">
      <c r="A374" s="21" t="s">
        <v>16337</v>
      </c>
      <c r="B374" s="22" t="s">
        <v>16338</v>
      </c>
      <c r="C374" s="2">
        <v>1</v>
      </c>
      <c r="D374" s="23">
        <v>9.99</v>
      </c>
      <c r="E374" s="3">
        <v>9.99</v>
      </c>
      <c r="F374" s="2" t="s">
        <v>16339</v>
      </c>
      <c r="G374" s="22" t="s">
        <v>19431</v>
      </c>
      <c r="H374" s="24" t="s">
        <v>19377</v>
      </c>
      <c r="I374" s="22" t="s">
        <v>19309</v>
      </c>
      <c r="J374" s="22" t="s">
        <v>19849</v>
      </c>
      <c r="K374" s="22" t="s">
        <v>19850</v>
      </c>
      <c r="L374" s="22"/>
      <c r="M374" s="22"/>
      <c r="N374" s="25" t="str">
        <f>HYPERLINK("http://slimages.macys.com/is/image/MCY/20751994 ")</f>
        <v xml:space="preserve">http://slimages.macys.com/is/image/MCY/20751994 </v>
      </c>
    </row>
    <row r="375" spans="1:14" x14ac:dyDescent="0.25">
      <c r="A375" s="21" t="s">
        <v>16340</v>
      </c>
      <c r="B375" s="22" t="s">
        <v>16341</v>
      </c>
      <c r="C375" s="2">
        <v>1</v>
      </c>
      <c r="D375" s="23">
        <v>9.99</v>
      </c>
      <c r="E375" s="3">
        <v>9.99</v>
      </c>
      <c r="F375" s="2" t="s">
        <v>16339</v>
      </c>
      <c r="G375" s="22" t="s">
        <v>19431</v>
      </c>
      <c r="H375" s="24" t="s">
        <v>19542</v>
      </c>
      <c r="I375" s="22" t="s">
        <v>19309</v>
      </c>
      <c r="J375" s="22" t="s">
        <v>19849</v>
      </c>
      <c r="K375" s="22" t="s">
        <v>19850</v>
      </c>
      <c r="L375" s="22"/>
      <c r="M375" s="22"/>
      <c r="N375" s="25" t="str">
        <f>HYPERLINK("http://slimages.macys.com/is/image/MCY/20751994 ")</f>
        <v xml:space="preserve">http://slimages.macys.com/is/image/MCY/20751994 </v>
      </c>
    </row>
    <row r="376" spans="1:14" ht="24.75" x14ac:dyDescent="0.25">
      <c r="A376" s="21" t="s">
        <v>16686</v>
      </c>
      <c r="B376" s="22" t="s">
        <v>16687</v>
      </c>
      <c r="C376" s="2">
        <v>1</v>
      </c>
      <c r="D376" s="23">
        <v>13.99</v>
      </c>
      <c r="E376" s="3">
        <v>13.99</v>
      </c>
      <c r="F376" s="2" t="s">
        <v>16688</v>
      </c>
      <c r="G376" s="22" t="s">
        <v>19518</v>
      </c>
      <c r="H376" s="24" t="s">
        <v>19384</v>
      </c>
      <c r="I376" s="22" t="s">
        <v>19309</v>
      </c>
      <c r="J376" s="22" t="s">
        <v>19573</v>
      </c>
      <c r="K376" s="22" t="s">
        <v>19574</v>
      </c>
      <c r="L376" s="22"/>
      <c r="M376" s="22"/>
      <c r="N376" s="25" t="str">
        <f>HYPERLINK("http://slimages.macys.com/is/image/MCY/21361108 ")</f>
        <v xml:space="preserve">http://slimages.macys.com/is/image/MCY/21361108 </v>
      </c>
    </row>
    <row r="377" spans="1:14" ht="24.75" x14ac:dyDescent="0.25">
      <c r="A377" s="21" t="s">
        <v>16342</v>
      </c>
      <c r="B377" s="22" t="s">
        <v>16343</v>
      </c>
      <c r="C377" s="2">
        <v>1</v>
      </c>
      <c r="D377" s="23">
        <v>7.99</v>
      </c>
      <c r="E377" s="3">
        <v>7.99</v>
      </c>
      <c r="F377" s="2" t="s">
        <v>18717</v>
      </c>
      <c r="G377" s="22" t="s">
        <v>19906</v>
      </c>
      <c r="H377" s="24" t="s">
        <v>20089</v>
      </c>
      <c r="I377" s="22" t="s">
        <v>19309</v>
      </c>
      <c r="J377" s="22" t="s">
        <v>19849</v>
      </c>
      <c r="K377" s="22" t="s">
        <v>19850</v>
      </c>
      <c r="L377" s="22"/>
      <c r="M377" s="22"/>
      <c r="N377" s="25" t="str">
        <f>HYPERLINK("http://slimages.macys.com/is/image/MCY/21396816 ")</f>
        <v xml:space="preserve">http://slimages.macys.com/is/image/MCY/21396816 </v>
      </c>
    </row>
    <row r="378" spans="1:14" ht="24.75" x14ac:dyDescent="0.25">
      <c r="A378" s="21" t="s">
        <v>16344</v>
      </c>
      <c r="B378" s="22" t="s">
        <v>16345</v>
      </c>
      <c r="C378" s="2">
        <v>1</v>
      </c>
      <c r="D378" s="23">
        <v>7.99</v>
      </c>
      <c r="E378" s="3">
        <v>7.99</v>
      </c>
      <c r="F378" s="2" t="s">
        <v>18714</v>
      </c>
      <c r="G378" s="22" t="s">
        <v>20145</v>
      </c>
      <c r="H378" s="24" t="s">
        <v>19345</v>
      </c>
      <c r="I378" s="22" t="s">
        <v>19309</v>
      </c>
      <c r="J378" s="22" t="s">
        <v>19310</v>
      </c>
      <c r="K378" s="22" t="s">
        <v>19468</v>
      </c>
      <c r="L378" s="22"/>
      <c r="M378" s="22"/>
      <c r="N378" s="25" t="str">
        <f>HYPERLINK("http://slimages.macys.com/is/image/MCY/21616102 ")</f>
        <v xml:space="preserve">http://slimages.macys.com/is/image/MCY/21616102 </v>
      </c>
    </row>
    <row r="379" spans="1:14" ht="24.75" x14ac:dyDescent="0.25">
      <c r="A379" s="21" t="s">
        <v>16346</v>
      </c>
      <c r="B379" s="22" t="s">
        <v>16347</v>
      </c>
      <c r="C379" s="2">
        <v>1</v>
      </c>
      <c r="D379" s="23">
        <v>11.99</v>
      </c>
      <c r="E379" s="3">
        <v>11.99</v>
      </c>
      <c r="F379" s="2" t="s">
        <v>16348</v>
      </c>
      <c r="G379" s="22" t="s">
        <v>19315</v>
      </c>
      <c r="H379" s="24" t="s">
        <v>19352</v>
      </c>
      <c r="I379" s="22" t="s">
        <v>19309</v>
      </c>
      <c r="J379" s="22" t="s">
        <v>19454</v>
      </c>
      <c r="K379" s="22" t="s">
        <v>18654</v>
      </c>
      <c r="L379" s="22"/>
      <c r="M379" s="22"/>
      <c r="N379" s="25" t="str">
        <f>HYPERLINK("http://slimages.macys.com/is/image/MCY/21267473 ")</f>
        <v xml:space="preserve">http://slimages.macys.com/is/image/MCY/21267473 </v>
      </c>
    </row>
    <row r="380" spans="1:14" ht="24.75" x14ac:dyDescent="0.25">
      <c r="A380" s="21" t="s">
        <v>16349</v>
      </c>
      <c r="B380" s="22" t="s">
        <v>16350</v>
      </c>
      <c r="C380" s="2">
        <v>1</v>
      </c>
      <c r="D380" s="23">
        <v>10.99</v>
      </c>
      <c r="E380" s="3">
        <v>10.99</v>
      </c>
      <c r="F380" s="2" t="s">
        <v>16693</v>
      </c>
      <c r="G380" s="22" t="s">
        <v>19351</v>
      </c>
      <c r="H380" s="24" t="s">
        <v>19352</v>
      </c>
      <c r="I380" s="22" t="s">
        <v>19309</v>
      </c>
      <c r="J380" s="22" t="s">
        <v>19353</v>
      </c>
      <c r="K380" s="22" t="s">
        <v>19524</v>
      </c>
      <c r="L380" s="22"/>
      <c r="M380" s="22"/>
      <c r="N380" s="25" t="str">
        <f>HYPERLINK("http://slimages.macys.com/is/image/MCY/851426 ")</f>
        <v xml:space="preserve">http://slimages.macys.com/is/image/MCY/851426 </v>
      </c>
    </row>
    <row r="381" spans="1:14" ht="24.75" x14ac:dyDescent="0.25">
      <c r="A381" s="21" t="s">
        <v>16351</v>
      </c>
      <c r="B381" s="22" t="s">
        <v>16352</v>
      </c>
      <c r="C381" s="2">
        <v>2</v>
      </c>
      <c r="D381" s="23">
        <v>10.99</v>
      </c>
      <c r="E381" s="3">
        <v>21.98</v>
      </c>
      <c r="F381" s="2" t="s">
        <v>16353</v>
      </c>
      <c r="G381" s="22" t="s">
        <v>19315</v>
      </c>
      <c r="H381" s="24" t="s">
        <v>19364</v>
      </c>
      <c r="I381" s="22" t="s">
        <v>19309</v>
      </c>
      <c r="J381" s="22" t="s">
        <v>19353</v>
      </c>
      <c r="K381" s="22" t="s">
        <v>19524</v>
      </c>
      <c r="L381" s="22"/>
      <c r="M381" s="22"/>
      <c r="N381" s="25" t="str">
        <f>HYPERLINK("http://slimages.macys.com/is/image/MCY/20846574 ")</f>
        <v xml:space="preserve">http://slimages.macys.com/is/image/MCY/20846574 </v>
      </c>
    </row>
    <row r="382" spans="1:14" x14ac:dyDescent="0.25">
      <c r="A382" s="21" t="s">
        <v>16354</v>
      </c>
      <c r="B382" s="22" t="s">
        <v>16355</v>
      </c>
      <c r="C382" s="2">
        <v>1</v>
      </c>
      <c r="D382" s="23">
        <v>9.99</v>
      </c>
      <c r="E382" s="3">
        <v>9.99</v>
      </c>
      <c r="F382" s="2" t="s">
        <v>16356</v>
      </c>
      <c r="G382" s="22" t="s">
        <v>19351</v>
      </c>
      <c r="H382" s="24" t="s">
        <v>20089</v>
      </c>
      <c r="I382" s="22" t="s">
        <v>19309</v>
      </c>
      <c r="J382" s="22" t="s">
        <v>19849</v>
      </c>
      <c r="K382" s="22" t="s">
        <v>19850</v>
      </c>
      <c r="L382" s="22"/>
      <c r="M382" s="22"/>
      <c r="N382" s="25" t="str">
        <f>HYPERLINK("http://slimages.macys.com/is/image/MCY/20752010 ")</f>
        <v xml:space="preserve">http://slimages.macys.com/is/image/MCY/20752010 </v>
      </c>
    </row>
    <row r="383" spans="1:14" x14ac:dyDescent="0.25">
      <c r="A383" s="21" t="s">
        <v>16357</v>
      </c>
      <c r="B383" s="22" t="s">
        <v>16358</v>
      </c>
      <c r="C383" s="2">
        <v>1</v>
      </c>
      <c r="D383" s="23">
        <v>9.99</v>
      </c>
      <c r="E383" s="3">
        <v>9.99</v>
      </c>
      <c r="F383" s="2" t="s">
        <v>16356</v>
      </c>
      <c r="G383" s="22" t="s">
        <v>19351</v>
      </c>
      <c r="H383" s="24" t="s">
        <v>19361</v>
      </c>
      <c r="I383" s="22" t="s">
        <v>19309</v>
      </c>
      <c r="J383" s="22" t="s">
        <v>19849</v>
      </c>
      <c r="K383" s="22" t="s">
        <v>19850</v>
      </c>
      <c r="L383" s="22"/>
      <c r="M383" s="22"/>
      <c r="N383" s="25" t="str">
        <f>HYPERLINK("http://slimages.macys.com/is/image/MCY/1249852 ")</f>
        <v xml:space="preserve">http://slimages.macys.com/is/image/MCY/1249852 </v>
      </c>
    </row>
    <row r="384" spans="1:14" x14ac:dyDescent="0.25">
      <c r="A384" s="21" t="s">
        <v>16359</v>
      </c>
      <c r="B384" s="22" t="s">
        <v>16360</v>
      </c>
      <c r="C384" s="2">
        <v>1</v>
      </c>
      <c r="D384" s="23">
        <v>9.99</v>
      </c>
      <c r="E384" s="3">
        <v>9.99</v>
      </c>
      <c r="F384" s="2" t="s">
        <v>16361</v>
      </c>
      <c r="G384" s="22" t="s">
        <v>19477</v>
      </c>
      <c r="H384" s="24"/>
      <c r="I384" s="22" t="s">
        <v>19309</v>
      </c>
      <c r="J384" s="22" t="s">
        <v>19849</v>
      </c>
      <c r="K384" s="22" t="s">
        <v>19850</v>
      </c>
      <c r="L384" s="22"/>
      <c r="M384" s="22"/>
      <c r="N384" s="25" t="str">
        <f>HYPERLINK("http://slimages.macys.com/is/image/MCY/21309273 ")</f>
        <v xml:space="preserve">http://slimages.macys.com/is/image/MCY/21309273 </v>
      </c>
    </row>
    <row r="385" spans="1:14" ht="24.75" x14ac:dyDescent="0.25">
      <c r="A385" s="21" t="s">
        <v>16362</v>
      </c>
      <c r="B385" s="22" t="s">
        <v>16363</v>
      </c>
      <c r="C385" s="2">
        <v>1</v>
      </c>
      <c r="D385" s="23">
        <v>11.99</v>
      </c>
      <c r="E385" s="3">
        <v>11.99</v>
      </c>
      <c r="F385" s="2" t="s">
        <v>16364</v>
      </c>
      <c r="G385" s="22" t="s">
        <v>19333</v>
      </c>
      <c r="H385" s="24" t="s">
        <v>20135</v>
      </c>
      <c r="I385" s="22" t="s">
        <v>19309</v>
      </c>
      <c r="J385" s="22" t="s">
        <v>19908</v>
      </c>
      <c r="K385" s="22" t="s">
        <v>19524</v>
      </c>
      <c r="L385" s="22"/>
      <c r="M385" s="22"/>
      <c r="N385" s="25" t="str">
        <f>HYPERLINK("http://slimages.macys.com/is/image/MCY/21070287 ")</f>
        <v xml:space="preserve">http://slimages.macys.com/is/image/MCY/21070287 </v>
      </c>
    </row>
    <row r="386" spans="1:14" ht="24.75" x14ac:dyDescent="0.25">
      <c r="A386" s="21" t="s">
        <v>16365</v>
      </c>
      <c r="B386" s="22" t="s">
        <v>16366</v>
      </c>
      <c r="C386" s="2">
        <v>1</v>
      </c>
      <c r="D386" s="23">
        <v>9.99</v>
      </c>
      <c r="E386" s="3">
        <v>9.99</v>
      </c>
      <c r="F386" s="2" t="s">
        <v>16716</v>
      </c>
      <c r="G386" s="22" t="s">
        <v>19357</v>
      </c>
      <c r="H386" s="24" t="s">
        <v>20089</v>
      </c>
      <c r="I386" s="22" t="s">
        <v>19309</v>
      </c>
      <c r="J386" s="22" t="s">
        <v>19908</v>
      </c>
      <c r="K386" s="22" t="s">
        <v>19524</v>
      </c>
      <c r="L386" s="22"/>
      <c r="M386" s="22"/>
      <c r="N386" s="25" t="str">
        <f>HYPERLINK("http://slimages.macys.com/is/image/MCY/21727207 ")</f>
        <v xml:space="preserve">http://slimages.macys.com/is/image/MCY/21727207 </v>
      </c>
    </row>
    <row r="387" spans="1:14" ht="24.75" x14ac:dyDescent="0.25">
      <c r="A387" s="21" t="s">
        <v>16367</v>
      </c>
      <c r="B387" s="22" t="s">
        <v>16368</v>
      </c>
      <c r="C387" s="2">
        <v>1</v>
      </c>
      <c r="D387" s="23">
        <v>9.99</v>
      </c>
      <c r="E387" s="3">
        <v>9.99</v>
      </c>
      <c r="F387" s="2" t="s">
        <v>16716</v>
      </c>
      <c r="G387" s="22" t="s">
        <v>19357</v>
      </c>
      <c r="H387" s="24" t="s">
        <v>20135</v>
      </c>
      <c r="I387" s="22" t="s">
        <v>19309</v>
      </c>
      <c r="J387" s="22" t="s">
        <v>19908</v>
      </c>
      <c r="K387" s="22" t="s">
        <v>19524</v>
      </c>
      <c r="L387" s="22"/>
      <c r="M387" s="22"/>
      <c r="N387" s="25" t="str">
        <f>HYPERLINK("http://slimages.macys.com/is/image/MCY/21727207 ")</f>
        <v xml:space="preserve">http://slimages.macys.com/is/image/MCY/21727207 </v>
      </c>
    </row>
    <row r="388" spans="1:14" ht="24.75" x14ac:dyDescent="0.25">
      <c r="A388" s="21" t="s">
        <v>16369</v>
      </c>
      <c r="B388" s="22" t="s">
        <v>16370</v>
      </c>
      <c r="C388" s="2">
        <v>2</v>
      </c>
      <c r="D388" s="23">
        <v>9.99</v>
      </c>
      <c r="E388" s="3">
        <v>19.98</v>
      </c>
      <c r="F388" s="2" t="s">
        <v>16716</v>
      </c>
      <c r="G388" s="22" t="s">
        <v>19357</v>
      </c>
      <c r="H388" s="24" t="s">
        <v>19361</v>
      </c>
      <c r="I388" s="22" t="s">
        <v>19309</v>
      </c>
      <c r="J388" s="22" t="s">
        <v>19908</v>
      </c>
      <c r="K388" s="22" t="s">
        <v>19524</v>
      </c>
      <c r="L388" s="22"/>
      <c r="M388" s="22"/>
      <c r="N388" s="25" t="str">
        <f>HYPERLINK("http://slimages.macys.com/is/image/MCY/21727207 ")</f>
        <v xml:space="preserve">http://slimages.macys.com/is/image/MCY/21727207 </v>
      </c>
    </row>
    <row r="389" spans="1:14" ht="24.75" x14ac:dyDescent="0.25">
      <c r="A389" s="21" t="s">
        <v>16371</v>
      </c>
      <c r="B389" s="22" t="s">
        <v>16372</v>
      </c>
      <c r="C389" s="2">
        <v>4</v>
      </c>
      <c r="D389" s="23">
        <v>9.99</v>
      </c>
      <c r="E389" s="3">
        <v>39.96</v>
      </c>
      <c r="F389" s="2" t="s">
        <v>16716</v>
      </c>
      <c r="G389" s="22" t="s">
        <v>19422</v>
      </c>
      <c r="H389" s="24" t="s">
        <v>19542</v>
      </c>
      <c r="I389" s="22" t="s">
        <v>19309</v>
      </c>
      <c r="J389" s="22" t="s">
        <v>19908</v>
      </c>
      <c r="K389" s="22" t="s">
        <v>19524</v>
      </c>
      <c r="L389" s="22"/>
      <c r="M389" s="22"/>
      <c r="N389" s="25" t="str">
        <f>HYPERLINK("http://slimages.macys.com/is/image/MCY/21727207 ")</f>
        <v xml:space="preserve">http://slimages.macys.com/is/image/MCY/21727207 </v>
      </c>
    </row>
    <row r="390" spans="1:14" ht="24.75" x14ac:dyDescent="0.25">
      <c r="A390" s="21" t="s">
        <v>16714</v>
      </c>
      <c r="B390" s="22" t="s">
        <v>16715</v>
      </c>
      <c r="C390" s="2">
        <v>1</v>
      </c>
      <c r="D390" s="23">
        <v>9.99</v>
      </c>
      <c r="E390" s="3">
        <v>9.99</v>
      </c>
      <c r="F390" s="2" t="s">
        <v>16716</v>
      </c>
      <c r="G390" s="22" t="s">
        <v>19422</v>
      </c>
      <c r="H390" s="24" t="s">
        <v>19377</v>
      </c>
      <c r="I390" s="22" t="s">
        <v>19309</v>
      </c>
      <c r="J390" s="22" t="s">
        <v>19908</v>
      </c>
      <c r="K390" s="22" t="s">
        <v>19524</v>
      </c>
      <c r="L390" s="22"/>
      <c r="M390" s="22"/>
      <c r="N390" s="25" t="str">
        <f>HYPERLINK("http://slimages.macys.com/is/image/MCY/21727207 ")</f>
        <v xml:space="preserve">http://slimages.macys.com/is/image/MCY/21727207 </v>
      </c>
    </row>
    <row r="391" spans="1:14" x14ac:dyDescent="0.25">
      <c r="A391" s="21" t="s">
        <v>16373</v>
      </c>
      <c r="B391" s="22" t="s">
        <v>16374</v>
      </c>
      <c r="C391" s="2">
        <v>1</v>
      </c>
      <c r="D391" s="23">
        <v>11.38</v>
      </c>
      <c r="E391" s="3">
        <v>11.38</v>
      </c>
      <c r="F391" s="2" t="s">
        <v>16739</v>
      </c>
      <c r="G391" s="22" t="s">
        <v>19594</v>
      </c>
      <c r="H391" s="24" t="s">
        <v>19367</v>
      </c>
      <c r="I391" s="22" t="s">
        <v>19309</v>
      </c>
      <c r="J391" s="22" t="s">
        <v>19708</v>
      </c>
      <c r="K391" s="22" t="s">
        <v>19709</v>
      </c>
      <c r="L391" s="22"/>
      <c r="M391" s="22"/>
      <c r="N391" s="25" t="str">
        <f>HYPERLINK("http://slimages.macys.com/is/image/MCY/21414308 ")</f>
        <v xml:space="preserve">http://slimages.macys.com/is/image/MCY/21414308 </v>
      </c>
    </row>
    <row r="392" spans="1:14" x14ac:dyDescent="0.25">
      <c r="A392" s="21" t="s">
        <v>16375</v>
      </c>
      <c r="B392" s="22" t="s">
        <v>16376</v>
      </c>
      <c r="C392" s="2">
        <v>1</v>
      </c>
      <c r="D392" s="23">
        <v>11.38</v>
      </c>
      <c r="E392" s="3">
        <v>11.38</v>
      </c>
      <c r="F392" s="2" t="s">
        <v>16739</v>
      </c>
      <c r="G392" s="22" t="s">
        <v>19594</v>
      </c>
      <c r="H392" s="24" t="s">
        <v>20152</v>
      </c>
      <c r="I392" s="22" t="s">
        <v>19309</v>
      </c>
      <c r="J392" s="22" t="s">
        <v>19708</v>
      </c>
      <c r="K392" s="22" t="s">
        <v>19709</v>
      </c>
      <c r="L392" s="22"/>
      <c r="M392" s="22"/>
      <c r="N392" s="25" t="str">
        <f>HYPERLINK("http://slimages.macys.com/is/image/MCY/21414308 ")</f>
        <v xml:space="preserve">http://slimages.macys.com/is/image/MCY/21414308 </v>
      </c>
    </row>
    <row r="393" spans="1:14" ht="24.75" x14ac:dyDescent="0.25">
      <c r="A393" s="21" t="s">
        <v>16750</v>
      </c>
      <c r="B393" s="22" t="s">
        <v>16751</v>
      </c>
      <c r="C393" s="2">
        <v>1</v>
      </c>
      <c r="D393" s="23">
        <v>10.99</v>
      </c>
      <c r="E393" s="3">
        <v>10.99</v>
      </c>
      <c r="F393" s="2" t="s">
        <v>18770</v>
      </c>
      <c r="G393" s="22" t="s">
        <v>19323</v>
      </c>
      <c r="H393" s="24" t="s">
        <v>19364</v>
      </c>
      <c r="I393" s="22" t="s">
        <v>19309</v>
      </c>
      <c r="J393" s="22" t="s">
        <v>19353</v>
      </c>
      <c r="K393" s="22" t="s">
        <v>19524</v>
      </c>
      <c r="L393" s="22"/>
      <c r="M393" s="22"/>
      <c r="N393" s="25" t="str">
        <f>HYPERLINK("http://slimages.macys.com/is/image/MCY/20846572 ")</f>
        <v xml:space="preserve">http://slimages.macys.com/is/image/MCY/20846572 </v>
      </c>
    </row>
    <row r="394" spans="1:14" ht="24.75" x14ac:dyDescent="0.25">
      <c r="A394" s="21" t="s">
        <v>16377</v>
      </c>
      <c r="B394" s="22" t="s">
        <v>16378</v>
      </c>
      <c r="C394" s="2">
        <v>1</v>
      </c>
      <c r="D394" s="23">
        <v>10.99</v>
      </c>
      <c r="E394" s="3">
        <v>10.99</v>
      </c>
      <c r="F394" s="2" t="s">
        <v>16379</v>
      </c>
      <c r="G394" s="22" t="s">
        <v>19351</v>
      </c>
      <c r="H394" s="24" t="s">
        <v>19339</v>
      </c>
      <c r="I394" s="22" t="s">
        <v>19309</v>
      </c>
      <c r="J394" s="22" t="s">
        <v>19353</v>
      </c>
      <c r="K394" s="22" t="s">
        <v>19524</v>
      </c>
      <c r="L394" s="22"/>
      <c r="M394" s="22"/>
      <c r="N394" s="25" t="str">
        <f>HYPERLINK("http://slimages.macys.com/is/image/MCY/20440809 ")</f>
        <v xml:space="preserve">http://slimages.macys.com/is/image/MCY/20440809 </v>
      </c>
    </row>
    <row r="395" spans="1:14" ht="24.75" x14ac:dyDescent="0.25">
      <c r="A395" s="21" t="s">
        <v>16380</v>
      </c>
      <c r="B395" s="22" t="s">
        <v>16381</v>
      </c>
      <c r="C395" s="2">
        <v>1</v>
      </c>
      <c r="D395" s="23">
        <v>10.99</v>
      </c>
      <c r="E395" s="3">
        <v>10.99</v>
      </c>
      <c r="F395" s="2" t="s">
        <v>16382</v>
      </c>
      <c r="G395" s="22" t="s">
        <v>19462</v>
      </c>
      <c r="H395" s="24" t="s">
        <v>19352</v>
      </c>
      <c r="I395" s="22" t="s">
        <v>19309</v>
      </c>
      <c r="J395" s="22" t="s">
        <v>19353</v>
      </c>
      <c r="K395" s="22" t="s">
        <v>19524</v>
      </c>
      <c r="L395" s="22"/>
      <c r="M395" s="22"/>
      <c r="N395" s="25" t="str">
        <f>HYPERLINK("http://slimages.macys.com/is/image/MCY/21733964 ")</f>
        <v xml:space="preserve">http://slimages.macys.com/is/image/MCY/21733964 </v>
      </c>
    </row>
    <row r="396" spans="1:14" ht="24.75" x14ac:dyDescent="0.25">
      <c r="A396" s="21" t="s">
        <v>16383</v>
      </c>
      <c r="B396" s="22" t="s">
        <v>16384</v>
      </c>
      <c r="C396" s="2">
        <v>1</v>
      </c>
      <c r="D396" s="23">
        <v>11.99</v>
      </c>
      <c r="E396" s="3">
        <v>11.99</v>
      </c>
      <c r="F396" s="2" t="s">
        <v>16385</v>
      </c>
      <c r="G396" s="22" t="s">
        <v>19670</v>
      </c>
      <c r="H396" s="24" t="s">
        <v>19384</v>
      </c>
      <c r="I396" s="22" t="s">
        <v>19309</v>
      </c>
      <c r="J396" s="22" t="s">
        <v>19573</v>
      </c>
      <c r="K396" s="22" t="s">
        <v>19574</v>
      </c>
      <c r="L396" s="22"/>
      <c r="M396" s="22"/>
      <c r="N396" s="25" t="str">
        <f>HYPERLINK("http://slimages.macys.com/is/image/MCY/1439098 ")</f>
        <v xml:space="preserve">http://slimages.macys.com/is/image/MCY/1439098 </v>
      </c>
    </row>
    <row r="397" spans="1:14" ht="24.75" x14ac:dyDescent="0.25">
      <c r="A397" s="21" t="s">
        <v>16766</v>
      </c>
      <c r="B397" s="22" t="s">
        <v>16767</v>
      </c>
      <c r="C397" s="2">
        <v>1</v>
      </c>
      <c r="D397" s="23">
        <v>11.99</v>
      </c>
      <c r="E397" s="3">
        <v>11.99</v>
      </c>
      <c r="F397" s="2" t="s">
        <v>16768</v>
      </c>
      <c r="G397" s="22" t="s">
        <v>19351</v>
      </c>
      <c r="H397" s="24" t="s">
        <v>19416</v>
      </c>
      <c r="I397" s="22" t="s">
        <v>19309</v>
      </c>
      <c r="J397" s="22" t="s">
        <v>19573</v>
      </c>
      <c r="K397" s="22" t="s">
        <v>19574</v>
      </c>
      <c r="L397" s="22"/>
      <c r="M397" s="22"/>
      <c r="N397" s="25" t="str">
        <f>HYPERLINK("http://slimages.macys.com/is/image/MCY/1439098 ")</f>
        <v xml:space="preserve">http://slimages.macys.com/is/image/MCY/1439098 </v>
      </c>
    </row>
    <row r="398" spans="1:14" ht="24.75" x14ac:dyDescent="0.25">
      <c r="A398" s="21" t="s">
        <v>16386</v>
      </c>
      <c r="B398" s="22" t="s">
        <v>16387</v>
      </c>
      <c r="C398" s="2">
        <v>1</v>
      </c>
      <c r="D398" s="23">
        <v>8.89</v>
      </c>
      <c r="E398" s="3">
        <v>8.89</v>
      </c>
      <c r="F398" s="2" t="s">
        <v>16388</v>
      </c>
      <c r="G398" s="22" t="s">
        <v>19630</v>
      </c>
      <c r="H398" s="24" t="s">
        <v>19308</v>
      </c>
      <c r="I398" s="22" t="s">
        <v>19309</v>
      </c>
      <c r="J398" s="22" t="s">
        <v>19565</v>
      </c>
      <c r="K398" s="22" t="s">
        <v>18514</v>
      </c>
      <c r="L398" s="22"/>
      <c r="M398" s="22"/>
      <c r="N398" s="25" t="str">
        <f>HYPERLINK("http://slimages.macys.com/is/image/MCY/21149762 ")</f>
        <v xml:space="preserve">http://slimages.macys.com/is/image/MCY/21149762 </v>
      </c>
    </row>
    <row r="399" spans="1:14" ht="24.75" x14ac:dyDescent="0.25">
      <c r="A399" s="21" t="s">
        <v>16389</v>
      </c>
      <c r="B399" s="22" t="s">
        <v>16390</v>
      </c>
      <c r="C399" s="2">
        <v>1</v>
      </c>
      <c r="D399" s="23">
        <v>8.89</v>
      </c>
      <c r="E399" s="3">
        <v>8.89</v>
      </c>
      <c r="F399" s="2" t="s">
        <v>16785</v>
      </c>
      <c r="G399" s="22" t="s">
        <v>19763</v>
      </c>
      <c r="H399" s="24" t="s">
        <v>19308</v>
      </c>
      <c r="I399" s="22" t="s">
        <v>19309</v>
      </c>
      <c r="J399" s="22" t="s">
        <v>19565</v>
      </c>
      <c r="K399" s="22" t="s">
        <v>18514</v>
      </c>
      <c r="L399" s="22"/>
      <c r="M399" s="22"/>
      <c r="N399" s="25" t="str">
        <f>HYPERLINK("http://slimages.macys.com/is/image/MCY/21128990 ")</f>
        <v xml:space="preserve">http://slimages.macys.com/is/image/MCY/21128990 </v>
      </c>
    </row>
    <row r="400" spans="1:14" ht="24.75" x14ac:dyDescent="0.25">
      <c r="A400" s="21" t="s">
        <v>16391</v>
      </c>
      <c r="B400" s="22" t="s">
        <v>16392</v>
      </c>
      <c r="C400" s="2">
        <v>1</v>
      </c>
      <c r="D400" s="23">
        <v>8.31</v>
      </c>
      <c r="E400" s="3">
        <v>8.31</v>
      </c>
      <c r="F400" s="2" t="s">
        <v>16393</v>
      </c>
      <c r="G400" s="22" t="s">
        <v>19431</v>
      </c>
      <c r="H400" s="24" t="s">
        <v>19364</v>
      </c>
      <c r="I400" s="22" t="s">
        <v>19309</v>
      </c>
      <c r="J400" s="22" t="s">
        <v>19565</v>
      </c>
      <c r="K400" s="22" t="s">
        <v>18514</v>
      </c>
      <c r="L400" s="22"/>
      <c r="M400" s="22"/>
      <c r="N400" s="25" t="str">
        <f>HYPERLINK("http://slimages.macys.com/is/image/MCY/20732074 ")</f>
        <v xml:space="preserve">http://slimages.macys.com/is/image/MCY/20732074 </v>
      </c>
    </row>
    <row r="401" spans="1:14" x14ac:dyDescent="0.25">
      <c r="A401" s="21" t="s">
        <v>16394</v>
      </c>
      <c r="B401" s="22" t="s">
        <v>16395</v>
      </c>
      <c r="C401" s="2">
        <v>1</v>
      </c>
      <c r="D401" s="23">
        <v>8.99</v>
      </c>
      <c r="E401" s="3">
        <v>8.99</v>
      </c>
      <c r="F401" s="2" t="s">
        <v>16396</v>
      </c>
      <c r="G401" s="22" t="s">
        <v>19618</v>
      </c>
      <c r="H401" s="24" t="s">
        <v>20135</v>
      </c>
      <c r="I401" s="22" t="s">
        <v>19309</v>
      </c>
      <c r="J401" s="22" t="s">
        <v>19849</v>
      </c>
      <c r="K401" s="22" t="s">
        <v>19850</v>
      </c>
      <c r="L401" s="22"/>
      <c r="M401" s="22"/>
      <c r="N401" s="25" t="str">
        <f>HYPERLINK("http://slimages.macys.com/is/image/MCY/19068331 ")</f>
        <v xml:space="preserve">http://slimages.macys.com/is/image/MCY/19068331 </v>
      </c>
    </row>
    <row r="402" spans="1:14" x14ac:dyDescent="0.25">
      <c r="A402" s="21" t="s">
        <v>16397</v>
      </c>
      <c r="B402" s="22" t="s">
        <v>16398</v>
      </c>
      <c r="C402" s="2">
        <v>2</v>
      </c>
      <c r="D402" s="23">
        <v>8.99</v>
      </c>
      <c r="E402" s="3">
        <v>17.98</v>
      </c>
      <c r="F402" s="2" t="s">
        <v>16396</v>
      </c>
      <c r="G402" s="22" t="s">
        <v>19618</v>
      </c>
      <c r="H402" s="24" t="s">
        <v>19542</v>
      </c>
      <c r="I402" s="22" t="s">
        <v>19309</v>
      </c>
      <c r="J402" s="22" t="s">
        <v>19849</v>
      </c>
      <c r="K402" s="22" t="s">
        <v>19850</v>
      </c>
      <c r="L402" s="22"/>
      <c r="M402" s="22"/>
      <c r="N402" s="25" t="str">
        <f>HYPERLINK("http://slimages.macys.com/is/image/MCY/19068331 ")</f>
        <v xml:space="preserve">http://slimages.macys.com/is/image/MCY/19068331 </v>
      </c>
    </row>
    <row r="403" spans="1:14" ht="24.75" x14ac:dyDescent="0.25">
      <c r="A403" s="21" t="s">
        <v>16399</v>
      </c>
      <c r="B403" s="22" t="s">
        <v>16400</v>
      </c>
      <c r="C403" s="2">
        <v>1</v>
      </c>
      <c r="D403" s="23">
        <v>10.99</v>
      </c>
      <c r="E403" s="3">
        <v>10.99</v>
      </c>
      <c r="F403" s="2" t="s">
        <v>18808</v>
      </c>
      <c r="G403" s="22" t="s">
        <v>19906</v>
      </c>
      <c r="H403" s="24" t="s">
        <v>19352</v>
      </c>
      <c r="I403" s="22" t="s">
        <v>19309</v>
      </c>
      <c r="J403" s="22" t="s">
        <v>19353</v>
      </c>
      <c r="K403" s="22" t="s">
        <v>19524</v>
      </c>
      <c r="L403" s="22"/>
      <c r="M403" s="22"/>
      <c r="N403" s="25" t="str">
        <f>HYPERLINK("http://slimages.macys.com/is/image/MCY/21733981 ")</f>
        <v xml:space="preserve">http://slimages.macys.com/is/image/MCY/21733981 </v>
      </c>
    </row>
    <row r="404" spans="1:14" x14ac:dyDescent="0.25">
      <c r="A404" s="21" t="s">
        <v>16401</v>
      </c>
      <c r="B404" s="22" t="s">
        <v>16402</v>
      </c>
      <c r="C404" s="2">
        <v>1</v>
      </c>
      <c r="D404" s="23">
        <v>9.99</v>
      </c>
      <c r="E404" s="3">
        <v>9.99</v>
      </c>
      <c r="F404" s="2" t="s">
        <v>16800</v>
      </c>
      <c r="G404" s="22" t="s">
        <v>19670</v>
      </c>
      <c r="H404" s="24" t="s">
        <v>19377</v>
      </c>
      <c r="I404" s="22" t="s">
        <v>19309</v>
      </c>
      <c r="J404" s="22" t="s">
        <v>19849</v>
      </c>
      <c r="K404" s="22" t="s">
        <v>19850</v>
      </c>
      <c r="L404" s="22"/>
      <c r="M404" s="22"/>
      <c r="N404" s="25" t="str">
        <f>HYPERLINK("http://slimages.macys.com/is/image/MCY/20949718 ")</f>
        <v xml:space="preserve">http://slimages.macys.com/is/image/MCY/20949718 </v>
      </c>
    </row>
    <row r="405" spans="1:14" x14ac:dyDescent="0.25">
      <c r="A405" s="21" t="s">
        <v>16403</v>
      </c>
      <c r="B405" s="22" t="s">
        <v>16404</v>
      </c>
      <c r="C405" s="2">
        <v>2</v>
      </c>
      <c r="D405" s="23">
        <v>9.99</v>
      </c>
      <c r="E405" s="3">
        <v>19.98</v>
      </c>
      <c r="F405" s="2" t="s">
        <v>16800</v>
      </c>
      <c r="G405" s="22" t="s">
        <v>19670</v>
      </c>
      <c r="H405" s="24" t="s">
        <v>19361</v>
      </c>
      <c r="I405" s="22" t="s">
        <v>19309</v>
      </c>
      <c r="J405" s="22" t="s">
        <v>19849</v>
      </c>
      <c r="K405" s="22" t="s">
        <v>19850</v>
      </c>
      <c r="L405" s="22"/>
      <c r="M405" s="22"/>
      <c r="N405" s="25" t="str">
        <f>HYPERLINK("http://slimages.macys.com/is/image/MCY/1449793 ")</f>
        <v xml:space="preserve">http://slimages.macys.com/is/image/MCY/1449793 </v>
      </c>
    </row>
    <row r="406" spans="1:14" x14ac:dyDescent="0.25">
      <c r="A406" s="21" t="s">
        <v>16798</v>
      </c>
      <c r="B406" s="22" t="s">
        <v>16799</v>
      </c>
      <c r="C406" s="2">
        <v>1</v>
      </c>
      <c r="D406" s="23">
        <v>9.99</v>
      </c>
      <c r="E406" s="3">
        <v>9.99</v>
      </c>
      <c r="F406" s="2" t="s">
        <v>16800</v>
      </c>
      <c r="G406" s="22" t="s">
        <v>19670</v>
      </c>
      <c r="H406" s="24" t="s">
        <v>20089</v>
      </c>
      <c r="I406" s="22" t="s">
        <v>19309</v>
      </c>
      <c r="J406" s="22" t="s">
        <v>19849</v>
      </c>
      <c r="K406" s="22" t="s">
        <v>19850</v>
      </c>
      <c r="L406" s="22"/>
      <c r="M406" s="22"/>
      <c r="N406" s="25" t="str">
        <f>HYPERLINK("http://slimages.macys.com/is/image/MCY/20949718 ")</f>
        <v xml:space="preserve">http://slimages.macys.com/is/image/MCY/20949718 </v>
      </c>
    </row>
    <row r="407" spans="1:14" x14ac:dyDescent="0.25">
      <c r="A407" s="21" t="s">
        <v>16405</v>
      </c>
      <c r="B407" s="22" t="s">
        <v>16406</v>
      </c>
      <c r="C407" s="2">
        <v>2</v>
      </c>
      <c r="D407" s="23">
        <v>9.99</v>
      </c>
      <c r="E407" s="3">
        <v>19.98</v>
      </c>
      <c r="F407" s="2" t="s">
        <v>16800</v>
      </c>
      <c r="G407" s="22" t="s">
        <v>19670</v>
      </c>
      <c r="H407" s="24" t="s">
        <v>19907</v>
      </c>
      <c r="I407" s="22" t="s">
        <v>19309</v>
      </c>
      <c r="J407" s="22" t="s">
        <v>19849</v>
      </c>
      <c r="K407" s="22" t="s">
        <v>19850</v>
      </c>
      <c r="L407" s="22"/>
      <c r="M407" s="22"/>
      <c r="N407" s="25" t="str">
        <f>HYPERLINK("http://slimages.macys.com/is/image/MCY/20949718 ")</f>
        <v xml:space="preserve">http://slimages.macys.com/is/image/MCY/20949718 </v>
      </c>
    </row>
    <row r="408" spans="1:14" x14ac:dyDescent="0.25">
      <c r="A408" s="21" t="s">
        <v>16801</v>
      </c>
      <c r="B408" s="22" t="s">
        <v>16802</v>
      </c>
      <c r="C408" s="2">
        <v>2</v>
      </c>
      <c r="D408" s="23">
        <v>11.99</v>
      </c>
      <c r="E408" s="3">
        <v>23.98</v>
      </c>
      <c r="F408" s="2" t="s">
        <v>16803</v>
      </c>
      <c r="G408" s="22" t="s">
        <v>19431</v>
      </c>
      <c r="H408" s="24" t="s">
        <v>19364</v>
      </c>
      <c r="I408" s="22" t="s">
        <v>19309</v>
      </c>
      <c r="J408" s="22" t="s">
        <v>19849</v>
      </c>
      <c r="K408" s="22" t="s">
        <v>19850</v>
      </c>
      <c r="L408" s="22"/>
      <c r="M408" s="22"/>
      <c r="N408" s="25" t="str">
        <f>HYPERLINK("http://slimages.macys.com/is/image/MCY/20752030 ")</f>
        <v xml:space="preserve">http://slimages.macys.com/is/image/MCY/20752030 </v>
      </c>
    </row>
    <row r="409" spans="1:14" x14ac:dyDescent="0.25">
      <c r="A409" s="21" t="s">
        <v>16812</v>
      </c>
      <c r="B409" s="22" t="s">
        <v>16813</v>
      </c>
      <c r="C409" s="2">
        <v>1</v>
      </c>
      <c r="D409" s="23">
        <v>11.99</v>
      </c>
      <c r="E409" s="3">
        <v>11.99</v>
      </c>
      <c r="F409" s="2" t="s">
        <v>16803</v>
      </c>
      <c r="G409" s="22" t="s">
        <v>19431</v>
      </c>
      <c r="H409" s="24" t="s">
        <v>19797</v>
      </c>
      <c r="I409" s="22" t="s">
        <v>19309</v>
      </c>
      <c r="J409" s="22" t="s">
        <v>19849</v>
      </c>
      <c r="K409" s="22" t="s">
        <v>19850</v>
      </c>
      <c r="L409" s="22"/>
      <c r="M409" s="22"/>
      <c r="N409" s="25" t="str">
        <f>HYPERLINK("http://slimages.macys.com/is/image/MCY/20752030 ")</f>
        <v xml:space="preserve">http://slimages.macys.com/is/image/MCY/20752030 </v>
      </c>
    </row>
    <row r="410" spans="1:14" x14ac:dyDescent="0.25">
      <c r="A410" s="21" t="s">
        <v>16810</v>
      </c>
      <c r="B410" s="22" t="s">
        <v>16811</v>
      </c>
      <c r="C410" s="2">
        <v>2</v>
      </c>
      <c r="D410" s="23">
        <v>11.99</v>
      </c>
      <c r="E410" s="3">
        <v>23.98</v>
      </c>
      <c r="F410" s="2" t="s">
        <v>16803</v>
      </c>
      <c r="G410" s="22" t="s">
        <v>19431</v>
      </c>
      <c r="H410" s="24" t="s">
        <v>19352</v>
      </c>
      <c r="I410" s="22" t="s">
        <v>19309</v>
      </c>
      <c r="J410" s="22" t="s">
        <v>19849</v>
      </c>
      <c r="K410" s="22" t="s">
        <v>19850</v>
      </c>
      <c r="L410" s="22"/>
      <c r="M410" s="22"/>
      <c r="N410" s="25" t="str">
        <f>HYPERLINK("http://slimages.macys.com/is/image/MCY/20752030 ")</f>
        <v xml:space="preserve">http://slimages.macys.com/is/image/MCY/20752030 </v>
      </c>
    </row>
    <row r="411" spans="1:14" x14ac:dyDescent="0.25">
      <c r="A411" s="21" t="s">
        <v>16814</v>
      </c>
      <c r="B411" s="22" t="s">
        <v>16815</v>
      </c>
      <c r="C411" s="2">
        <v>1</v>
      </c>
      <c r="D411" s="23">
        <v>11.99</v>
      </c>
      <c r="E411" s="3">
        <v>11.99</v>
      </c>
      <c r="F411" s="2" t="s">
        <v>16803</v>
      </c>
      <c r="G411" s="22" t="s">
        <v>19670</v>
      </c>
      <c r="H411" s="24"/>
      <c r="I411" s="22" t="s">
        <v>19309</v>
      </c>
      <c r="J411" s="22" t="s">
        <v>19849</v>
      </c>
      <c r="K411" s="22" t="s">
        <v>19850</v>
      </c>
      <c r="L411" s="22"/>
      <c r="M411" s="22"/>
      <c r="N411" s="25" t="str">
        <f>HYPERLINK("http://slimages.macys.com/is/image/MCY/20752030 ")</f>
        <v xml:space="preserve">http://slimages.macys.com/is/image/MCY/20752030 </v>
      </c>
    </row>
    <row r="412" spans="1:14" x14ac:dyDescent="0.25">
      <c r="A412" s="21" t="s">
        <v>16816</v>
      </c>
      <c r="B412" s="22" t="s">
        <v>16817</v>
      </c>
      <c r="C412" s="2">
        <v>1</v>
      </c>
      <c r="D412" s="23">
        <v>11.99</v>
      </c>
      <c r="E412" s="3">
        <v>11.99</v>
      </c>
      <c r="F412" s="2" t="s">
        <v>16803</v>
      </c>
      <c r="G412" s="22" t="s">
        <v>19670</v>
      </c>
      <c r="H412" s="24" t="s">
        <v>19352</v>
      </c>
      <c r="I412" s="22" t="s">
        <v>19309</v>
      </c>
      <c r="J412" s="22" t="s">
        <v>19849</v>
      </c>
      <c r="K412" s="22" t="s">
        <v>19850</v>
      </c>
      <c r="L412" s="22"/>
      <c r="M412" s="22"/>
      <c r="N412" s="25" t="str">
        <f>HYPERLINK("http://slimages.macys.com/is/image/MCY/20752030 ")</f>
        <v xml:space="preserve">http://slimages.macys.com/is/image/MCY/20752030 </v>
      </c>
    </row>
    <row r="413" spans="1:14" x14ac:dyDescent="0.25">
      <c r="A413" s="21" t="s">
        <v>16820</v>
      </c>
      <c r="B413" s="22" t="s">
        <v>16821</v>
      </c>
      <c r="C413" s="2">
        <v>1</v>
      </c>
      <c r="D413" s="23">
        <v>13.99</v>
      </c>
      <c r="E413" s="3">
        <v>13.99</v>
      </c>
      <c r="F413" s="2" t="s">
        <v>16822</v>
      </c>
      <c r="G413" s="22" t="s">
        <v>19307</v>
      </c>
      <c r="H413" s="24" t="s">
        <v>19395</v>
      </c>
      <c r="I413" s="22" t="s">
        <v>19309</v>
      </c>
      <c r="J413" s="22" t="s">
        <v>19310</v>
      </c>
      <c r="K413" s="22" t="s">
        <v>19440</v>
      </c>
      <c r="L413" s="22"/>
      <c r="M413" s="22"/>
      <c r="N413" s="25" t="str">
        <f>HYPERLINK("http://slimages.macys.com/is/image/MCY/21059392 ")</f>
        <v xml:space="preserve">http://slimages.macys.com/is/image/MCY/21059392 </v>
      </c>
    </row>
    <row r="414" spans="1:14" x14ac:dyDescent="0.25">
      <c r="A414" s="21" t="s">
        <v>16407</v>
      </c>
      <c r="B414" s="22" t="s">
        <v>16408</v>
      </c>
      <c r="C414" s="2">
        <v>1</v>
      </c>
      <c r="D414" s="23">
        <v>13.99</v>
      </c>
      <c r="E414" s="3">
        <v>13.99</v>
      </c>
      <c r="F414" s="2" t="s">
        <v>16822</v>
      </c>
      <c r="G414" s="22" t="s">
        <v>19307</v>
      </c>
      <c r="H414" s="24" t="s">
        <v>19432</v>
      </c>
      <c r="I414" s="22" t="s">
        <v>19309</v>
      </c>
      <c r="J414" s="22" t="s">
        <v>19310</v>
      </c>
      <c r="K414" s="22" t="s">
        <v>19440</v>
      </c>
      <c r="L414" s="22"/>
      <c r="M414" s="22"/>
      <c r="N414" s="25" t="str">
        <f>HYPERLINK("http://slimages.macys.com/is/image/MCY/21059392 ")</f>
        <v xml:space="preserve">http://slimages.macys.com/is/image/MCY/21059392 </v>
      </c>
    </row>
    <row r="415" spans="1:14" x14ac:dyDescent="0.25">
      <c r="A415" s="21" t="s">
        <v>16409</v>
      </c>
      <c r="B415" s="22" t="s">
        <v>16410</v>
      </c>
      <c r="C415" s="2">
        <v>1</v>
      </c>
      <c r="D415" s="23">
        <v>10.47</v>
      </c>
      <c r="E415" s="3">
        <v>10.47</v>
      </c>
      <c r="F415" s="2" t="s">
        <v>16411</v>
      </c>
      <c r="G415" s="22"/>
      <c r="H415" s="24" t="s">
        <v>19416</v>
      </c>
      <c r="I415" s="22" t="s">
        <v>19309</v>
      </c>
      <c r="J415" s="22" t="s">
        <v>19708</v>
      </c>
      <c r="K415" s="22" t="s">
        <v>19709</v>
      </c>
      <c r="L415" s="22"/>
      <c r="M415" s="22"/>
      <c r="N415" s="25" t="str">
        <f>HYPERLINK("http://slimages.macys.com/is/image/MCY/21411414 ")</f>
        <v xml:space="preserve">http://slimages.macys.com/is/image/MCY/21411414 </v>
      </c>
    </row>
    <row r="416" spans="1:14" x14ac:dyDescent="0.25">
      <c r="A416" s="21" t="s">
        <v>16412</v>
      </c>
      <c r="B416" s="22" t="s">
        <v>16413</v>
      </c>
      <c r="C416" s="2">
        <v>1</v>
      </c>
      <c r="D416" s="23">
        <v>10.47</v>
      </c>
      <c r="E416" s="3">
        <v>10.47</v>
      </c>
      <c r="F416" s="2" t="s">
        <v>16414</v>
      </c>
      <c r="G416" s="22" t="s">
        <v>19323</v>
      </c>
      <c r="H416" s="24" t="s">
        <v>19770</v>
      </c>
      <c r="I416" s="22" t="s">
        <v>19309</v>
      </c>
      <c r="J416" s="22" t="s">
        <v>19708</v>
      </c>
      <c r="K416" s="22" t="s">
        <v>19709</v>
      </c>
      <c r="L416" s="22"/>
      <c r="M416" s="22"/>
      <c r="N416" s="25" t="str">
        <f>HYPERLINK("http://slimages.macys.com/is/image/MCY/21412388 ")</f>
        <v xml:space="preserve">http://slimages.macys.com/is/image/MCY/21412388 </v>
      </c>
    </row>
    <row r="417" spans="1:14" x14ac:dyDescent="0.25">
      <c r="A417" s="21" t="s">
        <v>16415</v>
      </c>
      <c r="B417" s="22" t="s">
        <v>16416</v>
      </c>
      <c r="C417" s="2">
        <v>1</v>
      </c>
      <c r="D417" s="23">
        <v>10.46</v>
      </c>
      <c r="E417" s="3">
        <v>10.46</v>
      </c>
      <c r="F417" s="2" t="s">
        <v>16831</v>
      </c>
      <c r="G417" s="22"/>
      <c r="H417" s="24" t="s">
        <v>19416</v>
      </c>
      <c r="I417" s="22" t="s">
        <v>19309</v>
      </c>
      <c r="J417" s="22" t="s">
        <v>19708</v>
      </c>
      <c r="K417" s="22" t="s">
        <v>19709</v>
      </c>
      <c r="L417" s="22"/>
      <c r="M417" s="22"/>
      <c r="N417" s="25" t="str">
        <f>HYPERLINK("http://slimages.macys.com/is/image/MCY/21726541 ")</f>
        <v xml:space="preserve">http://slimages.macys.com/is/image/MCY/21726541 </v>
      </c>
    </row>
    <row r="418" spans="1:14" x14ac:dyDescent="0.25">
      <c r="A418" s="21" t="s">
        <v>16417</v>
      </c>
      <c r="B418" s="22" t="s">
        <v>16418</v>
      </c>
      <c r="C418" s="2">
        <v>1</v>
      </c>
      <c r="D418" s="23">
        <v>9.99</v>
      </c>
      <c r="E418" s="3">
        <v>9.99</v>
      </c>
      <c r="F418" s="2" t="s">
        <v>16419</v>
      </c>
      <c r="G418" s="22" t="s">
        <v>19477</v>
      </c>
      <c r="H418" s="24" t="s">
        <v>19542</v>
      </c>
      <c r="I418" s="22" t="s">
        <v>19309</v>
      </c>
      <c r="J418" s="22" t="s">
        <v>19849</v>
      </c>
      <c r="K418" s="22" t="s">
        <v>19850</v>
      </c>
      <c r="L418" s="22"/>
      <c r="M418" s="22"/>
      <c r="N418" s="25" t="str">
        <f>HYPERLINK("http://slimages.macys.com/is/image/MCY/1449793 ")</f>
        <v xml:space="preserve">http://slimages.macys.com/is/image/MCY/1449793 </v>
      </c>
    </row>
    <row r="419" spans="1:14" x14ac:dyDescent="0.25">
      <c r="A419" s="21" t="s">
        <v>16420</v>
      </c>
      <c r="B419" s="22" t="s">
        <v>16421</v>
      </c>
      <c r="C419" s="2">
        <v>1</v>
      </c>
      <c r="D419" s="23">
        <v>9.99</v>
      </c>
      <c r="E419" s="3">
        <v>9.99</v>
      </c>
      <c r="F419" s="2" t="s">
        <v>16419</v>
      </c>
      <c r="G419" s="22" t="s">
        <v>19477</v>
      </c>
      <c r="H419" s="24" t="s">
        <v>19361</v>
      </c>
      <c r="I419" s="22" t="s">
        <v>19309</v>
      </c>
      <c r="J419" s="22" t="s">
        <v>19849</v>
      </c>
      <c r="K419" s="22" t="s">
        <v>19850</v>
      </c>
      <c r="L419" s="22"/>
      <c r="M419" s="22"/>
      <c r="N419" s="25" t="str">
        <f>HYPERLINK("http://slimages.macys.com/is/image/MCY/1449793 ")</f>
        <v xml:space="preserve">http://slimages.macys.com/is/image/MCY/1449793 </v>
      </c>
    </row>
    <row r="420" spans="1:14" x14ac:dyDescent="0.25">
      <c r="A420" s="21" t="s">
        <v>16422</v>
      </c>
      <c r="B420" s="22" t="s">
        <v>16423</v>
      </c>
      <c r="C420" s="2">
        <v>1</v>
      </c>
      <c r="D420" s="23">
        <v>9.99</v>
      </c>
      <c r="E420" s="3">
        <v>9.99</v>
      </c>
      <c r="F420" s="2" t="s">
        <v>16837</v>
      </c>
      <c r="G420" s="22" t="s">
        <v>19351</v>
      </c>
      <c r="H420" s="24" t="s">
        <v>20135</v>
      </c>
      <c r="I420" s="22" t="s">
        <v>19309</v>
      </c>
      <c r="J420" s="22" t="s">
        <v>19849</v>
      </c>
      <c r="K420" s="22" t="s">
        <v>19850</v>
      </c>
      <c r="L420" s="22"/>
      <c r="M420" s="22"/>
      <c r="N420" s="25" t="str">
        <f>HYPERLINK("http://slimages.macys.com/is/image/MCY/20949730 ")</f>
        <v xml:space="preserve">http://slimages.macys.com/is/image/MCY/20949730 </v>
      </c>
    </row>
    <row r="421" spans="1:14" x14ac:dyDescent="0.25">
      <c r="A421" s="21" t="s">
        <v>16424</v>
      </c>
      <c r="B421" s="22" t="s">
        <v>16425</v>
      </c>
      <c r="C421" s="2">
        <v>1</v>
      </c>
      <c r="D421" s="23">
        <v>9.99</v>
      </c>
      <c r="E421" s="3">
        <v>9.99</v>
      </c>
      <c r="F421" s="2" t="s">
        <v>16419</v>
      </c>
      <c r="G421" s="22" t="s">
        <v>19477</v>
      </c>
      <c r="H421" s="24" t="s">
        <v>20135</v>
      </c>
      <c r="I421" s="22" t="s">
        <v>19309</v>
      </c>
      <c r="J421" s="22" t="s">
        <v>19849</v>
      </c>
      <c r="K421" s="22" t="s">
        <v>19850</v>
      </c>
      <c r="L421" s="22"/>
      <c r="M421" s="22"/>
      <c r="N421" s="25" t="str">
        <f>HYPERLINK("http://slimages.macys.com/is/image/MCY/1449793 ")</f>
        <v xml:space="preserve">http://slimages.macys.com/is/image/MCY/1449793 </v>
      </c>
    </row>
    <row r="422" spans="1:14" x14ac:dyDescent="0.25">
      <c r="A422" s="21" t="s">
        <v>16426</v>
      </c>
      <c r="B422" s="22" t="s">
        <v>16427</v>
      </c>
      <c r="C422" s="2">
        <v>4</v>
      </c>
      <c r="D422" s="23">
        <v>7.99</v>
      </c>
      <c r="E422" s="3">
        <v>31.96</v>
      </c>
      <c r="F422" s="2" t="s">
        <v>16840</v>
      </c>
      <c r="G422" s="22" t="s">
        <v>19431</v>
      </c>
      <c r="H422" s="24" t="s">
        <v>20089</v>
      </c>
      <c r="I422" s="22" t="s">
        <v>19309</v>
      </c>
      <c r="J422" s="22" t="s">
        <v>19849</v>
      </c>
      <c r="K422" s="22" t="s">
        <v>19850</v>
      </c>
      <c r="L422" s="22"/>
      <c r="M422" s="22"/>
      <c r="N422" s="25" t="str">
        <f>HYPERLINK("http://slimages.macys.com/is/image/MCY/19068277 ")</f>
        <v xml:space="preserve">http://slimages.macys.com/is/image/MCY/19068277 </v>
      </c>
    </row>
    <row r="423" spans="1:14" x14ac:dyDescent="0.25">
      <c r="A423" s="21" t="s">
        <v>16428</v>
      </c>
      <c r="B423" s="22" t="s">
        <v>16429</v>
      </c>
      <c r="C423" s="2">
        <v>1</v>
      </c>
      <c r="D423" s="23">
        <v>7.99</v>
      </c>
      <c r="E423" s="3">
        <v>7.99</v>
      </c>
      <c r="F423" s="2" t="s">
        <v>16840</v>
      </c>
      <c r="G423" s="22" t="s">
        <v>19431</v>
      </c>
      <c r="H423" s="24" t="s">
        <v>19361</v>
      </c>
      <c r="I423" s="22" t="s">
        <v>19309</v>
      </c>
      <c r="J423" s="22" t="s">
        <v>19849</v>
      </c>
      <c r="K423" s="22" t="s">
        <v>19850</v>
      </c>
      <c r="L423" s="22"/>
      <c r="M423" s="22"/>
      <c r="N423" s="25" t="str">
        <f>HYPERLINK("http://slimages.macys.com/is/image/MCY/19068277 ")</f>
        <v xml:space="preserve">http://slimages.macys.com/is/image/MCY/19068277 </v>
      </c>
    </row>
    <row r="424" spans="1:14" ht="24.75" x14ac:dyDescent="0.25">
      <c r="A424" s="21" t="s">
        <v>16430</v>
      </c>
      <c r="B424" s="22" t="s">
        <v>16431</v>
      </c>
      <c r="C424" s="2">
        <v>1</v>
      </c>
      <c r="D424" s="23">
        <v>13.99</v>
      </c>
      <c r="E424" s="3">
        <v>13.99</v>
      </c>
      <c r="F424" s="2" t="s">
        <v>16432</v>
      </c>
      <c r="G424" s="22" t="s">
        <v>19814</v>
      </c>
      <c r="H424" s="24" t="s">
        <v>19392</v>
      </c>
      <c r="I424" s="22" t="s">
        <v>19309</v>
      </c>
      <c r="J424" s="22" t="s">
        <v>19815</v>
      </c>
      <c r="K424" s="22" t="s">
        <v>19816</v>
      </c>
      <c r="L424" s="22"/>
      <c r="M424" s="22"/>
      <c r="N424" s="25" t="str">
        <f>HYPERLINK("http://slimages.macys.com/is/image/MCY/21278560 ")</f>
        <v xml:space="preserve">http://slimages.macys.com/is/image/MCY/21278560 </v>
      </c>
    </row>
    <row r="425" spans="1:14" x14ac:dyDescent="0.25">
      <c r="A425" s="21" t="s">
        <v>16433</v>
      </c>
      <c r="B425" s="22" t="s">
        <v>16434</v>
      </c>
      <c r="C425" s="2">
        <v>1</v>
      </c>
      <c r="D425" s="23">
        <v>9.99</v>
      </c>
      <c r="E425" s="3">
        <v>9.99</v>
      </c>
      <c r="F425" s="2" t="s">
        <v>18825</v>
      </c>
      <c r="G425" s="22" t="s">
        <v>19351</v>
      </c>
      <c r="H425" s="24" t="s">
        <v>19542</v>
      </c>
      <c r="I425" s="22" t="s">
        <v>19309</v>
      </c>
      <c r="J425" s="22" t="s">
        <v>19849</v>
      </c>
      <c r="K425" s="22" t="s">
        <v>19850</v>
      </c>
      <c r="L425" s="22"/>
      <c r="M425" s="22"/>
      <c r="N425" s="25" t="str">
        <f>HYPERLINK("http://slimages.macys.com/is/image/MCY/20752457 ")</f>
        <v xml:space="preserve">http://slimages.macys.com/is/image/MCY/20752457 </v>
      </c>
    </row>
    <row r="426" spans="1:14" x14ac:dyDescent="0.25">
      <c r="A426" s="21" t="s">
        <v>16435</v>
      </c>
      <c r="B426" s="22" t="s">
        <v>16436</v>
      </c>
      <c r="C426" s="2">
        <v>1</v>
      </c>
      <c r="D426" s="23">
        <v>8.33</v>
      </c>
      <c r="E426" s="3">
        <v>8.33</v>
      </c>
      <c r="F426" s="2" t="s">
        <v>16437</v>
      </c>
      <c r="G426" s="22" t="s">
        <v>19801</v>
      </c>
      <c r="H426" s="24" t="s">
        <v>20232</v>
      </c>
      <c r="I426" s="22" t="s">
        <v>19309</v>
      </c>
      <c r="J426" s="22" t="s">
        <v>19514</v>
      </c>
      <c r="K426" s="22" t="s">
        <v>18514</v>
      </c>
      <c r="L426" s="22"/>
      <c r="M426" s="22"/>
      <c r="N426" s="25" t="str">
        <f>HYPERLINK("http://slimages.macys.com/is/image/MCY/21511198 ")</f>
        <v xml:space="preserve">http://slimages.macys.com/is/image/MCY/21511198 </v>
      </c>
    </row>
    <row r="427" spans="1:14" x14ac:dyDescent="0.25">
      <c r="A427" s="21" t="s">
        <v>18839</v>
      </c>
      <c r="B427" s="22" t="s">
        <v>18840</v>
      </c>
      <c r="C427" s="2">
        <v>1</v>
      </c>
      <c r="D427" s="23">
        <v>6.99</v>
      </c>
      <c r="E427" s="3">
        <v>6.99</v>
      </c>
      <c r="F427" s="2" t="s">
        <v>18841</v>
      </c>
      <c r="G427" s="22" t="s">
        <v>19467</v>
      </c>
      <c r="H427" s="24" t="s">
        <v>19352</v>
      </c>
      <c r="I427" s="22" t="s">
        <v>19309</v>
      </c>
      <c r="J427" s="22" t="s">
        <v>19849</v>
      </c>
      <c r="K427" s="22" t="s">
        <v>19850</v>
      </c>
      <c r="L427" s="22"/>
      <c r="M427" s="22"/>
      <c r="N427" s="25" t="str">
        <f>HYPERLINK("http://slimages.macys.com/is/image/MCY/19965819 ")</f>
        <v xml:space="preserve">http://slimages.macys.com/is/image/MCY/19965819 </v>
      </c>
    </row>
    <row r="428" spans="1:14" x14ac:dyDescent="0.25">
      <c r="A428" s="21" t="s">
        <v>16438</v>
      </c>
      <c r="B428" s="22" t="s">
        <v>16439</v>
      </c>
      <c r="C428" s="2">
        <v>1</v>
      </c>
      <c r="D428" s="23">
        <v>6.99</v>
      </c>
      <c r="E428" s="3">
        <v>6.99</v>
      </c>
      <c r="F428" s="2" t="s">
        <v>18841</v>
      </c>
      <c r="G428" s="22" t="s">
        <v>19618</v>
      </c>
      <c r="H428" s="24"/>
      <c r="I428" s="22" t="s">
        <v>19309</v>
      </c>
      <c r="J428" s="22" t="s">
        <v>19849</v>
      </c>
      <c r="K428" s="22" t="s">
        <v>19850</v>
      </c>
      <c r="L428" s="22"/>
      <c r="M428" s="22"/>
      <c r="N428" s="25" t="str">
        <f>HYPERLINK("http://slimages.macys.com/is/image/MCY/22503910 ")</f>
        <v xml:space="preserve">http://slimages.macys.com/is/image/MCY/22503910 </v>
      </c>
    </row>
    <row r="429" spans="1:14" x14ac:dyDescent="0.25">
      <c r="A429" s="21" t="s">
        <v>16440</v>
      </c>
      <c r="B429" s="22" t="s">
        <v>16441</v>
      </c>
      <c r="C429" s="2">
        <v>1</v>
      </c>
      <c r="D429" s="23">
        <v>11.99</v>
      </c>
      <c r="E429" s="3">
        <v>11.99</v>
      </c>
      <c r="F429" s="2" t="s">
        <v>16849</v>
      </c>
      <c r="G429" s="22" t="s">
        <v>19674</v>
      </c>
      <c r="H429" s="24" t="s">
        <v>19352</v>
      </c>
      <c r="I429" s="22" t="s">
        <v>19309</v>
      </c>
      <c r="J429" s="22" t="s">
        <v>19849</v>
      </c>
      <c r="K429" s="22" t="s">
        <v>19850</v>
      </c>
      <c r="L429" s="22"/>
      <c r="M429" s="22"/>
      <c r="N429" s="25" t="str">
        <f>HYPERLINK("http://slimages.macys.com/is/image/MCY/1523123 ")</f>
        <v xml:space="preserve">http://slimages.macys.com/is/image/MCY/1523123 </v>
      </c>
    </row>
    <row r="430" spans="1:14" x14ac:dyDescent="0.25">
      <c r="A430" s="21" t="s">
        <v>16853</v>
      </c>
      <c r="B430" s="22" t="s">
        <v>16854</v>
      </c>
      <c r="C430" s="2">
        <v>4</v>
      </c>
      <c r="D430" s="23">
        <v>9.99</v>
      </c>
      <c r="E430" s="3">
        <v>39.96</v>
      </c>
      <c r="F430" s="2" t="s">
        <v>16855</v>
      </c>
      <c r="G430" s="22" t="s">
        <v>19674</v>
      </c>
      <c r="H430" s="24" t="s">
        <v>20135</v>
      </c>
      <c r="I430" s="22" t="s">
        <v>19309</v>
      </c>
      <c r="J430" s="22" t="s">
        <v>19849</v>
      </c>
      <c r="K430" s="22" t="s">
        <v>19850</v>
      </c>
      <c r="L430" s="22"/>
      <c r="M430" s="22"/>
      <c r="N430" s="25" t="str">
        <f>HYPERLINK("http://slimages.macys.com/is/image/MCY/20549003 ")</f>
        <v xml:space="preserve">http://slimages.macys.com/is/image/MCY/20549003 </v>
      </c>
    </row>
    <row r="431" spans="1:14" x14ac:dyDescent="0.25">
      <c r="A431" s="21" t="s">
        <v>16442</v>
      </c>
      <c r="B431" s="22" t="s">
        <v>16443</v>
      </c>
      <c r="C431" s="2">
        <v>1</v>
      </c>
      <c r="D431" s="23">
        <v>9.99</v>
      </c>
      <c r="E431" s="3">
        <v>9.99</v>
      </c>
      <c r="F431" s="2" t="s">
        <v>16855</v>
      </c>
      <c r="G431" s="22" t="s">
        <v>19674</v>
      </c>
      <c r="H431" s="24" t="s">
        <v>20089</v>
      </c>
      <c r="I431" s="22" t="s">
        <v>19309</v>
      </c>
      <c r="J431" s="22" t="s">
        <v>19849</v>
      </c>
      <c r="K431" s="22" t="s">
        <v>19850</v>
      </c>
      <c r="L431" s="22"/>
      <c r="M431" s="22"/>
      <c r="N431" s="25" t="str">
        <f>HYPERLINK("http://slimages.macys.com/is/image/MCY/20549003 ")</f>
        <v xml:space="preserve">http://slimages.macys.com/is/image/MCY/20549003 </v>
      </c>
    </row>
    <row r="432" spans="1:14" x14ac:dyDescent="0.25">
      <c r="A432" s="21" t="s">
        <v>16444</v>
      </c>
      <c r="B432" s="22" t="s">
        <v>16445</v>
      </c>
      <c r="C432" s="2">
        <v>1</v>
      </c>
      <c r="D432" s="23">
        <v>9.99</v>
      </c>
      <c r="E432" s="3">
        <v>9.99</v>
      </c>
      <c r="F432" s="2" t="s">
        <v>16446</v>
      </c>
      <c r="G432" s="22" t="s">
        <v>19315</v>
      </c>
      <c r="H432" s="24" t="s">
        <v>19361</v>
      </c>
      <c r="I432" s="22" t="s">
        <v>19309</v>
      </c>
      <c r="J432" s="22" t="s">
        <v>19849</v>
      </c>
      <c r="K432" s="22" t="s">
        <v>19850</v>
      </c>
      <c r="L432" s="22"/>
      <c r="M432" s="22"/>
      <c r="N432" s="25" t="str">
        <f>HYPERLINK("http://slimages.macys.com/is/image/MCY/1587966 ")</f>
        <v xml:space="preserve">http://slimages.macys.com/is/image/MCY/1587966 </v>
      </c>
    </row>
    <row r="433" spans="1:14" x14ac:dyDescent="0.25">
      <c r="A433" s="21" t="s">
        <v>16447</v>
      </c>
      <c r="B433" s="22" t="s">
        <v>16448</v>
      </c>
      <c r="C433" s="2">
        <v>1</v>
      </c>
      <c r="D433" s="23">
        <v>9.99</v>
      </c>
      <c r="E433" s="3">
        <v>9.99</v>
      </c>
      <c r="F433" s="2" t="s">
        <v>16446</v>
      </c>
      <c r="G433" s="22" t="s">
        <v>19315</v>
      </c>
      <c r="H433" s="24" t="s">
        <v>19377</v>
      </c>
      <c r="I433" s="22" t="s">
        <v>19309</v>
      </c>
      <c r="J433" s="22" t="s">
        <v>19849</v>
      </c>
      <c r="K433" s="22" t="s">
        <v>19850</v>
      </c>
      <c r="L433" s="22"/>
      <c r="M433" s="22"/>
      <c r="N433" s="25" t="str">
        <f>HYPERLINK("http://slimages.macys.com/is/image/MCY/21251285 ")</f>
        <v xml:space="preserve">http://slimages.macys.com/is/image/MCY/21251285 </v>
      </c>
    </row>
    <row r="434" spans="1:14" ht="24.75" x14ac:dyDescent="0.25">
      <c r="A434" s="21" t="s">
        <v>16864</v>
      </c>
      <c r="B434" s="22" t="s">
        <v>16865</v>
      </c>
      <c r="C434" s="2">
        <v>1</v>
      </c>
      <c r="D434" s="23">
        <v>10.99</v>
      </c>
      <c r="E434" s="3">
        <v>10.99</v>
      </c>
      <c r="F434" s="2" t="s">
        <v>18866</v>
      </c>
      <c r="G434" s="22" t="s">
        <v>19351</v>
      </c>
      <c r="H434" s="24" t="s">
        <v>19330</v>
      </c>
      <c r="I434" s="22" t="s">
        <v>19309</v>
      </c>
      <c r="J434" s="22" t="s">
        <v>19573</v>
      </c>
      <c r="K434" s="22" t="s">
        <v>19574</v>
      </c>
      <c r="L434" s="22"/>
      <c r="M434" s="22"/>
      <c r="N434" s="25" t="str">
        <f>HYPERLINK("http://slimages.macys.com/is/image/MCY/21088530 ")</f>
        <v xml:space="preserve">http://slimages.macys.com/is/image/MCY/21088530 </v>
      </c>
    </row>
    <row r="435" spans="1:14" ht="24.75" x14ac:dyDescent="0.25">
      <c r="A435" s="21" t="s">
        <v>16449</v>
      </c>
      <c r="B435" s="22" t="s">
        <v>16450</v>
      </c>
      <c r="C435" s="2">
        <v>1</v>
      </c>
      <c r="D435" s="23">
        <v>10.99</v>
      </c>
      <c r="E435" s="3">
        <v>10.99</v>
      </c>
      <c r="F435" s="2" t="s">
        <v>16871</v>
      </c>
      <c r="G435" s="22" t="s">
        <v>19585</v>
      </c>
      <c r="H435" s="24" t="s">
        <v>19416</v>
      </c>
      <c r="I435" s="22" t="s">
        <v>19309</v>
      </c>
      <c r="J435" s="22" t="s">
        <v>19573</v>
      </c>
      <c r="K435" s="22" t="s">
        <v>19574</v>
      </c>
      <c r="L435" s="22"/>
      <c r="M435" s="22"/>
      <c r="N435" s="25" t="str">
        <f>HYPERLINK("http://slimages.macys.com/is/image/MCY/1141502 ")</f>
        <v xml:space="preserve">http://slimages.macys.com/is/image/MCY/1141502 </v>
      </c>
    </row>
    <row r="436" spans="1:14" ht="24.75" x14ac:dyDescent="0.25">
      <c r="A436" s="21" t="s">
        <v>16451</v>
      </c>
      <c r="B436" s="22" t="s">
        <v>16452</v>
      </c>
      <c r="C436" s="2">
        <v>1</v>
      </c>
      <c r="D436" s="23">
        <v>11.99</v>
      </c>
      <c r="E436" s="3">
        <v>11.99</v>
      </c>
      <c r="F436" s="2" t="s">
        <v>16453</v>
      </c>
      <c r="G436" s="22" t="s">
        <v>19674</v>
      </c>
      <c r="H436" s="24" t="s">
        <v>19330</v>
      </c>
      <c r="I436" s="22" t="s">
        <v>19309</v>
      </c>
      <c r="J436" s="22" t="s">
        <v>19573</v>
      </c>
      <c r="K436" s="22" t="s">
        <v>19574</v>
      </c>
      <c r="L436" s="22"/>
      <c r="M436" s="22"/>
      <c r="N436" s="25" t="str">
        <f>HYPERLINK("http://slimages.macys.com/is/image/MCY/1427605 ")</f>
        <v xml:space="preserve">http://slimages.macys.com/is/image/MCY/1427605 </v>
      </c>
    </row>
    <row r="437" spans="1:14" ht="24.75" x14ac:dyDescent="0.25">
      <c r="A437" s="21" t="s">
        <v>16454</v>
      </c>
      <c r="B437" s="22" t="s">
        <v>16455</v>
      </c>
      <c r="C437" s="2">
        <v>1</v>
      </c>
      <c r="D437" s="23">
        <v>10.99</v>
      </c>
      <c r="E437" s="3">
        <v>10.99</v>
      </c>
      <c r="F437" s="2" t="s">
        <v>18866</v>
      </c>
      <c r="G437" s="22" t="s">
        <v>19351</v>
      </c>
      <c r="H437" s="24" t="s">
        <v>19384</v>
      </c>
      <c r="I437" s="22" t="s">
        <v>19309</v>
      </c>
      <c r="J437" s="22" t="s">
        <v>19573</v>
      </c>
      <c r="K437" s="22" t="s">
        <v>19574</v>
      </c>
      <c r="L437" s="22"/>
      <c r="M437" s="22"/>
      <c r="N437" s="25" t="str">
        <f>HYPERLINK("http://slimages.macys.com/is/image/MCY/21088530 ")</f>
        <v xml:space="preserve">http://slimages.macys.com/is/image/MCY/21088530 </v>
      </c>
    </row>
    <row r="438" spans="1:14" ht="24.75" x14ac:dyDescent="0.25">
      <c r="A438" s="21" t="s">
        <v>16456</v>
      </c>
      <c r="B438" s="22" t="s">
        <v>16457</v>
      </c>
      <c r="C438" s="2">
        <v>1</v>
      </c>
      <c r="D438" s="23">
        <v>8.99</v>
      </c>
      <c r="E438" s="3">
        <v>8.99</v>
      </c>
      <c r="F438" s="2" t="s">
        <v>16881</v>
      </c>
      <c r="G438" s="22" t="s">
        <v>19906</v>
      </c>
      <c r="H438" s="24" t="s">
        <v>19361</v>
      </c>
      <c r="I438" s="22" t="s">
        <v>19309</v>
      </c>
      <c r="J438" s="22" t="s">
        <v>19815</v>
      </c>
      <c r="K438" s="22" t="s">
        <v>19816</v>
      </c>
      <c r="L438" s="22"/>
      <c r="M438" s="22"/>
      <c r="N438" s="25" t="str">
        <f>HYPERLINK("http://slimages.macys.com/is/image/MCY/1499389 ")</f>
        <v xml:space="preserve">http://slimages.macys.com/is/image/MCY/1499389 </v>
      </c>
    </row>
    <row r="439" spans="1:14" ht="24.75" x14ac:dyDescent="0.25">
      <c r="A439" s="21" t="s">
        <v>16458</v>
      </c>
      <c r="B439" s="22" t="s">
        <v>16459</v>
      </c>
      <c r="C439" s="2">
        <v>1</v>
      </c>
      <c r="D439" s="23">
        <v>8.42</v>
      </c>
      <c r="E439" s="3">
        <v>8.42</v>
      </c>
      <c r="F439" s="2" t="s">
        <v>16460</v>
      </c>
      <c r="G439" s="22"/>
      <c r="H439" s="24"/>
      <c r="I439" s="22" t="s">
        <v>19309</v>
      </c>
      <c r="J439" s="22" t="s">
        <v>19602</v>
      </c>
      <c r="K439" s="22" t="s">
        <v>20041</v>
      </c>
      <c r="L439" s="22"/>
      <c r="M439" s="22"/>
      <c r="N439" s="25" t="str">
        <f>HYPERLINK("http://slimages.macys.com/is/image/MCY/21722988 ")</f>
        <v xml:space="preserve">http://slimages.macys.com/is/image/MCY/21722988 </v>
      </c>
    </row>
    <row r="440" spans="1:14" ht="24.75" x14ac:dyDescent="0.25">
      <c r="A440" s="21" t="s">
        <v>16461</v>
      </c>
      <c r="B440" s="22" t="s">
        <v>16462</v>
      </c>
      <c r="C440" s="2">
        <v>1</v>
      </c>
      <c r="D440" s="23">
        <v>8.42</v>
      </c>
      <c r="E440" s="3">
        <v>8.42</v>
      </c>
      <c r="F440" s="2" t="s">
        <v>16463</v>
      </c>
      <c r="G440" s="22"/>
      <c r="H440" s="24"/>
      <c r="I440" s="22" t="s">
        <v>19309</v>
      </c>
      <c r="J440" s="22" t="s">
        <v>19602</v>
      </c>
      <c r="K440" s="22" t="s">
        <v>20041</v>
      </c>
      <c r="L440" s="22"/>
      <c r="M440" s="22"/>
      <c r="N440" s="25" t="str">
        <f>HYPERLINK("http://slimages.macys.com/is/image/MCY/21722988 ")</f>
        <v xml:space="preserve">http://slimages.macys.com/is/image/MCY/21722988 </v>
      </c>
    </row>
    <row r="441" spans="1:14" x14ac:dyDescent="0.25">
      <c r="A441" s="21" t="s">
        <v>16464</v>
      </c>
      <c r="B441" s="22" t="s">
        <v>16465</v>
      </c>
      <c r="C441" s="2">
        <v>1</v>
      </c>
      <c r="D441" s="23">
        <v>9.99</v>
      </c>
      <c r="E441" s="3">
        <v>9.99</v>
      </c>
      <c r="F441" s="2" t="s">
        <v>16466</v>
      </c>
      <c r="G441" s="22" t="s">
        <v>19674</v>
      </c>
      <c r="H441" s="24" t="s">
        <v>20135</v>
      </c>
      <c r="I441" s="22" t="s">
        <v>19309</v>
      </c>
      <c r="J441" s="22" t="s">
        <v>19849</v>
      </c>
      <c r="K441" s="22" t="s">
        <v>19850</v>
      </c>
      <c r="L441" s="22"/>
      <c r="M441" s="22"/>
      <c r="N441" s="25" t="str">
        <f>HYPERLINK("http://slimages.macys.com/is/image/MCY/21351561 ")</f>
        <v xml:space="preserve">http://slimages.macys.com/is/image/MCY/21351561 </v>
      </c>
    </row>
    <row r="442" spans="1:14" ht="24.75" x14ac:dyDescent="0.25">
      <c r="A442" s="21" t="s">
        <v>16467</v>
      </c>
      <c r="B442" s="22" t="s">
        <v>14620</v>
      </c>
      <c r="C442" s="2">
        <v>1</v>
      </c>
      <c r="D442" s="23">
        <v>7.99</v>
      </c>
      <c r="E442" s="3">
        <v>7.99</v>
      </c>
      <c r="F442" s="2" t="s">
        <v>16892</v>
      </c>
      <c r="G442" s="22" t="s">
        <v>19814</v>
      </c>
      <c r="H442" s="24" t="s">
        <v>19542</v>
      </c>
      <c r="I442" s="22" t="s">
        <v>19309</v>
      </c>
      <c r="J442" s="22" t="s">
        <v>19815</v>
      </c>
      <c r="K442" s="22" t="s">
        <v>19816</v>
      </c>
      <c r="L442" s="22"/>
      <c r="M442" s="22"/>
      <c r="N442" s="25" t="str">
        <f>HYPERLINK("http://slimages.macys.com/is/image/MCY/1695984 ")</f>
        <v xml:space="preserve">http://slimages.macys.com/is/image/MCY/1695984 </v>
      </c>
    </row>
    <row r="443" spans="1:14" ht="24.75" x14ac:dyDescent="0.25">
      <c r="A443" s="21" t="s">
        <v>14621</v>
      </c>
      <c r="B443" s="22" t="s">
        <v>14622</v>
      </c>
      <c r="C443" s="2">
        <v>1</v>
      </c>
      <c r="D443" s="23">
        <v>7.99</v>
      </c>
      <c r="E443" s="3">
        <v>7.99</v>
      </c>
      <c r="F443" s="2" t="s">
        <v>16892</v>
      </c>
      <c r="G443" s="22" t="s">
        <v>19814</v>
      </c>
      <c r="H443" s="24" t="s">
        <v>19907</v>
      </c>
      <c r="I443" s="22" t="s">
        <v>19309</v>
      </c>
      <c r="J443" s="22" t="s">
        <v>19815</v>
      </c>
      <c r="K443" s="22" t="s">
        <v>19816</v>
      </c>
      <c r="L443" s="22"/>
      <c r="M443" s="22"/>
      <c r="N443" s="25" t="str">
        <f>HYPERLINK("http://slimages.macys.com/is/image/MCY/1695984 ")</f>
        <v xml:space="preserve">http://slimages.macys.com/is/image/MCY/1695984 </v>
      </c>
    </row>
    <row r="444" spans="1:14" x14ac:dyDescent="0.25">
      <c r="A444" s="21" t="s">
        <v>14623</v>
      </c>
      <c r="B444" s="22" t="s">
        <v>14624</v>
      </c>
      <c r="C444" s="2">
        <v>2</v>
      </c>
      <c r="D444" s="23">
        <v>9.99</v>
      </c>
      <c r="E444" s="3">
        <v>19.98</v>
      </c>
      <c r="F444" s="2" t="s">
        <v>16466</v>
      </c>
      <c r="G444" s="22" t="s">
        <v>19674</v>
      </c>
      <c r="H444" s="24" t="s">
        <v>20089</v>
      </c>
      <c r="I444" s="22" t="s">
        <v>19309</v>
      </c>
      <c r="J444" s="22" t="s">
        <v>19849</v>
      </c>
      <c r="K444" s="22" t="s">
        <v>19850</v>
      </c>
      <c r="L444" s="22"/>
      <c r="M444" s="22"/>
      <c r="N444" s="25" t="str">
        <f>HYPERLINK("http://slimages.macys.com/is/image/MCY/1521210 ")</f>
        <v xml:space="preserve">http://slimages.macys.com/is/image/MCY/1521210 </v>
      </c>
    </row>
    <row r="445" spans="1:14" x14ac:dyDescent="0.25">
      <c r="A445" s="21" t="s">
        <v>14625</v>
      </c>
      <c r="B445" s="22" t="s">
        <v>14626</v>
      </c>
      <c r="C445" s="2">
        <v>2</v>
      </c>
      <c r="D445" s="23">
        <v>9.99</v>
      </c>
      <c r="E445" s="3">
        <v>19.98</v>
      </c>
      <c r="F445" s="2" t="s">
        <v>16466</v>
      </c>
      <c r="G445" s="22" t="s">
        <v>19674</v>
      </c>
      <c r="H445" s="24" t="s">
        <v>19361</v>
      </c>
      <c r="I445" s="22" t="s">
        <v>19309</v>
      </c>
      <c r="J445" s="22" t="s">
        <v>19849</v>
      </c>
      <c r="K445" s="22" t="s">
        <v>19850</v>
      </c>
      <c r="L445" s="22"/>
      <c r="M445" s="22"/>
      <c r="N445" s="25" t="str">
        <f>HYPERLINK("http://slimages.macys.com/is/image/MCY/21351561 ")</f>
        <v xml:space="preserve">http://slimages.macys.com/is/image/MCY/21351561 </v>
      </c>
    </row>
    <row r="446" spans="1:14" x14ac:dyDescent="0.25">
      <c r="A446" s="21" t="s">
        <v>14627</v>
      </c>
      <c r="B446" s="22" t="s">
        <v>14628</v>
      </c>
      <c r="C446" s="2">
        <v>1</v>
      </c>
      <c r="D446" s="23">
        <v>9.99</v>
      </c>
      <c r="E446" s="3">
        <v>9.99</v>
      </c>
      <c r="F446" s="2" t="s">
        <v>16466</v>
      </c>
      <c r="G446" s="22" t="s">
        <v>19674</v>
      </c>
      <c r="H446" s="24" t="s">
        <v>19542</v>
      </c>
      <c r="I446" s="22" t="s">
        <v>19309</v>
      </c>
      <c r="J446" s="22" t="s">
        <v>19849</v>
      </c>
      <c r="K446" s="22" t="s">
        <v>19850</v>
      </c>
      <c r="L446" s="22"/>
      <c r="M446" s="22"/>
      <c r="N446" s="25" t="str">
        <f>HYPERLINK("http://slimages.macys.com/is/image/MCY/21351561 ")</f>
        <v xml:space="preserve">http://slimages.macys.com/is/image/MCY/21351561 </v>
      </c>
    </row>
    <row r="447" spans="1:14" x14ac:dyDescent="0.25">
      <c r="A447" s="21" t="s">
        <v>14629</v>
      </c>
      <c r="B447" s="22" t="s">
        <v>14630</v>
      </c>
      <c r="C447" s="2">
        <v>2</v>
      </c>
      <c r="D447" s="23">
        <v>9.44</v>
      </c>
      <c r="E447" s="3">
        <v>18.88</v>
      </c>
      <c r="F447" s="2" t="s">
        <v>14631</v>
      </c>
      <c r="G447" s="22" t="s">
        <v>19338</v>
      </c>
      <c r="H447" s="24" t="s">
        <v>20159</v>
      </c>
      <c r="I447" s="22" t="s">
        <v>19309</v>
      </c>
      <c r="J447" s="22" t="s">
        <v>19708</v>
      </c>
      <c r="K447" s="22" t="s">
        <v>19709</v>
      </c>
      <c r="L447" s="22"/>
      <c r="M447" s="22"/>
      <c r="N447" s="25" t="str">
        <f>HYPERLINK("http://slimages.macys.com/is/image/MCY/21726409 ")</f>
        <v xml:space="preserve">http://slimages.macys.com/is/image/MCY/21726409 </v>
      </c>
    </row>
    <row r="448" spans="1:14" x14ac:dyDescent="0.25">
      <c r="A448" s="21" t="s">
        <v>14632</v>
      </c>
      <c r="B448" s="22" t="s">
        <v>14633</v>
      </c>
      <c r="C448" s="2">
        <v>2</v>
      </c>
      <c r="D448" s="23">
        <v>9.99</v>
      </c>
      <c r="E448" s="3">
        <v>19.98</v>
      </c>
      <c r="F448" s="2" t="s">
        <v>16466</v>
      </c>
      <c r="G448" s="22" t="s">
        <v>19674</v>
      </c>
      <c r="H448" s="24" t="s">
        <v>19907</v>
      </c>
      <c r="I448" s="22" t="s">
        <v>19309</v>
      </c>
      <c r="J448" s="22" t="s">
        <v>19849</v>
      </c>
      <c r="K448" s="22" t="s">
        <v>19850</v>
      </c>
      <c r="L448" s="22"/>
      <c r="M448" s="22"/>
      <c r="N448" s="25" t="str">
        <f>HYPERLINK("http://slimages.macys.com/is/image/MCY/1521210 ")</f>
        <v xml:space="preserve">http://slimages.macys.com/is/image/MCY/1521210 </v>
      </c>
    </row>
    <row r="449" spans="1:14" ht="24.75" x14ac:dyDescent="0.25">
      <c r="A449" s="21" t="s">
        <v>14634</v>
      </c>
      <c r="B449" s="22" t="s">
        <v>14635</v>
      </c>
      <c r="C449" s="2">
        <v>1</v>
      </c>
      <c r="D449" s="23">
        <v>7.99</v>
      </c>
      <c r="E449" s="3">
        <v>7.99</v>
      </c>
      <c r="F449" s="2" t="s">
        <v>14636</v>
      </c>
      <c r="G449" s="22" t="s">
        <v>19338</v>
      </c>
      <c r="H449" s="24" t="s">
        <v>20135</v>
      </c>
      <c r="I449" s="22" t="s">
        <v>19309</v>
      </c>
      <c r="J449" s="22" t="s">
        <v>19454</v>
      </c>
      <c r="K449" s="22" t="s">
        <v>19524</v>
      </c>
      <c r="L449" s="22"/>
      <c r="M449" s="22"/>
      <c r="N449" s="25" t="str">
        <f>HYPERLINK("http://slimages.macys.com/is/image/MCY/1554557 ")</f>
        <v xml:space="preserve">http://slimages.macys.com/is/image/MCY/1554557 </v>
      </c>
    </row>
    <row r="450" spans="1:14" x14ac:dyDescent="0.25">
      <c r="A450" s="21" t="s">
        <v>18890</v>
      </c>
      <c r="B450" s="22" t="s">
        <v>18891</v>
      </c>
      <c r="C450" s="2">
        <v>1</v>
      </c>
      <c r="D450" s="23">
        <v>9.99</v>
      </c>
      <c r="E450" s="3">
        <v>9.99</v>
      </c>
      <c r="F450" s="2" t="s">
        <v>18892</v>
      </c>
      <c r="G450" s="22" t="s">
        <v>19670</v>
      </c>
      <c r="H450" s="24" t="s">
        <v>19377</v>
      </c>
      <c r="I450" s="22" t="s">
        <v>19309</v>
      </c>
      <c r="J450" s="22" t="s">
        <v>19849</v>
      </c>
      <c r="K450" s="22" t="s">
        <v>19850</v>
      </c>
      <c r="L450" s="22"/>
      <c r="M450" s="22"/>
      <c r="N450" s="25" t="str">
        <f>HYPERLINK("http://slimages.macys.com/is/image/MCY/1521210 ")</f>
        <v xml:space="preserve">http://slimages.macys.com/is/image/MCY/1521210 </v>
      </c>
    </row>
    <row r="451" spans="1:14" x14ac:dyDescent="0.25">
      <c r="A451" s="21" t="s">
        <v>14637</v>
      </c>
      <c r="B451" s="22" t="s">
        <v>14638</v>
      </c>
      <c r="C451" s="2">
        <v>1</v>
      </c>
      <c r="D451" s="23">
        <v>9.99</v>
      </c>
      <c r="E451" s="3">
        <v>9.99</v>
      </c>
      <c r="F451" s="2" t="s">
        <v>18892</v>
      </c>
      <c r="G451" s="22" t="s">
        <v>19670</v>
      </c>
      <c r="H451" s="24" t="s">
        <v>19361</v>
      </c>
      <c r="I451" s="22" t="s">
        <v>19309</v>
      </c>
      <c r="J451" s="22" t="s">
        <v>19849</v>
      </c>
      <c r="K451" s="22" t="s">
        <v>19850</v>
      </c>
      <c r="L451" s="22"/>
      <c r="M451" s="22"/>
      <c r="N451" s="25" t="str">
        <f>HYPERLINK("http://slimages.macys.com/is/image/MCY/1521210 ")</f>
        <v xml:space="preserve">http://slimages.macys.com/is/image/MCY/1521210 </v>
      </c>
    </row>
    <row r="452" spans="1:14" x14ac:dyDescent="0.25">
      <c r="A452" s="21" t="s">
        <v>14639</v>
      </c>
      <c r="B452" s="22" t="s">
        <v>14640</v>
      </c>
      <c r="C452" s="2">
        <v>1</v>
      </c>
      <c r="D452" s="23">
        <v>9.99</v>
      </c>
      <c r="E452" s="3">
        <v>9.99</v>
      </c>
      <c r="F452" s="2" t="s">
        <v>18892</v>
      </c>
      <c r="G452" s="22" t="s">
        <v>19670</v>
      </c>
      <c r="H452" s="24" t="s">
        <v>19542</v>
      </c>
      <c r="I452" s="22" t="s">
        <v>19309</v>
      </c>
      <c r="J452" s="22" t="s">
        <v>19849</v>
      </c>
      <c r="K452" s="22" t="s">
        <v>19850</v>
      </c>
      <c r="L452" s="22"/>
      <c r="M452" s="22"/>
      <c r="N452" s="25" t="str">
        <f>HYPERLINK("http://slimages.macys.com/is/image/MCY/1521210 ")</f>
        <v xml:space="preserve">http://slimages.macys.com/is/image/MCY/1521210 </v>
      </c>
    </row>
    <row r="453" spans="1:14" x14ac:dyDescent="0.25">
      <c r="A453" s="21" t="s">
        <v>16902</v>
      </c>
      <c r="B453" s="22" t="s">
        <v>16903</v>
      </c>
      <c r="C453" s="2">
        <v>1</v>
      </c>
      <c r="D453" s="23">
        <v>9.99</v>
      </c>
      <c r="E453" s="3">
        <v>9.99</v>
      </c>
      <c r="F453" s="2" t="s">
        <v>18892</v>
      </c>
      <c r="G453" s="22" t="s">
        <v>19670</v>
      </c>
      <c r="H453" s="24" t="s">
        <v>20135</v>
      </c>
      <c r="I453" s="22" t="s">
        <v>19309</v>
      </c>
      <c r="J453" s="22" t="s">
        <v>19849</v>
      </c>
      <c r="K453" s="22" t="s">
        <v>19850</v>
      </c>
      <c r="L453" s="22"/>
      <c r="M453" s="22"/>
      <c r="N453" s="25" t="str">
        <f>HYPERLINK("http://slimages.macys.com/is/image/MCY/1521210 ")</f>
        <v xml:space="preserve">http://slimages.macys.com/is/image/MCY/1521210 </v>
      </c>
    </row>
    <row r="454" spans="1:14" x14ac:dyDescent="0.25">
      <c r="A454" s="21" t="s">
        <v>14641</v>
      </c>
      <c r="B454" s="22" t="s">
        <v>14642</v>
      </c>
      <c r="C454" s="2">
        <v>1</v>
      </c>
      <c r="D454" s="23">
        <v>11.99</v>
      </c>
      <c r="E454" s="3">
        <v>11.99</v>
      </c>
      <c r="F454" s="2" t="s">
        <v>14643</v>
      </c>
      <c r="G454" s="22" t="s">
        <v>19513</v>
      </c>
      <c r="H454" s="24" t="s">
        <v>19352</v>
      </c>
      <c r="I454" s="22" t="s">
        <v>19309</v>
      </c>
      <c r="J454" s="22" t="s">
        <v>19849</v>
      </c>
      <c r="K454" s="22" t="s">
        <v>19850</v>
      </c>
      <c r="L454" s="22"/>
      <c r="M454" s="22"/>
      <c r="N454" s="25" t="str">
        <f>HYPERLINK("http://slimages.macys.com/is/image/MCY/21278245 ")</f>
        <v xml:space="preserve">http://slimages.macys.com/is/image/MCY/21278245 </v>
      </c>
    </row>
    <row r="455" spans="1:14" x14ac:dyDescent="0.25">
      <c r="A455" s="21" t="s">
        <v>14644</v>
      </c>
      <c r="B455" s="22" t="s">
        <v>14645</v>
      </c>
      <c r="C455" s="2">
        <v>2</v>
      </c>
      <c r="D455" s="23">
        <v>11.99</v>
      </c>
      <c r="E455" s="3">
        <v>23.98</v>
      </c>
      <c r="F455" s="2" t="s">
        <v>14643</v>
      </c>
      <c r="G455" s="22" t="s">
        <v>19513</v>
      </c>
      <c r="H455" s="24" t="s">
        <v>19364</v>
      </c>
      <c r="I455" s="22" t="s">
        <v>19309</v>
      </c>
      <c r="J455" s="22" t="s">
        <v>19849</v>
      </c>
      <c r="K455" s="22" t="s">
        <v>19850</v>
      </c>
      <c r="L455" s="22"/>
      <c r="M455" s="22"/>
      <c r="N455" s="25" t="str">
        <f>HYPERLINK("http://slimages.macys.com/is/image/MCY/21278245 ")</f>
        <v xml:space="preserve">http://slimages.macys.com/is/image/MCY/21278245 </v>
      </c>
    </row>
    <row r="456" spans="1:14" x14ac:dyDescent="0.25">
      <c r="A456" s="21" t="s">
        <v>14646</v>
      </c>
      <c r="B456" s="22" t="s">
        <v>14647</v>
      </c>
      <c r="C456" s="2">
        <v>1</v>
      </c>
      <c r="D456" s="23">
        <v>11.99</v>
      </c>
      <c r="E456" s="3">
        <v>11.99</v>
      </c>
      <c r="F456" s="2" t="s">
        <v>14643</v>
      </c>
      <c r="G456" s="22" t="s">
        <v>19513</v>
      </c>
      <c r="H456" s="24" t="s">
        <v>19797</v>
      </c>
      <c r="I456" s="22" t="s">
        <v>19309</v>
      </c>
      <c r="J456" s="22" t="s">
        <v>19849</v>
      </c>
      <c r="K456" s="22" t="s">
        <v>19850</v>
      </c>
      <c r="L456" s="22"/>
      <c r="M456" s="22"/>
      <c r="N456" s="25" t="str">
        <f>HYPERLINK("http://slimages.macys.com/is/image/MCY/21278245 ")</f>
        <v xml:space="preserve">http://slimages.macys.com/is/image/MCY/21278245 </v>
      </c>
    </row>
    <row r="457" spans="1:14" x14ac:dyDescent="0.25">
      <c r="A457" s="21" t="s">
        <v>14648</v>
      </c>
      <c r="B457" s="22" t="s">
        <v>14649</v>
      </c>
      <c r="C457" s="2">
        <v>1</v>
      </c>
      <c r="D457" s="23">
        <v>11.99</v>
      </c>
      <c r="E457" s="3">
        <v>11.99</v>
      </c>
      <c r="F457" s="2" t="s">
        <v>14643</v>
      </c>
      <c r="G457" s="22" t="s">
        <v>19513</v>
      </c>
      <c r="H457" s="24" t="s">
        <v>19339</v>
      </c>
      <c r="I457" s="22" t="s">
        <v>19309</v>
      </c>
      <c r="J457" s="22" t="s">
        <v>19849</v>
      </c>
      <c r="K457" s="22" t="s">
        <v>19850</v>
      </c>
      <c r="L457" s="22"/>
      <c r="M457" s="22"/>
      <c r="N457" s="25" t="str">
        <f>HYPERLINK("http://slimages.macys.com/is/image/MCY/21278245 ")</f>
        <v xml:space="preserve">http://slimages.macys.com/is/image/MCY/21278245 </v>
      </c>
    </row>
    <row r="458" spans="1:14" x14ac:dyDescent="0.25">
      <c r="A458" s="21" t="s">
        <v>18896</v>
      </c>
      <c r="B458" s="22" t="s">
        <v>18897</v>
      </c>
      <c r="C458" s="2">
        <v>4</v>
      </c>
      <c r="D458" s="23">
        <v>9.99</v>
      </c>
      <c r="E458" s="3">
        <v>39.96</v>
      </c>
      <c r="F458" s="2" t="s">
        <v>18895</v>
      </c>
      <c r="G458" s="22" t="s">
        <v>19462</v>
      </c>
      <c r="H458" s="24" t="s">
        <v>19907</v>
      </c>
      <c r="I458" s="22" t="s">
        <v>19309</v>
      </c>
      <c r="J458" s="22" t="s">
        <v>19849</v>
      </c>
      <c r="K458" s="22" t="s">
        <v>19850</v>
      </c>
      <c r="L458" s="22"/>
      <c r="M458" s="22"/>
      <c r="N458" s="25" t="str">
        <f>HYPERLINK("http://slimages.macys.com/is/image/MCY/21251249 ")</f>
        <v xml:space="preserve">http://slimages.macys.com/is/image/MCY/21251249 </v>
      </c>
    </row>
    <row r="459" spans="1:14" ht="24.75" x14ac:dyDescent="0.25">
      <c r="A459" s="21" t="s">
        <v>14650</v>
      </c>
      <c r="B459" s="22" t="s">
        <v>14651</v>
      </c>
      <c r="C459" s="2">
        <v>1</v>
      </c>
      <c r="D459" s="23">
        <v>7.99</v>
      </c>
      <c r="E459" s="3">
        <v>7.99</v>
      </c>
      <c r="F459" s="2" t="s">
        <v>14652</v>
      </c>
      <c r="G459" s="22" t="s">
        <v>19422</v>
      </c>
      <c r="H459" s="24" t="s">
        <v>20135</v>
      </c>
      <c r="I459" s="22" t="s">
        <v>19309</v>
      </c>
      <c r="J459" s="22" t="s">
        <v>19908</v>
      </c>
      <c r="K459" s="22" t="s">
        <v>19524</v>
      </c>
      <c r="L459" s="22"/>
      <c r="M459" s="22"/>
      <c r="N459" s="25" t="str">
        <f>HYPERLINK("http://slimages.macys.com/is/image/MCY/21070282 ")</f>
        <v xml:space="preserve">http://slimages.macys.com/is/image/MCY/21070282 </v>
      </c>
    </row>
    <row r="460" spans="1:14" ht="24.75" x14ac:dyDescent="0.25">
      <c r="A460" s="21" t="s">
        <v>14653</v>
      </c>
      <c r="B460" s="22" t="s">
        <v>14654</v>
      </c>
      <c r="C460" s="2">
        <v>1</v>
      </c>
      <c r="D460" s="23">
        <v>7.99</v>
      </c>
      <c r="E460" s="3">
        <v>7.99</v>
      </c>
      <c r="F460" s="2" t="s">
        <v>14655</v>
      </c>
      <c r="G460" s="22"/>
      <c r="H460" s="24" t="s">
        <v>19377</v>
      </c>
      <c r="I460" s="22" t="s">
        <v>19309</v>
      </c>
      <c r="J460" s="22" t="s">
        <v>19908</v>
      </c>
      <c r="K460" s="22" t="s">
        <v>19524</v>
      </c>
      <c r="L460" s="22"/>
      <c r="M460" s="22"/>
      <c r="N460" s="25" t="str">
        <f>HYPERLINK("http://slimages.macys.com/is/image/MCY/21569860 ")</f>
        <v xml:space="preserve">http://slimages.macys.com/is/image/MCY/21569860 </v>
      </c>
    </row>
    <row r="461" spans="1:14" ht="24.75" x14ac:dyDescent="0.25">
      <c r="A461" s="21" t="s">
        <v>18904</v>
      </c>
      <c r="B461" s="22" t="s">
        <v>18905</v>
      </c>
      <c r="C461" s="2">
        <v>1</v>
      </c>
      <c r="D461" s="23">
        <v>7.99</v>
      </c>
      <c r="E461" s="3">
        <v>7.99</v>
      </c>
      <c r="F461" s="2" t="s">
        <v>18906</v>
      </c>
      <c r="G461" s="22" t="s">
        <v>19333</v>
      </c>
      <c r="H461" s="24" t="s">
        <v>19907</v>
      </c>
      <c r="I461" s="22" t="s">
        <v>19309</v>
      </c>
      <c r="J461" s="22" t="s">
        <v>19908</v>
      </c>
      <c r="K461" s="22" t="s">
        <v>19524</v>
      </c>
      <c r="L461" s="22"/>
      <c r="M461" s="22"/>
      <c r="N461" s="25" t="str">
        <f>HYPERLINK("http://slimages.macys.com/is/image/MCY/1415038 ")</f>
        <v xml:space="preserve">http://slimages.macys.com/is/image/MCY/1415038 </v>
      </c>
    </row>
    <row r="462" spans="1:14" ht="24.75" x14ac:dyDescent="0.25">
      <c r="A462" s="21" t="s">
        <v>14656</v>
      </c>
      <c r="B462" s="22" t="s">
        <v>14657</v>
      </c>
      <c r="C462" s="2">
        <v>1</v>
      </c>
      <c r="D462" s="23">
        <v>7.99</v>
      </c>
      <c r="E462" s="3">
        <v>7.99</v>
      </c>
      <c r="F462" s="2" t="s">
        <v>14658</v>
      </c>
      <c r="G462" s="22" t="s">
        <v>19670</v>
      </c>
      <c r="H462" s="24" t="s">
        <v>19907</v>
      </c>
      <c r="I462" s="22" t="s">
        <v>19309</v>
      </c>
      <c r="J462" s="22" t="s">
        <v>19908</v>
      </c>
      <c r="K462" s="22" t="s">
        <v>19524</v>
      </c>
      <c r="L462" s="22"/>
      <c r="M462" s="22"/>
      <c r="N462" s="25" t="str">
        <f>HYPERLINK("http://slimages.macys.com/is/image/MCY/21070312 ")</f>
        <v xml:space="preserve">http://slimages.macys.com/is/image/MCY/21070312 </v>
      </c>
    </row>
    <row r="463" spans="1:14" ht="24.75" x14ac:dyDescent="0.25">
      <c r="A463" s="21" t="s">
        <v>18907</v>
      </c>
      <c r="B463" s="22" t="s">
        <v>18908</v>
      </c>
      <c r="C463" s="2">
        <v>1</v>
      </c>
      <c r="D463" s="23">
        <v>8.99</v>
      </c>
      <c r="E463" s="3">
        <v>8.99</v>
      </c>
      <c r="F463" s="2" t="s">
        <v>18909</v>
      </c>
      <c r="G463" s="22" t="s">
        <v>19518</v>
      </c>
      <c r="H463" s="24" t="s">
        <v>19364</v>
      </c>
      <c r="I463" s="22" t="s">
        <v>19309</v>
      </c>
      <c r="J463" s="22" t="s">
        <v>19815</v>
      </c>
      <c r="K463" s="22" t="s">
        <v>19816</v>
      </c>
      <c r="L463" s="22"/>
      <c r="M463" s="22"/>
      <c r="N463" s="25" t="str">
        <f>HYPERLINK("http://slimages.macys.com/is/image/MCY/20454073 ")</f>
        <v xml:space="preserve">http://slimages.macys.com/is/image/MCY/20454073 </v>
      </c>
    </row>
    <row r="464" spans="1:14" ht="24.75" x14ac:dyDescent="0.25">
      <c r="A464" s="21" t="s">
        <v>14659</v>
      </c>
      <c r="B464" s="22" t="s">
        <v>14660</v>
      </c>
      <c r="C464" s="2">
        <v>3</v>
      </c>
      <c r="D464" s="23">
        <v>7.99</v>
      </c>
      <c r="E464" s="3">
        <v>23.97</v>
      </c>
      <c r="F464" s="2" t="s">
        <v>14661</v>
      </c>
      <c r="G464" s="22" t="s">
        <v>19794</v>
      </c>
      <c r="H464" s="24" t="s">
        <v>19907</v>
      </c>
      <c r="I464" s="22" t="s">
        <v>19309</v>
      </c>
      <c r="J464" s="22" t="s">
        <v>19573</v>
      </c>
      <c r="K464" s="22" t="s">
        <v>19574</v>
      </c>
      <c r="L464" s="22"/>
      <c r="M464" s="22"/>
      <c r="N464" s="25" t="str">
        <f>HYPERLINK("http://slimages.macys.com/is/image/MCY/21209113 ")</f>
        <v xml:space="preserve">http://slimages.macys.com/is/image/MCY/21209113 </v>
      </c>
    </row>
    <row r="465" spans="1:14" ht="24.75" x14ac:dyDescent="0.25">
      <c r="A465" s="21" t="s">
        <v>18917</v>
      </c>
      <c r="B465" s="22" t="s">
        <v>18918</v>
      </c>
      <c r="C465" s="2">
        <v>4</v>
      </c>
      <c r="D465" s="23">
        <v>7.99</v>
      </c>
      <c r="E465" s="3">
        <v>31.96</v>
      </c>
      <c r="F465" s="2" t="s">
        <v>18914</v>
      </c>
      <c r="G465" s="22" t="s">
        <v>19431</v>
      </c>
      <c r="H465" s="24" t="s">
        <v>19907</v>
      </c>
      <c r="I465" s="22" t="s">
        <v>19309</v>
      </c>
      <c r="J465" s="22" t="s">
        <v>19573</v>
      </c>
      <c r="K465" s="22" t="s">
        <v>19574</v>
      </c>
      <c r="L465" s="22"/>
      <c r="M465" s="22"/>
      <c r="N465" s="25" t="str">
        <f>HYPERLINK("http://slimages.macys.com/is/image/MCY/21209393 ")</f>
        <v xml:space="preserve">http://slimages.macys.com/is/image/MCY/21209393 </v>
      </c>
    </row>
    <row r="466" spans="1:14" ht="24.75" x14ac:dyDescent="0.25">
      <c r="A466" s="21" t="s">
        <v>18915</v>
      </c>
      <c r="B466" s="22" t="s">
        <v>18916</v>
      </c>
      <c r="C466" s="2">
        <v>2</v>
      </c>
      <c r="D466" s="23">
        <v>7.99</v>
      </c>
      <c r="E466" s="3">
        <v>15.98</v>
      </c>
      <c r="F466" s="2" t="s">
        <v>18914</v>
      </c>
      <c r="G466" s="22" t="s">
        <v>19431</v>
      </c>
      <c r="H466" s="24" t="s">
        <v>20089</v>
      </c>
      <c r="I466" s="22" t="s">
        <v>19309</v>
      </c>
      <c r="J466" s="22" t="s">
        <v>19573</v>
      </c>
      <c r="K466" s="22" t="s">
        <v>19574</v>
      </c>
      <c r="L466" s="22"/>
      <c r="M466" s="22"/>
      <c r="N466" s="25" t="str">
        <f>HYPERLINK("http://slimages.macys.com/is/image/MCY/21209393 ")</f>
        <v xml:space="preserve">http://slimages.macys.com/is/image/MCY/21209393 </v>
      </c>
    </row>
    <row r="467" spans="1:14" ht="24.75" x14ac:dyDescent="0.25">
      <c r="A467" s="21" t="s">
        <v>14662</v>
      </c>
      <c r="B467" s="22" t="s">
        <v>14663</v>
      </c>
      <c r="C467" s="2">
        <v>1</v>
      </c>
      <c r="D467" s="23">
        <v>7.99</v>
      </c>
      <c r="E467" s="3">
        <v>7.99</v>
      </c>
      <c r="F467" s="2" t="s">
        <v>14664</v>
      </c>
      <c r="G467" s="22" t="s">
        <v>19585</v>
      </c>
      <c r="H467" s="24" t="s">
        <v>19542</v>
      </c>
      <c r="I467" s="22" t="s">
        <v>19309</v>
      </c>
      <c r="J467" s="22" t="s">
        <v>19908</v>
      </c>
      <c r="K467" s="22" t="s">
        <v>19524</v>
      </c>
      <c r="L467" s="22"/>
      <c r="M467" s="22"/>
      <c r="N467" s="25" t="str">
        <f>HYPERLINK("http://slimages.macys.com/is/image/MCY/21569869 ")</f>
        <v xml:space="preserve">http://slimages.macys.com/is/image/MCY/21569869 </v>
      </c>
    </row>
    <row r="468" spans="1:14" ht="24.75" x14ac:dyDescent="0.25">
      <c r="A468" s="21" t="s">
        <v>14665</v>
      </c>
      <c r="B468" s="22" t="s">
        <v>14666</v>
      </c>
      <c r="C468" s="2">
        <v>4</v>
      </c>
      <c r="D468" s="23">
        <v>7.99</v>
      </c>
      <c r="E468" s="3">
        <v>31.96</v>
      </c>
      <c r="F468" s="2" t="s">
        <v>14667</v>
      </c>
      <c r="G468" s="22" t="s">
        <v>19713</v>
      </c>
      <c r="H468" s="24" t="s">
        <v>19907</v>
      </c>
      <c r="I468" s="22" t="s">
        <v>19309</v>
      </c>
      <c r="J468" s="22" t="s">
        <v>19573</v>
      </c>
      <c r="K468" s="22" t="s">
        <v>19574</v>
      </c>
      <c r="L468" s="22"/>
      <c r="M468" s="22"/>
      <c r="N468" s="25" t="str">
        <f>HYPERLINK("http://slimages.macys.com/is/image/MCY/21730765 ")</f>
        <v xml:space="preserve">http://slimages.macys.com/is/image/MCY/21730765 </v>
      </c>
    </row>
    <row r="469" spans="1:14" ht="24.75" x14ac:dyDescent="0.25">
      <c r="A469" s="21" t="s">
        <v>14668</v>
      </c>
      <c r="B469" s="22" t="s">
        <v>14669</v>
      </c>
      <c r="C469" s="2">
        <v>1</v>
      </c>
      <c r="D469" s="23">
        <v>7.99</v>
      </c>
      <c r="E469" s="3">
        <v>7.99</v>
      </c>
      <c r="F469" s="2" t="s">
        <v>14667</v>
      </c>
      <c r="G469" s="22" t="s">
        <v>19713</v>
      </c>
      <c r="H469" s="24" t="s">
        <v>20089</v>
      </c>
      <c r="I469" s="22" t="s">
        <v>19309</v>
      </c>
      <c r="J469" s="22" t="s">
        <v>19573</v>
      </c>
      <c r="K469" s="22" t="s">
        <v>19574</v>
      </c>
      <c r="L469" s="22"/>
      <c r="M469" s="22"/>
      <c r="N469" s="25" t="str">
        <f>HYPERLINK("http://slimages.macys.com/is/image/MCY/21730765 ")</f>
        <v xml:space="preserve">http://slimages.macys.com/is/image/MCY/21730765 </v>
      </c>
    </row>
    <row r="470" spans="1:14" x14ac:dyDescent="0.25">
      <c r="A470" s="21" t="s">
        <v>14670</v>
      </c>
      <c r="B470" s="22" t="s">
        <v>14671</v>
      </c>
      <c r="C470" s="2">
        <v>2</v>
      </c>
      <c r="D470" s="23">
        <v>7.99</v>
      </c>
      <c r="E470" s="3">
        <v>15.98</v>
      </c>
      <c r="F470" s="2" t="s">
        <v>16840</v>
      </c>
      <c r="G470" s="22" t="s">
        <v>19618</v>
      </c>
      <c r="H470" s="24" t="s">
        <v>19377</v>
      </c>
      <c r="I470" s="22" t="s">
        <v>19309</v>
      </c>
      <c r="J470" s="22" t="s">
        <v>19849</v>
      </c>
      <c r="K470" s="22" t="s">
        <v>19850</v>
      </c>
      <c r="L470" s="22"/>
      <c r="M470" s="22"/>
      <c r="N470" s="25" t="str">
        <f t="shared" ref="N470:N475" si="0">HYPERLINK("http://slimages.macys.com/is/image/MCY/19068277 ")</f>
        <v xml:space="preserve">http://slimages.macys.com/is/image/MCY/19068277 </v>
      </c>
    </row>
    <row r="471" spans="1:14" x14ac:dyDescent="0.25">
      <c r="A471" s="21" t="s">
        <v>14672</v>
      </c>
      <c r="B471" s="22" t="s">
        <v>14673</v>
      </c>
      <c r="C471" s="2">
        <v>2</v>
      </c>
      <c r="D471" s="23">
        <v>7.99</v>
      </c>
      <c r="E471" s="3">
        <v>15.98</v>
      </c>
      <c r="F471" s="2" t="s">
        <v>16840</v>
      </c>
      <c r="G471" s="22" t="s">
        <v>19618</v>
      </c>
      <c r="H471" s="24" t="s">
        <v>19542</v>
      </c>
      <c r="I471" s="22" t="s">
        <v>19309</v>
      </c>
      <c r="J471" s="22" t="s">
        <v>19849</v>
      </c>
      <c r="K471" s="22" t="s">
        <v>19850</v>
      </c>
      <c r="L471" s="22"/>
      <c r="M471" s="22"/>
      <c r="N471" s="25" t="str">
        <f t="shared" si="0"/>
        <v xml:space="preserve">http://slimages.macys.com/is/image/MCY/19068277 </v>
      </c>
    </row>
    <row r="472" spans="1:14" x14ac:dyDescent="0.25">
      <c r="A472" s="21" t="s">
        <v>14674</v>
      </c>
      <c r="B472" s="22" t="s">
        <v>14675</v>
      </c>
      <c r="C472" s="2">
        <v>1</v>
      </c>
      <c r="D472" s="23">
        <v>7.99</v>
      </c>
      <c r="E472" s="3">
        <v>7.99</v>
      </c>
      <c r="F472" s="2" t="s">
        <v>16840</v>
      </c>
      <c r="G472" s="22" t="s">
        <v>19618</v>
      </c>
      <c r="H472" s="24" t="s">
        <v>20135</v>
      </c>
      <c r="I472" s="22" t="s">
        <v>19309</v>
      </c>
      <c r="J472" s="22" t="s">
        <v>19849</v>
      </c>
      <c r="K472" s="22" t="s">
        <v>19850</v>
      </c>
      <c r="L472" s="22"/>
      <c r="M472" s="22"/>
      <c r="N472" s="25" t="str">
        <f t="shared" si="0"/>
        <v xml:space="preserve">http://slimages.macys.com/is/image/MCY/19068277 </v>
      </c>
    </row>
    <row r="473" spans="1:14" x14ac:dyDescent="0.25">
      <c r="A473" s="21" t="s">
        <v>14676</v>
      </c>
      <c r="B473" s="22" t="s">
        <v>14677</v>
      </c>
      <c r="C473" s="2">
        <v>2</v>
      </c>
      <c r="D473" s="23">
        <v>18.11</v>
      </c>
      <c r="E473" s="3">
        <v>36.22</v>
      </c>
      <c r="F473" s="2" t="s">
        <v>16840</v>
      </c>
      <c r="G473" s="22" t="s">
        <v>19618</v>
      </c>
      <c r="H473" s="24" t="s">
        <v>20089</v>
      </c>
      <c r="I473" s="22" t="s">
        <v>19309</v>
      </c>
      <c r="J473" s="22" t="s">
        <v>19849</v>
      </c>
      <c r="K473" s="22" t="s">
        <v>19850</v>
      </c>
      <c r="L473" s="22"/>
      <c r="M473" s="22"/>
      <c r="N473" s="25" t="str">
        <f t="shared" si="0"/>
        <v xml:space="preserve">http://slimages.macys.com/is/image/MCY/19068277 </v>
      </c>
    </row>
    <row r="474" spans="1:14" x14ac:dyDescent="0.25">
      <c r="A474" s="21" t="s">
        <v>16971</v>
      </c>
      <c r="B474" s="22" t="s">
        <v>16972</v>
      </c>
      <c r="C474" s="2">
        <v>1</v>
      </c>
      <c r="D474" s="23">
        <v>7.99</v>
      </c>
      <c r="E474" s="3">
        <v>7.99</v>
      </c>
      <c r="F474" s="2" t="s">
        <v>16840</v>
      </c>
      <c r="G474" s="22" t="s">
        <v>19618</v>
      </c>
      <c r="H474" s="24" t="s">
        <v>19907</v>
      </c>
      <c r="I474" s="22" t="s">
        <v>19309</v>
      </c>
      <c r="J474" s="22" t="s">
        <v>19849</v>
      </c>
      <c r="K474" s="22" t="s">
        <v>19850</v>
      </c>
      <c r="L474" s="22"/>
      <c r="M474" s="22"/>
      <c r="N474" s="25" t="str">
        <f t="shared" si="0"/>
        <v xml:space="preserve">http://slimages.macys.com/is/image/MCY/19068277 </v>
      </c>
    </row>
    <row r="475" spans="1:14" x14ac:dyDescent="0.25">
      <c r="A475" s="21" t="s">
        <v>14678</v>
      </c>
      <c r="B475" s="22" t="s">
        <v>14679</v>
      </c>
      <c r="C475" s="2">
        <v>2</v>
      </c>
      <c r="D475" s="23">
        <v>7.99</v>
      </c>
      <c r="E475" s="3">
        <v>15.98</v>
      </c>
      <c r="F475" s="2" t="s">
        <v>16840</v>
      </c>
      <c r="G475" s="22" t="s">
        <v>19618</v>
      </c>
      <c r="H475" s="24" t="s">
        <v>19361</v>
      </c>
      <c r="I475" s="22" t="s">
        <v>19309</v>
      </c>
      <c r="J475" s="22" t="s">
        <v>19849</v>
      </c>
      <c r="K475" s="22" t="s">
        <v>19850</v>
      </c>
      <c r="L475" s="22"/>
      <c r="M475" s="22"/>
      <c r="N475" s="25" t="str">
        <f t="shared" si="0"/>
        <v xml:space="preserve">http://slimages.macys.com/is/image/MCY/19068277 </v>
      </c>
    </row>
    <row r="476" spans="1:14" ht="24.75" x14ac:dyDescent="0.25">
      <c r="A476" s="21" t="s">
        <v>14680</v>
      </c>
      <c r="B476" s="22" t="s">
        <v>14681</v>
      </c>
      <c r="C476" s="2">
        <v>1</v>
      </c>
      <c r="D476" s="23">
        <v>8.99</v>
      </c>
      <c r="E476" s="3">
        <v>8.99</v>
      </c>
      <c r="F476" s="2" t="s">
        <v>16978</v>
      </c>
      <c r="G476" s="22" t="s">
        <v>19618</v>
      </c>
      <c r="H476" s="24" t="s">
        <v>20232</v>
      </c>
      <c r="I476" s="22" t="s">
        <v>19309</v>
      </c>
      <c r="J476" s="22" t="s">
        <v>19573</v>
      </c>
      <c r="K476" s="22" t="s">
        <v>20228</v>
      </c>
      <c r="L476" s="22"/>
      <c r="M476" s="22"/>
      <c r="N476" s="25" t="str">
        <f>HYPERLINK("http://slimages.macys.com/is/image/MCY/18422286 ")</f>
        <v xml:space="preserve">http://slimages.macys.com/is/image/MCY/18422286 </v>
      </c>
    </row>
    <row r="477" spans="1:14" ht="24.75" x14ac:dyDescent="0.25">
      <c r="A477" s="21" t="s">
        <v>18961</v>
      </c>
      <c r="B477" s="22" t="s">
        <v>18962</v>
      </c>
      <c r="C477" s="2">
        <v>1</v>
      </c>
      <c r="D477" s="23">
        <v>7.99</v>
      </c>
      <c r="E477" s="3">
        <v>7.99</v>
      </c>
      <c r="F477" s="2" t="s">
        <v>18963</v>
      </c>
      <c r="G477" s="22" t="s">
        <v>19351</v>
      </c>
      <c r="H477" s="24" t="s">
        <v>19377</v>
      </c>
      <c r="I477" s="22" t="s">
        <v>19309</v>
      </c>
      <c r="J477" s="22" t="s">
        <v>19908</v>
      </c>
      <c r="K477" s="22" t="s">
        <v>19524</v>
      </c>
      <c r="L477" s="22"/>
      <c r="M477" s="22"/>
      <c r="N477" s="25" t="str">
        <f>HYPERLINK("http://slimages.macys.com/is/image/MCY/21727258 ")</f>
        <v xml:space="preserve">http://slimages.macys.com/is/image/MCY/21727258 </v>
      </c>
    </row>
    <row r="478" spans="1:14" ht="24.75" x14ac:dyDescent="0.25">
      <c r="A478" s="21" t="s">
        <v>14682</v>
      </c>
      <c r="B478" s="22" t="s">
        <v>14683</v>
      </c>
      <c r="C478" s="2">
        <v>1</v>
      </c>
      <c r="D478" s="23">
        <v>7.99</v>
      </c>
      <c r="E478" s="3">
        <v>7.99</v>
      </c>
      <c r="F478" s="2" t="s">
        <v>14684</v>
      </c>
      <c r="G478" s="22" t="s">
        <v>19323</v>
      </c>
      <c r="H478" s="24" t="s">
        <v>19361</v>
      </c>
      <c r="I478" s="22" t="s">
        <v>19309</v>
      </c>
      <c r="J478" s="22" t="s">
        <v>19908</v>
      </c>
      <c r="K478" s="22" t="s">
        <v>19524</v>
      </c>
      <c r="L478" s="22"/>
      <c r="M478" s="22"/>
      <c r="N478" s="25" t="str">
        <f>HYPERLINK("http://slimages.macys.com/is/image/MCY/21070264 ")</f>
        <v xml:space="preserve">http://slimages.macys.com/is/image/MCY/21070264 </v>
      </c>
    </row>
    <row r="479" spans="1:14" ht="24.75" x14ac:dyDescent="0.25">
      <c r="A479" s="21" t="s">
        <v>14685</v>
      </c>
      <c r="B479" s="22" t="s">
        <v>14686</v>
      </c>
      <c r="C479" s="2">
        <v>1</v>
      </c>
      <c r="D479" s="23">
        <v>7.99</v>
      </c>
      <c r="E479" s="3">
        <v>7.99</v>
      </c>
      <c r="F479" s="2" t="s">
        <v>18954</v>
      </c>
      <c r="G479" s="22" t="s">
        <v>19415</v>
      </c>
      <c r="H479" s="24" t="s">
        <v>20089</v>
      </c>
      <c r="I479" s="22" t="s">
        <v>19309</v>
      </c>
      <c r="J479" s="22" t="s">
        <v>19908</v>
      </c>
      <c r="K479" s="22" t="s">
        <v>19524</v>
      </c>
      <c r="L479" s="22"/>
      <c r="M479" s="22"/>
      <c r="N479" s="25" t="str">
        <f>HYPERLINK("http://slimages.macys.com/is/image/MCY/21070261 ")</f>
        <v xml:space="preserve">http://slimages.macys.com/is/image/MCY/21070261 </v>
      </c>
    </row>
    <row r="480" spans="1:14" ht="24.75" x14ac:dyDescent="0.25">
      <c r="A480" s="21" t="s">
        <v>14687</v>
      </c>
      <c r="B480" s="22" t="s">
        <v>14688</v>
      </c>
      <c r="C480" s="2">
        <v>1</v>
      </c>
      <c r="D480" s="23">
        <v>7.99</v>
      </c>
      <c r="E480" s="3">
        <v>7.99</v>
      </c>
      <c r="F480" s="2" t="s">
        <v>17030</v>
      </c>
      <c r="G480" s="22" t="s">
        <v>19618</v>
      </c>
      <c r="H480" s="24" t="s">
        <v>20089</v>
      </c>
      <c r="I480" s="22" t="s">
        <v>19309</v>
      </c>
      <c r="J480" s="22" t="s">
        <v>19573</v>
      </c>
      <c r="K480" s="22" t="s">
        <v>19574</v>
      </c>
      <c r="L480" s="22"/>
      <c r="M480" s="22"/>
      <c r="N480" s="25" t="str">
        <f>HYPERLINK("http://slimages.macys.com/is/image/MCY/21089248 ")</f>
        <v xml:space="preserve">http://slimages.macys.com/is/image/MCY/21089248 </v>
      </c>
    </row>
    <row r="481" spans="1:14" ht="24.75" x14ac:dyDescent="0.25">
      <c r="A481" s="21" t="s">
        <v>14689</v>
      </c>
      <c r="B481" s="22" t="s">
        <v>14690</v>
      </c>
      <c r="C481" s="2">
        <v>1</v>
      </c>
      <c r="D481" s="23">
        <v>7.99</v>
      </c>
      <c r="E481" s="3">
        <v>7.99</v>
      </c>
      <c r="F481" s="2" t="s">
        <v>14691</v>
      </c>
      <c r="G481" s="22" t="s">
        <v>19315</v>
      </c>
      <c r="H481" s="24" t="s">
        <v>19339</v>
      </c>
      <c r="I481" s="22" t="s">
        <v>19309</v>
      </c>
      <c r="J481" s="22" t="s">
        <v>19353</v>
      </c>
      <c r="K481" s="22" t="s">
        <v>19524</v>
      </c>
      <c r="L481" s="22"/>
      <c r="M481" s="22"/>
      <c r="N481" s="25" t="str">
        <f>HYPERLINK("http://slimages.macys.com/is/image/MCY/18235710 ")</f>
        <v xml:space="preserve">http://slimages.macys.com/is/image/MCY/18235710 </v>
      </c>
    </row>
    <row r="482" spans="1:14" ht="24.75" x14ac:dyDescent="0.25">
      <c r="A482" s="21" t="s">
        <v>14692</v>
      </c>
      <c r="B482" s="22" t="s">
        <v>14693</v>
      </c>
      <c r="C482" s="2">
        <v>2</v>
      </c>
      <c r="D482" s="23">
        <v>7.99</v>
      </c>
      <c r="E482" s="3">
        <v>15.98</v>
      </c>
      <c r="F482" s="2" t="s">
        <v>14694</v>
      </c>
      <c r="G482" s="22" t="s">
        <v>19518</v>
      </c>
      <c r="H482" s="24" t="s">
        <v>20089</v>
      </c>
      <c r="I482" s="22" t="s">
        <v>19309</v>
      </c>
      <c r="J482" s="22" t="s">
        <v>19573</v>
      </c>
      <c r="K482" s="22" t="s">
        <v>19574</v>
      </c>
      <c r="L482" s="22"/>
      <c r="M482" s="22"/>
      <c r="N482" s="25" t="str">
        <f>HYPERLINK("http://slimages.macys.com/is/image/MCY/21730586 ")</f>
        <v xml:space="preserve">http://slimages.macys.com/is/image/MCY/21730586 </v>
      </c>
    </row>
    <row r="483" spans="1:14" ht="24.75" x14ac:dyDescent="0.25">
      <c r="A483" s="21" t="s">
        <v>14695</v>
      </c>
      <c r="B483" s="22" t="s">
        <v>14696</v>
      </c>
      <c r="C483" s="2">
        <v>2</v>
      </c>
      <c r="D483" s="23">
        <v>7.99</v>
      </c>
      <c r="E483" s="3">
        <v>15.98</v>
      </c>
      <c r="F483" s="2" t="s">
        <v>14694</v>
      </c>
      <c r="G483" s="22" t="s">
        <v>19518</v>
      </c>
      <c r="H483" s="24" t="s">
        <v>19907</v>
      </c>
      <c r="I483" s="22" t="s">
        <v>19309</v>
      </c>
      <c r="J483" s="22" t="s">
        <v>19573</v>
      </c>
      <c r="K483" s="22" t="s">
        <v>19574</v>
      </c>
      <c r="L483" s="22"/>
      <c r="M483" s="22"/>
      <c r="N483" s="25" t="str">
        <f>HYPERLINK("http://slimages.macys.com/is/image/MCY/21730586 ")</f>
        <v xml:space="preserve">http://slimages.macys.com/is/image/MCY/21730586 </v>
      </c>
    </row>
    <row r="484" spans="1:14" ht="24.75" x14ac:dyDescent="0.25">
      <c r="A484" s="21" t="s">
        <v>14697</v>
      </c>
      <c r="B484" s="22" t="s">
        <v>14698</v>
      </c>
      <c r="C484" s="2">
        <v>1</v>
      </c>
      <c r="D484" s="23">
        <v>7.41</v>
      </c>
      <c r="E484" s="3">
        <v>7.41</v>
      </c>
      <c r="F484" s="2" t="s">
        <v>14699</v>
      </c>
      <c r="G484" s="22"/>
      <c r="H484" s="24" t="s">
        <v>19392</v>
      </c>
      <c r="I484" s="22" t="s">
        <v>19309</v>
      </c>
      <c r="J484" s="22" t="s">
        <v>19602</v>
      </c>
      <c r="K484" s="22" t="s">
        <v>20041</v>
      </c>
      <c r="L484" s="22"/>
      <c r="M484" s="22"/>
      <c r="N484" s="25" t="str">
        <f>HYPERLINK("http://slimages.macys.com/is/image/MCY/21669829 ")</f>
        <v xml:space="preserve">http://slimages.macys.com/is/image/MCY/21669829 </v>
      </c>
    </row>
    <row r="485" spans="1:14" ht="24.75" x14ac:dyDescent="0.25">
      <c r="A485" s="21" t="s">
        <v>14700</v>
      </c>
      <c r="B485" s="22" t="s">
        <v>14701</v>
      </c>
      <c r="C485" s="2">
        <v>1</v>
      </c>
      <c r="D485" s="23">
        <v>8.99</v>
      </c>
      <c r="E485" s="3">
        <v>8.99</v>
      </c>
      <c r="F485" s="2" t="s">
        <v>18978</v>
      </c>
      <c r="G485" s="22" t="s">
        <v>19467</v>
      </c>
      <c r="H485" s="24" t="s">
        <v>19324</v>
      </c>
      <c r="I485" s="22" t="s">
        <v>19309</v>
      </c>
      <c r="J485" s="22" t="s">
        <v>19573</v>
      </c>
      <c r="K485" s="22" t="s">
        <v>19574</v>
      </c>
      <c r="L485" s="22"/>
      <c r="M485" s="22"/>
      <c r="N485" s="25" t="str">
        <f>HYPERLINK("http://slimages.macys.com/is/image/MCY/1537013 ")</f>
        <v xml:space="preserve">http://slimages.macys.com/is/image/MCY/1537013 </v>
      </c>
    </row>
    <row r="486" spans="1:14" x14ac:dyDescent="0.25">
      <c r="A486" s="21" t="s">
        <v>14702</v>
      </c>
      <c r="B486" s="22" t="s">
        <v>14703</v>
      </c>
      <c r="C486" s="2">
        <v>1</v>
      </c>
      <c r="D486" s="23">
        <v>8.3000000000000007</v>
      </c>
      <c r="E486" s="3">
        <v>8.3000000000000007</v>
      </c>
      <c r="F486" s="2" t="s">
        <v>14704</v>
      </c>
      <c r="G486" s="22" t="s">
        <v>19357</v>
      </c>
      <c r="H486" s="24" t="s">
        <v>20159</v>
      </c>
      <c r="I486" s="22" t="s">
        <v>19309</v>
      </c>
      <c r="J486" s="22" t="s">
        <v>19708</v>
      </c>
      <c r="K486" s="22" t="s">
        <v>19709</v>
      </c>
      <c r="L486" s="22"/>
      <c r="M486" s="22"/>
      <c r="N486" s="25" t="str">
        <f>HYPERLINK("http://slimages.macys.com/is/image/MCY/21413952 ")</f>
        <v xml:space="preserve">http://slimages.macys.com/is/image/MCY/21413952 </v>
      </c>
    </row>
    <row r="487" spans="1:14" x14ac:dyDescent="0.25">
      <c r="A487" s="21" t="s">
        <v>14705</v>
      </c>
      <c r="B487" s="22" t="s">
        <v>14706</v>
      </c>
      <c r="C487" s="2">
        <v>1</v>
      </c>
      <c r="D487" s="23">
        <v>8.3000000000000007</v>
      </c>
      <c r="E487" s="3">
        <v>8.3000000000000007</v>
      </c>
      <c r="F487" s="2" t="s">
        <v>14707</v>
      </c>
      <c r="G487" s="22" t="s">
        <v>19323</v>
      </c>
      <c r="H487" s="24" t="s">
        <v>19770</v>
      </c>
      <c r="I487" s="22" t="s">
        <v>19309</v>
      </c>
      <c r="J487" s="22" t="s">
        <v>19708</v>
      </c>
      <c r="K487" s="22" t="s">
        <v>19709</v>
      </c>
      <c r="L487" s="22"/>
      <c r="M487" s="22"/>
      <c r="N487" s="25" t="str">
        <f>HYPERLINK("http://slimages.macys.com/is/image/MCY/21726415 ")</f>
        <v xml:space="preserve">http://slimages.macys.com/is/image/MCY/21726415 </v>
      </c>
    </row>
    <row r="488" spans="1:14" ht="24.75" x14ac:dyDescent="0.25">
      <c r="A488" s="21" t="s">
        <v>14708</v>
      </c>
      <c r="B488" s="22" t="s">
        <v>14709</v>
      </c>
      <c r="C488" s="2">
        <v>1</v>
      </c>
      <c r="D488" s="23">
        <v>5.99</v>
      </c>
      <c r="E488" s="3">
        <v>5.99</v>
      </c>
      <c r="F488" s="2" t="s">
        <v>19000</v>
      </c>
      <c r="G488" s="22" t="s">
        <v>18439</v>
      </c>
      <c r="H488" s="24" t="s">
        <v>19330</v>
      </c>
      <c r="I488" s="22" t="s">
        <v>19309</v>
      </c>
      <c r="J488" s="22" t="s">
        <v>19573</v>
      </c>
      <c r="K488" s="22" t="s">
        <v>19574</v>
      </c>
      <c r="L488" s="22"/>
      <c r="M488" s="22"/>
      <c r="N488" s="25" t="str">
        <f>HYPERLINK("http://slimages.macys.com/is/image/MCY/21515593 ")</f>
        <v xml:space="preserve">http://slimages.macys.com/is/image/MCY/21515593 </v>
      </c>
    </row>
    <row r="489" spans="1:14" ht="24.75" x14ac:dyDescent="0.25">
      <c r="A489" s="21" t="s">
        <v>18998</v>
      </c>
      <c r="B489" s="22" t="s">
        <v>18999</v>
      </c>
      <c r="C489" s="2">
        <v>1</v>
      </c>
      <c r="D489" s="23">
        <v>5.99</v>
      </c>
      <c r="E489" s="3">
        <v>5.99</v>
      </c>
      <c r="F489" s="2" t="s">
        <v>19000</v>
      </c>
      <c r="G489" s="22" t="s">
        <v>18439</v>
      </c>
      <c r="H489" s="24" t="s">
        <v>19538</v>
      </c>
      <c r="I489" s="22" t="s">
        <v>19309</v>
      </c>
      <c r="J489" s="22" t="s">
        <v>19573</v>
      </c>
      <c r="K489" s="22" t="s">
        <v>19574</v>
      </c>
      <c r="L489" s="22"/>
      <c r="M489" s="22"/>
      <c r="N489" s="25" t="str">
        <f>HYPERLINK("http://slimages.macys.com/is/image/MCY/21515593 ")</f>
        <v xml:space="preserve">http://slimages.macys.com/is/image/MCY/21515593 </v>
      </c>
    </row>
    <row r="490" spans="1:14" ht="24.75" x14ac:dyDescent="0.25">
      <c r="A490" s="21" t="s">
        <v>14710</v>
      </c>
      <c r="B490" s="22" t="s">
        <v>14711</v>
      </c>
      <c r="C490" s="2">
        <v>1</v>
      </c>
      <c r="D490" s="23">
        <v>7.99</v>
      </c>
      <c r="E490" s="3">
        <v>7.99</v>
      </c>
      <c r="F490" s="2" t="s">
        <v>14712</v>
      </c>
      <c r="G490" s="22" t="s">
        <v>19467</v>
      </c>
      <c r="H490" s="24" t="s">
        <v>19907</v>
      </c>
      <c r="I490" s="22" t="s">
        <v>19309</v>
      </c>
      <c r="J490" s="22" t="s">
        <v>19573</v>
      </c>
      <c r="K490" s="22" t="s">
        <v>19574</v>
      </c>
      <c r="L490" s="22"/>
      <c r="M490" s="22"/>
      <c r="N490" s="25" t="str">
        <f>HYPERLINK("http://slimages.macys.com/is/image/MCY/22290702 ")</f>
        <v xml:space="preserve">http://slimages.macys.com/is/image/MCY/22290702 </v>
      </c>
    </row>
    <row r="491" spans="1:14" ht="24.75" x14ac:dyDescent="0.25">
      <c r="A491" s="21" t="s">
        <v>14713</v>
      </c>
      <c r="B491" s="22" t="s">
        <v>14714</v>
      </c>
      <c r="C491" s="2">
        <v>1</v>
      </c>
      <c r="D491" s="23">
        <v>7.99</v>
      </c>
      <c r="E491" s="3">
        <v>7.99</v>
      </c>
      <c r="F491" s="2" t="s">
        <v>14712</v>
      </c>
      <c r="G491" s="22" t="s">
        <v>19467</v>
      </c>
      <c r="H491" s="24" t="s">
        <v>20135</v>
      </c>
      <c r="I491" s="22" t="s">
        <v>19309</v>
      </c>
      <c r="J491" s="22" t="s">
        <v>19573</v>
      </c>
      <c r="K491" s="22" t="s">
        <v>19574</v>
      </c>
      <c r="L491" s="22"/>
      <c r="M491" s="22"/>
      <c r="N491" s="25" t="str">
        <f>HYPERLINK("http://slimages.macys.com/is/image/MCY/22290702 ")</f>
        <v xml:space="preserve">http://slimages.macys.com/is/image/MCY/22290702 </v>
      </c>
    </row>
    <row r="492" spans="1:14" ht="24.75" x14ac:dyDescent="0.25">
      <c r="A492" s="21" t="s">
        <v>14715</v>
      </c>
      <c r="B492" s="22" t="s">
        <v>14716</v>
      </c>
      <c r="C492" s="2">
        <v>1</v>
      </c>
      <c r="D492" s="23">
        <v>7.99</v>
      </c>
      <c r="E492" s="3">
        <v>7.99</v>
      </c>
      <c r="F492" s="2" t="s">
        <v>14717</v>
      </c>
      <c r="G492" s="22" t="s">
        <v>19618</v>
      </c>
      <c r="H492" s="24" t="s">
        <v>19907</v>
      </c>
      <c r="I492" s="22" t="s">
        <v>19309</v>
      </c>
      <c r="J492" s="22" t="s">
        <v>19573</v>
      </c>
      <c r="K492" s="22" t="s">
        <v>19574</v>
      </c>
      <c r="L492" s="22"/>
      <c r="M492" s="22"/>
      <c r="N492" s="25" t="str">
        <f>HYPERLINK("http://slimages.macys.com/is/image/MCY/21089251 ")</f>
        <v xml:space="preserve">http://slimages.macys.com/is/image/MCY/21089251 </v>
      </c>
    </row>
    <row r="493" spans="1:14" ht="24.75" x14ac:dyDescent="0.25">
      <c r="A493" s="21" t="s">
        <v>14718</v>
      </c>
      <c r="B493" s="22" t="s">
        <v>14719</v>
      </c>
      <c r="C493" s="2">
        <v>1</v>
      </c>
      <c r="D493" s="23">
        <v>7.99</v>
      </c>
      <c r="E493" s="3">
        <v>7.99</v>
      </c>
      <c r="F493" s="2" t="s">
        <v>14720</v>
      </c>
      <c r="G493" s="22" t="s">
        <v>19670</v>
      </c>
      <c r="H493" s="24" t="s">
        <v>19907</v>
      </c>
      <c r="I493" s="22" t="s">
        <v>19309</v>
      </c>
      <c r="J493" s="22" t="s">
        <v>19573</v>
      </c>
      <c r="K493" s="22" t="s">
        <v>19574</v>
      </c>
      <c r="L493" s="22"/>
      <c r="M493" s="22"/>
      <c r="N493" s="25" t="str">
        <f>HYPERLINK("http://slimages.macys.com/is/image/MCY/21209245 ")</f>
        <v xml:space="preserve">http://slimages.macys.com/is/image/MCY/21209245 </v>
      </c>
    </row>
    <row r="494" spans="1:14" ht="24.75" x14ac:dyDescent="0.25">
      <c r="A494" s="21" t="s">
        <v>14721</v>
      </c>
      <c r="B494" s="22" t="s">
        <v>14722</v>
      </c>
      <c r="C494" s="2">
        <v>1</v>
      </c>
      <c r="D494" s="23">
        <v>5.99</v>
      </c>
      <c r="E494" s="3">
        <v>5.99</v>
      </c>
      <c r="F494" s="2" t="s">
        <v>19020</v>
      </c>
      <c r="G494" s="22" t="s">
        <v>19618</v>
      </c>
      <c r="H494" s="24" t="s">
        <v>19384</v>
      </c>
      <c r="I494" s="22" t="s">
        <v>19309</v>
      </c>
      <c r="J494" s="22" t="s">
        <v>19573</v>
      </c>
      <c r="K494" s="22" t="s">
        <v>19574</v>
      </c>
      <c r="L494" s="22"/>
      <c r="M494" s="22"/>
      <c r="N494" s="25" t="str">
        <f>HYPERLINK("http://slimages.macys.com/is/image/MCY/1554928 ")</f>
        <v xml:space="preserve">http://slimages.macys.com/is/image/MCY/1554928 </v>
      </c>
    </row>
    <row r="495" spans="1:14" ht="24.75" x14ac:dyDescent="0.25">
      <c r="A495" s="21" t="s">
        <v>14723</v>
      </c>
      <c r="B495" s="22" t="s">
        <v>14724</v>
      </c>
      <c r="C495" s="2">
        <v>1</v>
      </c>
      <c r="D495" s="23">
        <v>6.99</v>
      </c>
      <c r="E495" s="3">
        <v>6.99</v>
      </c>
      <c r="F495" s="2" t="s">
        <v>17065</v>
      </c>
      <c r="G495" s="22" t="s">
        <v>19518</v>
      </c>
      <c r="H495" s="24" t="s">
        <v>19538</v>
      </c>
      <c r="I495" s="22" t="s">
        <v>19309</v>
      </c>
      <c r="J495" s="22" t="s">
        <v>19573</v>
      </c>
      <c r="K495" s="22" t="s">
        <v>19574</v>
      </c>
      <c r="L495" s="22"/>
      <c r="M495" s="22"/>
      <c r="N495" s="25" t="str">
        <f>HYPERLINK("http://slimages.macys.com/is/image/MCY/17565510 ")</f>
        <v xml:space="preserve">http://slimages.macys.com/is/image/MCY/17565510 </v>
      </c>
    </row>
    <row r="496" spans="1:14" ht="24.75" x14ac:dyDescent="0.25">
      <c r="A496" s="21" t="s">
        <v>14725</v>
      </c>
      <c r="B496" s="22" t="s">
        <v>14726</v>
      </c>
      <c r="C496" s="2">
        <v>1</v>
      </c>
      <c r="D496" s="23">
        <v>7.99</v>
      </c>
      <c r="E496" s="3">
        <v>7.99</v>
      </c>
      <c r="F496" s="2" t="s">
        <v>14727</v>
      </c>
      <c r="G496" s="22" t="s">
        <v>19674</v>
      </c>
      <c r="H496" s="24" t="s">
        <v>20135</v>
      </c>
      <c r="I496" s="22" t="s">
        <v>19309</v>
      </c>
      <c r="J496" s="22" t="s">
        <v>19573</v>
      </c>
      <c r="K496" s="22" t="s">
        <v>19574</v>
      </c>
      <c r="L496" s="22"/>
      <c r="M496" s="22"/>
      <c r="N496" s="25" t="str">
        <f>HYPERLINK("http://slimages.macys.com/is/image/MCY/19520887 ")</f>
        <v xml:space="preserve">http://slimages.macys.com/is/image/MCY/19520887 </v>
      </c>
    </row>
    <row r="497" spans="1:14" ht="24.75" x14ac:dyDescent="0.25">
      <c r="A497" s="21" t="s">
        <v>14728</v>
      </c>
      <c r="B497" s="22" t="s">
        <v>14729</v>
      </c>
      <c r="C497" s="2">
        <v>1</v>
      </c>
      <c r="D497" s="23">
        <v>7.99</v>
      </c>
      <c r="E497" s="3">
        <v>7.99</v>
      </c>
      <c r="F497" s="2">
        <v>10015096500</v>
      </c>
      <c r="G497" s="22" t="s">
        <v>19713</v>
      </c>
      <c r="H497" s="24" t="s">
        <v>19324</v>
      </c>
      <c r="I497" s="22" t="s">
        <v>19309</v>
      </c>
      <c r="J497" s="22" t="s">
        <v>19573</v>
      </c>
      <c r="K497" s="22" t="s">
        <v>19574</v>
      </c>
      <c r="L497" s="22"/>
      <c r="M497" s="22"/>
      <c r="N497" s="25" t="str">
        <f>HYPERLINK("http://slimages.macys.com/is/image/MCY/1439034 ")</f>
        <v xml:space="preserve">http://slimages.macys.com/is/image/MCY/1439034 </v>
      </c>
    </row>
    <row r="498" spans="1:14" ht="24.75" x14ac:dyDescent="0.25">
      <c r="A498" s="21" t="s">
        <v>14730</v>
      </c>
      <c r="B498" s="22" t="s">
        <v>14731</v>
      </c>
      <c r="C498" s="2">
        <v>1</v>
      </c>
      <c r="D498" s="23">
        <v>7.99</v>
      </c>
      <c r="E498" s="3">
        <v>7.99</v>
      </c>
      <c r="F498" s="2">
        <v>10015096500</v>
      </c>
      <c r="G498" s="22" t="s">
        <v>19713</v>
      </c>
      <c r="H498" s="24"/>
      <c r="I498" s="22" t="s">
        <v>19309</v>
      </c>
      <c r="J498" s="22" t="s">
        <v>19573</v>
      </c>
      <c r="K498" s="22" t="s">
        <v>19574</v>
      </c>
      <c r="L498" s="22"/>
      <c r="M498" s="22"/>
      <c r="N498" s="25" t="str">
        <f>HYPERLINK("http://slimages.macys.com/is/image/MCY/1439034 ")</f>
        <v xml:space="preserve">http://slimages.macys.com/is/image/MCY/1439034 </v>
      </c>
    </row>
    <row r="499" spans="1:14" ht="24.75" x14ac:dyDescent="0.25">
      <c r="A499" s="21" t="s">
        <v>14732</v>
      </c>
      <c r="B499" s="22" t="s">
        <v>14733</v>
      </c>
      <c r="C499" s="2">
        <v>1</v>
      </c>
      <c r="D499" s="23">
        <v>7.99</v>
      </c>
      <c r="E499" s="3">
        <v>7.99</v>
      </c>
      <c r="F499" s="2">
        <v>10015096500</v>
      </c>
      <c r="G499" s="22" t="s">
        <v>19713</v>
      </c>
      <c r="H499" s="24" t="s">
        <v>19538</v>
      </c>
      <c r="I499" s="22" t="s">
        <v>19309</v>
      </c>
      <c r="J499" s="22" t="s">
        <v>19573</v>
      </c>
      <c r="K499" s="22" t="s">
        <v>19574</v>
      </c>
      <c r="L499" s="22"/>
      <c r="M499" s="22"/>
      <c r="N499" s="25" t="str">
        <f>HYPERLINK("http://slimages.macys.com/is/image/MCY/1439034 ")</f>
        <v xml:space="preserve">http://slimages.macys.com/is/image/MCY/1439034 </v>
      </c>
    </row>
    <row r="500" spans="1:14" ht="24.75" x14ac:dyDescent="0.25">
      <c r="A500" s="21" t="s">
        <v>14734</v>
      </c>
      <c r="B500" s="22" t="s">
        <v>14735</v>
      </c>
      <c r="C500" s="2">
        <v>3</v>
      </c>
      <c r="D500" s="23">
        <v>7.99</v>
      </c>
      <c r="E500" s="3">
        <v>23.97</v>
      </c>
      <c r="F500" s="2" t="s">
        <v>19040</v>
      </c>
      <c r="G500" s="22" t="s">
        <v>19906</v>
      </c>
      <c r="H500" s="24" t="s">
        <v>20089</v>
      </c>
      <c r="I500" s="22" t="s">
        <v>19309</v>
      </c>
      <c r="J500" s="22" t="s">
        <v>19573</v>
      </c>
      <c r="K500" s="22" t="s">
        <v>19574</v>
      </c>
      <c r="L500" s="22"/>
      <c r="M500" s="22"/>
      <c r="N500" s="25" t="str">
        <f>HYPERLINK("http://slimages.macys.com/is/image/MCY/21209467 ")</f>
        <v xml:space="preserve">http://slimages.macys.com/is/image/MCY/21209467 </v>
      </c>
    </row>
    <row r="501" spans="1:14" ht="24.75" x14ac:dyDescent="0.25">
      <c r="A501" s="21" t="s">
        <v>14736</v>
      </c>
      <c r="B501" s="22" t="s">
        <v>14737</v>
      </c>
      <c r="C501" s="2">
        <v>1</v>
      </c>
      <c r="D501" s="23">
        <v>5.99</v>
      </c>
      <c r="E501" s="3">
        <v>5.99</v>
      </c>
      <c r="F501" s="2" t="s">
        <v>17080</v>
      </c>
      <c r="G501" s="22" t="s">
        <v>19467</v>
      </c>
      <c r="H501" s="24" t="s">
        <v>19384</v>
      </c>
      <c r="I501" s="22" t="s">
        <v>19309</v>
      </c>
      <c r="J501" s="22" t="s">
        <v>19573</v>
      </c>
      <c r="K501" s="22" t="s">
        <v>19574</v>
      </c>
      <c r="L501" s="22"/>
      <c r="M501" s="22"/>
      <c r="N501" s="25" t="str">
        <f>HYPERLINK("http://slimages.macys.com/is/image/MCY/21209062 ")</f>
        <v xml:space="preserve">http://slimages.macys.com/is/image/MCY/21209062 </v>
      </c>
    </row>
    <row r="502" spans="1:14" ht="24.75" x14ac:dyDescent="0.25">
      <c r="A502" s="21" t="s">
        <v>19038</v>
      </c>
      <c r="B502" s="22" t="s">
        <v>19039</v>
      </c>
      <c r="C502" s="2">
        <v>6</v>
      </c>
      <c r="D502" s="23">
        <v>7.99</v>
      </c>
      <c r="E502" s="3">
        <v>47.94</v>
      </c>
      <c r="F502" s="2" t="s">
        <v>19040</v>
      </c>
      <c r="G502" s="22" t="s">
        <v>19906</v>
      </c>
      <c r="H502" s="24" t="s">
        <v>19907</v>
      </c>
      <c r="I502" s="22" t="s">
        <v>19309</v>
      </c>
      <c r="J502" s="22" t="s">
        <v>19573</v>
      </c>
      <c r="K502" s="22" t="s">
        <v>19574</v>
      </c>
      <c r="L502" s="22"/>
      <c r="M502" s="22"/>
      <c r="N502" s="25" t="str">
        <f>HYPERLINK("http://slimages.macys.com/is/image/MCY/21209467 ")</f>
        <v xml:space="preserve">http://slimages.macys.com/is/image/MCY/21209467 </v>
      </c>
    </row>
    <row r="503" spans="1:14" ht="24.75" x14ac:dyDescent="0.25">
      <c r="A503" s="21" t="s">
        <v>14738</v>
      </c>
      <c r="B503" s="22" t="s">
        <v>14739</v>
      </c>
      <c r="C503" s="2">
        <v>1</v>
      </c>
      <c r="D503" s="23">
        <v>5.99</v>
      </c>
      <c r="E503" s="3">
        <v>5.99</v>
      </c>
      <c r="F503" s="2" t="s">
        <v>17080</v>
      </c>
      <c r="G503" s="22" t="s">
        <v>19467</v>
      </c>
      <c r="H503" s="24" t="s">
        <v>19538</v>
      </c>
      <c r="I503" s="22" t="s">
        <v>19309</v>
      </c>
      <c r="J503" s="22" t="s">
        <v>19573</v>
      </c>
      <c r="K503" s="22" t="s">
        <v>19574</v>
      </c>
      <c r="L503" s="22"/>
      <c r="M503" s="22"/>
      <c r="N503" s="25" t="str">
        <f>HYPERLINK("http://slimages.macys.com/is/image/MCY/21209062 ")</f>
        <v xml:space="preserve">http://slimages.macys.com/is/image/MCY/21209062 </v>
      </c>
    </row>
    <row r="504" spans="1:14" ht="24.75" x14ac:dyDescent="0.25">
      <c r="A504" s="21" t="s">
        <v>19044</v>
      </c>
      <c r="B504" s="22" t="s">
        <v>19045</v>
      </c>
      <c r="C504" s="2">
        <v>1</v>
      </c>
      <c r="D504" s="23">
        <v>5.99</v>
      </c>
      <c r="E504" s="3">
        <v>5.99</v>
      </c>
      <c r="F504" s="2" t="s">
        <v>19043</v>
      </c>
      <c r="G504" s="22" t="s">
        <v>19415</v>
      </c>
      <c r="H504" s="24" t="s">
        <v>19384</v>
      </c>
      <c r="I504" s="22" t="s">
        <v>19309</v>
      </c>
      <c r="J504" s="22" t="s">
        <v>19573</v>
      </c>
      <c r="K504" s="22" t="s">
        <v>19574</v>
      </c>
      <c r="L504" s="22"/>
      <c r="M504" s="22"/>
      <c r="N504" s="25" t="str">
        <f>HYPERLINK("http://slimages.macys.com/is/image/MCY/21209612 ")</f>
        <v xml:space="preserve">http://slimages.macys.com/is/image/MCY/21209612 </v>
      </c>
    </row>
    <row r="505" spans="1:14" ht="24.75" x14ac:dyDescent="0.25">
      <c r="A505" s="21" t="s">
        <v>14740</v>
      </c>
      <c r="B505" s="22" t="s">
        <v>14741</v>
      </c>
      <c r="C505" s="2">
        <v>3</v>
      </c>
      <c r="D505" s="23">
        <v>7.99</v>
      </c>
      <c r="E505" s="3">
        <v>23.97</v>
      </c>
      <c r="F505" s="2" t="s">
        <v>19040</v>
      </c>
      <c r="G505" s="22" t="s">
        <v>19906</v>
      </c>
      <c r="H505" s="24" t="s">
        <v>20135</v>
      </c>
      <c r="I505" s="22" t="s">
        <v>19309</v>
      </c>
      <c r="J505" s="22" t="s">
        <v>19573</v>
      </c>
      <c r="K505" s="22" t="s">
        <v>19574</v>
      </c>
      <c r="L505" s="22"/>
      <c r="M505" s="22"/>
      <c r="N505" s="25" t="str">
        <f>HYPERLINK("http://slimages.macys.com/is/image/MCY/21209467 ")</f>
        <v xml:space="preserve">http://slimages.macys.com/is/image/MCY/21209467 </v>
      </c>
    </row>
    <row r="506" spans="1:14" ht="24.75" x14ac:dyDescent="0.25">
      <c r="A506" s="21" t="s">
        <v>14742</v>
      </c>
      <c r="B506" s="22" t="s">
        <v>14743</v>
      </c>
      <c r="C506" s="2">
        <v>1</v>
      </c>
      <c r="D506" s="23">
        <v>5.99</v>
      </c>
      <c r="E506" s="3">
        <v>5.99</v>
      </c>
      <c r="F506" s="2" t="s">
        <v>19048</v>
      </c>
      <c r="G506" s="22" t="s">
        <v>19467</v>
      </c>
      <c r="H506" s="24" t="s">
        <v>19384</v>
      </c>
      <c r="I506" s="22" t="s">
        <v>19309</v>
      </c>
      <c r="J506" s="22" t="s">
        <v>19573</v>
      </c>
      <c r="K506" s="22" t="s">
        <v>19574</v>
      </c>
      <c r="L506" s="22"/>
      <c r="M506" s="22"/>
      <c r="N506" s="25" t="str">
        <f>HYPERLINK("http://slimages.macys.com/is/image/MCY/21361095 ")</f>
        <v xml:space="preserve">http://slimages.macys.com/is/image/MCY/21361095 </v>
      </c>
    </row>
    <row r="507" spans="1:14" ht="24.75" x14ac:dyDescent="0.25">
      <c r="A507" s="21" t="s">
        <v>14744</v>
      </c>
      <c r="B507" s="22" t="s">
        <v>14745</v>
      </c>
      <c r="C507" s="2">
        <v>1</v>
      </c>
      <c r="D507" s="23">
        <v>5.99</v>
      </c>
      <c r="E507" s="3">
        <v>5.99</v>
      </c>
      <c r="F507" s="2" t="s">
        <v>17080</v>
      </c>
      <c r="G507" s="22" t="s">
        <v>19467</v>
      </c>
      <c r="H507" s="24" t="s">
        <v>19416</v>
      </c>
      <c r="I507" s="22" t="s">
        <v>19309</v>
      </c>
      <c r="J507" s="22" t="s">
        <v>19573</v>
      </c>
      <c r="K507" s="22" t="s">
        <v>19574</v>
      </c>
      <c r="L507" s="22"/>
      <c r="M507" s="22"/>
      <c r="N507" s="25" t="str">
        <f>HYPERLINK("http://slimages.macys.com/is/image/MCY/21209062 ")</f>
        <v xml:space="preserve">http://slimages.macys.com/is/image/MCY/21209062 </v>
      </c>
    </row>
    <row r="508" spans="1:14" ht="24.75" x14ac:dyDescent="0.25">
      <c r="A508" s="21" t="s">
        <v>14746</v>
      </c>
      <c r="B508" s="22" t="s">
        <v>14747</v>
      </c>
      <c r="C508" s="2">
        <v>1</v>
      </c>
      <c r="D508" s="23">
        <v>7.99</v>
      </c>
      <c r="E508" s="3">
        <v>7.99</v>
      </c>
      <c r="F508" s="2" t="s">
        <v>18975</v>
      </c>
      <c r="G508" s="22" t="s">
        <v>19763</v>
      </c>
      <c r="H508" s="24" t="s">
        <v>19361</v>
      </c>
      <c r="I508" s="22" t="s">
        <v>19309</v>
      </c>
      <c r="J508" s="22" t="s">
        <v>19815</v>
      </c>
      <c r="K508" s="22" t="s">
        <v>19816</v>
      </c>
      <c r="L508" s="22"/>
      <c r="M508" s="22"/>
      <c r="N508" s="25" t="str">
        <f>HYPERLINK("http://slimages.macys.com/is/image/MCY/23423563 ")</f>
        <v xml:space="preserve">http://slimages.macys.com/is/image/MCY/23423563 </v>
      </c>
    </row>
    <row r="509" spans="1:14" ht="24.75" x14ac:dyDescent="0.25">
      <c r="A509" s="21" t="s">
        <v>14748</v>
      </c>
      <c r="B509" s="22" t="s">
        <v>14749</v>
      </c>
      <c r="C509" s="2">
        <v>1</v>
      </c>
      <c r="D509" s="23">
        <v>5.99</v>
      </c>
      <c r="E509" s="3">
        <v>5.99</v>
      </c>
      <c r="F509" s="2" t="s">
        <v>17097</v>
      </c>
      <c r="G509" s="22" t="s">
        <v>19713</v>
      </c>
      <c r="H509" s="24" t="s">
        <v>19384</v>
      </c>
      <c r="I509" s="22" t="s">
        <v>19309</v>
      </c>
      <c r="J509" s="22" t="s">
        <v>19573</v>
      </c>
      <c r="K509" s="22" t="s">
        <v>19574</v>
      </c>
      <c r="L509" s="22"/>
      <c r="M509" s="22"/>
      <c r="N509" s="25" t="str">
        <f>HYPERLINK("http://slimages.macys.com/is/image/MCY/21730765 ")</f>
        <v xml:space="preserve">http://slimages.macys.com/is/image/MCY/21730765 </v>
      </c>
    </row>
    <row r="510" spans="1:14" ht="24.75" x14ac:dyDescent="0.25">
      <c r="A510" s="21" t="s">
        <v>14750</v>
      </c>
      <c r="B510" s="22" t="s">
        <v>14751</v>
      </c>
      <c r="C510" s="2">
        <v>1</v>
      </c>
      <c r="D510" s="23">
        <v>5.99</v>
      </c>
      <c r="E510" s="3">
        <v>5.99</v>
      </c>
      <c r="F510" s="2" t="s">
        <v>14752</v>
      </c>
      <c r="G510" s="22" t="s">
        <v>19713</v>
      </c>
      <c r="H510" s="24" t="s">
        <v>19384</v>
      </c>
      <c r="I510" s="22" t="s">
        <v>19309</v>
      </c>
      <c r="J510" s="22" t="s">
        <v>19573</v>
      </c>
      <c r="K510" s="22" t="s">
        <v>19574</v>
      </c>
      <c r="L510" s="22"/>
      <c r="M510" s="22"/>
      <c r="N510" s="25" t="str">
        <f>HYPERLINK("http://slimages.macys.com/is/image/MCY/21730849 ")</f>
        <v xml:space="preserve">http://slimages.macys.com/is/image/MCY/21730849 </v>
      </c>
    </row>
    <row r="511" spans="1:14" ht="24.75" x14ac:dyDescent="0.25">
      <c r="A511" s="21" t="s">
        <v>14753</v>
      </c>
      <c r="B511" s="22" t="s">
        <v>14754</v>
      </c>
      <c r="C511" s="2">
        <v>1</v>
      </c>
      <c r="D511" s="23">
        <v>5.99</v>
      </c>
      <c r="E511" s="3">
        <v>5.99</v>
      </c>
      <c r="F511" s="2" t="s">
        <v>14755</v>
      </c>
      <c r="G511" s="22" t="s">
        <v>19674</v>
      </c>
      <c r="H511" s="24" t="s">
        <v>19538</v>
      </c>
      <c r="I511" s="22" t="s">
        <v>19309</v>
      </c>
      <c r="J511" s="22" t="s">
        <v>19573</v>
      </c>
      <c r="K511" s="22" t="s">
        <v>19574</v>
      </c>
      <c r="L511" s="22"/>
      <c r="M511" s="22"/>
      <c r="N511" s="25" t="str">
        <f>HYPERLINK("http://slimages.macys.com/is/image/MCY/21970161 ")</f>
        <v xml:space="preserve">http://slimages.macys.com/is/image/MCY/21970161 </v>
      </c>
    </row>
    <row r="512" spans="1:14" ht="24.75" x14ac:dyDescent="0.25">
      <c r="A512" s="21" t="s">
        <v>14756</v>
      </c>
      <c r="B512" s="22" t="s">
        <v>14757</v>
      </c>
      <c r="C512" s="2">
        <v>1</v>
      </c>
      <c r="D512" s="23">
        <v>5.99</v>
      </c>
      <c r="E512" s="3">
        <v>5.99</v>
      </c>
      <c r="F512" s="2" t="s">
        <v>14758</v>
      </c>
      <c r="G512" s="22" t="s">
        <v>19351</v>
      </c>
      <c r="H512" s="24" t="s">
        <v>19384</v>
      </c>
      <c r="I512" s="22" t="s">
        <v>19309</v>
      </c>
      <c r="J512" s="22" t="s">
        <v>19573</v>
      </c>
      <c r="K512" s="22" t="s">
        <v>19574</v>
      </c>
      <c r="L512" s="22"/>
      <c r="M512" s="22"/>
      <c r="N512" s="25" t="str">
        <f>HYPERLINK("http://slimages.macys.com/is/image/MCY/1537013 ")</f>
        <v xml:space="preserve">http://slimages.macys.com/is/image/MCY/1537013 </v>
      </c>
    </row>
    <row r="513" spans="1:14" ht="24.75" x14ac:dyDescent="0.25">
      <c r="A513" s="21" t="s">
        <v>14759</v>
      </c>
      <c r="B513" s="22" t="s">
        <v>14760</v>
      </c>
      <c r="C513" s="2">
        <v>1</v>
      </c>
      <c r="D513" s="23">
        <v>7.99</v>
      </c>
      <c r="E513" s="3">
        <v>7.99</v>
      </c>
      <c r="F513" s="2" t="s">
        <v>19081</v>
      </c>
      <c r="G513" s="22" t="s">
        <v>19351</v>
      </c>
      <c r="H513" s="24" t="s">
        <v>20135</v>
      </c>
      <c r="I513" s="22" t="s">
        <v>19309</v>
      </c>
      <c r="J513" s="22" t="s">
        <v>19573</v>
      </c>
      <c r="K513" s="22" t="s">
        <v>19574</v>
      </c>
      <c r="L513" s="22"/>
      <c r="M513" s="22"/>
      <c r="N513" s="25" t="str">
        <f>HYPERLINK("http://slimages.macys.com/is/image/MCY/20736374 ")</f>
        <v xml:space="preserve">http://slimages.macys.com/is/image/MCY/20736374 </v>
      </c>
    </row>
    <row r="514" spans="1:14" ht="24.75" x14ac:dyDescent="0.25">
      <c r="A514" s="21" t="s">
        <v>14761</v>
      </c>
      <c r="B514" s="22" t="s">
        <v>14762</v>
      </c>
      <c r="C514" s="2">
        <v>1</v>
      </c>
      <c r="D514" s="23">
        <v>5.99</v>
      </c>
      <c r="E514" s="3">
        <v>5.99</v>
      </c>
      <c r="F514" s="2" t="s">
        <v>19084</v>
      </c>
      <c r="G514" s="22" t="s">
        <v>19518</v>
      </c>
      <c r="H514" s="24" t="s">
        <v>19330</v>
      </c>
      <c r="I514" s="22" t="s">
        <v>19309</v>
      </c>
      <c r="J514" s="22" t="s">
        <v>19573</v>
      </c>
      <c r="K514" s="22" t="s">
        <v>19574</v>
      </c>
      <c r="L514" s="22"/>
      <c r="M514" s="22"/>
      <c r="N514" s="25" t="str">
        <f t="shared" ref="N514:N520" si="1">HYPERLINK("http://slimages.macys.com/is/image/MCY/21209585 ")</f>
        <v xml:space="preserve">http://slimages.macys.com/is/image/MCY/21209585 </v>
      </c>
    </row>
    <row r="515" spans="1:14" ht="24.75" x14ac:dyDescent="0.25">
      <c r="A515" s="21" t="s">
        <v>14763</v>
      </c>
      <c r="B515" s="22" t="s">
        <v>14764</v>
      </c>
      <c r="C515" s="2">
        <v>1</v>
      </c>
      <c r="D515" s="23">
        <v>5.99</v>
      </c>
      <c r="E515" s="3">
        <v>5.99</v>
      </c>
      <c r="F515" s="2" t="s">
        <v>19084</v>
      </c>
      <c r="G515" s="22" t="s">
        <v>19518</v>
      </c>
      <c r="H515" s="24" t="s">
        <v>19538</v>
      </c>
      <c r="I515" s="22" t="s">
        <v>19309</v>
      </c>
      <c r="J515" s="22" t="s">
        <v>19573</v>
      </c>
      <c r="K515" s="22" t="s">
        <v>19574</v>
      </c>
      <c r="L515" s="22"/>
      <c r="M515" s="22"/>
      <c r="N515" s="25" t="str">
        <f t="shared" si="1"/>
        <v xml:space="preserve">http://slimages.macys.com/is/image/MCY/21209585 </v>
      </c>
    </row>
    <row r="516" spans="1:14" ht="24.75" x14ac:dyDescent="0.25">
      <c r="A516" s="21" t="s">
        <v>19082</v>
      </c>
      <c r="B516" s="22" t="s">
        <v>19083</v>
      </c>
      <c r="C516" s="2">
        <v>2</v>
      </c>
      <c r="D516" s="23">
        <v>5.99</v>
      </c>
      <c r="E516" s="3">
        <v>11.98</v>
      </c>
      <c r="F516" s="2" t="s">
        <v>19084</v>
      </c>
      <c r="G516" s="22" t="s">
        <v>19518</v>
      </c>
      <c r="H516" s="24" t="s">
        <v>19384</v>
      </c>
      <c r="I516" s="22" t="s">
        <v>19309</v>
      </c>
      <c r="J516" s="22" t="s">
        <v>19573</v>
      </c>
      <c r="K516" s="22" t="s">
        <v>19574</v>
      </c>
      <c r="L516" s="22"/>
      <c r="M516" s="22"/>
      <c r="N516" s="25" t="str">
        <f t="shared" si="1"/>
        <v xml:space="preserve">http://slimages.macys.com/is/image/MCY/21209585 </v>
      </c>
    </row>
    <row r="517" spans="1:14" ht="24.75" x14ac:dyDescent="0.25">
      <c r="A517" s="21" t="s">
        <v>17111</v>
      </c>
      <c r="B517" s="22" t="s">
        <v>17112</v>
      </c>
      <c r="C517" s="2">
        <v>1</v>
      </c>
      <c r="D517" s="23">
        <v>5.99</v>
      </c>
      <c r="E517" s="3">
        <v>5.99</v>
      </c>
      <c r="F517" s="2" t="s">
        <v>17113</v>
      </c>
      <c r="G517" s="22" t="s">
        <v>19618</v>
      </c>
      <c r="H517" s="24" t="s">
        <v>19384</v>
      </c>
      <c r="I517" s="22" t="s">
        <v>19309</v>
      </c>
      <c r="J517" s="22" t="s">
        <v>19573</v>
      </c>
      <c r="K517" s="22" t="s">
        <v>19574</v>
      </c>
      <c r="L517" s="22"/>
      <c r="M517" s="22"/>
      <c r="N517" s="25" t="str">
        <f t="shared" si="1"/>
        <v xml:space="preserve">http://slimages.macys.com/is/image/MCY/21209585 </v>
      </c>
    </row>
    <row r="518" spans="1:14" ht="24.75" x14ac:dyDescent="0.25">
      <c r="A518" s="21" t="s">
        <v>17106</v>
      </c>
      <c r="B518" s="22" t="s">
        <v>17107</v>
      </c>
      <c r="C518" s="2">
        <v>1</v>
      </c>
      <c r="D518" s="23">
        <v>5.99</v>
      </c>
      <c r="E518" s="3">
        <v>5.99</v>
      </c>
      <c r="F518" s="2" t="s">
        <v>19087</v>
      </c>
      <c r="G518" s="22" t="s">
        <v>19415</v>
      </c>
      <c r="H518" s="24" t="s">
        <v>19538</v>
      </c>
      <c r="I518" s="22" t="s">
        <v>19309</v>
      </c>
      <c r="J518" s="22" t="s">
        <v>19573</v>
      </c>
      <c r="K518" s="22" t="s">
        <v>19574</v>
      </c>
      <c r="L518" s="22"/>
      <c r="M518" s="22"/>
      <c r="N518" s="25" t="str">
        <f t="shared" si="1"/>
        <v xml:space="preserve">http://slimages.macys.com/is/image/MCY/21209585 </v>
      </c>
    </row>
    <row r="519" spans="1:14" ht="24.75" x14ac:dyDescent="0.25">
      <c r="A519" s="21" t="s">
        <v>14765</v>
      </c>
      <c r="B519" s="22" t="s">
        <v>14766</v>
      </c>
      <c r="C519" s="2">
        <v>2</v>
      </c>
      <c r="D519" s="23">
        <v>5.99</v>
      </c>
      <c r="E519" s="3">
        <v>11.98</v>
      </c>
      <c r="F519" s="2" t="s">
        <v>17113</v>
      </c>
      <c r="G519" s="22" t="s">
        <v>19618</v>
      </c>
      <c r="H519" s="24" t="s">
        <v>19416</v>
      </c>
      <c r="I519" s="22" t="s">
        <v>19309</v>
      </c>
      <c r="J519" s="22" t="s">
        <v>19573</v>
      </c>
      <c r="K519" s="22" t="s">
        <v>19574</v>
      </c>
      <c r="L519" s="22"/>
      <c r="M519" s="22"/>
      <c r="N519" s="25" t="str">
        <f t="shared" si="1"/>
        <v xml:space="preserve">http://slimages.macys.com/is/image/MCY/21209585 </v>
      </c>
    </row>
    <row r="520" spans="1:14" ht="24.75" x14ac:dyDescent="0.25">
      <c r="A520" s="21" t="s">
        <v>14767</v>
      </c>
      <c r="B520" s="22" t="s">
        <v>14768</v>
      </c>
      <c r="C520" s="2">
        <v>2</v>
      </c>
      <c r="D520" s="23">
        <v>5.99</v>
      </c>
      <c r="E520" s="3">
        <v>11.98</v>
      </c>
      <c r="F520" s="2" t="s">
        <v>17110</v>
      </c>
      <c r="G520" s="22" t="s">
        <v>19670</v>
      </c>
      <c r="H520" s="24" t="s">
        <v>19330</v>
      </c>
      <c r="I520" s="22" t="s">
        <v>19309</v>
      </c>
      <c r="J520" s="22" t="s">
        <v>19573</v>
      </c>
      <c r="K520" s="22" t="s">
        <v>19574</v>
      </c>
      <c r="L520" s="22"/>
      <c r="M520" s="22"/>
      <c r="N520" s="25" t="str">
        <f t="shared" si="1"/>
        <v xml:space="preserve">http://slimages.macys.com/is/image/MCY/21209585 </v>
      </c>
    </row>
    <row r="521" spans="1:14" ht="24.75" x14ac:dyDescent="0.25">
      <c r="A521" s="21" t="s">
        <v>14769</v>
      </c>
      <c r="B521" s="22" t="s">
        <v>14770</v>
      </c>
      <c r="C521" s="2">
        <v>1</v>
      </c>
      <c r="D521" s="23">
        <v>5.99</v>
      </c>
      <c r="E521" s="3">
        <v>5.99</v>
      </c>
      <c r="F521" s="2" t="s">
        <v>14771</v>
      </c>
      <c r="G521" s="22" t="s">
        <v>19431</v>
      </c>
      <c r="H521" s="24" t="s">
        <v>19384</v>
      </c>
      <c r="I521" s="22" t="s">
        <v>19309</v>
      </c>
      <c r="J521" s="22" t="s">
        <v>19573</v>
      </c>
      <c r="K521" s="22" t="s">
        <v>19574</v>
      </c>
      <c r="L521" s="22"/>
      <c r="M521" s="22"/>
      <c r="N521" s="25" t="str">
        <f>HYPERLINK("http://slimages.macys.com/is/image/MCY/21209283 ")</f>
        <v xml:space="preserve">http://slimages.macys.com/is/image/MCY/21209283 </v>
      </c>
    </row>
    <row r="522" spans="1:14" ht="24.75" x14ac:dyDescent="0.25">
      <c r="A522" s="21" t="s">
        <v>14772</v>
      </c>
      <c r="B522" s="22" t="s">
        <v>14773</v>
      </c>
      <c r="C522" s="2">
        <v>1</v>
      </c>
      <c r="D522" s="23">
        <v>5.99</v>
      </c>
      <c r="E522" s="3">
        <v>5.99</v>
      </c>
      <c r="F522" s="2" t="s">
        <v>17122</v>
      </c>
      <c r="G522" s="22" t="s">
        <v>19415</v>
      </c>
      <c r="H522" s="24" t="s">
        <v>19384</v>
      </c>
      <c r="I522" s="22" t="s">
        <v>19309</v>
      </c>
      <c r="J522" s="22" t="s">
        <v>19573</v>
      </c>
      <c r="K522" s="22" t="s">
        <v>19574</v>
      </c>
      <c r="L522" s="22"/>
      <c r="M522" s="22"/>
      <c r="N522" s="25" t="str">
        <f>HYPERLINK("http://slimages.macys.com/is/image/MCY/21209558 ")</f>
        <v xml:space="preserve">http://slimages.macys.com/is/image/MCY/21209558 </v>
      </c>
    </row>
    <row r="523" spans="1:14" ht="24.75" x14ac:dyDescent="0.25">
      <c r="A523" s="21" t="s">
        <v>14774</v>
      </c>
      <c r="B523" s="22" t="s">
        <v>14775</v>
      </c>
      <c r="C523" s="2">
        <v>1</v>
      </c>
      <c r="D523" s="23">
        <v>6.99</v>
      </c>
      <c r="E523" s="3">
        <v>6.99</v>
      </c>
      <c r="F523" s="2" t="s">
        <v>14776</v>
      </c>
      <c r="G523" s="22" t="s">
        <v>19315</v>
      </c>
      <c r="H523" s="24" t="s">
        <v>19538</v>
      </c>
      <c r="I523" s="22" t="s">
        <v>19309</v>
      </c>
      <c r="J523" s="22" t="s">
        <v>19573</v>
      </c>
      <c r="K523" s="22" t="s">
        <v>19574</v>
      </c>
      <c r="L523" s="22"/>
      <c r="M523" s="22"/>
      <c r="N523" s="25" t="str">
        <f>HYPERLINK("http://slimages.macys.com/is/image/MCY/1096134 ")</f>
        <v xml:space="preserve">http://slimages.macys.com/is/image/MCY/1096134 </v>
      </c>
    </row>
    <row r="524" spans="1:14" ht="24.75" x14ac:dyDescent="0.25">
      <c r="A524" s="21" t="s">
        <v>14777</v>
      </c>
      <c r="B524" s="22" t="s">
        <v>14778</v>
      </c>
      <c r="C524" s="2">
        <v>1</v>
      </c>
      <c r="D524" s="23">
        <v>7.99</v>
      </c>
      <c r="E524" s="3">
        <v>7.99</v>
      </c>
      <c r="F524" s="2" t="s">
        <v>14779</v>
      </c>
      <c r="G524" s="22" t="s">
        <v>19351</v>
      </c>
      <c r="H524" s="24" t="s">
        <v>19538</v>
      </c>
      <c r="I524" s="22" t="s">
        <v>19309</v>
      </c>
      <c r="J524" s="22" t="s">
        <v>19573</v>
      </c>
      <c r="K524" s="22" t="s">
        <v>19574</v>
      </c>
      <c r="L524" s="22"/>
      <c r="M524" s="22"/>
      <c r="N524" s="25" t="str">
        <f>HYPERLINK("http://slimages.macys.com/is/image/MCY/1439034 ")</f>
        <v xml:space="preserve">http://slimages.macys.com/is/image/MCY/1439034 </v>
      </c>
    </row>
    <row r="525" spans="1:14" ht="24.75" x14ac:dyDescent="0.25">
      <c r="A525" s="21" t="s">
        <v>19112</v>
      </c>
      <c r="B525" s="22" t="s">
        <v>19113</v>
      </c>
      <c r="C525" s="2">
        <v>2</v>
      </c>
      <c r="D525" s="23">
        <v>5.99</v>
      </c>
      <c r="E525" s="3">
        <v>11.98</v>
      </c>
      <c r="F525" s="2" t="s">
        <v>19109</v>
      </c>
      <c r="G525" s="22" t="s">
        <v>19670</v>
      </c>
      <c r="H525" s="24" t="s">
        <v>19324</v>
      </c>
      <c r="I525" s="22" t="s">
        <v>19309</v>
      </c>
      <c r="J525" s="22" t="s">
        <v>19573</v>
      </c>
      <c r="K525" s="22" t="s">
        <v>19574</v>
      </c>
      <c r="L525" s="22"/>
      <c r="M525" s="22"/>
      <c r="N525" s="25" t="str">
        <f>HYPERLINK("http://slimages.macys.com/is/image/MCY/21209381 ")</f>
        <v xml:space="preserve">http://slimages.macys.com/is/image/MCY/21209381 </v>
      </c>
    </row>
    <row r="526" spans="1:14" ht="24.75" x14ac:dyDescent="0.25">
      <c r="A526" s="21" t="s">
        <v>19107</v>
      </c>
      <c r="B526" s="22" t="s">
        <v>19108</v>
      </c>
      <c r="C526" s="2">
        <v>4</v>
      </c>
      <c r="D526" s="23">
        <v>5.99</v>
      </c>
      <c r="E526" s="3">
        <v>23.96</v>
      </c>
      <c r="F526" s="2" t="s">
        <v>19109</v>
      </c>
      <c r="G526" s="22" t="s">
        <v>19670</v>
      </c>
      <c r="H526" s="24" t="s">
        <v>19384</v>
      </c>
      <c r="I526" s="22" t="s">
        <v>19309</v>
      </c>
      <c r="J526" s="22" t="s">
        <v>19573</v>
      </c>
      <c r="K526" s="22" t="s">
        <v>19574</v>
      </c>
      <c r="L526" s="22"/>
      <c r="M526" s="22"/>
      <c r="N526" s="25" t="str">
        <f>HYPERLINK("http://slimages.macys.com/is/image/MCY/1734374 ")</f>
        <v xml:space="preserve">http://slimages.macys.com/is/image/MCY/1734374 </v>
      </c>
    </row>
    <row r="527" spans="1:14" ht="24.75" x14ac:dyDescent="0.25">
      <c r="A527" s="21" t="s">
        <v>19119</v>
      </c>
      <c r="B527" s="22" t="s">
        <v>19120</v>
      </c>
      <c r="C527" s="2">
        <v>3</v>
      </c>
      <c r="D527" s="23">
        <v>5.99</v>
      </c>
      <c r="E527" s="3">
        <v>17.97</v>
      </c>
      <c r="F527" s="2" t="s">
        <v>19109</v>
      </c>
      <c r="G527" s="22" t="s">
        <v>19670</v>
      </c>
      <c r="H527" s="24" t="s">
        <v>19416</v>
      </c>
      <c r="I527" s="22" t="s">
        <v>19309</v>
      </c>
      <c r="J527" s="22" t="s">
        <v>19573</v>
      </c>
      <c r="K527" s="22" t="s">
        <v>19574</v>
      </c>
      <c r="L527" s="22"/>
      <c r="M527" s="22"/>
      <c r="N527" s="25" t="str">
        <f>HYPERLINK("http://slimages.macys.com/is/image/MCY/1734374 ")</f>
        <v xml:space="preserve">http://slimages.macys.com/is/image/MCY/1734374 </v>
      </c>
    </row>
    <row r="528" spans="1:14" ht="24.75" x14ac:dyDescent="0.25">
      <c r="A528" s="21" t="s">
        <v>19117</v>
      </c>
      <c r="B528" s="22" t="s">
        <v>19118</v>
      </c>
      <c r="C528" s="2">
        <v>3</v>
      </c>
      <c r="D528" s="23">
        <v>5.99</v>
      </c>
      <c r="E528" s="3">
        <v>17.97</v>
      </c>
      <c r="F528" s="2" t="s">
        <v>19109</v>
      </c>
      <c r="G528" s="22" t="s">
        <v>19670</v>
      </c>
      <c r="H528" s="24" t="s">
        <v>19538</v>
      </c>
      <c r="I528" s="22" t="s">
        <v>19309</v>
      </c>
      <c r="J528" s="22" t="s">
        <v>19573</v>
      </c>
      <c r="K528" s="22" t="s">
        <v>19574</v>
      </c>
      <c r="L528" s="22"/>
      <c r="M528" s="22"/>
      <c r="N528" s="25" t="str">
        <f>HYPERLINK("http://slimages.macys.com/is/image/MCY/21209381 ")</f>
        <v xml:space="preserve">http://slimages.macys.com/is/image/MCY/21209381 </v>
      </c>
    </row>
    <row r="529" spans="1:14" ht="24.75" x14ac:dyDescent="0.25">
      <c r="A529" s="21" t="s">
        <v>14780</v>
      </c>
      <c r="B529" s="22" t="s">
        <v>14781</v>
      </c>
      <c r="C529" s="2">
        <v>1</v>
      </c>
      <c r="D529" s="23">
        <v>11.99</v>
      </c>
      <c r="E529" s="3">
        <v>11.99</v>
      </c>
      <c r="F529" s="2" t="s">
        <v>14782</v>
      </c>
      <c r="G529" s="22" t="s">
        <v>19351</v>
      </c>
      <c r="H529" s="24" t="s">
        <v>18168</v>
      </c>
      <c r="I529" s="22" t="s">
        <v>19309</v>
      </c>
      <c r="J529" s="22" t="s">
        <v>19573</v>
      </c>
      <c r="K529" s="22" t="s">
        <v>19574</v>
      </c>
      <c r="L529" s="22"/>
      <c r="M529" s="22"/>
      <c r="N529" s="25" t="str">
        <f>HYPERLINK("http://slimages.macys.com/is/image/MCY/18422206 ")</f>
        <v xml:space="preserve">http://slimages.macys.com/is/image/MCY/18422206 </v>
      </c>
    </row>
    <row r="530" spans="1:14" ht="24.75" x14ac:dyDescent="0.25">
      <c r="A530" s="21" t="s">
        <v>19114</v>
      </c>
      <c r="B530" s="22" t="s">
        <v>19115</v>
      </c>
      <c r="C530" s="2">
        <v>2</v>
      </c>
      <c r="D530" s="23">
        <v>7.99</v>
      </c>
      <c r="E530" s="3">
        <v>15.98</v>
      </c>
      <c r="F530" s="2" t="s">
        <v>19116</v>
      </c>
      <c r="G530" s="22" t="s">
        <v>19670</v>
      </c>
      <c r="H530" s="24" t="s">
        <v>20089</v>
      </c>
      <c r="I530" s="22" t="s">
        <v>19309</v>
      </c>
      <c r="J530" s="22" t="s">
        <v>19573</v>
      </c>
      <c r="K530" s="22" t="s">
        <v>19574</v>
      </c>
      <c r="L530" s="22"/>
      <c r="M530" s="22"/>
      <c r="N530" s="25" t="str">
        <f>HYPERLINK("http://slimages.macys.com/is/image/MCY/1594361 ")</f>
        <v xml:space="preserve">http://slimages.macys.com/is/image/MCY/1594361 </v>
      </c>
    </row>
    <row r="531" spans="1:14" ht="24.75" x14ac:dyDescent="0.25">
      <c r="A531" s="21" t="s">
        <v>19121</v>
      </c>
      <c r="B531" s="22" t="s">
        <v>19122</v>
      </c>
      <c r="C531" s="2">
        <v>2</v>
      </c>
      <c r="D531" s="23">
        <v>5.99</v>
      </c>
      <c r="E531" s="3">
        <v>11.98</v>
      </c>
      <c r="F531" s="2" t="s">
        <v>19109</v>
      </c>
      <c r="G531" s="22" t="s">
        <v>19670</v>
      </c>
      <c r="H531" s="24" t="s">
        <v>19330</v>
      </c>
      <c r="I531" s="22" t="s">
        <v>19309</v>
      </c>
      <c r="J531" s="22" t="s">
        <v>19573</v>
      </c>
      <c r="K531" s="22" t="s">
        <v>19574</v>
      </c>
      <c r="L531" s="22"/>
      <c r="M531" s="22"/>
      <c r="N531" s="25" t="str">
        <f>HYPERLINK("http://slimages.macys.com/is/image/MCY/1734374 ")</f>
        <v xml:space="preserve">http://slimages.macys.com/is/image/MCY/1734374 </v>
      </c>
    </row>
    <row r="532" spans="1:14" ht="24.75" x14ac:dyDescent="0.25">
      <c r="A532" s="21" t="s">
        <v>14783</v>
      </c>
      <c r="B532" s="22" t="s">
        <v>14784</v>
      </c>
      <c r="C532" s="2">
        <v>1</v>
      </c>
      <c r="D532" s="23">
        <v>11.99</v>
      </c>
      <c r="E532" s="3">
        <v>11.99</v>
      </c>
      <c r="F532" s="2" t="s">
        <v>14785</v>
      </c>
      <c r="G532" s="22" t="s">
        <v>19383</v>
      </c>
      <c r="H532" s="24" t="s">
        <v>19352</v>
      </c>
      <c r="I532" s="22" t="s">
        <v>19309</v>
      </c>
      <c r="J532" s="22" t="s">
        <v>20076</v>
      </c>
      <c r="K532" s="22" t="s">
        <v>20077</v>
      </c>
      <c r="L532" s="22" t="s">
        <v>19319</v>
      </c>
      <c r="M532" s="22" t="s">
        <v>19209</v>
      </c>
      <c r="N532" s="25" t="str">
        <f>HYPERLINK("http://slimages.macys.com/is/image/MCY/3325503 ")</f>
        <v xml:space="preserve">http://slimages.macys.com/is/image/MCY/3325503 </v>
      </c>
    </row>
    <row r="533" spans="1:14" ht="24.75" x14ac:dyDescent="0.25">
      <c r="A533" s="21" t="s">
        <v>14786</v>
      </c>
      <c r="B533" s="22" t="s">
        <v>14787</v>
      </c>
      <c r="C533" s="2">
        <v>2</v>
      </c>
      <c r="D533" s="23">
        <v>11.99</v>
      </c>
      <c r="E533" s="3">
        <v>23.98</v>
      </c>
      <c r="F533" s="2" t="s">
        <v>14785</v>
      </c>
      <c r="G533" s="22" t="s">
        <v>19383</v>
      </c>
      <c r="H533" s="24" t="s">
        <v>19364</v>
      </c>
      <c r="I533" s="22" t="s">
        <v>19309</v>
      </c>
      <c r="J533" s="22" t="s">
        <v>20076</v>
      </c>
      <c r="K533" s="22" t="s">
        <v>20077</v>
      </c>
      <c r="L533" s="22" t="s">
        <v>19319</v>
      </c>
      <c r="M533" s="22" t="s">
        <v>19209</v>
      </c>
      <c r="N533" s="25" t="str">
        <f>HYPERLINK("http://slimages.macys.com/is/image/MCY/3325503 ")</f>
        <v xml:space="preserve">http://slimages.macys.com/is/image/MCY/3325503 </v>
      </c>
    </row>
    <row r="534" spans="1:14" ht="24.75" x14ac:dyDescent="0.25">
      <c r="A534" s="21" t="s">
        <v>14788</v>
      </c>
      <c r="B534" s="22" t="s">
        <v>14789</v>
      </c>
      <c r="C534" s="2">
        <v>1</v>
      </c>
      <c r="D534" s="23">
        <v>11.99</v>
      </c>
      <c r="E534" s="3">
        <v>11.99</v>
      </c>
      <c r="F534" s="2" t="s">
        <v>14785</v>
      </c>
      <c r="G534" s="22" t="s">
        <v>19383</v>
      </c>
      <c r="H534" s="24" t="s">
        <v>19339</v>
      </c>
      <c r="I534" s="22" t="s">
        <v>19309</v>
      </c>
      <c r="J534" s="22" t="s">
        <v>20076</v>
      </c>
      <c r="K534" s="22" t="s">
        <v>20077</v>
      </c>
      <c r="L534" s="22" t="s">
        <v>19319</v>
      </c>
      <c r="M534" s="22" t="s">
        <v>19209</v>
      </c>
      <c r="N534" s="25" t="str">
        <f>HYPERLINK("http://slimages.macys.com/is/image/MCY/3325503 ")</f>
        <v xml:space="preserve">http://slimages.macys.com/is/image/MCY/3325503 </v>
      </c>
    </row>
    <row r="535" spans="1:14" ht="24.75" x14ac:dyDescent="0.25">
      <c r="A535" s="21" t="s">
        <v>19110</v>
      </c>
      <c r="B535" s="22" t="s">
        <v>19111</v>
      </c>
      <c r="C535" s="2">
        <v>1</v>
      </c>
      <c r="D535" s="23">
        <v>5.99</v>
      </c>
      <c r="E535" s="3">
        <v>5.99</v>
      </c>
      <c r="F535" s="2" t="s">
        <v>19109</v>
      </c>
      <c r="G535" s="22" t="s">
        <v>19674</v>
      </c>
      <c r="H535" s="24" t="s">
        <v>19538</v>
      </c>
      <c r="I535" s="22" t="s">
        <v>19309</v>
      </c>
      <c r="J535" s="22" t="s">
        <v>19573</v>
      </c>
      <c r="K535" s="22" t="s">
        <v>19574</v>
      </c>
      <c r="L535" s="22"/>
      <c r="M535" s="22"/>
      <c r="N535" s="25" t="str">
        <f>HYPERLINK("http://slimages.macys.com/is/image/MCY/1734374 ")</f>
        <v xml:space="preserve">http://slimages.macys.com/is/image/MCY/1734374 </v>
      </c>
    </row>
    <row r="536" spans="1:14" ht="24.75" x14ac:dyDescent="0.25">
      <c r="A536" s="21" t="s">
        <v>14790</v>
      </c>
      <c r="B536" s="22" t="s">
        <v>14791</v>
      </c>
      <c r="C536" s="2">
        <v>1</v>
      </c>
      <c r="D536" s="23">
        <v>6.99</v>
      </c>
      <c r="E536" s="3">
        <v>6.99</v>
      </c>
      <c r="F536" s="2" t="s">
        <v>14792</v>
      </c>
      <c r="G536" s="22" t="s">
        <v>19415</v>
      </c>
      <c r="H536" s="24" t="s">
        <v>19416</v>
      </c>
      <c r="I536" s="22" t="s">
        <v>19309</v>
      </c>
      <c r="J536" s="22" t="s">
        <v>19573</v>
      </c>
      <c r="K536" s="22" t="s">
        <v>19574</v>
      </c>
      <c r="L536" s="22"/>
      <c r="M536" s="22"/>
      <c r="N536" s="25" t="str">
        <f>HYPERLINK("http://slimages.macys.com/is/image/MCY/19977402 ")</f>
        <v xml:space="preserve">http://slimages.macys.com/is/image/MCY/19977402 </v>
      </c>
    </row>
    <row r="537" spans="1:14" ht="24.75" x14ac:dyDescent="0.25">
      <c r="A537" s="21" t="s">
        <v>14793</v>
      </c>
      <c r="B537" s="22" t="s">
        <v>14794</v>
      </c>
      <c r="C537" s="2">
        <v>2</v>
      </c>
      <c r="D537" s="23">
        <v>5.99</v>
      </c>
      <c r="E537" s="3">
        <v>11.98</v>
      </c>
      <c r="F537" s="2" t="s">
        <v>19129</v>
      </c>
      <c r="G537" s="22" t="s">
        <v>19467</v>
      </c>
      <c r="H537" s="24" t="s">
        <v>19324</v>
      </c>
      <c r="I537" s="22" t="s">
        <v>19309</v>
      </c>
      <c r="J537" s="22" t="s">
        <v>19573</v>
      </c>
      <c r="K537" s="22" t="s">
        <v>19574</v>
      </c>
      <c r="L537" s="22"/>
      <c r="M537" s="22"/>
      <c r="N537" s="25" t="str">
        <f>HYPERLINK("http://slimages.macys.com/is/image/MCY/1905756 ")</f>
        <v xml:space="preserve">http://slimages.macys.com/is/image/MCY/1905756 </v>
      </c>
    </row>
    <row r="538" spans="1:14" ht="24.75" x14ac:dyDescent="0.25">
      <c r="A538" s="21" t="s">
        <v>19127</v>
      </c>
      <c r="B538" s="22" t="s">
        <v>19128</v>
      </c>
      <c r="C538" s="2">
        <v>2</v>
      </c>
      <c r="D538" s="23">
        <v>5.99</v>
      </c>
      <c r="E538" s="3">
        <v>11.98</v>
      </c>
      <c r="F538" s="2" t="s">
        <v>19129</v>
      </c>
      <c r="G538" s="22" t="s">
        <v>19467</v>
      </c>
      <c r="H538" s="24" t="s">
        <v>19538</v>
      </c>
      <c r="I538" s="22" t="s">
        <v>19309</v>
      </c>
      <c r="J538" s="22" t="s">
        <v>19573</v>
      </c>
      <c r="K538" s="22" t="s">
        <v>19574</v>
      </c>
      <c r="L538" s="22"/>
      <c r="M538" s="22"/>
      <c r="N538" s="25" t="str">
        <f>HYPERLINK("http://slimages.macys.com/is/image/MCY/1905756 ")</f>
        <v xml:space="preserve">http://slimages.macys.com/is/image/MCY/1905756 </v>
      </c>
    </row>
    <row r="539" spans="1:14" ht="24.75" x14ac:dyDescent="0.25">
      <c r="A539" s="21" t="s">
        <v>14795</v>
      </c>
      <c r="B539" s="22" t="s">
        <v>14796</v>
      </c>
      <c r="C539" s="2">
        <v>2</v>
      </c>
      <c r="D539" s="23">
        <v>5.99</v>
      </c>
      <c r="E539" s="3">
        <v>11.98</v>
      </c>
      <c r="F539" s="2" t="s">
        <v>19129</v>
      </c>
      <c r="G539" s="22" t="s">
        <v>19467</v>
      </c>
      <c r="H539" s="24" t="s">
        <v>19416</v>
      </c>
      <c r="I539" s="22" t="s">
        <v>19309</v>
      </c>
      <c r="J539" s="22" t="s">
        <v>19573</v>
      </c>
      <c r="K539" s="22" t="s">
        <v>19574</v>
      </c>
      <c r="L539" s="22"/>
      <c r="M539" s="22"/>
      <c r="N539" s="25" t="str">
        <f>HYPERLINK("http://slimages.macys.com/is/image/MCY/1905756 ")</f>
        <v xml:space="preserve">http://slimages.macys.com/is/image/MCY/1905756 </v>
      </c>
    </row>
    <row r="540" spans="1:14" ht="24.75" x14ac:dyDescent="0.25">
      <c r="A540" s="21" t="s">
        <v>19130</v>
      </c>
      <c r="B540" s="22" t="s">
        <v>19131</v>
      </c>
      <c r="C540" s="2">
        <v>1</v>
      </c>
      <c r="D540" s="23">
        <v>5.99</v>
      </c>
      <c r="E540" s="3">
        <v>5.99</v>
      </c>
      <c r="F540" s="2" t="s">
        <v>19129</v>
      </c>
      <c r="G540" s="22" t="s">
        <v>19467</v>
      </c>
      <c r="H540" s="24" t="s">
        <v>19384</v>
      </c>
      <c r="I540" s="22" t="s">
        <v>19309</v>
      </c>
      <c r="J540" s="22" t="s">
        <v>19573</v>
      </c>
      <c r="K540" s="22" t="s">
        <v>19574</v>
      </c>
      <c r="L540" s="22"/>
      <c r="M540" s="22"/>
      <c r="N540" s="25" t="str">
        <f>HYPERLINK("http://slimages.macys.com/is/image/MCY/1905756 ")</f>
        <v xml:space="preserve">http://slimages.macys.com/is/image/MCY/1905756 </v>
      </c>
    </row>
    <row r="541" spans="1:14" ht="24.75" x14ac:dyDescent="0.25">
      <c r="A541" s="21" t="s">
        <v>14797</v>
      </c>
      <c r="B541" s="22" t="s">
        <v>14798</v>
      </c>
      <c r="C541" s="2">
        <v>2</v>
      </c>
      <c r="D541" s="23">
        <v>6.99</v>
      </c>
      <c r="E541" s="3">
        <v>13.98</v>
      </c>
      <c r="F541" s="2" t="s">
        <v>14799</v>
      </c>
      <c r="G541" s="22" t="s">
        <v>19674</v>
      </c>
      <c r="H541" s="24"/>
      <c r="I541" s="22" t="s">
        <v>19309</v>
      </c>
      <c r="J541" s="22" t="s">
        <v>19573</v>
      </c>
      <c r="K541" s="22" t="s">
        <v>19574</v>
      </c>
      <c r="L541" s="22"/>
      <c r="M541" s="22"/>
      <c r="N541" s="25" t="str">
        <f>HYPERLINK("http://slimages.macys.com/is/image/MCY/20757803 ")</f>
        <v xml:space="preserve">http://slimages.macys.com/is/image/MCY/20757803 </v>
      </c>
    </row>
    <row r="542" spans="1:14" ht="24.75" x14ac:dyDescent="0.25">
      <c r="A542" s="21" t="s">
        <v>14800</v>
      </c>
      <c r="B542" s="22" t="s">
        <v>14801</v>
      </c>
      <c r="C542" s="2">
        <v>1</v>
      </c>
      <c r="D542" s="23">
        <v>7.99</v>
      </c>
      <c r="E542" s="3">
        <v>7.99</v>
      </c>
      <c r="F542" s="2" t="s">
        <v>14802</v>
      </c>
      <c r="G542" s="22" t="s">
        <v>19431</v>
      </c>
      <c r="H542" s="24" t="s">
        <v>20089</v>
      </c>
      <c r="I542" s="22" t="s">
        <v>19309</v>
      </c>
      <c r="J542" s="22" t="s">
        <v>19573</v>
      </c>
      <c r="K542" s="22" t="s">
        <v>19574</v>
      </c>
      <c r="L542" s="22"/>
      <c r="M542" s="22"/>
      <c r="N542" s="25" t="str">
        <f>HYPERLINK("http://slimages.macys.com/is/image/MCY/21209617 ")</f>
        <v xml:space="preserve">http://slimages.macys.com/is/image/MCY/21209617 </v>
      </c>
    </row>
    <row r="543" spans="1:14" ht="24.75" x14ac:dyDescent="0.25">
      <c r="A543" s="21" t="s">
        <v>17145</v>
      </c>
      <c r="B543" s="22" t="s">
        <v>17146</v>
      </c>
      <c r="C543" s="2">
        <v>1</v>
      </c>
      <c r="D543" s="23">
        <v>5.99</v>
      </c>
      <c r="E543" s="3">
        <v>5.99</v>
      </c>
      <c r="F543" s="2" t="s">
        <v>17147</v>
      </c>
      <c r="G543" s="22" t="s">
        <v>19431</v>
      </c>
      <c r="H543" s="24" t="s">
        <v>19538</v>
      </c>
      <c r="I543" s="22" t="s">
        <v>19309</v>
      </c>
      <c r="J543" s="22" t="s">
        <v>19573</v>
      </c>
      <c r="K543" s="22" t="s">
        <v>19574</v>
      </c>
      <c r="L543" s="22"/>
      <c r="M543" s="22"/>
      <c r="N543" s="25" t="str">
        <f>HYPERLINK("http://slimages.macys.com/is/image/MCY/21209149 ")</f>
        <v xml:space="preserve">http://slimages.macys.com/is/image/MCY/21209149 </v>
      </c>
    </row>
    <row r="544" spans="1:14" ht="24.75" x14ac:dyDescent="0.25">
      <c r="A544" s="21" t="s">
        <v>14803</v>
      </c>
      <c r="B544" s="22" t="s">
        <v>14804</v>
      </c>
      <c r="C544" s="2">
        <v>1</v>
      </c>
      <c r="D544" s="23">
        <v>5.99</v>
      </c>
      <c r="E544" s="3">
        <v>5.99</v>
      </c>
      <c r="F544" s="2" t="s">
        <v>17147</v>
      </c>
      <c r="G544" s="22" t="s">
        <v>19431</v>
      </c>
      <c r="H544" s="24" t="s">
        <v>19330</v>
      </c>
      <c r="I544" s="22" t="s">
        <v>19309</v>
      </c>
      <c r="J544" s="22" t="s">
        <v>19573</v>
      </c>
      <c r="K544" s="22" t="s">
        <v>19574</v>
      </c>
      <c r="L544" s="22"/>
      <c r="M544" s="22"/>
      <c r="N544" s="25" t="str">
        <f>HYPERLINK("http://slimages.macys.com/is/image/MCY/21209149 ")</f>
        <v xml:space="preserve">http://slimages.macys.com/is/image/MCY/21209149 </v>
      </c>
    </row>
    <row r="545" spans="1:14" ht="24.75" x14ac:dyDescent="0.25">
      <c r="A545" s="21" t="s">
        <v>14805</v>
      </c>
      <c r="B545" s="22" t="s">
        <v>14806</v>
      </c>
      <c r="C545" s="2">
        <v>3</v>
      </c>
      <c r="D545" s="23">
        <v>5.99</v>
      </c>
      <c r="E545" s="3">
        <v>17.97</v>
      </c>
      <c r="F545" s="2" t="s">
        <v>17147</v>
      </c>
      <c r="G545" s="22" t="s">
        <v>19431</v>
      </c>
      <c r="H545" s="24" t="s">
        <v>19416</v>
      </c>
      <c r="I545" s="22" t="s">
        <v>19309</v>
      </c>
      <c r="J545" s="22" t="s">
        <v>19573</v>
      </c>
      <c r="K545" s="22" t="s">
        <v>19574</v>
      </c>
      <c r="L545" s="22"/>
      <c r="M545" s="22"/>
      <c r="N545" s="25" t="str">
        <f>HYPERLINK("http://slimages.macys.com/is/image/MCY/21209149 ")</f>
        <v xml:space="preserve">http://slimages.macys.com/is/image/MCY/21209149 </v>
      </c>
    </row>
    <row r="546" spans="1:14" ht="24.75" x14ac:dyDescent="0.25">
      <c r="A546" s="21" t="s">
        <v>14807</v>
      </c>
      <c r="B546" s="22" t="s">
        <v>14808</v>
      </c>
      <c r="C546" s="2">
        <v>1</v>
      </c>
      <c r="D546" s="23">
        <v>6.99</v>
      </c>
      <c r="E546" s="3">
        <v>6.99</v>
      </c>
      <c r="F546" s="2" t="s">
        <v>14809</v>
      </c>
      <c r="G546" s="22" t="s">
        <v>19674</v>
      </c>
      <c r="H546" s="24" t="s">
        <v>19324</v>
      </c>
      <c r="I546" s="22" t="s">
        <v>19309</v>
      </c>
      <c r="J546" s="22" t="s">
        <v>19573</v>
      </c>
      <c r="K546" s="22" t="s">
        <v>19574</v>
      </c>
      <c r="L546" s="22"/>
      <c r="M546" s="22"/>
      <c r="N546" s="25" t="str">
        <f>HYPERLINK("http://slimages.macys.com/is/image/MCY/20385753 ")</f>
        <v xml:space="preserve">http://slimages.macys.com/is/image/MCY/20385753 </v>
      </c>
    </row>
    <row r="547" spans="1:14" ht="24.75" x14ac:dyDescent="0.25">
      <c r="A547" s="21" t="s">
        <v>14810</v>
      </c>
      <c r="B547" s="22" t="s">
        <v>14811</v>
      </c>
      <c r="C547" s="2">
        <v>2</v>
      </c>
      <c r="D547" s="23">
        <v>6.99</v>
      </c>
      <c r="E547" s="3">
        <v>13.98</v>
      </c>
      <c r="F547" s="2" t="s">
        <v>14809</v>
      </c>
      <c r="G547" s="22" t="s">
        <v>19674</v>
      </c>
      <c r="H547" s="24" t="s">
        <v>19416</v>
      </c>
      <c r="I547" s="22" t="s">
        <v>19309</v>
      </c>
      <c r="J547" s="22" t="s">
        <v>19573</v>
      </c>
      <c r="K547" s="22" t="s">
        <v>19574</v>
      </c>
      <c r="L547" s="22"/>
      <c r="M547" s="22"/>
      <c r="N547" s="25" t="str">
        <f>HYPERLINK("http://slimages.macys.com/is/image/MCY/20385753 ")</f>
        <v xml:space="preserve">http://slimages.macys.com/is/image/MCY/20385753 </v>
      </c>
    </row>
    <row r="548" spans="1:14" ht="24.75" x14ac:dyDescent="0.25">
      <c r="A548" s="21" t="s">
        <v>14812</v>
      </c>
      <c r="B548" s="22" t="s">
        <v>14813</v>
      </c>
      <c r="C548" s="2">
        <v>2</v>
      </c>
      <c r="D548" s="23">
        <v>6.99</v>
      </c>
      <c r="E548" s="3">
        <v>13.98</v>
      </c>
      <c r="F548" s="2" t="s">
        <v>14809</v>
      </c>
      <c r="G548" s="22" t="s">
        <v>19674</v>
      </c>
      <c r="H548" s="24" t="s">
        <v>19330</v>
      </c>
      <c r="I548" s="22" t="s">
        <v>19309</v>
      </c>
      <c r="J548" s="22" t="s">
        <v>19573</v>
      </c>
      <c r="K548" s="22" t="s">
        <v>19574</v>
      </c>
      <c r="L548" s="22"/>
      <c r="M548" s="22"/>
      <c r="N548" s="25" t="str">
        <f>HYPERLINK("http://slimages.macys.com/is/image/MCY/20385753 ")</f>
        <v xml:space="preserve">http://slimages.macys.com/is/image/MCY/20385753 </v>
      </c>
    </row>
    <row r="549" spans="1:14" ht="24.75" x14ac:dyDescent="0.25">
      <c r="A549" s="21" t="s">
        <v>14814</v>
      </c>
      <c r="B549" s="22" t="s">
        <v>14815</v>
      </c>
      <c r="C549" s="2">
        <v>1</v>
      </c>
      <c r="D549" s="23">
        <v>6.99</v>
      </c>
      <c r="E549" s="3">
        <v>6.99</v>
      </c>
      <c r="F549" s="2" t="s">
        <v>14809</v>
      </c>
      <c r="G549" s="22" t="s">
        <v>19674</v>
      </c>
      <c r="H549" s="24" t="s">
        <v>19384</v>
      </c>
      <c r="I549" s="22" t="s">
        <v>19309</v>
      </c>
      <c r="J549" s="22" t="s">
        <v>19573</v>
      </c>
      <c r="K549" s="22" t="s">
        <v>19574</v>
      </c>
      <c r="L549" s="22"/>
      <c r="M549" s="22"/>
      <c r="N549" s="25" t="str">
        <f>HYPERLINK("http://slimages.macys.com/is/image/MCY/20385753 ")</f>
        <v xml:space="preserve">http://slimages.macys.com/is/image/MCY/20385753 </v>
      </c>
    </row>
    <row r="550" spans="1:14" ht="24.75" x14ac:dyDescent="0.25">
      <c r="A550" s="21" t="s">
        <v>14816</v>
      </c>
      <c r="B550" s="22" t="s">
        <v>14817</v>
      </c>
      <c r="C550" s="2">
        <v>1</v>
      </c>
      <c r="D550" s="23">
        <v>5.99</v>
      </c>
      <c r="E550" s="3">
        <v>5.99</v>
      </c>
      <c r="F550" s="2" t="s">
        <v>14818</v>
      </c>
      <c r="G550" s="22" t="s">
        <v>19794</v>
      </c>
      <c r="H550" s="24" t="s">
        <v>19416</v>
      </c>
      <c r="I550" s="22" t="s">
        <v>19309</v>
      </c>
      <c r="J550" s="22" t="s">
        <v>19573</v>
      </c>
      <c r="K550" s="22" t="s">
        <v>19574</v>
      </c>
      <c r="L550" s="22"/>
      <c r="M550" s="22"/>
      <c r="N550" s="25" t="str">
        <f>HYPERLINK("http://slimages.macys.com/is/image/MCY/21209137 ")</f>
        <v xml:space="preserve">http://slimages.macys.com/is/image/MCY/21209137 </v>
      </c>
    </row>
    <row r="551" spans="1:14" ht="24.75" x14ac:dyDescent="0.25">
      <c r="A551" s="21" t="s">
        <v>14819</v>
      </c>
      <c r="B551" s="22" t="s">
        <v>14820</v>
      </c>
      <c r="C551" s="2">
        <v>1</v>
      </c>
      <c r="D551" s="23">
        <v>5.99</v>
      </c>
      <c r="E551" s="3">
        <v>5.99</v>
      </c>
      <c r="F551" s="2" t="s">
        <v>14818</v>
      </c>
      <c r="G551" s="22" t="s">
        <v>19794</v>
      </c>
      <c r="H551" s="24" t="s">
        <v>19538</v>
      </c>
      <c r="I551" s="22" t="s">
        <v>19309</v>
      </c>
      <c r="J551" s="22" t="s">
        <v>19573</v>
      </c>
      <c r="K551" s="22" t="s">
        <v>19574</v>
      </c>
      <c r="L551" s="22"/>
      <c r="M551" s="22"/>
      <c r="N551" s="25" t="str">
        <f>HYPERLINK("http://slimages.macys.com/is/image/MCY/21209137 ")</f>
        <v xml:space="preserve">http://slimages.macys.com/is/image/MCY/21209137 </v>
      </c>
    </row>
    <row r="552" spans="1:14" ht="24.75" x14ac:dyDescent="0.25">
      <c r="A552" s="21" t="s">
        <v>14821</v>
      </c>
      <c r="B552" s="22" t="s">
        <v>14822</v>
      </c>
      <c r="C552" s="2">
        <v>1</v>
      </c>
      <c r="D552" s="23">
        <v>6.99</v>
      </c>
      <c r="E552" s="3">
        <v>6.99</v>
      </c>
      <c r="F552" s="2" t="s">
        <v>14823</v>
      </c>
      <c r="G552" s="22" t="s">
        <v>19422</v>
      </c>
      <c r="H552" s="24" t="s">
        <v>19330</v>
      </c>
      <c r="I552" s="22" t="s">
        <v>19309</v>
      </c>
      <c r="J552" s="22" t="s">
        <v>19573</v>
      </c>
      <c r="K552" s="22" t="s">
        <v>19574</v>
      </c>
      <c r="L552" s="22"/>
      <c r="M552" s="22"/>
      <c r="N552" s="25" t="str">
        <f>HYPERLINK("http://slimages.macys.com/is/image/MCY/19588493 ")</f>
        <v xml:space="preserve">http://slimages.macys.com/is/image/MCY/19588493 </v>
      </c>
    </row>
    <row r="553" spans="1:14" ht="24.75" x14ac:dyDescent="0.25">
      <c r="A553" s="21" t="s">
        <v>14824</v>
      </c>
      <c r="B553" s="22" t="s">
        <v>14825</v>
      </c>
      <c r="C553" s="2">
        <v>2</v>
      </c>
      <c r="D553" s="23">
        <v>7.99</v>
      </c>
      <c r="E553" s="3">
        <v>15.98</v>
      </c>
      <c r="F553" s="2" t="s">
        <v>14826</v>
      </c>
      <c r="G553" s="22" t="s">
        <v>19415</v>
      </c>
      <c r="H553" s="24" t="s">
        <v>19384</v>
      </c>
      <c r="I553" s="22" t="s">
        <v>19309</v>
      </c>
      <c r="J553" s="22" t="s">
        <v>19573</v>
      </c>
      <c r="K553" s="22" t="s">
        <v>19574</v>
      </c>
      <c r="L553" s="22"/>
      <c r="M553" s="22"/>
      <c r="N553" s="25" t="str">
        <f>HYPERLINK("http://slimages.macys.com/is/image/MCY/21209212 ")</f>
        <v xml:space="preserve">http://slimages.macys.com/is/image/MCY/21209212 </v>
      </c>
    </row>
    <row r="554" spans="1:14" ht="24.75" x14ac:dyDescent="0.25">
      <c r="A554" s="21" t="s">
        <v>14827</v>
      </c>
      <c r="B554" s="22" t="s">
        <v>14828</v>
      </c>
      <c r="C554" s="2">
        <v>1</v>
      </c>
      <c r="D554" s="23">
        <v>5.99</v>
      </c>
      <c r="E554" s="3">
        <v>5.99</v>
      </c>
      <c r="F554" s="2" t="s">
        <v>14818</v>
      </c>
      <c r="G554" s="22" t="s">
        <v>19794</v>
      </c>
      <c r="H554" s="24" t="s">
        <v>19330</v>
      </c>
      <c r="I554" s="22" t="s">
        <v>19309</v>
      </c>
      <c r="J554" s="22" t="s">
        <v>19573</v>
      </c>
      <c r="K554" s="22" t="s">
        <v>19574</v>
      </c>
      <c r="L554" s="22"/>
      <c r="M554" s="22"/>
      <c r="N554" s="25" t="str">
        <f>HYPERLINK("http://slimages.macys.com/is/image/MCY/21209137 ")</f>
        <v xml:space="preserve">http://slimages.macys.com/is/image/MCY/21209137 </v>
      </c>
    </row>
    <row r="555" spans="1:14" ht="24.75" x14ac:dyDescent="0.25">
      <c r="A555" s="21" t="s">
        <v>14829</v>
      </c>
      <c r="B555" s="22" t="s">
        <v>14830</v>
      </c>
      <c r="C555" s="2">
        <v>1</v>
      </c>
      <c r="D555" s="23">
        <v>7.99</v>
      </c>
      <c r="E555" s="3">
        <v>7.99</v>
      </c>
      <c r="F555" s="2" t="s">
        <v>14826</v>
      </c>
      <c r="G555" s="22" t="s">
        <v>19415</v>
      </c>
      <c r="H555" s="24" t="s">
        <v>19538</v>
      </c>
      <c r="I555" s="22" t="s">
        <v>19309</v>
      </c>
      <c r="J555" s="22" t="s">
        <v>19573</v>
      </c>
      <c r="K555" s="22" t="s">
        <v>19574</v>
      </c>
      <c r="L555" s="22"/>
      <c r="M555" s="22"/>
      <c r="N555" s="25" t="str">
        <f>HYPERLINK("http://slimages.macys.com/is/image/MCY/21209212 ")</f>
        <v xml:space="preserve">http://slimages.macys.com/is/image/MCY/21209212 </v>
      </c>
    </row>
    <row r="556" spans="1:14" ht="24.75" x14ac:dyDescent="0.25">
      <c r="A556" s="21" t="s">
        <v>19141</v>
      </c>
      <c r="B556" s="22" t="s">
        <v>19142</v>
      </c>
      <c r="C556" s="2">
        <v>2</v>
      </c>
      <c r="D556" s="23">
        <v>5.99</v>
      </c>
      <c r="E556" s="3">
        <v>11.98</v>
      </c>
      <c r="F556" s="2" t="s">
        <v>19140</v>
      </c>
      <c r="G556" s="22" t="s">
        <v>19674</v>
      </c>
      <c r="H556" s="24" t="s">
        <v>19324</v>
      </c>
      <c r="I556" s="22" t="s">
        <v>19309</v>
      </c>
      <c r="J556" s="22" t="s">
        <v>19573</v>
      </c>
      <c r="K556" s="22" t="s">
        <v>19574</v>
      </c>
      <c r="L556" s="22"/>
      <c r="M556" s="22"/>
      <c r="N556" s="25" t="str">
        <f>HYPERLINK("http://slimages.macys.com/is/image/MCY/21970109 ")</f>
        <v xml:space="preserve">http://slimages.macys.com/is/image/MCY/21970109 </v>
      </c>
    </row>
    <row r="557" spans="1:14" ht="24.75" x14ac:dyDescent="0.25">
      <c r="A557" s="21" t="s">
        <v>14831</v>
      </c>
      <c r="B557" s="22" t="s">
        <v>14832</v>
      </c>
      <c r="C557" s="2">
        <v>3</v>
      </c>
      <c r="D557" s="23">
        <v>5.99</v>
      </c>
      <c r="E557" s="3">
        <v>17.97</v>
      </c>
      <c r="F557" s="2" t="s">
        <v>19145</v>
      </c>
      <c r="G557" s="22" t="s">
        <v>19618</v>
      </c>
      <c r="H557" s="24" t="s">
        <v>19330</v>
      </c>
      <c r="I557" s="22" t="s">
        <v>19309</v>
      </c>
      <c r="J557" s="22" t="s">
        <v>19573</v>
      </c>
      <c r="K557" s="22" t="s">
        <v>19574</v>
      </c>
      <c r="L557" s="22"/>
      <c r="M557" s="22"/>
      <c r="N557" s="25" t="str">
        <f>HYPERLINK("http://slimages.macys.com/is/image/MCY/21970089 ")</f>
        <v xml:space="preserve">http://slimages.macys.com/is/image/MCY/21970089 </v>
      </c>
    </row>
    <row r="558" spans="1:14" ht="24.75" x14ac:dyDescent="0.25">
      <c r="A558" s="21" t="s">
        <v>14833</v>
      </c>
      <c r="B558" s="22" t="s">
        <v>14834</v>
      </c>
      <c r="C558" s="2">
        <v>3</v>
      </c>
      <c r="D558" s="23">
        <v>5.99</v>
      </c>
      <c r="E558" s="3">
        <v>17.97</v>
      </c>
      <c r="F558" s="2" t="s">
        <v>19145</v>
      </c>
      <c r="G558" s="22" t="s">
        <v>19618</v>
      </c>
      <c r="H558" s="24" t="s">
        <v>19324</v>
      </c>
      <c r="I558" s="22" t="s">
        <v>19309</v>
      </c>
      <c r="J558" s="22" t="s">
        <v>19573</v>
      </c>
      <c r="K558" s="22" t="s">
        <v>19574</v>
      </c>
      <c r="L558" s="22"/>
      <c r="M558" s="22"/>
      <c r="N558" s="25" t="str">
        <f>HYPERLINK("http://slimages.macys.com/is/image/MCY/21970089 ")</f>
        <v xml:space="preserve">http://slimages.macys.com/is/image/MCY/21970089 </v>
      </c>
    </row>
    <row r="559" spans="1:14" ht="24.75" x14ac:dyDescent="0.25">
      <c r="A559" s="21" t="s">
        <v>19150</v>
      </c>
      <c r="B559" s="22" t="s">
        <v>19151</v>
      </c>
      <c r="C559" s="2">
        <v>1</v>
      </c>
      <c r="D559" s="23">
        <v>5.99</v>
      </c>
      <c r="E559" s="3">
        <v>5.99</v>
      </c>
      <c r="F559" s="2" t="s">
        <v>19145</v>
      </c>
      <c r="G559" s="22" t="s">
        <v>19618</v>
      </c>
      <c r="H559" s="24" t="s">
        <v>19384</v>
      </c>
      <c r="I559" s="22" t="s">
        <v>19309</v>
      </c>
      <c r="J559" s="22" t="s">
        <v>19573</v>
      </c>
      <c r="K559" s="22" t="s">
        <v>19574</v>
      </c>
      <c r="L559" s="22"/>
      <c r="M559" s="22"/>
      <c r="N559" s="25" t="str">
        <f>HYPERLINK("http://slimages.macys.com/is/image/MCY/21970089 ")</f>
        <v xml:space="preserve">http://slimages.macys.com/is/image/MCY/21970089 </v>
      </c>
    </row>
    <row r="560" spans="1:14" ht="24.75" x14ac:dyDescent="0.25">
      <c r="A560" s="21" t="s">
        <v>19143</v>
      </c>
      <c r="B560" s="22" t="s">
        <v>19144</v>
      </c>
      <c r="C560" s="2">
        <v>1</v>
      </c>
      <c r="D560" s="23">
        <v>5.99</v>
      </c>
      <c r="E560" s="3">
        <v>5.99</v>
      </c>
      <c r="F560" s="2" t="s">
        <v>19145</v>
      </c>
      <c r="G560" s="22" t="s">
        <v>19618</v>
      </c>
      <c r="H560" s="24" t="s">
        <v>19538</v>
      </c>
      <c r="I560" s="22" t="s">
        <v>19309</v>
      </c>
      <c r="J560" s="22" t="s">
        <v>19573</v>
      </c>
      <c r="K560" s="22" t="s">
        <v>19574</v>
      </c>
      <c r="L560" s="22"/>
      <c r="M560" s="22"/>
      <c r="N560" s="25" t="str">
        <f>HYPERLINK("http://slimages.macys.com/is/image/MCY/21970089 ")</f>
        <v xml:space="preserve">http://slimages.macys.com/is/image/MCY/21970089 </v>
      </c>
    </row>
    <row r="561" spans="1:14" ht="24.75" x14ac:dyDescent="0.25">
      <c r="A561" s="21" t="s">
        <v>14835</v>
      </c>
      <c r="B561" s="22" t="s">
        <v>14836</v>
      </c>
      <c r="C561" s="2">
        <v>1</v>
      </c>
      <c r="D561" s="23">
        <v>5.99</v>
      </c>
      <c r="E561" s="3">
        <v>5.99</v>
      </c>
      <c r="F561" s="2" t="s">
        <v>19145</v>
      </c>
      <c r="G561" s="22" t="s">
        <v>19618</v>
      </c>
      <c r="H561" s="24" t="s">
        <v>19416</v>
      </c>
      <c r="I561" s="22" t="s">
        <v>19309</v>
      </c>
      <c r="J561" s="22" t="s">
        <v>19573</v>
      </c>
      <c r="K561" s="22" t="s">
        <v>19574</v>
      </c>
      <c r="L561" s="22"/>
      <c r="M561" s="22"/>
      <c r="N561" s="25" t="str">
        <f>HYPERLINK("http://slimages.macys.com/is/image/MCY/21970089 ")</f>
        <v xml:space="preserve">http://slimages.macys.com/is/image/MCY/21970089 </v>
      </c>
    </row>
    <row r="562" spans="1:14" ht="24.75" x14ac:dyDescent="0.25">
      <c r="A562" s="21" t="s">
        <v>19152</v>
      </c>
      <c r="B562" s="22" t="s">
        <v>19153</v>
      </c>
      <c r="C562" s="2">
        <v>3</v>
      </c>
      <c r="D562" s="23">
        <v>5.99</v>
      </c>
      <c r="E562" s="3">
        <v>17.97</v>
      </c>
      <c r="F562" s="2" t="s">
        <v>19140</v>
      </c>
      <c r="G562" s="22" t="s">
        <v>19674</v>
      </c>
      <c r="H562" s="24" t="s">
        <v>19538</v>
      </c>
      <c r="I562" s="22" t="s">
        <v>19309</v>
      </c>
      <c r="J562" s="22" t="s">
        <v>19573</v>
      </c>
      <c r="K562" s="22" t="s">
        <v>19574</v>
      </c>
      <c r="L562" s="22"/>
      <c r="M562" s="22"/>
      <c r="N562" s="25" t="str">
        <f>HYPERLINK("http://slimages.macys.com/is/image/MCY/21970109 ")</f>
        <v xml:space="preserve">http://slimages.macys.com/is/image/MCY/21970109 </v>
      </c>
    </row>
    <row r="563" spans="1:14" ht="24.75" x14ac:dyDescent="0.25">
      <c r="A563" s="21" t="s">
        <v>14837</v>
      </c>
      <c r="B563" s="22" t="s">
        <v>14838</v>
      </c>
      <c r="C563" s="2">
        <v>1</v>
      </c>
      <c r="D563" s="23">
        <v>5.99</v>
      </c>
      <c r="E563" s="3">
        <v>5.99</v>
      </c>
      <c r="F563" s="2" t="s">
        <v>17168</v>
      </c>
      <c r="G563" s="22" t="s">
        <v>19618</v>
      </c>
      <c r="H563" s="24" t="s">
        <v>19384</v>
      </c>
      <c r="I563" s="22" t="s">
        <v>19309</v>
      </c>
      <c r="J563" s="22" t="s">
        <v>19573</v>
      </c>
      <c r="K563" s="22" t="s">
        <v>19574</v>
      </c>
      <c r="L563" s="22"/>
      <c r="M563" s="22"/>
      <c r="N563" s="25" t="str">
        <f>HYPERLINK("http://slimages.macys.com/is/image/MCY/21088377 ")</f>
        <v xml:space="preserve">http://slimages.macys.com/is/image/MCY/21088377 </v>
      </c>
    </row>
    <row r="564" spans="1:14" ht="24.75" x14ac:dyDescent="0.25">
      <c r="A564" s="21" t="s">
        <v>19138</v>
      </c>
      <c r="B564" s="22" t="s">
        <v>19139</v>
      </c>
      <c r="C564" s="2">
        <v>5</v>
      </c>
      <c r="D564" s="23">
        <v>5.99</v>
      </c>
      <c r="E564" s="3">
        <v>29.95</v>
      </c>
      <c r="F564" s="2" t="s">
        <v>19140</v>
      </c>
      <c r="G564" s="22" t="s">
        <v>19674</v>
      </c>
      <c r="H564" s="24" t="s">
        <v>19330</v>
      </c>
      <c r="I564" s="22" t="s">
        <v>19309</v>
      </c>
      <c r="J564" s="22" t="s">
        <v>19573</v>
      </c>
      <c r="K564" s="22" t="s">
        <v>19574</v>
      </c>
      <c r="L564" s="22"/>
      <c r="M564" s="22"/>
      <c r="N564" s="25" t="str">
        <f>HYPERLINK("http://slimages.macys.com/is/image/MCY/21970109 ")</f>
        <v xml:space="preserve">http://slimages.macys.com/is/image/MCY/21970109 </v>
      </c>
    </row>
    <row r="565" spans="1:14" ht="24.75" x14ac:dyDescent="0.25">
      <c r="A565" s="21" t="s">
        <v>14839</v>
      </c>
      <c r="B565" s="22" t="s">
        <v>14840</v>
      </c>
      <c r="C565" s="2">
        <v>5</v>
      </c>
      <c r="D565" s="23">
        <v>5.99</v>
      </c>
      <c r="E565" s="3">
        <v>29.95</v>
      </c>
      <c r="F565" s="2" t="s">
        <v>19140</v>
      </c>
      <c r="G565" s="22" t="s">
        <v>19674</v>
      </c>
      <c r="H565" s="24" t="s">
        <v>19416</v>
      </c>
      <c r="I565" s="22" t="s">
        <v>19309</v>
      </c>
      <c r="J565" s="22" t="s">
        <v>19573</v>
      </c>
      <c r="K565" s="22" t="s">
        <v>19574</v>
      </c>
      <c r="L565" s="22"/>
      <c r="M565" s="22"/>
      <c r="N565" s="25" t="str">
        <f>HYPERLINK("http://slimages.macys.com/is/image/MCY/21970109 ")</f>
        <v xml:space="preserve">http://slimages.macys.com/is/image/MCY/21970109 </v>
      </c>
    </row>
    <row r="566" spans="1:14" ht="24.75" x14ac:dyDescent="0.25">
      <c r="A566" s="21" t="s">
        <v>14841</v>
      </c>
      <c r="B566" s="22" t="s">
        <v>14842</v>
      </c>
      <c r="C566" s="2">
        <v>3</v>
      </c>
      <c r="D566" s="23">
        <v>5.99</v>
      </c>
      <c r="E566" s="3">
        <v>17.97</v>
      </c>
      <c r="F566" s="2" t="s">
        <v>19140</v>
      </c>
      <c r="G566" s="22" t="s">
        <v>19674</v>
      </c>
      <c r="H566" s="24" t="s">
        <v>19384</v>
      </c>
      <c r="I566" s="22" t="s">
        <v>19309</v>
      </c>
      <c r="J566" s="22" t="s">
        <v>19573</v>
      </c>
      <c r="K566" s="22" t="s">
        <v>19574</v>
      </c>
      <c r="L566" s="22"/>
      <c r="M566" s="22"/>
      <c r="N566" s="25" t="str">
        <f>HYPERLINK("http://slimages.macys.com/is/image/MCY/21970109 ")</f>
        <v xml:space="preserve">http://slimages.macys.com/is/image/MCY/21970109 </v>
      </c>
    </row>
    <row r="567" spans="1:14" ht="24.75" x14ac:dyDescent="0.25">
      <c r="A567" s="21" t="s">
        <v>14843</v>
      </c>
      <c r="B567" s="22" t="s">
        <v>14844</v>
      </c>
      <c r="C567" s="2">
        <v>1</v>
      </c>
      <c r="D567" s="23">
        <v>5.99</v>
      </c>
      <c r="E567" s="3">
        <v>5.99</v>
      </c>
      <c r="F567" s="2" t="s">
        <v>14845</v>
      </c>
      <c r="G567" s="22" t="s">
        <v>19351</v>
      </c>
      <c r="H567" s="24" t="s">
        <v>19324</v>
      </c>
      <c r="I567" s="22" t="s">
        <v>19309</v>
      </c>
      <c r="J567" s="22" t="s">
        <v>19573</v>
      </c>
      <c r="K567" s="22" t="s">
        <v>19574</v>
      </c>
      <c r="L567" s="22"/>
      <c r="M567" s="22"/>
      <c r="N567" s="25" t="str">
        <f>HYPERLINK("http://slimages.macys.com/is/image/MCY/20548122 ")</f>
        <v xml:space="preserve">http://slimages.macys.com/is/image/MCY/20548122 </v>
      </c>
    </row>
    <row r="568" spans="1:14" ht="24.75" x14ac:dyDescent="0.25">
      <c r="A568" s="21" t="s">
        <v>14846</v>
      </c>
      <c r="B568" s="22" t="s">
        <v>14847</v>
      </c>
      <c r="C568" s="2">
        <v>3</v>
      </c>
      <c r="D568" s="23">
        <v>7.99</v>
      </c>
      <c r="E568" s="3">
        <v>23.97</v>
      </c>
      <c r="F568" s="2" t="s">
        <v>14848</v>
      </c>
      <c r="G568" s="22" t="s">
        <v>19351</v>
      </c>
      <c r="H568" s="24" t="s">
        <v>19907</v>
      </c>
      <c r="I568" s="22" t="s">
        <v>19309</v>
      </c>
      <c r="J568" s="22" t="s">
        <v>19573</v>
      </c>
      <c r="K568" s="22" t="s">
        <v>19574</v>
      </c>
      <c r="L568" s="22"/>
      <c r="M568" s="22"/>
      <c r="N568" s="25" t="str">
        <f>HYPERLINK("http://slimages.macys.com/is/image/MCY/21209457 ")</f>
        <v xml:space="preserve">http://slimages.macys.com/is/image/MCY/21209457 </v>
      </c>
    </row>
    <row r="569" spans="1:14" ht="24.75" x14ac:dyDescent="0.25">
      <c r="A569" s="21" t="s">
        <v>14849</v>
      </c>
      <c r="B569" s="22" t="s">
        <v>14850</v>
      </c>
      <c r="C569" s="2">
        <v>1</v>
      </c>
      <c r="D569" s="23">
        <v>7.99</v>
      </c>
      <c r="E569" s="3">
        <v>7.99</v>
      </c>
      <c r="F569" s="2" t="s">
        <v>14851</v>
      </c>
      <c r="G569" s="22" t="s">
        <v>19351</v>
      </c>
      <c r="H569" s="24" t="s">
        <v>20089</v>
      </c>
      <c r="I569" s="22" t="s">
        <v>19309</v>
      </c>
      <c r="J569" s="22" t="s">
        <v>19573</v>
      </c>
      <c r="K569" s="22" t="s">
        <v>19574</v>
      </c>
      <c r="L569" s="22"/>
      <c r="M569" s="22"/>
      <c r="N569" s="25" t="str">
        <f>HYPERLINK("http://slimages.macys.com/is/image/MCY/21209295 ")</f>
        <v xml:space="preserve">http://slimages.macys.com/is/image/MCY/21209295 </v>
      </c>
    </row>
    <row r="570" spans="1:14" ht="24.75" x14ac:dyDescent="0.25">
      <c r="A570" s="21" t="s">
        <v>14852</v>
      </c>
      <c r="B570" s="22" t="s">
        <v>14853</v>
      </c>
      <c r="C570" s="2">
        <v>2</v>
      </c>
      <c r="D570" s="23">
        <v>7.99</v>
      </c>
      <c r="E570" s="3">
        <v>15.98</v>
      </c>
      <c r="F570" s="2" t="s">
        <v>14848</v>
      </c>
      <c r="G570" s="22" t="s">
        <v>19351</v>
      </c>
      <c r="H570" s="24" t="s">
        <v>20089</v>
      </c>
      <c r="I570" s="22" t="s">
        <v>19309</v>
      </c>
      <c r="J570" s="22" t="s">
        <v>19573</v>
      </c>
      <c r="K570" s="22" t="s">
        <v>19574</v>
      </c>
      <c r="L570" s="22"/>
      <c r="M570" s="22"/>
      <c r="N570" s="25" t="str">
        <f>HYPERLINK("http://slimages.macys.com/is/image/MCY/21209457 ")</f>
        <v xml:space="preserve">http://slimages.macys.com/is/image/MCY/21209457 </v>
      </c>
    </row>
    <row r="571" spans="1:14" ht="24.75" x14ac:dyDescent="0.25">
      <c r="A571" s="21" t="s">
        <v>14854</v>
      </c>
      <c r="B571" s="22" t="s">
        <v>14855</v>
      </c>
      <c r="C571" s="2">
        <v>2</v>
      </c>
      <c r="D571" s="23">
        <v>7.99</v>
      </c>
      <c r="E571" s="3">
        <v>15.98</v>
      </c>
      <c r="F571" s="2" t="s">
        <v>14851</v>
      </c>
      <c r="G571" s="22" t="s">
        <v>19351</v>
      </c>
      <c r="H571" s="24" t="s">
        <v>20135</v>
      </c>
      <c r="I571" s="22" t="s">
        <v>19309</v>
      </c>
      <c r="J571" s="22" t="s">
        <v>19573</v>
      </c>
      <c r="K571" s="22" t="s">
        <v>19574</v>
      </c>
      <c r="L571" s="22"/>
      <c r="M571" s="22"/>
      <c r="N571" s="25" t="str">
        <f>HYPERLINK("http://slimages.macys.com/is/image/MCY/21209626 ")</f>
        <v xml:space="preserve">http://slimages.macys.com/is/image/MCY/21209626 </v>
      </c>
    </row>
    <row r="572" spans="1:14" ht="24.75" x14ac:dyDescent="0.25">
      <c r="A572" s="21" t="s">
        <v>14856</v>
      </c>
      <c r="B572" s="22" t="s">
        <v>14857</v>
      </c>
      <c r="C572" s="2">
        <v>1</v>
      </c>
      <c r="D572" s="23">
        <v>5.99</v>
      </c>
      <c r="E572" s="3">
        <v>5.99</v>
      </c>
      <c r="F572" s="2" t="s">
        <v>14858</v>
      </c>
      <c r="G572" s="22" t="s">
        <v>19351</v>
      </c>
      <c r="H572" s="24" t="s">
        <v>19384</v>
      </c>
      <c r="I572" s="22" t="s">
        <v>19309</v>
      </c>
      <c r="J572" s="22" t="s">
        <v>19573</v>
      </c>
      <c r="K572" s="22" t="s">
        <v>19574</v>
      </c>
      <c r="L572" s="22"/>
      <c r="M572" s="22"/>
      <c r="N572" s="25" t="str">
        <f>HYPERLINK("http://slimages.macys.com/is/image/MCY/21088493 ")</f>
        <v xml:space="preserve">http://slimages.macys.com/is/image/MCY/21088493 </v>
      </c>
    </row>
    <row r="573" spans="1:14" ht="24.75" x14ac:dyDescent="0.25">
      <c r="A573" s="21" t="s">
        <v>19162</v>
      </c>
      <c r="B573" s="22" t="s">
        <v>19163</v>
      </c>
      <c r="C573" s="2">
        <v>1</v>
      </c>
      <c r="D573" s="23">
        <v>5.99</v>
      </c>
      <c r="E573" s="3">
        <v>5.99</v>
      </c>
      <c r="F573" s="2" t="s">
        <v>19164</v>
      </c>
      <c r="G573" s="22" t="s">
        <v>19351</v>
      </c>
      <c r="H573" s="24" t="s">
        <v>19416</v>
      </c>
      <c r="I573" s="22" t="s">
        <v>19309</v>
      </c>
      <c r="J573" s="22" t="s">
        <v>19573</v>
      </c>
      <c r="K573" s="22" t="s">
        <v>19574</v>
      </c>
      <c r="L573" s="22"/>
      <c r="M573" s="22"/>
      <c r="N573" s="25" t="str">
        <f>HYPERLINK("http://slimages.macys.com/is/image/MCY/21970095 ")</f>
        <v xml:space="preserve">http://slimages.macys.com/is/image/MCY/21970095 </v>
      </c>
    </row>
    <row r="574" spans="1:14" ht="24.75" x14ac:dyDescent="0.25">
      <c r="A574" s="21" t="s">
        <v>14859</v>
      </c>
      <c r="B574" s="22" t="s">
        <v>14860</v>
      </c>
      <c r="C574" s="2">
        <v>2</v>
      </c>
      <c r="D574" s="23">
        <v>5.99</v>
      </c>
      <c r="E574" s="3">
        <v>11.98</v>
      </c>
      <c r="F574" s="2" t="s">
        <v>19164</v>
      </c>
      <c r="G574" s="22" t="s">
        <v>19351</v>
      </c>
      <c r="H574" s="24" t="s">
        <v>19324</v>
      </c>
      <c r="I574" s="22" t="s">
        <v>19309</v>
      </c>
      <c r="J574" s="22" t="s">
        <v>19573</v>
      </c>
      <c r="K574" s="22" t="s">
        <v>19574</v>
      </c>
      <c r="L574" s="22"/>
      <c r="M574" s="22"/>
      <c r="N574" s="25" t="str">
        <f>HYPERLINK("http://slimages.macys.com/is/image/MCY/21970095 ")</f>
        <v xml:space="preserve">http://slimages.macys.com/is/image/MCY/21970095 </v>
      </c>
    </row>
    <row r="575" spans="1:14" ht="24.75" x14ac:dyDescent="0.25">
      <c r="A575" s="21" t="s">
        <v>17179</v>
      </c>
      <c r="B575" s="22" t="s">
        <v>17180</v>
      </c>
      <c r="C575" s="2">
        <v>2</v>
      </c>
      <c r="D575" s="23">
        <v>5.99</v>
      </c>
      <c r="E575" s="3">
        <v>11.98</v>
      </c>
      <c r="F575" s="2" t="s">
        <v>19167</v>
      </c>
      <c r="G575" s="22" t="s">
        <v>19618</v>
      </c>
      <c r="H575" s="24" t="s">
        <v>19384</v>
      </c>
      <c r="I575" s="22" t="s">
        <v>19309</v>
      </c>
      <c r="J575" s="22" t="s">
        <v>19573</v>
      </c>
      <c r="K575" s="22" t="s">
        <v>19574</v>
      </c>
      <c r="L575" s="22"/>
      <c r="M575" s="22"/>
      <c r="N575" s="25" t="str">
        <f>HYPERLINK("http://slimages.macys.com/is/image/MCY/20736377 ")</f>
        <v xml:space="preserve">http://slimages.macys.com/is/image/MCY/20736377 </v>
      </c>
    </row>
    <row r="576" spans="1:14" ht="24.75" x14ac:dyDescent="0.25">
      <c r="A576" s="21" t="s">
        <v>19165</v>
      </c>
      <c r="B576" s="22" t="s">
        <v>19166</v>
      </c>
      <c r="C576" s="2">
        <v>5</v>
      </c>
      <c r="D576" s="23">
        <v>5.99</v>
      </c>
      <c r="E576" s="3">
        <v>29.95</v>
      </c>
      <c r="F576" s="2" t="s">
        <v>19167</v>
      </c>
      <c r="G576" s="22" t="s">
        <v>19618</v>
      </c>
      <c r="H576" s="24" t="s">
        <v>19538</v>
      </c>
      <c r="I576" s="22" t="s">
        <v>19309</v>
      </c>
      <c r="J576" s="22" t="s">
        <v>19573</v>
      </c>
      <c r="K576" s="22" t="s">
        <v>19574</v>
      </c>
      <c r="L576" s="22"/>
      <c r="M576" s="22"/>
      <c r="N576" s="25" t="str">
        <f>HYPERLINK("http://slimages.macys.com/is/image/MCY/20736377 ")</f>
        <v xml:space="preserve">http://slimages.macys.com/is/image/MCY/20736377 </v>
      </c>
    </row>
    <row r="577" spans="1:14" ht="24.75" x14ac:dyDescent="0.25">
      <c r="A577" s="21" t="s">
        <v>14861</v>
      </c>
      <c r="B577" s="22" t="s">
        <v>14862</v>
      </c>
      <c r="C577" s="2">
        <v>1</v>
      </c>
      <c r="D577" s="23">
        <v>6.99</v>
      </c>
      <c r="E577" s="3">
        <v>6.99</v>
      </c>
      <c r="F577" s="2">
        <v>10014307400</v>
      </c>
      <c r="G577" s="22" t="s">
        <v>19713</v>
      </c>
      <c r="H577" s="24" t="s">
        <v>19770</v>
      </c>
      <c r="I577" s="22" t="s">
        <v>19309</v>
      </c>
      <c r="J577" s="22" t="s">
        <v>19573</v>
      </c>
      <c r="K577" s="22" t="s">
        <v>19574</v>
      </c>
      <c r="L577" s="22"/>
      <c r="M577" s="22"/>
      <c r="N577" s="25" t="str">
        <f>HYPERLINK("http://slimages.macys.com/is/image/MCY/20758051 ")</f>
        <v xml:space="preserve">http://slimages.macys.com/is/image/MCY/20758051 </v>
      </c>
    </row>
    <row r="578" spans="1:14" ht="24.75" x14ac:dyDescent="0.25">
      <c r="A578" s="21" t="s">
        <v>14863</v>
      </c>
      <c r="B578" s="22" t="s">
        <v>14864</v>
      </c>
      <c r="C578" s="2">
        <v>1</v>
      </c>
      <c r="D578" s="23">
        <v>6.99</v>
      </c>
      <c r="E578" s="3">
        <v>6.99</v>
      </c>
      <c r="F578" s="2">
        <v>10014307300</v>
      </c>
      <c r="G578" s="22" t="s">
        <v>19713</v>
      </c>
      <c r="H578" s="24" t="s">
        <v>19538</v>
      </c>
      <c r="I578" s="22" t="s">
        <v>19309</v>
      </c>
      <c r="J578" s="22" t="s">
        <v>19573</v>
      </c>
      <c r="K578" s="22" t="s">
        <v>19574</v>
      </c>
      <c r="L578" s="22"/>
      <c r="M578" s="22"/>
      <c r="N578" s="25" t="str">
        <f>HYPERLINK("http://slimages.macys.com/is/image/MCY/20753541 ")</f>
        <v xml:space="preserve">http://slimages.macys.com/is/image/MCY/20753541 </v>
      </c>
    </row>
    <row r="579" spans="1:14" ht="24.75" x14ac:dyDescent="0.25">
      <c r="A579" s="21" t="s">
        <v>14865</v>
      </c>
      <c r="B579" s="22" t="s">
        <v>14866</v>
      </c>
      <c r="C579" s="2">
        <v>1</v>
      </c>
      <c r="D579" s="23">
        <v>5.99</v>
      </c>
      <c r="E579" s="3">
        <v>5.99</v>
      </c>
      <c r="F579" s="2" t="s">
        <v>19170</v>
      </c>
      <c r="G579" s="22" t="s">
        <v>19906</v>
      </c>
      <c r="H579" s="24" t="s">
        <v>19384</v>
      </c>
      <c r="I579" s="22" t="s">
        <v>19309</v>
      </c>
      <c r="J579" s="22" t="s">
        <v>19573</v>
      </c>
      <c r="K579" s="22" t="s">
        <v>19574</v>
      </c>
      <c r="L579" s="22"/>
      <c r="M579" s="22"/>
      <c r="N579" s="25" t="str">
        <f>HYPERLINK("http://slimages.macys.com/is/image/MCY/21361119 ")</f>
        <v xml:space="preserve">http://slimages.macys.com/is/image/MCY/21361119 </v>
      </c>
    </row>
    <row r="580" spans="1:14" ht="24.75" x14ac:dyDescent="0.25">
      <c r="A580" s="21" t="s">
        <v>14867</v>
      </c>
      <c r="B580" s="22" t="s">
        <v>14868</v>
      </c>
      <c r="C580" s="2">
        <v>1</v>
      </c>
      <c r="D580" s="23">
        <v>5.99</v>
      </c>
      <c r="E580" s="3">
        <v>5.99</v>
      </c>
      <c r="F580" s="2" t="s">
        <v>19170</v>
      </c>
      <c r="G580" s="22" t="s">
        <v>19906</v>
      </c>
      <c r="H580" s="24" t="s">
        <v>19324</v>
      </c>
      <c r="I580" s="22" t="s">
        <v>19309</v>
      </c>
      <c r="J580" s="22" t="s">
        <v>19573</v>
      </c>
      <c r="K580" s="22" t="s">
        <v>19574</v>
      </c>
      <c r="L580" s="22"/>
      <c r="M580" s="22"/>
      <c r="N580" s="25" t="str">
        <f>HYPERLINK("http://slimages.macys.com/is/image/MCY/21361119 ")</f>
        <v xml:space="preserve">http://slimages.macys.com/is/image/MCY/21361119 </v>
      </c>
    </row>
    <row r="581" spans="1:14" ht="24.75" x14ac:dyDescent="0.25">
      <c r="A581" s="21" t="s">
        <v>19174</v>
      </c>
      <c r="B581" s="22" t="s">
        <v>19175</v>
      </c>
      <c r="C581" s="2">
        <v>2</v>
      </c>
      <c r="D581" s="23">
        <v>5.99</v>
      </c>
      <c r="E581" s="3">
        <v>11.98</v>
      </c>
      <c r="F581" s="2" t="s">
        <v>19167</v>
      </c>
      <c r="G581" s="22" t="s">
        <v>19618</v>
      </c>
      <c r="H581" s="24" t="s">
        <v>19416</v>
      </c>
      <c r="I581" s="22" t="s">
        <v>19309</v>
      </c>
      <c r="J581" s="22" t="s">
        <v>19573</v>
      </c>
      <c r="K581" s="22" t="s">
        <v>19574</v>
      </c>
      <c r="L581" s="22"/>
      <c r="M581" s="22"/>
      <c r="N581" s="25" t="str">
        <f>HYPERLINK("http://slimages.macys.com/is/image/MCY/20736377 ")</f>
        <v xml:space="preserve">http://slimages.macys.com/is/image/MCY/20736377 </v>
      </c>
    </row>
    <row r="582" spans="1:14" ht="24.75" x14ac:dyDescent="0.25">
      <c r="A582" s="21" t="s">
        <v>14869</v>
      </c>
      <c r="B582" s="22" t="s">
        <v>14870</v>
      </c>
      <c r="C582" s="2">
        <v>1</v>
      </c>
      <c r="D582" s="23">
        <v>7.99</v>
      </c>
      <c r="E582" s="3">
        <v>7.99</v>
      </c>
      <c r="F582" s="2">
        <v>10015096400</v>
      </c>
      <c r="G582" s="22" t="s">
        <v>19906</v>
      </c>
      <c r="H582" s="24" t="s">
        <v>19538</v>
      </c>
      <c r="I582" s="22" t="s">
        <v>19309</v>
      </c>
      <c r="J582" s="22" t="s">
        <v>19573</v>
      </c>
      <c r="K582" s="22" t="s">
        <v>19574</v>
      </c>
      <c r="L582" s="22"/>
      <c r="M582" s="22"/>
      <c r="N582" s="25" t="str">
        <f>HYPERLINK("http://slimages.macys.com/is/image/MCY/1439034 ")</f>
        <v xml:space="preserve">http://slimages.macys.com/is/image/MCY/1439034 </v>
      </c>
    </row>
    <row r="583" spans="1:14" ht="24.75" x14ac:dyDescent="0.25">
      <c r="A583" s="21" t="s">
        <v>19181</v>
      </c>
      <c r="B583" s="22" t="s">
        <v>19182</v>
      </c>
      <c r="C583" s="2">
        <v>1</v>
      </c>
      <c r="D583" s="23">
        <v>5.99</v>
      </c>
      <c r="E583" s="3">
        <v>5.99</v>
      </c>
      <c r="F583" s="2" t="s">
        <v>19180</v>
      </c>
      <c r="G583" s="22" t="s">
        <v>19477</v>
      </c>
      <c r="H583" s="24" t="s">
        <v>19416</v>
      </c>
      <c r="I583" s="22" t="s">
        <v>19309</v>
      </c>
      <c r="J583" s="22" t="s">
        <v>19573</v>
      </c>
      <c r="K583" s="22" t="s">
        <v>19574</v>
      </c>
      <c r="L583" s="22"/>
      <c r="M583" s="22"/>
      <c r="N583" s="25" t="str">
        <f>HYPERLINK("http://slimages.macys.com/is/image/MCY/1521972 ")</f>
        <v xml:space="preserve">http://slimages.macys.com/is/image/MCY/1521972 </v>
      </c>
    </row>
    <row r="584" spans="1:14" ht="24.75" x14ac:dyDescent="0.25">
      <c r="A584" s="21" t="s">
        <v>19185</v>
      </c>
      <c r="B584" s="22" t="s">
        <v>19186</v>
      </c>
      <c r="C584" s="2">
        <v>1</v>
      </c>
      <c r="D584" s="23">
        <v>5.99</v>
      </c>
      <c r="E584" s="3">
        <v>5.99</v>
      </c>
      <c r="F584" s="2" t="s">
        <v>19180</v>
      </c>
      <c r="G584" s="22" t="s">
        <v>19477</v>
      </c>
      <c r="H584" s="24" t="s">
        <v>19538</v>
      </c>
      <c r="I584" s="22" t="s">
        <v>19309</v>
      </c>
      <c r="J584" s="22" t="s">
        <v>19573</v>
      </c>
      <c r="K584" s="22" t="s">
        <v>19574</v>
      </c>
      <c r="L584" s="22"/>
      <c r="M584" s="22"/>
      <c r="N584" s="25" t="str">
        <f>HYPERLINK("http://slimages.macys.com/is/image/MCY/1521974 ")</f>
        <v xml:space="preserve">http://slimages.macys.com/is/image/MCY/1521974 </v>
      </c>
    </row>
    <row r="585" spans="1:14" ht="24.75" x14ac:dyDescent="0.25">
      <c r="A585" s="21" t="s">
        <v>17186</v>
      </c>
      <c r="B585" s="22" t="s">
        <v>17187</v>
      </c>
      <c r="C585" s="2">
        <v>1</v>
      </c>
      <c r="D585" s="23">
        <v>5.99</v>
      </c>
      <c r="E585" s="3">
        <v>5.99</v>
      </c>
      <c r="F585" s="2" t="s">
        <v>19180</v>
      </c>
      <c r="G585" s="22" t="s">
        <v>19477</v>
      </c>
      <c r="H585" s="24" t="s">
        <v>19330</v>
      </c>
      <c r="I585" s="22" t="s">
        <v>19309</v>
      </c>
      <c r="J585" s="22" t="s">
        <v>19573</v>
      </c>
      <c r="K585" s="22" t="s">
        <v>19574</v>
      </c>
      <c r="L585" s="22"/>
      <c r="M585" s="22"/>
      <c r="N585" s="25" t="str">
        <f>HYPERLINK("http://slimages.macys.com/is/image/MCY/1521972 ")</f>
        <v xml:space="preserve">http://slimages.macys.com/is/image/MCY/1521972 </v>
      </c>
    </row>
    <row r="586" spans="1:14" ht="24.75" x14ac:dyDescent="0.25">
      <c r="A586" s="21" t="s">
        <v>14871</v>
      </c>
      <c r="B586" s="22" t="s">
        <v>14872</v>
      </c>
      <c r="C586" s="2">
        <v>1</v>
      </c>
      <c r="D586" s="23">
        <v>5.99</v>
      </c>
      <c r="E586" s="3">
        <v>5.99</v>
      </c>
      <c r="F586" s="2" t="s">
        <v>17203</v>
      </c>
      <c r="G586" s="22" t="s">
        <v>19906</v>
      </c>
      <c r="H586" s="24" t="s">
        <v>19538</v>
      </c>
      <c r="I586" s="22" t="s">
        <v>19309</v>
      </c>
      <c r="J586" s="22" t="s">
        <v>19573</v>
      </c>
      <c r="K586" s="22" t="s">
        <v>19574</v>
      </c>
      <c r="L586" s="22"/>
      <c r="M586" s="22"/>
      <c r="N586" s="25" t="str">
        <f>HYPERLINK("http://slimages.macys.com/is/image/MCY/21371410 ")</f>
        <v xml:space="preserve">http://slimages.macys.com/is/image/MCY/21371410 </v>
      </c>
    </row>
    <row r="587" spans="1:14" ht="24.75" x14ac:dyDescent="0.25">
      <c r="A587" s="21" t="s">
        <v>14873</v>
      </c>
      <c r="B587" s="22" t="s">
        <v>14874</v>
      </c>
      <c r="C587" s="2">
        <v>2</v>
      </c>
      <c r="D587" s="23">
        <v>5.99</v>
      </c>
      <c r="E587" s="3">
        <v>11.98</v>
      </c>
      <c r="F587" s="2" t="s">
        <v>19195</v>
      </c>
      <c r="G587" s="22" t="s">
        <v>19351</v>
      </c>
      <c r="H587" s="24" t="s">
        <v>19538</v>
      </c>
      <c r="I587" s="22" t="s">
        <v>19309</v>
      </c>
      <c r="J587" s="22" t="s">
        <v>19573</v>
      </c>
      <c r="K587" s="22" t="s">
        <v>19574</v>
      </c>
      <c r="L587" s="22"/>
      <c r="M587" s="22"/>
      <c r="N587" s="25" t="str">
        <f>HYPERLINK("http://slimages.macys.com/is/image/MCY/21905250 ")</f>
        <v xml:space="preserve">http://slimages.macys.com/is/image/MCY/21905250 </v>
      </c>
    </row>
    <row r="588" spans="1:14" ht="24.75" x14ac:dyDescent="0.25">
      <c r="A588" s="21" t="s">
        <v>14875</v>
      </c>
      <c r="B588" s="22" t="s">
        <v>14876</v>
      </c>
      <c r="C588" s="2">
        <v>1</v>
      </c>
      <c r="D588" s="23">
        <v>5.99</v>
      </c>
      <c r="E588" s="3">
        <v>5.99</v>
      </c>
      <c r="F588" s="2" t="s">
        <v>17203</v>
      </c>
      <c r="G588" s="22" t="s">
        <v>19674</v>
      </c>
      <c r="H588" s="24" t="s">
        <v>19330</v>
      </c>
      <c r="I588" s="22" t="s">
        <v>19309</v>
      </c>
      <c r="J588" s="22" t="s">
        <v>19573</v>
      </c>
      <c r="K588" s="22" t="s">
        <v>19574</v>
      </c>
      <c r="L588" s="22"/>
      <c r="M588" s="22"/>
      <c r="N588" s="25" t="str">
        <f>HYPERLINK("http://slimages.macys.com/is/image/MCY/20757989 ")</f>
        <v xml:space="preserve">http://slimages.macys.com/is/image/MCY/20757989 </v>
      </c>
    </row>
    <row r="589" spans="1:14" ht="24.75" x14ac:dyDescent="0.25">
      <c r="A589" s="21" t="s">
        <v>14877</v>
      </c>
      <c r="B589" s="22" t="s">
        <v>14878</v>
      </c>
      <c r="C589" s="2">
        <v>1</v>
      </c>
      <c r="D589" s="23">
        <v>5.99</v>
      </c>
      <c r="E589" s="3">
        <v>5.99</v>
      </c>
      <c r="F589" s="2" t="s">
        <v>19198</v>
      </c>
      <c r="G589" s="22" t="s">
        <v>18821</v>
      </c>
      <c r="H589" s="24" t="s">
        <v>19330</v>
      </c>
      <c r="I589" s="22" t="s">
        <v>19309</v>
      </c>
      <c r="J589" s="22" t="s">
        <v>19573</v>
      </c>
      <c r="K589" s="22" t="s">
        <v>19574</v>
      </c>
      <c r="L589" s="22"/>
      <c r="M589" s="22"/>
      <c r="N589" s="25" t="str">
        <f>HYPERLINK("http://slimages.macys.com/is/image/MCY/21905145 ")</f>
        <v xml:space="preserve">http://slimages.macys.com/is/image/MCY/21905145 </v>
      </c>
    </row>
    <row r="590" spans="1:14" ht="24.75" x14ac:dyDescent="0.25">
      <c r="A590" s="21" t="s">
        <v>14879</v>
      </c>
      <c r="B590" s="22" t="s">
        <v>14880</v>
      </c>
      <c r="C590" s="2">
        <v>1</v>
      </c>
      <c r="D590" s="23">
        <v>5.99</v>
      </c>
      <c r="E590" s="3">
        <v>5.99</v>
      </c>
      <c r="F590" s="2" t="s">
        <v>17203</v>
      </c>
      <c r="G590" s="22" t="s">
        <v>19906</v>
      </c>
      <c r="H590" s="24" t="s">
        <v>19416</v>
      </c>
      <c r="I590" s="22" t="s">
        <v>19309</v>
      </c>
      <c r="J590" s="22" t="s">
        <v>19573</v>
      </c>
      <c r="K590" s="22" t="s">
        <v>19574</v>
      </c>
      <c r="L590" s="22"/>
      <c r="M590" s="22"/>
      <c r="N590" s="25" t="str">
        <f>HYPERLINK("http://slimages.macys.com/is/image/MCY/20757989 ")</f>
        <v xml:space="preserve">http://slimages.macys.com/is/image/MCY/20757989 </v>
      </c>
    </row>
    <row r="591" spans="1:14" ht="24.75" x14ac:dyDescent="0.25">
      <c r="A591" s="21" t="s">
        <v>14881</v>
      </c>
      <c r="B591" s="22" t="s">
        <v>14882</v>
      </c>
      <c r="C591" s="2">
        <v>1</v>
      </c>
      <c r="D591" s="23">
        <v>5.99</v>
      </c>
      <c r="E591" s="3">
        <v>5.99</v>
      </c>
      <c r="F591" s="2" t="s">
        <v>19195</v>
      </c>
      <c r="G591" s="22" t="s">
        <v>19351</v>
      </c>
      <c r="H591" s="24" t="s">
        <v>19324</v>
      </c>
      <c r="I591" s="22" t="s">
        <v>19309</v>
      </c>
      <c r="J591" s="22" t="s">
        <v>19573</v>
      </c>
      <c r="K591" s="22" t="s">
        <v>19574</v>
      </c>
      <c r="L591" s="22"/>
      <c r="M591" s="22"/>
      <c r="N591" s="25" t="str">
        <f>HYPERLINK("http://slimages.macys.com/is/image/MCY/21905250 ")</f>
        <v xml:space="preserve">http://slimages.macys.com/is/image/MCY/21905250 </v>
      </c>
    </row>
    <row r="592" spans="1:14" ht="24.75" x14ac:dyDescent="0.25">
      <c r="A592" s="21" t="s">
        <v>14883</v>
      </c>
      <c r="B592" s="22" t="s">
        <v>14884</v>
      </c>
      <c r="C592" s="2">
        <v>1</v>
      </c>
      <c r="D592" s="23">
        <v>6.99</v>
      </c>
      <c r="E592" s="3">
        <v>6.99</v>
      </c>
      <c r="F592" s="2" t="s">
        <v>14885</v>
      </c>
      <c r="G592" s="22" t="s">
        <v>19351</v>
      </c>
      <c r="H592" s="24" t="s">
        <v>19384</v>
      </c>
      <c r="I592" s="22" t="s">
        <v>19309</v>
      </c>
      <c r="J592" s="22" t="s">
        <v>19573</v>
      </c>
      <c r="K592" s="22" t="s">
        <v>19574</v>
      </c>
      <c r="L592" s="22"/>
      <c r="M592" s="22"/>
      <c r="N592" s="25" t="str">
        <f>HYPERLINK("http://slimages.macys.com/is/image/MCY/20753661 ")</f>
        <v xml:space="preserve">http://slimages.macys.com/is/image/MCY/20753661 </v>
      </c>
    </row>
    <row r="593" spans="1:14" ht="24.75" x14ac:dyDescent="0.25">
      <c r="A593" s="21" t="s">
        <v>19202</v>
      </c>
      <c r="B593" s="22" t="s">
        <v>19203</v>
      </c>
      <c r="C593" s="2">
        <v>2</v>
      </c>
      <c r="D593" s="23">
        <v>5.99</v>
      </c>
      <c r="E593" s="3">
        <v>11.98</v>
      </c>
      <c r="F593" s="2" t="s">
        <v>19204</v>
      </c>
      <c r="G593" s="22" t="s">
        <v>19431</v>
      </c>
      <c r="H593" s="24" t="s">
        <v>19384</v>
      </c>
      <c r="I593" s="22" t="s">
        <v>19309</v>
      </c>
      <c r="J593" s="22" t="s">
        <v>19573</v>
      </c>
      <c r="K593" s="22" t="s">
        <v>19574</v>
      </c>
      <c r="L593" s="22"/>
      <c r="M593" s="22"/>
      <c r="N593" s="25" t="str">
        <f>HYPERLINK("http://slimages.macys.com/is/image/MCY/1537013 ")</f>
        <v xml:space="preserve">http://slimages.macys.com/is/image/MCY/1537013 </v>
      </c>
    </row>
    <row r="594" spans="1:14" ht="24.75" x14ac:dyDescent="0.25">
      <c r="A594" s="21" t="s">
        <v>14886</v>
      </c>
      <c r="B594" s="22" t="s">
        <v>14887</v>
      </c>
      <c r="C594" s="2">
        <v>2</v>
      </c>
      <c r="D594" s="23">
        <v>5.99</v>
      </c>
      <c r="E594" s="3">
        <v>11.98</v>
      </c>
      <c r="F594" s="2" t="s">
        <v>19204</v>
      </c>
      <c r="G594" s="22" t="s">
        <v>19431</v>
      </c>
      <c r="H594" s="24" t="s">
        <v>19416</v>
      </c>
      <c r="I594" s="22" t="s">
        <v>19309</v>
      </c>
      <c r="J594" s="22" t="s">
        <v>19573</v>
      </c>
      <c r="K594" s="22" t="s">
        <v>19574</v>
      </c>
      <c r="L594" s="22"/>
      <c r="M594" s="22"/>
      <c r="N594" s="25" t="str">
        <f>HYPERLINK("http://slimages.macys.com/is/image/MCY/1537013 ")</f>
        <v xml:space="preserve">http://slimages.macys.com/is/image/MCY/1537013 </v>
      </c>
    </row>
    <row r="595" spans="1:14" ht="24.75" x14ac:dyDescent="0.25">
      <c r="A595" s="21" t="s">
        <v>14888</v>
      </c>
      <c r="B595" s="22" t="s">
        <v>14889</v>
      </c>
      <c r="C595" s="2">
        <v>1</v>
      </c>
      <c r="D595" s="23">
        <v>5.99</v>
      </c>
      <c r="E595" s="3">
        <v>5.99</v>
      </c>
      <c r="F595" s="2" t="s">
        <v>17190</v>
      </c>
      <c r="G595" s="22" t="s">
        <v>19674</v>
      </c>
      <c r="H595" s="24" t="s">
        <v>19330</v>
      </c>
      <c r="I595" s="22" t="s">
        <v>19309</v>
      </c>
      <c r="J595" s="22" t="s">
        <v>19573</v>
      </c>
      <c r="K595" s="22" t="s">
        <v>19574</v>
      </c>
      <c r="L595" s="22"/>
      <c r="M595" s="22"/>
      <c r="N595" s="25" t="str">
        <f>HYPERLINK("http://slimages.macys.com/is/image/MCY/21209566 ")</f>
        <v xml:space="preserve">http://slimages.macys.com/is/image/MCY/21209566 </v>
      </c>
    </row>
    <row r="596" spans="1:14" ht="24.75" x14ac:dyDescent="0.25">
      <c r="A596" s="21" t="s">
        <v>17191</v>
      </c>
      <c r="B596" s="22" t="s">
        <v>17192</v>
      </c>
      <c r="C596" s="2">
        <v>1</v>
      </c>
      <c r="D596" s="23">
        <v>5.99</v>
      </c>
      <c r="E596" s="3">
        <v>5.99</v>
      </c>
      <c r="F596" s="2" t="s">
        <v>17190</v>
      </c>
      <c r="G596" s="22" t="s">
        <v>19674</v>
      </c>
      <c r="H596" s="24" t="s">
        <v>19384</v>
      </c>
      <c r="I596" s="22" t="s">
        <v>19309</v>
      </c>
      <c r="J596" s="22" t="s">
        <v>19573</v>
      </c>
      <c r="K596" s="22" t="s">
        <v>19574</v>
      </c>
      <c r="L596" s="22"/>
      <c r="M596" s="22"/>
      <c r="N596" s="25" t="str">
        <f>HYPERLINK("http://slimages.macys.com/is/image/MCY/21209566 ")</f>
        <v xml:space="preserve">http://slimages.macys.com/is/image/MCY/21209566 </v>
      </c>
    </row>
    <row r="597" spans="1:14" ht="24.75" x14ac:dyDescent="0.25">
      <c r="A597" s="21" t="s">
        <v>14890</v>
      </c>
      <c r="B597" s="22" t="s">
        <v>14891</v>
      </c>
      <c r="C597" s="2">
        <v>1</v>
      </c>
      <c r="D597" s="23">
        <v>5.99</v>
      </c>
      <c r="E597" s="3">
        <v>5.99</v>
      </c>
      <c r="F597" s="2" t="s">
        <v>17190</v>
      </c>
      <c r="G597" s="22" t="s">
        <v>19674</v>
      </c>
      <c r="H597" s="24" t="s">
        <v>19324</v>
      </c>
      <c r="I597" s="22" t="s">
        <v>19309</v>
      </c>
      <c r="J597" s="22" t="s">
        <v>19573</v>
      </c>
      <c r="K597" s="22" t="s">
        <v>19574</v>
      </c>
      <c r="L597" s="22"/>
      <c r="M597" s="22"/>
      <c r="N597" s="25" t="str">
        <f>HYPERLINK("http://slimages.macys.com/is/image/MCY/21209566 ")</f>
        <v xml:space="preserve">http://slimages.macys.com/is/image/MCY/21209566 </v>
      </c>
    </row>
    <row r="598" spans="1:14" ht="24.75" x14ac:dyDescent="0.25">
      <c r="A598" s="21" t="s">
        <v>19205</v>
      </c>
      <c r="B598" s="22" t="s">
        <v>19206</v>
      </c>
      <c r="C598" s="2">
        <v>6</v>
      </c>
      <c r="D598" s="23">
        <v>5.99</v>
      </c>
      <c r="E598" s="3">
        <v>35.94</v>
      </c>
      <c r="F598" s="2" t="s">
        <v>19204</v>
      </c>
      <c r="G598" s="22" t="s">
        <v>19431</v>
      </c>
      <c r="H598" s="24" t="s">
        <v>19538</v>
      </c>
      <c r="I598" s="22" t="s">
        <v>19309</v>
      </c>
      <c r="J598" s="22" t="s">
        <v>19573</v>
      </c>
      <c r="K598" s="22" t="s">
        <v>19574</v>
      </c>
      <c r="L598" s="22"/>
      <c r="M598" s="22"/>
      <c r="N598" s="25" t="str">
        <f>HYPERLINK("http://slimages.macys.com/is/image/MCY/1537013 ")</f>
        <v xml:space="preserve">http://slimages.macys.com/is/image/MCY/1537013 </v>
      </c>
    </row>
    <row r="599" spans="1:14" ht="24.75" x14ac:dyDescent="0.25">
      <c r="A599" s="21" t="s">
        <v>14892</v>
      </c>
      <c r="B599" s="22" t="s">
        <v>14893</v>
      </c>
      <c r="C599" s="2">
        <v>1</v>
      </c>
      <c r="D599" s="23">
        <v>6.99</v>
      </c>
      <c r="E599" s="3">
        <v>6.99</v>
      </c>
      <c r="F599" s="2" t="s">
        <v>14894</v>
      </c>
      <c r="G599" s="22" t="s">
        <v>19351</v>
      </c>
      <c r="H599" s="24" t="s">
        <v>19538</v>
      </c>
      <c r="I599" s="22" t="s">
        <v>19309</v>
      </c>
      <c r="J599" s="22" t="s">
        <v>19573</v>
      </c>
      <c r="K599" s="22" t="s">
        <v>19574</v>
      </c>
      <c r="L599" s="22"/>
      <c r="M599" s="22"/>
      <c r="N599" s="25" t="str">
        <f>HYPERLINK("http://slimages.macys.com/is/image/MCY/17565512 ")</f>
        <v xml:space="preserve">http://slimages.macys.com/is/image/MCY/17565512 </v>
      </c>
    </row>
    <row r="600" spans="1:14" ht="24.75" x14ac:dyDescent="0.25">
      <c r="A600" s="21" t="s">
        <v>14895</v>
      </c>
      <c r="B600" s="22" t="s">
        <v>14896</v>
      </c>
      <c r="C600" s="2">
        <v>2</v>
      </c>
      <c r="D600" s="23">
        <v>5.99</v>
      </c>
      <c r="E600" s="3">
        <v>11.98</v>
      </c>
      <c r="F600" s="2" t="s">
        <v>17198</v>
      </c>
      <c r="G600" s="22" t="s">
        <v>19467</v>
      </c>
      <c r="H600" s="24" t="s">
        <v>19538</v>
      </c>
      <c r="I600" s="22" t="s">
        <v>19309</v>
      </c>
      <c r="J600" s="22" t="s">
        <v>19573</v>
      </c>
      <c r="K600" s="22" t="s">
        <v>19574</v>
      </c>
      <c r="L600" s="22"/>
      <c r="M600" s="22"/>
      <c r="N600" s="25" t="str">
        <f>HYPERLINK("http://slimages.macys.com/is/image/MCY/21209066 ")</f>
        <v xml:space="preserve">http://slimages.macys.com/is/image/MCY/21209066 </v>
      </c>
    </row>
    <row r="601" spans="1:14" ht="24.75" x14ac:dyDescent="0.25">
      <c r="A601" s="21" t="s">
        <v>14897</v>
      </c>
      <c r="B601" s="22" t="s">
        <v>14898</v>
      </c>
      <c r="C601" s="2">
        <v>1</v>
      </c>
      <c r="D601" s="23">
        <v>5.99</v>
      </c>
      <c r="E601" s="3">
        <v>5.99</v>
      </c>
      <c r="F601" s="2" t="s">
        <v>19214</v>
      </c>
      <c r="G601" s="22" t="s">
        <v>19674</v>
      </c>
      <c r="H601" s="24" t="s">
        <v>19330</v>
      </c>
      <c r="I601" s="22" t="s">
        <v>19309</v>
      </c>
      <c r="J601" s="22" t="s">
        <v>19573</v>
      </c>
      <c r="K601" s="22" t="s">
        <v>19574</v>
      </c>
      <c r="L601" s="22"/>
      <c r="M601" s="22"/>
      <c r="N601" s="25" t="str">
        <f>HYPERLINK("http://slimages.macys.com/is/image/MCY/1554658 ")</f>
        <v xml:space="preserve">http://slimages.macys.com/is/image/MCY/1554658 </v>
      </c>
    </row>
    <row r="602" spans="1:14" ht="24.75" x14ac:dyDescent="0.25">
      <c r="A602" s="21" t="s">
        <v>14899</v>
      </c>
      <c r="B602" s="22" t="s">
        <v>14900</v>
      </c>
      <c r="C602" s="2">
        <v>1</v>
      </c>
      <c r="D602" s="23">
        <v>5.99</v>
      </c>
      <c r="E602" s="3">
        <v>5.99</v>
      </c>
      <c r="F602" s="2" t="s">
        <v>19214</v>
      </c>
      <c r="G602" s="22" t="s">
        <v>19674</v>
      </c>
      <c r="H602" s="24" t="s">
        <v>19324</v>
      </c>
      <c r="I602" s="22" t="s">
        <v>19309</v>
      </c>
      <c r="J602" s="22" t="s">
        <v>19573</v>
      </c>
      <c r="K602" s="22" t="s">
        <v>19574</v>
      </c>
      <c r="L602" s="22"/>
      <c r="M602" s="22"/>
      <c r="N602" s="25" t="str">
        <f>HYPERLINK("http://slimages.macys.com/is/image/MCY/1570641 ")</f>
        <v xml:space="preserve">http://slimages.macys.com/is/image/MCY/1570641 </v>
      </c>
    </row>
    <row r="603" spans="1:14" ht="24.75" x14ac:dyDescent="0.25">
      <c r="A603" s="21" t="s">
        <v>14901</v>
      </c>
      <c r="B603" s="22" t="s">
        <v>14902</v>
      </c>
      <c r="C603" s="2">
        <v>1</v>
      </c>
      <c r="D603" s="23">
        <v>7.99</v>
      </c>
      <c r="E603" s="3">
        <v>7.99</v>
      </c>
      <c r="F603" s="2">
        <v>10015096600</v>
      </c>
      <c r="G603" s="22" t="s">
        <v>19906</v>
      </c>
      <c r="H603" s="24" t="s">
        <v>19770</v>
      </c>
      <c r="I603" s="22" t="s">
        <v>19309</v>
      </c>
      <c r="J603" s="22" t="s">
        <v>19573</v>
      </c>
      <c r="K603" s="22" t="s">
        <v>19574</v>
      </c>
      <c r="L603" s="22"/>
      <c r="M603" s="22"/>
      <c r="N603" s="25" t="str">
        <f>HYPERLINK("http://slimages.macys.com/is/image/MCY/1439034 ")</f>
        <v xml:space="preserve">http://slimages.macys.com/is/image/MCY/1439034 </v>
      </c>
    </row>
    <row r="604" spans="1:14" ht="24.75" x14ac:dyDescent="0.25">
      <c r="A604" s="21" t="s">
        <v>14903</v>
      </c>
      <c r="B604" s="22" t="s">
        <v>14904</v>
      </c>
      <c r="C604" s="2">
        <v>3</v>
      </c>
      <c r="D604" s="23">
        <v>7.99</v>
      </c>
      <c r="E604" s="3">
        <v>23.97</v>
      </c>
      <c r="F604" s="2">
        <v>10015096600</v>
      </c>
      <c r="G604" s="22" t="s">
        <v>19906</v>
      </c>
      <c r="H604" s="24"/>
      <c r="I604" s="22" t="s">
        <v>19309</v>
      </c>
      <c r="J604" s="22" t="s">
        <v>19573</v>
      </c>
      <c r="K604" s="22" t="s">
        <v>19574</v>
      </c>
      <c r="L604" s="22"/>
      <c r="M604" s="22"/>
      <c r="N604" s="25" t="str">
        <f>HYPERLINK("http://slimages.macys.com/is/image/MCY/1439038 ")</f>
        <v xml:space="preserve">http://slimages.macys.com/is/image/MCY/1439038 </v>
      </c>
    </row>
    <row r="605" spans="1:14" ht="24.75" x14ac:dyDescent="0.25">
      <c r="A605" s="21" t="s">
        <v>19222</v>
      </c>
      <c r="B605" s="22" t="s">
        <v>19223</v>
      </c>
      <c r="C605" s="2">
        <v>2</v>
      </c>
      <c r="D605" s="23">
        <v>5.99</v>
      </c>
      <c r="E605" s="3">
        <v>11.98</v>
      </c>
      <c r="F605" s="2" t="s">
        <v>19224</v>
      </c>
      <c r="G605" s="22" t="s">
        <v>18821</v>
      </c>
      <c r="H605" s="24" t="s">
        <v>19538</v>
      </c>
      <c r="I605" s="22" t="s">
        <v>19309</v>
      </c>
      <c r="J605" s="22" t="s">
        <v>19573</v>
      </c>
      <c r="K605" s="22" t="s">
        <v>19574</v>
      </c>
      <c r="L605" s="22"/>
      <c r="M605" s="22"/>
      <c r="N605" s="25" t="str">
        <f>HYPERLINK("http://slimages.macys.com/is/image/MCY/21905230 ")</f>
        <v xml:space="preserve">http://slimages.macys.com/is/image/MCY/21905230 </v>
      </c>
    </row>
    <row r="606" spans="1:14" ht="24.75" x14ac:dyDescent="0.25">
      <c r="A606" s="21" t="s">
        <v>19225</v>
      </c>
      <c r="B606" s="22" t="s">
        <v>19226</v>
      </c>
      <c r="C606" s="2">
        <v>1</v>
      </c>
      <c r="D606" s="23">
        <v>5.99</v>
      </c>
      <c r="E606" s="3">
        <v>5.99</v>
      </c>
      <c r="F606" s="2" t="s">
        <v>19224</v>
      </c>
      <c r="G606" s="22" t="s">
        <v>18821</v>
      </c>
      <c r="H606" s="24" t="s">
        <v>19384</v>
      </c>
      <c r="I606" s="22" t="s">
        <v>19309</v>
      </c>
      <c r="J606" s="22" t="s">
        <v>19573</v>
      </c>
      <c r="K606" s="22" t="s">
        <v>19574</v>
      </c>
      <c r="L606" s="22"/>
      <c r="M606" s="22"/>
      <c r="N606" s="25" t="str">
        <f>HYPERLINK("http://slimages.macys.com/is/image/MCY/21905230 ")</f>
        <v xml:space="preserve">http://slimages.macys.com/is/image/MCY/21905230 </v>
      </c>
    </row>
    <row r="607" spans="1:14" ht="24.75" x14ac:dyDescent="0.25">
      <c r="A607" s="21" t="s">
        <v>14905</v>
      </c>
      <c r="B607" s="22" t="s">
        <v>14906</v>
      </c>
      <c r="C607" s="2">
        <v>1</v>
      </c>
      <c r="D607" s="23">
        <v>5.99</v>
      </c>
      <c r="E607" s="3">
        <v>5.99</v>
      </c>
      <c r="F607" s="2" t="s">
        <v>19224</v>
      </c>
      <c r="G607" s="22" t="s">
        <v>18821</v>
      </c>
      <c r="H607" s="24" t="s">
        <v>19324</v>
      </c>
      <c r="I607" s="22" t="s">
        <v>19309</v>
      </c>
      <c r="J607" s="22" t="s">
        <v>19573</v>
      </c>
      <c r="K607" s="22" t="s">
        <v>19574</v>
      </c>
      <c r="L607" s="22"/>
      <c r="M607" s="22"/>
      <c r="N607" s="25" t="str">
        <f>HYPERLINK("http://slimages.macys.com/is/image/MCY/21905230 ")</f>
        <v xml:space="preserve">http://slimages.macys.com/is/image/MCY/21905230 </v>
      </c>
    </row>
    <row r="608" spans="1:14" ht="24.75" x14ac:dyDescent="0.25">
      <c r="A608" s="21" t="s">
        <v>14907</v>
      </c>
      <c r="B608" s="22" t="s">
        <v>14908</v>
      </c>
      <c r="C608" s="2">
        <v>1</v>
      </c>
      <c r="D608" s="23">
        <v>5.99</v>
      </c>
      <c r="E608" s="3">
        <v>5.99</v>
      </c>
      <c r="F608" s="2" t="s">
        <v>19224</v>
      </c>
      <c r="G608" s="22" t="s">
        <v>18821</v>
      </c>
      <c r="H608" s="24" t="s">
        <v>19416</v>
      </c>
      <c r="I608" s="22" t="s">
        <v>19309</v>
      </c>
      <c r="J608" s="22" t="s">
        <v>19573</v>
      </c>
      <c r="K608" s="22" t="s">
        <v>19574</v>
      </c>
      <c r="L608" s="22"/>
      <c r="M608" s="22"/>
      <c r="N608" s="25" t="str">
        <f>HYPERLINK("http://slimages.macys.com/is/image/MCY/21905230 ")</f>
        <v xml:space="preserve">http://slimages.macys.com/is/image/MCY/21905230 </v>
      </c>
    </row>
    <row r="609" spans="1:14" ht="24.75" x14ac:dyDescent="0.25">
      <c r="A609" s="21" t="s">
        <v>14909</v>
      </c>
      <c r="B609" s="22" t="s">
        <v>14910</v>
      </c>
      <c r="C609" s="2">
        <v>1</v>
      </c>
      <c r="D609" s="23">
        <v>5.99</v>
      </c>
      <c r="E609" s="3">
        <v>5.99</v>
      </c>
      <c r="F609" s="2" t="s">
        <v>14911</v>
      </c>
      <c r="G609" s="22" t="s">
        <v>19415</v>
      </c>
      <c r="H609" s="24" t="s">
        <v>19324</v>
      </c>
      <c r="I609" s="22" t="s">
        <v>19309</v>
      </c>
      <c r="J609" s="22" t="s">
        <v>19573</v>
      </c>
      <c r="K609" s="22" t="s">
        <v>19574</v>
      </c>
      <c r="L609" s="22"/>
      <c r="M609" s="22"/>
      <c r="N609" s="25" t="str">
        <f>HYPERLINK("http://slimages.macys.com/is/image/MCY/21371388 ")</f>
        <v xml:space="preserve">http://slimages.macys.com/is/image/MCY/21371388 </v>
      </c>
    </row>
    <row r="610" spans="1:14" ht="24.75" x14ac:dyDescent="0.25">
      <c r="A610" s="21" t="s">
        <v>19244</v>
      </c>
      <c r="B610" s="22" t="s">
        <v>19245</v>
      </c>
      <c r="C610" s="2">
        <v>1</v>
      </c>
      <c r="D610" s="23">
        <v>5.99</v>
      </c>
      <c r="E610" s="3">
        <v>5.99</v>
      </c>
      <c r="F610" s="2" t="s">
        <v>19241</v>
      </c>
      <c r="G610" s="22" t="s">
        <v>19415</v>
      </c>
      <c r="H610" s="24" t="s">
        <v>19538</v>
      </c>
      <c r="I610" s="22" t="s">
        <v>19309</v>
      </c>
      <c r="J610" s="22" t="s">
        <v>19573</v>
      </c>
      <c r="K610" s="22" t="s">
        <v>19574</v>
      </c>
      <c r="L610" s="22"/>
      <c r="M610" s="22"/>
      <c r="N610" s="25" t="str">
        <f>HYPERLINK("http://slimages.macys.com/is/image/MCY/21209249 ")</f>
        <v xml:space="preserve">http://slimages.macys.com/is/image/MCY/21209249 </v>
      </c>
    </row>
    <row r="611" spans="1:14" ht="24.75" x14ac:dyDescent="0.25">
      <c r="A611" s="21" t="s">
        <v>19242</v>
      </c>
      <c r="B611" s="22" t="s">
        <v>19243</v>
      </c>
      <c r="C611" s="2">
        <v>1</v>
      </c>
      <c r="D611" s="23">
        <v>5.99</v>
      </c>
      <c r="E611" s="3">
        <v>5.99</v>
      </c>
      <c r="F611" s="2" t="s">
        <v>19232</v>
      </c>
      <c r="G611" s="22" t="s">
        <v>19467</v>
      </c>
      <c r="H611" s="24" t="s">
        <v>19538</v>
      </c>
      <c r="I611" s="22" t="s">
        <v>19309</v>
      </c>
      <c r="J611" s="22" t="s">
        <v>19573</v>
      </c>
      <c r="K611" s="22" t="s">
        <v>19574</v>
      </c>
      <c r="L611" s="22"/>
      <c r="M611" s="22"/>
      <c r="N611" s="25" t="str">
        <f>HYPERLINK("http://slimages.macys.com/is/image/MCY/21209505 ")</f>
        <v xml:space="preserve">http://slimages.macys.com/is/image/MCY/21209505 </v>
      </c>
    </row>
    <row r="612" spans="1:14" ht="24.75" x14ac:dyDescent="0.25">
      <c r="A612" s="21" t="s">
        <v>19235</v>
      </c>
      <c r="B612" s="22" t="s">
        <v>19236</v>
      </c>
      <c r="C612" s="2">
        <v>1</v>
      </c>
      <c r="D612" s="23">
        <v>5.99</v>
      </c>
      <c r="E612" s="3">
        <v>5.99</v>
      </c>
      <c r="F612" s="2" t="s">
        <v>19232</v>
      </c>
      <c r="G612" s="22" t="s">
        <v>19467</v>
      </c>
      <c r="H612" s="24" t="s">
        <v>19324</v>
      </c>
      <c r="I612" s="22" t="s">
        <v>19309</v>
      </c>
      <c r="J612" s="22" t="s">
        <v>19573</v>
      </c>
      <c r="K612" s="22" t="s">
        <v>19574</v>
      </c>
      <c r="L612" s="22"/>
      <c r="M612" s="22"/>
      <c r="N612" s="25" t="str">
        <f>HYPERLINK("http://slimages.macys.com/is/image/MCY/21209505 ")</f>
        <v xml:space="preserve">http://slimages.macys.com/is/image/MCY/21209505 </v>
      </c>
    </row>
    <row r="613" spans="1:14" ht="24.75" x14ac:dyDescent="0.25">
      <c r="A613" s="21" t="s">
        <v>19237</v>
      </c>
      <c r="B613" s="22" t="s">
        <v>19238</v>
      </c>
      <c r="C613" s="2">
        <v>3</v>
      </c>
      <c r="D613" s="23">
        <v>5.99</v>
      </c>
      <c r="E613" s="3">
        <v>17.97</v>
      </c>
      <c r="F613" s="2" t="s">
        <v>19232</v>
      </c>
      <c r="G613" s="22" t="s">
        <v>19467</v>
      </c>
      <c r="H613" s="24" t="s">
        <v>19330</v>
      </c>
      <c r="I613" s="22" t="s">
        <v>19309</v>
      </c>
      <c r="J613" s="22" t="s">
        <v>19573</v>
      </c>
      <c r="K613" s="22" t="s">
        <v>19574</v>
      </c>
      <c r="L613" s="22"/>
      <c r="M613" s="22"/>
      <c r="N613" s="25" t="str">
        <f>HYPERLINK("http://slimages.macys.com/is/image/MCY/21209505 ")</f>
        <v xml:space="preserve">http://slimages.macys.com/is/image/MCY/21209505 </v>
      </c>
    </row>
    <row r="614" spans="1:14" ht="24.75" x14ac:dyDescent="0.25">
      <c r="A614" s="21" t="s">
        <v>17217</v>
      </c>
      <c r="B614" s="22" t="s">
        <v>17218</v>
      </c>
      <c r="C614" s="2">
        <v>3</v>
      </c>
      <c r="D614" s="23">
        <v>5.99</v>
      </c>
      <c r="E614" s="3">
        <v>17.97</v>
      </c>
      <c r="F614" s="2" t="s">
        <v>17219</v>
      </c>
      <c r="G614" s="22" t="s">
        <v>19415</v>
      </c>
      <c r="H614" s="24" t="s">
        <v>19330</v>
      </c>
      <c r="I614" s="22" t="s">
        <v>19309</v>
      </c>
      <c r="J614" s="22" t="s">
        <v>19573</v>
      </c>
      <c r="K614" s="22" t="s">
        <v>19574</v>
      </c>
      <c r="L614" s="22"/>
      <c r="M614" s="22"/>
      <c r="N614" s="25" t="str">
        <f>HYPERLINK("http://slimages.macys.com/is/image/MCY/21209249 ")</f>
        <v xml:space="preserve">http://slimages.macys.com/is/image/MCY/21209249 </v>
      </c>
    </row>
    <row r="615" spans="1:14" ht="24.75" x14ac:dyDescent="0.25">
      <c r="A615" s="21" t="s">
        <v>14912</v>
      </c>
      <c r="B615" s="22" t="s">
        <v>14913</v>
      </c>
      <c r="C615" s="2">
        <v>1</v>
      </c>
      <c r="D615" s="23">
        <v>5.99</v>
      </c>
      <c r="E615" s="3">
        <v>5.99</v>
      </c>
      <c r="F615" s="2" t="s">
        <v>19241</v>
      </c>
      <c r="G615" s="22" t="s">
        <v>19415</v>
      </c>
      <c r="H615" s="24" t="s">
        <v>19324</v>
      </c>
      <c r="I615" s="22" t="s">
        <v>19309</v>
      </c>
      <c r="J615" s="22" t="s">
        <v>19573</v>
      </c>
      <c r="K615" s="22" t="s">
        <v>19574</v>
      </c>
      <c r="L615" s="22"/>
      <c r="M615" s="22"/>
      <c r="N615" s="25" t="str">
        <f>HYPERLINK("http://slimages.macys.com/is/image/MCY/21209269 ")</f>
        <v xml:space="preserve">http://slimages.macys.com/is/image/MCY/21209269 </v>
      </c>
    </row>
    <row r="616" spans="1:14" ht="24.75" x14ac:dyDescent="0.25">
      <c r="A616" s="21" t="s">
        <v>14914</v>
      </c>
      <c r="B616" s="22" t="s">
        <v>14915</v>
      </c>
      <c r="C616" s="2">
        <v>1</v>
      </c>
      <c r="D616" s="23">
        <v>5.99</v>
      </c>
      <c r="E616" s="3">
        <v>5.99</v>
      </c>
      <c r="F616" s="2" t="s">
        <v>17219</v>
      </c>
      <c r="G616" s="22" t="s">
        <v>19415</v>
      </c>
      <c r="H616" s="24" t="s">
        <v>19416</v>
      </c>
      <c r="I616" s="22" t="s">
        <v>19309</v>
      </c>
      <c r="J616" s="22" t="s">
        <v>19573</v>
      </c>
      <c r="K616" s="22" t="s">
        <v>19574</v>
      </c>
      <c r="L616" s="22"/>
      <c r="M616" s="22"/>
      <c r="N616" s="25" t="str">
        <f>HYPERLINK("http://slimages.macys.com/is/image/MCY/21209249 ")</f>
        <v xml:space="preserve">http://slimages.macys.com/is/image/MCY/21209249 </v>
      </c>
    </row>
    <row r="617" spans="1:14" ht="24.75" x14ac:dyDescent="0.25">
      <c r="A617" s="21" t="s">
        <v>14916</v>
      </c>
      <c r="B617" s="22" t="s">
        <v>14917</v>
      </c>
      <c r="C617" s="2">
        <v>1</v>
      </c>
      <c r="D617" s="23">
        <v>5.99</v>
      </c>
      <c r="E617" s="3">
        <v>5.99</v>
      </c>
      <c r="F617" s="2" t="s">
        <v>17219</v>
      </c>
      <c r="G617" s="22" t="s">
        <v>19415</v>
      </c>
      <c r="H617" s="24" t="s">
        <v>19384</v>
      </c>
      <c r="I617" s="22" t="s">
        <v>19309</v>
      </c>
      <c r="J617" s="22" t="s">
        <v>19573</v>
      </c>
      <c r="K617" s="22" t="s">
        <v>19574</v>
      </c>
      <c r="L617" s="22"/>
      <c r="M617" s="22"/>
      <c r="N617" s="25" t="str">
        <f>HYPERLINK("http://slimages.macys.com/is/image/MCY/21209249 ")</f>
        <v xml:space="preserve">http://slimages.macys.com/is/image/MCY/21209249 </v>
      </c>
    </row>
    <row r="618" spans="1:14" ht="24.75" x14ac:dyDescent="0.25">
      <c r="A618" s="21" t="s">
        <v>14918</v>
      </c>
      <c r="B618" s="22" t="s">
        <v>14919</v>
      </c>
      <c r="C618" s="2">
        <v>3</v>
      </c>
      <c r="D618" s="23">
        <v>5.99</v>
      </c>
      <c r="E618" s="3">
        <v>17.97</v>
      </c>
      <c r="F618" s="2" t="s">
        <v>17219</v>
      </c>
      <c r="G618" s="22" t="s">
        <v>19415</v>
      </c>
      <c r="H618" s="24" t="s">
        <v>19538</v>
      </c>
      <c r="I618" s="22" t="s">
        <v>19309</v>
      </c>
      <c r="J618" s="22" t="s">
        <v>19573</v>
      </c>
      <c r="K618" s="22" t="s">
        <v>19574</v>
      </c>
      <c r="L618" s="22"/>
      <c r="M618" s="22"/>
      <c r="N618" s="25" t="str">
        <f>HYPERLINK("http://slimages.macys.com/is/image/MCY/21209249 ")</f>
        <v xml:space="preserve">http://slimages.macys.com/is/image/MCY/21209249 </v>
      </c>
    </row>
    <row r="619" spans="1:14" ht="24.75" x14ac:dyDescent="0.25">
      <c r="A619" s="21" t="s">
        <v>14920</v>
      </c>
      <c r="B619" s="22" t="s">
        <v>14921</v>
      </c>
      <c r="C619" s="2">
        <v>2</v>
      </c>
      <c r="D619" s="23">
        <v>5.99</v>
      </c>
      <c r="E619" s="3">
        <v>11.98</v>
      </c>
      <c r="F619" s="2" t="s">
        <v>17219</v>
      </c>
      <c r="G619" s="22" t="s">
        <v>19415</v>
      </c>
      <c r="H619" s="24" t="s">
        <v>19324</v>
      </c>
      <c r="I619" s="22" t="s">
        <v>19309</v>
      </c>
      <c r="J619" s="22" t="s">
        <v>19573</v>
      </c>
      <c r="K619" s="22" t="s">
        <v>19574</v>
      </c>
      <c r="L619" s="22"/>
      <c r="M619" s="22"/>
      <c r="N619" s="25" t="str">
        <f>HYPERLINK("http://slimages.macys.com/is/image/MCY/21209249 ")</f>
        <v xml:space="preserve">http://slimages.macys.com/is/image/MCY/21209249 </v>
      </c>
    </row>
    <row r="620" spans="1:14" ht="24.75" x14ac:dyDescent="0.25">
      <c r="A620" s="21" t="s">
        <v>19239</v>
      </c>
      <c r="B620" s="22" t="s">
        <v>19240</v>
      </c>
      <c r="C620" s="2">
        <v>1</v>
      </c>
      <c r="D620" s="23">
        <v>5.99</v>
      </c>
      <c r="E620" s="3">
        <v>5.99</v>
      </c>
      <c r="F620" s="2" t="s">
        <v>19241</v>
      </c>
      <c r="G620" s="22" t="s">
        <v>19415</v>
      </c>
      <c r="H620" s="24" t="s">
        <v>19384</v>
      </c>
      <c r="I620" s="22" t="s">
        <v>19309</v>
      </c>
      <c r="J620" s="22" t="s">
        <v>19573</v>
      </c>
      <c r="K620" s="22" t="s">
        <v>19574</v>
      </c>
      <c r="L620" s="22"/>
      <c r="M620" s="22"/>
      <c r="N620" s="25" t="str">
        <f>HYPERLINK("http://slimages.macys.com/is/image/MCY/21209249 ")</f>
        <v xml:space="preserve">http://slimages.macys.com/is/image/MCY/21209249 </v>
      </c>
    </row>
    <row r="621" spans="1:14" ht="24.75" x14ac:dyDescent="0.25">
      <c r="A621" s="21" t="s">
        <v>14922</v>
      </c>
      <c r="B621" s="22" t="s">
        <v>14923</v>
      </c>
      <c r="C621" s="2">
        <v>1</v>
      </c>
      <c r="D621" s="23">
        <v>6.99</v>
      </c>
      <c r="E621" s="3">
        <v>6.99</v>
      </c>
      <c r="F621" s="2" t="s">
        <v>14924</v>
      </c>
      <c r="G621" s="22" t="s">
        <v>19763</v>
      </c>
      <c r="H621" s="24" t="s">
        <v>19416</v>
      </c>
      <c r="I621" s="22" t="s">
        <v>19309</v>
      </c>
      <c r="J621" s="22" t="s">
        <v>19573</v>
      </c>
      <c r="K621" s="22" t="s">
        <v>19574</v>
      </c>
      <c r="L621" s="22"/>
      <c r="M621" s="22"/>
      <c r="N621" s="25" t="str">
        <f>HYPERLINK("http://slimages.macys.com/is/image/MCY/19507666 ")</f>
        <v xml:space="preserve">http://slimages.macys.com/is/image/MCY/19507666 </v>
      </c>
    </row>
    <row r="622" spans="1:14" ht="24.75" x14ac:dyDescent="0.25">
      <c r="A622" s="21" t="s">
        <v>14925</v>
      </c>
      <c r="B622" s="22" t="s">
        <v>14926</v>
      </c>
      <c r="C622" s="2">
        <v>1</v>
      </c>
      <c r="D622" s="23">
        <v>5.99</v>
      </c>
      <c r="E622" s="3">
        <v>5.99</v>
      </c>
      <c r="F622" s="2" t="s">
        <v>14927</v>
      </c>
      <c r="G622" s="22" t="s">
        <v>19618</v>
      </c>
      <c r="H622" s="24" t="s">
        <v>19538</v>
      </c>
      <c r="I622" s="22" t="s">
        <v>19309</v>
      </c>
      <c r="J622" s="22" t="s">
        <v>19573</v>
      </c>
      <c r="K622" s="22" t="s">
        <v>19574</v>
      </c>
      <c r="L622" s="22"/>
      <c r="M622" s="22"/>
      <c r="N622" s="25" t="str">
        <f>HYPERLINK("http://slimages.macys.com/is/image/MCY/21088408 ")</f>
        <v xml:space="preserve">http://slimages.macys.com/is/image/MCY/21088408 </v>
      </c>
    </row>
    <row r="623" spans="1:14" ht="24.75" x14ac:dyDescent="0.25">
      <c r="A623" s="21" t="s">
        <v>14928</v>
      </c>
      <c r="B623" s="22" t="s">
        <v>14929</v>
      </c>
      <c r="C623" s="2">
        <v>1</v>
      </c>
      <c r="D623" s="23">
        <v>7.99</v>
      </c>
      <c r="E623" s="3">
        <v>7.99</v>
      </c>
      <c r="F623" s="2" t="s">
        <v>14930</v>
      </c>
      <c r="G623" s="22" t="s">
        <v>19467</v>
      </c>
      <c r="H623" s="24" t="s">
        <v>20135</v>
      </c>
      <c r="I623" s="22" t="s">
        <v>19309</v>
      </c>
      <c r="J623" s="22" t="s">
        <v>19573</v>
      </c>
      <c r="K623" s="22" t="s">
        <v>19574</v>
      </c>
      <c r="L623" s="22"/>
      <c r="M623" s="22"/>
      <c r="N623" s="25" t="str">
        <f>HYPERLINK("http://slimages.macys.com/is/image/MCY/21209307 ")</f>
        <v xml:space="preserve">http://slimages.macys.com/is/image/MCY/21209307 </v>
      </c>
    </row>
    <row r="624" spans="1:14" ht="24.75" x14ac:dyDescent="0.25">
      <c r="A624" s="21" t="s">
        <v>14931</v>
      </c>
      <c r="B624" s="22" t="s">
        <v>14932</v>
      </c>
      <c r="C624" s="2">
        <v>1</v>
      </c>
      <c r="D624" s="23">
        <v>5.99</v>
      </c>
      <c r="E624" s="3">
        <v>5.99</v>
      </c>
      <c r="F624" s="2" t="s">
        <v>14933</v>
      </c>
      <c r="G624" s="22" t="s">
        <v>19618</v>
      </c>
      <c r="H624" s="24" t="s">
        <v>19907</v>
      </c>
      <c r="I624" s="22" t="s">
        <v>19309</v>
      </c>
      <c r="J624" s="22" t="s">
        <v>19454</v>
      </c>
      <c r="K624" s="22" t="s">
        <v>19524</v>
      </c>
      <c r="L624" s="22"/>
      <c r="M624" s="22"/>
      <c r="N624" s="25" t="str">
        <f>HYPERLINK("http://slimages.macys.com/is/image/MCY/17752086 ")</f>
        <v xml:space="preserve">http://slimages.macys.com/is/image/MCY/17752086 </v>
      </c>
    </row>
    <row r="625" spans="1:14" ht="24.75" x14ac:dyDescent="0.25">
      <c r="A625" s="21" t="s">
        <v>14934</v>
      </c>
      <c r="B625" s="22" t="s">
        <v>14935</v>
      </c>
      <c r="C625" s="2">
        <v>1</v>
      </c>
      <c r="D625" s="23">
        <v>5.99</v>
      </c>
      <c r="E625" s="3">
        <v>5.99</v>
      </c>
      <c r="F625" s="2" t="s">
        <v>17229</v>
      </c>
      <c r="G625" s="22" t="s">
        <v>19351</v>
      </c>
      <c r="H625" s="24" t="s">
        <v>19384</v>
      </c>
      <c r="I625" s="22" t="s">
        <v>19309</v>
      </c>
      <c r="J625" s="22" t="s">
        <v>19573</v>
      </c>
      <c r="K625" s="22" t="s">
        <v>19574</v>
      </c>
      <c r="L625" s="22"/>
      <c r="M625" s="22"/>
      <c r="N625" s="25" t="str">
        <f>HYPERLINK("http://slimages.macys.com/is/image/MCY/21361199 ")</f>
        <v xml:space="preserve">http://slimages.macys.com/is/image/MCY/21361199 </v>
      </c>
    </row>
    <row r="626" spans="1:14" ht="24.75" x14ac:dyDescent="0.25">
      <c r="A626" s="21" t="s">
        <v>19259</v>
      </c>
      <c r="B626" s="22" t="s">
        <v>19260</v>
      </c>
      <c r="C626" s="2">
        <v>1</v>
      </c>
      <c r="D626" s="23">
        <v>5.99</v>
      </c>
      <c r="E626" s="3">
        <v>5.99</v>
      </c>
      <c r="F626" s="2" t="s">
        <v>19261</v>
      </c>
      <c r="G626" s="22" t="s">
        <v>19674</v>
      </c>
      <c r="H626" s="24" t="s">
        <v>19324</v>
      </c>
      <c r="I626" s="22" t="s">
        <v>19309</v>
      </c>
      <c r="J626" s="22" t="s">
        <v>19573</v>
      </c>
      <c r="K626" s="22" t="s">
        <v>19574</v>
      </c>
      <c r="L626" s="22"/>
      <c r="M626" s="22"/>
      <c r="N626" s="25" t="str">
        <f>HYPERLINK("http://slimages.macys.com/is/image/MCY/21209261 ")</f>
        <v xml:space="preserve">http://slimages.macys.com/is/image/MCY/21209261 </v>
      </c>
    </row>
    <row r="627" spans="1:14" ht="24.75" x14ac:dyDescent="0.25">
      <c r="A627" s="21" t="s">
        <v>14936</v>
      </c>
      <c r="B627" s="22" t="s">
        <v>14937</v>
      </c>
      <c r="C627" s="2">
        <v>3</v>
      </c>
      <c r="D627" s="23">
        <v>6.99</v>
      </c>
      <c r="E627" s="3">
        <v>20.97</v>
      </c>
      <c r="F627" s="2" t="s">
        <v>14938</v>
      </c>
      <c r="G627" s="22" t="s">
        <v>19462</v>
      </c>
      <c r="H627" s="24" t="s">
        <v>19330</v>
      </c>
      <c r="I627" s="22" t="s">
        <v>19309</v>
      </c>
      <c r="J627" s="22" t="s">
        <v>19573</v>
      </c>
      <c r="K627" s="22" t="s">
        <v>19574</v>
      </c>
      <c r="L627" s="22"/>
      <c r="M627" s="22"/>
      <c r="N627" s="25" t="str">
        <f>HYPERLINK("http://slimages.macys.com/is/image/MCY/19977390 ")</f>
        <v xml:space="preserve">http://slimages.macys.com/is/image/MCY/19977390 </v>
      </c>
    </row>
    <row r="628" spans="1:14" ht="24.75" x14ac:dyDescent="0.25">
      <c r="A628" s="21" t="s">
        <v>14939</v>
      </c>
      <c r="B628" s="22" t="s">
        <v>14940</v>
      </c>
      <c r="C628" s="2">
        <v>2</v>
      </c>
      <c r="D628" s="23">
        <v>6.99</v>
      </c>
      <c r="E628" s="3">
        <v>13.98</v>
      </c>
      <c r="F628" s="2" t="s">
        <v>14938</v>
      </c>
      <c r="G628" s="22" t="s">
        <v>19462</v>
      </c>
      <c r="H628" s="24" t="s">
        <v>19416</v>
      </c>
      <c r="I628" s="22" t="s">
        <v>19309</v>
      </c>
      <c r="J628" s="22" t="s">
        <v>19573</v>
      </c>
      <c r="K628" s="22" t="s">
        <v>19574</v>
      </c>
      <c r="L628" s="22"/>
      <c r="M628" s="22"/>
      <c r="N628" s="25" t="str">
        <f>HYPERLINK("http://slimages.macys.com/is/image/MCY/19977390 ")</f>
        <v xml:space="preserve">http://slimages.macys.com/is/image/MCY/19977390 </v>
      </c>
    </row>
    <row r="629" spans="1:14" ht="24.75" x14ac:dyDescent="0.25">
      <c r="A629" s="21" t="s">
        <v>14941</v>
      </c>
      <c r="B629" s="22" t="s">
        <v>14942</v>
      </c>
      <c r="C629" s="2">
        <v>1</v>
      </c>
      <c r="D629" s="23">
        <v>6.99</v>
      </c>
      <c r="E629" s="3">
        <v>6.99</v>
      </c>
      <c r="F629" s="2" t="s">
        <v>14938</v>
      </c>
      <c r="G629" s="22" t="s">
        <v>19462</v>
      </c>
      <c r="H629" s="24" t="s">
        <v>19538</v>
      </c>
      <c r="I629" s="22" t="s">
        <v>19309</v>
      </c>
      <c r="J629" s="22" t="s">
        <v>19573</v>
      </c>
      <c r="K629" s="22" t="s">
        <v>19574</v>
      </c>
      <c r="L629" s="22"/>
      <c r="M629" s="22"/>
      <c r="N629" s="25" t="str">
        <f>HYPERLINK("http://slimages.macys.com/is/image/MCY/19977390 ")</f>
        <v xml:space="preserve">http://slimages.macys.com/is/image/MCY/19977390 </v>
      </c>
    </row>
    <row r="630" spans="1:14" ht="24.75" x14ac:dyDescent="0.25">
      <c r="A630" s="21" t="s">
        <v>14943</v>
      </c>
      <c r="B630" s="22" t="s">
        <v>14944</v>
      </c>
      <c r="C630" s="2">
        <v>1</v>
      </c>
      <c r="D630" s="23">
        <v>6.99</v>
      </c>
      <c r="E630" s="3">
        <v>6.99</v>
      </c>
      <c r="F630" s="2" t="s">
        <v>14938</v>
      </c>
      <c r="G630" s="22" t="s">
        <v>19462</v>
      </c>
      <c r="H630" s="24" t="s">
        <v>19324</v>
      </c>
      <c r="I630" s="22" t="s">
        <v>19309</v>
      </c>
      <c r="J630" s="22" t="s">
        <v>19573</v>
      </c>
      <c r="K630" s="22" t="s">
        <v>19574</v>
      </c>
      <c r="L630" s="22"/>
      <c r="M630" s="22"/>
      <c r="N630" s="25" t="str">
        <f>HYPERLINK("http://slimages.macys.com/is/image/MCY/19977390 ")</f>
        <v xml:space="preserve">http://slimages.macys.com/is/image/MCY/19977390 </v>
      </c>
    </row>
    <row r="631" spans="1:14" ht="24.75" x14ac:dyDescent="0.25">
      <c r="A631" s="21" t="s">
        <v>17227</v>
      </c>
      <c r="B631" s="22" t="s">
        <v>17228</v>
      </c>
      <c r="C631" s="2">
        <v>1</v>
      </c>
      <c r="D631" s="23">
        <v>5.99</v>
      </c>
      <c r="E631" s="3">
        <v>5.99</v>
      </c>
      <c r="F631" s="2" t="s">
        <v>17229</v>
      </c>
      <c r="G631" s="22" t="s">
        <v>19351</v>
      </c>
      <c r="H631" s="24" t="s">
        <v>19416</v>
      </c>
      <c r="I631" s="22" t="s">
        <v>19309</v>
      </c>
      <c r="J631" s="22" t="s">
        <v>19573</v>
      </c>
      <c r="K631" s="22" t="s">
        <v>19574</v>
      </c>
      <c r="L631" s="22"/>
      <c r="M631" s="22"/>
      <c r="N631" s="25" t="str">
        <f>HYPERLINK("http://slimages.macys.com/is/image/MCY/21361199 ")</f>
        <v xml:space="preserve">http://slimages.macys.com/is/image/MCY/21361199 </v>
      </c>
    </row>
    <row r="632" spans="1:14" ht="24.75" x14ac:dyDescent="0.25">
      <c r="A632" s="21" t="s">
        <v>14945</v>
      </c>
      <c r="B632" s="22" t="s">
        <v>14946</v>
      </c>
      <c r="C632" s="2">
        <v>1</v>
      </c>
      <c r="D632" s="23">
        <v>5.99</v>
      </c>
      <c r="E632" s="3">
        <v>5.99</v>
      </c>
      <c r="F632" s="2" t="s">
        <v>17229</v>
      </c>
      <c r="G632" s="22" t="s">
        <v>19351</v>
      </c>
      <c r="H632" s="24" t="s">
        <v>19324</v>
      </c>
      <c r="I632" s="22" t="s">
        <v>19309</v>
      </c>
      <c r="J632" s="22" t="s">
        <v>19573</v>
      </c>
      <c r="K632" s="22" t="s">
        <v>19574</v>
      </c>
      <c r="L632" s="22"/>
      <c r="M632" s="22"/>
      <c r="N632" s="25" t="str">
        <f>HYPERLINK("http://slimages.macys.com/is/image/MCY/21361199 ")</f>
        <v xml:space="preserve">http://slimages.macys.com/is/image/MCY/21361199 </v>
      </c>
    </row>
    <row r="633" spans="1:14" ht="24.75" x14ac:dyDescent="0.25">
      <c r="A633" s="21" t="s">
        <v>19264</v>
      </c>
      <c r="B633" s="22" t="s">
        <v>19265</v>
      </c>
      <c r="C633" s="2">
        <v>2</v>
      </c>
      <c r="D633" s="23">
        <v>5.99</v>
      </c>
      <c r="E633" s="3">
        <v>11.98</v>
      </c>
      <c r="F633" s="2" t="s">
        <v>19261</v>
      </c>
      <c r="G633" s="22" t="s">
        <v>19674</v>
      </c>
      <c r="H633" s="24" t="s">
        <v>19538</v>
      </c>
      <c r="I633" s="22" t="s">
        <v>19309</v>
      </c>
      <c r="J633" s="22" t="s">
        <v>19573</v>
      </c>
      <c r="K633" s="22" t="s">
        <v>19574</v>
      </c>
      <c r="L633" s="22"/>
      <c r="M633" s="22"/>
      <c r="N633" s="25" t="str">
        <f>HYPERLINK("http://slimages.macys.com/is/image/MCY/21209261 ")</f>
        <v xml:space="preserve">http://slimages.macys.com/is/image/MCY/21209261 </v>
      </c>
    </row>
    <row r="634" spans="1:14" ht="24.75" x14ac:dyDescent="0.25">
      <c r="A634" s="21" t="s">
        <v>14947</v>
      </c>
      <c r="B634" s="22" t="s">
        <v>14948</v>
      </c>
      <c r="C634" s="2">
        <v>2</v>
      </c>
      <c r="D634" s="23">
        <v>5.99</v>
      </c>
      <c r="E634" s="3">
        <v>11.98</v>
      </c>
      <c r="F634" s="2" t="s">
        <v>14949</v>
      </c>
      <c r="G634" s="22" t="s">
        <v>18764</v>
      </c>
      <c r="H634" s="24" t="s">
        <v>19416</v>
      </c>
      <c r="I634" s="22" t="s">
        <v>19309</v>
      </c>
      <c r="J634" s="22" t="s">
        <v>19573</v>
      </c>
      <c r="K634" s="22" t="s">
        <v>19574</v>
      </c>
      <c r="L634" s="22"/>
      <c r="M634" s="22"/>
      <c r="N634" s="25" t="str">
        <f>HYPERLINK("http://slimages.macys.com/is/image/MCY/20555230 ")</f>
        <v xml:space="preserve">http://slimages.macys.com/is/image/MCY/20555230 </v>
      </c>
    </row>
    <row r="635" spans="1:14" ht="24.75" x14ac:dyDescent="0.25">
      <c r="A635" s="21" t="s">
        <v>14950</v>
      </c>
      <c r="B635" s="22" t="s">
        <v>14951</v>
      </c>
      <c r="C635" s="2">
        <v>2</v>
      </c>
      <c r="D635" s="23">
        <v>5.99</v>
      </c>
      <c r="E635" s="3">
        <v>11.98</v>
      </c>
      <c r="F635" s="2" t="s">
        <v>14949</v>
      </c>
      <c r="G635" s="22" t="s">
        <v>18764</v>
      </c>
      <c r="H635" s="24" t="s">
        <v>19324</v>
      </c>
      <c r="I635" s="22" t="s">
        <v>19309</v>
      </c>
      <c r="J635" s="22" t="s">
        <v>19573</v>
      </c>
      <c r="K635" s="22" t="s">
        <v>19574</v>
      </c>
      <c r="L635" s="22"/>
      <c r="M635" s="22"/>
      <c r="N635" s="25" t="str">
        <f>HYPERLINK("http://slimages.macys.com/is/image/MCY/21155761 ")</f>
        <v xml:space="preserve">http://slimages.macys.com/is/image/MCY/21155761 </v>
      </c>
    </row>
    <row r="636" spans="1:14" ht="24.75" x14ac:dyDescent="0.25">
      <c r="A636" s="21" t="s">
        <v>14952</v>
      </c>
      <c r="B636" s="22" t="s">
        <v>14953</v>
      </c>
      <c r="C636" s="2">
        <v>1</v>
      </c>
      <c r="D636" s="23">
        <v>5.99</v>
      </c>
      <c r="E636" s="3">
        <v>5.99</v>
      </c>
      <c r="F636" s="2" t="s">
        <v>14949</v>
      </c>
      <c r="G636" s="22" t="s">
        <v>18764</v>
      </c>
      <c r="H636" s="24" t="s">
        <v>19330</v>
      </c>
      <c r="I636" s="22" t="s">
        <v>19309</v>
      </c>
      <c r="J636" s="22" t="s">
        <v>19573</v>
      </c>
      <c r="K636" s="22" t="s">
        <v>19574</v>
      </c>
      <c r="L636" s="22"/>
      <c r="M636" s="22"/>
      <c r="N636" s="25" t="str">
        <f>HYPERLINK("http://slimages.macys.com/is/image/MCY/20555230 ")</f>
        <v xml:space="preserve">http://slimages.macys.com/is/image/MCY/20555230 </v>
      </c>
    </row>
    <row r="637" spans="1:14" ht="24.75" x14ac:dyDescent="0.25">
      <c r="A637" s="21" t="s">
        <v>14954</v>
      </c>
      <c r="B637" s="22" t="s">
        <v>14955</v>
      </c>
      <c r="C637" s="2">
        <v>2</v>
      </c>
      <c r="D637" s="23">
        <v>5.99</v>
      </c>
      <c r="E637" s="3">
        <v>11.98</v>
      </c>
      <c r="F637" s="2" t="s">
        <v>14956</v>
      </c>
      <c r="G637" s="22" t="s">
        <v>19415</v>
      </c>
      <c r="H637" s="24" t="s">
        <v>19330</v>
      </c>
      <c r="I637" s="22" t="s">
        <v>19309</v>
      </c>
      <c r="J637" s="22" t="s">
        <v>19573</v>
      </c>
      <c r="K637" s="22" t="s">
        <v>19574</v>
      </c>
      <c r="L637" s="22"/>
      <c r="M637" s="22"/>
      <c r="N637" s="25" t="str">
        <f>HYPERLINK("http://slimages.macys.com/is/image/MCY/22168965 ")</f>
        <v xml:space="preserve">http://slimages.macys.com/is/image/MCY/22168965 </v>
      </c>
    </row>
    <row r="638" spans="1:14" ht="24.75" x14ac:dyDescent="0.25">
      <c r="A638" s="21" t="s">
        <v>14957</v>
      </c>
      <c r="B638" s="22" t="s">
        <v>14958</v>
      </c>
      <c r="C638" s="2">
        <v>2</v>
      </c>
      <c r="D638" s="23">
        <v>7.99</v>
      </c>
      <c r="E638" s="3">
        <v>15.98</v>
      </c>
      <c r="F638" s="2" t="s">
        <v>14959</v>
      </c>
      <c r="G638" s="22" t="s">
        <v>19415</v>
      </c>
      <c r="H638" s="24" t="s">
        <v>19907</v>
      </c>
      <c r="I638" s="22" t="s">
        <v>19309</v>
      </c>
      <c r="J638" s="22" t="s">
        <v>19573</v>
      </c>
      <c r="K638" s="22" t="s">
        <v>19574</v>
      </c>
      <c r="L638" s="22"/>
      <c r="M638" s="22"/>
      <c r="N638" s="25" t="str">
        <f>HYPERLINK("http://slimages.macys.com/is/image/MCY/21209562 ")</f>
        <v xml:space="preserve">http://slimages.macys.com/is/image/MCY/21209562 </v>
      </c>
    </row>
    <row r="639" spans="1:14" ht="24.75" x14ac:dyDescent="0.25">
      <c r="A639" s="21" t="s">
        <v>14960</v>
      </c>
      <c r="B639" s="22" t="s">
        <v>14961</v>
      </c>
      <c r="C639" s="2">
        <v>2</v>
      </c>
      <c r="D639" s="23">
        <v>7.99</v>
      </c>
      <c r="E639" s="3">
        <v>15.98</v>
      </c>
      <c r="F639" s="2" t="s">
        <v>14959</v>
      </c>
      <c r="G639" s="22" t="s">
        <v>19415</v>
      </c>
      <c r="H639" s="24" t="s">
        <v>20135</v>
      </c>
      <c r="I639" s="22" t="s">
        <v>19309</v>
      </c>
      <c r="J639" s="22" t="s">
        <v>19573</v>
      </c>
      <c r="K639" s="22" t="s">
        <v>19574</v>
      </c>
      <c r="L639" s="22"/>
      <c r="M639" s="22"/>
      <c r="N639" s="25" t="str">
        <f>HYPERLINK("http://slimages.macys.com/is/image/MCY/21209562 ")</f>
        <v xml:space="preserve">http://slimages.macys.com/is/image/MCY/21209562 </v>
      </c>
    </row>
    <row r="640" spans="1:14" ht="24.75" x14ac:dyDescent="0.25">
      <c r="A640" s="21" t="s">
        <v>14962</v>
      </c>
      <c r="B640" s="22" t="s">
        <v>14963</v>
      </c>
      <c r="C640" s="2">
        <v>1</v>
      </c>
      <c r="D640" s="23">
        <v>5.99</v>
      </c>
      <c r="E640" s="3">
        <v>5.99</v>
      </c>
      <c r="F640" s="2" t="s">
        <v>14949</v>
      </c>
      <c r="G640" s="22" t="s">
        <v>18764</v>
      </c>
      <c r="H640" s="24" t="s">
        <v>19384</v>
      </c>
      <c r="I640" s="22" t="s">
        <v>19309</v>
      </c>
      <c r="J640" s="22" t="s">
        <v>19573</v>
      </c>
      <c r="K640" s="22" t="s">
        <v>19574</v>
      </c>
      <c r="L640" s="22"/>
      <c r="M640" s="22"/>
      <c r="N640" s="25" t="str">
        <f>HYPERLINK("http://slimages.macys.com/is/image/MCY/21155761 ")</f>
        <v xml:space="preserve">http://slimages.macys.com/is/image/MCY/21155761 </v>
      </c>
    </row>
    <row r="641" spans="1:14" ht="24.75" x14ac:dyDescent="0.25">
      <c r="A641" s="21" t="s">
        <v>14964</v>
      </c>
      <c r="B641" s="22" t="s">
        <v>14965</v>
      </c>
      <c r="C641" s="2">
        <v>1</v>
      </c>
      <c r="D641" s="23">
        <v>5.99</v>
      </c>
      <c r="E641" s="3">
        <v>5.99</v>
      </c>
      <c r="F641" s="2" t="s">
        <v>14956</v>
      </c>
      <c r="G641" s="22" t="s">
        <v>19415</v>
      </c>
      <c r="H641" s="24" t="s">
        <v>19416</v>
      </c>
      <c r="I641" s="22" t="s">
        <v>19309</v>
      </c>
      <c r="J641" s="22" t="s">
        <v>19573</v>
      </c>
      <c r="K641" s="22" t="s">
        <v>19574</v>
      </c>
      <c r="L641" s="22"/>
      <c r="M641" s="22"/>
      <c r="N641" s="25" t="str">
        <f>HYPERLINK("http://slimages.macys.com/is/image/MCY/22168965 ")</f>
        <v xml:space="preserve">http://slimages.macys.com/is/image/MCY/22168965 </v>
      </c>
    </row>
    <row r="642" spans="1:14" ht="24.75" x14ac:dyDescent="0.25">
      <c r="A642" s="21" t="s">
        <v>17246</v>
      </c>
      <c r="B642" s="22" t="s">
        <v>17247</v>
      </c>
      <c r="C642" s="2">
        <v>2</v>
      </c>
      <c r="D642" s="23">
        <v>5.99</v>
      </c>
      <c r="E642" s="3">
        <v>11.98</v>
      </c>
      <c r="F642" s="2" t="s">
        <v>17245</v>
      </c>
      <c r="G642" s="22" t="s">
        <v>19794</v>
      </c>
      <c r="H642" s="24" t="s">
        <v>19330</v>
      </c>
      <c r="I642" s="22" t="s">
        <v>19309</v>
      </c>
      <c r="J642" s="22" t="s">
        <v>19573</v>
      </c>
      <c r="K642" s="22" t="s">
        <v>19574</v>
      </c>
      <c r="L642" s="22"/>
      <c r="M642" s="22"/>
      <c r="N642" s="25" t="str">
        <f>HYPERLINK("http://slimages.macys.com/is/image/MCY/1520523 ")</f>
        <v xml:space="preserve">http://slimages.macys.com/is/image/MCY/1520523 </v>
      </c>
    </row>
    <row r="643" spans="1:14" ht="24.75" x14ac:dyDescent="0.25">
      <c r="A643" s="21" t="s">
        <v>14966</v>
      </c>
      <c r="B643" s="22" t="s">
        <v>14967</v>
      </c>
      <c r="C643" s="2">
        <v>3</v>
      </c>
      <c r="D643" s="23">
        <v>5.99</v>
      </c>
      <c r="E643" s="3">
        <v>17.97</v>
      </c>
      <c r="F643" s="2" t="s">
        <v>17245</v>
      </c>
      <c r="G643" s="22" t="s">
        <v>19794</v>
      </c>
      <c r="H643" s="24" t="s">
        <v>19416</v>
      </c>
      <c r="I643" s="22" t="s">
        <v>19309</v>
      </c>
      <c r="J643" s="22" t="s">
        <v>19573</v>
      </c>
      <c r="K643" s="22" t="s">
        <v>19574</v>
      </c>
      <c r="L643" s="22"/>
      <c r="M643" s="22"/>
      <c r="N643" s="25" t="str">
        <f>HYPERLINK("http://slimages.macys.com/is/image/MCY/1520523 ")</f>
        <v xml:space="preserve">http://slimages.macys.com/is/image/MCY/1520523 </v>
      </c>
    </row>
    <row r="644" spans="1:14" ht="24.75" x14ac:dyDescent="0.25">
      <c r="A644" s="21" t="s">
        <v>14968</v>
      </c>
      <c r="B644" s="22" t="s">
        <v>14969</v>
      </c>
      <c r="C644" s="2">
        <v>1</v>
      </c>
      <c r="D644" s="23">
        <v>5.99</v>
      </c>
      <c r="E644" s="3">
        <v>5.99</v>
      </c>
      <c r="F644" s="2" t="s">
        <v>17240</v>
      </c>
      <c r="G644" s="22" t="s">
        <v>19315</v>
      </c>
      <c r="H644" s="24" t="s">
        <v>19330</v>
      </c>
      <c r="I644" s="22" t="s">
        <v>19309</v>
      </c>
      <c r="J644" s="22" t="s">
        <v>19573</v>
      </c>
      <c r="K644" s="22" t="s">
        <v>19574</v>
      </c>
      <c r="L644" s="22"/>
      <c r="M644" s="22"/>
      <c r="N644" s="25" t="str">
        <f>HYPERLINK("http://slimages.macys.com/is/image/MCY/21209554 ")</f>
        <v xml:space="preserve">http://slimages.macys.com/is/image/MCY/21209554 </v>
      </c>
    </row>
    <row r="645" spans="1:14" ht="24.75" x14ac:dyDescent="0.25">
      <c r="A645" s="21" t="s">
        <v>19271</v>
      </c>
      <c r="B645" s="22" t="s">
        <v>19272</v>
      </c>
      <c r="C645" s="2">
        <v>3</v>
      </c>
      <c r="D645" s="23">
        <v>5.99</v>
      </c>
      <c r="E645" s="3">
        <v>17.97</v>
      </c>
      <c r="F645" s="2" t="s">
        <v>19273</v>
      </c>
      <c r="G645" s="22" t="s">
        <v>19794</v>
      </c>
      <c r="H645" s="24" t="s">
        <v>19538</v>
      </c>
      <c r="I645" s="22" t="s">
        <v>19309</v>
      </c>
      <c r="J645" s="22" t="s">
        <v>19573</v>
      </c>
      <c r="K645" s="22" t="s">
        <v>19574</v>
      </c>
      <c r="L645" s="22"/>
      <c r="M645" s="22"/>
      <c r="N645" s="25" t="str">
        <f>HYPERLINK("http://slimages.macys.com/is/image/MCY/21209112 ")</f>
        <v xml:space="preserve">http://slimages.macys.com/is/image/MCY/21209112 </v>
      </c>
    </row>
    <row r="646" spans="1:14" ht="24.75" x14ac:dyDescent="0.25">
      <c r="A646" s="21" t="s">
        <v>19274</v>
      </c>
      <c r="B646" s="22" t="s">
        <v>19275</v>
      </c>
      <c r="C646" s="2">
        <v>1</v>
      </c>
      <c r="D646" s="23">
        <v>5.99</v>
      </c>
      <c r="E646" s="3">
        <v>5.99</v>
      </c>
      <c r="F646" s="2" t="s">
        <v>19270</v>
      </c>
      <c r="G646" s="22" t="s">
        <v>19351</v>
      </c>
      <c r="H646" s="24" t="s">
        <v>19324</v>
      </c>
      <c r="I646" s="22" t="s">
        <v>19309</v>
      </c>
      <c r="J646" s="22" t="s">
        <v>19573</v>
      </c>
      <c r="K646" s="22" t="s">
        <v>19574</v>
      </c>
      <c r="L646" s="22"/>
      <c r="M646" s="22"/>
      <c r="N646" s="25" t="str">
        <f>HYPERLINK("http://slimages.macys.com/is/image/MCY/20839696 ")</f>
        <v xml:space="preserve">http://slimages.macys.com/is/image/MCY/20839696 </v>
      </c>
    </row>
    <row r="647" spans="1:14" ht="24.75" x14ac:dyDescent="0.25">
      <c r="A647" s="21" t="s">
        <v>14970</v>
      </c>
      <c r="B647" s="22" t="s">
        <v>14971</v>
      </c>
      <c r="C647" s="2">
        <v>3</v>
      </c>
      <c r="D647" s="23">
        <v>5.99</v>
      </c>
      <c r="E647" s="3">
        <v>17.97</v>
      </c>
      <c r="F647" s="2" t="s">
        <v>19270</v>
      </c>
      <c r="G647" s="22" t="s">
        <v>19351</v>
      </c>
      <c r="H647" s="24" t="s">
        <v>19330</v>
      </c>
      <c r="I647" s="22" t="s">
        <v>19309</v>
      </c>
      <c r="J647" s="22" t="s">
        <v>19573</v>
      </c>
      <c r="K647" s="22" t="s">
        <v>19574</v>
      </c>
      <c r="L647" s="22"/>
      <c r="M647" s="22"/>
      <c r="N647" s="25" t="str">
        <f>HYPERLINK("http://slimages.macys.com/is/image/MCY/20839696 ")</f>
        <v xml:space="preserve">http://slimages.macys.com/is/image/MCY/20839696 </v>
      </c>
    </row>
    <row r="648" spans="1:14" ht="24.75" x14ac:dyDescent="0.25">
      <c r="A648" s="21" t="s">
        <v>17255</v>
      </c>
      <c r="B648" s="22" t="s">
        <v>17256</v>
      </c>
      <c r="C648" s="2">
        <v>1</v>
      </c>
      <c r="D648" s="23">
        <v>5.99</v>
      </c>
      <c r="E648" s="3">
        <v>5.99</v>
      </c>
      <c r="F648" s="2" t="s">
        <v>17257</v>
      </c>
      <c r="G648" s="22" t="s">
        <v>19431</v>
      </c>
      <c r="H648" s="24" t="s">
        <v>19538</v>
      </c>
      <c r="I648" s="22" t="s">
        <v>19309</v>
      </c>
      <c r="J648" s="22" t="s">
        <v>19573</v>
      </c>
      <c r="K648" s="22" t="s">
        <v>19574</v>
      </c>
      <c r="L648" s="22"/>
      <c r="M648" s="22"/>
      <c r="N648" s="25" t="str">
        <f>HYPERLINK("http://slimages.macys.com/is/image/MCY/21209617 ")</f>
        <v xml:space="preserve">http://slimages.macys.com/is/image/MCY/21209617 </v>
      </c>
    </row>
    <row r="649" spans="1:14" ht="24.75" x14ac:dyDescent="0.25">
      <c r="A649" s="21" t="s">
        <v>17252</v>
      </c>
      <c r="B649" s="22" t="s">
        <v>17253</v>
      </c>
      <c r="C649" s="2">
        <v>1</v>
      </c>
      <c r="D649" s="23">
        <v>5.99</v>
      </c>
      <c r="E649" s="3">
        <v>5.99</v>
      </c>
      <c r="F649" s="2" t="s">
        <v>17254</v>
      </c>
      <c r="G649" s="22" t="s">
        <v>19906</v>
      </c>
      <c r="H649" s="24" t="s">
        <v>19330</v>
      </c>
      <c r="I649" s="22" t="s">
        <v>19309</v>
      </c>
      <c r="J649" s="22" t="s">
        <v>19573</v>
      </c>
      <c r="K649" s="22" t="s">
        <v>19574</v>
      </c>
      <c r="L649" s="22"/>
      <c r="M649" s="22"/>
      <c r="N649" s="25" t="str">
        <f>HYPERLINK("http://slimages.macys.com/is/image/MCY/21209467 ")</f>
        <v xml:space="preserve">http://slimages.macys.com/is/image/MCY/21209467 </v>
      </c>
    </row>
    <row r="650" spans="1:14" ht="24.75" x14ac:dyDescent="0.25">
      <c r="A650" s="21" t="s">
        <v>14972</v>
      </c>
      <c r="B650" s="22" t="s">
        <v>14973</v>
      </c>
      <c r="C650" s="2">
        <v>5</v>
      </c>
      <c r="D650" s="23">
        <v>5.99</v>
      </c>
      <c r="E650" s="3">
        <v>29.95</v>
      </c>
      <c r="F650" s="2" t="s">
        <v>19273</v>
      </c>
      <c r="G650" s="22" t="s">
        <v>19794</v>
      </c>
      <c r="H650" s="24" t="s">
        <v>19324</v>
      </c>
      <c r="I650" s="22" t="s">
        <v>19309</v>
      </c>
      <c r="J650" s="22" t="s">
        <v>19573</v>
      </c>
      <c r="K650" s="22" t="s">
        <v>19574</v>
      </c>
      <c r="L650" s="22"/>
      <c r="M650" s="22"/>
      <c r="N650" s="25" t="str">
        <f>HYPERLINK("http://slimages.macys.com/is/image/MCY/21209112 ")</f>
        <v xml:space="preserve">http://slimages.macys.com/is/image/MCY/21209112 </v>
      </c>
    </row>
    <row r="651" spans="1:14" ht="24.75" x14ac:dyDescent="0.25">
      <c r="A651" s="21" t="s">
        <v>14974</v>
      </c>
      <c r="B651" s="22" t="s">
        <v>14975</v>
      </c>
      <c r="C651" s="2">
        <v>4</v>
      </c>
      <c r="D651" s="23">
        <v>5.99</v>
      </c>
      <c r="E651" s="3">
        <v>23.96</v>
      </c>
      <c r="F651" s="2" t="s">
        <v>19273</v>
      </c>
      <c r="G651" s="22" t="s">
        <v>19794</v>
      </c>
      <c r="H651" s="24" t="s">
        <v>19384</v>
      </c>
      <c r="I651" s="22" t="s">
        <v>19309</v>
      </c>
      <c r="J651" s="22" t="s">
        <v>19573</v>
      </c>
      <c r="K651" s="22" t="s">
        <v>19574</v>
      </c>
      <c r="L651" s="22"/>
      <c r="M651" s="22"/>
      <c r="N651" s="25" t="str">
        <f>HYPERLINK("http://slimages.macys.com/is/image/MCY/21209112 ")</f>
        <v xml:space="preserve">http://slimages.macys.com/is/image/MCY/21209112 </v>
      </c>
    </row>
    <row r="652" spans="1:14" ht="24.75" x14ac:dyDescent="0.25">
      <c r="A652" s="21" t="s">
        <v>14976</v>
      </c>
      <c r="B652" s="22" t="s">
        <v>14977</v>
      </c>
      <c r="C652" s="2">
        <v>2</v>
      </c>
      <c r="D652" s="23">
        <v>5.99</v>
      </c>
      <c r="E652" s="3">
        <v>11.98</v>
      </c>
      <c r="F652" s="2" t="s">
        <v>19273</v>
      </c>
      <c r="G652" s="22" t="s">
        <v>19794</v>
      </c>
      <c r="H652" s="24" t="s">
        <v>19416</v>
      </c>
      <c r="I652" s="22" t="s">
        <v>19309</v>
      </c>
      <c r="J652" s="22" t="s">
        <v>19573</v>
      </c>
      <c r="K652" s="22" t="s">
        <v>19574</v>
      </c>
      <c r="L652" s="22"/>
      <c r="M652" s="22"/>
      <c r="N652" s="25" t="str">
        <f>HYPERLINK("http://slimages.macys.com/is/image/MCY/21209112 ")</f>
        <v xml:space="preserve">http://slimages.macys.com/is/image/MCY/21209112 </v>
      </c>
    </row>
    <row r="653" spans="1:14" ht="24.75" x14ac:dyDescent="0.25">
      <c r="A653" s="21" t="s">
        <v>14978</v>
      </c>
      <c r="B653" s="22" t="s">
        <v>14979</v>
      </c>
      <c r="C653" s="2">
        <v>6</v>
      </c>
      <c r="D653" s="23">
        <v>5.99</v>
      </c>
      <c r="E653" s="3">
        <v>35.94</v>
      </c>
      <c r="F653" s="2" t="s">
        <v>19273</v>
      </c>
      <c r="G653" s="22" t="s">
        <v>19794</v>
      </c>
      <c r="H653" s="24" t="s">
        <v>19330</v>
      </c>
      <c r="I653" s="22" t="s">
        <v>19309</v>
      </c>
      <c r="J653" s="22" t="s">
        <v>19573</v>
      </c>
      <c r="K653" s="22" t="s">
        <v>19574</v>
      </c>
      <c r="L653" s="22"/>
      <c r="M653" s="22"/>
      <c r="N653" s="25" t="str">
        <f>HYPERLINK("http://slimages.macys.com/is/image/MCY/21209112 ")</f>
        <v xml:space="preserve">http://slimages.macys.com/is/image/MCY/21209112 </v>
      </c>
    </row>
    <row r="654" spans="1:14" ht="24.75" x14ac:dyDescent="0.25">
      <c r="A654" s="21" t="s">
        <v>14980</v>
      </c>
      <c r="B654" s="22" t="s">
        <v>14981</v>
      </c>
      <c r="C654" s="2">
        <v>1</v>
      </c>
      <c r="D654" s="23">
        <v>5.99</v>
      </c>
      <c r="E654" s="3">
        <v>5.99</v>
      </c>
      <c r="F654" s="2" t="s">
        <v>19278</v>
      </c>
      <c r="G654" s="22" t="s">
        <v>19351</v>
      </c>
      <c r="H654" s="24" t="s">
        <v>19324</v>
      </c>
      <c r="I654" s="22" t="s">
        <v>19309</v>
      </c>
      <c r="J654" s="22" t="s">
        <v>19573</v>
      </c>
      <c r="K654" s="22" t="s">
        <v>19574</v>
      </c>
      <c r="L654" s="22"/>
      <c r="M654" s="22"/>
      <c r="N654" s="25" t="str">
        <f>HYPERLINK("http://slimages.macys.com/is/image/MCY/21088629 ")</f>
        <v xml:space="preserve">http://slimages.macys.com/is/image/MCY/21088629 </v>
      </c>
    </row>
    <row r="655" spans="1:14" ht="24.75" x14ac:dyDescent="0.25">
      <c r="A655" s="21" t="s">
        <v>14982</v>
      </c>
      <c r="B655" s="22" t="s">
        <v>14983</v>
      </c>
      <c r="C655" s="2">
        <v>1</v>
      </c>
      <c r="D655" s="23">
        <v>5.99</v>
      </c>
      <c r="E655" s="3">
        <v>5.99</v>
      </c>
      <c r="F655" s="2" t="s">
        <v>19000</v>
      </c>
      <c r="G655" s="22" t="s">
        <v>19618</v>
      </c>
      <c r="H655" s="24" t="s">
        <v>19538</v>
      </c>
      <c r="I655" s="22" t="s">
        <v>19309</v>
      </c>
      <c r="J655" s="22" t="s">
        <v>19573</v>
      </c>
      <c r="K655" s="22" t="s">
        <v>19574</v>
      </c>
      <c r="L655" s="22"/>
      <c r="M655" s="22"/>
      <c r="N655" s="25" t="str">
        <f>HYPERLINK("http://slimages.macys.com/is/image/MCY/21515593 ")</f>
        <v xml:space="preserve">http://slimages.macys.com/is/image/MCY/21515593 </v>
      </c>
    </row>
    <row r="656" spans="1:14" ht="24.75" x14ac:dyDescent="0.25">
      <c r="A656" s="21" t="s">
        <v>14984</v>
      </c>
      <c r="B656" s="22" t="s">
        <v>14985</v>
      </c>
      <c r="C656" s="2">
        <v>2</v>
      </c>
      <c r="D656" s="23">
        <v>5.99</v>
      </c>
      <c r="E656" s="3">
        <v>11.98</v>
      </c>
      <c r="F656" s="2" t="s">
        <v>17265</v>
      </c>
      <c r="G656" s="22" t="s">
        <v>19670</v>
      </c>
      <c r="H656" s="24" t="s">
        <v>19416</v>
      </c>
      <c r="I656" s="22" t="s">
        <v>19309</v>
      </c>
      <c r="J656" s="22" t="s">
        <v>19573</v>
      </c>
      <c r="K656" s="22" t="s">
        <v>19574</v>
      </c>
      <c r="L656" s="22"/>
      <c r="M656" s="22"/>
      <c r="N656" s="25" t="str">
        <f>HYPERLINK("http://slimages.macys.com/is/image/MCY/1537013 ")</f>
        <v xml:space="preserve">http://slimages.macys.com/is/image/MCY/1537013 </v>
      </c>
    </row>
    <row r="657" spans="1:14" ht="24.75" x14ac:dyDescent="0.25">
      <c r="A657" s="21" t="s">
        <v>17269</v>
      </c>
      <c r="B657" s="22" t="s">
        <v>17270</v>
      </c>
      <c r="C657" s="2">
        <v>1</v>
      </c>
      <c r="D657" s="23">
        <v>5.99</v>
      </c>
      <c r="E657" s="3">
        <v>5.99</v>
      </c>
      <c r="F657" s="2" t="s">
        <v>17395</v>
      </c>
      <c r="G657" s="22" t="s">
        <v>19670</v>
      </c>
      <c r="H657" s="24" t="s">
        <v>19330</v>
      </c>
      <c r="I657" s="22" t="s">
        <v>19309</v>
      </c>
      <c r="J657" s="22" t="s">
        <v>19573</v>
      </c>
      <c r="K657" s="22" t="s">
        <v>19574</v>
      </c>
      <c r="L657" s="22"/>
      <c r="M657" s="22"/>
      <c r="N657" s="25" t="str">
        <f>HYPERLINK("http://slimages.macys.com/is/image/MCY/1521976 ")</f>
        <v xml:space="preserve">http://slimages.macys.com/is/image/MCY/1521976 </v>
      </c>
    </row>
    <row r="658" spans="1:14" ht="24.75" x14ac:dyDescent="0.25">
      <c r="A658" s="21" t="s">
        <v>14986</v>
      </c>
      <c r="B658" s="22" t="s">
        <v>14987</v>
      </c>
      <c r="C658" s="2">
        <v>1</v>
      </c>
      <c r="D658" s="23">
        <v>5.99</v>
      </c>
      <c r="E658" s="3">
        <v>5.99</v>
      </c>
      <c r="F658" s="2" t="s">
        <v>14988</v>
      </c>
      <c r="G658" s="22" t="s">
        <v>19467</v>
      </c>
      <c r="H658" s="24" t="s">
        <v>19538</v>
      </c>
      <c r="I658" s="22" t="s">
        <v>19309</v>
      </c>
      <c r="J658" s="22" t="s">
        <v>19573</v>
      </c>
      <c r="K658" s="22" t="s">
        <v>19574</v>
      </c>
      <c r="L658" s="22"/>
      <c r="M658" s="22"/>
      <c r="N658" s="25" t="str">
        <f>HYPERLINK("http://slimages.macys.com/is/image/MCY/20757609 ")</f>
        <v xml:space="preserve">http://slimages.macys.com/is/image/MCY/20757609 </v>
      </c>
    </row>
    <row r="659" spans="1:14" ht="24.75" x14ac:dyDescent="0.25">
      <c r="A659" s="21" t="s">
        <v>14989</v>
      </c>
      <c r="B659" s="22" t="s">
        <v>14990</v>
      </c>
      <c r="C659" s="2">
        <v>1</v>
      </c>
      <c r="D659" s="23">
        <v>5.99</v>
      </c>
      <c r="E659" s="3">
        <v>5.99</v>
      </c>
      <c r="F659" s="2" t="s">
        <v>14988</v>
      </c>
      <c r="G659" s="22" t="s">
        <v>19467</v>
      </c>
      <c r="H659" s="24" t="s">
        <v>19324</v>
      </c>
      <c r="I659" s="22" t="s">
        <v>19309</v>
      </c>
      <c r="J659" s="22" t="s">
        <v>19573</v>
      </c>
      <c r="K659" s="22" t="s">
        <v>19574</v>
      </c>
      <c r="L659" s="22"/>
      <c r="M659" s="22"/>
      <c r="N659" s="25" t="str">
        <f>HYPERLINK("http://slimages.macys.com/is/image/MCY/20757609 ")</f>
        <v xml:space="preserve">http://slimages.macys.com/is/image/MCY/20757609 </v>
      </c>
    </row>
    <row r="660" spans="1:14" ht="24.75" x14ac:dyDescent="0.25">
      <c r="A660" s="21" t="s">
        <v>14991</v>
      </c>
      <c r="B660" s="22" t="s">
        <v>14992</v>
      </c>
      <c r="C660" s="2">
        <v>1</v>
      </c>
      <c r="D660" s="23">
        <v>5.99</v>
      </c>
      <c r="E660" s="3">
        <v>5.99</v>
      </c>
      <c r="F660" s="2" t="s">
        <v>17280</v>
      </c>
      <c r="G660" s="22" t="s">
        <v>19618</v>
      </c>
      <c r="H660" s="24" t="s">
        <v>19416</v>
      </c>
      <c r="I660" s="22" t="s">
        <v>19309</v>
      </c>
      <c r="J660" s="22" t="s">
        <v>19573</v>
      </c>
      <c r="K660" s="22" t="s">
        <v>19574</v>
      </c>
      <c r="L660" s="22"/>
      <c r="M660" s="22"/>
      <c r="N660" s="25" t="str">
        <f>HYPERLINK("http://slimages.macys.com/is/image/MCY/20839692 ")</f>
        <v xml:space="preserve">http://slimages.macys.com/is/image/MCY/20839692 </v>
      </c>
    </row>
    <row r="661" spans="1:14" ht="24.75" x14ac:dyDescent="0.25">
      <c r="A661" s="21" t="s">
        <v>14993</v>
      </c>
      <c r="B661" s="22" t="s">
        <v>14994</v>
      </c>
      <c r="C661" s="2">
        <v>1</v>
      </c>
      <c r="D661" s="23">
        <v>5.99</v>
      </c>
      <c r="E661" s="3">
        <v>5.99</v>
      </c>
      <c r="F661" s="2" t="s">
        <v>17280</v>
      </c>
      <c r="G661" s="22" t="s">
        <v>19618</v>
      </c>
      <c r="H661" s="24" t="s">
        <v>19324</v>
      </c>
      <c r="I661" s="22" t="s">
        <v>19309</v>
      </c>
      <c r="J661" s="22" t="s">
        <v>19573</v>
      </c>
      <c r="K661" s="22" t="s">
        <v>19574</v>
      </c>
      <c r="L661" s="22"/>
      <c r="M661" s="22"/>
      <c r="N661" s="25" t="str">
        <f>HYPERLINK("http://slimages.macys.com/is/image/MCY/20839692 ")</f>
        <v xml:space="preserve">http://slimages.macys.com/is/image/MCY/20839692 </v>
      </c>
    </row>
    <row r="662" spans="1:14" ht="24.75" x14ac:dyDescent="0.25">
      <c r="A662" s="21" t="s">
        <v>14995</v>
      </c>
      <c r="B662" s="22" t="s">
        <v>14996</v>
      </c>
      <c r="C662" s="2">
        <v>1</v>
      </c>
      <c r="D662" s="23">
        <v>5.99</v>
      </c>
      <c r="E662" s="3">
        <v>5.99</v>
      </c>
      <c r="F662" s="2" t="s">
        <v>17417</v>
      </c>
      <c r="G662" s="22" t="s">
        <v>19351</v>
      </c>
      <c r="H662" s="24" t="s">
        <v>19324</v>
      </c>
      <c r="I662" s="22" t="s">
        <v>19309</v>
      </c>
      <c r="J662" s="22" t="s">
        <v>19573</v>
      </c>
      <c r="K662" s="22" t="s">
        <v>19574</v>
      </c>
      <c r="L662" s="22"/>
      <c r="M662" s="22"/>
      <c r="N662" s="25" t="str">
        <f>HYPERLINK("http://slimages.macys.com/is/image/MCY/21209473 ")</f>
        <v xml:space="preserve">http://slimages.macys.com/is/image/MCY/21209473 </v>
      </c>
    </row>
    <row r="663" spans="1:14" ht="24.75" x14ac:dyDescent="0.25">
      <c r="A663" s="21" t="s">
        <v>17421</v>
      </c>
      <c r="B663" s="22" t="s">
        <v>17422</v>
      </c>
      <c r="C663" s="2">
        <v>1</v>
      </c>
      <c r="D663" s="23">
        <v>5.99</v>
      </c>
      <c r="E663" s="3">
        <v>5.99</v>
      </c>
      <c r="F663" s="2" t="s">
        <v>17417</v>
      </c>
      <c r="G663" s="22" t="s">
        <v>19351</v>
      </c>
      <c r="H663" s="24" t="s">
        <v>19538</v>
      </c>
      <c r="I663" s="22" t="s">
        <v>19309</v>
      </c>
      <c r="J663" s="22" t="s">
        <v>19573</v>
      </c>
      <c r="K663" s="22" t="s">
        <v>19574</v>
      </c>
      <c r="L663" s="22"/>
      <c r="M663" s="22"/>
      <c r="N663" s="25" t="str">
        <f>HYPERLINK("http://slimages.macys.com/is/image/MCY/21209473 ")</f>
        <v xml:space="preserve">http://slimages.macys.com/is/image/MCY/21209473 </v>
      </c>
    </row>
    <row r="664" spans="1:14" ht="24.75" x14ac:dyDescent="0.25">
      <c r="A664" s="21" t="s">
        <v>14997</v>
      </c>
      <c r="B664" s="22" t="s">
        <v>14998</v>
      </c>
      <c r="C664" s="2">
        <v>1</v>
      </c>
      <c r="D664" s="23">
        <v>5.99</v>
      </c>
      <c r="E664" s="3">
        <v>5.99</v>
      </c>
      <c r="F664" s="2" t="s">
        <v>14999</v>
      </c>
      <c r="G664" s="22" t="s">
        <v>19794</v>
      </c>
      <c r="H664" s="24" t="s">
        <v>19384</v>
      </c>
      <c r="I664" s="22" t="s">
        <v>19309</v>
      </c>
      <c r="J664" s="22" t="s">
        <v>19573</v>
      </c>
      <c r="K664" s="22" t="s">
        <v>19574</v>
      </c>
      <c r="L664" s="22"/>
      <c r="M664" s="22"/>
      <c r="N664" s="25" t="str">
        <f>HYPERLINK("http://slimages.macys.com/is/image/MCY/1522322 ")</f>
        <v xml:space="preserve">http://slimages.macys.com/is/image/MCY/1522322 </v>
      </c>
    </row>
    <row r="665" spans="1:14" ht="24.75" x14ac:dyDescent="0.25">
      <c r="A665" s="21" t="s">
        <v>15000</v>
      </c>
      <c r="B665" s="22" t="s">
        <v>15001</v>
      </c>
      <c r="C665" s="2">
        <v>2</v>
      </c>
      <c r="D665" s="23">
        <v>5.99</v>
      </c>
      <c r="E665" s="3">
        <v>11.98</v>
      </c>
      <c r="F665" s="2" t="s">
        <v>14999</v>
      </c>
      <c r="G665" s="22" t="s">
        <v>19794</v>
      </c>
      <c r="H665" s="24" t="s">
        <v>19324</v>
      </c>
      <c r="I665" s="22" t="s">
        <v>19309</v>
      </c>
      <c r="J665" s="22" t="s">
        <v>19573</v>
      </c>
      <c r="K665" s="22" t="s">
        <v>19574</v>
      </c>
      <c r="L665" s="22"/>
      <c r="M665" s="22"/>
      <c r="N665" s="25" t="str">
        <f>HYPERLINK("http://slimages.macys.com/is/image/MCY/1522322 ")</f>
        <v xml:space="preserve">http://slimages.macys.com/is/image/MCY/1522322 </v>
      </c>
    </row>
    <row r="666" spans="1:14" ht="24.75" x14ac:dyDescent="0.25">
      <c r="A666" s="21" t="s">
        <v>15002</v>
      </c>
      <c r="B666" s="22" t="s">
        <v>15003</v>
      </c>
      <c r="C666" s="2">
        <v>1</v>
      </c>
      <c r="D666" s="23">
        <v>5.99</v>
      </c>
      <c r="E666" s="3">
        <v>5.99</v>
      </c>
      <c r="F666" s="2" t="s">
        <v>15004</v>
      </c>
      <c r="G666" s="22" t="s">
        <v>19351</v>
      </c>
      <c r="H666" s="24" t="s">
        <v>19538</v>
      </c>
      <c r="I666" s="22" t="s">
        <v>19309</v>
      </c>
      <c r="J666" s="22" t="s">
        <v>19573</v>
      </c>
      <c r="K666" s="22" t="s">
        <v>19574</v>
      </c>
      <c r="L666" s="22"/>
      <c r="M666" s="22"/>
      <c r="N666" s="25" t="str">
        <f>HYPERLINK("http://slimages.macys.com/is/image/MCY/1537013 ")</f>
        <v xml:space="preserve">http://slimages.macys.com/is/image/MCY/1537013 </v>
      </c>
    </row>
    <row r="667" spans="1:14" ht="24.75" x14ac:dyDescent="0.25">
      <c r="A667" s="21" t="s">
        <v>15005</v>
      </c>
      <c r="B667" s="22" t="s">
        <v>15006</v>
      </c>
      <c r="C667" s="2">
        <v>1</v>
      </c>
      <c r="D667" s="23">
        <v>5.99</v>
      </c>
      <c r="E667" s="3">
        <v>5.99</v>
      </c>
      <c r="F667" s="2" t="s">
        <v>17430</v>
      </c>
      <c r="G667" s="22" t="s">
        <v>19351</v>
      </c>
      <c r="H667" s="24" t="s">
        <v>19330</v>
      </c>
      <c r="I667" s="22" t="s">
        <v>19309</v>
      </c>
      <c r="J667" s="22" t="s">
        <v>19573</v>
      </c>
      <c r="K667" s="22" t="s">
        <v>19574</v>
      </c>
      <c r="L667" s="22"/>
      <c r="M667" s="22"/>
      <c r="N667" s="25" t="str">
        <f>HYPERLINK("http://slimages.macys.com/is/image/MCY/1537013 ")</f>
        <v xml:space="preserve">http://slimages.macys.com/is/image/MCY/1537013 </v>
      </c>
    </row>
    <row r="668" spans="1:14" ht="24.75" x14ac:dyDescent="0.25">
      <c r="A668" s="21" t="s">
        <v>15007</v>
      </c>
      <c r="B668" s="22" t="s">
        <v>15008</v>
      </c>
      <c r="C668" s="2">
        <v>1</v>
      </c>
      <c r="D668" s="23">
        <v>5.99</v>
      </c>
      <c r="E668" s="3">
        <v>5.99</v>
      </c>
      <c r="F668" s="2" t="s">
        <v>17440</v>
      </c>
      <c r="G668" s="22" t="s">
        <v>19906</v>
      </c>
      <c r="H668" s="24" t="s">
        <v>19324</v>
      </c>
      <c r="I668" s="22" t="s">
        <v>19309</v>
      </c>
      <c r="J668" s="22" t="s">
        <v>19573</v>
      </c>
      <c r="K668" s="22" t="s">
        <v>19574</v>
      </c>
      <c r="L668" s="22"/>
      <c r="M668" s="22"/>
      <c r="N668" s="25" t="str">
        <f t="shared" ref="N668:N673" si="2">HYPERLINK("http://slimages.macys.com/is/image/MCY/21209026 ")</f>
        <v xml:space="preserve">http://slimages.macys.com/is/image/MCY/21209026 </v>
      </c>
    </row>
    <row r="669" spans="1:14" ht="24.75" x14ac:dyDescent="0.25">
      <c r="A669" s="21" t="s">
        <v>17441</v>
      </c>
      <c r="B669" s="22" t="s">
        <v>17442</v>
      </c>
      <c r="C669" s="2">
        <v>2</v>
      </c>
      <c r="D669" s="23">
        <v>5.99</v>
      </c>
      <c r="E669" s="3">
        <v>11.98</v>
      </c>
      <c r="F669" s="2" t="s">
        <v>17440</v>
      </c>
      <c r="G669" s="22" t="s">
        <v>19415</v>
      </c>
      <c r="H669" s="24" t="s">
        <v>19384</v>
      </c>
      <c r="I669" s="22" t="s">
        <v>19309</v>
      </c>
      <c r="J669" s="22" t="s">
        <v>19573</v>
      </c>
      <c r="K669" s="22" t="s">
        <v>19574</v>
      </c>
      <c r="L669" s="22"/>
      <c r="M669" s="22"/>
      <c r="N669" s="25" t="str">
        <f t="shared" si="2"/>
        <v xml:space="preserve">http://slimages.macys.com/is/image/MCY/21209026 </v>
      </c>
    </row>
    <row r="670" spans="1:14" ht="24.75" x14ac:dyDescent="0.25">
      <c r="A670" s="21" t="s">
        <v>15009</v>
      </c>
      <c r="B670" s="22" t="s">
        <v>15010</v>
      </c>
      <c r="C670" s="2">
        <v>1</v>
      </c>
      <c r="D670" s="23">
        <v>5.99</v>
      </c>
      <c r="E670" s="3">
        <v>5.99</v>
      </c>
      <c r="F670" s="2" t="s">
        <v>17440</v>
      </c>
      <c r="G670" s="22" t="s">
        <v>19415</v>
      </c>
      <c r="H670" s="24" t="s">
        <v>19330</v>
      </c>
      <c r="I670" s="22" t="s">
        <v>19309</v>
      </c>
      <c r="J670" s="22" t="s">
        <v>19573</v>
      </c>
      <c r="K670" s="22" t="s">
        <v>19574</v>
      </c>
      <c r="L670" s="22"/>
      <c r="M670" s="22"/>
      <c r="N670" s="25" t="str">
        <f t="shared" si="2"/>
        <v xml:space="preserve">http://slimages.macys.com/is/image/MCY/21209026 </v>
      </c>
    </row>
    <row r="671" spans="1:14" ht="24.75" x14ac:dyDescent="0.25">
      <c r="A671" s="21" t="s">
        <v>17443</v>
      </c>
      <c r="B671" s="22" t="s">
        <v>17444</v>
      </c>
      <c r="C671" s="2">
        <v>1</v>
      </c>
      <c r="D671" s="23">
        <v>5.99</v>
      </c>
      <c r="E671" s="3">
        <v>5.99</v>
      </c>
      <c r="F671" s="2" t="s">
        <v>17440</v>
      </c>
      <c r="G671" s="22" t="s">
        <v>19906</v>
      </c>
      <c r="H671" s="24" t="s">
        <v>19330</v>
      </c>
      <c r="I671" s="22" t="s">
        <v>19309</v>
      </c>
      <c r="J671" s="22" t="s">
        <v>19573</v>
      </c>
      <c r="K671" s="22" t="s">
        <v>19574</v>
      </c>
      <c r="L671" s="22"/>
      <c r="M671" s="22"/>
      <c r="N671" s="25" t="str">
        <f t="shared" si="2"/>
        <v xml:space="preserve">http://slimages.macys.com/is/image/MCY/21209026 </v>
      </c>
    </row>
    <row r="672" spans="1:14" ht="24.75" x14ac:dyDescent="0.25">
      <c r="A672" s="21" t="s">
        <v>17445</v>
      </c>
      <c r="B672" s="22" t="s">
        <v>17446</v>
      </c>
      <c r="C672" s="2">
        <v>1</v>
      </c>
      <c r="D672" s="23">
        <v>5.99</v>
      </c>
      <c r="E672" s="3">
        <v>5.99</v>
      </c>
      <c r="F672" s="2" t="s">
        <v>17440</v>
      </c>
      <c r="G672" s="22" t="s">
        <v>19906</v>
      </c>
      <c r="H672" s="24" t="s">
        <v>19538</v>
      </c>
      <c r="I672" s="22" t="s">
        <v>19309</v>
      </c>
      <c r="J672" s="22" t="s">
        <v>19573</v>
      </c>
      <c r="K672" s="22" t="s">
        <v>19574</v>
      </c>
      <c r="L672" s="22"/>
      <c r="M672" s="22"/>
      <c r="N672" s="25" t="str">
        <f t="shared" si="2"/>
        <v xml:space="preserve">http://slimages.macys.com/is/image/MCY/21209026 </v>
      </c>
    </row>
    <row r="673" spans="1:14" ht="24.75" x14ac:dyDescent="0.25">
      <c r="A673" s="21" t="s">
        <v>17438</v>
      </c>
      <c r="B673" s="22" t="s">
        <v>17439</v>
      </c>
      <c r="C673" s="2">
        <v>1</v>
      </c>
      <c r="D673" s="23">
        <v>5.99</v>
      </c>
      <c r="E673" s="3">
        <v>5.99</v>
      </c>
      <c r="F673" s="2" t="s">
        <v>17440</v>
      </c>
      <c r="G673" s="22" t="s">
        <v>19415</v>
      </c>
      <c r="H673" s="24" t="s">
        <v>19538</v>
      </c>
      <c r="I673" s="22" t="s">
        <v>19309</v>
      </c>
      <c r="J673" s="22" t="s">
        <v>19573</v>
      </c>
      <c r="K673" s="22" t="s">
        <v>19574</v>
      </c>
      <c r="L673" s="22"/>
      <c r="M673" s="22"/>
      <c r="N673" s="25" t="str">
        <f t="shared" si="2"/>
        <v xml:space="preserve">http://slimages.macys.com/is/image/MCY/21209026 </v>
      </c>
    </row>
    <row r="674" spans="1:14" ht="24.75" x14ac:dyDescent="0.25">
      <c r="A674" s="21" t="s">
        <v>15011</v>
      </c>
      <c r="B674" s="22" t="s">
        <v>15012</v>
      </c>
      <c r="C674" s="2">
        <v>1</v>
      </c>
      <c r="D674" s="23">
        <v>5.99</v>
      </c>
      <c r="E674" s="3">
        <v>5.99</v>
      </c>
      <c r="F674" s="2" t="s">
        <v>17449</v>
      </c>
      <c r="G674" s="22" t="s">
        <v>19415</v>
      </c>
      <c r="H674" s="24" t="s">
        <v>19330</v>
      </c>
      <c r="I674" s="22" t="s">
        <v>19309</v>
      </c>
      <c r="J674" s="22" t="s">
        <v>19573</v>
      </c>
      <c r="K674" s="22" t="s">
        <v>19574</v>
      </c>
      <c r="L674" s="22"/>
      <c r="M674" s="22"/>
      <c r="N674" s="25" t="str">
        <f>HYPERLINK("http://slimages.macys.com/is/image/MCY/21209295 ")</f>
        <v xml:space="preserve">http://slimages.macys.com/is/image/MCY/21209295 </v>
      </c>
    </row>
    <row r="675" spans="1:14" ht="24.75" x14ac:dyDescent="0.25">
      <c r="A675" s="21" t="s">
        <v>17292</v>
      </c>
      <c r="B675" s="22" t="s">
        <v>17293</v>
      </c>
      <c r="C675" s="2">
        <v>3</v>
      </c>
      <c r="D675" s="23">
        <v>5.99</v>
      </c>
      <c r="E675" s="3">
        <v>17.97</v>
      </c>
      <c r="F675" s="2" t="s">
        <v>17449</v>
      </c>
      <c r="G675" s="22" t="s">
        <v>19415</v>
      </c>
      <c r="H675" s="24" t="s">
        <v>19538</v>
      </c>
      <c r="I675" s="22" t="s">
        <v>19309</v>
      </c>
      <c r="J675" s="22" t="s">
        <v>19573</v>
      </c>
      <c r="K675" s="22" t="s">
        <v>19574</v>
      </c>
      <c r="L675" s="22"/>
      <c r="M675" s="22"/>
      <c r="N675" s="25" t="str">
        <f>HYPERLINK("http://slimages.macys.com/is/image/MCY/21209295 ")</f>
        <v xml:space="preserve">http://slimages.macys.com/is/image/MCY/21209295 </v>
      </c>
    </row>
    <row r="676" spans="1:14" ht="24.75" x14ac:dyDescent="0.25">
      <c r="A676" s="21" t="s">
        <v>17294</v>
      </c>
      <c r="B676" s="22" t="s">
        <v>17295</v>
      </c>
      <c r="C676" s="2">
        <v>1</v>
      </c>
      <c r="D676" s="23">
        <v>5.99</v>
      </c>
      <c r="E676" s="3">
        <v>5.99</v>
      </c>
      <c r="F676" s="2" t="s">
        <v>17449</v>
      </c>
      <c r="G676" s="22" t="s">
        <v>19415</v>
      </c>
      <c r="H676" s="24" t="s">
        <v>19384</v>
      </c>
      <c r="I676" s="22" t="s">
        <v>19309</v>
      </c>
      <c r="J676" s="22" t="s">
        <v>19573</v>
      </c>
      <c r="K676" s="22" t="s">
        <v>19574</v>
      </c>
      <c r="L676" s="22"/>
      <c r="M676" s="22"/>
      <c r="N676" s="25" t="str">
        <f>HYPERLINK("http://slimages.macys.com/is/image/MCY/21209295 ")</f>
        <v xml:space="preserve">http://slimages.macys.com/is/image/MCY/21209295 </v>
      </c>
    </row>
    <row r="677" spans="1:14" ht="24.75" x14ac:dyDescent="0.25">
      <c r="A677" s="21" t="s">
        <v>15013</v>
      </c>
      <c r="B677" s="22" t="s">
        <v>15014</v>
      </c>
      <c r="C677" s="2">
        <v>3</v>
      </c>
      <c r="D677" s="23">
        <v>5.99</v>
      </c>
      <c r="E677" s="3">
        <v>17.97</v>
      </c>
      <c r="F677" s="2" t="s">
        <v>17449</v>
      </c>
      <c r="G677" s="22" t="s">
        <v>19415</v>
      </c>
      <c r="H677" s="24" t="s">
        <v>19416</v>
      </c>
      <c r="I677" s="22" t="s">
        <v>19309</v>
      </c>
      <c r="J677" s="22" t="s">
        <v>19573</v>
      </c>
      <c r="K677" s="22" t="s">
        <v>19574</v>
      </c>
      <c r="L677" s="22"/>
      <c r="M677" s="22"/>
      <c r="N677" s="25" t="str">
        <f>HYPERLINK("http://slimages.macys.com/is/image/MCY/21209295 ")</f>
        <v xml:space="preserve">http://slimages.macys.com/is/image/MCY/21209295 </v>
      </c>
    </row>
    <row r="678" spans="1:14" ht="24.75" x14ac:dyDescent="0.25">
      <c r="A678" s="21" t="s">
        <v>17310</v>
      </c>
      <c r="B678" s="22" t="s">
        <v>17311</v>
      </c>
      <c r="C678" s="2">
        <v>1</v>
      </c>
      <c r="D678" s="23">
        <v>5.99</v>
      </c>
      <c r="E678" s="3">
        <v>5.99</v>
      </c>
      <c r="F678" s="2" t="s">
        <v>17452</v>
      </c>
      <c r="G678" s="22" t="s">
        <v>19467</v>
      </c>
      <c r="H678" s="24" t="s">
        <v>19330</v>
      </c>
      <c r="I678" s="22" t="s">
        <v>19309</v>
      </c>
      <c r="J678" s="22" t="s">
        <v>19573</v>
      </c>
      <c r="K678" s="22" t="s">
        <v>19574</v>
      </c>
      <c r="L678" s="22"/>
      <c r="M678" s="22"/>
      <c r="N678" s="25" t="str">
        <f>HYPERLINK("http://slimages.macys.com/is/image/MCY/21209018 ")</f>
        <v xml:space="preserve">http://slimages.macys.com/is/image/MCY/21209018 </v>
      </c>
    </row>
    <row r="679" spans="1:14" ht="24.75" x14ac:dyDescent="0.25">
      <c r="A679" s="21" t="s">
        <v>15015</v>
      </c>
      <c r="B679" s="22" t="s">
        <v>15016</v>
      </c>
      <c r="C679" s="2">
        <v>1</v>
      </c>
      <c r="D679" s="23">
        <v>5.99</v>
      </c>
      <c r="E679" s="3">
        <v>5.99</v>
      </c>
      <c r="F679" s="2" t="s">
        <v>15017</v>
      </c>
      <c r="G679" s="22" t="s">
        <v>19585</v>
      </c>
      <c r="H679" s="24" t="s">
        <v>19384</v>
      </c>
      <c r="I679" s="22" t="s">
        <v>19309</v>
      </c>
      <c r="J679" s="22" t="s">
        <v>19573</v>
      </c>
      <c r="K679" s="22" t="s">
        <v>19574</v>
      </c>
      <c r="L679" s="22"/>
      <c r="M679" s="22"/>
      <c r="N679" s="25" t="str">
        <f>HYPERLINK("http://slimages.macys.com/is/image/MCY/1122113 ")</f>
        <v xml:space="preserve">http://slimages.macys.com/is/image/MCY/1122113 </v>
      </c>
    </row>
    <row r="680" spans="1:14" ht="24.75" x14ac:dyDescent="0.25">
      <c r="A680" s="21" t="s">
        <v>17300</v>
      </c>
      <c r="B680" s="22" t="s">
        <v>17301</v>
      </c>
      <c r="C680" s="2">
        <v>2</v>
      </c>
      <c r="D680" s="23">
        <v>5.99</v>
      </c>
      <c r="E680" s="3">
        <v>11.98</v>
      </c>
      <c r="F680" s="2" t="s">
        <v>17452</v>
      </c>
      <c r="G680" s="22" t="s">
        <v>19467</v>
      </c>
      <c r="H680" s="24" t="s">
        <v>19416</v>
      </c>
      <c r="I680" s="22" t="s">
        <v>19309</v>
      </c>
      <c r="J680" s="22" t="s">
        <v>19573</v>
      </c>
      <c r="K680" s="22" t="s">
        <v>19574</v>
      </c>
      <c r="L680" s="22"/>
      <c r="M680" s="22"/>
      <c r="N680" s="25" t="str">
        <f>HYPERLINK("http://slimages.macys.com/is/image/MCY/21209018 ")</f>
        <v xml:space="preserve">http://slimages.macys.com/is/image/MCY/21209018 </v>
      </c>
    </row>
    <row r="681" spans="1:14" ht="24.75" x14ac:dyDescent="0.25">
      <c r="A681" s="21" t="s">
        <v>15018</v>
      </c>
      <c r="B681" s="22" t="s">
        <v>15019</v>
      </c>
      <c r="C681" s="2">
        <v>1</v>
      </c>
      <c r="D681" s="23">
        <v>5.99</v>
      </c>
      <c r="E681" s="3">
        <v>5.99</v>
      </c>
      <c r="F681" s="2" t="s">
        <v>15020</v>
      </c>
      <c r="G681" s="22" t="s">
        <v>19618</v>
      </c>
      <c r="H681" s="24" t="s">
        <v>19384</v>
      </c>
      <c r="I681" s="22" t="s">
        <v>19309</v>
      </c>
      <c r="J681" s="22" t="s">
        <v>19573</v>
      </c>
      <c r="K681" s="22" t="s">
        <v>19574</v>
      </c>
      <c r="L681" s="22"/>
      <c r="M681" s="22"/>
      <c r="N681" s="25" t="str">
        <f>HYPERLINK("http://slimages.macys.com/is/image/MCY/20757443 ")</f>
        <v xml:space="preserve">http://slimages.macys.com/is/image/MCY/20757443 </v>
      </c>
    </row>
    <row r="682" spans="1:14" ht="24.75" x14ac:dyDescent="0.25">
      <c r="A682" s="21" t="s">
        <v>15021</v>
      </c>
      <c r="B682" s="22" t="s">
        <v>15022</v>
      </c>
      <c r="C682" s="2">
        <v>2</v>
      </c>
      <c r="D682" s="23">
        <v>5.99</v>
      </c>
      <c r="E682" s="3">
        <v>11.98</v>
      </c>
      <c r="F682" s="2" t="s">
        <v>17472</v>
      </c>
      <c r="G682" s="22" t="s">
        <v>19467</v>
      </c>
      <c r="H682" s="24" t="s">
        <v>19538</v>
      </c>
      <c r="I682" s="22" t="s">
        <v>19309</v>
      </c>
      <c r="J682" s="22" t="s">
        <v>19573</v>
      </c>
      <c r="K682" s="22" t="s">
        <v>19574</v>
      </c>
      <c r="L682" s="22"/>
      <c r="M682" s="22"/>
      <c r="N682" s="25" t="str">
        <f>HYPERLINK("http://slimages.macys.com/is/image/MCY/16605973 ")</f>
        <v xml:space="preserve">http://slimages.macys.com/is/image/MCY/16605973 </v>
      </c>
    </row>
    <row r="683" spans="1:14" ht="24.75" x14ac:dyDescent="0.25">
      <c r="A683" s="21" t="s">
        <v>15023</v>
      </c>
      <c r="B683" s="22" t="s">
        <v>15024</v>
      </c>
      <c r="C683" s="2">
        <v>1</v>
      </c>
      <c r="D683" s="23">
        <v>58.99</v>
      </c>
      <c r="E683" s="3">
        <v>58.99</v>
      </c>
      <c r="F683" s="2" t="s">
        <v>15025</v>
      </c>
      <c r="G683" s="22" t="s">
        <v>19404</v>
      </c>
      <c r="H683" s="24" t="s">
        <v>19316</v>
      </c>
      <c r="I683" s="22" t="s">
        <v>19309</v>
      </c>
      <c r="J683" s="22" t="s">
        <v>19400</v>
      </c>
      <c r="K683" s="22" t="s">
        <v>19423</v>
      </c>
      <c r="L683" s="22"/>
      <c r="M683" s="22"/>
      <c r="N683" s="25"/>
    </row>
    <row r="684" spans="1:14" ht="24.75" x14ac:dyDescent="0.25">
      <c r="A684" s="21" t="s">
        <v>15026</v>
      </c>
      <c r="B684" s="22" t="s">
        <v>15027</v>
      </c>
      <c r="C684" s="2">
        <v>1</v>
      </c>
      <c r="D684" s="23">
        <v>59.99</v>
      </c>
      <c r="E684" s="3">
        <v>59.99</v>
      </c>
      <c r="F684" s="2" t="s">
        <v>15028</v>
      </c>
      <c r="G684" s="22" t="s">
        <v>19618</v>
      </c>
      <c r="H684" s="24"/>
      <c r="I684" s="22" t="s">
        <v>19309</v>
      </c>
      <c r="J684" s="22" t="s">
        <v>15506</v>
      </c>
      <c r="K684" s="22" t="s">
        <v>19614</v>
      </c>
      <c r="L684" s="22"/>
      <c r="M684" s="22"/>
      <c r="N684" s="25"/>
    </row>
    <row r="685" spans="1:14" ht="24.75" x14ac:dyDescent="0.25">
      <c r="A685" s="21" t="s">
        <v>15029</v>
      </c>
      <c r="B685" s="22" t="s">
        <v>15030</v>
      </c>
      <c r="C685" s="2">
        <v>1</v>
      </c>
      <c r="D685" s="23">
        <v>52.81</v>
      </c>
      <c r="E685" s="3">
        <v>52.81</v>
      </c>
      <c r="F685" s="2" t="s">
        <v>15031</v>
      </c>
      <c r="G685" s="22" t="s">
        <v>15032</v>
      </c>
      <c r="H685" s="24" t="s">
        <v>19432</v>
      </c>
      <c r="I685" s="22" t="s">
        <v>19309</v>
      </c>
      <c r="J685" s="22" t="s">
        <v>19400</v>
      </c>
      <c r="K685" s="22" t="s">
        <v>19423</v>
      </c>
      <c r="L685" s="22"/>
      <c r="M685" s="22"/>
      <c r="N685" s="25"/>
    </row>
    <row r="686" spans="1:14" x14ac:dyDescent="0.25">
      <c r="A686" s="21" t="s">
        <v>15033</v>
      </c>
      <c r="B686" s="22" t="s">
        <v>15034</v>
      </c>
      <c r="C686" s="2">
        <v>1</v>
      </c>
      <c r="D686" s="23">
        <v>36.99</v>
      </c>
      <c r="E686" s="3">
        <v>36.99</v>
      </c>
      <c r="F686" s="2" t="s">
        <v>15035</v>
      </c>
      <c r="G686" s="22" t="s">
        <v>19307</v>
      </c>
      <c r="H686" s="24" t="s">
        <v>19432</v>
      </c>
      <c r="I686" s="22" t="s">
        <v>19309</v>
      </c>
      <c r="J686" s="22" t="s">
        <v>19310</v>
      </c>
      <c r="K686" s="22" t="s">
        <v>19433</v>
      </c>
      <c r="L686" s="22"/>
      <c r="M686" s="22"/>
      <c r="N686" s="25"/>
    </row>
    <row r="687" spans="1:14" x14ac:dyDescent="0.25">
      <c r="A687" s="21" t="s">
        <v>15036</v>
      </c>
      <c r="B687" s="22" t="s">
        <v>15037</v>
      </c>
      <c r="C687" s="2">
        <v>1</v>
      </c>
      <c r="D687" s="23">
        <v>35.99</v>
      </c>
      <c r="E687" s="3">
        <v>35.99</v>
      </c>
      <c r="F687" s="2" t="s">
        <v>15038</v>
      </c>
      <c r="G687" s="22" t="s">
        <v>19307</v>
      </c>
      <c r="H687" s="24" t="s">
        <v>19361</v>
      </c>
      <c r="I687" s="22" t="s">
        <v>19309</v>
      </c>
      <c r="J687" s="22" t="s">
        <v>19310</v>
      </c>
      <c r="K687" s="22" t="s">
        <v>19433</v>
      </c>
      <c r="L687" s="22"/>
      <c r="M687" s="22"/>
      <c r="N687" s="25"/>
    </row>
    <row r="688" spans="1:14" ht="24.75" x14ac:dyDescent="0.25">
      <c r="A688" s="21" t="s">
        <v>15039</v>
      </c>
      <c r="B688" s="22" t="s">
        <v>15040</v>
      </c>
      <c r="C688" s="2">
        <v>1</v>
      </c>
      <c r="D688" s="23">
        <v>28.99</v>
      </c>
      <c r="E688" s="3">
        <v>28.99</v>
      </c>
      <c r="F688" s="2" t="s">
        <v>15041</v>
      </c>
      <c r="G688" s="22" t="s">
        <v>19342</v>
      </c>
      <c r="H688" s="24" t="s">
        <v>19395</v>
      </c>
      <c r="I688" s="22" t="s">
        <v>19309</v>
      </c>
      <c r="J688" s="22" t="s">
        <v>19550</v>
      </c>
      <c r="K688" s="22" t="s">
        <v>19554</v>
      </c>
      <c r="L688" s="22"/>
      <c r="M688" s="22"/>
      <c r="N688" s="25"/>
    </row>
    <row r="689" spans="1:14" ht="24.75" x14ac:dyDescent="0.25">
      <c r="A689" s="21" t="s">
        <v>17359</v>
      </c>
      <c r="B689" s="22" t="s">
        <v>17360</v>
      </c>
      <c r="C689" s="2">
        <v>1</v>
      </c>
      <c r="D689" s="23">
        <v>26.99</v>
      </c>
      <c r="E689" s="3">
        <v>26.99</v>
      </c>
      <c r="F689" s="2" t="s">
        <v>17488</v>
      </c>
      <c r="G689" s="22" t="s">
        <v>19357</v>
      </c>
      <c r="H689" s="24" t="s">
        <v>19330</v>
      </c>
      <c r="I689" s="22" t="s">
        <v>19309</v>
      </c>
      <c r="J689" s="22" t="s">
        <v>19385</v>
      </c>
      <c r="K689" s="22" t="s">
        <v>19487</v>
      </c>
      <c r="L689" s="22"/>
      <c r="M689" s="22"/>
      <c r="N689" s="25"/>
    </row>
    <row r="690" spans="1:14" ht="24.75" x14ac:dyDescent="0.25">
      <c r="A690" s="21" t="s">
        <v>17506</v>
      </c>
      <c r="B690" s="22" t="s">
        <v>17507</v>
      </c>
      <c r="C690" s="2">
        <v>23</v>
      </c>
      <c r="D690" s="23">
        <v>2.5</v>
      </c>
      <c r="E690" s="3">
        <v>57.5</v>
      </c>
      <c r="F690" s="2" t="s">
        <v>17507</v>
      </c>
      <c r="G690" s="22" t="s">
        <v>17504</v>
      </c>
      <c r="H690" s="24" t="s">
        <v>17505</v>
      </c>
      <c r="I690" s="22" t="s">
        <v>19309</v>
      </c>
      <c r="J690" s="22" t="s">
        <v>19696</v>
      </c>
      <c r="K690" s="22" t="s">
        <v>17508</v>
      </c>
      <c r="L690" s="22"/>
      <c r="M690" s="22"/>
      <c r="N690" s="25"/>
    </row>
    <row r="691" spans="1:14" ht="24.75" x14ac:dyDescent="0.25">
      <c r="A691" s="21" t="s">
        <v>17501</v>
      </c>
      <c r="B691" s="22" t="s">
        <v>17502</v>
      </c>
      <c r="C691" s="2">
        <v>2</v>
      </c>
      <c r="D691" s="23">
        <v>7.5</v>
      </c>
      <c r="E691" s="3">
        <v>15</v>
      </c>
      <c r="F691" s="2" t="s">
        <v>17503</v>
      </c>
      <c r="G691" s="22" t="s">
        <v>17504</v>
      </c>
      <c r="H691" s="24" t="s">
        <v>17505</v>
      </c>
      <c r="I691" s="22" t="s">
        <v>19309</v>
      </c>
      <c r="J691" s="22" t="s">
        <v>19573</v>
      </c>
      <c r="K691" s="22" t="s">
        <v>19574</v>
      </c>
      <c r="L691" s="22"/>
      <c r="M691" s="22"/>
      <c r="N691" s="25"/>
    </row>
    <row r="692" spans="1:14" x14ac:dyDescent="0.25">
      <c r="A692" s="21" t="s">
        <v>17509</v>
      </c>
      <c r="B692" s="22" t="s">
        <v>17510</v>
      </c>
      <c r="C692" s="2">
        <v>15</v>
      </c>
      <c r="D692" s="23">
        <v>7.5</v>
      </c>
      <c r="E692" s="3">
        <v>112.5</v>
      </c>
      <c r="F692" s="2" t="s">
        <v>17510</v>
      </c>
      <c r="G692" s="22" t="s">
        <v>17504</v>
      </c>
      <c r="H692" s="24" t="s">
        <v>17505</v>
      </c>
      <c r="I692" s="22" t="s">
        <v>19309</v>
      </c>
      <c r="J692" s="22" t="s">
        <v>19708</v>
      </c>
      <c r="K692" s="22" t="s">
        <v>19709</v>
      </c>
      <c r="L692" s="22"/>
      <c r="M692" s="22"/>
      <c r="N692" s="25"/>
    </row>
    <row r="693" spans="1:14" ht="24.75" x14ac:dyDescent="0.25">
      <c r="A693" s="21" t="s">
        <v>15042</v>
      </c>
      <c r="B693" s="22" t="s">
        <v>15043</v>
      </c>
      <c r="C693" s="2">
        <v>1</v>
      </c>
      <c r="D693" s="23">
        <v>24.99</v>
      </c>
      <c r="E693" s="3">
        <v>24.99</v>
      </c>
      <c r="F693" s="2" t="s">
        <v>15765</v>
      </c>
      <c r="G693" s="22" t="s">
        <v>19342</v>
      </c>
      <c r="H693" s="24" t="s">
        <v>19538</v>
      </c>
      <c r="I693" s="22" t="s">
        <v>19309</v>
      </c>
      <c r="J693" s="22" t="s">
        <v>19385</v>
      </c>
      <c r="K693" s="22" t="s">
        <v>19729</v>
      </c>
      <c r="L693" s="22"/>
      <c r="M693" s="22"/>
      <c r="N693" s="25"/>
    </row>
    <row r="694" spans="1:14" ht="24.75" x14ac:dyDescent="0.25">
      <c r="A694" s="21" t="s">
        <v>15044</v>
      </c>
      <c r="B694" s="22" t="s">
        <v>15045</v>
      </c>
      <c r="C694" s="2">
        <v>1</v>
      </c>
      <c r="D694" s="23">
        <v>19.989999999999998</v>
      </c>
      <c r="E694" s="3">
        <v>19.989999999999998</v>
      </c>
      <c r="F694" s="2" t="s">
        <v>15046</v>
      </c>
      <c r="G694" s="22" t="s">
        <v>19342</v>
      </c>
      <c r="H694" s="24" t="s">
        <v>19330</v>
      </c>
      <c r="I694" s="22" t="s">
        <v>19309</v>
      </c>
      <c r="J694" s="22" t="s">
        <v>19385</v>
      </c>
      <c r="K694" s="22" t="s">
        <v>15725</v>
      </c>
      <c r="L694" s="22"/>
      <c r="M694" s="22"/>
      <c r="N694" s="25"/>
    </row>
    <row r="695" spans="1:14" ht="24.75" x14ac:dyDescent="0.25">
      <c r="A695" s="21" t="s">
        <v>15047</v>
      </c>
      <c r="B695" s="22" t="s">
        <v>15048</v>
      </c>
      <c r="C695" s="2">
        <v>1</v>
      </c>
      <c r="D695" s="23">
        <v>15.99</v>
      </c>
      <c r="E695" s="3">
        <v>15.99</v>
      </c>
      <c r="F695" s="2" t="s">
        <v>15049</v>
      </c>
      <c r="G695" s="22" t="s">
        <v>19342</v>
      </c>
      <c r="H695" s="24" t="s">
        <v>19538</v>
      </c>
      <c r="I695" s="22" t="s">
        <v>19309</v>
      </c>
      <c r="J695" s="22" t="s">
        <v>19385</v>
      </c>
      <c r="K695" s="22" t="s">
        <v>19614</v>
      </c>
      <c r="L695" s="22"/>
      <c r="M695" s="22"/>
      <c r="N695" s="25"/>
    </row>
  </sheetData>
  <phoneticPr fontId="0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66"/>
  <sheetViews>
    <sheetView workbookViewId="0">
      <selection activeCell="E9" sqref="E9"/>
    </sheetView>
  </sheetViews>
  <sheetFormatPr defaultRowHeight="15" x14ac:dyDescent="0.25"/>
  <cols>
    <col min="1" max="1" width="14.42578125" customWidth="1"/>
    <col min="2" max="2" width="51.42578125" customWidth="1"/>
    <col min="3" max="4" width="15" customWidth="1"/>
    <col min="5" max="5" width="9.5703125" customWidth="1"/>
    <col min="6" max="6" width="17.140625" customWidth="1"/>
    <col min="7" max="8" width="11.42578125" customWidth="1"/>
    <col min="9" max="9" width="10.85546875" customWidth="1"/>
    <col min="10" max="10" width="12.140625" customWidth="1"/>
    <col min="11" max="11" width="36.5703125" bestFit="1" customWidth="1"/>
    <col min="12" max="13" width="20.5703125" customWidth="1"/>
    <col min="14" max="14" width="64.42578125" customWidth="1"/>
  </cols>
  <sheetData>
    <row r="1" spans="1:14" ht="36" x14ac:dyDescent="0.25">
      <c r="A1" s="1" t="s">
        <v>19291</v>
      </c>
      <c r="B1" s="1" t="s">
        <v>19292</v>
      </c>
      <c r="C1" s="1" t="s">
        <v>19293</v>
      </c>
      <c r="D1" s="1" t="s">
        <v>19284</v>
      </c>
      <c r="E1" s="1" t="s">
        <v>19294</v>
      </c>
      <c r="F1" s="1" t="s">
        <v>19295</v>
      </c>
      <c r="G1" s="1" t="s">
        <v>19296</v>
      </c>
      <c r="H1" s="1" t="s">
        <v>19297</v>
      </c>
      <c r="I1" s="1" t="s">
        <v>19298</v>
      </c>
      <c r="J1" s="1" t="s">
        <v>19299</v>
      </c>
      <c r="K1" s="1" t="s">
        <v>19300</v>
      </c>
      <c r="L1" s="1" t="s">
        <v>19301</v>
      </c>
      <c r="M1" s="1" t="s">
        <v>19302</v>
      </c>
      <c r="N1" s="1" t="s">
        <v>19303</v>
      </c>
    </row>
    <row r="2" spans="1:14" ht="48.75" x14ac:dyDescent="0.25">
      <c r="A2" s="21" t="s">
        <v>14373</v>
      </c>
      <c r="B2" s="22" t="s">
        <v>14374</v>
      </c>
      <c r="C2" s="2">
        <v>1</v>
      </c>
      <c r="D2" s="23">
        <v>440</v>
      </c>
      <c r="E2" s="3">
        <v>440</v>
      </c>
      <c r="F2" s="2">
        <v>8051495</v>
      </c>
      <c r="G2" s="22" t="s">
        <v>19333</v>
      </c>
      <c r="H2" s="24" t="s">
        <v>14375</v>
      </c>
      <c r="I2" s="22" t="s">
        <v>14376</v>
      </c>
      <c r="J2" s="22" t="s">
        <v>19602</v>
      </c>
      <c r="K2" s="22" t="s">
        <v>14377</v>
      </c>
      <c r="L2" s="22" t="s">
        <v>14378</v>
      </c>
      <c r="M2" s="22" t="s">
        <v>14379</v>
      </c>
      <c r="N2" s="25" t="str">
        <f>HYPERLINK("http://images.bloomingdales.com/is/image/BLM/12146531 ")</f>
        <v xml:space="preserve">http://images.bloomingdales.com/is/image/BLM/12146531 </v>
      </c>
    </row>
    <row r="3" spans="1:14" ht="24.75" x14ac:dyDescent="0.25">
      <c r="A3" s="21" t="s">
        <v>14380</v>
      </c>
      <c r="B3" s="22" t="s">
        <v>14381</v>
      </c>
      <c r="C3" s="2">
        <v>1</v>
      </c>
      <c r="D3" s="23">
        <v>380</v>
      </c>
      <c r="E3" s="3">
        <v>380</v>
      </c>
      <c r="F3" s="2">
        <v>8047429</v>
      </c>
      <c r="G3" s="22" t="s">
        <v>19333</v>
      </c>
      <c r="H3" s="24" t="s">
        <v>14382</v>
      </c>
      <c r="I3" s="22" t="s">
        <v>14376</v>
      </c>
      <c r="J3" s="22" t="s">
        <v>19602</v>
      </c>
      <c r="K3" s="22" t="s">
        <v>14383</v>
      </c>
      <c r="L3" s="22" t="s">
        <v>19319</v>
      </c>
      <c r="M3" s="22" t="s">
        <v>14384</v>
      </c>
      <c r="N3" s="25" t="str">
        <f>HYPERLINK("http://images.bloomingdales.com/is/image/BLM/11865795 ")</f>
        <v xml:space="preserve">http://images.bloomingdales.com/is/image/BLM/11865795 </v>
      </c>
    </row>
    <row r="4" spans="1:14" ht="24.75" x14ac:dyDescent="0.25">
      <c r="A4" s="21" t="s">
        <v>14385</v>
      </c>
      <c r="B4" s="22" t="s">
        <v>14381</v>
      </c>
      <c r="C4" s="2">
        <v>1</v>
      </c>
      <c r="D4" s="23">
        <v>380</v>
      </c>
      <c r="E4" s="3">
        <v>380</v>
      </c>
      <c r="F4" s="2">
        <v>8047427</v>
      </c>
      <c r="G4" s="22" t="s">
        <v>19315</v>
      </c>
      <c r="H4" s="24" t="s">
        <v>17879</v>
      </c>
      <c r="I4" s="22" t="s">
        <v>14376</v>
      </c>
      <c r="J4" s="22" t="s">
        <v>19602</v>
      </c>
      <c r="K4" s="22" t="s">
        <v>14383</v>
      </c>
      <c r="L4" s="22" t="s">
        <v>19319</v>
      </c>
      <c r="M4" s="22" t="s">
        <v>14384</v>
      </c>
      <c r="N4" s="25" t="str">
        <f>HYPERLINK("http://images.bloomingdales.com/is/image/BLM/11865798 ")</f>
        <v xml:space="preserve">http://images.bloomingdales.com/is/image/BLM/11865798 </v>
      </c>
    </row>
    <row r="5" spans="1:14" ht="24.75" x14ac:dyDescent="0.25">
      <c r="A5" s="21" t="s">
        <v>14386</v>
      </c>
      <c r="B5" s="22" t="s">
        <v>14381</v>
      </c>
      <c r="C5" s="2">
        <v>1</v>
      </c>
      <c r="D5" s="23">
        <v>380</v>
      </c>
      <c r="E5" s="3">
        <v>380</v>
      </c>
      <c r="F5" s="2">
        <v>8047427</v>
      </c>
      <c r="G5" s="22" t="s">
        <v>19315</v>
      </c>
      <c r="H5" s="24" t="s">
        <v>14387</v>
      </c>
      <c r="I5" s="22" t="s">
        <v>14376</v>
      </c>
      <c r="J5" s="22" t="s">
        <v>19602</v>
      </c>
      <c r="K5" s="22" t="s">
        <v>14383</v>
      </c>
      <c r="L5" s="22" t="s">
        <v>19319</v>
      </c>
      <c r="M5" s="22" t="s">
        <v>14384</v>
      </c>
      <c r="N5" s="25" t="str">
        <f>HYPERLINK("http://images.bloomingdales.com/is/image/BLM/11865798 ")</f>
        <v xml:space="preserve">http://images.bloomingdales.com/is/image/BLM/11865798 </v>
      </c>
    </row>
    <row r="6" spans="1:14" ht="36.75" x14ac:dyDescent="0.25">
      <c r="A6" s="21" t="s">
        <v>14388</v>
      </c>
      <c r="B6" s="22" t="s">
        <v>14389</v>
      </c>
      <c r="C6" s="2">
        <v>1</v>
      </c>
      <c r="D6" s="23">
        <v>300</v>
      </c>
      <c r="E6" s="3">
        <v>300</v>
      </c>
      <c r="F6" s="2">
        <v>8047920</v>
      </c>
      <c r="G6" s="22" t="s">
        <v>19315</v>
      </c>
      <c r="H6" s="24" t="s">
        <v>19330</v>
      </c>
      <c r="I6" s="22" t="s">
        <v>14376</v>
      </c>
      <c r="J6" s="22" t="s">
        <v>19602</v>
      </c>
      <c r="K6" s="22" t="s">
        <v>14390</v>
      </c>
      <c r="L6" s="22" t="s">
        <v>19319</v>
      </c>
      <c r="M6" s="22" t="s">
        <v>14391</v>
      </c>
      <c r="N6" s="25" t="str">
        <f>HYPERLINK("http://images.bloomingdales.com/is/image/BLM/11856728 ")</f>
        <v xml:space="preserve">http://images.bloomingdales.com/is/image/BLM/11856728 </v>
      </c>
    </row>
    <row r="7" spans="1:14" ht="60.75" x14ac:dyDescent="0.25">
      <c r="A7" s="21" t="s">
        <v>14392</v>
      </c>
      <c r="B7" s="22" t="s">
        <v>14393</v>
      </c>
      <c r="C7" s="2">
        <v>1</v>
      </c>
      <c r="D7" s="23">
        <v>260</v>
      </c>
      <c r="E7" s="3">
        <v>260</v>
      </c>
      <c r="F7" s="2">
        <v>8047433</v>
      </c>
      <c r="G7" s="22" t="s">
        <v>19333</v>
      </c>
      <c r="H7" s="24" t="s">
        <v>14382</v>
      </c>
      <c r="I7" s="22" t="s">
        <v>14376</v>
      </c>
      <c r="J7" s="22" t="s">
        <v>19602</v>
      </c>
      <c r="K7" s="22" t="s">
        <v>14383</v>
      </c>
      <c r="L7" s="22" t="s">
        <v>19319</v>
      </c>
      <c r="M7" s="22" t="s">
        <v>14394</v>
      </c>
      <c r="N7" s="25" t="str">
        <f>HYPERLINK("http://images.bloomingdales.com/is/image/BLM/11865792 ")</f>
        <v xml:space="preserve">http://images.bloomingdales.com/is/image/BLM/11865792 </v>
      </c>
    </row>
    <row r="8" spans="1:14" ht="60.75" x14ac:dyDescent="0.25">
      <c r="A8" s="21" t="s">
        <v>14395</v>
      </c>
      <c r="B8" s="22" t="s">
        <v>14393</v>
      </c>
      <c r="C8" s="2">
        <v>1</v>
      </c>
      <c r="D8" s="23">
        <v>260</v>
      </c>
      <c r="E8" s="3">
        <v>260</v>
      </c>
      <c r="F8" s="2">
        <v>8047433</v>
      </c>
      <c r="G8" s="22" t="s">
        <v>19333</v>
      </c>
      <c r="H8" s="24" t="s">
        <v>14396</v>
      </c>
      <c r="I8" s="22" t="s">
        <v>14376</v>
      </c>
      <c r="J8" s="22" t="s">
        <v>19602</v>
      </c>
      <c r="K8" s="22" t="s">
        <v>14383</v>
      </c>
      <c r="L8" s="22" t="s">
        <v>19319</v>
      </c>
      <c r="M8" s="22" t="s">
        <v>14394</v>
      </c>
      <c r="N8" s="25" t="str">
        <f>HYPERLINK("http://images.bloomingdales.com/is/image/BLM/11865792 ")</f>
        <v xml:space="preserve">http://images.bloomingdales.com/is/image/BLM/11865792 </v>
      </c>
    </row>
    <row r="9" spans="1:14" ht="84.75" x14ac:dyDescent="0.25">
      <c r="A9" s="21" t="s">
        <v>14397</v>
      </c>
      <c r="B9" s="22" t="s">
        <v>14398</v>
      </c>
      <c r="C9" s="2">
        <v>1</v>
      </c>
      <c r="D9" s="23">
        <v>230</v>
      </c>
      <c r="E9" s="3">
        <v>230</v>
      </c>
      <c r="F9" s="2">
        <v>8047822</v>
      </c>
      <c r="G9" s="22" t="s">
        <v>17811</v>
      </c>
      <c r="H9" s="24" t="s">
        <v>14399</v>
      </c>
      <c r="I9" s="22" t="s">
        <v>14376</v>
      </c>
      <c r="J9" s="22" t="s">
        <v>19602</v>
      </c>
      <c r="K9" s="22" t="s">
        <v>14377</v>
      </c>
      <c r="L9" s="22" t="s">
        <v>14378</v>
      </c>
      <c r="M9" s="22" t="s">
        <v>14400</v>
      </c>
      <c r="N9" s="25" t="str">
        <f>HYPERLINK("http://images.bloomingdales.com/is/image/BLM/11855571 ")</f>
        <v xml:space="preserve">http://images.bloomingdales.com/is/image/BLM/11855571 </v>
      </c>
    </row>
    <row r="10" spans="1:14" ht="84.75" x14ac:dyDescent="0.25">
      <c r="A10" s="21" t="s">
        <v>14401</v>
      </c>
      <c r="B10" s="22" t="s">
        <v>14398</v>
      </c>
      <c r="C10" s="2">
        <v>1</v>
      </c>
      <c r="D10" s="23">
        <v>230</v>
      </c>
      <c r="E10" s="3">
        <v>230</v>
      </c>
      <c r="F10" s="2">
        <v>8047822</v>
      </c>
      <c r="G10" s="22" t="s">
        <v>17811</v>
      </c>
      <c r="H10" s="24" t="s">
        <v>14382</v>
      </c>
      <c r="I10" s="22" t="s">
        <v>14376</v>
      </c>
      <c r="J10" s="22" t="s">
        <v>19602</v>
      </c>
      <c r="K10" s="22" t="s">
        <v>14377</v>
      </c>
      <c r="L10" s="22" t="s">
        <v>14378</v>
      </c>
      <c r="M10" s="22" t="s">
        <v>14400</v>
      </c>
      <c r="N10" s="25" t="str">
        <f>HYPERLINK("http://images.bloomingdales.com/is/image/BLM/11855571 ")</f>
        <v xml:space="preserve">http://images.bloomingdales.com/is/image/BLM/11855571 </v>
      </c>
    </row>
    <row r="11" spans="1:14" ht="48.75" x14ac:dyDescent="0.25">
      <c r="A11" s="21" t="s">
        <v>14402</v>
      </c>
      <c r="B11" s="22" t="s">
        <v>14403</v>
      </c>
      <c r="C11" s="2">
        <v>1</v>
      </c>
      <c r="D11" s="23">
        <v>186</v>
      </c>
      <c r="E11" s="3">
        <v>186</v>
      </c>
      <c r="F11" s="2" t="s">
        <v>14404</v>
      </c>
      <c r="G11" s="22" t="s">
        <v>19323</v>
      </c>
      <c r="H11" s="24"/>
      <c r="I11" s="22" t="s">
        <v>14376</v>
      </c>
      <c r="J11" s="22" t="s">
        <v>19508</v>
      </c>
      <c r="K11" s="22" t="s">
        <v>14405</v>
      </c>
      <c r="L11" s="22" t="s">
        <v>17530</v>
      </c>
      <c r="M11" s="22" t="s">
        <v>14406</v>
      </c>
      <c r="N11" s="25" t="str">
        <f>HYPERLINK("http://images.bloomingdales.com/is/image/BLM/11967138 ")</f>
        <v xml:space="preserve">http://images.bloomingdales.com/is/image/BLM/11967138 </v>
      </c>
    </row>
    <row r="12" spans="1:14" ht="60.75" x14ac:dyDescent="0.25">
      <c r="A12" s="21" t="s">
        <v>14407</v>
      </c>
      <c r="B12" s="22" t="s">
        <v>14408</v>
      </c>
      <c r="C12" s="2">
        <v>1</v>
      </c>
      <c r="D12" s="23">
        <v>190</v>
      </c>
      <c r="E12" s="3">
        <v>190</v>
      </c>
      <c r="F12" s="2">
        <v>8043950</v>
      </c>
      <c r="G12" s="22" t="s">
        <v>19333</v>
      </c>
      <c r="H12" s="24" t="s">
        <v>19367</v>
      </c>
      <c r="I12" s="22" t="s">
        <v>14376</v>
      </c>
      <c r="J12" s="22" t="s">
        <v>19602</v>
      </c>
      <c r="K12" s="22" t="s">
        <v>14390</v>
      </c>
      <c r="L12" s="22" t="s">
        <v>19319</v>
      </c>
      <c r="M12" s="22" t="s">
        <v>14409</v>
      </c>
      <c r="N12" s="25" t="str">
        <f>HYPERLINK("http://images.bloomingdales.com/is/image/BLM/11610429 ")</f>
        <v xml:space="preserve">http://images.bloomingdales.com/is/image/BLM/11610429 </v>
      </c>
    </row>
    <row r="13" spans="1:14" ht="24.75" x14ac:dyDescent="0.25">
      <c r="A13" s="21" t="s">
        <v>14410</v>
      </c>
      <c r="B13" s="22" t="s">
        <v>14411</v>
      </c>
      <c r="C13" s="2">
        <v>1</v>
      </c>
      <c r="D13" s="23">
        <v>175</v>
      </c>
      <c r="E13" s="3">
        <v>175</v>
      </c>
      <c r="F13" s="2" t="s">
        <v>14412</v>
      </c>
      <c r="G13" s="22" t="s">
        <v>19879</v>
      </c>
      <c r="H13" s="24"/>
      <c r="I13" s="22" t="s">
        <v>14376</v>
      </c>
      <c r="J13" s="22" t="s">
        <v>19508</v>
      </c>
      <c r="K13" s="22" t="s">
        <v>14413</v>
      </c>
      <c r="L13" s="22" t="s">
        <v>17530</v>
      </c>
      <c r="M13" s="22" t="s">
        <v>17531</v>
      </c>
      <c r="N13" s="25" t="str">
        <f>HYPERLINK("http://images.bloomingdales.com/is/image/BLM/11980439 ")</f>
        <v xml:space="preserve">http://images.bloomingdales.com/is/image/BLM/11980439 </v>
      </c>
    </row>
    <row r="14" spans="1:14" ht="24.75" x14ac:dyDescent="0.25">
      <c r="A14" s="21" t="s">
        <v>14414</v>
      </c>
      <c r="B14" s="22" t="s">
        <v>14415</v>
      </c>
      <c r="C14" s="2">
        <v>1</v>
      </c>
      <c r="D14" s="23">
        <v>175</v>
      </c>
      <c r="E14" s="3">
        <v>175</v>
      </c>
      <c r="F14" s="2" t="s">
        <v>14416</v>
      </c>
      <c r="G14" s="22" t="s">
        <v>19333</v>
      </c>
      <c r="H14" s="24"/>
      <c r="I14" s="22" t="s">
        <v>14376</v>
      </c>
      <c r="J14" s="22" t="s">
        <v>19508</v>
      </c>
      <c r="K14" s="22" t="s">
        <v>14413</v>
      </c>
      <c r="L14" s="22" t="s">
        <v>17530</v>
      </c>
      <c r="M14" s="22" t="s">
        <v>17531</v>
      </c>
      <c r="N14" s="25" t="str">
        <f>HYPERLINK("http://images.bloomingdales.com/is/image/BLM/12075662 ")</f>
        <v xml:space="preserve">http://images.bloomingdales.com/is/image/BLM/12075662 </v>
      </c>
    </row>
    <row r="15" spans="1:14" ht="24.75" x14ac:dyDescent="0.25">
      <c r="A15" s="21" t="s">
        <v>14417</v>
      </c>
      <c r="B15" s="22" t="s">
        <v>14415</v>
      </c>
      <c r="C15" s="2">
        <v>1</v>
      </c>
      <c r="D15" s="23">
        <v>175</v>
      </c>
      <c r="E15" s="3">
        <v>175</v>
      </c>
      <c r="F15" s="2" t="s">
        <v>14416</v>
      </c>
      <c r="G15" s="22" t="s">
        <v>19333</v>
      </c>
      <c r="H15" s="24" t="s">
        <v>19542</v>
      </c>
      <c r="I15" s="22" t="s">
        <v>14376</v>
      </c>
      <c r="J15" s="22" t="s">
        <v>19508</v>
      </c>
      <c r="K15" s="22" t="s">
        <v>14413</v>
      </c>
      <c r="L15" s="22" t="s">
        <v>17530</v>
      </c>
      <c r="M15" s="22" t="s">
        <v>17531</v>
      </c>
      <c r="N15" s="25" t="str">
        <f>HYPERLINK("http://images.bloomingdales.com/is/image/BLM/12075662 ")</f>
        <v xml:space="preserve">http://images.bloomingdales.com/is/image/BLM/12075662 </v>
      </c>
    </row>
    <row r="16" spans="1:14" ht="48.75" x14ac:dyDescent="0.25">
      <c r="A16" s="21" t="s">
        <v>14418</v>
      </c>
      <c r="B16" s="22" t="s">
        <v>14419</v>
      </c>
      <c r="C16" s="2">
        <v>1</v>
      </c>
      <c r="D16" s="23">
        <v>180</v>
      </c>
      <c r="E16" s="3">
        <v>180</v>
      </c>
      <c r="F16" s="2">
        <v>8051425</v>
      </c>
      <c r="G16" s="22" t="s">
        <v>19351</v>
      </c>
      <c r="H16" s="24" t="s">
        <v>19330</v>
      </c>
      <c r="I16" s="22" t="s">
        <v>14376</v>
      </c>
      <c r="J16" s="22" t="s">
        <v>19602</v>
      </c>
      <c r="K16" s="22" t="s">
        <v>14390</v>
      </c>
      <c r="L16" s="22" t="s">
        <v>14378</v>
      </c>
      <c r="M16" s="22" t="s">
        <v>14420</v>
      </c>
      <c r="N16" s="25" t="str">
        <f>HYPERLINK("http://images.bloomingdales.com/is/image/BLM/12124147 ")</f>
        <v xml:space="preserve">http://images.bloomingdales.com/is/image/BLM/12124147 </v>
      </c>
    </row>
    <row r="17" spans="1:14" ht="48.75" x14ac:dyDescent="0.25">
      <c r="A17" s="21" t="s">
        <v>14421</v>
      </c>
      <c r="B17" s="22" t="s">
        <v>14419</v>
      </c>
      <c r="C17" s="2">
        <v>1</v>
      </c>
      <c r="D17" s="23">
        <v>180</v>
      </c>
      <c r="E17" s="3">
        <v>180</v>
      </c>
      <c r="F17" s="2">
        <v>8051425</v>
      </c>
      <c r="G17" s="22" t="s">
        <v>19351</v>
      </c>
      <c r="H17" s="24" t="s">
        <v>19367</v>
      </c>
      <c r="I17" s="22" t="s">
        <v>14376</v>
      </c>
      <c r="J17" s="22" t="s">
        <v>19602</v>
      </c>
      <c r="K17" s="22" t="s">
        <v>14390</v>
      </c>
      <c r="L17" s="22" t="s">
        <v>14378</v>
      </c>
      <c r="M17" s="22" t="s">
        <v>14420</v>
      </c>
      <c r="N17" s="25" t="str">
        <f>HYPERLINK("http://images.bloomingdales.com/is/image/BLM/12124147 ")</f>
        <v xml:space="preserve">http://images.bloomingdales.com/is/image/BLM/12124147 </v>
      </c>
    </row>
    <row r="18" spans="1:14" ht="48.75" x14ac:dyDescent="0.25">
      <c r="A18" s="21" t="s">
        <v>14422</v>
      </c>
      <c r="B18" s="22" t="s">
        <v>14419</v>
      </c>
      <c r="C18" s="2">
        <v>1</v>
      </c>
      <c r="D18" s="23">
        <v>180</v>
      </c>
      <c r="E18" s="3">
        <v>180</v>
      </c>
      <c r="F18" s="2">
        <v>8051425</v>
      </c>
      <c r="G18" s="22" t="s">
        <v>19351</v>
      </c>
      <c r="H18" s="24" t="s">
        <v>19324</v>
      </c>
      <c r="I18" s="22" t="s">
        <v>14376</v>
      </c>
      <c r="J18" s="22" t="s">
        <v>19602</v>
      </c>
      <c r="K18" s="22" t="s">
        <v>14390</v>
      </c>
      <c r="L18" s="22" t="s">
        <v>14378</v>
      </c>
      <c r="M18" s="22" t="s">
        <v>14420</v>
      </c>
      <c r="N18" s="25" t="str">
        <f>HYPERLINK("http://images.bloomingdales.com/is/image/BLM/12124147 ")</f>
        <v xml:space="preserve">http://images.bloomingdales.com/is/image/BLM/12124147 </v>
      </c>
    </row>
    <row r="19" spans="1:14" ht="48.75" x14ac:dyDescent="0.25">
      <c r="A19" s="21" t="s">
        <v>14423</v>
      </c>
      <c r="B19" s="22" t="s">
        <v>14419</v>
      </c>
      <c r="C19" s="2">
        <v>1</v>
      </c>
      <c r="D19" s="23">
        <v>180</v>
      </c>
      <c r="E19" s="3">
        <v>180</v>
      </c>
      <c r="F19" s="2">
        <v>8051425</v>
      </c>
      <c r="G19" s="22" t="s">
        <v>19351</v>
      </c>
      <c r="H19" s="24" t="s">
        <v>14424</v>
      </c>
      <c r="I19" s="22" t="s">
        <v>14376</v>
      </c>
      <c r="J19" s="22" t="s">
        <v>19602</v>
      </c>
      <c r="K19" s="22" t="s">
        <v>14390</v>
      </c>
      <c r="L19" s="22" t="s">
        <v>14378</v>
      </c>
      <c r="M19" s="22" t="s">
        <v>14420</v>
      </c>
      <c r="N19" s="25" t="str">
        <f>HYPERLINK("http://images.bloomingdales.com/is/image/BLM/12124147 ")</f>
        <v xml:space="preserve">http://images.bloomingdales.com/is/image/BLM/12124147 </v>
      </c>
    </row>
    <row r="20" spans="1:14" ht="24.75" x14ac:dyDescent="0.25">
      <c r="A20" s="21" t="s">
        <v>14425</v>
      </c>
      <c r="B20" s="22" t="s">
        <v>14426</v>
      </c>
      <c r="C20" s="2">
        <v>1</v>
      </c>
      <c r="D20" s="23">
        <v>175.2</v>
      </c>
      <c r="E20" s="3">
        <v>175.2</v>
      </c>
      <c r="F20" s="2" t="s">
        <v>14427</v>
      </c>
      <c r="G20" s="22" t="s">
        <v>19713</v>
      </c>
      <c r="H20" s="24"/>
      <c r="I20" s="22" t="s">
        <v>14376</v>
      </c>
      <c r="J20" s="22" t="s">
        <v>19508</v>
      </c>
      <c r="K20" s="22" t="s">
        <v>14428</v>
      </c>
      <c r="L20" s="22"/>
      <c r="M20" s="22"/>
      <c r="N20" s="25" t="str">
        <f>HYPERLINK("http://images.bloomingdales.com/is/image/BLM/12368155 ")</f>
        <v xml:space="preserve">http://images.bloomingdales.com/is/image/BLM/12368155 </v>
      </c>
    </row>
    <row r="21" spans="1:14" ht="36.75" x14ac:dyDescent="0.25">
      <c r="A21" s="21" t="s">
        <v>14429</v>
      </c>
      <c r="B21" s="22" t="s">
        <v>14430</v>
      </c>
      <c r="C21" s="2">
        <v>1</v>
      </c>
      <c r="D21" s="23">
        <v>140</v>
      </c>
      <c r="E21" s="3">
        <v>140</v>
      </c>
      <c r="F21" s="2">
        <v>8028809</v>
      </c>
      <c r="G21" s="22" t="s">
        <v>19315</v>
      </c>
      <c r="H21" s="24" t="s">
        <v>14399</v>
      </c>
      <c r="I21" s="22" t="s">
        <v>14376</v>
      </c>
      <c r="J21" s="22" t="s">
        <v>19602</v>
      </c>
      <c r="K21" s="22" t="s">
        <v>14383</v>
      </c>
      <c r="L21" s="22" t="s">
        <v>17554</v>
      </c>
      <c r="M21" s="22" t="s">
        <v>14431</v>
      </c>
      <c r="N21" s="25" t="str">
        <f>HYPERLINK("http://images.bloomingdales.com/is/image/BLM/11080829 ")</f>
        <v xml:space="preserve">http://images.bloomingdales.com/is/image/BLM/11080829 </v>
      </c>
    </row>
    <row r="22" spans="1:14" ht="24.75" x14ac:dyDescent="0.25">
      <c r="A22" s="21" t="s">
        <v>14432</v>
      </c>
      <c r="B22" s="22" t="s">
        <v>14433</v>
      </c>
      <c r="C22" s="2">
        <v>1</v>
      </c>
      <c r="D22" s="23">
        <v>120</v>
      </c>
      <c r="E22" s="3">
        <v>120</v>
      </c>
      <c r="F22" s="2" t="s">
        <v>14434</v>
      </c>
      <c r="G22" s="22" t="s">
        <v>19333</v>
      </c>
      <c r="H22" s="24" t="s">
        <v>18502</v>
      </c>
      <c r="I22" s="22" t="s">
        <v>14376</v>
      </c>
      <c r="J22" s="22" t="s">
        <v>19508</v>
      </c>
      <c r="K22" s="22" t="s">
        <v>14435</v>
      </c>
      <c r="L22" s="22" t="s">
        <v>17554</v>
      </c>
      <c r="M22" s="22" t="s">
        <v>14436</v>
      </c>
      <c r="N22" s="25" t="str">
        <f>HYPERLINK("http://images.bloomingdales.com/is/image/BLM/11456759 ")</f>
        <v xml:space="preserve">http://images.bloomingdales.com/is/image/BLM/11456759 </v>
      </c>
    </row>
    <row r="23" spans="1:14" ht="24.75" x14ac:dyDescent="0.25">
      <c r="A23" s="21" t="s">
        <v>14437</v>
      </c>
      <c r="B23" s="22" t="s">
        <v>14438</v>
      </c>
      <c r="C23" s="2">
        <v>1</v>
      </c>
      <c r="D23" s="23">
        <v>106.79</v>
      </c>
      <c r="E23" s="3">
        <v>106.79</v>
      </c>
      <c r="F23" s="2" t="s">
        <v>14439</v>
      </c>
      <c r="G23" s="22" t="s">
        <v>19333</v>
      </c>
      <c r="H23" s="24"/>
      <c r="I23" s="22" t="s">
        <v>14376</v>
      </c>
      <c r="J23" s="22" t="s">
        <v>19508</v>
      </c>
      <c r="K23" s="22" t="s">
        <v>14428</v>
      </c>
      <c r="L23" s="22"/>
      <c r="M23" s="22"/>
      <c r="N23" s="25" t="str">
        <f>HYPERLINK("http://images.bloomingdales.com/is/image/BLM/12368158 ")</f>
        <v xml:space="preserve">http://images.bloomingdales.com/is/image/BLM/12368158 </v>
      </c>
    </row>
    <row r="24" spans="1:14" ht="24.75" x14ac:dyDescent="0.25">
      <c r="A24" s="21" t="s">
        <v>14440</v>
      </c>
      <c r="B24" s="22" t="s">
        <v>14438</v>
      </c>
      <c r="C24" s="2">
        <v>1</v>
      </c>
      <c r="D24" s="23">
        <v>106.79</v>
      </c>
      <c r="E24" s="3">
        <v>106.79</v>
      </c>
      <c r="F24" s="2" t="s">
        <v>14441</v>
      </c>
      <c r="G24" s="22" t="s">
        <v>18073</v>
      </c>
      <c r="H24" s="24"/>
      <c r="I24" s="22" t="s">
        <v>14376</v>
      </c>
      <c r="J24" s="22" t="s">
        <v>19508</v>
      </c>
      <c r="K24" s="22" t="s">
        <v>14428</v>
      </c>
      <c r="L24" s="22"/>
      <c r="M24" s="22"/>
      <c r="N24" s="25" t="str">
        <f>HYPERLINK("http://images.bloomingdales.com/is/image/BLM/12368168 ")</f>
        <v xml:space="preserve">http://images.bloomingdales.com/is/image/BLM/12368168 </v>
      </c>
    </row>
    <row r="25" spans="1:14" ht="48.75" x14ac:dyDescent="0.25">
      <c r="A25" s="21" t="s">
        <v>14442</v>
      </c>
      <c r="B25" s="22" t="s">
        <v>14443</v>
      </c>
      <c r="C25" s="2">
        <v>1</v>
      </c>
      <c r="D25" s="23">
        <v>88</v>
      </c>
      <c r="E25" s="3">
        <v>88</v>
      </c>
      <c r="F25" s="2" t="s">
        <v>14444</v>
      </c>
      <c r="G25" s="22" t="s">
        <v>19323</v>
      </c>
      <c r="H25" s="24" t="s">
        <v>19501</v>
      </c>
      <c r="I25" s="22" t="s">
        <v>14376</v>
      </c>
      <c r="J25" s="22" t="s">
        <v>19508</v>
      </c>
      <c r="K25" s="22" t="s">
        <v>14445</v>
      </c>
      <c r="L25" s="22" t="s">
        <v>14446</v>
      </c>
      <c r="M25" s="22" t="s">
        <v>14447</v>
      </c>
      <c r="N25" s="25" t="str">
        <f>HYPERLINK("http://images.bloomingdales.com/is/image/BLM/12110969 ")</f>
        <v xml:space="preserve">http://images.bloomingdales.com/is/image/BLM/12110969 </v>
      </c>
    </row>
    <row r="26" spans="1:14" ht="24.75" x14ac:dyDescent="0.25">
      <c r="A26" s="21" t="s">
        <v>14448</v>
      </c>
      <c r="B26" s="22" t="s">
        <v>14449</v>
      </c>
      <c r="C26" s="2">
        <v>1</v>
      </c>
      <c r="D26" s="23">
        <v>88</v>
      </c>
      <c r="E26" s="3">
        <v>88</v>
      </c>
      <c r="F26" s="2" t="s">
        <v>14450</v>
      </c>
      <c r="G26" s="22" t="s">
        <v>19323</v>
      </c>
      <c r="H26" s="24" t="s">
        <v>19797</v>
      </c>
      <c r="I26" s="22" t="s">
        <v>14376</v>
      </c>
      <c r="J26" s="22" t="s">
        <v>19508</v>
      </c>
      <c r="K26" s="22" t="s">
        <v>14445</v>
      </c>
      <c r="L26" s="22" t="s">
        <v>14446</v>
      </c>
      <c r="M26" s="22" t="s">
        <v>17531</v>
      </c>
      <c r="N26" s="25" t="str">
        <f>HYPERLINK("http://images.bloomingdales.com/is/image/BLM/12110966 ")</f>
        <v xml:space="preserve">http://images.bloomingdales.com/is/image/BLM/12110966 </v>
      </c>
    </row>
    <row r="27" spans="1:14" ht="24.75" x14ac:dyDescent="0.25">
      <c r="A27" s="21" t="s">
        <v>14451</v>
      </c>
      <c r="B27" s="22" t="s">
        <v>14449</v>
      </c>
      <c r="C27" s="2">
        <v>1</v>
      </c>
      <c r="D27" s="23">
        <v>88</v>
      </c>
      <c r="E27" s="3">
        <v>88</v>
      </c>
      <c r="F27" s="2" t="s">
        <v>14450</v>
      </c>
      <c r="G27" s="22" t="s">
        <v>19323</v>
      </c>
      <c r="H27" s="24" t="s">
        <v>18497</v>
      </c>
      <c r="I27" s="22" t="s">
        <v>14376</v>
      </c>
      <c r="J27" s="22" t="s">
        <v>19508</v>
      </c>
      <c r="K27" s="22" t="s">
        <v>14445</v>
      </c>
      <c r="L27" s="22" t="s">
        <v>14446</v>
      </c>
      <c r="M27" s="22" t="s">
        <v>17531</v>
      </c>
      <c r="N27" s="25" t="str">
        <f>HYPERLINK("http://images.bloomingdales.com/is/image/BLM/12110966 ")</f>
        <v xml:space="preserve">http://images.bloomingdales.com/is/image/BLM/12110966 </v>
      </c>
    </row>
    <row r="28" spans="1:14" ht="24.75" x14ac:dyDescent="0.25">
      <c r="A28" s="21" t="s">
        <v>14452</v>
      </c>
      <c r="B28" s="22" t="s">
        <v>14453</v>
      </c>
      <c r="C28" s="2">
        <v>1</v>
      </c>
      <c r="D28" s="23">
        <v>78</v>
      </c>
      <c r="E28" s="3">
        <v>78</v>
      </c>
      <c r="F28" s="2" t="s">
        <v>14454</v>
      </c>
      <c r="G28" s="22" t="s">
        <v>19618</v>
      </c>
      <c r="H28" s="24" t="s">
        <v>19478</v>
      </c>
      <c r="I28" s="22" t="s">
        <v>14376</v>
      </c>
      <c r="J28" s="22" t="s">
        <v>19508</v>
      </c>
      <c r="K28" s="22" t="s">
        <v>14455</v>
      </c>
      <c r="L28" s="22" t="s">
        <v>14446</v>
      </c>
      <c r="M28" s="22" t="s">
        <v>14456</v>
      </c>
      <c r="N28" s="25" t="str">
        <f>HYPERLINK("http://images.bloomingdales.com/is/image/BLM/12126362 ")</f>
        <v xml:space="preserve">http://images.bloomingdales.com/is/image/BLM/12126362 </v>
      </c>
    </row>
    <row r="29" spans="1:14" ht="48.75" x14ac:dyDescent="0.25">
      <c r="A29" s="21" t="s">
        <v>14457</v>
      </c>
      <c r="B29" s="22" t="s">
        <v>14458</v>
      </c>
      <c r="C29" s="2">
        <v>1</v>
      </c>
      <c r="D29" s="23">
        <v>77</v>
      </c>
      <c r="E29" s="3">
        <v>77</v>
      </c>
      <c r="F29" s="2" t="s">
        <v>14459</v>
      </c>
      <c r="G29" s="22" t="s">
        <v>14460</v>
      </c>
      <c r="H29" s="24" t="s">
        <v>19316</v>
      </c>
      <c r="I29" s="22" t="s">
        <v>14376</v>
      </c>
      <c r="J29" s="22" t="s">
        <v>19508</v>
      </c>
      <c r="K29" s="22" t="s">
        <v>14445</v>
      </c>
      <c r="L29" s="22" t="s">
        <v>14446</v>
      </c>
      <c r="M29" s="22" t="s">
        <v>14461</v>
      </c>
      <c r="N29" s="25" t="str">
        <f>HYPERLINK("http://images.bloomingdales.com/is/image/BLM/12110970 ")</f>
        <v xml:space="preserve">http://images.bloomingdales.com/is/image/BLM/12110970 </v>
      </c>
    </row>
    <row r="30" spans="1:14" ht="24.75" x14ac:dyDescent="0.25">
      <c r="A30" s="21" t="s">
        <v>14462</v>
      </c>
      <c r="B30" s="22" t="s">
        <v>14463</v>
      </c>
      <c r="C30" s="2">
        <v>1</v>
      </c>
      <c r="D30" s="23">
        <v>69.5</v>
      </c>
      <c r="E30" s="3">
        <v>69.5</v>
      </c>
      <c r="F30" s="2">
        <v>320861136001</v>
      </c>
      <c r="G30" s="22" t="s">
        <v>19342</v>
      </c>
      <c r="H30" s="24" t="s">
        <v>20152</v>
      </c>
      <c r="I30" s="22" t="s">
        <v>19309</v>
      </c>
      <c r="J30" s="22" t="s">
        <v>19325</v>
      </c>
      <c r="K30" s="22" t="s">
        <v>19326</v>
      </c>
      <c r="L30" s="22"/>
      <c r="M30" s="22"/>
      <c r="N30" s="25" t="str">
        <f>HYPERLINK("http://slimages.macys.com/is/image/MCY/21258813 ")</f>
        <v xml:space="preserve">http://slimages.macys.com/is/image/MCY/21258813 </v>
      </c>
    </row>
    <row r="31" spans="1:14" ht="24.75" x14ac:dyDescent="0.25">
      <c r="A31" s="21" t="s">
        <v>14464</v>
      </c>
      <c r="B31" s="22" t="s">
        <v>14465</v>
      </c>
      <c r="C31" s="2">
        <v>1</v>
      </c>
      <c r="D31" s="23">
        <v>69.5</v>
      </c>
      <c r="E31" s="3">
        <v>69.5</v>
      </c>
      <c r="F31" s="2">
        <v>323896722002</v>
      </c>
      <c r="G31" s="22" t="s">
        <v>19338</v>
      </c>
      <c r="H31" s="24" t="s">
        <v>19352</v>
      </c>
      <c r="I31" s="22" t="s">
        <v>14376</v>
      </c>
      <c r="J31" s="22" t="s">
        <v>19559</v>
      </c>
      <c r="K31" s="22" t="s">
        <v>19326</v>
      </c>
      <c r="L31" s="22"/>
      <c r="M31" s="22"/>
      <c r="N31" s="25" t="str">
        <f>HYPERLINK("http://images.bloomingdales.com/is/image/BLM/12490064 ")</f>
        <v xml:space="preserve">http://images.bloomingdales.com/is/image/BLM/12490064 </v>
      </c>
    </row>
    <row r="32" spans="1:14" ht="24.75" x14ac:dyDescent="0.25">
      <c r="A32" s="21" t="s">
        <v>14466</v>
      </c>
      <c r="B32" s="22" t="s">
        <v>14467</v>
      </c>
      <c r="C32" s="2">
        <v>1</v>
      </c>
      <c r="D32" s="23">
        <v>69.5</v>
      </c>
      <c r="E32" s="3">
        <v>69.5</v>
      </c>
      <c r="F32" s="2">
        <v>310868486001</v>
      </c>
      <c r="G32" s="22" t="s">
        <v>19333</v>
      </c>
      <c r="H32" s="24" t="s">
        <v>19416</v>
      </c>
      <c r="I32" s="22" t="s">
        <v>19309</v>
      </c>
      <c r="J32" s="22" t="s">
        <v>19325</v>
      </c>
      <c r="K32" s="22" t="s">
        <v>19326</v>
      </c>
      <c r="L32" s="22"/>
      <c r="M32" s="22"/>
      <c r="N32" s="25" t="str">
        <f>HYPERLINK("http://slimages.macys.com/is/image/MCY/21258823 ")</f>
        <v xml:space="preserve">http://slimages.macys.com/is/image/MCY/21258823 </v>
      </c>
    </row>
    <row r="33" spans="1:14" ht="24.75" x14ac:dyDescent="0.25">
      <c r="A33" s="21" t="s">
        <v>14468</v>
      </c>
      <c r="B33" s="22" t="s">
        <v>14469</v>
      </c>
      <c r="C33" s="2">
        <v>1</v>
      </c>
      <c r="D33" s="23">
        <v>65</v>
      </c>
      <c r="E33" s="3">
        <v>65</v>
      </c>
      <c r="F33" s="2">
        <v>320865764001</v>
      </c>
      <c r="G33" s="22" t="s">
        <v>19594</v>
      </c>
      <c r="H33" s="24" t="s">
        <v>19367</v>
      </c>
      <c r="I33" s="22" t="s">
        <v>14376</v>
      </c>
      <c r="J33" s="22" t="s">
        <v>19325</v>
      </c>
      <c r="K33" s="22" t="s">
        <v>19326</v>
      </c>
      <c r="L33" s="22"/>
      <c r="M33" s="22"/>
      <c r="N33" s="25" t="str">
        <f>HYPERLINK("http://slimages.macys.com/is/image/MCY/21502523 ")</f>
        <v xml:space="preserve">http://slimages.macys.com/is/image/MCY/21502523 </v>
      </c>
    </row>
    <row r="34" spans="1:14" ht="24.75" x14ac:dyDescent="0.25">
      <c r="A34" s="21" t="s">
        <v>19328</v>
      </c>
      <c r="B34" s="22" t="s">
        <v>14470</v>
      </c>
      <c r="C34" s="2">
        <v>1</v>
      </c>
      <c r="D34" s="23">
        <v>65</v>
      </c>
      <c r="E34" s="3">
        <v>65</v>
      </c>
      <c r="F34" s="2">
        <v>310874033001</v>
      </c>
      <c r="G34" s="22" t="s">
        <v>19323</v>
      </c>
      <c r="H34" s="24" t="s">
        <v>19330</v>
      </c>
      <c r="I34" s="22" t="s">
        <v>14376</v>
      </c>
      <c r="J34" s="22" t="s">
        <v>19325</v>
      </c>
      <c r="K34" s="22" t="s">
        <v>19326</v>
      </c>
      <c r="L34" s="22"/>
      <c r="M34" s="22"/>
      <c r="N34" s="25" t="str">
        <f>HYPERLINK("http://slimages.macys.com/is/image/MCY/22118876 ")</f>
        <v xml:space="preserve">http://slimages.macys.com/is/image/MCY/22118876 </v>
      </c>
    </row>
    <row r="35" spans="1:14" ht="36.75" x14ac:dyDescent="0.25">
      <c r="A35" s="21" t="s">
        <v>19321</v>
      </c>
      <c r="B35" s="22" t="s">
        <v>14470</v>
      </c>
      <c r="C35" s="2">
        <v>1</v>
      </c>
      <c r="D35" s="23">
        <v>65</v>
      </c>
      <c r="E35" s="3">
        <v>65</v>
      </c>
      <c r="F35" s="2">
        <v>310874033001</v>
      </c>
      <c r="G35" s="22" t="s">
        <v>19323</v>
      </c>
      <c r="H35" s="24" t="s">
        <v>19324</v>
      </c>
      <c r="I35" s="22" t="s">
        <v>14376</v>
      </c>
      <c r="J35" s="22" t="s">
        <v>19325</v>
      </c>
      <c r="K35" s="22" t="s">
        <v>19326</v>
      </c>
      <c r="L35" s="22" t="s">
        <v>19319</v>
      </c>
      <c r="M35" s="22" t="s">
        <v>19327</v>
      </c>
      <c r="N35" s="25" t="str">
        <f>HYPERLINK("http://images.bloomingdales.com/is/image/BLM/12239490 ")</f>
        <v xml:space="preserve">http://images.bloomingdales.com/is/image/BLM/12239490 </v>
      </c>
    </row>
    <row r="36" spans="1:14" ht="24.75" x14ac:dyDescent="0.25">
      <c r="A36" s="21" t="s">
        <v>14471</v>
      </c>
      <c r="B36" s="22" t="s">
        <v>14469</v>
      </c>
      <c r="C36" s="2">
        <v>1</v>
      </c>
      <c r="D36" s="23">
        <v>65</v>
      </c>
      <c r="E36" s="3">
        <v>65</v>
      </c>
      <c r="F36" s="2">
        <v>320865764001</v>
      </c>
      <c r="G36" s="22" t="s">
        <v>19594</v>
      </c>
      <c r="H36" s="24" t="s">
        <v>19324</v>
      </c>
      <c r="I36" s="22" t="s">
        <v>14376</v>
      </c>
      <c r="J36" s="22" t="s">
        <v>19325</v>
      </c>
      <c r="K36" s="22" t="s">
        <v>19326</v>
      </c>
      <c r="L36" s="22"/>
      <c r="M36" s="22"/>
      <c r="N36" s="25" t="str">
        <f>HYPERLINK("http://slimages.macys.com/is/image/MCY/21502523 ")</f>
        <v xml:space="preserve">http://slimages.macys.com/is/image/MCY/21502523 </v>
      </c>
    </row>
    <row r="37" spans="1:14" ht="60.75" x14ac:dyDescent="0.25">
      <c r="A37" s="21" t="s">
        <v>14472</v>
      </c>
      <c r="B37" s="22" t="s">
        <v>14473</v>
      </c>
      <c r="C37" s="2">
        <v>1</v>
      </c>
      <c r="D37" s="23">
        <v>60</v>
      </c>
      <c r="E37" s="3">
        <v>60</v>
      </c>
      <c r="F37" s="2" t="s">
        <v>14474</v>
      </c>
      <c r="G37" s="22"/>
      <c r="H37" s="24" t="s">
        <v>19399</v>
      </c>
      <c r="I37" s="22" t="s">
        <v>14376</v>
      </c>
      <c r="J37" s="22" t="s">
        <v>19508</v>
      </c>
      <c r="K37" s="22" t="s">
        <v>14475</v>
      </c>
      <c r="L37" s="22" t="s">
        <v>17554</v>
      </c>
      <c r="M37" s="22" t="s">
        <v>14476</v>
      </c>
      <c r="N37" s="25" t="str">
        <f>HYPERLINK("http://images.bloomingdales.com/is/image/BLM/11999661 ")</f>
        <v xml:space="preserve">http://images.bloomingdales.com/is/image/BLM/11999661 </v>
      </c>
    </row>
    <row r="38" spans="1:14" ht="24.75" x14ac:dyDescent="0.25">
      <c r="A38" s="21" t="s">
        <v>14477</v>
      </c>
      <c r="B38" s="22" t="s">
        <v>14478</v>
      </c>
      <c r="C38" s="2">
        <v>1</v>
      </c>
      <c r="D38" s="23">
        <v>62</v>
      </c>
      <c r="E38" s="3">
        <v>62</v>
      </c>
      <c r="F38" s="2">
        <v>12207</v>
      </c>
      <c r="G38" s="22" t="s">
        <v>19585</v>
      </c>
      <c r="H38" s="24" t="s">
        <v>14479</v>
      </c>
      <c r="I38" s="22" t="s">
        <v>14376</v>
      </c>
      <c r="J38" s="22" t="s">
        <v>19508</v>
      </c>
      <c r="K38" s="22" t="s">
        <v>14480</v>
      </c>
      <c r="L38" s="22" t="s">
        <v>14481</v>
      </c>
      <c r="M38" s="22" t="s">
        <v>14482</v>
      </c>
      <c r="N38" s="25" t="str">
        <f>HYPERLINK("http://images.bloomingdales.com/is/image/BLM/12245865 ")</f>
        <v xml:space="preserve">http://images.bloomingdales.com/is/image/BLM/12245865 </v>
      </c>
    </row>
    <row r="39" spans="1:14" ht="24.75" x14ac:dyDescent="0.25">
      <c r="A39" s="21" t="s">
        <v>14483</v>
      </c>
      <c r="B39" s="22" t="s">
        <v>14478</v>
      </c>
      <c r="C39" s="2">
        <v>1</v>
      </c>
      <c r="D39" s="23">
        <v>62</v>
      </c>
      <c r="E39" s="3">
        <v>62</v>
      </c>
      <c r="F39" s="2">
        <v>12207</v>
      </c>
      <c r="G39" s="22" t="s">
        <v>19585</v>
      </c>
      <c r="H39" s="24" t="s">
        <v>18139</v>
      </c>
      <c r="I39" s="22" t="s">
        <v>14376</v>
      </c>
      <c r="J39" s="22" t="s">
        <v>19508</v>
      </c>
      <c r="K39" s="22" t="s">
        <v>14480</v>
      </c>
      <c r="L39" s="22" t="s">
        <v>14481</v>
      </c>
      <c r="M39" s="22" t="s">
        <v>14482</v>
      </c>
      <c r="N39" s="25" t="str">
        <f>HYPERLINK("http://images.bloomingdales.com/is/image/BLM/12245865 ")</f>
        <v xml:space="preserve">http://images.bloomingdales.com/is/image/BLM/12245865 </v>
      </c>
    </row>
    <row r="40" spans="1:14" ht="24.75" x14ac:dyDescent="0.25">
      <c r="A40" s="21" t="s">
        <v>14484</v>
      </c>
      <c r="B40" s="22" t="s">
        <v>14478</v>
      </c>
      <c r="C40" s="2">
        <v>1</v>
      </c>
      <c r="D40" s="23">
        <v>62</v>
      </c>
      <c r="E40" s="3">
        <v>62</v>
      </c>
      <c r="F40" s="2">
        <v>12207</v>
      </c>
      <c r="G40" s="22" t="s">
        <v>19415</v>
      </c>
      <c r="H40" s="24" t="s">
        <v>14485</v>
      </c>
      <c r="I40" s="22" t="s">
        <v>14376</v>
      </c>
      <c r="J40" s="22" t="s">
        <v>19508</v>
      </c>
      <c r="K40" s="22" t="s">
        <v>14480</v>
      </c>
      <c r="L40" s="22"/>
      <c r="M40" s="22"/>
      <c r="N40" s="25" t="str">
        <f>HYPERLINK("http://images.bloomingdales.com/is/image/BLM/11859725 ")</f>
        <v xml:space="preserve">http://images.bloomingdales.com/is/image/BLM/11859725 </v>
      </c>
    </row>
    <row r="41" spans="1:14" ht="24.75" x14ac:dyDescent="0.25">
      <c r="A41" s="21" t="s">
        <v>14486</v>
      </c>
      <c r="B41" s="22" t="s">
        <v>14487</v>
      </c>
      <c r="C41" s="2">
        <v>1</v>
      </c>
      <c r="D41" s="23">
        <v>59.5</v>
      </c>
      <c r="E41" s="3">
        <v>59.5</v>
      </c>
      <c r="F41" s="2">
        <v>323865672001</v>
      </c>
      <c r="G41" s="22" t="s">
        <v>19342</v>
      </c>
      <c r="H41" s="24" t="s">
        <v>19364</v>
      </c>
      <c r="I41" s="22" t="s">
        <v>19309</v>
      </c>
      <c r="J41" s="22" t="s">
        <v>19335</v>
      </c>
      <c r="K41" s="22" t="s">
        <v>19326</v>
      </c>
      <c r="L41" s="22" t="s">
        <v>14488</v>
      </c>
      <c r="M41" s="22" t="s">
        <v>17531</v>
      </c>
      <c r="N41" s="25" t="str">
        <f>HYPERLINK("http://images.bloomingdales.com/is/image/BLM/12076597 ")</f>
        <v xml:space="preserve">http://images.bloomingdales.com/is/image/BLM/12076597 </v>
      </c>
    </row>
    <row r="42" spans="1:14" ht="24.75" x14ac:dyDescent="0.25">
      <c r="A42" s="21" t="s">
        <v>14489</v>
      </c>
      <c r="B42" s="22" t="s">
        <v>14490</v>
      </c>
      <c r="C42" s="2">
        <v>1</v>
      </c>
      <c r="D42" s="23">
        <v>59.5</v>
      </c>
      <c r="E42" s="3">
        <v>59.5</v>
      </c>
      <c r="F42" s="2">
        <v>321702674043</v>
      </c>
      <c r="G42" s="22" t="s">
        <v>19879</v>
      </c>
      <c r="H42" s="24" t="s">
        <v>19345</v>
      </c>
      <c r="I42" s="22" t="s">
        <v>14376</v>
      </c>
      <c r="J42" s="22" t="s">
        <v>19559</v>
      </c>
      <c r="K42" s="22" t="s">
        <v>19326</v>
      </c>
      <c r="L42" s="22"/>
      <c r="M42" s="22"/>
      <c r="N42" s="25" t="str">
        <f>HYPERLINK("http://images.bloomingdales.com/is/image/BLM/12472534 ")</f>
        <v xml:space="preserve">http://images.bloomingdales.com/is/image/BLM/12472534 </v>
      </c>
    </row>
    <row r="43" spans="1:14" ht="24.75" x14ac:dyDescent="0.25">
      <c r="A43" s="21" t="s">
        <v>14491</v>
      </c>
      <c r="B43" s="22" t="s">
        <v>14492</v>
      </c>
      <c r="C43" s="2">
        <v>2</v>
      </c>
      <c r="D43" s="23">
        <v>88</v>
      </c>
      <c r="E43" s="3">
        <v>176</v>
      </c>
      <c r="F43" s="2" t="s">
        <v>14493</v>
      </c>
      <c r="G43" s="22" t="s">
        <v>19357</v>
      </c>
      <c r="H43" s="24" t="s">
        <v>19364</v>
      </c>
      <c r="I43" s="22" t="s">
        <v>14376</v>
      </c>
      <c r="J43" s="22" t="s">
        <v>19508</v>
      </c>
      <c r="K43" s="22" t="s">
        <v>14494</v>
      </c>
      <c r="L43" s="22"/>
      <c r="M43" s="22"/>
      <c r="N43" s="25" t="str">
        <f>HYPERLINK("http://images.bloomingdales.com/is/image/BLM/12075014 ")</f>
        <v xml:space="preserve">http://images.bloomingdales.com/is/image/BLM/12075014 </v>
      </c>
    </row>
    <row r="44" spans="1:14" ht="24.75" x14ac:dyDescent="0.25">
      <c r="A44" s="21" t="s">
        <v>14495</v>
      </c>
      <c r="B44" s="22" t="s">
        <v>14492</v>
      </c>
      <c r="C44" s="2">
        <v>1</v>
      </c>
      <c r="D44" s="23">
        <v>88</v>
      </c>
      <c r="E44" s="3">
        <v>88</v>
      </c>
      <c r="F44" s="2" t="s">
        <v>14493</v>
      </c>
      <c r="G44" s="22" t="s">
        <v>19357</v>
      </c>
      <c r="H44" s="24"/>
      <c r="I44" s="22" t="s">
        <v>14376</v>
      </c>
      <c r="J44" s="22" t="s">
        <v>19508</v>
      </c>
      <c r="K44" s="22" t="s">
        <v>14494</v>
      </c>
      <c r="L44" s="22"/>
      <c r="M44" s="22"/>
      <c r="N44" s="25" t="str">
        <f>HYPERLINK("http://images.bloomingdales.com/is/image/BLM/12075014 ")</f>
        <v xml:space="preserve">http://images.bloomingdales.com/is/image/BLM/12075014 </v>
      </c>
    </row>
    <row r="45" spans="1:14" ht="24.75" x14ac:dyDescent="0.25">
      <c r="A45" s="21" t="s">
        <v>14496</v>
      </c>
      <c r="B45" s="22" t="s">
        <v>14492</v>
      </c>
      <c r="C45" s="2">
        <v>1</v>
      </c>
      <c r="D45" s="23">
        <v>88</v>
      </c>
      <c r="E45" s="3">
        <v>88</v>
      </c>
      <c r="F45" s="2" t="s">
        <v>14493</v>
      </c>
      <c r="G45" s="22" t="s">
        <v>19357</v>
      </c>
      <c r="H45" s="24" t="s">
        <v>19352</v>
      </c>
      <c r="I45" s="22" t="s">
        <v>14376</v>
      </c>
      <c r="J45" s="22" t="s">
        <v>19508</v>
      </c>
      <c r="K45" s="22" t="s">
        <v>14494</v>
      </c>
      <c r="L45" s="22"/>
      <c r="M45" s="22"/>
      <c r="N45" s="25" t="str">
        <f>HYPERLINK("http://images.bloomingdales.com/is/image/BLM/12075014 ")</f>
        <v xml:space="preserve">http://images.bloomingdales.com/is/image/BLM/12075014 </v>
      </c>
    </row>
    <row r="46" spans="1:14" ht="36.75" x14ac:dyDescent="0.25">
      <c r="A46" s="21" t="s">
        <v>14497</v>
      </c>
      <c r="B46" s="22" t="s">
        <v>14498</v>
      </c>
      <c r="C46" s="2">
        <v>1</v>
      </c>
      <c r="D46" s="23">
        <v>72</v>
      </c>
      <c r="E46" s="3">
        <v>72</v>
      </c>
      <c r="F46" s="2" t="s">
        <v>14499</v>
      </c>
      <c r="G46" s="22" t="s">
        <v>19801</v>
      </c>
      <c r="H46" s="24" t="s">
        <v>19501</v>
      </c>
      <c r="I46" s="22" t="s">
        <v>14376</v>
      </c>
      <c r="J46" s="22" t="s">
        <v>19508</v>
      </c>
      <c r="K46" s="22" t="s">
        <v>14500</v>
      </c>
      <c r="L46" s="22" t="s">
        <v>17554</v>
      </c>
      <c r="M46" s="22" t="s">
        <v>14501</v>
      </c>
      <c r="N46" s="25" t="str">
        <f>HYPERLINK("http://images.bloomingdales.com/is/image/BLM/12076163 ")</f>
        <v xml:space="preserve">http://images.bloomingdales.com/is/image/BLM/12076163 </v>
      </c>
    </row>
    <row r="47" spans="1:14" x14ac:dyDescent="0.25">
      <c r="A47" s="21" t="s">
        <v>14502</v>
      </c>
      <c r="B47" s="22" t="s">
        <v>14503</v>
      </c>
      <c r="C47" s="2">
        <v>1</v>
      </c>
      <c r="D47" s="23">
        <v>65</v>
      </c>
      <c r="E47" s="3">
        <v>65</v>
      </c>
      <c r="F47" s="2">
        <v>91945</v>
      </c>
      <c r="G47" s="22" t="s">
        <v>19467</v>
      </c>
      <c r="H47" s="24"/>
      <c r="I47" s="22" t="s">
        <v>14376</v>
      </c>
      <c r="J47" s="22" t="s">
        <v>19417</v>
      </c>
      <c r="K47" s="22" t="s">
        <v>14504</v>
      </c>
      <c r="L47" s="22" t="s">
        <v>17554</v>
      </c>
      <c r="M47" s="22" t="s">
        <v>17531</v>
      </c>
      <c r="N47" s="25" t="str">
        <f>HYPERLINK("http://images.bloomingdales.com/is/image/BLM/10482989 ")</f>
        <v xml:space="preserve">http://images.bloomingdales.com/is/image/BLM/10482989 </v>
      </c>
    </row>
    <row r="48" spans="1:14" ht="24.75" x14ac:dyDescent="0.25">
      <c r="A48" s="21" t="s">
        <v>14505</v>
      </c>
      <c r="B48" s="22" t="s">
        <v>14506</v>
      </c>
      <c r="C48" s="2">
        <v>1</v>
      </c>
      <c r="D48" s="23">
        <v>54</v>
      </c>
      <c r="E48" s="3">
        <v>54</v>
      </c>
      <c r="F48" s="2" t="s">
        <v>14507</v>
      </c>
      <c r="G48" s="22" t="s">
        <v>19323</v>
      </c>
      <c r="H48" s="24" t="s">
        <v>20109</v>
      </c>
      <c r="I48" s="22" t="s">
        <v>14376</v>
      </c>
      <c r="J48" s="22" t="s">
        <v>19325</v>
      </c>
      <c r="K48" s="22" t="s">
        <v>14508</v>
      </c>
      <c r="L48" s="22" t="s">
        <v>17554</v>
      </c>
      <c r="M48" s="22" t="s">
        <v>14509</v>
      </c>
      <c r="N48" s="25" t="str">
        <f>HYPERLINK("http://images.bloomingdales.com/is/image/BLM/12181023 ")</f>
        <v xml:space="preserve">http://images.bloomingdales.com/is/image/BLM/12181023 </v>
      </c>
    </row>
    <row r="49" spans="1:14" ht="36.75" x14ac:dyDescent="0.25">
      <c r="A49" s="21" t="s">
        <v>14510</v>
      </c>
      <c r="B49" s="22" t="s">
        <v>14511</v>
      </c>
      <c r="C49" s="2">
        <v>2</v>
      </c>
      <c r="D49" s="23">
        <v>49.5</v>
      </c>
      <c r="E49" s="3">
        <v>99</v>
      </c>
      <c r="F49" s="2">
        <v>323864092001</v>
      </c>
      <c r="G49" s="22" t="s">
        <v>19351</v>
      </c>
      <c r="H49" s="24" t="s">
        <v>19399</v>
      </c>
      <c r="I49" s="22" t="s">
        <v>19309</v>
      </c>
      <c r="J49" s="22" t="s">
        <v>19335</v>
      </c>
      <c r="K49" s="22" t="s">
        <v>19326</v>
      </c>
      <c r="L49" s="22" t="s">
        <v>19319</v>
      </c>
      <c r="M49" s="22" t="s">
        <v>14512</v>
      </c>
      <c r="N49" s="25" t="str">
        <f>HYPERLINK("http://images.bloomingdales.com/is/image/BLM/12289720 ")</f>
        <v xml:space="preserve">http://images.bloomingdales.com/is/image/BLM/12289720 </v>
      </c>
    </row>
    <row r="50" spans="1:14" ht="24.75" x14ac:dyDescent="0.25">
      <c r="A50" s="21" t="s">
        <v>14513</v>
      </c>
      <c r="B50" s="22" t="s">
        <v>14514</v>
      </c>
      <c r="C50" s="2">
        <v>1</v>
      </c>
      <c r="D50" s="23">
        <v>55</v>
      </c>
      <c r="E50" s="3">
        <v>55</v>
      </c>
      <c r="F50" s="2">
        <v>321865672001</v>
      </c>
      <c r="G50" s="22" t="s">
        <v>19342</v>
      </c>
      <c r="H50" s="24" t="s">
        <v>19334</v>
      </c>
      <c r="I50" s="22" t="s">
        <v>19309</v>
      </c>
      <c r="J50" s="22" t="s">
        <v>19335</v>
      </c>
      <c r="K50" s="22" t="s">
        <v>19326</v>
      </c>
      <c r="L50" s="22" t="s">
        <v>14488</v>
      </c>
      <c r="M50" s="22" t="s">
        <v>17531</v>
      </c>
      <c r="N50" s="25" t="str">
        <f>HYPERLINK("http://images.bloomingdales.com/is/image/BLM/12076600 ")</f>
        <v xml:space="preserve">http://images.bloomingdales.com/is/image/BLM/12076600 </v>
      </c>
    </row>
    <row r="51" spans="1:14" ht="24.75" x14ac:dyDescent="0.25">
      <c r="A51" s="21" t="s">
        <v>14515</v>
      </c>
      <c r="B51" s="22" t="s">
        <v>14516</v>
      </c>
      <c r="C51" s="2">
        <v>1</v>
      </c>
      <c r="D51" s="23">
        <v>55</v>
      </c>
      <c r="E51" s="3">
        <v>55</v>
      </c>
      <c r="F51" s="2">
        <v>311869524001</v>
      </c>
      <c r="G51" s="22" t="s">
        <v>19323</v>
      </c>
      <c r="H51" s="24" t="s">
        <v>19334</v>
      </c>
      <c r="I51" s="22" t="s">
        <v>14376</v>
      </c>
      <c r="J51" s="22" t="s">
        <v>19508</v>
      </c>
      <c r="K51" s="22" t="s">
        <v>19326</v>
      </c>
      <c r="L51" s="22"/>
      <c r="M51" s="22"/>
      <c r="N51" s="25" t="str">
        <f>HYPERLINK("http://slimages.macys.com/is/image/MCY/21954803 ")</f>
        <v xml:space="preserve">http://slimages.macys.com/is/image/MCY/21954803 </v>
      </c>
    </row>
    <row r="52" spans="1:14" ht="24.75" x14ac:dyDescent="0.25">
      <c r="A52" s="21" t="s">
        <v>14517</v>
      </c>
      <c r="B52" s="22" t="s">
        <v>14518</v>
      </c>
      <c r="C52" s="2">
        <v>1</v>
      </c>
      <c r="D52" s="23">
        <v>55</v>
      </c>
      <c r="E52" s="3">
        <v>55</v>
      </c>
      <c r="F52" s="2">
        <v>313875410002</v>
      </c>
      <c r="G52" s="22" t="s">
        <v>19333</v>
      </c>
      <c r="H52" s="24" t="s">
        <v>19364</v>
      </c>
      <c r="I52" s="22" t="s">
        <v>19309</v>
      </c>
      <c r="J52" s="22" t="s">
        <v>19389</v>
      </c>
      <c r="K52" s="22" t="s">
        <v>19326</v>
      </c>
      <c r="L52" s="22"/>
      <c r="M52" s="22"/>
      <c r="N52" s="25" t="str">
        <f>HYPERLINK("http://slimages.macys.com/is/image/MCY/21955009 ")</f>
        <v xml:space="preserve">http://slimages.macys.com/is/image/MCY/21955009 </v>
      </c>
    </row>
    <row r="53" spans="1:14" ht="24.75" x14ac:dyDescent="0.25">
      <c r="A53" s="21" t="s">
        <v>14519</v>
      </c>
      <c r="B53" s="22" t="s">
        <v>14520</v>
      </c>
      <c r="C53" s="2">
        <v>1</v>
      </c>
      <c r="D53" s="23">
        <v>49.5</v>
      </c>
      <c r="E53" s="3">
        <v>49.5</v>
      </c>
      <c r="F53" s="2">
        <v>323864092001</v>
      </c>
      <c r="G53" s="22" t="s">
        <v>19351</v>
      </c>
      <c r="H53" s="24" t="s">
        <v>19316</v>
      </c>
      <c r="I53" s="22" t="s">
        <v>19309</v>
      </c>
      <c r="J53" s="22" t="s">
        <v>19335</v>
      </c>
      <c r="K53" s="22" t="s">
        <v>19326</v>
      </c>
      <c r="L53" s="22"/>
      <c r="M53" s="22"/>
      <c r="N53" s="25" t="str">
        <f>HYPERLINK("http://slimages.macys.com/is/image/MCY/21850603 ")</f>
        <v xml:space="preserve">http://slimages.macys.com/is/image/MCY/21850603 </v>
      </c>
    </row>
    <row r="54" spans="1:14" ht="24.75" x14ac:dyDescent="0.25">
      <c r="A54" s="21" t="s">
        <v>14521</v>
      </c>
      <c r="B54" s="22" t="s">
        <v>14522</v>
      </c>
      <c r="C54" s="2">
        <v>1</v>
      </c>
      <c r="D54" s="23">
        <v>55</v>
      </c>
      <c r="E54" s="3">
        <v>55</v>
      </c>
      <c r="F54" s="2">
        <v>321865672001</v>
      </c>
      <c r="G54" s="22" t="s">
        <v>19342</v>
      </c>
      <c r="H54" s="24" t="s">
        <v>19392</v>
      </c>
      <c r="I54" s="22" t="s">
        <v>19309</v>
      </c>
      <c r="J54" s="22" t="s">
        <v>19335</v>
      </c>
      <c r="K54" s="22" t="s">
        <v>19326</v>
      </c>
      <c r="L54" s="22"/>
      <c r="M54" s="22"/>
      <c r="N54" s="25" t="str">
        <f>HYPERLINK("http://slimages.macys.com/is/image/MCY/21468138 ")</f>
        <v xml:space="preserve">http://slimages.macys.com/is/image/MCY/21468138 </v>
      </c>
    </row>
    <row r="55" spans="1:14" ht="24.75" x14ac:dyDescent="0.25">
      <c r="A55" s="21" t="s">
        <v>14523</v>
      </c>
      <c r="B55" s="22" t="s">
        <v>14524</v>
      </c>
      <c r="C55" s="2">
        <v>1</v>
      </c>
      <c r="D55" s="23">
        <v>72</v>
      </c>
      <c r="E55" s="3">
        <v>72</v>
      </c>
      <c r="F55" s="2" t="s">
        <v>14525</v>
      </c>
      <c r="G55" s="22" t="s">
        <v>19431</v>
      </c>
      <c r="H55" s="24" t="s">
        <v>18497</v>
      </c>
      <c r="I55" s="22" t="s">
        <v>14376</v>
      </c>
      <c r="J55" s="22" t="s">
        <v>19508</v>
      </c>
      <c r="K55" s="22" t="s">
        <v>14526</v>
      </c>
      <c r="L55" s="22" t="s">
        <v>17554</v>
      </c>
      <c r="M55" s="22" t="s">
        <v>14527</v>
      </c>
      <c r="N55" s="25" t="str">
        <f>HYPERLINK("http://images.bloomingdales.com/is/image/BLM/11988959 ")</f>
        <v xml:space="preserve">http://images.bloomingdales.com/is/image/BLM/11988959 </v>
      </c>
    </row>
    <row r="56" spans="1:14" ht="24.75" x14ac:dyDescent="0.25">
      <c r="A56" s="21" t="s">
        <v>14528</v>
      </c>
      <c r="B56" s="22" t="s">
        <v>14529</v>
      </c>
      <c r="C56" s="2">
        <v>1</v>
      </c>
      <c r="D56" s="23">
        <v>52</v>
      </c>
      <c r="E56" s="3">
        <v>52</v>
      </c>
      <c r="F56" s="2" t="s">
        <v>14530</v>
      </c>
      <c r="G56" s="22" t="s">
        <v>19333</v>
      </c>
      <c r="H56" s="24" t="s">
        <v>19399</v>
      </c>
      <c r="I56" s="22" t="s">
        <v>14376</v>
      </c>
      <c r="J56" s="22" t="s">
        <v>19508</v>
      </c>
      <c r="K56" s="22" t="s">
        <v>14531</v>
      </c>
      <c r="L56" s="22" t="s">
        <v>17554</v>
      </c>
      <c r="M56" s="22" t="s">
        <v>14532</v>
      </c>
      <c r="N56" s="25" t="str">
        <f>HYPERLINK("http://images.bloomingdales.com/is/image/BLM/12055628 ")</f>
        <v xml:space="preserve">http://images.bloomingdales.com/is/image/BLM/12055628 </v>
      </c>
    </row>
    <row r="57" spans="1:14" ht="24.75" x14ac:dyDescent="0.25">
      <c r="A57" s="21" t="s">
        <v>14533</v>
      </c>
      <c r="B57" s="22" t="s">
        <v>14506</v>
      </c>
      <c r="C57" s="2">
        <v>1</v>
      </c>
      <c r="D57" s="23">
        <v>58</v>
      </c>
      <c r="E57" s="3">
        <v>58</v>
      </c>
      <c r="F57" s="2" t="s">
        <v>14534</v>
      </c>
      <c r="G57" s="22" t="s">
        <v>19323</v>
      </c>
      <c r="H57" s="24" t="s">
        <v>19361</v>
      </c>
      <c r="I57" s="22" t="s">
        <v>14376</v>
      </c>
      <c r="J57" s="22" t="s">
        <v>19508</v>
      </c>
      <c r="K57" s="22" t="s">
        <v>14508</v>
      </c>
      <c r="L57" s="22" t="s">
        <v>17554</v>
      </c>
      <c r="M57" s="22" t="s">
        <v>14535</v>
      </c>
      <c r="N57" s="25" t="str">
        <f>HYPERLINK("http://images.bloomingdales.com/is/image/BLM/12208024 ")</f>
        <v xml:space="preserve">http://images.bloomingdales.com/is/image/BLM/12208024 </v>
      </c>
    </row>
    <row r="58" spans="1:14" ht="24.75" x14ac:dyDescent="0.25">
      <c r="A58" s="21" t="s">
        <v>14536</v>
      </c>
      <c r="B58" s="22" t="s">
        <v>14537</v>
      </c>
      <c r="C58" s="2">
        <v>1</v>
      </c>
      <c r="D58" s="23">
        <v>58</v>
      </c>
      <c r="E58" s="3">
        <v>58</v>
      </c>
      <c r="F58" s="2" t="s">
        <v>14538</v>
      </c>
      <c r="G58" s="22" t="s">
        <v>19404</v>
      </c>
      <c r="H58" s="24" t="s">
        <v>19395</v>
      </c>
      <c r="I58" s="22" t="s">
        <v>14376</v>
      </c>
      <c r="J58" s="22" t="s">
        <v>19559</v>
      </c>
      <c r="K58" s="22" t="s">
        <v>14508</v>
      </c>
      <c r="L58" s="22" t="s">
        <v>17554</v>
      </c>
      <c r="M58" s="22" t="s">
        <v>14539</v>
      </c>
      <c r="N58" s="25" t="str">
        <f>HYPERLINK("http://images.bloomingdales.com/is/image/BLM/12174304 ")</f>
        <v xml:space="preserve">http://images.bloomingdales.com/is/image/BLM/12174304 </v>
      </c>
    </row>
    <row r="59" spans="1:14" ht="24.75" x14ac:dyDescent="0.25">
      <c r="A59" s="21" t="s">
        <v>14540</v>
      </c>
      <c r="B59" s="22" t="s">
        <v>14541</v>
      </c>
      <c r="C59" s="2">
        <v>1</v>
      </c>
      <c r="D59" s="23">
        <v>52</v>
      </c>
      <c r="E59" s="3">
        <v>52</v>
      </c>
      <c r="F59" s="2" t="s">
        <v>14542</v>
      </c>
      <c r="G59" s="22" t="s">
        <v>19498</v>
      </c>
      <c r="H59" s="24" t="s">
        <v>19501</v>
      </c>
      <c r="I59" s="22" t="s">
        <v>14376</v>
      </c>
      <c r="J59" s="22" t="s">
        <v>19508</v>
      </c>
      <c r="K59" s="22" t="s">
        <v>14543</v>
      </c>
      <c r="L59" s="22" t="s">
        <v>17554</v>
      </c>
      <c r="M59" s="22" t="s">
        <v>14544</v>
      </c>
      <c r="N59" s="25" t="str">
        <f>HYPERLINK("http://images.bloomingdales.com/is/image/BLM/11925542 ")</f>
        <v xml:space="preserve">http://images.bloomingdales.com/is/image/BLM/11925542 </v>
      </c>
    </row>
    <row r="60" spans="1:14" ht="24.75" x14ac:dyDescent="0.25">
      <c r="A60" s="21" t="s">
        <v>14545</v>
      </c>
      <c r="B60" s="22" t="s">
        <v>14546</v>
      </c>
      <c r="C60" s="2">
        <v>1</v>
      </c>
      <c r="D60" s="23">
        <v>52</v>
      </c>
      <c r="E60" s="3">
        <v>52</v>
      </c>
      <c r="F60" s="2" t="s">
        <v>14547</v>
      </c>
      <c r="G60" s="22" t="s">
        <v>19315</v>
      </c>
      <c r="H60" s="24" t="s">
        <v>19399</v>
      </c>
      <c r="I60" s="22" t="s">
        <v>14376</v>
      </c>
      <c r="J60" s="22" t="s">
        <v>19508</v>
      </c>
      <c r="K60" s="22" t="s">
        <v>14543</v>
      </c>
      <c r="L60" s="22" t="s">
        <v>17554</v>
      </c>
      <c r="M60" s="22" t="s">
        <v>14548</v>
      </c>
      <c r="N60" s="25" t="str">
        <f>HYPERLINK("http://images.bloomingdales.com/is/image/BLM/12279631 ")</f>
        <v xml:space="preserve">http://images.bloomingdales.com/is/image/BLM/12279631 </v>
      </c>
    </row>
    <row r="61" spans="1:14" ht="24.75" x14ac:dyDescent="0.25">
      <c r="A61" s="21" t="s">
        <v>14549</v>
      </c>
      <c r="B61" s="22" t="s">
        <v>14550</v>
      </c>
      <c r="C61" s="2">
        <v>2</v>
      </c>
      <c r="D61" s="23">
        <v>50</v>
      </c>
      <c r="E61" s="3">
        <v>100</v>
      </c>
      <c r="F61" s="2" t="s">
        <v>14551</v>
      </c>
      <c r="G61" s="22" t="s">
        <v>19315</v>
      </c>
      <c r="H61" s="24" t="s">
        <v>19399</v>
      </c>
      <c r="I61" s="22" t="s">
        <v>14376</v>
      </c>
      <c r="J61" s="22" t="s">
        <v>19508</v>
      </c>
      <c r="K61" s="22" t="s">
        <v>14543</v>
      </c>
      <c r="L61" s="22" t="s">
        <v>17554</v>
      </c>
      <c r="M61" s="22" t="s">
        <v>14552</v>
      </c>
      <c r="N61" s="25" t="str">
        <f>HYPERLINK("http://images.bloomingdales.com/is/image/BLM/12179546 ")</f>
        <v xml:space="preserve">http://images.bloomingdales.com/is/image/BLM/12179546 </v>
      </c>
    </row>
    <row r="62" spans="1:14" ht="24.75" x14ac:dyDescent="0.25">
      <c r="A62" s="21" t="s">
        <v>14553</v>
      </c>
      <c r="B62" s="22" t="s">
        <v>14554</v>
      </c>
      <c r="C62" s="2">
        <v>1</v>
      </c>
      <c r="D62" s="23">
        <v>59.5</v>
      </c>
      <c r="E62" s="3">
        <v>59.5</v>
      </c>
      <c r="F62" s="2" t="s">
        <v>14555</v>
      </c>
      <c r="G62" s="22" t="s">
        <v>19333</v>
      </c>
      <c r="H62" s="24" t="s">
        <v>14556</v>
      </c>
      <c r="I62" s="22" t="s">
        <v>14376</v>
      </c>
      <c r="J62" s="22" t="s">
        <v>19559</v>
      </c>
      <c r="K62" s="22" t="s">
        <v>14557</v>
      </c>
      <c r="L62" s="22" t="s">
        <v>15833</v>
      </c>
      <c r="M62" s="22" t="s">
        <v>14558</v>
      </c>
      <c r="N62" s="25" t="str">
        <f>HYPERLINK("http://images.bloomingdales.com/is/image/BLM/12080750 ")</f>
        <v xml:space="preserve">http://images.bloomingdales.com/is/image/BLM/12080750 </v>
      </c>
    </row>
    <row r="63" spans="1:14" ht="24.75" x14ac:dyDescent="0.25">
      <c r="A63" s="21" t="s">
        <v>14559</v>
      </c>
      <c r="B63" s="22" t="s">
        <v>14560</v>
      </c>
      <c r="C63" s="2">
        <v>1</v>
      </c>
      <c r="D63" s="23">
        <v>49.5</v>
      </c>
      <c r="E63" s="3">
        <v>49.5</v>
      </c>
      <c r="F63" s="2">
        <v>323871506001</v>
      </c>
      <c r="G63" s="22" t="s">
        <v>19357</v>
      </c>
      <c r="H63" s="24" t="s">
        <v>19399</v>
      </c>
      <c r="I63" s="22" t="s">
        <v>19309</v>
      </c>
      <c r="J63" s="22" t="s">
        <v>19335</v>
      </c>
      <c r="K63" s="22" t="s">
        <v>19326</v>
      </c>
      <c r="L63" s="22"/>
      <c r="M63" s="22"/>
      <c r="N63" s="25" t="str">
        <f>HYPERLINK("http://slimages.macys.com/is/image/MCY/21850697 ")</f>
        <v xml:space="preserve">http://slimages.macys.com/is/image/MCY/21850697 </v>
      </c>
    </row>
    <row r="64" spans="1:14" ht="24.75" x14ac:dyDescent="0.25">
      <c r="A64" s="21" t="s">
        <v>14561</v>
      </c>
      <c r="B64" s="22" t="s">
        <v>14562</v>
      </c>
      <c r="C64" s="2">
        <v>1</v>
      </c>
      <c r="D64" s="23">
        <v>49.5</v>
      </c>
      <c r="E64" s="3">
        <v>49.5</v>
      </c>
      <c r="F64" s="2">
        <v>323870759001</v>
      </c>
      <c r="G64" s="22" t="s">
        <v>19342</v>
      </c>
      <c r="H64" s="24" t="s">
        <v>19364</v>
      </c>
      <c r="I64" s="22" t="s">
        <v>19309</v>
      </c>
      <c r="J64" s="22" t="s">
        <v>19335</v>
      </c>
      <c r="K64" s="22" t="s">
        <v>19326</v>
      </c>
      <c r="L64" s="22"/>
      <c r="M64" s="22"/>
      <c r="N64" s="25" t="str">
        <f>HYPERLINK("http://slimages.macys.com/is/image/MCY/21990658 ")</f>
        <v xml:space="preserve">http://slimages.macys.com/is/image/MCY/21990658 </v>
      </c>
    </row>
    <row r="65" spans="1:14" ht="24.75" x14ac:dyDescent="0.25">
      <c r="A65" s="21" t="s">
        <v>14563</v>
      </c>
      <c r="B65" s="22" t="s">
        <v>14564</v>
      </c>
      <c r="C65" s="2">
        <v>1</v>
      </c>
      <c r="D65" s="23">
        <v>49.5</v>
      </c>
      <c r="E65" s="3">
        <v>49.5</v>
      </c>
      <c r="F65" s="2">
        <v>323827688001</v>
      </c>
      <c r="G65" s="22" t="s">
        <v>19879</v>
      </c>
      <c r="H65" s="24" t="s">
        <v>19352</v>
      </c>
      <c r="I65" s="22" t="s">
        <v>14376</v>
      </c>
      <c r="J65" s="22" t="s">
        <v>19559</v>
      </c>
      <c r="K65" s="22" t="s">
        <v>19326</v>
      </c>
      <c r="L65" s="22"/>
      <c r="M65" s="22"/>
      <c r="N65" s="25" t="str">
        <f>HYPERLINK("http://images.bloomingdales.com/is/image/BLM/12493102 ")</f>
        <v xml:space="preserve">http://images.bloomingdales.com/is/image/BLM/12493102 </v>
      </c>
    </row>
    <row r="66" spans="1:14" ht="24.75" x14ac:dyDescent="0.25">
      <c r="A66" s="21" t="s">
        <v>14565</v>
      </c>
      <c r="B66" s="22" t="s">
        <v>14566</v>
      </c>
      <c r="C66" s="2">
        <v>1</v>
      </c>
      <c r="D66" s="23">
        <v>49.5</v>
      </c>
      <c r="E66" s="3">
        <v>49.5</v>
      </c>
      <c r="F66" s="2">
        <v>323870967001</v>
      </c>
      <c r="G66" s="22" t="s">
        <v>19333</v>
      </c>
      <c r="H66" s="24" t="s">
        <v>19364</v>
      </c>
      <c r="I66" s="22" t="s">
        <v>19309</v>
      </c>
      <c r="J66" s="22" t="s">
        <v>19335</v>
      </c>
      <c r="K66" s="22" t="s">
        <v>19326</v>
      </c>
      <c r="L66" s="22"/>
      <c r="M66" s="22"/>
      <c r="N66" s="25" t="str">
        <f>HYPERLINK("http://slimages.macys.com/is/image/MCY/21990635 ")</f>
        <v xml:space="preserve">http://slimages.macys.com/is/image/MCY/21990635 </v>
      </c>
    </row>
    <row r="67" spans="1:14" ht="24.75" x14ac:dyDescent="0.25">
      <c r="A67" s="21" t="s">
        <v>14567</v>
      </c>
      <c r="B67" s="22" t="s">
        <v>14568</v>
      </c>
      <c r="C67" s="2">
        <v>1</v>
      </c>
      <c r="D67" s="23">
        <v>48</v>
      </c>
      <c r="E67" s="3">
        <v>48</v>
      </c>
      <c r="F67" s="2" t="s">
        <v>14569</v>
      </c>
      <c r="G67" s="22"/>
      <c r="H67" s="24"/>
      <c r="I67" s="22" t="s">
        <v>14376</v>
      </c>
      <c r="J67" s="22" t="s">
        <v>19508</v>
      </c>
      <c r="K67" s="22" t="s">
        <v>14531</v>
      </c>
      <c r="L67" s="22" t="s">
        <v>17554</v>
      </c>
      <c r="M67" s="22" t="s">
        <v>14570</v>
      </c>
      <c r="N67" s="25" t="str">
        <f>HYPERLINK("http://images.bloomingdales.com/is/image/BLM/12075051 ")</f>
        <v xml:space="preserve">http://images.bloomingdales.com/is/image/BLM/12075051 </v>
      </c>
    </row>
    <row r="68" spans="1:14" ht="24.75" x14ac:dyDescent="0.25">
      <c r="A68" s="21" t="s">
        <v>14571</v>
      </c>
      <c r="B68" s="22" t="s">
        <v>14568</v>
      </c>
      <c r="C68" s="2">
        <v>1</v>
      </c>
      <c r="D68" s="23">
        <v>48</v>
      </c>
      <c r="E68" s="3">
        <v>48</v>
      </c>
      <c r="F68" s="2" t="s">
        <v>14569</v>
      </c>
      <c r="G68" s="22"/>
      <c r="H68" s="24" t="s">
        <v>19432</v>
      </c>
      <c r="I68" s="22" t="s">
        <v>14376</v>
      </c>
      <c r="J68" s="22" t="s">
        <v>19508</v>
      </c>
      <c r="K68" s="22" t="s">
        <v>14531</v>
      </c>
      <c r="L68" s="22" t="s">
        <v>17554</v>
      </c>
      <c r="M68" s="22" t="s">
        <v>14570</v>
      </c>
      <c r="N68" s="25" t="str">
        <f>HYPERLINK("http://images.bloomingdales.com/is/image/BLM/12075051 ")</f>
        <v xml:space="preserve">http://images.bloomingdales.com/is/image/BLM/12075051 </v>
      </c>
    </row>
    <row r="69" spans="1:14" ht="24.75" x14ac:dyDescent="0.25">
      <c r="A69" s="21" t="s">
        <v>14572</v>
      </c>
      <c r="B69" s="22" t="s">
        <v>14573</v>
      </c>
      <c r="C69" s="2">
        <v>1</v>
      </c>
      <c r="D69" s="23">
        <v>48</v>
      </c>
      <c r="E69" s="3">
        <v>48</v>
      </c>
      <c r="F69" s="2" t="s">
        <v>14574</v>
      </c>
      <c r="G69" s="22" t="s">
        <v>19323</v>
      </c>
      <c r="H69" s="24" t="s">
        <v>14575</v>
      </c>
      <c r="I69" s="22" t="s">
        <v>14376</v>
      </c>
      <c r="J69" s="22" t="s">
        <v>19325</v>
      </c>
      <c r="K69" s="22" t="s">
        <v>14508</v>
      </c>
      <c r="L69" s="22" t="s">
        <v>17554</v>
      </c>
      <c r="M69" s="22" t="s">
        <v>14509</v>
      </c>
      <c r="N69" s="25" t="str">
        <f>HYPERLINK("http://images.bloomingdales.com/is/image/BLM/12181025 ")</f>
        <v xml:space="preserve">http://images.bloomingdales.com/is/image/BLM/12181025 </v>
      </c>
    </row>
    <row r="70" spans="1:14" ht="24.75" x14ac:dyDescent="0.25">
      <c r="A70" s="21" t="s">
        <v>14576</v>
      </c>
      <c r="B70" s="22" t="s">
        <v>14568</v>
      </c>
      <c r="C70" s="2">
        <v>1</v>
      </c>
      <c r="D70" s="23">
        <v>48</v>
      </c>
      <c r="E70" s="3">
        <v>48</v>
      </c>
      <c r="F70" s="2" t="s">
        <v>14577</v>
      </c>
      <c r="G70" s="22" t="s">
        <v>19431</v>
      </c>
      <c r="H70" s="24"/>
      <c r="I70" s="22" t="s">
        <v>14376</v>
      </c>
      <c r="J70" s="22" t="s">
        <v>19508</v>
      </c>
      <c r="K70" s="22" t="s">
        <v>14531</v>
      </c>
      <c r="L70" s="22" t="s">
        <v>17554</v>
      </c>
      <c r="M70" s="22" t="s">
        <v>14532</v>
      </c>
      <c r="N70" s="25" t="str">
        <f>HYPERLINK("http://images.bloomingdales.com/is/image/BLM/12075072 ")</f>
        <v xml:space="preserve">http://images.bloomingdales.com/is/image/BLM/12075072 </v>
      </c>
    </row>
    <row r="71" spans="1:14" ht="24.75" x14ac:dyDescent="0.25">
      <c r="A71" s="21" t="s">
        <v>14578</v>
      </c>
      <c r="B71" s="22" t="s">
        <v>14579</v>
      </c>
      <c r="C71" s="2">
        <v>1</v>
      </c>
      <c r="D71" s="23">
        <v>72</v>
      </c>
      <c r="E71" s="3">
        <v>72</v>
      </c>
      <c r="F71" s="2" t="s">
        <v>14580</v>
      </c>
      <c r="G71" s="22" t="s">
        <v>19498</v>
      </c>
      <c r="H71" s="24" t="s">
        <v>19364</v>
      </c>
      <c r="I71" s="22" t="s">
        <v>14376</v>
      </c>
      <c r="J71" s="22" t="s">
        <v>19508</v>
      </c>
      <c r="K71" s="22" t="s">
        <v>14581</v>
      </c>
      <c r="L71" s="22" t="s">
        <v>17554</v>
      </c>
      <c r="M71" s="22" t="s">
        <v>19320</v>
      </c>
      <c r="N71" s="25" t="str">
        <f>HYPERLINK("http://images.bloomingdales.com/is/image/BLM/12074925 ")</f>
        <v xml:space="preserve">http://images.bloomingdales.com/is/image/BLM/12074925 </v>
      </c>
    </row>
    <row r="72" spans="1:14" ht="24.75" x14ac:dyDescent="0.25">
      <c r="A72" s="21" t="s">
        <v>14582</v>
      </c>
      <c r="B72" s="22" t="s">
        <v>14579</v>
      </c>
      <c r="C72" s="2">
        <v>2</v>
      </c>
      <c r="D72" s="23">
        <v>72</v>
      </c>
      <c r="E72" s="3">
        <v>144</v>
      </c>
      <c r="F72" s="2" t="s">
        <v>14580</v>
      </c>
      <c r="G72" s="22" t="s">
        <v>19498</v>
      </c>
      <c r="H72" s="24" t="s">
        <v>19797</v>
      </c>
      <c r="I72" s="22" t="s">
        <v>14376</v>
      </c>
      <c r="J72" s="22" t="s">
        <v>19508</v>
      </c>
      <c r="K72" s="22" t="s">
        <v>14581</v>
      </c>
      <c r="L72" s="22" t="s">
        <v>17554</v>
      </c>
      <c r="M72" s="22" t="s">
        <v>19320</v>
      </c>
      <c r="N72" s="25" t="str">
        <f>HYPERLINK("http://images.bloomingdales.com/is/image/BLM/12074925 ")</f>
        <v xml:space="preserve">http://images.bloomingdales.com/is/image/BLM/12074925 </v>
      </c>
    </row>
    <row r="73" spans="1:14" ht="36.75" x14ac:dyDescent="0.25">
      <c r="A73" s="21" t="s">
        <v>14583</v>
      </c>
      <c r="B73" s="22" t="s">
        <v>14584</v>
      </c>
      <c r="C73" s="2">
        <v>1</v>
      </c>
      <c r="D73" s="23">
        <v>48</v>
      </c>
      <c r="E73" s="3">
        <v>48</v>
      </c>
      <c r="F73" s="2" t="s">
        <v>14585</v>
      </c>
      <c r="G73" s="22" t="s">
        <v>19351</v>
      </c>
      <c r="H73" s="24"/>
      <c r="I73" s="22" t="s">
        <v>14376</v>
      </c>
      <c r="J73" s="22" t="s">
        <v>19508</v>
      </c>
      <c r="K73" s="22" t="s">
        <v>14543</v>
      </c>
      <c r="L73" s="22" t="s">
        <v>17554</v>
      </c>
      <c r="M73" s="22" t="s">
        <v>14586</v>
      </c>
      <c r="N73" s="25" t="str">
        <f>HYPERLINK("http://images.bloomingdales.com/is/image/BLM/12125651 ")</f>
        <v xml:space="preserve">http://images.bloomingdales.com/is/image/BLM/12125651 </v>
      </c>
    </row>
    <row r="74" spans="1:14" ht="24.75" x14ac:dyDescent="0.25">
      <c r="A74" s="21" t="s">
        <v>14587</v>
      </c>
      <c r="B74" s="22" t="s">
        <v>14588</v>
      </c>
      <c r="C74" s="2">
        <v>1</v>
      </c>
      <c r="D74" s="23">
        <v>72</v>
      </c>
      <c r="E74" s="3">
        <v>72</v>
      </c>
      <c r="F74" s="2" t="s">
        <v>14589</v>
      </c>
      <c r="G74" s="22" t="s">
        <v>19307</v>
      </c>
      <c r="H74" s="24" t="s">
        <v>19352</v>
      </c>
      <c r="I74" s="22" t="s">
        <v>14376</v>
      </c>
      <c r="J74" s="22" t="s">
        <v>19508</v>
      </c>
      <c r="K74" s="22" t="s">
        <v>14581</v>
      </c>
      <c r="L74" s="22"/>
      <c r="M74" s="22"/>
      <c r="N74" s="25" t="str">
        <f>HYPERLINK("http://images.bloomingdales.com/is/image/BLM/12347832 ")</f>
        <v xml:space="preserve">http://images.bloomingdales.com/is/image/BLM/12347832 </v>
      </c>
    </row>
    <row r="75" spans="1:14" ht="24.75" x14ac:dyDescent="0.25">
      <c r="A75" s="21" t="s">
        <v>14590</v>
      </c>
      <c r="B75" s="22" t="s">
        <v>14588</v>
      </c>
      <c r="C75" s="2">
        <v>2</v>
      </c>
      <c r="D75" s="23">
        <v>72</v>
      </c>
      <c r="E75" s="3">
        <v>144</v>
      </c>
      <c r="F75" s="2" t="s">
        <v>14589</v>
      </c>
      <c r="G75" s="22" t="s">
        <v>19333</v>
      </c>
      <c r="H75" s="24" t="s">
        <v>19352</v>
      </c>
      <c r="I75" s="22" t="s">
        <v>14376</v>
      </c>
      <c r="J75" s="22" t="s">
        <v>19508</v>
      </c>
      <c r="K75" s="22" t="s">
        <v>14581</v>
      </c>
      <c r="L75" s="22"/>
      <c r="M75" s="22"/>
      <c r="N75" s="25" t="str">
        <f>HYPERLINK("http://images.bloomingdales.com/is/image/BLM/12347832 ")</f>
        <v xml:space="preserve">http://images.bloomingdales.com/is/image/BLM/12347832 </v>
      </c>
    </row>
    <row r="76" spans="1:14" ht="24.75" x14ac:dyDescent="0.25">
      <c r="A76" s="21" t="s">
        <v>14591</v>
      </c>
      <c r="B76" s="22" t="s">
        <v>14592</v>
      </c>
      <c r="C76" s="2">
        <v>1</v>
      </c>
      <c r="D76" s="23">
        <v>52</v>
      </c>
      <c r="E76" s="3">
        <v>52</v>
      </c>
      <c r="F76" s="2" t="s">
        <v>14593</v>
      </c>
      <c r="G76" s="22" t="s">
        <v>19323</v>
      </c>
      <c r="H76" s="24" t="s">
        <v>20232</v>
      </c>
      <c r="I76" s="22" t="s">
        <v>14376</v>
      </c>
      <c r="J76" s="22" t="s">
        <v>19508</v>
      </c>
      <c r="K76" s="22" t="s">
        <v>14508</v>
      </c>
      <c r="L76" s="22" t="s">
        <v>17554</v>
      </c>
      <c r="M76" s="22" t="s">
        <v>14594</v>
      </c>
      <c r="N76" s="25" t="str">
        <f>HYPERLINK("http://images.bloomingdales.com/is/image/BLM/12208042 ")</f>
        <v xml:space="preserve">http://images.bloomingdales.com/is/image/BLM/12208042 </v>
      </c>
    </row>
    <row r="77" spans="1:14" ht="36.75" x14ac:dyDescent="0.25">
      <c r="A77" s="21" t="s">
        <v>14595</v>
      </c>
      <c r="B77" s="22" t="s">
        <v>14596</v>
      </c>
      <c r="C77" s="2">
        <v>1</v>
      </c>
      <c r="D77" s="23">
        <v>68</v>
      </c>
      <c r="E77" s="3">
        <v>68</v>
      </c>
      <c r="F77" s="2" t="s">
        <v>14597</v>
      </c>
      <c r="G77" s="22" t="s">
        <v>19333</v>
      </c>
      <c r="H77" s="24" t="s">
        <v>19352</v>
      </c>
      <c r="I77" s="22" t="s">
        <v>14376</v>
      </c>
      <c r="J77" s="22" t="s">
        <v>19508</v>
      </c>
      <c r="K77" s="22" t="s">
        <v>14581</v>
      </c>
      <c r="L77" s="22" t="s">
        <v>17530</v>
      </c>
      <c r="M77" s="22" t="s">
        <v>14598</v>
      </c>
      <c r="N77" s="25" t="str">
        <f>HYPERLINK("http://images.bloomingdales.com/is/image/BLM/12234791 ")</f>
        <v xml:space="preserve">http://images.bloomingdales.com/is/image/BLM/12234791 </v>
      </c>
    </row>
    <row r="78" spans="1:14" ht="24.75" x14ac:dyDescent="0.25">
      <c r="A78" s="21" t="s">
        <v>14599</v>
      </c>
      <c r="B78" s="22" t="s">
        <v>14600</v>
      </c>
      <c r="C78" s="2">
        <v>1</v>
      </c>
      <c r="D78" s="23">
        <v>68</v>
      </c>
      <c r="E78" s="3">
        <v>68</v>
      </c>
      <c r="F78" s="2" t="s">
        <v>14601</v>
      </c>
      <c r="G78" s="22" t="s">
        <v>19351</v>
      </c>
      <c r="H78" s="24" t="s">
        <v>18497</v>
      </c>
      <c r="I78" s="22" t="s">
        <v>14376</v>
      </c>
      <c r="J78" s="22" t="s">
        <v>19508</v>
      </c>
      <c r="K78" s="22" t="s">
        <v>14581</v>
      </c>
      <c r="L78" s="22" t="s">
        <v>19434</v>
      </c>
      <c r="M78" s="22" t="s">
        <v>14602</v>
      </c>
      <c r="N78" s="25" t="str">
        <f>HYPERLINK("http://images.bloomingdales.com/is/image/BLM/11355721 ")</f>
        <v xml:space="preserve">http://images.bloomingdales.com/is/image/BLM/11355721 </v>
      </c>
    </row>
    <row r="79" spans="1:14" ht="48.75" x14ac:dyDescent="0.25">
      <c r="A79" s="21" t="s">
        <v>14603</v>
      </c>
      <c r="B79" s="22" t="s">
        <v>14604</v>
      </c>
      <c r="C79" s="2">
        <v>1</v>
      </c>
      <c r="D79" s="23">
        <v>59</v>
      </c>
      <c r="E79" s="3">
        <v>59</v>
      </c>
      <c r="F79" s="2" t="s">
        <v>14605</v>
      </c>
      <c r="G79" s="22" t="s">
        <v>19618</v>
      </c>
      <c r="H79" s="24" t="s">
        <v>19395</v>
      </c>
      <c r="I79" s="22" t="s">
        <v>14376</v>
      </c>
      <c r="J79" s="22" t="s">
        <v>19508</v>
      </c>
      <c r="K79" s="22" t="s">
        <v>14500</v>
      </c>
      <c r="L79" s="22" t="s">
        <v>17554</v>
      </c>
      <c r="M79" s="22" t="s">
        <v>14606</v>
      </c>
      <c r="N79" s="25" t="str">
        <f>HYPERLINK("http://images.bloomingdales.com/is/image/BLM/11995159 ")</f>
        <v xml:space="preserve">http://images.bloomingdales.com/is/image/BLM/11995159 </v>
      </c>
    </row>
    <row r="80" spans="1:14" ht="24.75" x14ac:dyDescent="0.25">
      <c r="A80" s="21" t="s">
        <v>14607</v>
      </c>
      <c r="B80" s="22" t="s">
        <v>14608</v>
      </c>
      <c r="C80" s="2">
        <v>1</v>
      </c>
      <c r="D80" s="23">
        <v>68</v>
      </c>
      <c r="E80" s="3">
        <v>68</v>
      </c>
      <c r="F80" s="2" t="s">
        <v>14609</v>
      </c>
      <c r="G80" s="22" t="s">
        <v>19315</v>
      </c>
      <c r="H80" s="24" t="s">
        <v>19352</v>
      </c>
      <c r="I80" s="22" t="s">
        <v>14376</v>
      </c>
      <c r="J80" s="22" t="s">
        <v>19508</v>
      </c>
      <c r="K80" s="22" t="s">
        <v>14581</v>
      </c>
      <c r="L80" s="22" t="s">
        <v>17530</v>
      </c>
      <c r="M80" s="22" t="s">
        <v>14610</v>
      </c>
      <c r="N80" s="25" t="str">
        <f>HYPERLINK("http://images.bloomingdales.com/is/image/BLM/11543226 ")</f>
        <v xml:space="preserve">http://images.bloomingdales.com/is/image/BLM/11543226 </v>
      </c>
    </row>
    <row r="81" spans="1:14" ht="24.75" x14ac:dyDescent="0.25">
      <c r="A81" s="21" t="s">
        <v>14611</v>
      </c>
      <c r="B81" s="22" t="s">
        <v>14612</v>
      </c>
      <c r="C81" s="2">
        <v>1</v>
      </c>
      <c r="D81" s="23">
        <v>68</v>
      </c>
      <c r="E81" s="3">
        <v>68</v>
      </c>
      <c r="F81" s="2" t="s">
        <v>14613</v>
      </c>
      <c r="G81" s="22" t="s">
        <v>19323</v>
      </c>
      <c r="H81" s="24" t="s">
        <v>19352</v>
      </c>
      <c r="I81" s="22" t="s">
        <v>14376</v>
      </c>
      <c r="J81" s="22" t="s">
        <v>19508</v>
      </c>
      <c r="K81" s="22" t="s">
        <v>14494</v>
      </c>
      <c r="L81" s="22"/>
      <c r="M81" s="22"/>
      <c r="N81" s="25" t="str">
        <f>HYPERLINK("http://images.bloomingdales.com/is/image/BLM/12390421 ")</f>
        <v xml:space="preserve">http://images.bloomingdales.com/is/image/BLM/12390421 </v>
      </c>
    </row>
    <row r="82" spans="1:14" ht="24.75" x14ac:dyDescent="0.25">
      <c r="A82" s="21" t="s">
        <v>14614</v>
      </c>
      <c r="B82" s="22" t="s">
        <v>14612</v>
      </c>
      <c r="C82" s="2">
        <v>1</v>
      </c>
      <c r="D82" s="23">
        <v>68</v>
      </c>
      <c r="E82" s="3">
        <v>68</v>
      </c>
      <c r="F82" s="2" t="s">
        <v>14613</v>
      </c>
      <c r="G82" s="22" t="s">
        <v>19323</v>
      </c>
      <c r="H82" s="24" t="s">
        <v>19797</v>
      </c>
      <c r="I82" s="22" t="s">
        <v>14376</v>
      </c>
      <c r="J82" s="22" t="s">
        <v>19508</v>
      </c>
      <c r="K82" s="22" t="s">
        <v>14494</v>
      </c>
      <c r="L82" s="22"/>
      <c r="M82" s="22"/>
      <c r="N82" s="25" t="str">
        <f>HYPERLINK("http://images.bloomingdales.com/is/image/BLM/12390421 ")</f>
        <v xml:space="preserve">http://images.bloomingdales.com/is/image/BLM/12390421 </v>
      </c>
    </row>
    <row r="83" spans="1:14" ht="24.75" x14ac:dyDescent="0.25">
      <c r="A83" s="21" t="s">
        <v>14615</v>
      </c>
      <c r="B83" s="22" t="s">
        <v>14616</v>
      </c>
      <c r="C83" s="2">
        <v>1</v>
      </c>
      <c r="D83" s="23">
        <v>55</v>
      </c>
      <c r="E83" s="3">
        <v>55</v>
      </c>
      <c r="F83" s="2" t="s">
        <v>14617</v>
      </c>
      <c r="G83" s="22" t="s">
        <v>19415</v>
      </c>
      <c r="H83" s="24" t="s">
        <v>19432</v>
      </c>
      <c r="I83" s="22" t="s">
        <v>14376</v>
      </c>
      <c r="J83" s="22" t="s">
        <v>19508</v>
      </c>
      <c r="K83" s="22" t="s">
        <v>14618</v>
      </c>
      <c r="L83" s="22" t="s">
        <v>17554</v>
      </c>
      <c r="M83" s="22" t="s">
        <v>14619</v>
      </c>
      <c r="N83" s="25" t="str">
        <f>HYPERLINK("http://images.bloomingdales.com/is/image/BLM/12221015 ")</f>
        <v xml:space="preserve">http://images.bloomingdales.com/is/image/BLM/12221015 </v>
      </c>
    </row>
    <row r="84" spans="1:14" ht="24.75" x14ac:dyDescent="0.25">
      <c r="A84" s="21" t="s">
        <v>12661</v>
      </c>
      <c r="B84" s="22" t="s">
        <v>12662</v>
      </c>
      <c r="C84" s="2">
        <v>1</v>
      </c>
      <c r="D84" s="23">
        <v>55</v>
      </c>
      <c r="E84" s="3">
        <v>55</v>
      </c>
      <c r="F84" s="2" t="s">
        <v>12663</v>
      </c>
      <c r="G84" s="22" t="s">
        <v>19680</v>
      </c>
      <c r="H84" s="24" t="s">
        <v>19542</v>
      </c>
      <c r="I84" s="22" t="s">
        <v>14376</v>
      </c>
      <c r="J84" s="22" t="s">
        <v>19508</v>
      </c>
      <c r="K84" s="22" t="s">
        <v>14618</v>
      </c>
      <c r="L84" s="22"/>
      <c r="M84" s="22"/>
      <c r="N84" s="25" t="str">
        <f>HYPERLINK("http://images.bloomingdales.com/is/image/BLM/12400351 ")</f>
        <v xml:space="preserve">http://images.bloomingdales.com/is/image/BLM/12400351 </v>
      </c>
    </row>
    <row r="85" spans="1:14" ht="24.75" x14ac:dyDescent="0.25">
      <c r="A85" s="21" t="s">
        <v>12664</v>
      </c>
      <c r="B85" s="22" t="s">
        <v>14612</v>
      </c>
      <c r="C85" s="2">
        <v>1</v>
      </c>
      <c r="D85" s="23">
        <v>68</v>
      </c>
      <c r="E85" s="3">
        <v>68</v>
      </c>
      <c r="F85" s="2" t="s">
        <v>12665</v>
      </c>
      <c r="G85" s="22" t="s">
        <v>19383</v>
      </c>
      <c r="H85" s="24" t="s">
        <v>19364</v>
      </c>
      <c r="I85" s="22" t="s">
        <v>14376</v>
      </c>
      <c r="J85" s="22" t="s">
        <v>19508</v>
      </c>
      <c r="K85" s="22" t="s">
        <v>14494</v>
      </c>
      <c r="L85" s="22"/>
      <c r="M85" s="22"/>
      <c r="N85" s="25" t="str">
        <f>HYPERLINK("http://images.bloomingdales.com/is/image/BLM/12347659 ")</f>
        <v xml:space="preserve">http://images.bloomingdales.com/is/image/BLM/12347659 </v>
      </c>
    </row>
    <row r="86" spans="1:14" ht="24.75" x14ac:dyDescent="0.25">
      <c r="A86" s="21" t="s">
        <v>12666</v>
      </c>
      <c r="B86" s="22" t="s">
        <v>12667</v>
      </c>
      <c r="C86" s="2">
        <v>1</v>
      </c>
      <c r="D86" s="23">
        <v>68</v>
      </c>
      <c r="E86" s="3">
        <v>68</v>
      </c>
      <c r="F86" s="2" t="s">
        <v>12668</v>
      </c>
      <c r="G86" s="22" t="s">
        <v>19404</v>
      </c>
      <c r="H86" s="24" t="s">
        <v>19364</v>
      </c>
      <c r="I86" s="22" t="s">
        <v>14376</v>
      </c>
      <c r="J86" s="22" t="s">
        <v>19508</v>
      </c>
      <c r="K86" s="22" t="s">
        <v>14581</v>
      </c>
      <c r="L86" s="22" t="s">
        <v>17554</v>
      </c>
      <c r="M86" s="22" t="s">
        <v>19320</v>
      </c>
      <c r="N86" s="25" t="str">
        <f>HYPERLINK("http://images.bloomingdales.com/is/image/BLM/12074882 ")</f>
        <v xml:space="preserve">http://images.bloomingdales.com/is/image/BLM/12074882 </v>
      </c>
    </row>
    <row r="87" spans="1:14" ht="24.75" x14ac:dyDescent="0.25">
      <c r="A87" s="21" t="s">
        <v>12669</v>
      </c>
      <c r="B87" s="22" t="s">
        <v>14612</v>
      </c>
      <c r="C87" s="2">
        <v>1</v>
      </c>
      <c r="D87" s="23">
        <v>68</v>
      </c>
      <c r="E87" s="3">
        <v>68</v>
      </c>
      <c r="F87" s="2" t="s">
        <v>12665</v>
      </c>
      <c r="G87" s="22" t="s">
        <v>19383</v>
      </c>
      <c r="H87" s="24"/>
      <c r="I87" s="22" t="s">
        <v>14376</v>
      </c>
      <c r="J87" s="22" t="s">
        <v>19508</v>
      </c>
      <c r="K87" s="22" t="s">
        <v>14494</v>
      </c>
      <c r="L87" s="22"/>
      <c r="M87" s="22"/>
      <c r="N87" s="25" t="str">
        <f>HYPERLINK("http://images.bloomingdales.com/is/image/BLM/12347659 ")</f>
        <v xml:space="preserve">http://images.bloomingdales.com/is/image/BLM/12347659 </v>
      </c>
    </row>
    <row r="88" spans="1:14" ht="24.75" x14ac:dyDescent="0.25">
      <c r="A88" s="21" t="s">
        <v>12670</v>
      </c>
      <c r="B88" s="22" t="s">
        <v>12671</v>
      </c>
      <c r="C88" s="2">
        <v>1</v>
      </c>
      <c r="D88" s="23">
        <v>45</v>
      </c>
      <c r="E88" s="3">
        <v>45</v>
      </c>
      <c r="F88" s="2">
        <v>321870759001</v>
      </c>
      <c r="G88" s="22" t="s">
        <v>19342</v>
      </c>
      <c r="H88" s="24" t="s">
        <v>19345</v>
      </c>
      <c r="I88" s="22" t="s">
        <v>19309</v>
      </c>
      <c r="J88" s="22" t="s">
        <v>19335</v>
      </c>
      <c r="K88" s="22" t="s">
        <v>19326</v>
      </c>
      <c r="L88" s="22"/>
      <c r="M88" s="22"/>
      <c r="N88" s="25" t="str">
        <f>HYPERLINK("http://slimages.macys.com/is/image/MCY/22155918 ")</f>
        <v xml:space="preserve">http://slimages.macys.com/is/image/MCY/22155918 </v>
      </c>
    </row>
    <row r="89" spans="1:14" ht="24.75" x14ac:dyDescent="0.25">
      <c r="A89" s="21" t="s">
        <v>12672</v>
      </c>
      <c r="B89" s="22" t="s">
        <v>12673</v>
      </c>
      <c r="C89" s="2">
        <v>1</v>
      </c>
      <c r="D89" s="23">
        <v>45</v>
      </c>
      <c r="E89" s="3">
        <v>45</v>
      </c>
      <c r="F89" s="2">
        <v>323863948006</v>
      </c>
      <c r="G89" s="22" t="s">
        <v>19333</v>
      </c>
      <c r="H89" s="24" t="s">
        <v>19399</v>
      </c>
      <c r="I89" s="22" t="s">
        <v>19309</v>
      </c>
      <c r="J89" s="22" t="s">
        <v>19335</v>
      </c>
      <c r="K89" s="22" t="s">
        <v>19326</v>
      </c>
      <c r="L89" s="22"/>
      <c r="M89" s="22"/>
      <c r="N89" s="25" t="str">
        <f>HYPERLINK("http://slimages.macys.com/is/image/MCY/21177547 ")</f>
        <v xml:space="preserve">http://slimages.macys.com/is/image/MCY/21177547 </v>
      </c>
    </row>
    <row r="90" spans="1:14" ht="24.75" x14ac:dyDescent="0.25">
      <c r="A90" s="21" t="s">
        <v>12674</v>
      </c>
      <c r="B90" s="22" t="s">
        <v>12675</v>
      </c>
      <c r="C90" s="2">
        <v>1</v>
      </c>
      <c r="D90" s="23">
        <v>45</v>
      </c>
      <c r="E90" s="3">
        <v>45</v>
      </c>
      <c r="F90" s="2">
        <v>321870967001</v>
      </c>
      <c r="G90" s="22" t="s">
        <v>19333</v>
      </c>
      <c r="H90" s="24" t="s">
        <v>19334</v>
      </c>
      <c r="I90" s="22" t="s">
        <v>19309</v>
      </c>
      <c r="J90" s="22" t="s">
        <v>19335</v>
      </c>
      <c r="K90" s="22" t="s">
        <v>19326</v>
      </c>
      <c r="L90" s="22"/>
      <c r="M90" s="22"/>
      <c r="N90" s="25" t="str">
        <f>HYPERLINK("http://slimages.macys.com/is/image/MCY/21850393 ")</f>
        <v xml:space="preserve">http://slimages.macys.com/is/image/MCY/21850393 </v>
      </c>
    </row>
    <row r="91" spans="1:14" ht="24.75" x14ac:dyDescent="0.25">
      <c r="A91" s="21" t="s">
        <v>12676</v>
      </c>
      <c r="B91" s="22" t="s">
        <v>12677</v>
      </c>
      <c r="C91" s="2">
        <v>1</v>
      </c>
      <c r="D91" s="23">
        <v>45</v>
      </c>
      <c r="E91" s="3">
        <v>45</v>
      </c>
      <c r="F91" s="2">
        <v>321870933001</v>
      </c>
      <c r="G91" s="22" t="s">
        <v>19338</v>
      </c>
      <c r="H91" s="24" t="s">
        <v>19334</v>
      </c>
      <c r="I91" s="22" t="s">
        <v>19309</v>
      </c>
      <c r="J91" s="22" t="s">
        <v>19335</v>
      </c>
      <c r="K91" s="22" t="s">
        <v>19326</v>
      </c>
      <c r="L91" s="22"/>
      <c r="M91" s="22"/>
      <c r="N91" s="25" t="str">
        <f>HYPERLINK("http://slimages.macys.com/is/image/MCY/21850336 ")</f>
        <v xml:space="preserve">http://slimages.macys.com/is/image/MCY/21850336 </v>
      </c>
    </row>
    <row r="92" spans="1:14" ht="24.75" x14ac:dyDescent="0.25">
      <c r="A92" s="21" t="s">
        <v>12678</v>
      </c>
      <c r="B92" s="22" t="s">
        <v>12679</v>
      </c>
      <c r="C92" s="2">
        <v>1</v>
      </c>
      <c r="D92" s="23">
        <v>45</v>
      </c>
      <c r="E92" s="3">
        <v>45</v>
      </c>
      <c r="F92" s="2">
        <v>322785582004</v>
      </c>
      <c r="G92" s="22" t="s">
        <v>19333</v>
      </c>
      <c r="H92" s="24" t="s">
        <v>19361</v>
      </c>
      <c r="I92" s="22" t="s">
        <v>19309</v>
      </c>
      <c r="J92" s="22" t="s">
        <v>19335</v>
      </c>
      <c r="K92" s="22" t="s">
        <v>19326</v>
      </c>
      <c r="L92" s="22" t="s">
        <v>19434</v>
      </c>
      <c r="M92" s="22" t="s">
        <v>19320</v>
      </c>
      <c r="N92" s="25" t="str">
        <f>HYPERLINK("http://images.bloomingdales.com/is/image/BLM/11146920 ")</f>
        <v xml:space="preserve">http://images.bloomingdales.com/is/image/BLM/11146920 </v>
      </c>
    </row>
    <row r="93" spans="1:14" x14ac:dyDescent="0.25">
      <c r="A93" s="21" t="s">
        <v>12680</v>
      </c>
      <c r="B93" s="22" t="s">
        <v>12681</v>
      </c>
      <c r="C93" s="2">
        <v>1</v>
      </c>
      <c r="D93" s="23">
        <v>40.99</v>
      </c>
      <c r="E93" s="3">
        <v>40.99</v>
      </c>
      <c r="F93" s="2" t="s">
        <v>12682</v>
      </c>
      <c r="G93" s="22" t="s">
        <v>19307</v>
      </c>
      <c r="H93" s="24" t="s">
        <v>19339</v>
      </c>
      <c r="I93" s="22" t="s">
        <v>19309</v>
      </c>
      <c r="J93" s="22" t="s">
        <v>19310</v>
      </c>
      <c r="K93" s="22" t="s">
        <v>19311</v>
      </c>
      <c r="L93" s="22" t="s">
        <v>19319</v>
      </c>
      <c r="M93" s="22" t="s">
        <v>19764</v>
      </c>
      <c r="N93" s="25" t="str">
        <f>HYPERLINK("http://slimages.macys.com/is/image/MCY/13386881 ")</f>
        <v xml:space="preserve">http://slimages.macys.com/is/image/MCY/13386881 </v>
      </c>
    </row>
    <row r="94" spans="1:14" ht="36.75" x14ac:dyDescent="0.25">
      <c r="A94" s="21" t="s">
        <v>12683</v>
      </c>
      <c r="B94" s="22" t="s">
        <v>14568</v>
      </c>
      <c r="C94" s="2">
        <v>1</v>
      </c>
      <c r="D94" s="23">
        <v>44</v>
      </c>
      <c r="E94" s="3">
        <v>44</v>
      </c>
      <c r="F94" s="2" t="s">
        <v>12684</v>
      </c>
      <c r="G94" s="22" t="s">
        <v>19431</v>
      </c>
      <c r="H94" s="24" t="s">
        <v>19399</v>
      </c>
      <c r="I94" s="22" t="s">
        <v>14376</v>
      </c>
      <c r="J94" s="22" t="s">
        <v>19508</v>
      </c>
      <c r="K94" s="22" t="s">
        <v>14531</v>
      </c>
      <c r="L94" s="22" t="s">
        <v>17554</v>
      </c>
      <c r="M94" s="22" t="s">
        <v>12685</v>
      </c>
      <c r="N94" s="25" t="str">
        <f>HYPERLINK("http://images.bloomingdales.com/is/image/BLM/11983602 ")</f>
        <v xml:space="preserve">http://images.bloomingdales.com/is/image/BLM/11983602 </v>
      </c>
    </row>
    <row r="95" spans="1:14" ht="36.75" x14ac:dyDescent="0.25">
      <c r="A95" s="21" t="s">
        <v>12686</v>
      </c>
      <c r="B95" s="22" t="s">
        <v>12687</v>
      </c>
      <c r="C95" s="2">
        <v>2</v>
      </c>
      <c r="D95" s="23">
        <v>68</v>
      </c>
      <c r="E95" s="3">
        <v>136</v>
      </c>
      <c r="F95" s="2" t="s">
        <v>12688</v>
      </c>
      <c r="G95" s="22" t="s">
        <v>19333</v>
      </c>
      <c r="H95" s="24" t="s">
        <v>19352</v>
      </c>
      <c r="I95" s="22" t="s">
        <v>14376</v>
      </c>
      <c r="J95" s="22" t="s">
        <v>19508</v>
      </c>
      <c r="K95" s="22" t="s">
        <v>14581</v>
      </c>
      <c r="L95" s="22" t="s">
        <v>17554</v>
      </c>
      <c r="M95" s="22" t="s">
        <v>12689</v>
      </c>
      <c r="N95" s="25" t="str">
        <f>HYPERLINK("http://images.bloomingdales.com/is/image/BLM/12012871 ")</f>
        <v xml:space="preserve">http://images.bloomingdales.com/is/image/BLM/12012871 </v>
      </c>
    </row>
    <row r="96" spans="1:14" ht="36.75" x14ac:dyDescent="0.25">
      <c r="A96" s="21" t="s">
        <v>12690</v>
      </c>
      <c r="B96" s="22" t="s">
        <v>12687</v>
      </c>
      <c r="C96" s="2">
        <v>1</v>
      </c>
      <c r="D96" s="23">
        <v>68</v>
      </c>
      <c r="E96" s="3">
        <v>68</v>
      </c>
      <c r="F96" s="2" t="s">
        <v>12688</v>
      </c>
      <c r="G96" s="22" t="s">
        <v>19333</v>
      </c>
      <c r="H96" s="24" t="s">
        <v>19364</v>
      </c>
      <c r="I96" s="22" t="s">
        <v>14376</v>
      </c>
      <c r="J96" s="22" t="s">
        <v>19508</v>
      </c>
      <c r="K96" s="22" t="s">
        <v>14581</v>
      </c>
      <c r="L96" s="22" t="s">
        <v>17554</v>
      </c>
      <c r="M96" s="22" t="s">
        <v>12689</v>
      </c>
      <c r="N96" s="25" t="str">
        <f>HYPERLINK("http://images.bloomingdales.com/is/image/BLM/12012871 ")</f>
        <v xml:space="preserve">http://images.bloomingdales.com/is/image/BLM/12012871 </v>
      </c>
    </row>
    <row r="97" spans="1:14" ht="24.75" x14ac:dyDescent="0.25">
      <c r="A97" s="21" t="s">
        <v>12691</v>
      </c>
      <c r="B97" s="22" t="s">
        <v>12692</v>
      </c>
      <c r="C97" s="2">
        <v>1</v>
      </c>
      <c r="D97" s="23">
        <v>60</v>
      </c>
      <c r="E97" s="3">
        <v>60</v>
      </c>
      <c r="F97" s="2" t="s">
        <v>12693</v>
      </c>
      <c r="G97" s="22" t="s">
        <v>19357</v>
      </c>
      <c r="H97" s="24" t="s">
        <v>18497</v>
      </c>
      <c r="I97" s="22" t="s">
        <v>14376</v>
      </c>
      <c r="J97" s="22" t="s">
        <v>19508</v>
      </c>
      <c r="K97" s="22" t="s">
        <v>14526</v>
      </c>
      <c r="L97" s="22" t="s">
        <v>17554</v>
      </c>
      <c r="M97" s="22" t="s">
        <v>14482</v>
      </c>
      <c r="N97" s="25" t="str">
        <f>HYPERLINK("http://images.bloomingdales.com/is/image/BLM/11921368 ")</f>
        <v xml:space="preserve">http://images.bloomingdales.com/is/image/BLM/11921368 </v>
      </c>
    </row>
    <row r="98" spans="1:14" ht="24.75" x14ac:dyDescent="0.25">
      <c r="A98" s="21" t="s">
        <v>12694</v>
      </c>
      <c r="B98" s="22" t="s">
        <v>12695</v>
      </c>
      <c r="C98" s="2">
        <v>1</v>
      </c>
      <c r="D98" s="23">
        <v>60</v>
      </c>
      <c r="E98" s="3">
        <v>60</v>
      </c>
      <c r="F98" s="2" t="s">
        <v>12696</v>
      </c>
      <c r="G98" s="22" t="s">
        <v>19333</v>
      </c>
      <c r="H98" s="24" t="s">
        <v>18497</v>
      </c>
      <c r="I98" s="22" t="s">
        <v>14376</v>
      </c>
      <c r="J98" s="22" t="s">
        <v>19508</v>
      </c>
      <c r="K98" s="22" t="s">
        <v>14526</v>
      </c>
      <c r="L98" s="22" t="s">
        <v>17554</v>
      </c>
      <c r="M98" s="22" t="s">
        <v>14482</v>
      </c>
      <c r="N98" s="25" t="str">
        <f>HYPERLINK("http://images.bloomingdales.com/is/image/BLM/11988982 ")</f>
        <v xml:space="preserve">http://images.bloomingdales.com/is/image/BLM/11988982 </v>
      </c>
    </row>
    <row r="99" spans="1:14" ht="24.75" x14ac:dyDescent="0.25">
      <c r="A99" s="21" t="s">
        <v>12697</v>
      </c>
      <c r="B99" s="22" t="s">
        <v>12698</v>
      </c>
      <c r="C99" s="2">
        <v>1</v>
      </c>
      <c r="D99" s="23">
        <v>68</v>
      </c>
      <c r="E99" s="3">
        <v>68</v>
      </c>
      <c r="F99" s="2" t="s">
        <v>12699</v>
      </c>
      <c r="G99" s="22" t="s">
        <v>19404</v>
      </c>
      <c r="H99" s="24" t="s">
        <v>18502</v>
      </c>
      <c r="I99" s="22" t="s">
        <v>14376</v>
      </c>
      <c r="J99" s="22" t="s">
        <v>19508</v>
      </c>
      <c r="K99" s="22" t="s">
        <v>12700</v>
      </c>
      <c r="L99" s="22" t="s">
        <v>17554</v>
      </c>
      <c r="M99" s="22" t="s">
        <v>12701</v>
      </c>
      <c r="N99" s="25" t="str">
        <f>HYPERLINK("http://images.bloomingdales.com/is/image/BLM/11604484 ")</f>
        <v xml:space="preserve">http://images.bloomingdales.com/is/image/BLM/11604484 </v>
      </c>
    </row>
    <row r="100" spans="1:14" ht="24.75" x14ac:dyDescent="0.25">
      <c r="A100" s="21" t="s">
        <v>12702</v>
      </c>
      <c r="B100" s="22" t="s">
        <v>12703</v>
      </c>
      <c r="C100" s="2">
        <v>1</v>
      </c>
      <c r="D100" s="23">
        <v>42</v>
      </c>
      <c r="E100" s="3">
        <v>42</v>
      </c>
      <c r="F100" s="2" t="s">
        <v>12704</v>
      </c>
      <c r="G100" s="22" t="s">
        <v>19333</v>
      </c>
      <c r="H100" s="24" t="s">
        <v>12705</v>
      </c>
      <c r="I100" s="22" t="s">
        <v>14376</v>
      </c>
      <c r="J100" s="22" t="s">
        <v>19508</v>
      </c>
      <c r="K100" s="22" t="s">
        <v>14543</v>
      </c>
      <c r="L100" s="22" t="s">
        <v>17554</v>
      </c>
      <c r="M100" s="22" t="s">
        <v>19320</v>
      </c>
      <c r="N100" s="25" t="str">
        <f>HYPERLINK("http://images.bloomingdales.com/is/image/BLM/12180837 ")</f>
        <v xml:space="preserve">http://images.bloomingdales.com/is/image/BLM/12180837 </v>
      </c>
    </row>
    <row r="101" spans="1:14" ht="24.75" x14ac:dyDescent="0.25">
      <c r="A101" s="21" t="s">
        <v>12706</v>
      </c>
      <c r="B101" s="22" t="s">
        <v>12707</v>
      </c>
      <c r="C101" s="2">
        <v>1</v>
      </c>
      <c r="D101" s="23">
        <v>58</v>
      </c>
      <c r="E101" s="3">
        <v>58</v>
      </c>
      <c r="F101" s="2" t="s">
        <v>12708</v>
      </c>
      <c r="G101" s="22" t="s">
        <v>19315</v>
      </c>
      <c r="H101" s="24" t="s">
        <v>18497</v>
      </c>
      <c r="I101" s="22" t="s">
        <v>14376</v>
      </c>
      <c r="J101" s="22" t="s">
        <v>19508</v>
      </c>
      <c r="K101" s="22" t="s">
        <v>14526</v>
      </c>
      <c r="L101" s="22" t="s">
        <v>17554</v>
      </c>
      <c r="M101" s="22" t="s">
        <v>14482</v>
      </c>
      <c r="N101" s="25" t="str">
        <f>HYPERLINK("http://images.bloomingdales.com/is/image/BLM/12080580 ")</f>
        <v xml:space="preserve">http://images.bloomingdales.com/is/image/BLM/12080580 </v>
      </c>
    </row>
    <row r="102" spans="1:14" ht="24.75" x14ac:dyDescent="0.25">
      <c r="A102" s="21" t="s">
        <v>12709</v>
      </c>
      <c r="B102" s="22" t="s">
        <v>12710</v>
      </c>
      <c r="C102" s="2">
        <v>1</v>
      </c>
      <c r="D102" s="23">
        <v>68</v>
      </c>
      <c r="E102" s="3">
        <v>68</v>
      </c>
      <c r="F102" s="2" t="s">
        <v>12711</v>
      </c>
      <c r="G102" s="22" t="s">
        <v>19431</v>
      </c>
      <c r="H102" s="24" t="s">
        <v>19797</v>
      </c>
      <c r="I102" s="22" t="s">
        <v>14376</v>
      </c>
      <c r="J102" s="22" t="s">
        <v>19508</v>
      </c>
      <c r="K102" s="22" t="s">
        <v>14581</v>
      </c>
      <c r="L102" s="22" t="s">
        <v>19434</v>
      </c>
      <c r="M102" s="22" t="s">
        <v>12712</v>
      </c>
      <c r="N102" s="25" t="str">
        <f>HYPERLINK("http://images.bloomingdales.com/is/image/BLM/11848024 ")</f>
        <v xml:space="preserve">http://images.bloomingdales.com/is/image/BLM/11848024 </v>
      </c>
    </row>
    <row r="103" spans="1:14" ht="24.75" x14ac:dyDescent="0.25">
      <c r="A103" s="21" t="s">
        <v>12713</v>
      </c>
      <c r="B103" s="22" t="s">
        <v>12710</v>
      </c>
      <c r="C103" s="2">
        <v>1</v>
      </c>
      <c r="D103" s="23">
        <v>68</v>
      </c>
      <c r="E103" s="3">
        <v>68</v>
      </c>
      <c r="F103" s="2" t="s">
        <v>12711</v>
      </c>
      <c r="G103" s="22" t="s">
        <v>19431</v>
      </c>
      <c r="H103" s="24" t="s">
        <v>19364</v>
      </c>
      <c r="I103" s="22" t="s">
        <v>14376</v>
      </c>
      <c r="J103" s="22" t="s">
        <v>19508</v>
      </c>
      <c r="K103" s="22" t="s">
        <v>14581</v>
      </c>
      <c r="L103" s="22" t="s">
        <v>19434</v>
      </c>
      <c r="M103" s="22" t="s">
        <v>12712</v>
      </c>
      <c r="N103" s="25" t="str">
        <f>HYPERLINK("http://images.bloomingdales.com/is/image/BLM/11848024 ")</f>
        <v xml:space="preserve">http://images.bloomingdales.com/is/image/BLM/11848024 </v>
      </c>
    </row>
    <row r="104" spans="1:14" ht="24.75" x14ac:dyDescent="0.25">
      <c r="A104" s="21" t="s">
        <v>12714</v>
      </c>
      <c r="B104" s="22" t="s">
        <v>12715</v>
      </c>
      <c r="C104" s="2">
        <v>1</v>
      </c>
      <c r="D104" s="23">
        <v>58</v>
      </c>
      <c r="E104" s="3">
        <v>58</v>
      </c>
      <c r="F104" s="2" t="s">
        <v>12716</v>
      </c>
      <c r="G104" s="22" t="s">
        <v>19333</v>
      </c>
      <c r="H104" s="24" t="s">
        <v>18497</v>
      </c>
      <c r="I104" s="22" t="s">
        <v>14376</v>
      </c>
      <c r="J104" s="22" t="s">
        <v>19508</v>
      </c>
      <c r="K104" s="22" t="s">
        <v>14526</v>
      </c>
      <c r="L104" s="22" t="s">
        <v>17554</v>
      </c>
      <c r="M104" s="22" t="s">
        <v>14482</v>
      </c>
      <c r="N104" s="25" t="str">
        <f>HYPERLINK("http://images.bloomingdales.com/is/image/BLM/11988967 ")</f>
        <v xml:space="preserve">http://images.bloomingdales.com/is/image/BLM/11988967 </v>
      </c>
    </row>
    <row r="105" spans="1:14" x14ac:dyDescent="0.25">
      <c r="A105" s="21" t="s">
        <v>12717</v>
      </c>
      <c r="B105" s="22" t="s">
        <v>12718</v>
      </c>
      <c r="C105" s="2">
        <v>1</v>
      </c>
      <c r="D105" s="23">
        <v>45</v>
      </c>
      <c r="E105" s="3">
        <v>45</v>
      </c>
      <c r="F105" s="2" t="s">
        <v>12719</v>
      </c>
      <c r="G105" s="22" t="s">
        <v>19333</v>
      </c>
      <c r="H105" s="24" t="s">
        <v>12720</v>
      </c>
      <c r="I105" s="22" t="s">
        <v>19309</v>
      </c>
      <c r="J105" s="22" t="s">
        <v>19559</v>
      </c>
      <c r="K105" s="22" t="s">
        <v>12721</v>
      </c>
      <c r="L105" s="22"/>
      <c r="M105" s="22"/>
      <c r="N105" s="25" t="str">
        <f>HYPERLINK("http://slimages.macys.com/is/image/MCY/19784255 ")</f>
        <v xml:space="preserve">http://slimages.macys.com/is/image/MCY/19784255 </v>
      </c>
    </row>
    <row r="106" spans="1:14" x14ac:dyDescent="0.25">
      <c r="A106" s="21" t="s">
        <v>12722</v>
      </c>
      <c r="B106" s="22" t="s">
        <v>12723</v>
      </c>
      <c r="C106" s="2">
        <v>1</v>
      </c>
      <c r="D106" s="23">
        <v>45</v>
      </c>
      <c r="E106" s="3">
        <v>45</v>
      </c>
      <c r="F106" s="2" t="s">
        <v>12724</v>
      </c>
      <c r="G106" s="22" t="s">
        <v>19513</v>
      </c>
      <c r="H106" s="24" t="s">
        <v>12725</v>
      </c>
      <c r="I106" s="22" t="s">
        <v>19309</v>
      </c>
      <c r="J106" s="22" t="s">
        <v>19559</v>
      </c>
      <c r="K106" s="22" t="s">
        <v>12721</v>
      </c>
      <c r="L106" s="22"/>
      <c r="M106" s="22"/>
      <c r="N106" s="25" t="str">
        <f>HYPERLINK("http://slimages.macys.com/is/image/MCY/20846128 ")</f>
        <v xml:space="preserve">http://slimages.macys.com/is/image/MCY/20846128 </v>
      </c>
    </row>
    <row r="107" spans="1:14" ht="24.75" x14ac:dyDescent="0.25">
      <c r="A107" s="21" t="s">
        <v>12726</v>
      </c>
      <c r="B107" s="22" t="s">
        <v>12727</v>
      </c>
      <c r="C107" s="2">
        <v>1</v>
      </c>
      <c r="D107" s="23">
        <v>45</v>
      </c>
      <c r="E107" s="3">
        <v>45</v>
      </c>
      <c r="F107" s="2">
        <v>1366307</v>
      </c>
      <c r="G107" s="22" t="s">
        <v>19357</v>
      </c>
      <c r="H107" s="24" t="s">
        <v>19339</v>
      </c>
      <c r="I107" s="22" t="s">
        <v>19309</v>
      </c>
      <c r="J107" s="22" t="s">
        <v>19310</v>
      </c>
      <c r="K107" s="22" t="s">
        <v>17686</v>
      </c>
      <c r="L107" s="22"/>
      <c r="M107" s="22"/>
      <c r="N107" s="25" t="str">
        <f>HYPERLINK("http://slimages.macys.com/is/image/MCY/19978704 ")</f>
        <v xml:space="preserve">http://slimages.macys.com/is/image/MCY/19978704 </v>
      </c>
    </row>
    <row r="108" spans="1:14" x14ac:dyDescent="0.25">
      <c r="A108" s="21" t="s">
        <v>12728</v>
      </c>
      <c r="B108" s="22" t="s">
        <v>12729</v>
      </c>
      <c r="C108" s="2">
        <v>1</v>
      </c>
      <c r="D108" s="23">
        <v>45</v>
      </c>
      <c r="E108" s="3">
        <v>45</v>
      </c>
      <c r="F108" s="2">
        <v>7100700</v>
      </c>
      <c r="G108" s="22" t="s">
        <v>19351</v>
      </c>
      <c r="H108" s="24" t="s">
        <v>12705</v>
      </c>
      <c r="I108" s="22" t="s">
        <v>14376</v>
      </c>
      <c r="J108" s="22" t="s">
        <v>19559</v>
      </c>
      <c r="K108" s="22" t="s">
        <v>12730</v>
      </c>
      <c r="L108" s="22" t="s">
        <v>17530</v>
      </c>
      <c r="M108" s="22" t="s">
        <v>17531</v>
      </c>
      <c r="N108" s="25" t="str">
        <f>HYPERLINK("http://images.bloomingdales.com/is/image/BLM/12060097 ")</f>
        <v xml:space="preserve">http://images.bloomingdales.com/is/image/BLM/12060097 </v>
      </c>
    </row>
    <row r="109" spans="1:14" ht="24.75" x14ac:dyDescent="0.25">
      <c r="A109" s="21" t="s">
        <v>12731</v>
      </c>
      <c r="B109" s="22" t="s">
        <v>12732</v>
      </c>
      <c r="C109" s="2">
        <v>1</v>
      </c>
      <c r="D109" s="23">
        <v>39.5</v>
      </c>
      <c r="E109" s="3">
        <v>39.5</v>
      </c>
      <c r="F109" s="2">
        <v>323867158073</v>
      </c>
      <c r="G109" s="22" t="s">
        <v>19338</v>
      </c>
      <c r="H109" s="24" t="s">
        <v>19352</v>
      </c>
      <c r="I109" s="22" t="s">
        <v>19309</v>
      </c>
      <c r="J109" s="22" t="s">
        <v>19335</v>
      </c>
      <c r="K109" s="22" t="s">
        <v>19326</v>
      </c>
      <c r="L109" s="22"/>
      <c r="M109" s="22"/>
      <c r="N109" s="25" t="str">
        <f>HYPERLINK("http://slimages.macys.com/is/image/MCY/22268943 ")</f>
        <v xml:space="preserve">http://slimages.macys.com/is/image/MCY/22268943 </v>
      </c>
    </row>
    <row r="110" spans="1:14" ht="24.75" x14ac:dyDescent="0.25">
      <c r="A110" s="21" t="s">
        <v>19359</v>
      </c>
      <c r="B110" s="22" t="s">
        <v>19360</v>
      </c>
      <c r="C110" s="2">
        <v>1</v>
      </c>
      <c r="D110" s="23">
        <v>39.5</v>
      </c>
      <c r="E110" s="3">
        <v>39.5</v>
      </c>
      <c r="F110" s="2">
        <v>322866776015</v>
      </c>
      <c r="G110" s="22" t="s">
        <v>19351</v>
      </c>
      <c r="H110" s="24" t="s">
        <v>19361</v>
      </c>
      <c r="I110" s="22" t="s">
        <v>19309</v>
      </c>
      <c r="J110" s="22" t="s">
        <v>19335</v>
      </c>
      <c r="K110" s="22" t="s">
        <v>19326</v>
      </c>
      <c r="L110" s="22"/>
      <c r="M110" s="22"/>
      <c r="N110" s="25" t="str">
        <f>HYPERLINK("http://slimages.macys.com/is/image/MCY/22268722 ")</f>
        <v xml:space="preserve">http://slimages.macys.com/is/image/MCY/22268722 </v>
      </c>
    </row>
    <row r="111" spans="1:14" ht="24.75" x14ac:dyDescent="0.25">
      <c r="A111" s="21" t="s">
        <v>12733</v>
      </c>
      <c r="B111" s="22" t="s">
        <v>12734</v>
      </c>
      <c r="C111" s="2">
        <v>1</v>
      </c>
      <c r="D111" s="23">
        <v>39.5</v>
      </c>
      <c r="E111" s="3">
        <v>39.5</v>
      </c>
      <c r="F111" s="2">
        <v>323867158051</v>
      </c>
      <c r="G111" s="22" t="s">
        <v>19338</v>
      </c>
      <c r="H111" s="24" t="s">
        <v>19308</v>
      </c>
      <c r="I111" s="22" t="s">
        <v>19309</v>
      </c>
      <c r="J111" s="22" t="s">
        <v>19335</v>
      </c>
      <c r="K111" s="22" t="s">
        <v>19326</v>
      </c>
      <c r="L111" s="22"/>
      <c r="M111" s="22"/>
      <c r="N111" s="25" t="str">
        <f>HYPERLINK("http://slimages.macys.com/is/image/MCY/21997267 ")</f>
        <v xml:space="preserve">http://slimages.macys.com/is/image/MCY/21997267 </v>
      </c>
    </row>
    <row r="112" spans="1:14" x14ac:dyDescent="0.25">
      <c r="A112" s="21" t="s">
        <v>12735</v>
      </c>
      <c r="B112" s="22" t="s">
        <v>12736</v>
      </c>
      <c r="C112" s="2">
        <v>1</v>
      </c>
      <c r="D112" s="23">
        <v>44</v>
      </c>
      <c r="E112" s="3">
        <v>44</v>
      </c>
      <c r="F112" s="2">
        <v>90964</v>
      </c>
      <c r="G112" s="22" t="s">
        <v>19415</v>
      </c>
      <c r="H112" s="24" t="s">
        <v>20159</v>
      </c>
      <c r="I112" s="22" t="s">
        <v>14376</v>
      </c>
      <c r="J112" s="22" t="s">
        <v>19417</v>
      </c>
      <c r="K112" s="22" t="s">
        <v>14504</v>
      </c>
      <c r="L112" s="22" t="s">
        <v>17554</v>
      </c>
      <c r="M112" s="22" t="s">
        <v>17531</v>
      </c>
      <c r="N112" s="25" t="str">
        <f>HYPERLINK("http://images.bloomingdales.com/is/image/BLM/11328694 ")</f>
        <v xml:space="preserve">http://images.bloomingdales.com/is/image/BLM/11328694 </v>
      </c>
    </row>
    <row r="113" spans="1:14" ht="24.75" x14ac:dyDescent="0.25">
      <c r="A113" s="21" t="s">
        <v>12737</v>
      </c>
      <c r="B113" s="22" t="s">
        <v>12738</v>
      </c>
      <c r="C113" s="2">
        <v>1</v>
      </c>
      <c r="D113" s="23">
        <v>44</v>
      </c>
      <c r="E113" s="3">
        <v>44</v>
      </c>
      <c r="F113" s="2" t="s">
        <v>12739</v>
      </c>
      <c r="G113" s="22" t="s">
        <v>19528</v>
      </c>
      <c r="H113" s="24" t="s">
        <v>19399</v>
      </c>
      <c r="I113" s="22" t="s">
        <v>14376</v>
      </c>
      <c r="J113" s="22" t="s">
        <v>19508</v>
      </c>
      <c r="K113" s="22" t="s">
        <v>14508</v>
      </c>
      <c r="L113" s="22" t="s">
        <v>17554</v>
      </c>
      <c r="M113" s="22" t="s">
        <v>12740</v>
      </c>
      <c r="N113" s="25" t="str">
        <f>HYPERLINK("http://images.bloomingdales.com/is/image/BLM/12086018 ")</f>
        <v xml:space="preserve">http://images.bloomingdales.com/is/image/BLM/12086018 </v>
      </c>
    </row>
    <row r="114" spans="1:14" ht="24.75" x14ac:dyDescent="0.25">
      <c r="A114" s="21" t="s">
        <v>12741</v>
      </c>
      <c r="B114" s="22" t="s">
        <v>12738</v>
      </c>
      <c r="C114" s="2">
        <v>1</v>
      </c>
      <c r="D114" s="23">
        <v>44</v>
      </c>
      <c r="E114" s="3">
        <v>44</v>
      </c>
      <c r="F114" s="2" t="s">
        <v>12739</v>
      </c>
      <c r="G114" s="22" t="s">
        <v>19528</v>
      </c>
      <c r="H114" s="24" t="s">
        <v>19432</v>
      </c>
      <c r="I114" s="22" t="s">
        <v>14376</v>
      </c>
      <c r="J114" s="22" t="s">
        <v>19508</v>
      </c>
      <c r="K114" s="22" t="s">
        <v>14508</v>
      </c>
      <c r="L114" s="22" t="s">
        <v>17554</v>
      </c>
      <c r="M114" s="22" t="s">
        <v>12740</v>
      </c>
      <c r="N114" s="25" t="str">
        <f>HYPERLINK("http://images.bloomingdales.com/is/image/BLM/12086018 ")</f>
        <v xml:space="preserve">http://images.bloomingdales.com/is/image/BLM/12086018 </v>
      </c>
    </row>
    <row r="115" spans="1:14" ht="24.75" x14ac:dyDescent="0.25">
      <c r="A115" s="21" t="s">
        <v>12742</v>
      </c>
      <c r="B115" s="22" t="s">
        <v>12743</v>
      </c>
      <c r="C115" s="2">
        <v>1</v>
      </c>
      <c r="D115" s="23">
        <v>24.99</v>
      </c>
      <c r="E115" s="3">
        <v>24.99</v>
      </c>
      <c r="F115" s="2" t="s">
        <v>12744</v>
      </c>
      <c r="G115" s="22" t="s">
        <v>19431</v>
      </c>
      <c r="H115" s="24" t="s">
        <v>19308</v>
      </c>
      <c r="I115" s="22" t="s">
        <v>19309</v>
      </c>
      <c r="J115" s="22" t="s">
        <v>19454</v>
      </c>
      <c r="K115" s="22" t="s">
        <v>19354</v>
      </c>
      <c r="L115" s="22"/>
      <c r="M115" s="22"/>
      <c r="N115" s="25" t="str">
        <f>HYPERLINK("http://slimages.macys.com/is/image/MCY/1667507 ")</f>
        <v xml:space="preserve">http://slimages.macys.com/is/image/MCY/1667507 </v>
      </c>
    </row>
    <row r="116" spans="1:14" ht="36.75" x14ac:dyDescent="0.25">
      <c r="A116" s="21" t="s">
        <v>12745</v>
      </c>
      <c r="B116" s="22" t="s">
        <v>12746</v>
      </c>
      <c r="C116" s="2">
        <v>1</v>
      </c>
      <c r="D116" s="23">
        <v>49</v>
      </c>
      <c r="E116" s="3">
        <v>49</v>
      </c>
      <c r="F116" s="2" t="s">
        <v>12747</v>
      </c>
      <c r="G116" s="22" t="s">
        <v>19618</v>
      </c>
      <c r="H116" s="24"/>
      <c r="I116" s="22" t="s">
        <v>14376</v>
      </c>
      <c r="J116" s="22" t="s">
        <v>19508</v>
      </c>
      <c r="K116" s="22" t="s">
        <v>14500</v>
      </c>
      <c r="L116" s="22" t="s">
        <v>17554</v>
      </c>
      <c r="M116" s="22" t="s">
        <v>12748</v>
      </c>
      <c r="N116" s="25" t="str">
        <f>HYPERLINK("http://images.bloomingdales.com/is/image/BLM/12160358 ")</f>
        <v xml:space="preserve">http://images.bloomingdales.com/is/image/BLM/12160358 </v>
      </c>
    </row>
    <row r="117" spans="1:14" ht="60.75" x14ac:dyDescent="0.25">
      <c r="A117" s="21" t="s">
        <v>12749</v>
      </c>
      <c r="B117" s="22" t="s">
        <v>12750</v>
      </c>
      <c r="C117" s="2">
        <v>2</v>
      </c>
      <c r="D117" s="23">
        <v>58</v>
      </c>
      <c r="E117" s="3">
        <v>116</v>
      </c>
      <c r="F117" s="2" t="s">
        <v>12751</v>
      </c>
      <c r="G117" s="22" t="s">
        <v>19333</v>
      </c>
      <c r="H117" s="24" t="s">
        <v>19797</v>
      </c>
      <c r="I117" s="22" t="s">
        <v>14376</v>
      </c>
      <c r="J117" s="22" t="s">
        <v>19508</v>
      </c>
      <c r="K117" s="22" t="s">
        <v>14581</v>
      </c>
      <c r="L117" s="22" t="s">
        <v>17554</v>
      </c>
      <c r="M117" s="22" t="s">
        <v>12752</v>
      </c>
      <c r="N117" s="25" t="str">
        <f>HYPERLINK("http://images.bloomingdales.com/is/image/BLM/12224609 ")</f>
        <v xml:space="preserve">http://images.bloomingdales.com/is/image/BLM/12224609 </v>
      </c>
    </row>
    <row r="118" spans="1:14" ht="60.75" x14ac:dyDescent="0.25">
      <c r="A118" s="21" t="s">
        <v>12753</v>
      </c>
      <c r="B118" s="22" t="s">
        <v>12750</v>
      </c>
      <c r="C118" s="2">
        <v>2</v>
      </c>
      <c r="D118" s="23">
        <v>58</v>
      </c>
      <c r="E118" s="3">
        <v>116</v>
      </c>
      <c r="F118" s="2" t="s">
        <v>12751</v>
      </c>
      <c r="G118" s="22" t="s">
        <v>19333</v>
      </c>
      <c r="H118" s="24" t="s">
        <v>19364</v>
      </c>
      <c r="I118" s="22" t="s">
        <v>14376</v>
      </c>
      <c r="J118" s="22" t="s">
        <v>19508</v>
      </c>
      <c r="K118" s="22" t="s">
        <v>14581</v>
      </c>
      <c r="L118" s="22" t="s">
        <v>17554</v>
      </c>
      <c r="M118" s="22" t="s">
        <v>12752</v>
      </c>
      <c r="N118" s="25" t="str">
        <f>HYPERLINK("http://images.bloomingdales.com/is/image/BLM/12224609 ")</f>
        <v xml:space="preserve">http://images.bloomingdales.com/is/image/BLM/12224609 </v>
      </c>
    </row>
    <row r="119" spans="1:14" ht="24.75" x14ac:dyDescent="0.25">
      <c r="A119" s="21" t="s">
        <v>12754</v>
      </c>
      <c r="B119" s="22" t="s">
        <v>12755</v>
      </c>
      <c r="C119" s="2">
        <v>1</v>
      </c>
      <c r="D119" s="23">
        <v>49</v>
      </c>
      <c r="E119" s="3">
        <v>49</v>
      </c>
      <c r="F119" s="2" t="s">
        <v>12756</v>
      </c>
      <c r="G119" s="22" t="s">
        <v>19333</v>
      </c>
      <c r="H119" s="24" t="s">
        <v>19501</v>
      </c>
      <c r="I119" s="22" t="s">
        <v>14376</v>
      </c>
      <c r="J119" s="22" t="s">
        <v>19508</v>
      </c>
      <c r="K119" s="22" t="s">
        <v>14500</v>
      </c>
      <c r="L119" s="22" t="s">
        <v>17554</v>
      </c>
      <c r="M119" s="22" t="s">
        <v>12757</v>
      </c>
      <c r="N119" s="25" t="str">
        <f>HYPERLINK("http://images.bloomingdales.com/is/image/BLM/12246181 ")</f>
        <v xml:space="preserve">http://images.bloomingdales.com/is/image/BLM/12246181 </v>
      </c>
    </row>
    <row r="120" spans="1:14" ht="24.75" x14ac:dyDescent="0.25">
      <c r="A120" s="21" t="s">
        <v>12758</v>
      </c>
      <c r="B120" s="22" t="s">
        <v>12759</v>
      </c>
      <c r="C120" s="2">
        <v>1</v>
      </c>
      <c r="D120" s="23">
        <v>38.99</v>
      </c>
      <c r="E120" s="3">
        <v>38.99</v>
      </c>
      <c r="F120" s="2" t="s">
        <v>12760</v>
      </c>
      <c r="G120" s="22" t="s">
        <v>18821</v>
      </c>
      <c r="H120" s="24" t="s">
        <v>19308</v>
      </c>
      <c r="I120" s="22" t="s">
        <v>19309</v>
      </c>
      <c r="J120" s="22" t="s">
        <v>19310</v>
      </c>
      <c r="K120" s="22" t="s">
        <v>19631</v>
      </c>
      <c r="L120" s="22"/>
      <c r="M120" s="22"/>
      <c r="N120" s="25" t="str">
        <f>HYPERLINK("http://slimages.macys.com/is/image/MCY/21118445 ")</f>
        <v xml:space="preserve">http://slimages.macys.com/is/image/MCY/21118445 </v>
      </c>
    </row>
    <row r="121" spans="1:14" ht="24.75" x14ac:dyDescent="0.25">
      <c r="A121" s="21" t="s">
        <v>12761</v>
      </c>
      <c r="B121" s="22" t="s">
        <v>12762</v>
      </c>
      <c r="C121" s="2">
        <v>2</v>
      </c>
      <c r="D121" s="23">
        <v>58</v>
      </c>
      <c r="E121" s="3">
        <v>116</v>
      </c>
      <c r="F121" s="2" t="s">
        <v>12763</v>
      </c>
      <c r="G121" s="22" t="s">
        <v>19333</v>
      </c>
      <c r="H121" s="24" t="s">
        <v>19352</v>
      </c>
      <c r="I121" s="22" t="s">
        <v>14376</v>
      </c>
      <c r="J121" s="22" t="s">
        <v>19508</v>
      </c>
      <c r="K121" s="22" t="s">
        <v>14581</v>
      </c>
      <c r="L121" s="22" t="s">
        <v>17554</v>
      </c>
      <c r="M121" s="22" t="s">
        <v>12764</v>
      </c>
      <c r="N121" s="25" t="str">
        <f>HYPERLINK("http://images.bloomingdales.com/is/image/BLM/12255497 ")</f>
        <v xml:space="preserve">http://images.bloomingdales.com/is/image/BLM/12255497 </v>
      </c>
    </row>
    <row r="122" spans="1:14" ht="24.75" x14ac:dyDescent="0.25">
      <c r="A122" s="21" t="s">
        <v>12765</v>
      </c>
      <c r="B122" s="22" t="s">
        <v>12762</v>
      </c>
      <c r="C122" s="2">
        <v>2</v>
      </c>
      <c r="D122" s="23">
        <v>58</v>
      </c>
      <c r="E122" s="3">
        <v>116</v>
      </c>
      <c r="F122" s="2" t="s">
        <v>12763</v>
      </c>
      <c r="G122" s="22" t="s">
        <v>19333</v>
      </c>
      <c r="H122" s="24" t="s">
        <v>19364</v>
      </c>
      <c r="I122" s="22" t="s">
        <v>14376</v>
      </c>
      <c r="J122" s="22" t="s">
        <v>19508</v>
      </c>
      <c r="K122" s="22" t="s">
        <v>14581</v>
      </c>
      <c r="L122" s="22" t="s">
        <v>17554</v>
      </c>
      <c r="M122" s="22" t="s">
        <v>12764</v>
      </c>
      <c r="N122" s="25" t="str">
        <f>HYPERLINK("http://images.bloomingdales.com/is/image/BLM/12255497 ")</f>
        <v xml:space="preserve">http://images.bloomingdales.com/is/image/BLM/12255497 </v>
      </c>
    </row>
    <row r="123" spans="1:14" ht="24.75" x14ac:dyDescent="0.25">
      <c r="A123" s="21" t="s">
        <v>12766</v>
      </c>
      <c r="B123" s="22" t="s">
        <v>12767</v>
      </c>
      <c r="C123" s="2">
        <v>1</v>
      </c>
      <c r="D123" s="23">
        <v>58</v>
      </c>
      <c r="E123" s="3">
        <v>58</v>
      </c>
      <c r="F123" s="2" t="s">
        <v>12768</v>
      </c>
      <c r="G123" s="22" t="s">
        <v>19351</v>
      </c>
      <c r="H123" s="24" t="s">
        <v>19364</v>
      </c>
      <c r="I123" s="22" t="s">
        <v>14376</v>
      </c>
      <c r="J123" s="22" t="s">
        <v>19508</v>
      </c>
      <c r="K123" s="22" t="s">
        <v>14581</v>
      </c>
      <c r="L123" s="22" t="s">
        <v>17530</v>
      </c>
      <c r="M123" s="22" t="s">
        <v>17531</v>
      </c>
      <c r="N123" s="25" t="str">
        <f>HYPERLINK("http://images.bloomingdales.com/is/image/BLM/12125629 ")</f>
        <v xml:space="preserve">http://images.bloomingdales.com/is/image/BLM/12125629 </v>
      </c>
    </row>
    <row r="124" spans="1:14" ht="24.75" x14ac:dyDescent="0.25">
      <c r="A124" s="21" t="s">
        <v>12769</v>
      </c>
      <c r="B124" s="22" t="s">
        <v>12770</v>
      </c>
      <c r="C124" s="2">
        <v>1</v>
      </c>
      <c r="D124" s="23">
        <v>58</v>
      </c>
      <c r="E124" s="3">
        <v>58</v>
      </c>
      <c r="F124" s="2" t="s">
        <v>12771</v>
      </c>
      <c r="G124" s="22" t="s">
        <v>19323</v>
      </c>
      <c r="H124" s="24" t="s">
        <v>19352</v>
      </c>
      <c r="I124" s="22" t="s">
        <v>14376</v>
      </c>
      <c r="J124" s="22" t="s">
        <v>19508</v>
      </c>
      <c r="K124" s="22" t="s">
        <v>14494</v>
      </c>
      <c r="L124" s="22" t="s">
        <v>17554</v>
      </c>
      <c r="M124" s="22" t="s">
        <v>14509</v>
      </c>
      <c r="N124" s="25" t="str">
        <f>HYPERLINK("http://images.bloomingdales.com/is/image/BLM/12234830 ")</f>
        <v xml:space="preserve">http://images.bloomingdales.com/is/image/BLM/12234830 </v>
      </c>
    </row>
    <row r="125" spans="1:14" ht="24.75" x14ac:dyDescent="0.25">
      <c r="A125" s="21" t="s">
        <v>12772</v>
      </c>
      <c r="B125" s="22" t="s">
        <v>12762</v>
      </c>
      <c r="C125" s="2">
        <v>1</v>
      </c>
      <c r="D125" s="23">
        <v>58</v>
      </c>
      <c r="E125" s="3">
        <v>58</v>
      </c>
      <c r="F125" s="2" t="s">
        <v>12763</v>
      </c>
      <c r="G125" s="22" t="s">
        <v>19333</v>
      </c>
      <c r="H125" s="24" t="s">
        <v>19797</v>
      </c>
      <c r="I125" s="22" t="s">
        <v>14376</v>
      </c>
      <c r="J125" s="22" t="s">
        <v>19508</v>
      </c>
      <c r="K125" s="22" t="s">
        <v>14581</v>
      </c>
      <c r="L125" s="22" t="s">
        <v>17554</v>
      </c>
      <c r="M125" s="22" t="s">
        <v>12764</v>
      </c>
      <c r="N125" s="25" t="str">
        <f>HYPERLINK("http://images.bloomingdales.com/is/image/BLM/12255497 ")</f>
        <v xml:space="preserve">http://images.bloomingdales.com/is/image/BLM/12255497 </v>
      </c>
    </row>
    <row r="126" spans="1:14" ht="24.75" x14ac:dyDescent="0.25">
      <c r="A126" s="21" t="s">
        <v>12773</v>
      </c>
      <c r="B126" s="22" t="s">
        <v>12774</v>
      </c>
      <c r="C126" s="2">
        <v>1</v>
      </c>
      <c r="D126" s="23">
        <v>49</v>
      </c>
      <c r="E126" s="3">
        <v>49</v>
      </c>
      <c r="F126" s="2" t="s">
        <v>12775</v>
      </c>
      <c r="G126" s="22" t="s">
        <v>19383</v>
      </c>
      <c r="H126" s="24" t="s">
        <v>19364</v>
      </c>
      <c r="I126" s="22" t="s">
        <v>14376</v>
      </c>
      <c r="J126" s="22" t="s">
        <v>19508</v>
      </c>
      <c r="K126" s="22" t="s">
        <v>12776</v>
      </c>
      <c r="L126" s="22"/>
      <c r="M126" s="22"/>
      <c r="N126" s="25" t="str">
        <f>HYPERLINK("http://images.bloomingdales.com/is/image/BLM/12313009 ")</f>
        <v xml:space="preserve">http://images.bloomingdales.com/is/image/BLM/12313009 </v>
      </c>
    </row>
    <row r="127" spans="1:14" ht="24.75" x14ac:dyDescent="0.25">
      <c r="A127" s="21" t="s">
        <v>12777</v>
      </c>
      <c r="B127" s="22" t="s">
        <v>12778</v>
      </c>
      <c r="C127" s="2">
        <v>1</v>
      </c>
      <c r="D127" s="23">
        <v>58</v>
      </c>
      <c r="E127" s="3">
        <v>58</v>
      </c>
      <c r="F127" s="2" t="s">
        <v>12779</v>
      </c>
      <c r="G127" s="22" t="s">
        <v>19315</v>
      </c>
      <c r="H127" s="24" t="s">
        <v>19352</v>
      </c>
      <c r="I127" s="22" t="s">
        <v>14376</v>
      </c>
      <c r="J127" s="22" t="s">
        <v>19508</v>
      </c>
      <c r="K127" s="22" t="s">
        <v>14494</v>
      </c>
      <c r="L127" s="22" t="s">
        <v>17554</v>
      </c>
      <c r="M127" s="22" t="s">
        <v>19320</v>
      </c>
      <c r="N127" s="25" t="str">
        <f>HYPERLINK("http://images.bloomingdales.com/is/image/BLM/11767423 ")</f>
        <v xml:space="preserve">http://images.bloomingdales.com/is/image/BLM/11767423 </v>
      </c>
    </row>
    <row r="128" spans="1:14" ht="24.75" x14ac:dyDescent="0.25">
      <c r="A128" s="21" t="s">
        <v>12780</v>
      </c>
      <c r="B128" s="22" t="s">
        <v>12781</v>
      </c>
      <c r="C128" s="2">
        <v>1</v>
      </c>
      <c r="D128" s="23">
        <v>44.99</v>
      </c>
      <c r="E128" s="3">
        <v>44.99</v>
      </c>
      <c r="F128" s="2" t="s">
        <v>12782</v>
      </c>
      <c r="G128" s="22" t="s">
        <v>19422</v>
      </c>
      <c r="H128" s="24" t="s">
        <v>19416</v>
      </c>
      <c r="I128" s="22" t="s">
        <v>19309</v>
      </c>
      <c r="J128" s="22" t="s">
        <v>19385</v>
      </c>
      <c r="K128" s="22" t="s">
        <v>19386</v>
      </c>
      <c r="L128" s="22"/>
      <c r="M128" s="22"/>
      <c r="N128" s="25" t="str">
        <f>HYPERLINK("http://slimages.macys.com/is/image/MCY/21878268 ")</f>
        <v xml:space="preserve">http://slimages.macys.com/is/image/MCY/21878268 </v>
      </c>
    </row>
    <row r="129" spans="1:14" ht="24.75" x14ac:dyDescent="0.25">
      <c r="A129" s="21" t="s">
        <v>12783</v>
      </c>
      <c r="B129" s="22" t="s">
        <v>12784</v>
      </c>
      <c r="C129" s="2">
        <v>1</v>
      </c>
      <c r="D129" s="23">
        <v>44.99</v>
      </c>
      <c r="E129" s="3">
        <v>44.99</v>
      </c>
      <c r="F129" s="2" t="s">
        <v>12782</v>
      </c>
      <c r="G129" s="22" t="s">
        <v>19422</v>
      </c>
      <c r="H129" s="24" t="s">
        <v>19324</v>
      </c>
      <c r="I129" s="22" t="s">
        <v>19309</v>
      </c>
      <c r="J129" s="22" t="s">
        <v>19385</v>
      </c>
      <c r="K129" s="22" t="s">
        <v>19386</v>
      </c>
      <c r="L129" s="22"/>
      <c r="M129" s="22"/>
      <c r="N129" s="25" t="str">
        <f>HYPERLINK("http://slimages.macys.com/is/image/MCY/21878268 ")</f>
        <v xml:space="preserve">http://slimages.macys.com/is/image/MCY/21878268 </v>
      </c>
    </row>
    <row r="130" spans="1:14" ht="24.75" x14ac:dyDescent="0.25">
      <c r="A130" s="21" t="s">
        <v>12785</v>
      </c>
      <c r="B130" s="22" t="s">
        <v>12786</v>
      </c>
      <c r="C130" s="2">
        <v>1</v>
      </c>
      <c r="D130" s="23">
        <v>42.99</v>
      </c>
      <c r="E130" s="3">
        <v>42.99</v>
      </c>
      <c r="F130" s="2" t="s">
        <v>17566</v>
      </c>
      <c r="G130" s="22" t="s">
        <v>17567</v>
      </c>
      <c r="H130" s="24" t="s">
        <v>19330</v>
      </c>
      <c r="I130" s="22" t="s">
        <v>19309</v>
      </c>
      <c r="J130" s="22" t="s">
        <v>19385</v>
      </c>
      <c r="K130" s="22" t="s">
        <v>19386</v>
      </c>
      <c r="L130" s="22"/>
      <c r="M130" s="22"/>
      <c r="N130" s="25" t="str">
        <f>HYPERLINK("http://slimages.macys.com/is/image/MCY/21878287 ")</f>
        <v xml:space="preserve">http://slimages.macys.com/is/image/MCY/21878287 </v>
      </c>
    </row>
    <row r="131" spans="1:14" ht="24.75" x14ac:dyDescent="0.25">
      <c r="A131" s="21" t="s">
        <v>12787</v>
      </c>
      <c r="B131" s="22" t="s">
        <v>12788</v>
      </c>
      <c r="C131" s="2">
        <v>1</v>
      </c>
      <c r="D131" s="23">
        <v>58</v>
      </c>
      <c r="E131" s="3">
        <v>58</v>
      </c>
      <c r="F131" s="2" t="s">
        <v>12789</v>
      </c>
      <c r="G131" s="22" t="s">
        <v>19674</v>
      </c>
      <c r="H131" s="24"/>
      <c r="I131" s="22" t="s">
        <v>14376</v>
      </c>
      <c r="J131" s="22" t="s">
        <v>19508</v>
      </c>
      <c r="K131" s="22" t="s">
        <v>14494</v>
      </c>
      <c r="L131" s="22" t="s">
        <v>17554</v>
      </c>
      <c r="M131" s="22" t="s">
        <v>17531</v>
      </c>
      <c r="N131" s="25" t="str">
        <f>HYPERLINK("http://images.bloomingdales.com/is/image/BLM/12074939 ")</f>
        <v xml:space="preserve">http://images.bloomingdales.com/is/image/BLM/12074939 </v>
      </c>
    </row>
    <row r="132" spans="1:14" ht="24.75" x14ac:dyDescent="0.25">
      <c r="A132" s="21" t="s">
        <v>12790</v>
      </c>
      <c r="B132" s="22" t="s">
        <v>12791</v>
      </c>
      <c r="C132" s="2">
        <v>1</v>
      </c>
      <c r="D132" s="23">
        <v>48</v>
      </c>
      <c r="E132" s="3">
        <v>48</v>
      </c>
      <c r="F132" s="2" t="s">
        <v>12792</v>
      </c>
      <c r="G132" s="22" t="s">
        <v>19383</v>
      </c>
      <c r="H132" s="24" t="s">
        <v>18507</v>
      </c>
      <c r="I132" s="22" t="s">
        <v>14376</v>
      </c>
      <c r="J132" s="22" t="s">
        <v>19508</v>
      </c>
      <c r="K132" s="22" t="s">
        <v>14526</v>
      </c>
      <c r="L132" s="22" t="s">
        <v>17554</v>
      </c>
      <c r="M132" s="22" t="s">
        <v>14482</v>
      </c>
      <c r="N132" s="25" t="str">
        <f>HYPERLINK("http://images.bloomingdales.com/is/image/BLM/12080559 ")</f>
        <v xml:space="preserve">http://images.bloomingdales.com/is/image/BLM/12080559 </v>
      </c>
    </row>
    <row r="133" spans="1:14" ht="24.75" x14ac:dyDescent="0.25">
      <c r="A133" s="21" t="s">
        <v>12793</v>
      </c>
      <c r="B133" s="22" t="s">
        <v>12794</v>
      </c>
      <c r="C133" s="2">
        <v>1</v>
      </c>
      <c r="D133" s="23">
        <v>52</v>
      </c>
      <c r="E133" s="3">
        <v>52</v>
      </c>
      <c r="F133" s="2" t="s">
        <v>12795</v>
      </c>
      <c r="G133" s="22" t="s">
        <v>19383</v>
      </c>
      <c r="H133" s="24" t="s">
        <v>19364</v>
      </c>
      <c r="I133" s="22" t="s">
        <v>14376</v>
      </c>
      <c r="J133" s="22" t="s">
        <v>19508</v>
      </c>
      <c r="K133" s="22" t="s">
        <v>14581</v>
      </c>
      <c r="L133" s="22" t="s">
        <v>17554</v>
      </c>
      <c r="M133" s="22" t="s">
        <v>12764</v>
      </c>
      <c r="N133" s="25" t="str">
        <f>HYPERLINK("http://images.bloomingdales.com/is/image/BLM/12125625 ")</f>
        <v xml:space="preserve">http://images.bloomingdales.com/is/image/BLM/12125625 </v>
      </c>
    </row>
    <row r="134" spans="1:14" ht="24.75" x14ac:dyDescent="0.25">
      <c r="A134" s="21" t="s">
        <v>12796</v>
      </c>
      <c r="B134" s="22" t="s">
        <v>12797</v>
      </c>
      <c r="C134" s="2">
        <v>1</v>
      </c>
      <c r="D134" s="23">
        <v>35</v>
      </c>
      <c r="E134" s="3">
        <v>35</v>
      </c>
      <c r="F134" s="2">
        <v>322873970001</v>
      </c>
      <c r="G134" s="22" t="s">
        <v>19357</v>
      </c>
      <c r="H134" s="24" t="s">
        <v>19432</v>
      </c>
      <c r="I134" s="22" t="s">
        <v>19309</v>
      </c>
      <c r="J134" s="22" t="s">
        <v>19335</v>
      </c>
      <c r="K134" s="22" t="s">
        <v>19326</v>
      </c>
      <c r="L134" s="22" t="s">
        <v>19319</v>
      </c>
      <c r="M134" s="22" t="s">
        <v>19358</v>
      </c>
      <c r="N134" s="25" t="str">
        <f>HYPERLINK("http://images.bloomingdales.com/is/image/BLM/12289183 ")</f>
        <v xml:space="preserve">http://images.bloomingdales.com/is/image/BLM/12289183 </v>
      </c>
    </row>
    <row r="135" spans="1:14" ht="24.75" x14ac:dyDescent="0.25">
      <c r="A135" s="21" t="s">
        <v>17571</v>
      </c>
      <c r="B135" s="22" t="s">
        <v>17572</v>
      </c>
      <c r="C135" s="2">
        <v>1</v>
      </c>
      <c r="D135" s="23">
        <v>35</v>
      </c>
      <c r="E135" s="3">
        <v>35</v>
      </c>
      <c r="F135" s="2">
        <v>322873970001</v>
      </c>
      <c r="G135" s="22" t="s">
        <v>19357</v>
      </c>
      <c r="H135" s="24" t="s">
        <v>19542</v>
      </c>
      <c r="I135" s="22" t="s">
        <v>19309</v>
      </c>
      <c r="J135" s="22" t="s">
        <v>19335</v>
      </c>
      <c r="K135" s="22" t="s">
        <v>19326</v>
      </c>
      <c r="L135" s="22" t="s">
        <v>19319</v>
      </c>
      <c r="M135" s="22" t="s">
        <v>19358</v>
      </c>
      <c r="N135" s="25" t="str">
        <f>HYPERLINK("http://images.bloomingdales.com/is/image/BLM/12289183 ")</f>
        <v xml:space="preserve">http://images.bloomingdales.com/is/image/BLM/12289183 </v>
      </c>
    </row>
    <row r="136" spans="1:14" ht="24.75" x14ac:dyDescent="0.25">
      <c r="A136" s="21" t="s">
        <v>12798</v>
      </c>
      <c r="B136" s="22" t="s">
        <v>12799</v>
      </c>
      <c r="C136" s="2">
        <v>1</v>
      </c>
      <c r="D136" s="23">
        <v>52</v>
      </c>
      <c r="E136" s="3">
        <v>52</v>
      </c>
      <c r="F136" s="2" t="s">
        <v>12800</v>
      </c>
      <c r="G136" s="22" t="s">
        <v>19879</v>
      </c>
      <c r="H136" s="24" t="s">
        <v>19339</v>
      </c>
      <c r="I136" s="22" t="s">
        <v>14376</v>
      </c>
      <c r="J136" s="22" t="s">
        <v>19508</v>
      </c>
      <c r="K136" s="22" t="s">
        <v>14494</v>
      </c>
      <c r="L136" s="22" t="s">
        <v>17554</v>
      </c>
      <c r="M136" s="22" t="s">
        <v>12801</v>
      </c>
      <c r="N136" s="25" t="str">
        <f>HYPERLINK("http://images.bloomingdales.com/is/image/BLM/12075023 ")</f>
        <v xml:space="preserve">http://images.bloomingdales.com/is/image/BLM/12075023 </v>
      </c>
    </row>
    <row r="137" spans="1:14" ht="36.75" x14ac:dyDescent="0.25">
      <c r="A137" s="21" t="s">
        <v>12802</v>
      </c>
      <c r="B137" s="22" t="s">
        <v>12803</v>
      </c>
      <c r="C137" s="2">
        <v>1</v>
      </c>
      <c r="D137" s="23">
        <v>52</v>
      </c>
      <c r="E137" s="3">
        <v>52</v>
      </c>
      <c r="F137" s="2" t="s">
        <v>12804</v>
      </c>
      <c r="G137" s="22" t="s">
        <v>19323</v>
      </c>
      <c r="H137" s="24"/>
      <c r="I137" s="22" t="s">
        <v>14376</v>
      </c>
      <c r="J137" s="22" t="s">
        <v>19508</v>
      </c>
      <c r="K137" s="22" t="s">
        <v>14494</v>
      </c>
      <c r="L137" s="22" t="s">
        <v>17554</v>
      </c>
      <c r="M137" s="22" t="s">
        <v>12805</v>
      </c>
      <c r="N137" s="25" t="str">
        <f>HYPERLINK("http://images.bloomingdales.com/is/image/BLM/12177345 ")</f>
        <v xml:space="preserve">http://images.bloomingdales.com/is/image/BLM/12177345 </v>
      </c>
    </row>
    <row r="138" spans="1:14" ht="24.75" x14ac:dyDescent="0.25">
      <c r="A138" s="21" t="s">
        <v>12806</v>
      </c>
      <c r="B138" s="22" t="s">
        <v>12799</v>
      </c>
      <c r="C138" s="2">
        <v>1</v>
      </c>
      <c r="D138" s="23">
        <v>52</v>
      </c>
      <c r="E138" s="3">
        <v>52</v>
      </c>
      <c r="F138" s="2" t="s">
        <v>12800</v>
      </c>
      <c r="G138" s="22" t="s">
        <v>19879</v>
      </c>
      <c r="H138" s="24"/>
      <c r="I138" s="22" t="s">
        <v>14376</v>
      </c>
      <c r="J138" s="22" t="s">
        <v>19508</v>
      </c>
      <c r="K138" s="22" t="s">
        <v>14494</v>
      </c>
      <c r="L138" s="22" t="s">
        <v>17554</v>
      </c>
      <c r="M138" s="22" t="s">
        <v>12801</v>
      </c>
      <c r="N138" s="25" t="str">
        <f>HYPERLINK("http://images.bloomingdales.com/is/image/BLM/12075023 ")</f>
        <v xml:space="preserve">http://images.bloomingdales.com/is/image/BLM/12075023 </v>
      </c>
    </row>
    <row r="139" spans="1:14" ht="24.75" x14ac:dyDescent="0.25">
      <c r="A139" s="21" t="s">
        <v>12807</v>
      </c>
      <c r="B139" s="22" t="s">
        <v>12799</v>
      </c>
      <c r="C139" s="2">
        <v>1</v>
      </c>
      <c r="D139" s="23">
        <v>52</v>
      </c>
      <c r="E139" s="3">
        <v>52</v>
      </c>
      <c r="F139" s="2" t="s">
        <v>12800</v>
      </c>
      <c r="G139" s="22" t="s">
        <v>19879</v>
      </c>
      <c r="H139" s="24" t="s">
        <v>19364</v>
      </c>
      <c r="I139" s="22" t="s">
        <v>14376</v>
      </c>
      <c r="J139" s="22" t="s">
        <v>19508</v>
      </c>
      <c r="K139" s="22" t="s">
        <v>14494</v>
      </c>
      <c r="L139" s="22" t="s">
        <v>17554</v>
      </c>
      <c r="M139" s="22" t="s">
        <v>12801</v>
      </c>
      <c r="N139" s="25" t="str">
        <f>HYPERLINK("http://images.bloomingdales.com/is/image/BLM/12075023 ")</f>
        <v xml:space="preserve">http://images.bloomingdales.com/is/image/BLM/12075023 </v>
      </c>
    </row>
    <row r="140" spans="1:14" x14ac:dyDescent="0.25">
      <c r="A140" s="21" t="s">
        <v>12808</v>
      </c>
      <c r="B140" s="22" t="s">
        <v>12809</v>
      </c>
      <c r="C140" s="2">
        <v>1</v>
      </c>
      <c r="D140" s="23">
        <v>32.99</v>
      </c>
      <c r="E140" s="3">
        <v>32.99</v>
      </c>
      <c r="F140" s="2" t="s">
        <v>15093</v>
      </c>
      <c r="G140" s="22" t="s">
        <v>19338</v>
      </c>
      <c r="H140" s="24" t="s">
        <v>19352</v>
      </c>
      <c r="I140" s="22" t="s">
        <v>19309</v>
      </c>
      <c r="J140" s="22" t="s">
        <v>19310</v>
      </c>
      <c r="K140" s="22" t="s">
        <v>19311</v>
      </c>
      <c r="L140" s="22"/>
      <c r="M140" s="22"/>
      <c r="N140" s="25" t="str">
        <f>HYPERLINK("http://slimages.macys.com/is/image/MCY/17980581 ")</f>
        <v xml:space="preserve">http://slimages.macys.com/is/image/MCY/17980581 </v>
      </c>
    </row>
    <row r="141" spans="1:14" ht="24.75" x14ac:dyDescent="0.25">
      <c r="A141" s="21" t="s">
        <v>12810</v>
      </c>
      <c r="B141" s="22" t="s">
        <v>12811</v>
      </c>
      <c r="C141" s="2">
        <v>1</v>
      </c>
      <c r="D141" s="23">
        <v>42</v>
      </c>
      <c r="E141" s="3">
        <v>42</v>
      </c>
      <c r="F141" s="2" t="s">
        <v>12812</v>
      </c>
      <c r="G141" s="22"/>
      <c r="H141" s="24" t="s">
        <v>19501</v>
      </c>
      <c r="I141" s="22" t="s">
        <v>14376</v>
      </c>
      <c r="J141" s="22" t="s">
        <v>19508</v>
      </c>
      <c r="K141" s="22" t="s">
        <v>14500</v>
      </c>
      <c r="L141" s="22" t="s">
        <v>17554</v>
      </c>
      <c r="M141" s="22" t="s">
        <v>12764</v>
      </c>
      <c r="N141" s="25" t="str">
        <f>HYPERLINK("http://images.bloomingdales.com/is/image/BLM/12160229 ")</f>
        <v xml:space="preserve">http://images.bloomingdales.com/is/image/BLM/12160229 </v>
      </c>
    </row>
    <row r="142" spans="1:14" x14ac:dyDescent="0.25">
      <c r="A142" s="21" t="s">
        <v>12813</v>
      </c>
      <c r="B142" s="22" t="s">
        <v>12814</v>
      </c>
      <c r="C142" s="2">
        <v>1</v>
      </c>
      <c r="D142" s="23">
        <v>38</v>
      </c>
      <c r="E142" s="3">
        <v>38</v>
      </c>
      <c r="F142" s="2" t="s">
        <v>12815</v>
      </c>
      <c r="G142" s="22" t="s">
        <v>18073</v>
      </c>
      <c r="H142" s="24" t="s">
        <v>19367</v>
      </c>
      <c r="I142" s="22" t="s">
        <v>14376</v>
      </c>
      <c r="J142" s="22" t="s">
        <v>19325</v>
      </c>
      <c r="K142" s="22" t="s">
        <v>19418</v>
      </c>
      <c r="L142" s="22" t="s">
        <v>17554</v>
      </c>
      <c r="M142" s="22" t="s">
        <v>19358</v>
      </c>
      <c r="N142" s="25" t="str">
        <f>HYPERLINK("http://images.bloomingdales.com/is/image/BLM/11480995 ")</f>
        <v xml:space="preserve">http://images.bloomingdales.com/is/image/BLM/11480995 </v>
      </c>
    </row>
    <row r="143" spans="1:14" ht="36.75" x14ac:dyDescent="0.25">
      <c r="A143" s="21" t="s">
        <v>12816</v>
      </c>
      <c r="B143" s="22" t="s">
        <v>12817</v>
      </c>
      <c r="C143" s="2">
        <v>1</v>
      </c>
      <c r="D143" s="23">
        <v>58</v>
      </c>
      <c r="E143" s="3">
        <v>58</v>
      </c>
      <c r="F143" s="2" t="s">
        <v>12818</v>
      </c>
      <c r="G143" s="22" t="s">
        <v>19333</v>
      </c>
      <c r="H143" s="24" t="s">
        <v>19364</v>
      </c>
      <c r="I143" s="22" t="s">
        <v>14376</v>
      </c>
      <c r="J143" s="22" t="s">
        <v>19508</v>
      </c>
      <c r="K143" s="22" t="s">
        <v>14581</v>
      </c>
      <c r="L143" s="22" t="s">
        <v>19434</v>
      </c>
      <c r="M143" s="22" t="s">
        <v>12819</v>
      </c>
      <c r="N143" s="25" t="str">
        <f>HYPERLINK("http://images.bloomingdales.com/is/image/BLM/11889577 ")</f>
        <v xml:space="preserve">http://images.bloomingdales.com/is/image/BLM/11889577 </v>
      </c>
    </row>
    <row r="144" spans="1:14" ht="24.75" x14ac:dyDescent="0.25">
      <c r="A144" s="21" t="s">
        <v>12820</v>
      </c>
      <c r="B144" s="22" t="s">
        <v>12821</v>
      </c>
      <c r="C144" s="2">
        <v>1</v>
      </c>
      <c r="D144" s="23">
        <v>48</v>
      </c>
      <c r="E144" s="3">
        <v>48</v>
      </c>
      <c r="F144" s="2" t="s">
        <v>12822</v>
      </c>
      <c r="G144" s="22"/>
      <c r="H144" s="24" t="s">
        <v>17874</v>
      </c>
      <c r="I144" s="22" t="s">
        <v>14376</v>
      </c>
      <c r="J144" s="22" t="s">
        <v>19508</v>
      </c>
      <c r="K144" s="22" t="s">
        <v>12823</v>
      </c>
      <c r="L144" s="22" t="s">
        <v>17554</v>
      </c>
      <c r="M144" s="22" t="s">
        <v>12824</v>
      </c>
      <c r="N144" s="25" t="str">
        <f>HYPERLINK("http://images.bloomingdales.com/is/image/BLM/12010088 ")</f>
        <v xml:space="preserve">http://images.bloomingdales.com/is/image/BLM/12010088 </v>
      </c>
    </row>
    <row r="145" spans="1:14" ht="36.75" x14ac:dyDescent="0.25">
      <c r="A145" s="21" t="s">
        <v>12825</v>
      </c>
      <c r="B145" s="22" t="s">
        <v>12826</v>
      </c>
      <c r="C145" s="2">
        <v>1</v>
      </c>
      <c r="D145" s="23">
        <v>48</v>
      </c>
      <c r="E145" s="3">
        <v>48</v>
      </c>
      <c r="F145" s="2" t="s">
        <v>12827</v>
      </c>
      <c r="G145" s="22" t="s">
        <v>19315</v>
      </c>
      <c r="H145" s="24" t="s">
        <v>12828</v>
      </c>
      <c r="I145" s="22" t="s">
        <v>14376</v>
      </c>
      <c r="J145" s="22" t="s">
        <v>19508</v>
      </c>
      <c r="K145" s="22" t="s">
        <v>12823</v>
      </c>
      <c r="L145" s="22" t="s">
        <v>17554</v>
      </c>
      <c r="M145" s="22" t="s">
        <v>12829</v>
      </c>
      <c r="N145" s="25" t="str">
        <f>HYPERLINK("http://images.bloomingdales.com/is/image/BLM/11910034 ")</f>
        <v xml:space="preserve">http://images.bloomingdales.com/is/image/BLM/11910034 </v>
      </c>
    </row>
    <row r="146" spans="1:14" ht="36.75" x14ac:dyDescent="0.25">
      <c r="A146" s="21" t="s">
        <v>12830</v>
      </c>
      <c r="B146" s="22" t="s">
        <v>12826</v>
      </c>
      <c r="C146" s="2">
        <v>2</v>
      </c>
      <c r="D146" s="23">
        <v>48</v>
      </c>
      <c r="E146" s="3">
        <v>96</v>
      </c>
      <c r="F146" s="2" t="s">
        <v>12827</v>
      </c>
      <c r="G146" s="22" t="s">
        <v>19315</v>
      </c>
      <c r="H146" s="24" t="s">
        <v>14387</v>
      </c>
      <c r="I146" s="22" t="s">
        <v>14376</v>
      </c>
      <c r="J146" s="22" t="s">
        <v>19508</v>
      </c>
      <c r="K146" s="22" t="s">
        <v>12823</v>
      </c>
      <c r="L146" s="22" t="s">
        <v>17554</v>
      </c>
      <c r="M146" s="22" t="s">
        <v>12829</v>
      </c>
      <c r="N146" s="25" t="str">
        <f>HYPERLINK("http://images.bloomingdales.com/is/image/BLM/11910034 ")</f>
        <v xml:space="preserve">http://images.bloomingdales.com/is/image/BLM/11910034 </v>
      </c>
    </row>
    <row r="147" spans="1:14" ht="36.75" x14ac:dyDescent="0.25">
      <c r="A147" s="21" t="s">
        <v>12831</v>
      </c>
      <c r="B147" s="22" t="s">
        <v>12826</v>
      </c>
      <c r="C147" s="2">
        <v>2</v>
      </c>
      <c r="D147" s="23">
        <v>48</v>
      </c>
      <c r="E147" s="3">
        <v>96</v>
      </c>
      <c r="F147" s="2" t="s">
        <v>12827</v>
      </c>
      <c r="G147" s="22" t="s">
        <v>19315</v>
      </c>
      <c r="H147" s="24" t="s">
        <v>14375</v>
      </c>
      <c r="I147" s="22" t="s">
        <v>14376</v>
      </c>
      <c r="J147" s="22" t="s">
        <v>19508</v>
      </c>
      <c r="K147" s="22" t="s">
        <v>12823</v>
      </c>
      <c r="L147" s="22" t="s">
        <v>17554</v>
      </c>
      <c r="M147" s="22" t="s">
        <v>12829</v>
      </c>
      <c r="N147" s="25" t="str">
        <f>HYPERLINK("http://images.bloomingdales.com/is/image/BLM/11910034 ")</f>
        <v xml:space="preserve">http://images.bloomingdales.com/is/image/BLM/11910034 </v>
      </c>
    </row>
    <row r="148" spans="1:14" ht="24.75" x14ac:dyDescent="0.25">
      <c r="A148" s="21" t="s">
        <v>12832</v>
      </c>
      <c r="B148" s="22" t="s">
        <v>12833</v>
      </c>
      <c r="C148" s="2">
        <v>1</v>
      </c>
      <c r="D148" s="23">
        <v>48</v>
      </c>
      <c r="E148" s="3">
        <v>48</v>
      </c>
      <c r="F148" s="2" t="s">
        <v>12834</v>
      </c>
      <c r="G148" s="22" t="s">
        <v>19431</v>
      </c>
      <c r="H148" s="24" t="s">
        <v>12828</v>
      </c>
      <c r="I148" s="22" t="s">
        <v>14376</v>
      </c>
      <c r="J148" s="22" t="s">
        <v>19508</v>
      </c>
      <c r="K148" s="22" t="s">
        <v>12823</v>
      </c>
      <c r="L148" s="22" t="s">
        <v>17554</v>
      </c>
      <c r="M148" s="22" t="s">
        <v>17981</v>
      </c>
      <c r="N148" s="25" t="str">
        <f>HYPERLINK("http://images.bloomingdales.com/is/image/BLM/11781782 ")</f>
        <v xml:space="preserve">http://images.bloomingdales.com/is/image/BLM/11781782 </v>
      </c>
    </row>
    <row r="149" spans="1:14" ht="24.75" x14ac:dyDescent="0.25">
      <c r="A149" s="21" t="s">
        <v>12835</v>
      </c>
      <c r="B149" s="22" t="s">
        <v>12836</v>
      </c>
      <c r="C149" s="2">
        <v>2</v>
      </c>
      <c r="D149" s="23">
        <v>19.989999999999998</v>
      </c>
      <c r="E149" s="3">
        <v>39.979999999999997</v>
      </c>
      <c r="F149" s="2" t="s">
        <v>12837</v>
      </c>
      <c r="G149" s="22" t="s">
        <v>19351</v>
      </c>
      <c r="H149" s="24" t="s">
        <v>19352</v>
      </c>
      <c r="I149" s="22" t="s">
        <v>19309</v>
      </c>
      <c r="J149" s="22" t="s">
        <v>19454</v>
      </c>
      <c r="K149" s="22" t="s">
        <v>19354</v>
      </c>
      <c r="L149" s="22"/>
      <c r="M149" s="22"/>
      <c r="N149" s="25" t="str">
        <f>HYPERLINK("http://slimages.macys.com/is/image/MCY/1752149 ")</f>
        <v xml:space="preserve">http://slimages.macys.com/is/image/MCY/1752149 </v>
      </c>
    </row>
    <row r="150" spans="1:14" ht="24.75" x14ac:dyDescent="0.25">
      <c r="A150" s="21" t="s">
        <v>12838</v>
      </c>
      <c r="B150" s="22" t="s">
        <v>12839</v>
      </c>
      <c r="C150" s="2">
        <v>1</v>
      </c>
      <c r="D150" s="23">
        <v>19.989999999999998</v>
      </c>
      <c r="E150" s="3">
        <v>19.989999999999998</v>
      </c>
      <c r="F150" s="2" t="s">
        <v>12837</v>
      </c>
      <c r="G150" s="22" t="s">
        <v>19351</v>
      </c>
      <c r="H150" s="24" t="s">
        <v>19308</v>
      </c>
      <c r="I150" s="22" t="s">
        <v>19309</v>
      </c>
      <c r="J150" s="22" t="s">
        <v>19454</v>
      </c>
      <c r="K150" s="22" t="s">
        <v>19354</v>
      </c>
      <c r="L150" s="22"/>
      <c r="M150" s="22"/>
      <c r="N150" s="25" t="str">
        <f>HYPERLINK("http://slimages.macys.com/is/image/MCY/1752149 ")</f>
        <v xml:space="preserve">http://slimages.macys.com/is/image/MCY/1752149 </v>
      </c>
    </row>
    <row r="151" spans="1:14" ht="36.75" x14ac:dyDescent="0.25">
      <c r="A151" s="21" t="s">
        <v>12840</v>
      </c>
      <c r="B151" s="22" t="s">
        <v>12841</v>
      </c>
      <c r="C151" s="2">
        <v>1</v>
      </c>
      <c r="D151" s="23">
        <v>48</v>
      </c>
      <c r="E151" s="3">
        <v>48</v>
      </c>
      <c r="F151" s="2" t="s">
        <v>12842</v>
      </c>
      <c r="G151" s="22" t="s">
        <v>19333</v>
      </c>
      <c r="H151" s="24" t="s">
        <v>19352</v>
      </c>
      <c r="I151" s="22" t="s">
        <v>14376</v>
      </c>
      <c r="J151" s="22" t="s">
        <v>19508</v>
      </c>
      <c r="K151" s="22" t="s">
        <v>14581</v>
      </c>
      <c r="L151" s="22" t="s">
        <v>17554</v>
      </c>
      <c r="M151" s="22" t="s">
        <v>12689</v>
      </c>
      <c r="N151" s="25" t="str">
        <f>HYPERLINK("http://images.bloomingdales.com/is/image/BLM/12075036 ")</f>
        <v xml:space="preserve">http://images.bloomingdales.com/is/image/BLM/12075036 </v>
      </c>
    </row>
    <row r="152" spans="1:14" ht="48.75" x14ac:dyDescent="0.25">
      <c r="A152" s="21" t="s">
        <v>12843</v>
      </c>
      <c r="B152" s="22" t="s">
        <v>12844</v>
      </c>
      <c r="C152" s="2">
        <v>1</v>
      </c>
      <c r="D152" s="23">
        <v>48</v>
      </c>
      <c r="E152" s="3">
        <v>48</v>
      </c>
      <c r="F152" s="2" t="s">
        <v>12845</v>
      </c>
      <c r="G152" s="22" t="s">
        <v>19315</v>
      </c>
      <c r="H152" s="24" t="s">
        <v>18507</v>
      </c>
      <c r="I152" s="22" t="s">
        <v>14376</v>
      </c>
      <c r="J152" s="22" t="s">
        <v>19508</v>
      </c>
      <c r="K152" s="22" t="s">
        <v>14581</v>
      </c>
      <c r="L152" s="22" t="s">
        <v>17554</v>
      </c>
      <c r="M152" s="22" t="s">
        <v>12846</v>
      </c>
      <c r="N152" s="25" t="str">
        <f>HYPERLINK("http://images.bloomingdales.com/is/image/BLM/11911225 ")</f>
        <v xml:space="preserve">http://images.bloomingdales.com/is/image/BLM/11911225 </v>
      </c>
    </row>
    <row r="153" spans="1:14" ht="36.75" x14ac:dyDescent="0.25">
      <c r="A153" s="21" t="s">
        <v>12847</v>
      </c>
      <c r="B153" s="22" t="s">
        <v>12841</v>
      </c>
      <c r="C153" s="2">
        <v>2</v>
      </c>
      <c r="D153" s="23">
        <v>48</v>
      </c>
      <c r="E153" s="3">
        <v>96</v>
      </c>
      <c r="F153" s="2" t="s">
        <v>12842</v>
      </c>
      <c r="G153" s="22" t="s">
        <v>19333</v>
      </c>
      <c r="H153" s="24" t="s">
        <v>19364</v>
      </c>
      <c r="I153" s="22" t="s">
        <v>14376</v>
      </c>
      <c r="J153" s="22" t="s">
        <v>19508</v>
      </c>
      <c r="K153" s="22" t="s">
        <v>14581</v>
      </c>
      <c r="L153" s="22" t="s">
        <v>17554</v>
      </c>
      <c r="M153" s="22" t="s">
        <v>12689</v>
      </c>
      <c r="N153" s="25" t="str">
        <f>HYPERLINK("http://images.bloomingdales.com/is/image/BLM/12075036 ")</f>
        <v xml:space="preserve">http://images.bloomingdales.com/is/image/BLM/12075036 </v>
      </c>
    </row>
    <row r="154" spans="1:14" ht="24.75" x14ac:dyDescent="0.25">
      <c r="A154" s="21" t="s">
        <v>12848</v>
      </c>
      <c r="B154" s="22" t="s">
        <v>12833</v>
      </c>
      <c r="C154" s="2">
        <v>1</v>
      </c>
      <c r="D154" s="23">
        <v>48</v>
      </c>
      <c r="E154" s="3">
        <v>48</v>
      </c>
      <c r="F154" s="2" t="s">
        <v>12834</v>
      </c>
      <c r="G154" s="22" t="s">
        <v>19431</v>
      </c>
      <c r="H154" s="24" t="s">
        <v>17874</v>
      </c>
      <c r="I154" s="22" t="s">
        <v>14376</v>
      </c>
      <c r="J154" s="22" t="s">
        <v>19508</v>
      </c>
      <c r="K154" s="22" t="s">
        <v>12823</v>
      </c>
      <c r="L154" s="22" t="s">
        <v>17554</v>
      </c>
      <c r="M154" s="22" t="s">
        <v>17981</v>
      </c>
      <c r="N154" s="25" t="str">
        <f>HYPERLINK("http://images.bloomingdales.com/is/image/BLM/11781782 ")</f>
        <v xml:space="preserve">http://images.bloomingdales.com/is/image/BLM/11781782 </v>
      </c>
    </row>
    <row r="155" spans="1:14" ht="48.75" x14ac:dyDescent="0.25">
      <c r="A155" s="21" t="s">
        <v>12849</v>
      </c>
      <c r="B155" s="22" t="s">
        <v>12850</v>
      </c>
      <c r="C155" s="2">
        <v>1</v>
      </c>
      <c r="D155" s="23">
        <v>37</v>
      </c>
      <c r="E155" s="3">
        <v>37</v>
      </c>
      <c r="F155" s="2" t="s">
        <v>12851</v>
      </c>
      <c r="G155" s="22" t="s">
        <v>19351</v>
      </c>
      <c r="H155" s="24" t="s">
        <v>19399</v>
      </c>
      <c r="I155" s="22" t="s">
        <v>14376</v>
      </c>
      <c r="J155" s="22" t="s">
        <v>19508</v>
      </c>
      <c r="K155" s="22" t="s">
        <v>14618</v>
      </c>
      <c r="L155" s="22" t="s">
        <v>17554</v>
      </c>
      <c r="M155" s="22" t="s">
        <v>12852</v>
      </c>
      <c r="N155" s="25" t="str">
        <f>HYPERLINK("http://images.bloomingdales.com/is/image/BLM/12221021 ")</f>
        <v xml:space="preserve">http://images.bloomingdales.com/is/image/BLM/12221021 </v>
      </c>
    </row>
    <row r="156" spans="1:14" ht="24.75" x14ac:dyDescent="0.25">
      <c r="A156" s="21" t="s">
        <v>12853</v>
      </c>
      <c r="B156" s="22" t="s">
        <v>12854</v>
      </c>
      <c r="C156" s="2">
        <v>1</v>
      </c>
      <c r="D156" s="23">
        <v>37</v>
      </c>
      <c r="E156" s="3">
        <v>37</v>
      </c>
      <c r="F156" s="2" t="s">
        <v>12855</v>
      </c>
      <c r="G156" s="22" t="s">
        <v>19315</v>
      </c>
      <c r="H156" s="24" t="s">
        <v>19395</v>
      </c>
      <c r="I156" s="22" t="s">
        <v>14376</v>
      </c>
      <c r="J156" s="22" t="s">
        <v>19559</v>
      </c>
      <c r="K156" s="22" t="s">
        <v>14618</v>
      </c>
      <c r="L156" s="22"/>
      <c r="M156" s="22"/>
      <c r="N156" s="25" t="str">
        <f>HYPERLINK("http://images.bloomingdales.com/is/image/BLM/12359438 ")</f>
        <v xml:space="preserve">http://images.bloomingdales.com/is/image/BLM/12359438 </v>
      </c>
    </row>
    <row r="157" spans="1:14" ht="48.75" x14ac:dyDescent="0.25">
      <c r="A157" s="21" t="s">
        <v>12856</v>
      </c>
      <c r="B157" s="22" t="s">
        <v>12850</v>
      </c>
      <c r="C157" s="2">
        <v>1</v>
      </c>
      <c r="D157" s="23">
        <v>37</v>
      </c>
      <c r="E157" s="3">
        <v>37</v>
      </c>
      <c r="F157" s="2" t="s">
        <v>12851</v>
      </c>
      <c r="G157" s="22" t="s">
        <v>19351</v>
      </c>
      <c r="H157" s="24" t="s">
        <v>19501</v>
      </c>
      <c r="I157" s="22" t="s">
        <v>14376</v>
      </c>
      <c r="J157" s="22" t="s">
        <v>19508</v>
      </c>
      <c r="K157" s="22" t="s">
        <v>14618</v>
      </c>
      <c r="L157" s="22" t="s">
        <v>17554</v>
      </c>
      <c r="M157" s="22" t="s">
        <v>12852</v>
      </c>
      <c r="N157" s="25" t="str">
        <f>HYPERLINK("http://images.bloomingdales.com/is/image/BLM/12221021 ")</f>
        <v xml:space="preserve">http://images.bloomingdales.com/is/image/BLM/12221021 </v>
      </c>
    </row>
    <row r="158" spans="1:14" ht="24.75" x14ac:dyDescent="0.25">
      <c r="A158" s="21" t="s">
        <v>19419</v>
      </c>
      <c r="B158" s="22" t="s">
        <v>19420</v>
      </c>
      <c r="C158" s="2">
        <v>1</v>
      </c>
      <c r="D158" s="23">
        <v>41.99</v>
      </c>
      <c r="E158" s="3">
        <v>41.99</v>
      </c>
      <c r="F158" s="2" t="s">
        <v>19421</v>
      </c>
      <c r="G158" s="22" t="s">
        <v>19422</v>
      </c>
      <c r="H158" s="24" t="s">
        <v>19316</v>
      </c>
      <c r="I158" s="22" t="s">
        <v>19309</v>
      </c>
      <c r="J158" s="22" t="s">
        <v>19400</v>
      </c>
      <c r="K158" s="22" t="s">
        <v>19423</v>
      </c>
      <c r="L158" s="22"/>
      <c r="M158" s="22"/>
      <c r="N158" s="25" t="str">
        <f>HYPERLINK("http://slimages.macys.com/is/image/MCY/21621724 ")</f>
        <v xml:space="preserve">http://slimages.macys.com/is/image/MCY/21621724 </v>
      </c>
    </row>
    <row r="159" spans="1:14" ht="24.75" x14ac:dyDescent="0.25">
      <c r="A159" s="21" t="s">
        <v>12857</v>
      </c>
      <c r="B159" s="22" t="s">
        <v>12858</v>
      </c>
      <c r="C159" s="2">
        <v>1</v>
      </c>
      <c r="D159" s="23">
        <v>39</v>
      </c>
      <c r="E159" s="3">
        <v>39</v>
      </c>
      <c r="F159" s="2" t="s">
        <v>12859</v>
      </c>
      <c r="G159" s="22" t="s">
        <v>19351</v>
      </c>
      <c r="H159" s="24" t="s">
        <v>19501</v>
      </c>
      <c r="I159" s="22" t="s">
        <v>14376</v>
      </c>
      <c r="J159" s="22" t="s">
        <v>19508</v>
      </c>
      <c r="K159" s="22" t="s">
        <v>12776</v>
      </c>
      <c r="L159" s="22" t="s">
        <v>17554</v>
      </c>
      <c r="M159" s="22" t="s">
        <v>17531</v>
      </c>
      <c r="N159" s="25" t="str">
        <f>HYPERLINK("http://images.bloomingdales.com/is/image/BLM/12075146 ")</f>
        <v xml:space="preserve">http://images.bloomingdales.com/is/image/BLM/12075146 </v>
      </c>
    </row>
    <row r="160" spans="1:14" x14ac:dyDescent="0.25">
      <c r="A160" s="21" t="s">
        <v>12860</v>
      </c>
      <c r="B160" s="22" t="s">
        <v>12861</v>
      </c>
      <c r="C160" s="2">
        <v>1</v>
      </c>
      <c r="D160" s="23">
        <v>39</v>
      </c>
      <c r="E160" s="3">
        <v>39</v>
      </c>
      <c r="F160" s="2" t="s">
        <v>12862</v>
      </c>
      <c r="G160" s="22" t="s">
        <v>19431</v>
      </c>
      <c r="H160" s="24" t="s">
        <v>15738</v>
      </c>
      <c r="I160" s="22" t="s">
        <v>14376</v>
      </c>
      <c r="J160" s="22" t="s">
        <v>19559</v>
      </c>
      <c r="K160" s="22" t="s">
        <v>12863</v>
      </c>
      <c r="L160" s="22" t="s">
        <v>12864</v>
      </c>
      <c r="M160" s="22" t="s">
        <v>19689</v>
      </c>
      <c r="N160" s="25" t="str">
        <f>HYPERLINK("http://images.bloomingdales.com/is/image/BLM/11761233 ")</f>
        <v xml:space="preserve">http://images.bloomingdales.com/is/image/BLM/11761233 </v>
      </c>
    </row>
    <row r="161" spans="1:14" ht="24.75" x14ac:dyDescent="0.25">
      <c r="A161" s="21" t="s">
        <v>12865</v>
      </c>
      <c r="B161" s="22" t="s">
        <v>12866</v>
      </c>
      <c r="C161" s="2">
        <v>1</v>
      </c>
      <c r="D161" s="23">
        <v>33.99</v>
      </c>
      <c r="E161" s="3">
        <v>33.99</v>
      </c>
      <c r="F161" s="2" t="s">
        <v>19443</v>
      </c>
      <c r="G161" s="22" t="s">
        <v>19351</v>
      </c>
      <c r="H161" s="24" t="s">
        <v>19324</v>
      </c>
      <c r="I161" s="22" t="s">
        <v>19309</v>
      </c>
      <c r="J161" s="22" t="s">
        <v>19385</v>
      </c>
      <c r="K161" s="22" t="s">
        <v>19386</v>
      </c>
      <c r="L161" s="22"/>
      <c r="M161" s="22"/>
      <c r="N161" s="25" t="str">
        <f>HYPERLINK("http://slimages.macys.com/is/image/MCY/22175297 ")</f>
        <v xml:space="preserve">http://slimages.macys.com/is/image/MCY/22175297 </v>
      </c>
    </row>
    <row r="162" spans="1:14" ht="24.75" x14ac:dyDescent="0.25">
      <c r="A162" s="21" t="s">
        <v>12867</v>
      </c>
      <c r="B162" s="22" t="s">
        <v>12868</v>
      </c>
      <c r="C162" s="2">
        <v>1</v>
      </c>
      <c r="D162" s="23">
        <v>33.99</v>
      </c>
      <c r="E162" s="3">
        <v>33.99</v>
      </c>
      <c r="F162" s="2" t="s">
        <v>17592</v>
      </c>
      <c r="G162" s="22" t="s">
        <v>19422</v>
      </c>
      <c r="H162" s="24" t="s">
        <v>19324</v>
      </c>
      <c r="I162" s="22" t="s">
        <v>19309</v>
      </c>
      <c r="J162" s="22" t="s">
        <v>19385</v>
      </c>
      <c r="K162" s="22" t="s">
        <v>19386</v>
      </c>
      <c r="L162" s="22"/>
      <c r="M162" s="22"/>
      <c r="N162" s="25" t="str">
        <f>HYPERLINK("http://slimages.macys.com/is/image/MCY/22175295 ")</f>
        <v xml:space="preserve">http://slimages.macys.com/is/image/MCY/22175295 </v>
      </c>
    </row>
    <row r="163" spans="1:14" x14ac:dyDescent="0.25">
      <c r="A163" s="21" t="s">
        <v>12869</v>
      </c>
      <c r="B163" s="22" t="s">
        <v>12870</v>
      </c>
      <c r="C163" s="2">
        <v>4</v>
      </c>
      <c r="D163" s="23">
        <v>35</v>
      </c>
      <c r="E163" s="3">
        <v>140</v>
      </c>
      <c r="F163" s="2" t="s">
        <v>12871</v>
      </c>
      <c r="G163" s="22" t="s">
        <v>17567</v>
      </c>
      <c r="H163" s="24" t="s">
        <v>19339</v>
      </c>
      <c r="I163" s="22" t="s">
        <v>19309</v>
      </c>
      <c r="J163" s="22" t="s">
        <v>19559</v>
      </c>
      <c r="K163" s="22" t="s">
        <v>12872</v>
      </c>
      <c r="L163" s="22"/>
      <c r="M163" s="22"/>
      <c r="N163" s="25" t="str">
        <f>HYPERLINK("http://slimages.macys.com/is/image/MCY/21474985 ")</f>
        <v xml:space="preserve">http://slimages.macys.com/is/image/MCY/21474985 </v>
      </c>
    </row>
    <row r="164" spans="1:14" x14ac:dyDescent="0.25">
      <c r="A164" s="21" t="s">
        <v>12873</v>
      </c>
      <c r="B164" s="22" t="s">
        <v>12874</v>
      </c>
      <c r="C164" s="2">
        <v>2</v>
      </c>
      <c r="D164" s="23">
        <v>35</v>
      </c>
      <c r="E164" s="3">
        <v>70</v>
      </c>
      <c r="F164" s="2" t="s">
        <v>12871</v>
      </c>
      <c r="G164" s="22" t="s">
        <v>17567</v>
      </c>
      <c r="H164" s="24" t="s">
        <v>19308</v>
      </c>
      <c r="I164" s="22" t="s">
        <v>19309</v>
      </c>
      <c r="J164" s="22" t="s">
        <v>19559</v>
      </c>
      <c r="K164" s="22" t="s">
        <v>12872</v>
      </c>
      <c r="L164" s="22"/>
      <c r="M164" s="22"/>
      <c r="N164" s="25" t="str">
        <f>HYPERLINK("http://slimages.macys.com/is/image/MCY/21474985 ")</f>
        <v xml:space="preserve">http://slimages.macys.com/is/image/MCY/21474985 </v>
      </c>
    </row>
    <row r="165" spans="1:14" x14ac:dyDescent="0.25">
      <c r="A165" s="21" t="s">
        <v>12875</v>
      </c>
      <c r="B165" s="22" t="s">
        <v>12876</v>
      </c>
      <c r="C165" s="2">
        <v>4</v>
      </c>
      <c r="D165" s="23">
        <v>35</v>
      </c>
      <c r="E165" s="3">
        <v>140</v>
      </c>
      <c r="F165" s="2" t="s">
        <v>12871</v>
      </c>
      <c r="G165" s="22" t="s">
        <v>17567</v>
      </c>
      <c r="H165" s="24" t="s">
        <v>19352</v>
      </c>
      <c r="I165" s="22" t="s">
        <v>19309</v>
      </c>
      <c r="J165" s="22" t="s">
        <v>19559</v>
      </c>
      <c r="K165" s="22" t="s">
        <v>12872</v>
      </c>
      <c r="L165" s="22"/>
      <c r="M165" s="22"/>
      <c r="N165" s="25" t="str">
        <f>HYPERLINK("http://slimages.macys.com/is/image/MCY/21474985 ")</f>
        <v xml:space="preserve">http://slimages.macys.com/is/image/MCY/21474985 </v>
      </c>
    </row>
    <row r="166" spans="1:14" ht="24.75" x14ac:dyDescent="0.25">
      <c r="A166" s="21" t="s">
        <v>12877</v>
      </c>
      <c r="B166" s="22" t="s">
        <v>12878</v>
      </c>
      <c r="C166" s="2">
        <v>2</v>
      </c>
      <c r="D166" s="23">
        <v>20.99</v>
      </c>
      <c r="E166" s="3">
        <v>41.98</v>
      </c>
      <c r="F166" s="2" t="s">
        <v>19453</v>
      </c>
      <c r="G166" s="22" t="s">
        <v>19431</v>
      </c>
      <c r="H166" s="24" t="s">
        <v>19352</v>
      </c>
      <c r="I166" s="22" t="s">
        <v>19309</v>
      </c>
      <c r="J166" s="22" t="s">
        <v>19454</v>
      </c>
      <c r="K166" s="22" t="s">
        <v>19354</v>
      </c>
      <c r="L166" s="22"/>
      <c r="M166" s="22"/>
      <c r="N166" s="25" t="str">
        <f>HYPERLINK("http://slimages.macys.com/is/image/MCY/1667507 ")</f>
        <v xml:space="preserve">http://slimages.macys.com/is/image/MCY/1667507 </v>
      </c>
    </row>
    <row r="167" spans="1:14" ht="24.75" x14ac:dyDescent="0.25">
      <c r="A167" s="21" t="s">
        <v>12879</v>
      </c>
      <c r="B167" s="22" t="s">
        <v>12880</v>
      </c>
      <c r="C167" s="2">
        <v>2</v>
      </c>
      <c r="D167" s="23">
        <v>20.99</v>
      </c>
      <c r="E167" s="3">
        <v>41.98</v>
      </c>
      <c r="F167" s="2" t="s">
        <v>19453</v>
      </c>
      <c r="G167" s="22" t="s">
        <v>19431</v>
      </c>
      <c r="H167" s="24" t="s">
        <v>19339</v>
      </c>
      <c r="I167" s="22" t="s">
        <v>19309</v>
      </c>
      <c r="J167" s="22" t="s">
        <v>19454</v>
      </c>
      <c r="K167" s="22" t="s">
        <v>19354</v>
      </c>
      <c r="L167" s="22"/>
      <c r="M167" s="22"/>
      <c r="N167" s="25" t="str">
        <f>HYPERLINK("http://slimages.macys.com/is/image/MCY/1667507 ")</f>
        <v xml:space="preserve">http://slimages.macys.com/is/image/MCY/1667507 </v>
      </c>
    </row>
    <row r="168" spans="1:14" ht="24.75" x14ac:dyDescent="0.25">
      <c r="A168" s="21" t="s">
        <v>19459</v>
      </c>
      <c r="B168" s="22" t="s">
        <v>19460</v>
      </c>
      <c r="C168" s="2">
        <v>1</v>
      </c>
      <c r="D168" s="23">
        <v>28.99</v>
      </c>
      <c r="E168" s="3">
        <v>28.99</v>
      </c>
      <c r="F168" s="2" t="s">
        <v>19461</v>
      </c>
      <c r="G168" s="22" t="s">
        <v>19462</v>
      </c>
      <c r="H168" s="24" t="s">
        <v>19416</v>
      </c>
      <c r="I168" s="22" t="s">
        <v>19309</v>
      </c>
      <c r="J168" s="22" t="s">
        <v>19385</v>
      </c>
      <c r="K168" s="22" t="s">
        <v>19463</v>
      </c>
      <c r="L168" s="22"/>
      <c r="M168" s="22"/>
      <c r="N168" s="25" t="str">
        <f>HYPERLINK("http://slimages.macys.com/is/image/MCY/21423842 ")</f>
        <v xml:space="preserve">http://slimages.macys.com/is/image/MCY/21423842 </v>
      </c>
    </row>
    <row r="169" spans="1:14" ht="24.75" x14ac:dyDescent="0.25">
      <c r="A169" s="21" t="s">
        <v>12881</v>
      </c>
      <c r="B169" s="22" t="s">
        <v>12882</v>
      </c>
      <c r="C169" s="2">
        <v>1</v>
      </c>
      <c r="D169" s="23">
        <v>35</v>
      </c>
      <c r="E169" s="3">
        <v>35</v>
      </c>
      <c r="F169" s="2" t="s">
        <v>12883</v>
      </c>
      <c r="G169" s="22" t="s">
        <v>19404</v>
      </c>
      <c r="H169" s="24" t="s">
        <v>19364</v>
      </c>
      <c r="I169" s="22" t="s">
        <v>14376</v>
      </c>
      <c r="J169" s="22" t="s">
        <v>19559</v>
      </c>
      <c r="K169" s="22" t="s">
        <v>12863</v>
      </c>
      <c r="L169" s="22" t="s">
        <v>12864</v>
      </c>
      <c r="M169" s="22" t="s">
        <v>14532</v>
      </c>
      <c r="N169" s="25" t="str">
        <f>HYPERLINK("http://images.bloomingdales.com/is/image/BLM/12075169 ")</f>
        <v xml:space="preserve">http://images.bloomingdales.com/is/image/BLM/12075169 </v>
      </c>
    </row>
    <row r="170" spans="1:14" ht="24.75" x14ac:dyDescent="0.25">
      <c r="A170" s="21" t="s">
        <v>12884</v>
      </c>
      <c r="B170" s="22" t="s">
        <v>12885</v>
      </c>
      <c r="C170" s="2">
        <v>1</v>
      </c>
      <c r="D170" s="23">
        <v>35</v>
      </c>
      <c r="E170" s="3">
        <v>35</v>
      </c>
      <c r="F170" s="2" t="s">
        <v>12886</v>
      </c>
      <c r="G170" s="22" t="s">
        <v>19415</v>
      </c>
      <c r="H170" s="24"/>
      <c r="I170" s="22" t="s">
        <v>14376</v>
      </c>
      <c r="J170" s="22" t="s">
        <v>19508</v>
      </c>
      <c r="K170" s="22" t="s">
        <v>12776</v>
      </c>
      <c r="L170" s="22" t="s">
        <v>17554</v>
      </c>
      <c r="M170" s="22" t="s">
        <v>17531</v>
      </c>
      <c r="N170" s="25" t="str">
        <f>HYPERLINK("http://images.bloomingdales.com/is/image/BLM/12040353 ")</f>
        <v xml:space="preserve">http://images.bloomingdales.com/is/image/BLM/12040353 </v>
      </c>
    </row>
    <row r="171" spans="1:14" ht="24.75" x14ac:dyDescent="0.25">
      <c r="A171" s="21" t="s">
        <v>12887</v>
      </c>
      <c r="B171" s="22" t="s">
        <v>12888</v>
      </c>
      <c r="C171" s="2">
        <v>1</v>
      </c>
      <c r="D171" s="23">
        <v>26.99</v>
      </c>
      <c r="E171" s="3">
        <v>26.99</v>
      </c>
      <c r="F171" s="2" t="s">
        <v>17640</v>
      </c>
      <c r="G171" s="22" t="s">
        <v>19518</v>
      </c>
      <c r="H171" s="24" t="s">
        <v>19538</v>
      </c>
      <c r="I171" s="22" t="s">
        <v>19309</v>
      </c>
      <c r="J171" s="22" t="s">
        <v>19573</v>
      </c>
      <c r="K171" s="22" t="s">
        <v>19574</v>
      </c>
      <c r="L171" s="22"/>
      <c r="M171" s="22"/>
      <c r="N171" s="25" t="str">
        <f>HYPERLINK("http://slimages.macys.com/is/image/MCY/21731881 ")</f>
        <v xml:space="preserve">http://slimages.macys.com/is/image/MCY/21731881 </v>
      </c>
    </row>
    <row r="172" spans="1:14" x14ac:dyDescent="0.25">
      <c r="A172" s="21" t="s">
        <v>12889</v>
      </c>
      <c r="B172" s="22" t="s">
        <v>12890</v>
      </c>
      <c r="C172" s="2">
        <v>1</v>
      </c>
      <c r="D172" s="23">
        <v>31.63</v>
      </c>
      <c r="E172" s="3">
        <v>31.63</v>
      </c>
      <c r="F172" s="2" t="s">
        <v>12891</v>
      </c>
      <c r="G172" s="22"/>
      <c r="H172" s="24" t="s">
        <v>19416</v>
      </c>
      <c r="I172" s="22" t="s">
        <v>19309</v>
      </c>
      <c r="J172" s="22" t="s">
        <v>19708</v>
      </c>
      <c r="K172" s="22" t="s">
        <v>19709</v>
      </c>
      <c r="L172" s="22"/>
      <c r="M172" s="22"/>
      <c r="N172" s="25" t="str">
        <f>HYPERLINK("http://slimages.macys.com/is/image/MCY/22296897 ")</f>
        <v xml:space="preserve">http://slimages.macys.com/is/image/MCY/22296897 </v>
      </c>
    </row>
    <row r="173" spans="1:14" ht="24.75" x14ac:dyDescent="0.25">
      <c r="A173" s="21" t="s">
        <v>12892</v>
      </c>
      <c r="B173" s="22" t="s">
        <v>12893</v>
      </c>
      <c r="C173" s="2">
        <v>1</v>
      </c>
      <c r="D173" s="23">
        <v>25.99</v>
      </c>
      <c r="E173" s="3">
        <v>25.99</v>
      </c>
      <c r="F173" s="2" t="s">
        <v>17649</v>
      </c>
      <c r="G173" s="22" t="s">
        <v>19886</v>
      </c>
      <c r="H173" s="24" t="s">
        <v>19330</v>
      </c>
      <c r="I173" s="22" t="s">
        <v>19309</v>
      </c>
      <c r="J173" s="22" t="s">
        <v>19491</v>
      </c>
      <c r="K173" s="22" t="s">
        <v>19463</v>
      </c>
      <c r="L173" s="22"/>
      <c r="M173" s="22"/>
      <c r="N173" s="25" t="str">
        <f>HYPERLINK("http://slimages.macys.com/is/image/MCY/22035970 ")</f>
        <v xml:space="preserve">http://slimages.macys.com/is/image/MCY/22035970 </v>
      </c>
    </row>
    <row r="174" spans="1:14" ht="24.75" x14ac:dyDescent="0.25">
      <c r="A174" s="21" t="s">
        <v>12894</v>
      </c>
      <c r="B174" s="22" t="s">
        <v>12895</v>
      </c>
      <c r="C174" s="2">
        <v>1</v>
      </c>
      <c r="D174" s="23">
        <v>24.99</v>
      </c>
      <c r="E174" s="3">
        <v>24.99</v>
      </c>
      <c r="F174" s="2" t="s">
        <v>12896</v>
      </c>
      <c r="G174" s="22" t="s">
        <v>19315</v>
      </c>
      <c r="H174" s="24" t="s">
        <v>19308</v>
      </c>
      <c r="I174" s="22" t="s">
        <v>19309</v>
      </c>
      <c r="J174" s="22" t="s">
        <v>19310</v>
      </c>
      <c r="K174" s="22" t="s">
        <v>19529</v>
      </c>
      <c r="L174" s="22"/>
      <c r="M174" s="22"/>
      <c r="N174" s="25" t="str">
        <f>HYPERLINK("http://slimages.macys.com/is/image/MCY/20918799 ")</f>
        <v xml:space="preserve">http://slimages.macys.com/is/image/MCY/20918799 </v>
      </c>
    </row>
    <row r="175" spans="1:14" ht="24.75" x14ac:dyDescent="0.25">
      <c r="A175" s="21" t="s">
        <v>12897</v>
      </c>
      <c r="B175" s="22" t="s">
        <v>12898</v>
      </c>
      <c r="C175" s="2">
        <v>1</v>
      </c>
      <c r="D175" s="23">
        <v>30</v>
      </c>
      <c r="E175" s="3">
        <v>30</v>
      </c>
      <c r="F175" s="2" t="s">
        <v>19527</v>
      </c>
      <c r="G175" s="22"/>
      <c r="H175" s="24" t="s">
        <v>19308</v>
      </c>
      <c r="I175" s="22" t="s">
        <v>14376</v>
      </c>
      <c r="J175" s="22" t="s">
        <v>19559</v>
      </c>
      <c r="K175" s="22" t="s">
        <v>19458</v>
      </c>
      <c r="L175" s="22" t="s">
        <v>19434</v>
      </c>
      <c r="M175" s="22" t="s">
        <v>12899</v>
      </c>
      <c r="N175" s="25" t="str">
        <f>HYPERLINK("http://images.bloomingdales.com/is/image/BLM/12075008 ")</f>
        <v xml:space="preserve">http://images.bloomingdales.com/is/image/BLM/12075008 </v>
      </c>
    </row>
    <row r="176" spans="1:14" ht="24.75" x14ac:dyDescent="0.25">
      <c r="A176" s="21" t="s">
        <v>19570</v>
      </c>
      <c r="B176" s="22" t="s">
        <v>19571</v>
      </c>
      <c r="C176" s="2">
        <v>1</v>
      </c>
      <c r="D176" s="23">
        <v>28.99</v>
      </c>
      <c r="E176" s="3">
        <v>28.99</v>
      </c>
      <c r="F176" s="2" t="s">
        <v>19572</v>
      </c>
      <c r="G176" s="22" t="s">
        <v>19315</v>
      </c>
      <c r="H176" s="24"/>
      <c r="I176" s="22" t="s">
        <v>19309</v>
      </c>
      <c r="J176" s="22" t="s">
        <v>19573</v>
      </c>
      <c r="K176" s="22" t="s">
        <v>19574</v>
      </c>
      <c r="L176" s="22"/>
      <c r="M176" s="22"/>
      <c r="N176" s="25" t="str">
        <f>HYPERLINK("http://slimages.macys.com/is/image/MCY/21731366 ")</f>
        <v xml:space="preserve">http://slimages.macys.com/is/image/MCY/21731366 </v>
      </c>
    </row>
    <row r="177" spans="1:14" ht="24.75" x14ac:dyDescent="0.25">
      <c r="A177" s="21" t="s">
        <v>12900</v>
      </c>
      <c r="B177" s="22" t="s">
        <v>12901</v>
      </c>
      <c r="C177" s="2">
        <v>1</v>
      </c>
      <c r="D177" s="23">
        <v>26.99</v>
      </c>
      <c r="E177" s="3">
        <v>26.99</v>
      </c>
      <c r="F177" s="2" t="s">
        <v>15197</v>
      </c>
      <c r="G177" s="22"/>
      <c r="H177" s="24" t="s">
        <v>19538</v>
      </c>
      <c r="I177" s="22" t="s">
        <v>19309</v>
      </c>
      <c r="J177" s="22" t="s">
        <v>19385</v>
      </c>
      <c r="K177" s="22" t="s">
        <v>19487</v>
      </c>
      <c r="L177" s="22"/>
      <c r="M177" s="22"/>
      <c r="N177" s="25" t="str">
        <f>HYPERLINK("http://slimages.macys.com/is/image/MCY/21605011 ")</f>
        <v xml:space="preserve">http://slimages.macys.com/is/image/MCY/21605011 </v>
      </c>
    </row>
    <row r="178" spans="1:14" ht="24.75" x14ac:dyDescent="0.25">
      <c r="A178" s="21" t="s">
        <v>12902</v>
      </c>
      <c r="B178" s="22" t="s">
        <v>12903</v>
      </c>
      <c r="C178" s="2">
        <v>1</v>
      </c>
      <c r="D178" s="23">
        <v>26.99</v>
      </c>
      <c r="E178" s="3">
        <v>26.99</v>
      </c>
      <c r="F178" s="2" t="s">
        <v>12904</v>
      </c>
      <c r="G178" s="22" t="s">
        <v>19801</v>
      </c>
      <c r="H178" s="24" t="s">
        <v>19361</v>
      </c>
      <c r="I178" s="22" t="s">
        <v>19309</v>
      </c>
      <c r="J178" s="22" t="s">
        <v>19595</v>
      </c>
      <c r="K178" s="22" t="s">
        <v>19596</v>
      </c>
      <c r="L178" s="22"/>
      <c r="M178" s="22"/>
      <c r="N178" s="25" t="str">
        <f>HYPERLINK("http://slimages.macys.com/is/image/MCY/21623070 ")</f>
        <v xml:space="preserve">http://slimages.macys.com/is/image/MCY/21623070 </v>
      </c>
    </row>
    <row r="179" spans="1:14" ht="24.75" x14ac:dyDescent="0.25">
      <c r="A179" s="21" t="s">
        <v>17679</v>
      </c>
      <c r="B179" s="22" t="s">
        <v>17680</v>
      </c>
      <c r="C179" s="2">
        <v>1</v>
      </c>
      <c r="D179" s="23">
        <v>24.99</v>
      </c>
      <c r="E179" s="3">
        <v>24.99</v>
      </c>
      <c r="F179" s="2" t="s">
        <v>17681</v>
      </c>
      <c r="G179" s="22" t="s">
        <v>19431</v>
      </c>
      <c r="H179" s="24" t="s">
        <v>19797</v>
      </c>
      <c r="I179" s="22" t="s">
        <v>19309</v>
      </c>
      <c r="J179" s="22" t="s">
        <v>19447</v>
      </c>
      <c r="K179" s="22" t="s">
        <v>19533</v>
      </c>
      <c r="L179" s="22"/>
      <c r="M179" s="22"/>
      <c r="N179" s="25" t="str">
        <f>HYPERLINK("http://slimages.macys.com/is/image/MCY/21150450 ")</f>
        <v xml:space="preserve">http://slimages.macys.com/is/image/MCY/21150450 </v>
      </c>
    </row>
    <row r="180" spans="1:14" ht="24.75" x14ac:dyDescent="0.25">
      <c r="A180" s="21" t="s">
        <v>12905</v>
      </c>
      <c r="B180" s="22" t="s">
        <v>12906</v>
      </c>
      <c r="C180" s="2">
        <v>1</v>
      </c>
      <c r="D180" s="23">
        <v>26.07</v>
      </c>
      <c r="E180" s="3">
        <v>26.07</v>
      </c>
      <c r="F180" s="2" t="s">
        <v>12907</v>
      </c>
      <c r="G180" s="22"/>
      <c r="H180" s="24" t="s">
        <v>19478</v>
      </c>
      <c r="I180" s="22" t="s">
        <v>19309</v>
      </c>
      <c r="J180" s="22" t="s">
        <v>19602</v>
      </c>
      <c r="K180" s="22" t="s">
        <v>19603</v>
      </c>
      <c r="L180" s="22"/>
      <c r="M180" s="22"/>
      <c r="N180" s="25" t="str">
        <f>HYPERLINK("http://slimages.macys.com/is/image/MCY/22406096 ")</f>
        <v xml:space="preserve">http://slimages.macys.com/is/image/MCY/22406096 </v>
      </c>
    </row>
    <row r="181" spans="1:14" x14ac:dyDescent="0.25">
      <c r="A181" s="21" t="s">
        <v>12908</v>
      </c>
      <c r="B181" s="22" t="s">
        <v>12909</v>
      </c>
      <c r="C181" s="2">
        <v>1</v>
      </c>
      <c r="D181" s="23">
        <v>23.57</v>
      </c>
      <c r="E181" s="3">
        <v>23.57</v>
      </c>
      <c r="F181" s="2" t="s">
        <v>12910</v>
      </c>
      <c r="G181" s="22"/>
      <c r="H181" s="24" t="s">
        <v>19770</v>
      </c>
      <c r="I181" s="22" t="s">
        <v>19309</v>
      </c>
      <c r="J181" s="22" t="s">
        <v>19708</v>
      </c>
      <c r="K181" s="22" t="s">
        <v>19709</v>
      </c>
      <c r="L181" s="22"/>
      <c r="M181" s="22"/>
      <c r="N181" s="25" t="str">
        <f>HYPERLINK("http://slimages.macys.com/is/image/MCY/19047772 ")</f>
        <v xml:space="preserve">http://slimages.macys.com/is/image/MCY/19047772 </v>
      </c>
    </row>
    <row r="182" spans="1:14" ht="24.75" x14ac:dyDescent="0.25">
      <c r="A182" s="21" t="s">
        <v>17696</v>
      </c>
      <c r="B182" s="22" t="s">
        <v>17697</v>
      </c>
      <c r="C182" s="2">
        <v>1</v>
      </c>
      <c r="D182" s="23">
        <v>24.99</v>
      </c>
      <c r="E182" s="3">
        <v>24.99</v>
      </c>
      <c r="F182" s="2" t="s">
        <v>19609</v>
      </c>
      <c r="G182" s="22" t="s">
        <v>19342</v>
      </c>
      <c r="H182" s="24" t="s">
        <v>19324</v>
      </c>
      <c r="I182" s="22" t="s">
        <v>19309</v>
      </c>
      <c r="J182" s="22" t="s">
        <v>19491</v>
      </c>
      <c r="K182" s="22" t="s">
        <v>19554</v>
      </c>
      <c r="L182" s="22"/>
      <c r="M182" s="22"/>
      <c r="N182" s="25" t="str">
        <f>HYPERLINK("http://slimages.macys.com/is/image/MCY/21483061 ")</f>
        <v xml:space="preserve">http://slimages.macys.com/is/image/MCY/21483061 </v>
      </c>
    </row>
    <row r="183" spans="1:14" ht="24.75" x14ac:dyDescent="0.25">
      <c r="A183" s="21" t="s">
        <v>15645</v>
      </c>
      <c r="B183" s="22" t="s">
        <v>15646</v>
      </c>
      <c r="C183" s="2">
        <v>2</v>
      </c>
      <c r="D183" s="23">
        <v>26.99</v>
      </c>
      <c r="E183" s="3">
        <v>53.98</v>
      </c>
      <c r="F183" s="2" t="s">
        <v>17700</v>
      </c>
      <c r="G183" s="22" t="s">
        <v>19528</v>
      </c>
      <c r="H183" s="24" t="s">
        <v>19324</v>
      </c>
      <c r="I183" s="22" t="s">
        <v>19309</v>
      </c>
      <c r="J183" s="22" t="s">
        <v>19385</v>
      </c>
      <c r="K183" s="22" t="s">
        <v>19463</v>
      </c>
      <c r="L183" s="22"/>
      <c r="M183" s="22"/>
      <c r="N183" s="25" t="str">
        <f>HYPERLINK("http://slimages.macys.com/is/image/MCY/22291356 ")</f>
        <v xml:space="preserve">http://slimages.macys.com/is/image/MCY/22291356 </v>
      </c>
    </row>
    <row r="184" spans="1:14" ht="24.75" x14ac:dyDescent="0.25">
      <c r="A184" s="21" t="s">
        <v>17698</v>
      </c>
      <c r="B184" s="22" t="s">
        <v>17699</v>
      </c>
      <c r="C184" s="2">
        <v>1</v>
      </c>
      <c r="D184" s="23">
        <v>26.99</v>
      </c>
      <c r="E184" s="3">
        <v>26.99</v>
      </c>
      <c r="F184" s="2" t="s">
        <v>17700</v>
      </c>
      <c r="G184" s="22" t="s">
        <v>19528</v>
      </c>
      <c r="H184" s="24" t="s">
        <v>19416</v>
      </c>
      <c r="I184" s="22" t="s">
        <v>19309</v>
      </c>
      <c r="J184" s="22" t="s">
        <v>19385</v>
      </c>
      <c r="K184" s="22" t="s">
        <v>19463</v>
      </c>
      <c r="L184" s="22"/>
      <c r="M184" s="22"/>
      <c r="N184" s="25" t="str">
        <f>HYPERLINK("http://slimages.macys.com/is/image/MCY/22291356 ")</f>
        <v xml:space="preserve">http://slimages.macys.com/is/image/MCY/22291356 </v>
      </c>
    </row>
    <row r="185" spans="1:14" ht="24.75" x14ac:dyDescent="0.25">
      <c r="A185" s="21" t="s">
        <v>12911</v>
      </c>
      <c r="B185" s="22" t="s">
        <v>12912</v>
      </c>
      <c r="C185" s="2">
        <v>1</v>
      </c>
      <c r="D185" s="23">
        <v>26.99</v>
      </c>
      <c r="E185" s="3">
        <v>26.99</v>
      </c>
      <c r="F185" s="2" t="s">
        <v>15649</v>
      </c>
      <c r="G185" s="22" t="s">
        <v>19315</v>
      </c>
      <c r="H185" s="24"/>
      <c r="I185" s="22" t="s">
        <v>19309</v>
      </c>
      <c r="J185" s="22" t="s">
        <v>15506</v>
      </c>
      <c r="K185" s="22" t="s">
        <v>15511</v>
      </c>
      <c r="L185" s="22"/>
      <c r="M185" s="22"/>
      <c r="N185" s="25" t="str">
        <f>HYPERLINK("http://slimages.macys.com/is/image/MCY/20077171 ")</f>
        <v xml:space="preserve">http://slimages.macys.com/is/image/MCY/20077171 </v>
      </c>
    </row>
    <row r="186" spans="1:14" ht="24.75" x14ac:dyDescent="0.25">
      <c r="A186" s="21" t="s">
        <v>12913</v>
      </c>
      <c r="B186" s="22" t="s">
        <v>12914</v>
      </c>
      <c r="C186" s="2">
        <v>1</v>
      </c>
      <c r="D186" s="23">
        <v>44.5</v>
      </c>
      <c r="E186" s="3">
        <v>44.5</v>
      </c>
      <c r="F186" s="2" t="s">
        <v>12915</v>
      </c>
      <c r="G186" s="22" t="s">
        <v>19618</v>
      </c>
      <c r="H186" s="24"/>
      <c r="I186" s="22" t="s">
        <v>19309</v>
      </c>
      <c r="J186" s="22" t="s">
        <v>19613</v>
      </c>
      <c r="K186" s="22" t="s">
        <v>19614</v>
      </c>
      <c r="L186" s="22"/>
      <c r="M186" s="22"/>
      <c r="N186" s="25" t="str">
        <f>HYPERLINK("http://slimages.macys.com/is/image/MCY/17927272 ")</f>
        <v xml:space="preserve">http://slimages.macys.com/is/image/MCY/17927272 </v>
      </c>
    </row>
    <row r="187" spans="1:14" ht="24.75" x14ac:dyDescent="0.25">
      <c r="A187" s="21" t="s">
        <v>12916</v>
      </c>
      <c r="B187" s="22" t="s">
        <v>12917</v>
      </c>
      <c r="C187" s="2">
        <v>1</v>
      </c>
      <c r="D187" s="23">
        <v>24.99</v>
      </c>
      <c r="E187" s="3">
        <v>24.99</v>
      </c>
      <c r="F187" s="2" t="s">
        <v>17721</v>
      </c>
      <c r="G187" s="22" t="s">
        <v>19422</v>
      </c>
      <c r="H187" s="24"/>
      <c r="I187" s="22" t="s">
        <v>19309</v>
      </c>
      <c r="J187" s="22" t="s">
        <v>19573</v>
      </c>
      <c r="K187" s="22" t="s">
        <v>19574</v>
      </c>
      <c r="L187" s="22"/>
      <c r="M187" s="22"/>
      <c r="N187" s="25" t="str">
        <f>HYPERLINK("http://slimages.macys.com/is/image/MCY/2096925 ")</f>
        <v xml:space="preserve">http://slimages.macys.com/is/image/MCY/2096925 </v>
      </c>
    </row>
    <row r="188" spans="1:14" ht="24.75" x14ac:dyDescent="0.25">
      <c r="A188" s="21" t="s">
        <v>12918</v>
      </c>
      <c r="B188" s="22" t="s">
        <v>12919</v>
      </c>
      <c r="C188" s="2">
        <v>1</v>
      </c>
      <c r="D188" s="23">
        <v>29.99</v>
      </c>
      <c r="E188" s="3">
        <v>29.99</v>
      </c>
      <c r="F188" s="2" t="s">
        <v>17724</v>
      </c>
      <c r="G188" s="22" t="s">
        <v>19333</v>
      </c>
      <c r="H188" s="24" t="s">
        <v>19392</v>
      </c>
      <c r="I188" s="22" t="s">
        <v>19309</v>
      </c>
      <c r="J188" s="22" t="s">
        <v>19519</v>
      </c>
      <c r="K188" s="22" t="s">
        <v>17725</v>
      </c>
      <c r="L188" s="22"/>
      <c r="M188" s="22"/>
      <c r="N188" s="25" t="str">
        <f>HYPERLINK("http://slimages.macys.com/is/image/MCY/21103381 ")</f>
        <v xml:space="preserve">http://slimages.macys.com/is/image/MCY/21103381 </v>
      </c>
    </row>
    <row r="189" spans="1:14" ht="24.75" x14ac:dyDescent="0.25">
      <c r="A189" s="21" t="s">
        <v>12920</v>
      </c>
      <c r="B189" s="22" t="s">
        <v>12921</v>
      </c>
      <c r="C189" s="2">
        <v>1</v>
      </c>
      <c r="D189" s="23">
        <v>32.99</v>
      </c>
      <c r="E189" s="3">
        <v>32.99</v>
      </c>
      <c r="F189" s="2" t="s">
        <v>12922</v>
      </c>
      <c r="G189" s="22" t="s">
        <v>19404</v>
      </c>
      <c r="H189" s="24" t="s">
        <v>19364</v>
      </c>
      <c r="I189" s="22" t="s">
        <v>19309</v>
      </c>
      <c r="J189" s="22" t="s">
        <v>19595</v>
      </c>
      <c r="K189" s="22" t="s">
        <v>19423</v>
      </c>
      <c r="L189" s="22"/>
      <c r="M189" s="22"/>
      <c r="N189" s="25" t="str">
        <f>HYPERLINK("http://slimages.macys.com/is/image/MCY/21398445 ")</f>
        <v xml:space="preserve">http://slimages.macys.com/is/image/MCY/21398445 </v>
      </c>
    </row>
    <row r="190" spans="1:14" x14ac:dyDescent="0.25">
      <c r="A190" s="21" t="s">
        <v>12923</v>
      </c>
      <c r="B190" s="22" t="s">
        <v>12924</v>
      </c>
      <c r="C190" s="2">
        <v>1</v>
      </c>
      <c r="D190" s="23">
        <v>32</v>
      </c>
      <c r="E190" s="3">
        <v>32</v>
      </c>
      <c r="F190" s="2" t="s">
        <v>12925</v>
      </c>
      <c r="G190" s="22" t="s">
        <v>19431</v>
      </c>
      <c r="H190" s="24" t="s">
        <v>19364</v>
      </c>
      <c r="I190" s="22" t="s">
        <v>14376</v>
      </c>
      <c r="J190" s="22" t="s">
        <v>19559</v>
      </c>
      <c r="K190" s="22" t="s">
        <v>13811</v>
      </c>
      <c r="L190" s="22"/>
      <c r="M190" s="22"/>
      <c r="N190" s="25" t="str">
        <f>HYPERLINK("http://images.bloomingdales.com/is/image/BLM/12359574 ")</f>
        <v xml:space="preserve">http://images.bloomingdales.com/is/image/BLM/12359574 </v>
      </c>
    </row>
    <row r="191" spans="1:14" ht="24.75" x14ac:dyDescent="0.25">
      <c r="A191" s="21" t="s">
        <v>12926</v>
      </c>
      <c r="B191" s="22" t="s">
        <v>12927</v>
      </c>
      <c r="C191" s="2">
        <v>1</v>
      </c>
      <c r="D191" s="23">
        <v>29</v>
      </c>
      <c r="E191" s="3">
        <v>29</v>
      </c>
      <c r="F191" s="2" t="s">
        <v>12928</v>
      </c>
      <c r="G191" s="22" t="s">
        <v>19635</v>
      </c>
      <c r="H191" s="24" t="s">
        <v>19364</v>
      </c>
      <c r="I191" s="22" t="s">
        <v>14376</v>
      </c>
      <c r="J191" s="22" t="s">
        <v>19508</v>
      </c>
      <c r="K191" s="22" t="s">
        <v>12776</v>
      </c>
      <c r="L191" s="22" t="s">
        <v>12864</v>
      </c>
      <c r="M191" s="22" t="s">
        <v>12929</v>
      </c>
      <c r="N191" s="25" t="str">
        <f>HYPERLINK("http://images.bloomingdales.com/is/image/BLM/12126326 ")</f>
        <v xml:space="preserve">http://images.bloomingdales.com/is/image/BLM/12126326 </v>
      </c>
    </row>
    <row r="192" spans="1:14" ht="24.75" x14ac:dyDescent="0.25">
      <c r="A192" s="21" t="s">
        <v>12930</v>
      </c>
      <c r="B192" s="22" t="s">
        <v>12927</v>
      </c>
      <c r="C192" s="2">
        <v>2</v>
      </c>
      <c r="D192" s="23">
        <v>29</v>
      </c>
      <c r="E192" s="3">
        <v>58</v>
      </c>
      <c r="F192" s="2" t="s">
        <v>12928</v>
      </c>
      <c r="G192" s="22" t="s">
        <v>19635</v>
      </c>
      <c r="H192" s="24" t="s">
        <v>19352</v>
      </c>
      <c r="I192" s="22" t="s">
        <v>14376</v>
      </c>
      <c r="J192" s="22" t="s">
        <v>19508</v>
      </c>
      <c r="K192" s="22" t="s">
        <v>12776</v>
      </c>
      <c r="L192" s="22" t="s">
        <v>12864</v>
      </c>
      <c r="M192" s="22" t="s">
        <v>12929</v>
      </c>
      <c r="N192" s="25" t="str">
        <f>HYPERLINK("http://images.bloomingdales.com/is/image/BLM/12126326 ")</f>
        <v xml:space="preserve">http://images.bloomingdales.com/is/image/BLM/12126326 </v>
      </c>
    </row>
    <row r="193" spans="1:14" ht="24.75" x14ac:dyDescent="0.25">
      <c r="A193" s="21" t="s">
        <v>12931</v>
      </c>
      <c r="B193" s="22" t="s">
        <v>12927</v>
      </c>
      <c r="C193" s="2">
        <v>2</v>
      </c>
      <c r="D193" s="23">
        <v>29</v>
      </c>
      <c r="E193" s="3">
        <v>58</v>
      </c>
      <c r="F193" s="2" t="s">
        <v>12928</v>
      </c>
      <c r="G193" s="22" t="s">
        <v>19635</v>
      </c>
      <c r="H193" s="24" t="s">
        <v>19797</v>
      </c>
      <c r="I193" s="22" t="s">
        <v>14376</v>
      </c>
      <c r="J193" s="22" t="s">
        <v>19508</v>
      </c>
      <c r="K193" s="22" t="s">
        <v>12776</v>
      </c>
      <c r="L193" s="22" t="s">
        <v>12864</v>
      </c>
      <c r="M193" s="22" t="s">
        <v>12929</v>
      </c>
      <c r="N193" s="25" t="str">
        <f>HYPERLINK("http://images.bloomingdales.com/is/image/BLM/12126326 ")</f>
        <v xml:space="preserve">http://images.bloomingdales.com/is/image/BLM/12126326 </v>
      </c>
    </row>
    <row r="194" spans="1:14" ht="24.75" x14ac:dyDescent="0.25">
      <c r="A194" s="21" t="s">
        <v>12932</v>
      </c>
      <c r="B194" s="22" t="s">
        <v>12933</v>
      </c>
      <c r="C194" s="2">
        <v>1</v>
      </c>
      <c r="D194" s="23">
        <v>22.5</v>
      </c>
      <c r="E194" s="3">
        <v>22.5</v>
      </c>
      <c r="F194" s="2">
        <v>310851071002</v>
      </c>
      <c r="G194" s="22" t="s">
        <v>19323</v>
      </c>
      <c r="H194" s="24" t="s">
        <v>19330</v>
      </c>
      <c r="I194" s="22" t="s">
        <v>14376</v>
      </c>
      <c r="J194" s="22" t="s">
        <v>19325</v>
      </c>
      <c r="K194" s="22" t="s">
        <v>19326</v>
      </c>
      <c r="L194" s="22" t="s">
        <v>17554</v>
      </c>
      <c r="M194" s="22" t="s">
        <v>19358</v>
      </c>
      <c r="N194" s="25" t="str">
        <f>HYPERLINK("http://images.bloomingdales.com/is/image/BLM/11869989 ")</f>
        <v xml:space="preserve">http://images.bloomingdales.com/is/image/BLM/11869989 </v>
      </c>
    </row>
    <row r="195" spans="1:14" ht="24.75" x14ac:dyDescent="0.25">
      <c r="A195" s="21" t="s">
        <v>12934</v>
      </c>
      <c r="B195" s="22" t="s">
        <v>12933</v>
      </c>
      <c r="C195" s="2">
        <v>1</v>
      </c>
      <c r="D195" s="23">
        <v>22.5</v>
      </c>
      <c r="E195" s="3">
        <v>22.5</v>
      </c>
      <c r="F195" s="2">
        <v>310851071002</v>
      </c>
      <c r="G195" s="22" t="s">
        <v>19323</v>
      </c>
      <c r="H195" s="24" t="s">
        <v>19416</v>
      </c>
      <c r="I195" s="22" t="s">
        <v>14376</v>
      </c>
      <c r="J195" s="22" t="s">
        <v>19325</v>
      </c>
      <c r="K195" s="22" t="s">
        <v>19326</v>
      </c>
      <c r="L195" s="22" t="s">
        <v>17554</v>
      </c>
      <c r="M195" s="22" t="s">
        <v>19358</v>
      </c>
      <c r="N195" s="25" t="str">
        <f>HYPERLINK("http://images.bloomingdales.com/is/image/BLM/11869989 ")</f>
        <v xml:space="preserve">http://images.bloomingdales.com/is/image/BLM/11869989 </v>
      </c>
    </row>
    <row r="196" spans="1:14" ht="24.75" x14ac:dyDescent="0.25">
      <c r="A196" s="21" t="s">
        <v>12935</v>
      </c>
      <c r="B196" s="22" t="s">
        <v>12933</v>
      </c>
      <c r="C196" s="2">
        <v>1</v>
      </c>
      <c r="D196" s="23">
        <v>22.5</v>
      </c>
      <c r="E196" s="3">
        <v>22.5</v>
      </c>
      <c r="F196" s="2">
        <v>310851071002</v>
      </c>
      <c r="G196" s="22" t="s">
        <v>19323</v>
      </c>
      <c r="H196" s="24" t="s">
        <v>20152</v>
      </c>
      <c r="I196" s="22" t="s">
        <v>14376</v>
      </c>
      <c r="J196" s="22" t="s">
        <v>19325</v>
      </c>
      <c r="K196" s="22" t="s">
        <v>19326</v>
      </c>
      <c r="L196" s="22" t="s">
        <v>17554</v>
      </c>
      <c r="M196" s="22" t="s">
        <v>19358</v>
      </c>
      <c r="N196" s="25" t="str">
        <f>HYPERLINK("http://images.bloomingdales.com/is/image/BLM/11869989 ")</f>
        <v xml:space="preserve">http://images.bloomingdales.com/is/image/BLM/11869989 </v>
      </c>
    </row>
    <row r="197" spans="1:14" ht="24.75" x14ac:dyDescent="0.25">
      <c r="A197" s="21" t="s">
        <v>12936</v>
      </c>
      <c r="B197" s="22" t="s">
        <v>12937</v>
      </c>
      <c r="C197" s="2">
        <v>1</v>
      </c>
      <c r="D197" s="23">
        <v>30</v>
      </c>
      <c r="E197" s="3">
        <v>30</v>
      </c>
      <c r="F197" s="2" t="s">
        <v>12938</v>
      </c>
      <c r="G197" s="22" t="s">
        <v>19357</v>
      </c>
      <c r="H197" s="24" t="s">
        <v>20152</v>
      </c>
      <c r="I197" s="22" t="s">
        <v>14376</v>
      </c>
      <c r="J197" s="22" t="s">
        <v>19325</v>
      </c>
      <c r="K197" s="22" t="s">
        <v>19418</v>
      </c>
      <c r="L197" s="22" t="s">
        <v>17554</v>
      </c>
      <c r="M197" s="22" t="s">
        <v>12939</v>
      </c>
      <c r="N197" s="25" t="str">
        <f>HYPERLINK("http://images.bloomingdales.com/is/image/BLM/12049492 ")</f>
        <v xml:space="preserve">http://images.bloomingdales.com/is/image/BLM/12049492 </v>
      </c>
    </row>
    <row r="198" spans="1:14" ht="24.75" x14ac:dyDescent="0.25">
      <c r="A198" s="21" t="s">
        <v>12940</v>
      </c>
      <c r="B198" s="22" t="s">
        <v>12937</v>
      </c>
      <c r="C198" s="2">
        <v>2</v>
      </c>
      <c r="D198" s="23">
        <v>30</v>
      </c>
      <c r="E198" s="3">
        <v>60</v>
      </c>
      <c r="F198" s="2" t="s">
        <v>12938</v>
      </c>
      <c r="G198" s="22" t="s">
        <v>19357</v>
      </c>
      <c r="H198" s="24" t="s">
        <v>19367</v>
      </c>
      <c r="I198" s="22" t="s">
        <v>14376</v>
      </c>
      <c r="J198" s="22" t="s">
        <v>19325</v>
      </c>
      <c r="K198" s="22" t="s">
        <v>19418</v>
      </c>
      <c r="L198" s="22" t="s">
        <v>17554</v>
      </c>
      <c r="M198" s="22" t="s">
        <v>12939</v>
      </c>
      <c r="N198" s="25" t="str">
        <f>HYPERLINK("http://images.bloomingdales.com/is/image/BLM/12049492 ")</f>
        <v xml:space="preserve">http://images.bloomingdales.com/is/image/BLM/12049492 </v>
      </c>
    </row>
    <row r="199" spans="1:14" ht="24.75" x14ac:dyDescent="0.25">
      <c r="A199" s="21" t="s">
        <v>15694</v>
      </c>
      <c r="B199" s="22" t="s">
        <v>15695</v>
      </c>
      <c r="C199" s="2">
        <v>1</v>
      </c>
      <c r="D199" s="23">
        <v>26.99</v>
      </c>
      <c r="E199" s="3">
        <v>26.99</v>
      </c>
      <c r="F199" s="2" t="s">
        <v>19663</v>
      </c>
      <c r="G199" s="22" t="s">
        <v>19333</v>
      </c>
      <c r="H199" s="24" t="s">
        <v>19330</v>
      </c>
      <c r="I199" s="22" t="s">
        <v>19309</v>
      </c>
      <c r="J199" s="22" t="s">
        <v>19385</v>
      </c>
      <c r="K199" s="22" t="s">
        <v>19487</v>
      </c>
      <c r="L199" s="22"/>
      <c r="M199" s="22"/>
      <c r="N199" s="25" t="str">
        <f>HYPERLINK("http://slimages.macys.com/is/image/MCY/21856819 ")</f>
        <v xml:space="preserve">http://slimages.macys.com/is/image/MCY/21856819 </v>
      </c>
    </row>
    <row r="200" spans="1:14" ht="24.75" x14ac:dyDescent="0.25">
      <c r="A200" s="21" t="s">
        <v>19661</v>
      </c>
      <c r="B200" s="22" t="s">
        <v>19662</v>
      </c>
      <c r="C200" s="2">
        <v>1</v>
      </c>
      <c r="D200" s="23">
        <v>26.99</v>
      </c>
      <c r="E200" s="3">
        <v>26.99</v>
      </c>
      <c r="F200" s="2" t="s">
        <v>19663</v>
      </c>
      <c r="G200" s="22" t="s">
        <v>19333</v>
      </c>
      <c r="H200" s="24" t="s">
        <v>19416</v>
      </c>
      <c r="I200" s="22" t="s">
        <v>19309</v>
      </c>
      <c r="J200" s="22" t="s">
        <v>19385</v>
      </c>
      <c r="K200" s="22" t="s">
        <v>19487</v>
      </c>
      <c r="L200" s="22"/>
      <c r="M200" s="22"/>
      <c r="N200" s="25" t="str">
        <f>HYPERLINK("http://slimages.macys.com/is/image/MCY/21856819 ")</f>
        <v xml:space="preserve">http://slimages.macys.com/is/image/MCY/21856819 </v>
      </c>
    </row>
    <row r="201" spans="1:14" x14ac:dyDescent="0.25">
      <c r="A201" s="21" t="s">
        <v>15699</v>
      </c>
      <c r="B201" s="22" t="s">
        <v>15700</v>
      </c>
      <c r="C201" s="2">
        <v>1</v>
      </c>
      <c r="D201" s="23">
        <v>27.99</v>
      </c>
      <c r="E201" s="3">
        <v>27.99</v>
      </c>
      <c r="F201" s="2" t="s">
        <v>15698</v>
      </c>
      <c r="G201" s="22" t="s">
        <v>19342</v>
      </c>
      <c r="H201" s="24" t="s">
        <v>19334</v>
      </c>
      <c r="I201" s="22" t="s">
        <v>19309</v>
      </c>
      <c r="J201" s="22" t="s">
        <v>19696</v>
      </c>
      <c r="K201" s="22" t="s">
        <v>19965</v>
      </c>
      <c r="L201" s="22"/>
      <c r="M201" s="22"/>
      <c r="N201" s="25" t="str">
        <f>HYPERLINK("http://slimages.macys.com/is/image/MCY/20662541 ")</f>
        <v xml:space="preserve">http://slimages.macys.com/is/image/MCY/20662541 </v>
      </c>
    </row>
    <row r="202" spans="1:14" x14ac:dyDescent="0.25">
      <c r="A202" s="21" t="s">
        <v>12941</v>
      </c>
      <c r="B202" s="22" t="s">
        <v>12942</v>
      </c>
      <c r="C202" s="2">
        <v>1</v>
      </c>
      <c r="D202" s="23">
        <v>27.99</v>
      </c>
      <c r="E202" s="3">
        <v>27.99</v>
      </c>
      <c r="F202" s="2" t="s">
        <v>19695</v>
      </c>
      <c r="G202" s="22" t="s">
        <v>19342</v>
      </c>
      <c r="H202" s="24" t="s">
        <v>19345</v>
      </c>
      <c r="I202" s="22" t="s">
        <v>19309</v>
      </c>
      <c r="J202" s="22" t="s">
        <v>19696</v>
      </c>
      <c r="K202" s="22" t="s">
        <v>19697</v>
      </c>
      <c r="L202" s="22"/>
      <c r="M202" s="22"/>
      <c r="N202" s="25" t="str">
        <f>HYPERLINK("http://slimages.macys.com/is/image/MCY/21622676 ")</f>
        <v xml:space="preserve">http://slimages.macys.com/is/image/MCY/21622676 </v>
      </c>
    </row>
    <row r="203" spans="1:14" x14ac:dyDescent="0.25">
      <c r="A203" s="21" t="s">
        <v>12943</v>
      </c>
      <c r="B203" s="22" t="s">
        <v>12944</v>
      </c>
      <c r="C203" s="2">
        <v>1</v>
      </c>
      <c r="D203" s="23">
        <v>27.99</v>
      </c>
      <c r="E203" s="3">
        <v>27.99</v>
      </c>
      <c r="F203" s="2" t="s">
        <v>15713</v>
      </c>
      <c r="G203" s="22" t="s">
        <v>19342</v>
      </c>
      <c r="H203" s="24" t="s">
        <v>19392</v>
      </c>
      <c r="I203" s="22" t="s">
        <v>19309</v>
      </c>
      <c r="J203" s="22" t="s">
        <v>19696</v>
      </c>
      <c r="K203" s="22" t="s">
        <v>19965</v>
      </c>
      <c r="L203" s="22"/>
      <c r="M203" s="22"/>
      <c r="N203" s="25" t="str">
        <f>HYPERLINK("http://slimages.macys.com/is/image/MCY/21530621 ")</f>
        <v xml:space="preserve">http://slimages.macys.com/is/image/MCY/21530621 </v>
      </c>
    </row>
    <row r="204" spans="1:14" ht="24.75" x14ac:dyDescent="0.25">
      <c r="A204" s="21" t="s">
        <v>19690</v>
      </c>
      <c r="B204" s="22" t="s">
        <v>19691</v>
      </c>
      <c r="C204" s="2">
        <v>1</v>
      </c>
      <c r="D204" s="23">
        <v>19.989999999999998</v>
      </c>
      <c r="E204" s="3">
        <v>19.989999999999998</v>
      </c>
      <c r="F204" s="2" t="s">
        <v>19692</v>
      </c>
      <c r="G204" s="22" t="s">
        <v>19315</v>
      </c>
      <c r="H204" s="24"/>
      <c r="I204" s="22" t="s">
        <v>19309</v>
      </c>
      <c r="J204" s="22" t="s">
        <v>19573</v>
      </c>
      <c r="K204" s="22" t="s">
        <v>19574</v>
      </c>
      <c r="L204" s="22"/>
      <c r="M204" s="22"/>
      <c r="N204" s="25" t="str">
        <f>HYPERLINK("http://slimages.macys.com/is/image/MCY/21731432 ")</f>
        <v xml:space="preserve">http://slimages.macys.com/is/image/MCY/21731432 </v>
      </c>
    </row>
    <row r="205" spans="1:14" x14ac:dyDescent="0.25">
      <c r="A205" s="21" t="s">
        <v>12945</v>
      </c>
      <c r="B205" s="22" t="s">
        <v>12946</v>
      </c>
      <c r="C205" s="2">
        <v>1</v>
      </c>
      <c r="D205" s="23">
        <v>30</v>
      </c>
      <c r="E205" s="3">
        <v>30</v>
      </c>
      <c r="F205" s="2" t="s">
        <v>12947</v>
      </c>
      <c r="G205" s="22" t="s">
        <v>19415</v>
      </c>
      <c r="H205" s="24" t="s">
        <v>19361</v>
      </c>
      <c r="I205" s="22" t="s">
        <v>14376</v>
      </c>
      <c r="J205" s="22" t="s">
        <v>19559</v>
      </c>
      <c r="K205" s="22" t="s">
        <v>12948</v>
      </c>
      <c r="L205" s="22" t="s">
        <v>17554</v>
      </c>
      <c r="M205" s="22" t="s">
        <v>17531</v>
      </c>
      <c r="N205" s="25" t="str">
        <f>HYPERLINK("http://images.bloomingdales.com/is/image/BLM/12081462 ")</f>
        <v xml:space="preserve">http://images.bloomingdales.com/is/image/BLM/12081462 </v>
      </c>
    </row>
    <row r="206" spans="1:14" ht="24.75" x14ac:dyDescent="0.25">
      <c r="A206" s="21" t="s">
        <v>12949</v>
      </c>
      <c r="B206" s="22" t="s">
        <v>12950</v>
      </c>
      <c r="C206" s="2">
        <v>1</v>
      </c>
      <c r="D206" s="23">
        <v>17.989999999999998</v>
      </c>
      <c r="E206" s="3">
        <v>17.989999999999998</v>
      </c>
      <c r="F206" s="2" t="s">
        <v>17807</v>
      </c>
      <c r="G206" s="22" t="s">
        <v>19467</v>
      </c>
      <c r="H206" s="24" t="s">
        <v>19352</v>
      </c>
      <c r="I206" s="22" t="s">
        <v>19309</v>
      </c>
      <c r="J206" s="22" t="s">
        <v>19447</v>
      </c>
      <c r="K206" s="22" t="s">
        <v>19873</v>
      </c>
      <c r="L206" s="22"/>
      <c r="M206" s="22"/>
      <c r="N206" s="25" t="str">
        <f>HYPERLINK("http://slimages.macys.com/is/image/MCY/20670003 ")</f>
        <v xml:space="preserve">http://slimages.macys.com/is/image/MCY/20670003 </v>
      </c>
    </row>
    <row r="207" spans="1:14" x14ac:dyDescent="0.25">
      <c r="A207" s="21" t="s">
        <v>12951</v>
      </c>
      <c r="B207" s="22" t="s">
        <v>12952</v>
      </c>
      <c r="C207" s="2">
        <v>1</v>
      </c>
      <c r="D207" s="23">
        <v>25.44</v>
      </c>
      <c r="E207" s="3">
        <v>25.44</v>
      </c>
      <c r="F207" s="2" t="s">
        <v>19707</v>
      </c>
      <c r="G207" s="22" t="s">
        <v>19323</v>
      </c>
      <c r="H207" s="24" t="s">
        <v>20152</v>
      </c>
      <c r="I207" s="22" t="s">
        <v>19309</v>
      </c>
      <c r="J207" s="22" t="s">
        <v>19708</v>
      </c>
      <c r="K207" s="22" t="s">
        <v>19709</v>
      </c>
      <c r="L207" s="22"/>
      <c r="M207" s="22"/>
      <c r="N207" s="25" t="str">
        <f>HYPERLINK("http://slimages.macys.com/is/image/MCY/22407540 ")</f>
        <v xml:space="preserve">http://slimages.macys.com/is/image/MCY/22407540 </v>
      </c>
    </row>
    <row r="208" spans="1:14" ht="24.75" x14ac:dyDescent="0.25">
      <c r="A208" s="21" t="s">
        <v>12953</v>
      </c>
      <c r="B208" s="22" t="s">
        <v>12954</v>
      </c>
      <c r="C208" s="2">
        <v>1</v>
      </c>
      <c r="D208" s="23">
        <v>28</v>
      </c>
      <c r="E208" s="3">
        <v>28</v>
      </c>
      <c r="F208" s="2" t="s">
        <v>12955</v>
      </c>
      <c r="G208" s="22" t="s">
        <v>19351</v>
      </c>
      <c r="H208" s="24" t="s">
        <v>19367</v>
      </c>
      <c r="I208" s="22" t="s">
        <v>14376</v>
      </c>
      <c r="J208" s="22" t="s">
        <v>19325</v>
      </c>
      <c r="K208" s="22" t="s">
        <v>19418</v>
      </c>
      <c r="L208" s="22" t="s">
        <v>17554</v>
      </c>
      <c r="M208" s="22" t="s">
        <v>12956</v>
      </c>
      <c r="N208" s="25" t="str">
        <f>HYPERLINK("http://images.bloomingdales.com/is/image/BLM/12049539 ")</f>
        <v xml:space="preserve">http://images.bloomingdales.com/is/image/BLM/12049539 </v>
      </c>
    </row>
    <row r="209" spans="1:14" ht="24.75" x14ac:dyDescent="0.25">
      <c r="A209" s="21" t="s">
        <v>12957</v>
      </c>
      <c r="B209" s="22" t="s">
        <v>12958</v>
      </c>
      <c r="C209" s="2">
        <v>1</v>
      </c>
      <c r="D209" s="23">
        <v>24.99</v>
      </c>
      <c r="E209" s="3">
        <v>24.99</v>
      </c>
      <c r="F209" s="2" t="s">
        <v>17821</v>
      </c>
      <c r="G209" s="22" t="s">
        <v>19713</v>
      </c>
      <c r="H209" s="24" t="s">
        <v>19538</v>
      </c>
      <c r="I209" s="22" t="s">
        <v>19309</v>
      </c>
      <c r="J209" s="22" t="s">
        <v>19573</v>
      </c>
      <c r="K209" s="22" t="s">
        <v>19574</v>
      </c>
      <c r="L209" s="22"/>
      <c r="M209" s="22"/>
      <c r="N209" s="25" t="str">
        <f>HYPERLINK("http://slimages.macys.com/is/image/MCY/1679019 ")</f>
        <v xml:space="preserve">http://slimages.macys.com/is/image/MCY/1679019 </v>
      </c>
    </row>
    <row r="210" spans="1:14" ht="24.75" x14ac:dyDescent="0.25">
      <c r="A210" s="21" t="s">
        <v>12959</v>
      </c>
      <c r="B210" s="22" t="s">
        <v>12960</v>
      </c>
      <c r="C210" s="2">
        <v>4</v>
      </c>
      <c r="D210" s="23">
        <v>24.99</v>
      </c>
      <c r="E210" s="3">
        <v>99.96</v>
      </c>
      <c r="F210" s="2" t="s">
        <v>17821</v>
      </c>
      <c r="G210" s="22" t="s">
        <v>19713</v>
      </c>
      <c r="H210" s="24" t="s">
        <v>19324</v>
      </c>
      <c r="I210" s="22" t="s">
        <v>19309</v>
      </c>
      <c r="J210" s="22" t="s">
        <v>19573</v>
      </c>
      <c r="K210" s="22" t="s">
        <v>19574</v>
      </c>
      <c r="L210" s="22"/>
      <c r="M210" s="22"/>
      <c r="N210" s="25" t="str">
        <f>HYPERLINK("http://slimages.macys.com/is/image/MCY/1679019 ")</f>
        <v xml:space="preserve">http://slimages.macys.com/is/image/MCY/1679019 </v>
      </c>
    </row>
    <row r="211" spans="1:14" ht="24.75" x14ac:dyDescent="0.25">
      <c r="A211" s="21" t="s">
        <v>15231</v>
      </c>
      <c r="B211" s="22" t="s">
        <v>15232</v>
      </c>
      <c r="C211" s="2">
        <v>1</v>
      </c>
      <c r="D211" s="23">
        <v>24.99</v>
      </c>
      <c r="E211" s="3">
        <v>24.99</v>
      </c>
      <c r="F211" s="2" t="s">
        <v>17821</v>
      </c>
      <c r="G211" s="22" t="s">
        <v>19713</v>
      </c>
      <c r="H211" s="24"/>
      <c r="I211" s="22" t="s">
        <v>19309</v>
      </c>
      <c r="J211" s="22" t="s">
        <v>19573</v>
      </c>
      <c r="K211" s="22" t="s">
        <v>19574</v>
      </c>
      <c r="L211" s="22"/>
      <c r="M211" s="22"/>
      <c r="N211" s="25" t="str">
        <f>HYPERLINK("http://slimages.macys.com/is/image/MCY/1679020 ")</f>
        <v xml:space="preserve">http://slimages.macys.com/is/image/MCY/1679020 </v>
      </c>
    </row>
    <row r="212" spans="1:14" ht="24.75" x14ac:dyDescent="0.25">
      <c r="A212" s="21" t="s">
        <v>17819</v>
      </c>
      <c r="B212" s="22" t="s">
        <v>17820</v>
      </c>
      <c r="C212" s="2">
        <v>2</v>
      </c>
      <c r="D212" s="23">
        <v>24.99</v>
      </c>
      <c r="E212" s="3">
        <v>49.98</v>
      </c>
      <c r="F212" s="2" t="s">
        <v>17821</v>
      </c>
      <c r="G212" s="22" t="s">
        <v>19713</v>
      </c>
      <c r="H212" s="24" t="s">
        <v>19384</v>
      </c>
      <c r="I212" s="22" t="s">
        <v>19309</v>
      </c>
      <c r="J212" s="22" t="s">
        <v>19573</v>
      </c>
      <c r="K212" s="22" t="s">
        <v>19574</v>
      </c>
      <c r="L212" s="22"/>
      <c r="M212" s="22"/>
      <c r="N212" s="25" t="str">
        <f>HYPERLINK("http://slimages.macys.com/is/image/MCY/1679020 ")</f>
        <v xml:space="preserve">http://slimages.macys.com/is/image/MCY/1679020 </v>
      </c>
    </row>
    <row r="213" spans="1:14" ht="24.75" x14ac:dyDescent="0.25">
      <c r="A213" s="21" t="s">
        <v>12961</v>
      </c>
      <c r="B213" s="22" t="s">
        <v>12962</v>
      </c>
      <c r="C213" s="2">
        <v>3</v>
      </c>
      <c r="D213" s="23">
        <v>24.99</v>
      </c>
      <c r="E213" s="3">
        <v>74.97</v>
      </c>
      <c r="F213" s="2" t="s">
        <v>17821</v>
      </c>
      <c r="G213" s="22" t="s">
        <v>19713</v>
      </c>
      <c r="H213" s="24" t="s">
        <v>19330</v>
      </c>
      <c r="I213" s="22" t="s">
        <v>19309</v>
      </c>
      <c r="J213" s="22" t="s">
        <v>19573</v>
      </c>
      <c r="K213" s="22" t="s">
        <v>19574</v>
      </c>
      <c r="L213" s="22"/>
      <c r="M213" s="22"/>
      <c r="N213" s="25" t="str">
        <f>HYPERLINK("http://slimages.macys.com/is/image/MCY/1679020 ")</f>
        <v xml:space="preserve">http://slimages.macys.com/is/image/MCY/1679020 </v>
      </c>
    </row>
    <row r="214" spans="1:14" ht="24.75" x14ac:dyDescent="0.25">
      <c r="A214" s="21" t="s">
        <v>12963</v>
      </c>
      <c r="B214" s="22" t="s">
        <v>12964</v>
      </c>
      <c r="C214" s="2">
        <v>1</v>
      </c>
      <c r="D214" s="23">
        <v>26</v>
      </c>
      <c r="E214" s="3">
        <v>26</v>
      </c>
      <c r="F214" s="2" t="s">
        <v>12965</v>
      </c>
      <c r="G214" s="22" t="s">
        <v>18361</v>
      </c>
      <c r="H214" s="24"/>
      <c r="I214" s="22" t="s">
        <v>19309</v>
      </c>
      <c r="J214" s="22" t="s">
        <v>19491</v>
      </c>
      <c r="K214" s="22" t="s">
        <v>19463</v>
      </c>
      <c r="L214" s="22"/>
      <c r="M214" s="22"/>
      <c r="N214" s="25" t="str">
        <f>HYPERLINK("http://slimages.macys.com/is/image/MCY/21652269 ")</f>
        <v xml:space="preserve">http://slimages.macys.com/is/image/MCY/21652269 </v>
      </c>
    </row>
    <row r="215" spans="1:14" ht="24.75" x14ac:dyDescent="0.25">
      <c r="A215" s="21" t="s">
        <v>12966</v>
      </c>
      <c r="B215" s="22" t="s">
        <v>12967</v>
      </c>
      <c r="C215" s="2">
        <v>1</v>
      </c>
      <c r="D215" s="23">
        <v>10.99</v>
      </c>
      <c r="E215" s="3">
        <v>10.99</v>
      </c>
      <c r="F215" s="2" t="s">
        <v>19725</v>
      </c>
      <c r="G215" s="22" t="s">
        <v>19477</v>
      </c>
      <c r="H215" s="24" t="s">
        <v>19352</v>
      </c>
      <c r="I215" s="22" t="s">
        <v>19309</v>
      </c>
      <c r="J215" s="22" t="s">
        <v>19353</v>
      </c>
      <c r="K215" s="22" t="s">
        <v>19354</v>
      </c>
      <c r="L215" s="22"/>
      <c r="M215" s="22"/>
      <c r="N215" s="25" t="str">
        <f>HYPERLINK("http://slimages.macys.com/is/image/MCY/22400839 ")</f>
        <v xml:space="preserve">http://slimages.macys.com/is/image/MCY/22400839 </v>
      </c>
    </row>
    <row r="216" spans="1:14" ht="24.75" x14ac:dyDescent="0.25">
      <c r="A216" s="21" t="s">
        <v>12968</v>
      </c>
      <c r="B216" s="22" t="s">
        <v>12969</v>
      </c>
      <c r="C216" s="2">
        <v>1</v>
      </c>
      <c r="D216" s="23">
        <v>24.99</v>
      </c>
      <c r="E216" s="3">
        <v>24.99</v>
      </c>
      <c r="F216" s="2" t="s">
        <v>12970</v>
      </c>
      <c r="G216" s="22" t="s">
        <v>19342</v>
      </c>
      <c r="H216" s="24" t="s">
        <v>19330</v>
      </c>
      <c r="I216" s="22" t="s">
        <v>19309</v>
      </c>
      <c r="J216" s="22" t="s">
        <v>19385</v>
      </c>
      <c r="K216" s="22" t="s">
        <v>19614</v>
      </c>
      <c r="L216" s="22"/>
      <c r="M216" s="22"/>
      <c r="N216" s="25" t="str">
        <f>HYPERLINK("http://slimages.macys.com/is/image/MCY/21255668 ")</f>
        <v xml:space="preserve">http://slimages.macys.com/is/image/MCY/21255668 </v>
      </c>
    </row>
    <row r="217" spans="1:14" ht="24.75" x14ac:dyDescent="0.25">
      <c r="A217" s="21" t="s">
        <v>19743</v>
      </c>
      <c r="B217" s="22" t="s">
        <v>19744</v>
      </c>
      <c r="C217" s="2">
        <v>2</v>
      </c>
      <c r="D217" s="23">
        <v>24.99</v>
      </c>
      <c r="E217" s="3">
        <v>49.98</v>
      </c>
      <c r="F217" s="2" t="s">
        <v>19728</v>
      </c>
      <c r="G217" s="22" t="s">
        <v>19342</v>
      </c>
      <c r="H217" s="24" t="s">
        <v>19330</v>
      </c>
      <c r="I217" s="22" t="s">
        <v>19309</v>
      </c>
      <c r="J217" s="22" t="s">
        <v>19385</v>
      </c>
      <c r="K217" s="22" t="s">
        <v>19729</v>
      </c>
      <c r="L217" s="22"/>
      <c r="M217" s="22"/>
      <c r="N217" s="25" t="str">
        <f>HYPERLINK("http://slimages.macys.com/is/image/MCY/21773792 ")</f>
        <v xml:space="preserve">http://slimages.macys.com/is/image/MCY/21773792 </v>
      </c>
    </row>
    <row r="218" spans="1:14" ht="24.75" x14ac:dyDescent="0.25">
      <c r="A218" s="21" t="s">
        <v>19741</v>
      </c>
      <c r="B218" s="22" t="s">
        <v>19742</v>
      </c>
      <c r="C218" s="2">
        <v>5</v>
      </c>
      <c r="D218" s="23">
        <v>24.99</v>
      </c>
      <c r="E218" s="3">
        <v>124.95</v>
      </c>
      <c r="F218" s="2" t="s">
        <v>19728</v>
      </c>
      <c r="G218" s="22" t="s">
        <v>19342</v>
      </c>
      <c r="H218" s="24" t="s">
        <v>19416</v>
      </c>
      <c r="I218" s="22" t="s">
        <v>19309</v>
      </c>
      <c r="J218" s="22" t="s">
        <v>19385</v>
      </c>
      <c r="K218" s="22" t="s">
        <v>19729</v>
      </c>
      <c r="L218" s="22"/>
      <c r="M218" s="22"/>
      <c r="N218" s="25" t="str">
        <f>HYPERLINK("http://slimages.macys.com/is/image/MCY/21773792 ")</f>
        <v xml:space="preserve">http://slimages.macys.com/is/image/MCY/21773792 </v>
      </c>
    </row>
    <row r="219" spans="1:14" ht="24.75" x14ac:dyDescent="0.25">
      <c r="A219" s="21" t="s">
        <v>19726</v>
      </c>
      <c r="B219" s="22" t="s">
        <v>19727</v>
      </c>
      <c r="C219" s="2">
        <v>3</v>
      </c>
      <c r="D219" s="23">
        <v>24.99</v>
      </c>
      <c r="E219" s="3">
        <v>74.97</v>
      </c>
      <c r="F219" s="2" t="s">
        <v>19728</v>
      </c>
      <c r="G219" s="22" t="s">
        <v>19342</v>
      </c>
      <c r="H219" s="24" t="s">
        <v>19324</v>
      </c>
      <c r="I219" s="22" t="s">
        <v>19309</v>
      </c>
      <c r="J219" s="22" t="s">
        <v>19385</v>
      </c>
      <c r="K219" s="22" t="s">
        <v>19729</v>
      </c>
      <c r="L219" s="22"/>
      <c r="M219" s="22"/>
      <c r="N219" s="25" t="str">
        <f>HYPERLINK("http://slimages.macys.com/is/image/MCY/21773792 ")</f>
        <v xml:space="preserve">http://slimages.macys.com/is/image/MCY/21773792 </v>
      </c>
    </row>
    <row r="220" spans="1:14" x14ac:dyDescent="0.25">
      <c r="A220" s="21" t="s">
        <v>19751</v>
      </c>
      <c r="B220" s="22" t="s">
        <v>19752</v>
      </c>
      <c r="C220" s="2">
        <v>1</v>
      </c>
      <c r="D220" s="23">
        <v>26.05</v>
      </c>
      <c r="E220" s="3">
        <v>26.05</v>
      </c>
      <c r="F220" s="2" t="s">
        <v>19753</v>
      </c>
      <c r="G220" s="22"/>
      <c r="H220" s="24" t="s">
        <v>19324</v>
      </c>
      <c r="I220" s="22" t="s">
        <v>19309</v>
      </c>
      <c r="J220" s="22" t="s">
        <v>19708</v>
      </c>
      <c r="K220" s="22" t="s">
        <v>19754</v>
      </c>
      <c r="L220" s="22"/>
      <c r="M220" s="22"/>
      <c r="N220" s="25" t="str">
        <f>HYPERLINK("http://slimages.macys.com/is/image/MCY/21758335 ")</f>
        <v xml:space="preserve">http://slimages.macys.com/is/image/MCY/21758335 </v>
      </c>
    </row>
    <row r="221" spans="1:14" ht="24.75" x14ac:dyDescent="0.25">
      <c r="A221" s="21" t="s">
        <v>12971</v>
      </c>
      <c r="B221" s="22" t="s">
        <v>12972</v>
      </c>
      <c r="C221" s="2">
        <v>1</v>
      </c>
      <c r="D221" s="23">
        <v>21.43</v>
      </c>
      <c r="E221" s="3">
        <v>21.43</v>
      </c>
      <c r="F221" s="2" t="s">
        <v>12973</v>
      </c>
      <c r="G221" s="22"/>
      <c r="H221" s="24"/>
      <c r="I221" s="22" t="s">
        <v>19309</v>
      </c>
      <c r="J221" s="22" t="s">
        <v>19602</v>
      </c>
      <c r="K221" s="22" t="s">
        <v>19603</v>
      </c>
      <c r="L221" s="22"/>
      <c r="M221" s="22"/>
      <c r="N221" s="25" t="str">
        <f>HYPERLINK("http://slimages.macys.com/is/image/MCY/21421316 ")</f>
        <v xml:space="preserve">http://slimages.macys.com/is/image/MCY/21421316 </v>
      </c>
    </row>
    <row r="222" spans="1:14" ht="24.75" x14ac:dyDescent="0.25">
      <c r="A222" s="21" t="s">
        <v>12974</v>
      </c>
      <c r="B222" s="22" t="s">
        <v>12975</v>
      </c>
      <c r="C222" s="2">
        <v>1</v>
      </c>
      <c r="D222" s="23">
        <v>21.41</v>
      </c>
      <c r="E222" s="3">
        <v>21.41</v>
      </c>
      <c r="F222" s="2" t="s">
        <v>12976</v>
      </c>
      <c r="G222" s="22"/>
      <c r="H222" s="24" t="s">
        <v>19345</v>
      </c>
      <c r="I222" s="22" t="s">
        <v>19309</v>
      </c>
      <c r="J222" s="22" t="s">
        <v>19602</v>
      </c>
      <c r="K222" s="22" t="s">
        <v>19603</v>
      </c>
      <c r="L222" s="22"/>
      <c r="M222" s="22"/>
      <c r="N222" s="25" t="str">
        <f>HYPERLINK("http://slimages.macys.com/is/image/MCY/21723232 ")</f>
        <v xml:space="preserve">http://slimages.macys.com/is/image/MCY/21723232 </v>
      </c>
    </row>
    <row r="223" spans="1:14" ht="24.75" x14ac:dyDescent="0.25">
      <c r="A223" s="21" t="s">
        <v>12977</v>
      </c>
      <c r="B223" s="22" t="s">
        <v>12978</v>
      </c>
      <c r="C223" s="2">
        <v>1</v>
      </c>
      <c r="D223" s="23">
        <v>21.29</v>
      </c>
      <c r="E223" s="3">
        <v>21.29</v>
      </c>
      <c r="F223" s="2" t="s">
        <v>19750</v>
      </c>
      <c r="G223" s="22"/>
      <c r="H223" s="24" t="s">
        <v>19334</v>
      </c>
      <c r="I223" s="22" t="s">
        <v>19309</v>
      </c>
      <c r="J223" s="22" t="s">
        <v>19602</v>
      </c>
      <c r="K223" s="22" t="s">
        <v>19603</v>
      </c>
      <c r="L223" s="22"/>
      <c r="M223" s="22"/>
      <c r="N223" s="25" t="str">
        <f>HYPERLINK("http://slimages.macys.com/is/image/MCY/22405986 ")</f>
        <v xml:space="preserve">http://slimages.macys.com/is/image/MCY/22405986 </v>
      </c>
    </row>
    <row r="224" spans="1:14" ht="24.75" x14ac:dyDescent="0.25">
      <c r="A224" s="21" t="s">
        <v>15251</v>
      </c>
      <c r="B224" s="22" t="s">
        <v>15252</v>
      </c>
      <c r="C224" s="2">
        <v>1</v>
      </c>
      <c r="D224" s="23">
        <v>21.29</v>
      </c>
      <c r="E224" s="3">
        <v>21.29</v>
      </c>
      <c r="F224" s="2" t="s">
        <v>19750</v>
      </c>
      <c r="G224" s="22"/>
      <c r="H224" s="24" t="s">
        <v>19392</v>
      </c>
      <c r="I224" s="22" t="s">
        <v>19309</v>
      </c>
      <c r="J224" s="22" t="s">
        <v>19602</v>
      </c>
      <c r="K224" s="22" t="s">
        <v>19603</v>
      </c>
      <c r="L224" s="22"/>
      <c r="M224" s="22"/>
      <c r="N224" s="25" t="str">
        <f>HYPERLINK("http://slimages.macys.com/is/image/MCY/22405986 ")</f>
        <v xml:space="preserve">http://slimages.macys.com/is/image/MCY/22405986 </v>
      </c>
    </row>
    <row r="225" spans="1:14" ht="24.75" x14ac:dyDescent="0.25">
      <c r="A225" s="21" t="s">
        <v>12979</v>
      </c>
      <c r="B225" s="22" t="s">
        <v>12980</v>
      </c>
      <c r="C225" s="2">
        <v>1</v>
      </c>
      <c r="D225" s="23">
        <v>21.43</v>
      </c>
      <c r="E225" s="3">
        <v>21.43</v>
      </c>
      <c r="F225" s="2" t="s">
        <v>12981</v>
      </c>
      <c r="G225" s="22"/>
      <c r="H225" s="24" t="s">
        <v>19345</v>
      </c>
      <c r="I225" s="22" t="s">
        <v>19309</v>
      </c>
      <c r="J225" s="22" t="s">
        <v>19602</v>
      </c>
      <c r="K225" s="22" t="s">
        <v>19603</v>
      </c>
      <c r="L225" s="22"/>
      <c r="M225" s="22"/>
      <c r="N225" s="25" t="str">
        <f>HYPERLINK("http://slimages.macys.com/is/image/MCY/21421353 ")</f>
        <v xml:space="preserve">http://slimages.macys.com/is/image/MCY/21421353 </v>
      </c>
    </row>
    <row r="226" spans="1:14" ht="24.75" x14ac:dyDescent="0.25">
      <c r="A226" s="21" t="s">
        <v>19787</v>
      </c>
      <c r="B226" s="22" t="s">
        <v>19788</v>
      </c>
      <c r="C226" s="2">
        <v>3</v>
      </c>
      <c r="D226" s="23">
        <v>19.989999999999998</v>
      </c>
      <c r="E226" s="3">
        <v>59.97</v>
      </c>
      <c r="F226" s="2" t="s">
        <v>19773</v>
      </c>
      <c r="G226" s="22" t="s">
        <v>19518</v>
      </c>
      <c r="H226" s="24" t="s">
        <v>19538</v>
      </c>
      <c r="I226" s="22" t="s">
        <v>19309</v>
      </c>
      <c r="J226" s="22" t="s">
        <v>19573</v>
      </c>
      <c r="K226" s="22" t="s">
        <v>19574</v>
      </c>
      <c r="L226" s="22"/>
      <c r="M226" s="22"/>
      <c r="N226" s="25" t="str">
        <f>HYPERLINK("http://slimages.macys.com/is/image/MCY/1646350 ")</f>
        <v xml:space="preserve">http://slimages.macys.com/is/image/MCY/1646350 </v>
      </c>
    </row>
    <row r="227" spans="1:14" ht="24.75" x14ac:dyDescent="0.25">
      <c r="A227" s="21" t="s">
        <v>19765</v>
      </c>
      <c r="B227" s="22" t="s">
        <v>19766</v>
      </c>
      <c r="C227" s="2">
        <v>3</v>
      </c>
      <c r="D227" s="23">
        <v>19.989999999999998</v>
      </c>
      <c r="E227" s="3">
        <v>59.97</v>
      </c>
      <c r="F227" s="2" t="s">
        <v>19767</v>
      </c>
      <c r="G227" s="22" t="s">
        <v>19467</v>
      </c>
      <c r="H227" s="24"/>
      <c r="I227" s="22" t="s">
        <v>19309</v>
      </c>
      <c r="J227" s="22" t="s">
        <v>19573</v>
      </c>
      <c r="K227" s="22" t="s">
        <v>19574</v>
      </c>
      <c r="L227" s="22"/>
      <c r="M227" s="22"/>
      <c r="N227" s="25" t="str">
        <f>HYPERLINK("http://slimages.macys.com/is/image/MCY/1646345 ")</f>
        <v xml:space="preserve">http://slimages.macys.com/is/image/MCY/1646345 </v>
      </c>
    </row>
    <row r="228" spans="1:14" ht="24.75" x14ac:dyDescent="0.25">
      <c r="A228" s="21" t="s">
        <v>19783</v>
      </c>
      <c r="B228" s="22" t="s">
        <v>19784</v>
      </c>
      <c r="C228" s="2">
        <v>1</v>
      </c>
      <c r="D228" s="23">
        <v>19.989999999999998</v>
      </c>
      <c r="E228" s="3">
        <v>19.989999999999998</v>
      </c>
      <c r="F228" s="2" t="s">
        <v>19773</v>
      </c>
      <c r="G228" s="22" t="s">
        <v>19518</v>
      </c>
      <c r="H228" s="24" t="s">
        <v>19324</v>
      </c>
      <c r="I228" s="22" t="s">
        <v>19309</v>
      </c>
      <c r="J228" s="22" t="s">
        <v>19573</v>
      </c>
      <c r="K228" s="22" t="s">
        <v>19574</v>
      </c>
      <c r="L228" s="22"/>
      <c r="M228" s="22"/>
      <c r="N228" s="25" t="str">
        <f>HYPERLINK("http://slimages.macys.com/is/image/MCY/1646350 ")</f>
        <v xml:space="preserve">http://slimages.macys.com/is/image/MCY/1646350 </v>
      </c>
    </row>
    <row r="229" spans="1:14" ht="24.75" x14ac:dyDescent="0.25">
      <c r="A229" s="21" t="s">
        <v>19777</v>
      </c>
      <c r="B229" s="22" t="s">
        <v>19778</v>
      </c>
      <c r="C229" s="2">
        <v>3</v>
      </c>
      <c r="D229" s="23">
        <v>19.989999999999998</v>
      </c>
      <c r="E229" s="3">
        <v>59.97</v>
      </c>
      <c r="F229" s="2" t="s">
        <v>19776</v>
      </c>
      <c r="G229" s="22" t="s">
        <v>19315</v>
      </c>
      <c r="H229" s="24" t="s">
        <v>19538</v>
      </c>
      <c r="I229" s="22" t="s">
        <v>19309</v>
      </c>
      <c r="J229" s="22" t="s">
        <v>19573</v>
      </c>
      <c r="K229" s="22" t="s">
        <v>19574</v>
      </c>
      <c r="L229" s="22"/>
      <c r="M229" s="22"/>
      <c r="N229" s="25" t="str">
        <f>HYPERLINK("http://slimages.macys.com/is/image/MCY/1646345 ")</f>
        <v xml:space="preserve">http://slimages.macys.com/is/image/MCY/1646345 </v>
      </c>
    </row>
    <row r="230" spans="1:14" ht="24.75" x14ac:dyDescent="0.25">
      <c r="A230" s="21" t="s">
        <v>19774</v>
      </c>
      <c r="B230" s="22" t="s">
        <v>19775</v>
      </c>
      <c r="C230" s="2">
        <v>3</v>
      </c>
      <c r="D230" s="23">
        <v>19.989999999999998</v>
      </c>
      <c r="E230" s="3">
        <v>59.97</v>
      </c>
      <c r="F230" s="2" t="s">
        <v>19776</v>
      </c>
      <c r="G230" s="22" t="s">
        <v>19315</v>
      </c>
      <c r="H230" s="24"/>
      <c r="I230" s="22" t="s">
        <v>19309</v>
      </c>
      <c r="J230" s="22" t="s">
        <v>19573</v>
      </c>
      <c r="K230" s="22" t="s">
        <v>19574</v>
      </c>
      <c r="L230" s="22"/>
      <c r="M230" s="22"/>
      <c r="N230" s="25" t="str">
        <f>HYPERLINK("http://slimages.macys.com/is/image/MCY/1646345 ")</f>
        <v xml:space="preserve">http://slimages.macys.com/is/image/MCY/1646345 </v>
      </c>
    </row>
    <row r="231" spans="1:14" ht="24.75" x14ac:dyDescent="0.25">
      <c r="A231" s="21" t="s">
        <v>19781</v>
      </c>
      <c r="B231" s="22" t="s">
        <v>19782</v>
      </c>
      <c r="C231" s="2">
        <v>4</v>
      </c>
      <c r="D231" s="23">
        <v>19.989999999999998</v>
      </c>
      <c r="E231" s="3">
        <v>79.959999999999994</v>
      </c>
      <c r="F231" s="2" t="s">
        <v>19773</v>
      </c>
      <c r="G231" s="22" t="s">
        <v>19518</v>
      </c>
      <c r="H231" s="24" t="s">
        <v>19770</v>
      </c>
      <c r="I231" s="22" t="s">
        <v>19309</v>
      </c>
      <c r="J231" s="22" t="s">
        <v>19573</v>
      </c>
      <c r="K231" s="22" t="s">
        <v>19574</v>
      </c>
      <c r="L231" s="22"/>
      <c r="M231" s="22"/>
      <c r="N231" s="25" t="str">
        <f>HYPERLINK("http://slimages.macys.com/is/image/MCY/1646350 ")</f>
        <v xml:space="preserve">http://slimages.macys.com/is/image/MCY/1646350 </v>
      </c>
    </row>
    <row r="232" spans="1:14" ht="24.75" x14ac:dyDescent="0.25">
      <c r="A232" s="21" t="s">
        <v>19768</v>
      </c>
      <c r="B232" s="22" t="s">
        <v>19769</v>
      </c>
      <c r="C232" s="2">
        <v>1</v>
      </c>
      <c r="D232" s="23">
        <v>19.989999999999998</v>
      </c>
      <c r="E232" s="3">
        <v>19.989999999999998</v>
      </c>
      <c r="F232" s="2" t="s">
        <v>19767</v>
      </c>
      <c r="G232" s="22" t="s">
        <v>19467</v>
      </c>
      <c r="H232" s="24" t="s">
        <v>19770</v>
      </c>
      <c r="I232" s="22" t="s">
        <v>19309</v>
      </c>
      <c r="J232" s="22" t="s">
        <v>19573</v>
      </c>
      <c r="K232" s="22" t="s">
        <v>19574</v>
      </c>
      <c r="L232" s="22"/>
      <c r="M232" s="22"/>
      <c r="N232" s="25" t="str">
        <f>HYPERLINK("http://slimages.macys.com/is/image/MCY/1646350 ")</f>
        <v xml:space="preserve">http://slimages.macys.com/is/image/MCY/1646350 </v>
      </c>
    </row>
    <row r="233" spans="1:14" ht="24.75" x14ac:dyDescent="0.25">
      <c r="A233" s="21" t="s">
        <v>19789</v>
      </c>
      <c r="B233" s="22" t="s">
        <v>19790</v>
      </c>
      <c r="C233" s="2">
        <v>3</v>
      </c>
      <c r="D233" s="23">
        <v>19.989999999999998</v>
      </c>
      <c r="E233" s="3">
        <v>59.97</v>
      </c>
      <c r="F233" s="2" t="s">
        <v>19776</v>
      </c>
      <c r="G233" s="22" t="s">
        <v>19315</v>
      </c>
      <c r="H233" s="24" t="s">
        <v>19770</v>
      </c>
      <c r="I233" s="22" t="s">
        <v>19309</v>
      </c>
      <c r="J233" s="22" t="s">
        <v>19573</v>
      </c>
      <c r="K233" s="22" t="s">
        <v>19574</v>
      </c>
      <c r="L233" s="22"/>
      <c r="M233" s="22"/>
      <c r="N233" s="25" t="str">
        <f>HYPERLINK("http://slimages.macys.com/is/image/MCY/1646345 ")</f>
        <v xml:space="preserve">http://slimages.macys.com/is/image/MCY/1646345 </v>
      </c>
    </row>
    <row r="234" spans="1:14" ht="24.75" x14ac:dyDescent="0.25">
      <c r="A234" s="21" t="s">
        <v>17862</v>
      </c>
      <c r="B234" s="22" t="s">
        <v>17863</v>
      </c>
      <c r="C234" s="2">
        <v>2</v>
      </c>
      <c r="D234" s="23">
        <v>19.989999999999998</v>
      </c>
      <c r="E234" s="3">
        <v>39.979999999999997</v>
      </c>
      <c r="F234" s="2" t="s">
        <v>19767</v>
      </c>
      <c r="G234" s="22" t="s">
        <v>19467</v>
      </c>
      <c r="H234" s="24" t="s">
        <v>19538</v>
      </c>
      <c r="I234" s="22" t="s">
        <v>19309</v>
      </c>
      <c r="J234" s="22" t="s">
        <v>19573</v>
      </c>
      <c r="K234" s="22" t="s">
        <v>19574</v>
      </c>
      <c r="L234" s="22"/>
      <c r="M234" s="22"/>
      <c r="N234" s="25" t="str">
        <f>HYPERLINK("http://slimages.macys.com/is/image/MCY/1646350 ")</f>
        <v xml:space="preserve">http://slimages.macys.com/is/image/MCY/1646350 </v>
      </c>
    </row>
    <row r="235" spans="1:14" ht="24.75" x14ac:dyDescent="0.25">
      <c r="A235" s="21" t="s">
        <v>15259</v>
      </c>
      <c r="B235" s="22" t="s">
        <v>15260</v>
      </c>
      <c r="C235" s="2">
        <v>1</v>
      </c>
      <c r="D235" s="23">
        <v>19.989999999999998</v>
      </c>
      <c r="E235" s="3">
        <v>19.989999999999998</v>
      </c>
      <c r="F235" s="2" t="s">
        <v>19776</v>
      </c>
      <c r="G235" s="22" t="s">
        <v>19315</v>
      </c>
      <c r="H235" s="24" t="s">
        <v>19384</v>
      </c>
      <c r="I235" s="22" t="s">
        <v>19309</v>
      </c>
      <c r="J235" s="22" t="s">
        <v>19573</v>
      </c>
      <c r="K235" s="22" t="s">
        <v>19574</v>
      </c>
      <c r="L235" s="22"/>
      <c r="M235" s="22"/>
      <c r="N235" s="25" t="str">
        <f>HYPERLINK("http://slimages.macys.com/is/image/MCY/1646345 ")</f>
        <v xml:space="preserve">http://slimages.macys.com/is/image/MCY/1646345 </v>
      </c>
    </row>
    <row r="236" spans="1:14" ht="24.75" x14ac:dyDescent="0.25">
      <c r="A236" s="21" t="s">
        <v>19771</v>
      </c>
      <c r="B236" s="22" t="s">
        <v>19772</v>
      </c>
      <c r="C236" s="2">
        <v>3</v>
      </c>
      <c r="D236" s="23">
        <v>19.989999999999998</v>
      </c>
      <c r="E236" s="3">
        <v>59.97</v>
      </c>
      <c r="F236" s="2" t="s">
        <v>19773</v>
      </c>
      <c r="G236" s="22" t="s">
        <v>19518</v>
      </c>
      <c r="H236" s="24"/>
      <c r="I236" s="22" t="s">
        <v>19309</v>
      </c>
      <c r="J236" s="22" t="s">
        <v>19573</v>
      </c>
      <c r="K236" s="22" t="s">
        <v>19574</v>
      </c>
      <c r="L236" s="22"/>
      <c r="M236" s="22"/>
      <c r="N236" s="25" t="str">
        <f>HYPERLINK("http://slimages.macys.com/is/image/MCY/1646350 ")</f>
        <v xml:space="preserve">http://slimages.macys.com/is/image/MCY/1646350 </v>
      </c>
    </row>
    <row r="237" spans="1:14" ht="24.75" x14ac:dyDescent="0.25">
      <c r="A237" s="21" t="s">
        <v>15264</v>
      </c>
      <c r="B237" s="22" t="s">
        <v>15265</v>
      </c>
      <c r="C237" s="2">
        <v>1</v>
      </c>
      <c r="D237" s="23">
        <v>21.99</v>
      </c>
      <c r="E237" s="3">
        <v>21.99</v>
      </c>
      <c r="F237" s="2" t="s">
        <v>19800</v>
      </c>
      <c r="G237" s="22" t="s">
        <v>19801</v>
      </c>
      <c r="H237" s="24" t="s">
        <v>19334</v>
      </c>
      <c r="I237" s="22" t="s">
        <v>19309</v>
      </c>
      <c r="J237" s="22" t="s">
        <v>19595</v>
      </c>
      <c r="K237" s="22" t="s">
        <v>19596</v>
      </c>
      <c r="L237" s="22"/>
      <c r="M237" s="22"/>
      <c r="N237" s="25" t="str">
        <f>HYPERLINK("http://slimages.macys.com/is/image/MCY/21622990 ")</f>
        <v xml:space="preserve">http://slimages.macys.com/is/image/MCY/21622990 </v>
      </c>
    </row>
    <row r="238" spans="1:14" ht="24.75" x14ac:dyDescent="0.25">
      <c r="A238" s="21" t="s">
        <v>12982</v>
      </c>
      <c r="B238" s="22" t="s">
        <v>12983</v>
      </c>
      <c r="C238" s="2">
        <v>1</v>
      </c>
      <c r="D238" s="23">
        <v>21.99</v>
      </c>
      <c r="E238" s="3">
        <v>21.99</v>
      </c>
      <c r="F238" s="2" t="s">
        <v>19809</v>
      </c>
      <c r="G238" s="22" t="s">
        <v>19810</v>
      </c>
      <c r="H238" s="24" t="s">
        <v>19334</v>
      </c>
      <c r="I238" s="22" t="s">
        <v>19309</v>
      </c>
      <c r="J238" s="22" t="s">
        <v>19595</v>
      </c>
      <c r="K238" s="22" t="s">
        <v>19596</v>
      </c>
      <c r="L238" s="22"/>
      <c r="M238" s="22"/>
      <c r="N238" s="25" t="str">
        <f>HYPERLINK("http://slimages.macys.com/is/image/MCY/21623024 ")</f>
        <v xml:space="preserve">http://slimages.macys.com/is/image/MCY/21623024 </v>
      </c>
    </row>
    <row r="239" spans="1:14" ht="24.75" x14ac:dyDescent="0.25">
      <c r="A239" s="21" t="s">
        <v>12984</v>
      </c>
      <c r="B239" s="22" t="s">
        <v>12985</v>
      </c>
      <c r="C239" s="2">
        <v>1</v>
      </c>
      <c r="D239" s="23">
        <v>21.99</v>
      </c>
      <c r="E239" s="3">
        <v>21.99</v>
      </c>
      <c r="F239" s="2" t="s">
        <v>12986</v>
      </c>
      <c r="G239" s="22"/>
      <c r="H239" s="24" t="s">
        <v>19542</v>
      </c>
      <c r="I239" s="22" t="s">
        <v>19309</v>
      </c>
      <c r="J239" s="22" t="s">
        <v>19595</v>
      </c>
      <c r="K239" s="22" t="s">
        <v>19596</v>
      </c>
      <c r="L239" s="22"/>
      <c r="M239" s="22"/>
      <c r="N239" s="25" t="str">
        <f>HYPERLINK("http://slimages.macys.com/is/image/MCY/21623042 ")</f>
        <v xml:space="preserve">http://slimages.macys.com/is/image/MCY/21623042 </v>
      </c>
    </row>
    <row r="240" spans="1:14" ht="24.75" x14ac:dyDescent="0.25">
      <c r="A240" s="21" t="s">
        <v>12987</v>
      </c>
      <c r="B240" s="22" t="s">
        <v>12988</v>
      </c>
      <c r="C240" s="2">
        <v>1</v>
      </c>
      <c r="D240" s="23">
        <v>21.99</v>
      </c>
      <c r="E240" s="3">
        <v>21.99</v>
      </c>
      <c r="F240" s="2" t="s">
        <v>19809</v>
      </c>
      <c r="G240" s="22" t="s">
        <v>19810</v>
      </c>
      <c r="H240" s="24" t="s">
        <v>19377</v>
      </c>
      <c r="I240" s="22" t="s">
        <v>19309</v>
      </c>
      <c r="J240" s="22" t="s">
        <v>19595</v>
      </c>
      <c r="K240" s="22" t="s">
        <v>19596</v>
      </c>
      <c r="L240" s="22"/>
      <c r="M240" s="22"/>
      <c r="N240" s="25" t="str">
        <f>HYPERLINK("http://slimages.macys.com/is/image/MCY/21623064 ")</f>
        <v xml:space="preserve">http://slimages.macys.com/is/image/MCY/21623064 </v>
      </c>
    </row>
    <row r="241" spans="1:14" ht="24.75" x14ac:dyDescent="0.25">
      <c r="A241" s="21" t="s">
        <v>12989</v>
      </c>
      <c r="B241" s="22" t="s">
        <v>12990</v>
      </c>
      <c r="C241" s="2">
        <v>1</v>
      </c>
      <c r="D241" s="23">
        <v>21.99</v>
      </c>
      <c r="E241" s="3">
        <v>21.99</v>
      </c>
      <c r="F241" s="2" t="s">
        <v>12986</v>
      </c>
      <c r="G241" s="22"/>
      <c r="H241" s="24" t="s">
        <v>19361</v>
      </c>
      <c r="I241" s="22" t="s">
        <v>19309</v>
      </c>
      <c r="J241" s="22" t="s">
        <v>19595</v>
      </c>
      <c r="K241" s="22" t="s">
        <v>19596</v>
      </c>
      <c r="L241" s="22"/>
      <c r="M241" s="22"/>
      <c r="N241" s="25" t="str">
        <f>HYPERLINK("http://slimages.macys.com/is/image/MCY/21623042 ")</f>
        <v xml:space="preserve">http://slimages.macys.com/is/image/MCY/21623042 </v>
      </c>
    </row>
    <row r="242" spans="1:14" ht="24.75" x14ac:dyDescent="0.25">
      <c r="A242" s="21" t="s">
        <v>12991</v>
      </c>
      <c r="B242" s="22" t="s">
        <v>12927</v>
      </c>
      <c r="C242" s="2">
        <v>1</v>
      </c>
      <c r="D242" s="23">
        <v>25</v>
      </c>
      <c r="E242" s="3">
        <v>25</v>
      </c>
      <c r="F242" s="2" t="s">
        <v>12992</v>
      </c>
      <c r="G242" s="22" t="s">
        <v>19635</v>
      </c>
      <c r="H242" s="24" t="s">
        <v>19345</v>
      </c>
      <c r="I242" s="22" t="s">
        <v>14376</v>
      </c>
      <c r="J242" s="22" t="s">
        <v>19508</v>
      </c>
      <c r="K242" s="22" t="s">
        <v>12776</v>
      </c>
      <c r="L242" s="22" t="s">
        <v>12864</v>
      </c>
      <c r="M242" s="22" t="s">
        <v>12929</v>
      </c>
      <c r="N242" s="25" t="str">
        <f>HYPERLINK("http://images.bloomingdales.com/is/image/BLM/12126365 ")</f>
        <v xml:space="preserve">http://images.bloomingdales.com/is/image/BLM/12126365 </v>
      </c>
    </row>
    <row r="243" spans="1:14" ht="24.75" x14ac:dyDescent="0.25">
      <c r="A243" s="21" t="s">
        <v>12993</v>
      </c>
      <c r="B243" s="22" t="s">
        <v>12927</v>
      </c>
      <c r="C243" s="2">
        <v>1</v>
      </c>
      <c r="D243" s="23">
        <v>25</v>
      </c>
      <c r="E243" s="3">
        <v>25</v>
      </c>
      <c r="F243" s="2" t="s">
        <v>12992</v>
      </c>
      <c r="G243" s="22" t="s">
        <v>19635</v>
      </c>
      <c r="H243" s="24" t="s">
        <v>19361</v>
      </c>
      <c r="I243" s="22" t="s">
        <v>14376</v>
      </c>
      <c r="J243" s="22" t="s">
        <v>19508</v>
      </c>
      <c r="K243" s="22" t="s">
        <v>12776</v>
      </c>
      <c r="L243" s="22" t="s">
        <v>12864</v>
      </c>
      <c r="M243" s="22" t="s">
        <v>12929</v>
      </c>
      <c r="N243" s="25" t="str">
        <f>HYPERLINK("http://images.bloomingdales.com/is/image/BLM/12126365 ")</f>
        <v xml:space="preserve">http://images.bloomingdales.com/is/image/BLM/12126365 </v>
      </c>
    </row>
    <row r="244" spans="1:14" ht="24.75" x14ac:dyDescent="0.25">
      <c r="A244" s="21" t="s">
        <v>15847</v>
      </c>
      <c r="B244" s="22" t="s">
        <v>15848</v>
      </c>
      <c r="C244" s="2">
        <v>2</v>
      </c>
      <c r="D244" s="23">
        <v>18.989999999999998</v>
      </c>
      <c r="E244" s="3">
        <v>37.979999999999997</v>
      </c>
      <c r="F244" s="2" t="s">
        <v>19813</v>
      </c>
      <c r="G244" s="22" t="s">
        <v>19814</v>
      </c>
      <c r="H244" s="24" t="s">
        <v>19364</v>
      </c>
      <c r="I244" s="22" t="s">
        <v>19309</v>
      </c>
      <c r="J244" s="22" t="s">
        <v>19815</v>
      </c>
      <c r="K244" s="22" t="s">
        <v>19816</v>
      </c>
      <c r="L244" s="22"/>
      <c r="M244" s="22"/>
      <c r="N244" s="25" t="str">
        <f>HYPERLINK("http://slimages.macys.com/is/image/MCY/20549863 ")</f>
        <v xml:space="preserve">http://slimages.macys.com/is/image/MCY/20549863 </v>
      </c>
    </row>
    <row r="245" spans="1:14" ht="24.75" x14ac:dyDescent="0.25">
      <c r="A245" s="21" t="s">
        <v>12994</v>
      </c>
      <c r="B245" s="22" t="s">
        <v>12995</v>
      </c>
      <c r="C245" s="2">
        <v>1</v>
      </c>
      <c r="D245" s="23">
        <v>18.989999999999998</v>
      </c>
      <c r="E245" s="3">
        <v>18.989999999999998</v>
      </c>
      <c r="F245" s="2" t="s">
        <v>19813</v>
      </c>
      <c r="G245" s="22" t="s">
        <v>19814</v>
      </c>
      <c r="H245" s="24" t="s">
        <v>19352</v>
      </c>
      <c r="I245" s="22" t="s">
        <v>19309</v>
      </c>
      <c r="J245" s="22" t="s">
        <v>19815</v>
      </c>
      <c r="K245" s="22" t="s">
        <v>19816</v>
      </c>
      <c r="L245" s="22"/>
      <c r="M245" s="22"/>
      <c r="N245" s="25" t="str">
        <f>HYPERLINK("http://slimages.macys.com/is/image/MCY/20549863 ")</f>
        <v xml:space="preserve">http://slimages.macys.com/is/image/MCY/20549863 </v>
      </c>
    </row>
    <row r="246" spans="1:14" x14ac:dyDescent="0.25">
      <c r="A246" s="21" t="s">
        <v>12996</v>
      </c>
      <c r="B246" s="22" t="s">
        <v>12997</v>
      </c>
      <c r="C246" s="2">
        <v>1</v>
      </c>
      <c r="D246" s="23">
        <v>23.29</v>
      </c>
      <c r="E246" s="3">
        <v>23.29</v>
      </c>
      <c r="F246" s="2" t="s">
        <v>17890</v>
      </c>
      <c r="G246" s="22" t="s">
        <v>19879</v>
      </c>
      <c r="H246" s="24" t="s">
        <v>20152</v>
      </c>
      <c r="I246" s="22" t="s">
        <v>19309</v>
      </c>
      <c r="J246" s="22" t="s">
        <v>19708</v>
      </c>
      <c r="K246" s="22" t="s">
        <v>19709</v>
      </c>
      <c r="L246" s="22"/>
      <c r="M246" s="22"/>
      <c r="N246" s="25" t="str">
        <f>HYPERLINK("http://slimages.macys.com/is/image/MCY/22407537 ")</f>
        <v xml:space="preserve">http://slimages.macys.com/is/image/MCY/22407537 </v>
      </c>
    </row>
    <row r="247" spans="1:14" x14ac:dyDescent="0.25">
      <c r="A247" s="21" t="s">
        <v>12998</v>
      </c>
      <c r="B247" s="22" t="s">
        <v>12999</v>
      </c>
      <c r="C247" s="2">
        <v>1</v>
      </c>
      <c r="D247" s="23">
        <v>23.29</v>
      </c>
      <c r="E247" s="3">
        <v>23.29</v>
      </c>
      <c r="F247" s="2" t="s">
        <v>17890</v>
      </c>
      <c r="G247" s="22" t="s">
        <v>19879</v>
      </c>
      <c r="H247" s="24" t="s">
        <v>20159</v>
      </c>
      <c r="I247" s="22" t="s">
        <v>19309</v>
      </c>
      <c r="J247" s="22" t="s">
        <v>19708</v>
      </c>
      <c r="K247" s="22" t="s">
        <v>19709</v>
      </c>
      <c r="L247" s="22"/>
      <c r="M247" s="22"/>
      <c r="N247" s="25" t="str">
        <f>HYPERLINK("http://slimages.macys.com/is/image/MCY/22407537 ")</f>
        <v xml:space="preserve">http://slimages.macys.com/is/image/MCY/22407537 </v>
      </c>
    </row>
    <row r="248" spans="1:14" x14ac:dyDescent="0.25">
      <c r="A248" s="21" t="s">
        <v>13000</v>
      </c>
      <c r="B248" s="22" t="s">
        <v>13001</v>
      </c>
      <c r="C248" s="2">
        <v>1</v>
      </c>
      <c r="D248" s="23">
        <v>25.07</v>
      </c>
      <c r="E248" s="3">
        <v>25.07</v>
      </c>
      <c r="F248" s="2" t="s">
        <v>13002</v>
      </c>
      <c r="G248" s="22"/>
      <c r="H248" s="24" t="s">
        <v>19416</v>
      </c>
      <c r="I248" s="22" t="s">
        <v>19309</v>
      </c>
      <c r="J248" s="22" t="s">
        <v>19708</v>
      </c>
      <c r="K248" s="22" t="s">
        <v>19754</v>
      </c>
      <c r="L248" s="22"/>
      <c r="M248" s="22"/>
      <c r="N248" s="25" t="str">
        <f>HYPERLINK("http://slimages.macys.com/is/image/MCY/18645691 ")</f>
        <v xml:space="preserve">http://slimages.macys.com/is/image/MCY/18645691 </v>
      </c>
    </row>
    <row r="249" spans="1:14" x14ac:dyDescent="0.25">
      <c r="A249" s="21" t="s">
        <v>13003</v>
      </c>
      <c r="B249" s="22" t="s">
        <v>13004</v>
      </c>
      <c r="C249" s="2">
        <v>1</v>
      </c>
      <c r="D249" s="23">
        <v>23.29</v>
      </c>
      <c r="E249" s="3">
        <v>23.29</v>
      </c>
      <c r="F249" s="2" t="s">
        <v>17890</v>
      </c>
      <c r="G249" s="22" t="s">
        <v>19879</v>
      </c>
      <c r="H249" s="24" t="s">
        <v>19416</v>
      </c>
      <c r="I249" s="22" t="s">
        <v>19309</v>
      </c>
      <c r="J249" s="22" t="s">
        <v>19708</v>
      </c>
      <c r="K249" s="22" t="s">
        <v>19709</v>
      </c>
      <c r="L249" s="22"/>
      <c r="M249" s="22"/>
      <c r="N249" s="25" t="str">
        <f>HYPERLINK("http://slimages.macys.com/is/image/MCY/22407537 ")</f>
        <v xml:space="preserve">http://slimages.macys.com/is/image/MCY/22407537 </v>
      </c>
    </row>
    <row r="250" spans="1:14" x14ac:dyDescent="0.25">
      <c r="A250" s="21" t="s">
        <v>13005</v>
      </c>
      <c r="B250" s="22" t="s">
        <v>13006</v>
      </c>
      <c r="C250" s="2">
        <v>1</v>
      </c>
      <c r="D250" s="23">
        <v>23.29</v>
      </c>
      <c r="E250" s="3">
        <v>23.29</v>
      </c>
      <c r="F250" s="2" t="s">
        <v>17890</v>
      </c>
      <c r="G250" s="22" t="s">
        <v>19879</v>
      </c>
      <c r="H250" s="24" t="s">
        <v>19367</v>
      </c>
      <c r="I250" s="22" t="s">
        <v>19309</v>
      </c>
      <c r="J250" s="22" t="s">
        <v>19708</v>
      </c>
      <c r="K250" s="22" t="s">
        <v>19709</v>
      </c>
      <c r="L250" s="22"/>
      <c r="M250" s="22"/>
      <c r="N250" s="25" t="str">
        <f>HYPERLINK("http://slimages.macys.com/is/image/MCY/22407537 ")</f>
        <v xml:space="preserve">http://slimages.macys.com/is/image/MCY/22407537 </v>
      </c>
    </row>
    <row r="251" spans="1:14" x14ac:dyDescent="0.25">
      <c r="A251" s="21" t="s">
        <v>13007</v>
      </c>
      <c r="B251" s="22" t="s">
        <v>13008</v>
      </c>
      <c r="C251" s="2">
        <v>1</v>
      </c>
      <c r="D251" s="23">
        <v>23.29</v>
      </c>
      <c r="E251" s="3">
        <v>23.29</v>
      </c>
      <c r="F251" s="2" t="s">
        <v>17890</v>
      </c>
      <c r="G251" s="22" t="s">
        <v>19879</v>
      </c>
      <c r="H251" s="24" t="s">
        <v>19324</v>
      </c>
      <c r="I251" s="22" t="s">
        <v>19309</v>
      </c>
      <c r="J251" s="22" t="s">
        <v>19708</v>
      </c>
      <c r="K251" s="22" t="s">
        <v>19709</v>
      </c>
      <c r="L251" s="22"/>
      <c r="M251" s="22"/>
      <c r="N251" s="25" t="str">
        <f>HYPERLINK("http://slimages.macys.com/is/image/MCY/22407537 ")</f>
        <v xml:space="preserve">http://slimages.macys.com/is/image/MCY/22407537 </v>
      </c>
    </row>
    <row r="252" spans="1:14" x14ac:dyDescent="0.25">
      <c r="A252" s="21" t="s">
        <v>13009</v>
      </c>
      <c r="B252" s="22" t="s">
        <v>13010</v>
      </c>
      <c r="C252" s="2">
        <v>1</v>
      </c>
      <c r="D252" s="23">
        <v>26</v>
      </c>
      <c r="E252" s="3">
        <v>26</v>
      </c>
      <c r="F252" s="2" t="s">
        <v>13011</v>
      </c>
      <c r="G252" s="22" t="s">
        <v>19351</v>
      </c>
      <c r="H252" s="24" t="s">
        <v>19345</v>
      </c>
      <c r="I252" s="22" t="s">
        <v>14376</v>
      </c>
      <c r="J252" s="22" t="s">
        <v>19559</v>
      </c>
      <c r="K252" s="22" t="s">
        <v>19458</v>
      </c>
      <c r="L252" s="22" t="s">
        <v>19434</v>
      </c>
      <c r="M252" s="22" t="s">
        <v>19320</v>
      </c>
      <c r="N252" s="25" t="str">
        <f>HYPERLINK("http://images.bloomingdales.com/is/image/BLM/12076877 ")</f>
        <v xml:space="preserve">http://images.bloomingdales.com/is/image/BLM/12076877 </v>
      </c>
    </row>
    <row r="253" spans="1:14" ht="24.75" x14ac:dyDescent="0.25">
      <c r="A253" s="21" t="s">
        <v>13012</v>
      </c>
      <c r="B253" s="22" t="s">
        <v>13013</v>
      </c>
      <c r="C253" s="2">
        <v>1</v>
      </c>
      <c r="D253" s="23">
        <v>21.99</v>
      </c>
      <c r="E253" s="3">
        <v>21.99</v>
      </c>
      <c r="F253" s="2" t="s">
        <v>15851</v>
      </c>
      <c r="G253" s="22" t="s">
        <v>19357</v>
      </c>
      <c r="H253" s="24" t="s">
        <v>19377</v>
      </c>
      <c r="I253" s="22" t="s">
        <v>19309</v>
      </c>
      <c r="J253" s="22" t="s">
        <v>19595</v>
      </c>
      <c r="K253" s="22" t="s">
        <v>19596</v>
      </c>
      <c r="L253" s="22"/>
      <c r="M253" s="22"/>
      <c r="N253" s="25" t="str">
        <f>HYPERLINK("http://slimages.macys.com/is/image/MCY/21909784 ")</f>
        <v xml:space="preserve">http://slimages.macys.com/is/image/MCY/21909784 </v>
      </c>
    </row>
    <row r="254" spans="1:14" ht="24.75" x14ac:dyDescent="0.25">
      <c r="A254" s="21" t="s">
        <v>13014</v>
      </c>
      <c r="B254" s="22" t="s">
        <v>13015</v>
      </c>
      <c r="C254" s="2">
        <v>1</v>
      </c>
      <c r="D254" s="23">
        <v>21.99</v>
      </c>
      <c r="E254" s="3">
        <v>21.99</v>
      </c>
      <c r="F254" s="2" t="s">
        <v>15851</v>
      </c>
      <c r="G254" s="22" t="s">
        <v>19357</v>
      </c>
      <c r="H254" s="24" t="s">
        <v>19361</v>
      </c>
      <c r="I254" s="22" t="s">
        <v>19309</v>
      </c>
      <c r="J254" s="22" t="s">
        <v>19595</v>
      </c>
      <c r="K254" s="22" t="s">
        <v>19596</v>
      </c>
      <c r="L254" s="22"/>
      <c r="M254" s="22"/>
      <c r="N254" s="25" t="str">
        <f>HYPERLINK("http://slimages.macys.com/is/image/MCY/21909784 ")</f>
        <v xml:space="preserve">http://slimages.macys.com/is/image/MCY/21909784 </v>
      </c>
    </row>
    <row r="255" spans="1:14" ht="24.75" x14ac:dyDescent="0.25">
      <c r="A255" s="21" t="s">
        <v>15849</v>
      </c>
      <c r="B255" s="22" t="s">
        <v>15850</v>
      </c>
      <c r="C255" s="2">
        <v>1</v>
      </c>
      <c r="D255" s="23">
        <v>21.99</v>
      </c>
      <c r="E255" s="3">
        <v>21.99</v>
      </c>
      <c r="F255" s="2" t="s">
        <v>15851</v>
      </c>
      <c r="G255" s="22" t="s">
        <v>19357</v>
      </c>
      <c r="H255" s="24" t="s">
        <v>19334</v>
      </c>
      <c r="I255" s="22" t="s">
        <v>19309</v>
      </c>
      <c r="J255" s="22" t="s">
        <v>19595</v>
      </c>
      <c r="K255" s="22" t="s">
        <v>19596</v>
      </c>
      <c r="L255" s="22"/>
      <c r="M255" s="22"/>
      <c r="N255" s="25" t="str">
        <f>HYPERLINK("http://slimages.macys.com/is/image/MCY/21909786 ")</f>
        <v xml:space="preserve">http://slimages.macys.com/is/image/MCY/21909786 </v>
      </c>
    </row>
    <row r="256" spans="1:14" ht="24.75" x14ac:dyDescent="0.25">
      <c r="A256" s="21" t="s">
        <v>15852</v>
      </c>
      <c r="B256" s="22" t="s">
        <v>15853</v>
      </c>
      <c r="C256" s="2">
        <v>1</v>
      </c>
      <c r="D256" s="23">
        <v>21.99</v>
      </c>
      <c r="E256" s="3">
        <v>21.99</v>
      </c>
      <c r="F256" s="2" t="s">
        <v>15851</v>
      </c>
      <c r="G256" s="22" t="s">
        <v>19357</v>
      </c>
      <c r="H256" s="24" t="s">
        <v>19542</v>
      </c>
      <c r="I256" s="22" t="s">
        <v>19309</v>
      </c>
      <c r="J256" s="22" t="s">
        <v>19595</v>
      </c>
      <c r="K256" s="22" t="s">
        <v>19596</v>
      </c>
      <c r="L256" s="22"/>
      <c r="M256" s="22"/>
      <c r="N256" s="25" t="str">
        <f>HYPERLINK("http://slimages.macys.com/is/image/MCY/21909784 ")</f>
        <v xml:space="preserve">http://slimages.macys.com/is/image/MCY/21909784 </v>
      </c>
    </row>
    <row r="257" spans="1:14" ht="36.75" x14ac:dyDescent="0.25">
      <c r="A257" s="21" t="s">
        <v>13016</v>
      </c>
      <c r="B257" s="22" t="s">
        <v>13017</v>
      </c>
      <c r="C257" s="2">
        <v>1</v>
      </c>
      <c r="D257" s="23">
        <v>28</v>
      </c>
      <c r="E257" s="3">
        <v>28</v>
      </c>
      <c r="F257" s="2" t="s">
        <v>13018</v>
      </c>
      <c r="G257" s="22" t="s">
        <v>19333</v>
      </c>
      <c r="H257" s="24" t="s">
        <v>19364</v>
      </c>
      <c r="I257" s="22" t="s">
        <v>14376</v>
      </c>
      <c r="J257" s="22" t="s">
        <v>19508</v>
      </c>
      <c r="K257" s="22" t="s">
        <v>14581</v>
      </c>
      <c r="L257" s="22" t="s">
        <v>17554</v>
      </c>
      <c r="M257" s="22" t="s">
        <v>12748</v>
      </c>
      <c r="N257" s="25" t="str">
        <f>HYPERLINK("http://images.bloomingdales.com/is/image/BLM/11889700 ")</f>
        <v xml:space="preserve">http://images.bloomingdales.com/is/image/BLM/11889700 </v>
      </c>
    </row>
    <row r="258" spans="1:14" x14ac:dyDescent="0.25">
      <c r="A258" s="21" t="s">
        <v>13019</v>
      </c>
      <c r="B258" s="22" t="s">
        <v>13020</v>
      </c>
      <c r="C258" s="2">
        <v>1</v>
      </c>
      <c r="D258" s="23">
        <v>20</v>
      </c>
      <c r="E258" s="3">
        <v>20</v>
      </c>
      <c r="F258" s="2" t="s">
        <v>13021</v>
      </c>
      <c r="G258" s="22" t="s">
        <v>19315</v>
      </c>
      <c r="H258" s="24" t="s">
        <v>19352</v>
      </c>
      <c r="I258" s="22" t="s">
        <v>19309</v>
      </c>
      <c r="J258" s="22" t="s">
        <v>19310</v>
      </c>
      <c r="K258" s="22" t="s">
        <v>17538</v>
      </c>
      <c r="L258" s="22"/>
      <c r="M258" s="22"/>
      <c r="N258" s="25" t="str">
        <f>HYPERLINK("http://slimages.macys.com/is/image/MCY/18678409 ")</f>
        <v xml:space="preserve">http://slimages.macys.com/is/image/MCY/18678409 </v>
      </c>
    </row>
    <row r="259" spans="1:14" x14ac:dyDescent="0.25">
      <c r="A259" s="21" t="s">
        <v>13022</v>
      </c>
      <c r="B259" s="22" t="s">
        <v>13023</v>
      </c>
      <c r="C259" s="2">
        <v>1</v>
      </c>
      <c r="D259" s="23">
        <v>20</v>
      </c>
      <c r="E259" s="3">
        <v>20</v>
      </c>
      <c r="F259" s="2" t="s">
        <v>13021</v>
      </c>
      <c r="G259" s="22" t="s">
        <v>19315</v>
      </c>
      <c r="H259" s="24" t="s">
        <v>19364</v>
      </c>
      <c r="I259" s="22" t="s">
        <v>19309</v>
      </c>
      <c r="J259" s="22" t="s">
        <v>19310</v>
      </c>
      <c r="K259" s="22" t="s">
        <v>17538</v>
      </c>
      <c r="L259" s="22"/>
      <c r="M259" s="22"/>
      <c r="N259" s="25" t="str">
        <f>HYPERLINK("http://slimages.macys.com/is/image/MCY/18678409 ")</f>
        <v xml:space="preserve">http://slimages.macys.com/is/image/MCY/18678409 </v>
      </c>
    </row>
    <row r="260" spans="1:14" ht="24.75" x14ac:dyDescent="0.25">
      <c r="A260" s="21" t="s">
        <v>17954</v>
      </c>
      <c r="B260" s="22" t="s">
        <v>17955</v>
      </c>
      <c r="C260" s="2">
        <v>1</v>
      </c>
      <c r="D260" s="23">
        <v>17.989999999999998</v>
      </c>
      <c r="E260" s="3">
        <v>17.989999999999998</v>
      </c>
      <c r="F260" s="2" t="s">
        <v>17956</v>
      </c>
      <c r="G260" s="22" t="s">
        <v>19351</v>
      </c>
      <c r="H260" s="24" t="s">
        <v>19797</v>
      </c>
      <c r="I260" s="22" t="s">
        <v>19309</v>
      </c>
      <c r="J260" s="22" t="s">
        <v>19447</v>
      </c>
      <c r="K260" s="22" t="s">
        <v>19533</v>
      </c>
      <c r="L260" s="22"/>
      <c r="M260" s="22"/>
      <c r="N260" s="25" t="str">
        <f>HYPERLINK("http://slimages.macys.com/is/image/MCY/21253722 ")</f>
        <v xml:space="preserve">http://slimages.macys.com/is/image/MCY/21253722 </v>
      </c>
    </row>
    <row r="261" spans="1:14" x14ac:dyDescent="0.25">
      <c r="A261" s="21" t="s">
        <v>13024</v>
      </c>
      <c r="B261" s="22" t="s">
        <v>13025</v>
      </c>
      <c r="C261" s="2">
        <v>1</v>
      </c>
      <c r="D261" s="23">
        <v>18.329999999999998</v>
      </c>
      <c r="E261" s="3">
        <v>18.329999999999998</v>
      </c>
      <c r="F261" s="2" t="s">
        <v>13026</v>
      </c>
      <c r="G261" s="22" t="s">
        <v>19342</v>
      </c>
      <c r="H261" s="24" t="s">
        <v>19392</v>
      </c>
      <c r="I261" s="22" t="s">
        <v>19309</v>
      </c>
      <c r="J261" s="22" t="s">
        <v>19514</v>
      </c>
      <c r="K261" s="22" t="s">
        <v>17948</v>
      </c>
      <c r="L261" s="22"/>
      <c r="M261" s="22"/>
      <c r="N261" s="25" t="str">
        <f>HYPERLINK("http://slimages.macys.com/is/image/MCY/21701093 ")</f>
        <v xml:space="preserve">http://slimages.macys.com/is/image/MCY/21701093 </v>
      </c>
    </row>
    <row r="262" spans="1:14" x14ac:dyDescent="0.25">
      <c r="A262" s="21" t="s">
        <v>17949</v>
      </c>
      <c r="B262" s="22" t="s">
        <v>17950</v>
      </c>
      <c r="C262" s="2">
        <v>1</v>
      </c>
      <c r="D262" s="23">
        <v>18.329999999999998</v>
      </c>
      <c r="E262" s="3">
        <v>18.329999999999998</v>
      </c>
      <c r="F262" s="2" t="s">
        <v>17951</v>
      </c>
      <c r="G262" s="22" t="s">
        <v>19342</v>
      </c>
      <c r="H262" s="24" t="s">
        <v>19345</v>
      </c>
      <c r="I262" s="22" t="s">
        <v>19309</v>
      </c>
      <c r="J262" s="22" t="s">
        <v>19514</v>
      </c>
      <c r="K262" s="22" t="s">
        <v>17948</v>
      </c>
      <c r="L262" s="22"/>
      <c r="M262" s="22"/>
      <c r="N262" s="25" t="str">
        <f>HYPERLINK("http://slimages.macys.com/is/image/MCY/21701118 ")</f>
        <v xml:space="preserve">http://slimages.macys.com/is/image/MCY/21701118 </v>
      </c>
    </row>
    <row r="263" spans="1:14" ht="24.75" x14ac:dyDescent="0.25">
      <c r="A263" s="21" t="s">
        <v>15315</v>
      </c>
      <c r="B263" s="22" t="s">
        <v>15316</v>
      </c>
      <c r="C263" s="2">
        <v>1</v>
      </c>
      <c r="D263" s="23">
        <v>18.989999999999998</v>
      </c>
      <c r="E263" s="3">
        <v>18.989999999999998</v>
      </c>
      <c r="F263" s="2" t="s">
        <v>15302</v>
      </c>
      <c r="G263" s="22" t="s">
        <v>19814</v>
      </c>
      <c r="H263" s="24" t="s">
        <v>19339</v>
      </c>
      <c r="I263" s="22" t="s">
        <v>19309</v>
      </c>
      <c r="J263" s="22" t="s">
        <v>19815</v>
      </c>
      <c r="K263" s="22" t="s">
        <v>19816</v>
      </c>
      <c r="L263" s="22"/>
      <c r="M263" s="22"/>
      <c r="N263" s="25" t="str">
        <f>HYPERLINK("http://slimages.macys.com/is/image/MCY/20549845 ")</f>
        <v xml:space="preserve">http://slimages.macys.com/is/image/MCY/20549845 </v>
      </c>
    </row>
    <row r="264" spans="1:14" ht="24.75" x14ac:dyDescent="0.25">
      <c r="A264" s="21" t="s">
        <v>15303</v>
      </c>
      <c r="B264" s="22" t="s">
        <v>15304</v>
      </c>
      <c r="C264" s="2">
        <v>4</v>
      </c>
      <c r="D264" s="23">
        <v>18.989999999999998</v>
      </c>
      <c r="E264" s="3">
        <v>75.959999999999994</v>
      </c>
      <c r="F264" s="2" t="s">
        <v>15302</v>
      </c>
      <c r="G264" s="22" t="s">
        <v>19814</v>
      </c>
      <c r="H264" s="24" t="s">
        <v>19364</v>
      </c>
      <c r="I264" s="22" t="s">
        <v>19309</v>
      </c>
      <c r="J264" s="22" t="s">
        <v>19815</v>
      </c>
      <c r="K264" s="22" t="s">
        <v>19816</v>
      </c>
      <c r="L264" s="22"/>
      <c r="M264" s="22"/>
      <c r="N264" s="25" t="str">
        <f>HYPERLINK("http://slimages.macys.com/is/image/MCY/20549845 ")</f>
        <v xml:space="preserve">http://slimages.macys.com/is/image/MCY/20549845 </v>
      </c>
    </row>
    <row r="265" spans="1:14" ht="24.75" x14ac:dyDescent="0.25">
      <c r="A265" s="21" t="s">
        <v>15300</v>
      </c>
      <c r="B265" s="22" t="s">
        <v>15301</v>
      </c>
      <c r="C265" s="2">
        <v>2</v>
      </c>
      <c r="D265" s="23">
        <v>18.989999999999998</v>
      </c>
      <c r="E265" s="3">
        <v>37.979999999999997</v>
      </c>
      <c r="F265" s="2" t="s">
        <v>15302</v>
      </c>
      <c r="G265" s="22" t="s">
        <v>19814</v>
      </c>
      <c r="H265" s="24" t="s">
        <v>19308</v>
      </c>
      <c r="I265" s="22" t="s">
        <v>19309</v>
      </c>
      <c r="J265" s="22" t="s">
        <v>19815</v>
      </c>
      <c r="K265" s="22" t="s">
        <v>19816</v>
      </c>
      <c r="L265" s="22"/>
      <c r="M265" s="22"/>
      <c r="N265" s="25" t="str">
        <f>HYPERLINK("http://slimages.macys.com/is/image/MCY/20549845 ")</f>
        <v xml:space="preserve">http://slimages.macys.com/is/image/MCY/20549845 </v>
      </c>
    </row>
    <row r="266" spans="1:14" ht="24.75" x14ac:dyDescent="0.25">
      <c r="A266" s="21" t="s">
        <v>13027</v>
      </c>
      <c r="B266" s="22" t="s">
        <v>13028</v>
      </c>
      <c r="C266" s="2">
        <v>1</v>
      </c>
      <c r="D266" s="23">
        <v>16.989999999999998</v>
      </c>
      <c r="E266" s="3">
        <v>16.989999999999998</v>
      </c>
      <c r="F266" s="2">
        <v>10015239400</v>
      </c>
      <c r="G266" s="22" t="s">
        <v>19351</v>
      </c>
      <c r="H266" s="24" t="s">
        <v>19538</v>
      </c>
      <c r="I266" s="22" t="s">
        <v>19309</v>
      </c>
      <c r="J266" s="22" t="s">
        <v>19573</v>
      </c>
      <c r="K266" s="22" t="s">
        <v>19574</v>
      </c>
      <c r="L266" s="22"/>
      <c r="M266" s="22"/>
      <c r="N266" s="25" t="str">
        <f>HYPERLINK("http://slimages.macys.com/is/image/MCY/1712799 ")</f>
        <v xml:space="preserve">http://slimages.macys.com/is/image/MCY/1712799 </v>
      </c>
    </row>
    <row r="267" spans="1:14" ht="24.75" x14ac:dyDescent="0.25">
      <c r="A267" s="21" t="s">
        <v>13029</v>
      </c>
      <c r="B267" s="22" t="s">
        <v>13030</v>
      </c>
      <c r="C267" s="2">
        <v>2</v>
      </c>
      <c r="D267" s="23">
        <v>16.989999999999998</v>
      </c>
      <c r="E267" s="3">
        <v>33.979999999999997</v>
      </c>
      <c r="F267" s="2" t="s">
        <v>13031</v>
      </c>
      <c r="G267" s="22" t="s">
        <v>19351</v>
      </c>
      <c r="H267" s="24"/>
      <c r="I267" s="22" t="s">
        <v>19309</v>
      </c>
      <c r="J267" s="22" t="s">
        <v>19573</v>
      </c>
      <c r="K267" s="22" t="s">
        <v>19574</v>
      </c>
      <c r="L267" s="22"/>
      <c r="M267" s="22"/>
      <c r="N267" s="25" t="str">
        <f>HYPERLINK("http://slimages.macys.com/is/image/MCY/1679025 ")</f>
        <v xml:space="preserve">http://slimages.macys.com/is/image/MCY/1679025 </v>
      </c>
    </row>
    <row r="268" spans="1:14" ht="24.75" x14ac:dyDescent="0.25">
      <c r="A268" s="21" t="s">
        <v>19927</v>
      </c>
      <c r="B268" s="22" t="s">
        <v>19928</v>
      </c>
      <c r="C268" s="2">
        <v>2</v>
      </c>
      <c r="D268" s="23">
        <v>18.989999999999998</v>
      </c>
      <c r="E268" s="3">
        <v>37.979999999999997</v>
      </c>
      <c r="F268" s="2">
        <v>10015242200</v>
      </c>
      <c r="G268" s="22" t="s">
        <v>19315</v>
      </c>
      <c r="H268" s="24" t="s">
        <v>19384</v>
      </c>
      <c r="I268" s="22" t="s">
        <v>19309</v>
      </c>
      <c r="J268" s="22" t="s">
        <v>19573</v>
      </c>
      <c r="K268" s="22" t="s">
        <v>19574</v>
      </c>
      <c r="L268" s="22"/>
      <c r="M268" s="22"/>
      <c r="N268" s="25" t="str">
        <f t="shared" ref="N268:N277" si="0">HYPERLINK("http://slimages.macys.com/is/image/MCY/1322715 ")</f>
        <v xml:space="preserve">http://slimages.macys.com/is/image/MCY/1322715 </v>
      </c>
    </row>
    <row r="269" spans="1:14" ht="24.75" x14ac:dyDescent="0.25">
      <c r="A269" s="21" t="s">
        <v>19917</v>
      </c>
      <c r="B269" s="22" t="s">
        <v>19918</v>
      </c>
      <c r="C269" s="2">
        <v>1</v>
      </c>
      <c r="D269" s="23">
        <v>18.989999999999998</v>
      </c>
      <c r="E269" s="3">
        <v>18.989999999999998</v>
      </c>
      <c r="F269" s="2">
        <v>10015242200</v>
      </c>
      <c r="G269" s="22" t="s">
        <v>19315</v>
      </c>
      <c r="H269" s="24"/>
      <c r="I269" s="22" t="s">
        <v>19309</v>
      </c>
      <c r="J269" s="22" t="s">
        <v>19573</v>
      </c>
      <c r="K269" s="22" t="s">
        <v>19574</v>
      </c>
      <c r="L269" s="22"/>
      <c r="M269" s="22"/>
      <c r="N269" s="25" t="str">
        <f t="shared" si="0"/>
        <v xml:space="preserve">http://slimages.macys.com/is/image/MCY/1322715 </v>
      </c>
    </row>
    <row r="270" spans="1:14" ht="24.75" x14ac:dyDescent="0.25">
      <c r="A270" s="21" t="s">
        <v>19912</v>
      </c>
      <c r="B270" s="22" t="s">
        <v>19913</v>
      </c>
      <c r="C270" s="2">
        <v>3</v>
      </c>
      <c r="D270" s="23">
        <v>18.989999999999998</v>
      </c>
      <c r="E270" s="3">
        <v>56.97</v>
      </c>
      <c r="F270" s="2" t="s">
        <v>19914</v>
      </c>
      <c r="G270" s="22" t="s">
        <v>19713</v>
      </c>
      <c r="H270" s="24" t="s">
        <v>19384</v>
      </c>
      <c r="I270" s="22" t="s">
        <v>19309</v>
      </c>
      <c r="J270" s="22" t="s">
        <v>19573</v>
      </c>
      <c r="K270" s="22" t="s">
        <v>19574</v>
      </c>
      <c r="L270" s="22"/>
      <c r="M270" s="22"/>
      <c r="N270" s="25" t="str">
        <f t="shared" si="0"/>
        <v xml:space="preserve">http://slimages.macys.com/is/image/MCY/1322715 </v>
      </c>
    </row>
    <row r="271" spans="1:14" ht="24.75" x14ac:dyDescent="0.25">
      <c r="A271" s="21" t="s">
        <v>17967</v>
      </c>
      <c r="B271" s="22" t="s">
        <v>17968</v>
      </c>
      <c r="C271" s="2">
        <v>2</v>
      </c>
      <c r="D271" s="23">
        <v>18.989999999999998</v>
      </c>
      <c r="E271" s="3">
        <v>37.979999999999997</v>
      </c>
      <c r="F271" s="2" t="s">
        <v>19914</v>
      </c>
      <c r="G271" s="22" t="s">
        <v>19713</v>
      </c>
      <c r="H271" s="24" t="s">
        <v>19770</v>
      </c>
      <c r="I271" s="22" t="s">
        <v>19309</v>
      </c>
      <c r="J271" s="22" t="s">
        <v>19573</v>
      </c>
      <c r="K271" s="22" t="s">
        <v>19574</v>
      </c>
      <c r="L271" s="22"/>
      <c r="M271" s="22"/>
      <c r="N271" s="25" t="str">
        <f t="shared" si="0"/>
        <v xml:space="preserve">http://slimages.macys.com/is/image/MCY/1322715 </v>
      </c>
    </row>
    <row r="272" spans="1:14" ht="24.75" x14ac:dyDescent="0.25">
      <c r="A272" s="21" t="s">
        <v>13032</v>
      </c>
      <c r="B272" s="22" t="s">
        <v>13033</v>
      </c>
      <c r="C272" s="2">
        <v>1</v>
      </c>
      <c r="D272" s="23">
        <v>18.989999999999998</v>
      </c>
      <c r="E272" s="3">
        <v>18.989999999999998</v>
      </c>
      <c r="F272" s="2">
        <v>10015242300</v>
      </c>
      <c r="G272" s="22" t="s">
        <v>19518</v>
      </c>
      <c r="H272" s="24" t="s">
        <v>19384</v>
      </c>
      <c r="I272" s="22" t="s">
        <v>19309</v>
      </c>
      <c r="J272" s="22" t="s">
        <v>19573</v>
      </c>
      <c r="K272" s="22" t="s">
        <v>19574</v>
      </c>
      <c r="L272" s="22"/>
      <c r="M272" s="22"/>
      <c r="N272" s="25" t="str">
        <f t="shared" si="0"/>
        <v xml:space="preserve">http://slimages.macys.com/is/image/MCY/1322715 </v>
      </c>
    </row>
    <row r="273" spans="1:14" ht="24.75" x14ac:dyDescent="0.25">
      <c r="A273" s="21" t="s">
        <v>19923</v>
      </c>
      <c r="B273" s="22" t="s">
        <v>19924</v>
      </c>
      <c r="C273" s="2">
        <v>2</v>
      </c>
      <c r="D273" s="23">
        <v>18.989999999999998</v>
      </c>
      <c r="E273" s="3">
        <v>37.979999999999997</v>
      </c>
      <c r="F273" s="2">
        <v>10015242300</v>
      </c>
      <c r="G273" s="22" t="s">
        <v>19518</v>
      </c>
      <c r="H273" s="24" t="s">
        <v>19770</v>
      </c>
      <c r="I273" s="22" t="s">
        <v>19309</v>
      </c>
      <c r="J273" s="22" t="s">
        <v>19573</v>
      </c>
      <c r="K273" s="22" t="s">
        <v>19574</v>
      </c>
      <c r="L273" s="22"/>
      <c r="M273" s="22"/>
      <c r="N273" s="25" t="str">
        <f t="shared" si="0"/>
        <v xml:space="preserve">http://slimages.macys.com/is/image/MCY/1322715 </v>
      </c>
    </row>
    <row r="274" spans="1:14" ht="24.75" x14ac:dyDescent="0.25">
      <c r="A274" s="21" t="s">
        <v>19915</v>
      </c>
      <c r="B274" s="22" t="s">
        <v>19916</v>
      </c>
      <c r="C274" s="2">
        <v>6</v>
      </c>
      <c r="D274" s="23">
        <v>18.989999999999998</v>
      </c>
      <c r="E274" s="3">
        <v>113.94</v>
      </c>
      <c r="F274" s="2" t="s">
        <v>19914</v>
      </c>
      <c r="G274" s="22" t="s">
        <v>19713</v>
      </c>
      <c r="H274" s="24"/>
      <c r="I274" s="22" t="s">
        <v>19309</v>
      </c>
      <c r="J274" s="22" t="s">
        <v>19573</v>
      </c>
      <c r="K274" s="22" t="s">
        <v>19574</v>
      </c>
      <c r="L274" s="22"/>
      <c r="M274" s="22"/>
      <c r="N274" s="25" t="str">
        <f t="shared" si="0"/>
        <v xml:space="preserve">http://slimages.macys.com/is/image/MCY/1322715 </v>
      </c>
    </row>
    <row r="275" spans="1:14" ht="24.75" x14ac:dyDescent="0.25">
      <c r="A275" s="21" t="s">
        <v>19919</v>
      </c>
      <c r="B275" s="22" t="s">
        <v>19920</v>
      </c>
      <c r="C275" s="2">
        <v>7</v>
      </c>
      <c r="D275" s="23">
        <v>18.989999999999998</v>
      </c>
      <c r="E275" s="3">
        <v>132.93</v>
      </c>
      <c r="F275" s="2">
        <v>10015242300</v>
      </c>
      <c r="G275" s="22" t="s">
        <v>19518</v>
      </c>
      <c r="H275" s="24"/>
      <c r="I275" s="22" t="s">
        <v>19309</v>
      </c>
      <c r="J275" s="22" t="s">
        <v>19573</v>
      </c>
      <c r="K275" s="22" t="s">
        <v>19574</v>
      </c>
      <c r="L275" s="22"/>
      <c r="M275" s="22"/>
      <c r="N275" s="25" t="str">
        <f t="shared" si="0"/>
        <v xml:space="preserve">http://slimages.macys.com/is/image/MCY/1322715 </v>
      </c>
    </row>
    <row r="276" spans="1:14" ht="24.75" x14ac:dyDescent="0.25">
      <c r="A276" s="21" t="s">
        <v>19925</v>
      </c>
      <c r="B276" s="22" t="s">
        <v>19926</v>
      </c>
      <c r="C276" s="2">
        <v>13</v>
      </c>
      <c r="D276" s="23">
        <v>18.989999999999998</v>
      </c>
      <c r="E276" s="3">
        <v>246.87</v>
      </c>
      <c r="F276" s="2" t="s">
        <v>19914</v>
      </c>
      <c r="G276" s="22" t="s">
        <v>19713</v>
      </c>
      <c r="H276" s="24" t="s">
        <v>19538</v>
      </c>
      <c r="I276" s="22" t="s">
        <v>19309</v>
      </c>
      <c r="J276" s="22" t="s">
        <v>19573</v>
      </c>
      <c r="K276" s="22" t="s">
        <v>19574</v>
      </c>
      <c r="L276" s="22"/>
      <c r="M276" s="22"/>
      <c r="N276" s="25" t="str">
        <f t="shared" si="0"/>
        <v xml:space="preserve">http://slimages.macys.com/is/image/MCY/1322715 </v>
      </c>
    </row>
    <row r="277" spans="1:14" ht="24.75" x14ac:dyDescent="0.25">
      <c r="A277" s="21" t="s">
        <v>19921</v>
      </c>
      <c r="B277" s="22" t="s">
        <v>19922</v>
      </c>
      <c r="C277" s="2">
        <v>7</v>
      </c>
      <c r="D277" s="23">
        <v>18.989999999999998</v>
      </c>
      <c r="E277" s="3">
        <v>132.93</v>
      </c>
      <c r="F277" s="2">
        <v>10015242300</v>
      </c>
      <c r="G277" s="22" t="s">
        <v>19518</v>
      </c>
      <c r="H277" s="24" t="s">
        <v>19538</v>
      </c>
      <c r="I277" s="22" t="s">
        <v>19309</v>
      </c>
      <c r="J277" s="22" t="s">
        <v>19573</v>
      </c>
      <c r="K277" s="22" t="s">
        <v>19574</v>
      </c>
      <c r="L277" s="22"/>
      <c r="M277" s="22"/>
      <c r="N277" s="25" t="str">
        <f t="shared" si="0"/>
        <v xml:space="preserve">http://slimages.macys.com/is/image/MCY/1322715 </v>
      </c>
    </row>
    <row r="278" spans="1:14" ht="24.75" x14ac:dyDescent="0.25">
      <c r="A278" s="21" t="s">
        <v>13034</v>
      </c>
      <c r="B278" s="22" t="s">
        <v>13035</v>
      </c>
      <c r="C278" s="2">
        <v>2</v>
      </c>
      <c r="D278" s="23">
        <v>30</v>
      </c>
      <c r="E278" s="3">
        <v>60</v>
      </c>
      <c r="F278" s="2" t="s">
        <v>13036</v>
      </c>
      <c r="G278" s="22" t="s">
        <v>19513</v>
      </c>
      <c r="H278" s="24" t="s">
        <v>19352</v>
      </c>
      <c r="I278" s="22" t="s">
        <v>19309</v>
      </c>
      <c r="J278" s="22" t="s">
        <v>19595</v>
      </c>
      <c r="K278" s="22" t="s">
        <v>13037</v>
      </c>
      <c r="L278" s="22"/>
      <c r="M278" s="22"/>
      <c r="N278" s="25" t="str">
        <f>HYPERLINK("http://slimages.macys.com/is/image/MCY/21594627 ")</f>
        <v xml:space="preserve">http://slimages.macys.com/is/image/MCY/21594627 </v>
      </c>
    </row>
    <row r="279" spans="1:14" ht="24.75" x14ac:dyDescent="0.25">
      <c r="A279" s="21" t="s">
        <v>13038</v>
      </c>
      <c r="B279" s="22" t="s">
        <v>13039</v>
      </c>
      <c r="C279" s="2">
        <v>1</v>
      </c>
      <c r="D279" s="23">
        <v>18.989999999999998</v>
      </c>
      <c r="E279" s="3">
        <v>18.989999999999998</v>
      </c>
      <c r="F279" s="2" t="s">
        <v>19931</v>
      </c>
      <c r="G279" s="22" t="s">
        <v>19351</v>
      </c>
      <c r="H279" s="24" t="s">
        <v>19352</v>
      </c>
      <c r="I279" s="22" t="s">
        <v>19309</v>
      </c>
      <c r="J279" s="22" t="s">
        <v>19310</v>
      </c>
      <c r="K279" s="22" t="s">
        <v>19932</v>
      </c>
      <c r="L279" s="22"/>
      <c r="M279" s="22"/>
      <c r="N279" s="25" t="str">
        <f>HYPERLINK("http://slimages.macys.com/is/image/MCY/21605187 ")</f>
        <v xml:space="preserve">http://slimages.macys.com/is/image/MCY/21605187 </v>
      </c>
    </row>
    <row r="280" spans="1:14" x14ac:dyDescent="0.25">
      <c r="A280" s="21" t="s">
        <v>13040</v>
      </c>
      <c r="B280" s="22" t="s">
        <v>13041</v>
      </c>
      <c r="C280" s="2">
        <v>4</v>
      </c>
      <c r="D280" s="23">
        <v>17.100000000000001</v>
      </c>
      <c r="E280" s="3">
        <v>68.400000000000006</v>
      </c>
      <c r="F280" s="2" t="s">
        <v>13042</v>
      </c>
      <c r="G280" s="22"/>
      <c r="H280" s="24" t="s">
        <v>20159</v>
      </c>
      <c r="I280" s="22" t="s">
        <v>19309</v>
      </c>
      <c r="J280" s="22" t="s">
        <v>19708</v>
      </c>
      <c r="K280" s="22" t="s">
        <v>19709</v>
      </c>
      <c r="L280" s="22"/>
      <c r="M280" s="22"/>
      <c r="N280" s="25" t="str">
        <f>HYPERLINK("http://slimages.macys.com/is/image/MCY/19063374 ")</f>
        <v xml:space="preserve">http://slimages.macys.com/is/image/MCY/19063374 </v>
      </c>
    </row>
    <row r="281" spans="1:14" x14ac:dyDescent="0.25">
      <c r="A281" s="21" t="s">
        <v>13043</v>
      </c>
      <c r="B281" s="22" t="s">
        <v>13044</v>
      </c>
      <c r="C281" s="2">
        <v>1</v>
      </c>
      <c r="D281" s="23">
        <v>17.100000000000001</v>
      </c>
      <c r="E281" s="3">
        <v>17.100000000000001</v>
      </c>
      <c r="F281" s="2" t="s">
        <v>19945</v>
      </c>
      <c r="G281" s="22" t="s">
        <v>19342</v>
      </c>
      <c r="H281" s="24" t="s">
        <v>19416</v>
      </c>
      <c r="I281" s="22" t="s">
        <v>19309</v>
      </c>
      <c r="J281" s="22" t="s">
        <v>19708</v>
      </c>
      <c r="K281" s="22" t="s">
        <v>19709</v>
      </c>
      <c r="L281" s="22"/>
      <c r="M281" s="22"/>
      <c r="N281" s="25" t="str">
        <f>HYPERLINK("http://slimages.macys.com/is/image/MCY/19847234 ")</f>
        <v xml:space="preserve">http://slimages.macys.com/is/image/MCY/19847234 </v>
      </c>
    </row>
    <row r="282" spans="1:14" x14ac:dyDescent="0.25">
      <c r="A282" s="21" t="s">
        <v>13045</v>
      </c>
      <c r="B282" s="22" t="s">
        <v>13046</v>
      </c>
      <c r="C282" s="2">
        <v>1</v>
      </c>
      <c r="D282" s="23">
        <v>17.100000000000001</v>
      </c>
      <c r="E282" s="3">
        <v>17.100000000000001</v>
      </c>
      <c r="F282" s="2" t="s">
        <v>13047</v>
      </c>
      <c r="G282" s="22"/>
      <c r="H282" s="24" t="s">
        <v>19770</v>
      </c>
      <c r="I282" s="22" t="s">
        <v>19309</v>
      </c>
      <c r="J282" s="22" t="s">
        <v>19708</v>
      </c>
      <c r="K282" s="22" t="s">
        <v>19709</v>
      </c>
      <c r="L282" s="22"/>
      <c r="M282" s="22"/>
      <c r="N282" s="25" t="str">
        <f>HYPERLINK("http://slimages.macys.com/is/image/MCY/21408963 ")</f>
        <v xml:space="preserve">http://slimages.macys.com/is/image/MCY/21408963 </v>
      </c>
    </row>
    <row r="283" spans="1:14" x14ac:dyDescent="0.25">
      <c r="A283" s="21" t="s">
        <v>18002</v>
      </c>
      <c r="B283" s="22" t="s">
        <v>18003</v>
      </c>
      <c r="C283" s="2">
        <v>1</v>
      </c>
      <c r="D283" s="23">
        <v>17.010000000000002</v>
      </c>
      <c r="E283" s="3">
        <v>17.010000000000002</v>
      </c>
      <c r="F283" s="2" t="s">
        <v>18004</v>
      </c>
      <c r="G283" s="22" t="s">
        <v>19333</v>
      </c>
      <c r="H283" s="24" t="s">
        <v>19770</v>
      </c>
      <c r="I283" s="22" t="s">
        <v>19309</v>
      </c>
      <c r="J283" s="22" t="s">
        <v>19708</v>
      </c>
      <c r="K283" s="22" t="s">
        <v>19709</v>
      </c>
      <c r="L283" s="22"/>
      <c r="M283" s="22"/>
      <c r="N283" s="25" t="str">
        <f>HYPERLINK("http://slimages.macys.com/is/image/MCY/19063267 ")</f>
        <v xml:space="preserve">http://slimages.macys.com/is/image/MCY/19063267 </v>
      </c>
    </row>
    <row r="284" spans="1:14" ht="24.75" x14ac:dyDescent="0.25">
      <c r="A284" s="21" t="s">
        <v>13048</v>
      </c>
      <c r="B284" s="22" t="s">
        <v>13049</v>
      </c>
      <c r="C284" s="2">
        <v>1</v>
      </c>
      <c r="D284" s="23">
        <v>14.99</v>
      </c>
      <c r="E284" s="3">
        <v>14.99</v>
      </c>
      <c r="F284" s="2" t="s">
        <v>19948</v>
      </c>
      <c r="G284" s="22" t="s">
        <v>19528</v>
      </c>
      <c r="H284" s="24" t="s">
        <v>19797</v>
      </c>
      <c r="I284" s="22" t="s">
        <v>19309</v>
      </c>
      <c r="J284" s="22" t="s">
        <v>19447</v>
      </c>
      <c r="K284" s="22" t="s">
        <v>19873</v>
      </c>
      <c r="L284" s="22"/>
      <c r="M284" s="22"/>
      <c r="N284" s="25" t="str">
        <f>HYPERLINK("http://slimages.macys.com/is/image/MCY/20391352 ")</f>
        <v xml:space="preserve">http://slimages.macys.com/is/image/MCY/20391352 </v>
      </c>
    </row>
    <row r="285" spans="1:14" ht="24.75" x14ac:dyDescent="0.25">
      <c r="A285" s="21" t="s">
        <v>15350</v>
      </c>
      <c r="B285" s="22" t="s">
        <v>15351</v>
      </c>
      <c r="C285" s="2">
        <v>1</v>
      </c>
      <c r="D285" s="23">
        <v>18.61</v>
      </c>
      <c r="E285" s="3">
        <v>18.61</v>
      </c>
      <c r="F285" s="2" t="s">
        <v>15352</v>
      </c>
      <c r="G285" s="22"/>
      <c r="H285" s="24" t="s">
        <v>19334</v>
      </c>
      <c r="I285" s="22" t="s">
        <v>19309</v>
      </c>
      <c r="J285" s="22" t="s">
        <v>19602</v>
      </c>
      <c r="K285" s="22" t="s">
        <v>20041</v>
      </c>
      <c r="L285" s="22"/>
      <c r="M285" s="22"/>
      <c r="N285" s="25" t="str">
        <f>HYPERLINK("http://slimages.macys.com/is/image/MCY/22405615 ")</f>
        <v xml:space="preserve">http://slimages.macys.com/is/image/MCY/22405615 </v>
      </c>
    </row>
    <row r="286" spans="1:14" x14ac:dyDescent="0.25">
      <c r="A286" s="21" t="s">
        <v>15353</v>
      </c>
      <c r="B286" s="22" t="s">
        <v>15354</v>
      </c>
      <c r="C286" s="2">
        <v>1</v>
      </c>
      <c r="D286" s="23">
        <v>21.99</v>
      </c>
      <c r="E286" s="3">
        <v>21.99</v>
      </c>
      <c r="F286" s="2" t="s">
        <v>18024</v>
      </c>
      <c r="G286" s="22" t="s">
        <v>19342</v>
      </c>
      <c r="H286" s="24" t="s">
        <v>19395</v>
      </c>
      <c r="I286" s="22" t="s">
        <v>19309</v>
      </c>
      <c r="J286" s="22" t="s">
        <v>19696</v>
      </c>
      <c r="K286" s="22" t="s">
        <v>19965</v>
      </c>
      <c r="L286" s="22"/>
      <c r="M286" s="22"/>
      <c r="N286" s="25" t="str">
        <f>HYPERLINK("http://slimages.macys.com/is/image/MCY/21708518 ")</f>
        <v xml:space="preserve">http://slimages.macys.com/is/image/MCY/21708518 </v>
      </c>
    </row>
    <row r="287" spans="1:14" ht="24.75" x14ac:dyDescent="0.25">
      <c r="A287" s="21" t="s">
        <v>13050</v>
      </c>
      <c r="B287" s="22" t="s">
        <v>13051</v>
      </c>
      <c r="C287" s="2">
        <v>1</v>
      </c>
      <c r="D287" s="23">
        <v>16.989999999999998</v>
      </c>
      <c r="E287" s="3">
        <v>16.989999999999998</v>
      </c>
      <c r="F287" s="2" t="s">
        <v>19978</v>
      </c>
      <c r="G287" s="22" t="s">
        <v>19886</v>
      </c>
      <c r="H287" s="24" t="s">
        <v>19345</v>
      </c>
      <c r="I287" s="22" t="s">
        <v>19309</v>
      </c>
      <c r="J287" s="22" t="s">
        <v>19310</v>
      </c>
      <c r="K287" s="22" t="s">
        <v>19440</v>
      </c>
      <c r="L287" s="22"/>
      <c r="M287" s="22"/>
      <c r="N287" s="25" t="str">
        <f>HYPERLINK("http://slimages.macys.com/is/image/MCY/21314289 ")</f>
        <v xml:space="preserve">http://slimages.macys.com/is/image/MCY/21314289 </v>
      </c>
    </row>
    <row r="288" spans="1:14" ht="24.75" x14ac:dyDescent="0.25">
      <c r="A288" s="21" t="s">
        <v>15928</v>
      </c>
      <c r="B288" s="22" t="s">
        <v>15929</v>
      </c>
      <c r="C288" s="2">
        <v>1</v>
      </c>
      <c r="D288" s="23">
        <v>16.989999999999998</v>
      </c>
      <c r="E288" s="3">
        <v>16.989999999999998</v>
      </c>
      <c r="F288" s="2" t="s">
        <v>19978</v>
      </c>
      <c r="G288" s="22" t="s">
        <v>19886</v>
      </c>
      <c r="H288" s="24" t="s">
        <v>19361</v>
      </c>
      <c r="I288" s="22" t="s">
        <v>19309</v>
      </c>
      <c r="J288" s="22" t="s">
        <v>19310</v>
      </c>
      <c r="K288" s="22" t="s">
        <v>19440</v>
      </c>
      <c r="L288" s="22"/>
      <c r="M288" s="22"/>
      <c r="N288" s="25" t="str">
        <f>HYPERLINK("http://slimages.macys.com/is/image/MCY/21314245 ")</f>
        <v xml:space="preserve">http://slimages.macys.com/is/image/MCY/21314245 </v>
      </c>
    </row>
    <row r="289" spans="1:14" x14ac:dyDescent="0.25">
      <c r="A289" s="21" t="s">
        <v>13052</v>
      </c>
      <c r="B289" s="22" t="s">
        <v>13053</v>
      </c>
      <c r="C289" s="2">
        <v>1</v>
      </c>
      <c r="D289" s="23">
        <v>16.989999999999998</v>
      </c>
      <c r="E289" s="3">
        <v>16.989999999999998</v>
      </c>
      <c r="F289" s="2" t="s">
        <v>19975</v>
      </c>
      <c r="G289" s="22" t="s">
        <v>19333</v>
      </c>
      <c r="H289" s="24" t="s">
        <v>19361</v>
      </c>
      <c r="I289" s="22" t="s">
        <v>19309</v>
      </c>
      <c r="J289" s="22" t="s">
        <v>19310</v>
      </c>
      <c r="K289" s="22" t="s">
        <v>19440</v>
      </c>
      <c r="L289" s="22"/>
      <c r="M289" s="22"/>
      <c r="N289" s="25" t="str">
        <f>HYPERLINK("http://slimages.macys.com/is/image/MCY/21149135 ")</f>
        <v xml:space="preserve">http://slimages.macys.com/is/image/MCY/21149135 </v>
      </c>
    </row>
    <row r="290" spans="1:14" ht="24.75" x14ac:dyDescent="0.25">
      <c r="A290" s="21" t="s">
        <v>13054</v>
      </c>
      <c r="B290" s="22" t="s">
        <v>13055</v>
      </c>
      <c r="C290" s="2">
        <v>1</v>
      </c>
      <c r="D290" s="23">
        <v>24</v>
      </c>
      <c r="E290" s="3">
        <v>24</v>
      </c>
      <c r="F290" s="2" t="s">
        <v>13056</v>
      </c>
      <c r="G290" s="22" t="s">
        <v>19801</v>
      </c>
      <c r="H290" s="24" t="s">
        <v>19364</v>
      </c>
      <c r="I290" s="22" t="s">
        <v>19309</v>
      </c>
      <c r="J290" s="22" t="s">
        <v>19559</v>
      </c>
      <c r="K290" s="22" t="s">
        <v>13057</v>
      </c>
      <c r="L290" s="22"/>
      <c r="M290" s="22"/>
      <c r="N290" s="25" t="str">
        <f>HYPERLINK("http://slimages.macys.com/is/image/MCY/20443425 ")</f>
        <v xml:space="preserve">http://slimages.macys.com/is/image/MCY/20443425 </v>
      </c>
    </row>
    <row r="291" spans="1:14" ht="24.75" x14ac:dyDescent="0.25">
      <c r="A291" s="21" t="s">
        <v>13058</v>
      </c>
      <c r="B291" s="22" t="s">
        <v>13059</v>
      </c>
      <c r="C291" s="2">
        <v>1</v>
      </c>
      <c r="D291" s="23">
        <v>13.99</v>
      </c>
      <c r="E291" s="3">
        <v>13.99</v>
      </c>
      <c r="F291" s="2" t="s">
        <v>15934</v>
      </c>
      <c r="G291" s="22" t="s">
        <v>19622</v>
      </c>
      <c r="H291" s="24" t="s">
        <v>20152</v>
      </c>
      <c r="I291" s="22" t="s">
        <v>19309</v>
      </c>
      <c r="J291" s="22" t="s">
        <v>19491</v>
      </c>
      <c r="K291" s="22" t="s">
        <v>19463</v>
      </c>
      <c r="L291" s="22"/>
      <c r="M291" s="22"/>
      <c r="N291" s="25" t="str">
        <f>HYPERLINK("http://slimages.macys.com/is/image/MCY/21622342 ")</f>
        <v xml:space="preserve">http://slimages.macys.com/is/image/MCY/21622342 </v>
      </c>
    </row>
    <row r="292" spans="1:14" ht="24.75" x14ac:dyDescent="0.25">
      <c r="A292" s="21" t="s">
        <v>15932</v>
      </c>
      <c r="B292" s="22" t="s">
        <v>15933</v>
      </c>
      <c r="C292" s="2">
        <v>1</v>
      </c>
      <c r="D292" s="23">
        <v>13.99</v>
      </c>
      <c r="E292" s="3">
        <v>13.99</v>
      </c>
      <c r="F292" s="2" t="s">
        <v>15934</v>
      </c>
      <c r="G292" s="22" t="s">
        <v>19622</v>
      </c>
      <c r="H292" s="24" t="s">
        <v>15935</v>
      </c>
      <c r="I292" s="22" t="s">
        <v>19309</v>
      </c>
      <c r="J292" s="22" t="s">
        <v>19491</v>
      </c>
      <c r="K292" s="22" t="s">
        <v>19463</v>
      </c>
      <c r="L292" s="22"/>
      <c r="M292" s="22"/>
      <c r="N292" s="25" t="str">
        <f>HYPERLINK("http://slimages.macys.com/is/image/MCY/21622342 ")</f>
        <v xml:space="preserve">http://slimages.macys.com/is/image/MCY/21622342 </v>
      </c>
    </row>
    <row r="293" spans="1:14" ht="24.75" x14ac:dyDescent="0.25">
      <c r="A293" s="21" t="s">
        <v>13060</v>
      </c>
      <c r="B293" s="22" t="s">
        <v>13061</v>
      </c>
      <c r="C293" s="2">
        <v>1</v>
      </c>
      <c r="D293" s="23">
        <v>24</v>
      </c>
      <c r="E293" s="3">
        <v>24</v>
      </c>
      <c r="F293" s="2" t="s">
        <v>15953</v>
      </c>
      <c r="G293" s="22" t="s">
        <v>19674</v>
      </c>
      <c r="H293" s="24" t="s">
        <v>19384</v>
      </c>
      <c r="I293" s="22" t="s">
        <v>19309</v>
      </c>
      <c r="J293" s="22" t="s">
        <v>19417</v>
      </c>
      <c r="K293" s="22" t="s">
        <v>20110</v>
      </c>
      <c r="L293" s="22"/>
      <c r="M293" s="22"/>
      <c r="N293" s="25" t="str">
        <f>HYPERLINK("http://slimages.macys.com/is/image/MCY/22296723 ")</f>
        <v xml:space="preserve">http://slimages.macys.com/is/image/MCY/22296723 </v>
      </c>
    </row>
    <row r="294" spans="1:14" x14ac:dyDescent="0.25">
      <c r="A294" s="21" t="s">
        <v>13062</v>
      </c>
      <c r="B294" s="22" t="s">
        <v>13063</v>
      </c>
      <c r="C294" s="2">
        <v>1</v>
      </c>
      <c r="D294" s="23">
        <v>32</v>
      </c>
      <c r="E294" s="3">
        <v>32</v>
      </c>
      <c r="F294" s="2" t="s">
        <v>13064</v>
      </c>
      <c r="G294" s="22" t="s">
        <v>19674</v>
      </c>
      <c r="H294" s="24" t="s">
        <v>19770</v>
      </c>
      <c r="I294" s="22" t="s">
        <v>19309</v>
      </c>
      <c r="J294" s="22" t="s">
        <v>19417</v>
      </c>
      <c r="K294" s="22" t="s">
        <v>20110</v>
      </c>
      <c r="L294" s="22"/>
      <c r="M294" s="22"/>
      <c r="N294" s="25" t="str">
        <f>HYPERLINK("http://slimages.macys.com/is/image/MCY/22296733 ")</f>
        <v xml:space="preserve">http://slimages.macys.com/is/image/MCY/22296733 </v>
      </c>
    </row>
    <row r="295" spans="1:14" x14ac:dyDescent="0.25">
      <c r="A295" s="21" t="s">
        <v>15394</v>
      </c>
      <c r="B295" s="22" t="s">
        <v>15395</v>
      </c>
      <c r="C295" s="2">
        <v>1</v>
      </c>
      <c r="D295" s="23">
        <v>15.99</v>
      </c>
      <c r="E295" s="3">
        <v>15.99</v>
      </c>
      <c r="F295" s="2" t="s">
        <v>15938</v>
      </c>
      <c r="G295" s="22" t="s">
        <v>19315</v>
      </c>
      <c r="H295" s="24" t="s">
        <v>19395</v>
      </c>
      <c r="I295" s="22" t="s">
        <v>19309</v>
      </c>
      <c r="J295" s="22" t="s">
        <v>19310</v>
      </c>
      <c r="K295" s="22" t="s">
        <v>19440</v>
      </c>
      <c r="L295" s="22"/>
      <c r="M295" s="22"/>
      <c r="N295" s="25" t="str">
        <f>HYPERLINK("http://slimages.macys.com/is/image/MCY/18296013 ")</f>
        <v xml:space="preserve">http://slimages.macys.com/is/image/MCY/18296013 </v>
      </c>
    </row>
    <row r="296" spans="1:14" x14ac:dyDescent="0.25">
      <c r="A296" s="21" t="s">
        <v>15957</v>
      </c>
      <c r="B296" s="22" t="s">
        <v>15958</v>
      </c>
      <c r="C296" s="2">
        <v>1</v>
      </c>
      <c r="D296" s="23">
        <v>15.99</v>
      </c>
      <c r="E296" s="3">
        <v>15.99</v>
      </c>
      <c r="F296" s="2" t="s">
        <v>15938</v>
      </c>
      <c r="G296" s="22" t="s">
        <v>19333</v>
      </c>
      <c r="H296" s="24" t="s">
        <v>19432</v>
      </c>
      <c r="I296" s="22" t="s">
        <v>19309</v>
      </c>
      <c r="J296" s="22" t="s">
        <v>19310</v>
      </c>
      <c r="K296" s="22" t="s">
        <v>19440</v>
      </c>
      <c r="L296" s="22"/>
      <c r="M296" s="22"/>
      <c r="N296" s="25" t="str">
        <f>HYPERLINK("http://slimages.macys.com/is/image/MCY/18296013 ")</f>
        <v xml:space="preserve">http://slimages.macys.com/is/image/MCY/18296013 </v>
      </c>
    </row>
    <row r="297" spans="1:14" ht="24.75" x14ac:dyDescent="0.25">
      <c r="A297" s="21" t="s">
        <v>13065</v>
      </c>
      <c r="B297" s="22" t="s">
        <v>13066</v>
      </c>
      <c r="C297" s="2">
        <v>1</v>
      </c>
      <c r="D297" s="23">
        <v>15.84</v>
      </c>
      <c r="E297" s="3">
        <v>15.84</v>
      </c>
      <c r="F297" s="2" t="s">
        <v>13067</v>
      </c>
      <c r="G297" s="22"/>
      <c r="H297" s="24" t="s">
        <v>20152</v>
      </c>
      <c r="I297" s="22" t="s">
        <v>19309</v>
      </c>
      <c r="J297" s="22" t="s">
        <v>19708</v>
      </c>
      <c r="K297" s="22" t="s">
        <v>19709</v>
      </c>
      <c r="L297" s="22"/>
      <c r="M297" s="22"/>
      <c r="N297" s="25" t="str">
        <f>HYPERLINK("http://slimages.macys.com/is/image/MCY/19066992 ")</f>
        <v xml:space="preserve">http://slimages.macys.com/is/image/MCY/19066992 </v>
      </c>
    </row>
    <row r="298" spans="1:14" ht="24.75" x14ac:dyDescent="0.25">
      <c r="A298" s="21" t="s">
        <v>20056</v>
      </c>
      <c r="B298" s="22" t="s">
        <v>20057</v>
      </c>
      <c r="C298" s="2">
        <v>2</v>
      </c>
      <c r="D298" s="23">
        <v>23.99</v>
      </c>
      <c r="E298" s="3">
        <v>47.98</v>
      </c>
      <c r="F298" s="2" t="s">
        <v>20055</v>
      </c>
      <c r="G298" s="22" t="s">
        <v>19431</v>
      </c>
      <c r="H298" s="24"/>
      <c r="I298" s="22" t="s">
        <v>19309</v>
      </c>
      <c r="J298" s="22" t="s">
        <v>19573</v>
      </c>
      <c r="K298" s="22" t="s">
        <v>19574</v>
      </c>
      <c r="L298" s="22"/>
      <c r="M298" s="22"/>
      <c r="N298" s="25" t="str">
        <f>HYPERLINK("http://slimages.macys.com/is/image/MCY/21907735 ")</f>
        <v xml:space="preserve">http://slimages.macys.com/is/image/MCY/21907735 </v>
      </c>
    </row>
    <row r="299" spans="1:14" x14ac:dyDescent="0.25">
      <c r="A299" s="21" t="s">
        <v>20069</v>
      </c>
      <c r="B299" s="22" t="s">
        <v>20070</v>
      </c>
      <c r="C299" s="2">
        <v>1</v>
      </c>
      <c r="D299" s="23">
        <v>15.99</v>
      </c>
      <c r="E299" s="3">
        <v>15.99</v>
      </c>
      <c r="F299" s="2" t="s">
        <v>20066</v>
      </c>
      <c r="G299" s="22" t="s">
        <v>19315</v>
      </c>
      <c r="H299" s="24" t="s">
        <v>19345</v>
      </c>
      <c r="I299" s="22" t="s">
        <v>19309</v>
      </c>
      <c r="J299" s="22" t="s">
        <v>19310</v>
      </c>
      <c r="K299" s="22" t="s">
        <v>19440</v>
      </c>
      <c r="L299" s="22"/>
      <c r="M299" s="22"/>
      <c r="N299" s="25" t="str">
        <f>HYPERLINK("http://slimages.macys.com/is/image/MCY/21267915 ")</f>
        <v xml:space="preserve">http://slimages.macys.com/is/image/MCY/21267915 </v>
      </c>
    </row>
    <row r="300" spans="1:14" x14ac:dyDescent="0.25">
      <c r="A300" s="21" t="s">
        <v>15985</v>
      </c>
      <c r="B300" s="22" t="s">
        <v>15986</v>
      </c>
      <c r="C300" s="2">
        <v>1</v>
      </c>
      <c r="D300" s="23">
        <v>15.99</v>
      </c>
      <c r="E300" s="3">
        <v>15.99</v>
      </c>
      <c r="F300" s="2" t="s">
        <v>20066</v>
      </c>
      <c r="G300" s="22" t="s">
        <v>19315</v>
      </c>
      <c r="H300" s="24" t="s">
        <v>19432</v>
      </c>
      <c r="I300" s="22" t="s">
        <v>19309</v>
      </c>
      <c r="J300" s="22" t="s">
        <v>19310</v>
      </c>
      <c r="K300" s="22" t="s">
        <v>19440</v>
      </c>
      <c r="L300" s="22"/>
      <c r="M300" s="22"/>
      <c r="N300" s="25" t="str">
        <f>HYPERLINK("http://slimages.macys.com/is/image/MCY/21267919 ")</f>
        <v xml:space="preserve">http://slimages.macys.com/is/image/MCY/21267919 </v>
      </c>
    </row>
    <row r="301" spans="1:14" x14ac:dyDescent="0.25">
      <c r="A301" s="21" t="s">
        <v>20064</v>
      </c>
      <c r="B301" s="22" t="s">
        <v>20065</v>
      </c>
      <c r="C301" s="2">
        <v>1</v>
      </c>
      <c r="D301" s="23">
        <v>15.99</v>
      </c>
      <c r="E301" s="3">
        <v>15.99</v>
      </c>
      <c r="F301" s="2" t="s">
        <v>20066</v>
      </c>
      <c r="G301" s="22" t="s">
        <v>19315</v>
      </c>
      <c r="H301" s="24" t="s">
        <v>19334</v>
      </c>
      <c r="I301" s="22" t="s">
        <v>19309</v>
      </c>
      <c r="J301" s="22" t="s">
        <v>19310</v>
      </c>
      <c r="K301" s="22" t="s">
        <v>19440</v>
      </c>
      <c r="L301" s="22"/>
      <c r="M301" s="22"/>
      <c r="N301" s="25" t="str">
        <f>HYPERLINK("http://slimages.macys.com/is/image/MCY/21267915 ")</f>
        <v xml:space="preserve">http://slimages.macys.com/is/image/MCY/21267915 </v>
      </c>
    </row>
    <row r="302" spans="1:14" ht="24.75" x14ac:dyDescent="0.25">
      <c r="A302" s="21" t="s">
        <v>13068</v>
      </c>
      <c r="B302" s="22" t="s">
        <v>13069</v>
      </c>
      <c r="C302" s="2">
        <v>1</v>
      </c>
      <c r="D302" s="23">
        <v>17.32</v>
      </c>
      <c r="E302" s="3">
        <v>17.32</v>
      </c>
      <c r="F302" s="2" t="s">
        <v>13070</v>
      </c>
      <c r="G302" s="22"/>
      <c r="H302" s="24" t="s">
        <v>19334</v>
      </c>
      <c r="I302" s="22" t="s">
        <v>19309</v>
      </c>
      <c r="J302" s="22" t="s">
        <v>19602</v>
      </c>
      <c r="K302" s="22" t="s">
        <v>20041</v>
      </c>
      <c r="L302" s="22"/>
      <c r="M302" s="22"/>
      <c r="N302" s="25" t="str">
        <f>HYPERLINK("http://slimages.macys.com/is/image/MCY/20193403 ")</f>
        <v xml:space="preserve">http://slimages.macys.com/is/image/MCY/20193403 </v>
      </c>
    </row>
    <row r="303" spans="1:14" ht="24.75" x14ac:dyDescent="0.25">
      <c r="A303" s="21" t="s">
        <v>13071</v>
      </c>
      <c r="B303" s="22" t="s">
        <v>13072</v>
      </c>
      <c r="C303" s="2">
        <v>1</v>
      </c>
      <c r="D303" s="23">
        <v>32.5</v>
      </c>
      <c r="E303" s="3">
        <v>32.5</v>
      </c>
      <c r="F303" s="2" t="s">
        <v>13073</v>
      </c>
      <c r="G303" s="22" t="s">
        <v>19333</v>
      </c>
      <c r="H303" s="24" t="s">
        <v>19416</v>
      </c>
      <c r="I303" s="22" t="s">
        <v>19309</v>
      </c>
      <c r="J303" s="22" t="s">
        <v>19491</v>
      </c>
      <c r="K303" s="22" t="s">
        <v>17812</v>
      </c>
      <c r="L303" s="22" t="s">
        <v>19319</v>
      </c>
      <c r="M303" s="22" t="s">
        <v>13074</v>
      </c>
      <c r="N303" s="25" t="str">
        <f>HYPERLINK("http://slimages.macys.com/is/image/MCY/2821157 ")</f>
        <v xml:space="preserve">http://slimages.macys.com/is/image/MCY/2821157 </v>
      </c>
    </row>
    <row r="304" spans="1:14" ht="24.75" x14ac:dyDescent="0.25">
      <c r="A304" s="21" t="s">
        <v>13075</v>
      </c>
      <c r="B304" s="22" t="s">
        <v>13076</v>
      </c>
      <c r="C304" s="2">
        <v>1</v>
      </c>
      <c r="D304" s="23">
        <v>24</v>
      </c>
      <c r="E304" s="3">
        <v>24</v>
      </c>
      <c r="F304" s="2" t="s">
        <v>13077</v>
      </c>
      <c r="G304" s="22" t="s">
        <v>19879</v>
      </c>
      <c r="H304" s="24" t="s">
        <v>20109</v>
      </c>
      <c r="I304" s="22" t="s">
        <v>19309</v>
      </c>
      <c r="J304" s="22" t="s">
        <v>19417</v>
      </c>
      <c r="K304" s="22" t="s">
        <v>20110</v>
      </c>
      <c r="L304" s="22"/>
      <c r="M304" s="22"/>
      <c r="N304" s="25" t="str">
        <f>HYPERLINK("http://slimages.macys.com/is/image/MCY/22528420 ")</f>
        <v xml:space="preserve">http://slimages.macys.com/is/image/MCY/22528420 </v>
      </c>
    </row>
    <row r="305" spans="1:14" ht="24.75" x14ac:dyDescent="0.25">
      <c r="A305" s="21" t="s">
        <v>13078</v>
      </c>
      <c r="B305" s="22" t="s">
        <v>13079</v>
      </c>
      <c r="C305" s="2">
        <v>2</v>
      </c>
      <c r="D305" s="23">
        <v>24</v>
      </c>
      <c r="E305" s="3">
        <v>48</v>
      </c>
      <c r="F305" s="2" t="s">
        <v>13077</v>
      </c>
      <c r="G305" s="22" t="s">
        <v>19879</v>
      </c>
      <c r="H305" s="24"/>
      <c r="I305" s="22" t="s">
        <v>19309</v>
      </c>
      <c r="J305" s="22" t="s">
        <v>19417</v>
      </c>
      <c r="K305" s="22" t="s">
        <v>20110</v>
      </c>
      <c r="L305" s="22"/>
      <c r="M305" s="22"/>
      <c r="N305" s="25" t="str">
        <f>HYPERLINK("http://slimages.macys.com/is/image/MCY/22528420 ")</f>
        <v xml:space="preserve">http://slimages.macys.com/is/image/MCY/22528420 </v>
      </c>
    </row>
    <row r="306" spans="1:14" ht="24.75" x14ac:dyDescent="0.25">
      <c r="A306" s="21" t="s">
        <v>13080</v>
      </c>
      <c r="B306" s="22" t="s">
        <v>13081</v>
      </c>
      <c r="C306" s="2">
        <v>1</v>
      </c>
      <c r="D306" s="23">
        <v>24</v>
      </c>
      <c r="E306" s="3">
        <v>24</v>
      </c>
      <c r="F306" s="2" t="s">
        <v>13082</v>
      </c>
      <c r="G306" s="22" t="s">
        <v>19315</v>
      </c>
      <c r="H306" s="24" t="s">
        <v>19770</v>
      </c>
      <c r="I306" s="22" t="s">
        <v>19309</v>
      </c>
      <c r="J306" s="22" t="s">
        <v>19417</v>
      </c>
      <c r="K306" s="22" t="s">
        <v>20110</v>
      </c>
      <c r="L306" s="22"/>
      <c r="M306" s="22"/>
      <c r="N306" s="25" t="str">
        <f>HYPERLINK("http://slimages.macys.com/is/image/MCY/22528913 ")</f>
        <v xml:space="preserve">http://slimages.macys.com/is/image/MCY/22528913 </v>
      </c>
    </row>
    <row r="307" spans="1:14" x14ac:dyDescent="0.25">
      <c r="A307" s="21" t="s">
        <v>13083</v>
      </c>
      <c r="B307" s="22" t="s">
        <v>13084</v>
      </c>
      <c r="C307" s="2">
        <v>1</v>
      </c>
      <c r="D307" s="23">
        <v>22.99</v>
      </c>
      <c r="E307" s="3">
        <v>22.99</v>
      </c>
      <c r="F307" s="2" t="s">
        <v>13085</v>
      </c>
      <c r="G307" s="22" t="s">
        <v>19467</v>
      </c>
      <c r="H307" s="24" t="s">
        <v>19377</v>
      </c>
      <c r="I307" s="22" t="s">
        <v>19309</v>
      </c>
      <c r="J307" s="22" t="s">
        <v>19849</v>
      </c>
      <c r="K307" s="22" t="s">
        <v>19850</v>
      </c>
      <c r="L307" s="22"/>
      <c r="M307" s="22"/>
      <c r="N307" s="25" t="str">
        <f>HYPERLINK("http://slimages.macys.com/is/image/MCY/20786231 ")</f>
        <v xml:space="preserve">http://slimages.macys.com/is/image/MCY/20786231 </v>
      </c>
    </row>
    <row r="308" spans="1:14" x14ac:dyDescent="0.25">
      <c r="A308" s="21" t="s">
        <v>13086</v>
      </c>
      <c r="B308" s="22" t="s">
        <v>13087</v>
      </c>
      <c r="C308" s="2">
        <v>1</v>
      </c>
      <c r="D308" s="23">
        <v>18.77</v>
      </c>
      <c r="E308" s="3">
        <v>18.77</v>
      </c>
      <c r="F308" s="2" t="s">
        <v>20119</v>
      </c>
      <c r="G308" s="22"/>
      <c r="H308" s="24" t="s">
        <v>19367</v>
      </c>
      <c r="I308" s="22" t="s">
        <v>19309</v>
      </c>
      <c r="J308" s="22" t="s">
        <v>19708</v>
      </c>
      <c r="K308" s="22" t="s">
        <v>19709</v>
      </c>
      <c r="L308" s="22"/>
      <c r="M308" s="22"/>
      <c r="N308" s="25" t="str">
        <f>HYPERLINK("http://slimages.macys.com/is/image/MCY/22405750 ")</f>
        <v xml:space="preserve">http://slimages.macys.com/is/image/MCY/22405750 </v>
      </c>
    </row>
    <row r="309" spans="1:14" x14ac:dyDescent="0.25">
      <c r="A309" s="21" t="s">
        <v>13088</v>
      </c>
      <c r="B309" s="22" t="s">
        <v>13089</v>
      </c>
      <c r="C309" s="2">
        <v>1</v>
      </c>
      <c r="D309" s="23">
        <v>18.77</v>
      </c>
      <c r="E309" s="3">
        <v>18.77</v>
      </c>
      <c r="F309" s="2" t="s">
        <v>20119</v>
      </c>
      <c r="G309" s="22"/>
      <c r="H309" s="24" t="s">
        <v>19324</v>
      </c>
      <c r="I309" s="22" t="s">
        <v>19309</v>
      </c>
      <c r="J309" s="22" t="s">
        <v>19708</v>
      </c>
      <c r="K309" s="22" t="s">
        <v>19709</v>
      </c>
      <c r="L309" s="22"/>
      <c r="M309" s="22"/>
      <c r="N309" s="25" t="str">
        <f>HYPERLINK("http://slimages.macys.com/is/image/MCY/22405750 ")</f>
        <v xml:space="preserve">http://slimages.macys.com/is/image/MCY/22405750 </v>
      </c>
    </row>
    <row r="310" spans="1:14" ht="24.75" x14ac:dyDescent="0.25">
      <c r="A310" s="21" t="s">
        <v>13090</v>
      </c>
      <c r="B310" s="22" t="s">
        <v>13091</v>
      </c>
      <c r="C310" s="2">
        <v>1</v>
      </c>
      <c r="D310" s="23">
        <v>14.99</v>
      </c>
      <c r="E310" s="3">
        <v>14.99</v>
      </c>
      <c r="F310" s="2" t="s">
        <v>13092</v>
      </c>
      <c r="G310" s="22" t="s">
        <v>19674</v>
      </c>
      <c r="H310" s="24"/>
      <c r="I310" s="22" t="s">
        <v>19309</v>
      </c>
      <c r="J310" s="22" t="s">
        <v>19573</v>
      </c>
      <c r="K310" s="22" t="s">
        <v>20256</v>
      </c>
      <c r="L310" s="22" t="s">
        <v>19319</v>
      </c>
      <c r="M310" s="22" t="s">
        <v>19358</v>
      </c>
      <c r="N310" s="25" t="str">
        <f>HYPERLINK("http://slimages.macys.com/is/image/MCY/3931288 ")</f>
        <v xml:space="preserve">http://slimages.macys.com/is/image/MCY/3931288 </v>
      </c>
    </row>
    <row r="311" spans="1:14" ht="24.75" x14ac:dyDescent="0.25">
      <c r="A311" s="21" t="s">
        <v>13093</v>
      </c>
      <c r="B311" s="22" t="s">
        <v>13094</v>
      </c>
      <c r="C311" s="2">
        <v>1</v>
      </c>
      <c r="D311" s="23">
        <v>14.99</v>
      </c>
      <c r="E311" s="3">
        <v>14.99</v>
      </c>
      <c r="F311" s="2" t="s">
        <v>13092</v>
      </c>
      <c r="G311" s="22" t="s">
        <v>19674</v>
      </c>
      <c r="H311" s="24" t="s">
        <v>19538</v>
      </c>
      <c r="I311" s="22" t="s">
        <v>19309</v>
      </c>
      <c r="J311" s="22" t="s">
        <v>19573</v>
      </c>
      <c r="K311" s="22" t="s">
        <v>20256</v>
      </c>
      <c r="L311" s="22" t="s">
        <v>19319</v>
      </c>
      <c r="M311" s="22" t="s">
        <v>19358</v>
      </c>
      <c r="N311" s="25" t="str">
        <f>HYPERLINK("http://slimages.macys.com/is/image/MCY/3931288 ")</f>
        <v xml:space="preserve">http://slimages.macys.com/is/image/MCY/3931288 </v>
      </c>
    </row>
    <row r="312" spans="1:14" x14ac:dyDescent="0.25">
      <c r="A312" s="21" t="s">
        <v>13095</v>
      </c>
      <c r="B312" s="22" t="s">
        <v>13096</v>
      </c>
      <c r="C312" s="2">
        <v>1</v>
      </c>
      <c r="D312" s="23">
        <v>14.67</v>
      </c>
      <c r="E312" s="3">
        <v>14.67</v>
      </c>
      <c r="F312" s="2" t="s">
        <v>13097</v>
      </c>
      <c r="G312" s="22" t="s">
        <v>19323</v>
      </c>
      <c r="H312" s="24" t="s">
        <v>20159</v>
      </c>
      <c r="I312" s="22" t="s">
        <v>19309</v>
      </c>
      <c r="J312" s="22" t="s">
        <v>19708</v>
      </c>
      <c r="K312" s="22" t="s">
        <v>19709</v>
      </c>
      <c r="L312" s="22"/>
      <c r="M312" s="22"/>
      <c r="N312" s="25" t="str">
        <f>HYPERLINK("http://slimages.macys.com/is/image/MCY/19062876 ")</f>
        <v xml:space="preserve">http://slimages.macys.com/is/image/MCY/19062876 </v>
      </c>
    </row>
    <row r="313" spans="1:14" x14ac:dyDescent="0.25">
      <c r="A313" s="21" t="s">
        <v>13098</v>
      </c>
      <c r="B313" s="22" t="s">
        <v>13099</v>
      </c>
      <c r="C313" s="2">
        <v>1</v>
      </c>
      <c r="D313" s="23">
        <v>14.67</v>
      </c>
      <c r="E313" s="3">
        <v>14.67</v>
      </c>
      <c r="F313" s="2" t="s">
        <v>13100</v>
      </c>
      <c r="G313" s="22" t="s">
        <v>19323</v>
      </c>
      <c r="H313" s="24" t="s">
        <v>19770</v>
      </c>
      <c r="I313" s="22" t="s">
        <v>19309</v>
      </c>
      <c r="J313" s="22" t="s">
        <v>19708</v>
      </c>
      <c r="K313" s="22" t="s">
        <v>19709</v>
      </c>
      <c r="L313" s="22"/>
      <c r="M313" s="22"/>
      <c r="N313" s="25" t="str">
        <f>HYPERLINK("http://slimages.macys.com/is/image/MCY/19074066 ")</f>
        <v xml:space="preserve">http://slimages.macys.com/is/image/MCY/19074066 </v>
      </c>
    </row>
    <row r="314" spans="1:14" x14ac:dyDescent="0.25">
      <c r="A314" s="21" t="s">
        <v>13101</v>
      </c>
      <c r="B314" s="22" t="s">
        <v>13102</v>
      </c>
      <c r="C314" s="2">
        <v>1</v>
      </c>
      <c r="D314" s="23">
        <v>14.67</v>
      </c>
      <c r="E314" s="3">
        <v>14.67</v>
      </c>
      <c r="F314" s="2" t="s">
        <v>13103</v>
      </c>
      <c r="G314" s="22"/>
      <c r="H314" s="24" t="s">
        <v>19367</v>
      </c>
      <c r="I314" s="22" t="s">
        <v>19309</v>
      </c>
      <c r="J314" s="22" t="s">
        <v>19708</v>
      </c>
      <c r="K314" s="22" t="s">
        <v>19709</v>
      </c>
      <c r="L314" s="22"/>
      <c r="M314" s="22"/>
      <c r="N314" s="25" t="str">
        <f>HYPERLINK("http://slimages.macys.com/is/image/MCY/19063335 ")</f>
        <v xml:space="preserve">http://slimages.macys.com/is/image/MCY/19063335 </v>
      </c>
    </row>
    <row r="315" spans="1:14" x14ac:dyDescent="0.25">
      <c r="A315" s="21" t="s">
        <v>13104</v>
      </c>
      <c r="B315" s="22" t="s">
        <v>13105</v>
      </c>
      <c r="C315" s="2">
        <v>1</v>
      </c>
      <c r="D315" s="23">
        <v>14.67</v>
      </c>
      <c r="E315" s="3">
        <v>14.67</v>
      </c>
      <c r="F315" s="2" t="s">
        <v>13106</v>
      </c>
      <c r="G315" s="22" t="s">
        <v>19323</v>
      </c>
      <c r="H315" s="24" t="s">
        <v>13107</v>
      </c>
      <c r="I315" s="22" t="s">
        <v>19309</v>
      </c>
      <c r="J315" s="22" t="s">
        <v>19708</v>
      </c>
      <c r="K315" s="22" t="s">
        <v>19709</v>
      </c>
      <c r="L315" s="22"/>
      <c r="M315" s="22"/>
      <c r="N315" s="25" t="str">
        <f>HYPERLINK("http://slimages.macys.com/is/image/MCY/19060168 ")</f>
        <v xml:space="preserve">http://slimages.macys.com/is/image/MCY/19060168 </v>
      </c>
    </row>
    <row r="316" spans="1:14" ht="24.75" x14ac:dyDescent="0.25">
      <c r="A316" s="21" t="s">
        <v>13108</v>
      </c>
      <c r="B316" s="22" t="s">
        <v>13109</v>
      </c>
      <c r="C316" s="2">
        <v>1</v>
      </c>
      <c r="D316" s="23">
        <v>13.99</v>
      </c>
      <c r="E316" s="3">
        <v>13.99</v>
      </c>
      <c r="F316" s="2" t="s">
        <v>15934</v>
      </c>
      <c r="G316" s="22" t="s">
        <v>19879</v>
      </c>
      <c r="H316" s="24" t="s">
        <v>20159</v>
      </c>
      <c r="I316" s="22" t="s">
        <v>19309</v>
      </c>
      <c r="J316" s="22" t="s">
        <v>19491</v>
      </c>
      <c r="K316" s="22" t="s">
        <v>19463</v>
      </c>
      <c r="L316" s="22"/>
      <c r="M316" s="22"/>
      <c r="N316" s="25" t="str">
        <f>HYPERLINK("http://slimages.macys.com/is/image/MCY/21622342 ")</f>
        <v xml:space="preserve">http://slimages.macys.com/is/image/MCY/21622342 </v>
      </c>
    </row>
    <row r="317" spans="1:14" ht="24.75" x14ac:dyDescent="0.25">
      <c r="A317" s="21" t="s">
        <v>13110</v>
      </c>
      <c r="B317" s="22" t="s">
        <v>13111</v>
      </c>
      <c r="C317" s="2">
        <v>1</v>
      </c>
      <c r="D317" s="23">
        <v>13.99</v>
      </c>
      <c r="E317" s="3">
        <v>13.99</v>
      </c>
      <c r="F317" s="2" t="s">
        <v>15934</v>
      </c>
      <c r="G317" s="22" t="s">
        <v>19879</v>
      </c>
      <c r="H317" s="24" t="s">
        <v>19367</v>
      </c>
      <c r="I317" s="22" t="s">
        <v>19309</v>
      </c>
      <c r="J317" s="22" t="s">
        <v>19491</v>
      </c>
      <c r="K317" s="22" t="s">
        <v>19463</v>
      </c>
      <c r="L317" s="22"/>
      <c r="M317" s="22"/>
      <c r="N317" s="25" t="str">
        <f>HYPERLINK("http://slimages.macys.com/is/image/MCY/21622342 ")</f>
        <v xml:space="preserve">http://slimages.macys.com/is/image/MCY/21622342 </v>
      </c>
    </row>
    <row r="318" spans="1:14" ht="24.75" x14ac:dyDescent="0.25">
      <c r="A318" s="21" t="s">
        <v>13112</v>
      </c>
      <c r="B318" s="22" t="s">
        <v>13113</v>
      </c>
      <c r="C318" s="2">
        <v>1</v>
      </c>
      <c r="D318" s="23">
        <v>16.21</v>
      </c>
      <c r="E318" s="3">
        <v>16.21</v>
      </c>
      <c r="F318" s="2" t="s">
        <v>13114</v>
      </c>
      <c r="G318" s="22"/>
      <c r="H318" s="24"/>
      <c r="I318" s="22" t="s">
        <v>19309</v>
      </c>
      <c r="J318" s="22" t="s">
        <v>19602</v>
      </c>
      <c r="K318" s="22" t="s">
        <v>20041</v>
      </c>
      <c r="L318" s="22"/>
      <c r="M318" s="22"/>
      <c r="N318" s="25" t="str">
        <f>HYPERLINK("http://slimages.macys.com/is/image/MCY/21728915 ")</f>
        <v xml:space="preserve">http://slimages.macys.com/is/image/MCY/21728915 </v>
      </c>
    </row>
    <row r="319" spans="1:14" ht="24.75" x14ac:dyDescent="0.25">
      <c r="A319" s="21" t="s">
        <v>13115</v>
      </c>
      <c r="B319" s="22" t="s">
        <v>13116</v>
      </c>
      <c r="C319" s="2">
        <v>5</v>
      </c>
      <c r="D319" s="23">
        <v>18</v>
      </c>
      <c r="E319" s="3">
        <v>90</v>
      </c>
      <c r="F319" s="2" t="s">
        <v>13117</v>
      </c>
      <c r="G319" s="22" t="s">
        <v>19307</v>
      </c>
      <c r="H319" s="24" t="s">
        <v>17544</v>
      </c>
      <c r="I319" s="22" t="s">
        <v>19309</v>
      </c>
      <c r="J319" s="22" t="s">
        <v>20076</v>
      </c>
      <c r="K319" s="22" t="s">
        <v>13118</v>
      </c>
      <c r="L319" s="22" t="s">
        <v>19319</v>
      </c>
      <c r="M319" s="22" t="s">
        <v>13119</v>
      </c>
      <c r="N319" s="25" t="str">
        <f>HYPERLINK("http://slimages.macys.com/is/image/MCY/9357747 ")</f>
        <v xml:space="preserve">http://slimages.macys.com/is/image/MCY/9357747 </v>
      </c>
    </row>
    <row r="320" spans="1:14" ht="24.75" x14ac:dyDescent="0.25">
      <c r="A320" s="21" t="s">
        <v>13120</v>
      </c>
      <c r="B320" s="22" t="s">
        <v>13121</v>
      </c>
      <c r="C320" s="2">
        <v>6</v>
      </c>
      <c r="D320" s="23">
        <v>18</v>
      </c>
      <c r="E320" s="3">
        <v>108</v>
      </c>
      <c r="F320" s="2" t="s">
        <v>13117</v>
      </c>
      <c r="G320" s="22" t="s">
        <v>19307</v>
      </c>
      <c r="H320" s="24" t="s">
        <v>17537</v>
      </c>
      <c r="I320" s="22" t="s">
        <v>19309</v>
      </c>
      <c r="J320" s="22" t="s">
        <v>20076</v>
      </c>
      <c r="K320" s="22" t="s">
        <v>13118</v>
      </c>
      <c r="L320" s="22" t="s">
        <v>19319</v>
      </c>
      <c r="M320" s="22" t="s">
        <v>13119</v>
      </c>
      <c r="N320" s="25" t="str">
        <f>HYPERLINK("http://slimages.macys.com/is/image/MCY/9357747 ")</f>
        <v xml:space="preserve">http://slimages.macys.com/is/image/MCY/9357747 </v>
      </c>
    </row>
    <row r="321" spans="1:14" ht="24.75" x14ac:dyDescent="0.25">
      <c r="A321" s="21" t="s">
        <v>13122</v>
      </c>
      <c r="B321" s="22" t="s">
        <v>13123</v>
      </c>
      <c r="C321" s="2">
        <v>6</v>
      </c>
      <c r="D321" s="23">
        <v>18</v>
      </c>
      <c r="E321" s="3">
        <v>108</v>
      </c>
      <c r="F321" s="2" t="s">
        <v>13124</v>
      </c>
      <c r="G321" s="22" t="s">
        <v>19351</v>
      </c>
      <c r="H321" s="24" t="s">
        <v>17537</v>
      </c>
      <c r="I321" s="22" t="s">
        <v>19309</v>
      </c>
      <c r="J321" s="22" t="s">
        <v>20076</v>
      </c>
      <c r="K321" s="22" t="s">
        <v>13118</v>
      </c>
      <c r="L321" s="22" t="s">
        <v>17966</v>
      </c>
      <c r="M321" s="22" t="s">
        <v>16844</v>
      </c>
      <c r="N321" s="25" t="str">
        <f>HYPERLINK("http://slimages.macys.com/is/image/MCY/9357726 ")</f>
        <v xml:space="preserve">http://slimages.macys.com/is/image/MCY/9357726 </v>
      </c>
    </row>
    <row r="322" spans="1:14" x14ac:dyDescent="0.25">
      <c r="A322" s="21" t="s">
        <v>20180</v>
      </c>
      <c r="B322" s="22" t="s">
        <v>20181</v>
      </c>
      <c r="C322" s="2">
        <v>3</v>
      </c>
      <c r="D322" s="23">
        <v>17.87</v>
      </c>
      <c r="E322" s="3">
        <v>53.61</v>
      </c>
      <c r="F322" s="2" t="s">
        <v>20182</v>
      </c>
      <c r="G322" s="22"/>
      <c r="H322" s="24" t="s">
        <v>20159</v>
      </c>
      <c r="I322" s="22" t="s">
        <v>19309</v>
      </c>
      <c r="J322" s="22" t="s">
        <v>19708</v>
      </c>
      <c r="K322" s="22" t="s">
        <v>19709</v>
      </c>
      <c r="L322" s="22"/>
      <c r="M322" s="22"/>
      <c r="N322" s="25" t="str">
        <f>HYPERLINK("http://slimages.macys.com/is/image/MCY/22405971 ")</f>
        <v xml:space="preserve">http://slimages.macys.com/is/image/MCY/22405971 </v>
      </c>
    </row>
    <row r="323" spans="1:14" x14ac:dyDescent="0.25">
      <c r="A323" s="21" t="s">
        <v>15471</v>
      </c>
      <c r="B323" s="22" t="s">
        <v>15472</v>
      </c>
      <c r="C323" s="2">
        <v>1</v>
      </c>
      <c r="D323" s="23">
        <v>17.87</v>
      </c>
      <c r="E323" s="3">
        <v>17.87</v>
      </c>
      <c r="F323" s="2" t="s">
        <v>20173</v>
      </c>
      <c r="G323" s="22"/>
      <c r="H323" s="24" t="s">
        <v>20152</v>
      </c>
      <c r="I323" s="22" t="s">
        <v>19309</v>
      </c>
      <c r="J323" s="22" t="s">
        <v>19708</v>
      </c>
      <c r="K323" s="22" t="s">
        <v>19709</v>
      </c>
      <c r="L323" s="22"/>
      <c r="M323" s="22"/>
      <c r="N323" s="25" t="str">
        <f>HYPERLINK("http://slimages.macys.com/is/image/MCY/22405672 ")</f>
        <v xml:space="preserve">http://slimages.macys.com/is/image/MCY/22405672 </v>
      </c>
    </row>
    <row r="324" spans="1:14" x14ac:dyDescent="0.25">
      <c r="A324" s="21" t="s">
        <v>13125</v>
      </c>
      <c r="B324" s="22" t="s">
        <v>13126</v>
      </c>
      <c r="C324" s="2">
        <v>2</v>
      </c>
      <c r="D324" s="23">
        <v>17.87</v>
      </c>
      <c r="E324" s="3">
        <v>35.74</v>
      </c>
      <c r="F324" s="2" t="s">
        <v>20173</v>
      </c>
      <c r="G324" s="22"/>
      <c r="H324" s="24" t="s">
        <v>19330</v>
      </c>
      <c r="I324" s="22" t="s">
        <v>19309</v>
      </c>
      <c r="J324" s="22" t="s">
        <v>19708</v>
      </c>
      <c r="K324" s="22" t="s">
        <v>19709</v>
      </c>
      <c r="L324" s="22"/>
      <c r="M324" s="22"/>
      <c r="N324" s="25" t="str">
        <f>HYPERLINK("http://slimages.macys.com/is/image/MCY/22405672 ")</f>
        <v xml:space="preserve">http://slimages.macys.com/is/image/MCY/22405672 </v>
      </c>
    </row>
    <row r="325" spans="1:14" x14ac:dyDescent="0.25">
      <c r="A325" s="21" t="s">
        <v>15473</v>
      </c>
      <c r="B325" s="22" t="s">
        <v>15474</v>
      </c>
      <c r="C325" s="2">
        <v>1</v>
      </c>
      <c r="D325" s="23">
        <v>17.87</v>
      </c>
      <c r="E325" s="3">
        <v>17.87</v>
      </c>
      <c r="F325" s="2" t="s">
        <v>20173</v>
      </c>
      <c r="G325" s="22"/>
      <c r="H325" s="24" t="s">
        <v>20159</v>
      </c>
      <c r="I325" s="22" t="s">
        <v>19309</v>
      </c>
      <c r="J325" s="22" t="s">
        <v>19708</v>
      </c>
      <c r="K325" s="22" t="s">
        <v>19709</v>
      </c>
      <c r="L325" s="22"/>
      <c r="M325" s="22"/>
      <c r="N325" s="25" t="str">
        <f>HYPERLINK("http://slimages.macys.com/is/image/MCY/22405672 ")</f>
        <v xml:space="preserve">http://slimages.macys.com/is/image/MCY/22405672 </v>
      </c>
    </row>
    <row r="326" spans="1:14" x14ac:dyDescent="0.25">
      <c r="A326" s="21" t="s">
        <v>13127</v>
      </c>
      <c r="B326" s="22" t="s">
        <v>13128</v>
      </c>
      <c r="C326" s="2">
        <v>3</v>
      </c>
      <c r="D326" s="23">
        <v>17.87</v>
      </c>
      <c r="E326" s="3">
        <v>53.61</v>
      </c>
      <c r="F326" s="2" t="s">
        <v>18184</v>
      </c>
      <c r="G326" s="22"/>
      <c r="H326" s="24" t="s">
        <v>19330</v>
      </c>
      <c r="I326" s="22" t="s">
        <v>19309</v>
      </c>
      <c r="J326" s="22" t="s">
        <v>19708</v>
      </c>
      <c r="K326" s="22" t="s">
        <v>19709</v>
      </c>
      <c r="L326" s="22"/>
      <c r="M326" s="22"/>
      <c r="N326" s="25" t="str">
        <f>HYPERLINK("http://slimages.macys.com/is/image/MCY/22595811 ")</f>
        <v xml:space="preserve">http://slimages.macys.com/is/image/MCY/22595811 </v>
      </c>
    </row>
    <row r="327" spans="1:14" x14ac:dyDescent="0.25">
      <c r="A327" s="21" t="s">
        <v>18182</v>
      </c>
      <c r="B327" s="22" t="s">
        <v>18183</v>
      </c>
      <c r="C327" s="2">
        <v>1</v>
      </c>
      <c r="D327" s="23">
        <v>17.87</v>
      </c>
      <c r="E327" s="3">
        <v>17.87</v>
      </c>
      <c r="F327" s="2" t="s">
        <v>18184</v>
      </c>
      <c r="G327" s="22"/>
      <c r="H327" s="24" t="s">
        <v>19367</v>
      </c>
      <c r="I327" s="22" t="s">
        <v>19309</v>
      </c>
      <c r="J327" s="22" t="s">
        <v>19708</v>
      </c>
      <c r="K327" s="22" t="s">
        <v>19709</v>
      </c>
      <c r="L327" s="22"/>
      <c r="M327" s="22"/>
      <c r="N327" s="25" t="str">
        <f>HYPERLINK("http://slimages.macys.com/is/image/MCY/22595811 ")</f>
        <v xml:space="preserve">http://slimages.macys.com/is/image/MCY/22595811 </v>
      </c>
    </row>
    <row r="328" spans="1:14" x14ac:dyDescent="0.25">
      <c r="A328" s="21" t="s">
        <v>13129</v>
      </c>
      <c r="B328" s="22" t="s">
        <v>13130</v>
      </c>
      <c r="C328" s="2">
        <v>2</v>
      </c>
      <c r="D328" s="23">
        <v>17.87</v>
      </c>
      <c r="E328" s="3">
        <v>35.74</v>
      </c>
      <c r="F328" s="2" t="s">
        <v>20182</v>
      </c>
      <c r="G328" s="22"/>
      <c r="H328" s="24" t="s">
        <v>20152</v>
      </c>
      <c r="I328" s="22" t="s">
        <v>19309</v>
      </c>
      <c r="J328" s="22" t="s">
        <v>19708</v>
      </c>
      <c r="K328" s="22" t="s">
        <v>19709</v>
      </c>
      <c r="L328" s="22"/>
      <c r="M328" s="22"/>
      <c r="N328" s="25" t="str">
        <f>HYPERLINK("http://slimages.macys.com/is/image/MCY/22405971 ")</f>
        <v xml:space="preserve">http://slimages.macys.com/is/image/MCY/22405971 </v>
      </c>
    </row>
    <row r="329" spans="1:14" x14ac:dyDescent="0.25">
      <c r="A329" s="21" t="s">
        <v>13131</v>
      </c>
      <c r="B329" s="22" t="s">
        <v>13132</v>
      </c>
      <c r="C329" s="2">
        <v>1</v>
      </c>
      <c r="D329" s="23">
        <v>17.87</v>
      </c>
      <c r="E329" s="3">
        <v>17.87</v>
      </c>
      <c r="F329" s="2" t="s">
        <v>20176</v>
      </c>
      <c r="G329" s="22"/>
      <c r="H329" s="24" t="s">
        <v>19367</v>
      </c>
      <c r="I329" s="22" t="s">
        <v>19309</v>
      </c>
      <c r="J329" s="22" t="s">
        <v>19708</v>
      </c>
      <c r="K329" s="22" t="s">
        <v>19709</v>
      </c>
      <c r="L329" s="22"/>
      <c r="M329" s="22"/>
      <c r="N329" s="25" t="str">
        <f>HYPERLINK("http://slimages.macys.com/is/image/MCY/22405968 ")</f>
        <v xml:space="preserve">http://slimages.macys.com/is/image/MCY/22405968 </v>
      </c>
    </row>
    <row r="330" spans="1:14" x14ac:dyDescent="0.25">
      <c r="A330" s="21" t="s">
        <v>13133</v>
      </c>
      <c r="B330" s="22" t="s">
        <v>13134</v>
      </c>
      <c r="C330" s="2">
        <v>1</v>
      </c>
      <c r="D330" s="23">
        <v>17.87</v>
      </c>
      <c r="E330" s="3">
        <v>17.87</v>
      </c>
      <c r="F330" s="2" t="s">
        <v>18184</v>
      </c>
      <c r="G330" s="22"/>
      <c r="H330" s="24" t="s">
        <v>19770</v>
      </c>
      <c r="I330" s="22" t="s">
        <v>19309</v>
      </c>
      <c r="J330" s="22" t="s">
        <v>19708</v>
      </c>
      <c r="K330" s="22" t="s">
        <v>19709</v>
      </c>
      <c r="L330" s="22"/>
      <c r="M330" s="22"/>
      <c r="N330" s="25" t="str">
        <f>HYPERLINK("http://slimages.macys.com/is/image/MCY/22595811 ")</f>
        <v xml:space="preserve">http://slimages.macys.com/is/image/MCY/22595811 </v>
      </c>
    </row>
    <row r="331" spans="1:14" x14ac:dyDescent="0.25">
      <c r="A331" s="21" t="s">
        <v>13135</v>
      </c>
      <c r="B331" s="22" t="s">
        <v>13136</v>
      </c>
      <c r="C331" s="2">
        <v>1</v>
      </c>
      <c r="D331" s="23">
        <v>17.87</v>
      </c>
      <c r="E331" s="3">
        <v>17.87</v>
      </c>
      <c r="F331" s="2" t="s">
        <v>18184</v>
      </c>
      <c r="G331" s="22"/>
      <c r="H331" s="24" t="s">
        <v>19416</v>
      </c>
      <c r="I331" s="22" t="s">
        <v>19309</v>
      </c>
      <c r="J331" s="22" t="s">
        <v>19708</v>
      </c>
      <c r="K331" s="22" t="s">
        <v>19709</v>
      </c>
      <c r="L331" s="22"/>
      <c r="M331" s="22"/>
      <c r="N331" s="25" t="str">
        <f>HYPERLINK("http://slimages.macys.com/is/image/MCY/22595811 ")</f>
        <v xml:space="preserve">http://slimages.macys.com/is/image/MCY/22595811 </v>
      </c>
    </row>
    <row r="332" spans="1:14" x14ac:dyDescent="0.25">
      <c r="A332" s="21" t="s">
        <v>13137</v>
      </c>
      <c r="B332" s="22" t="s">
        <v>13138</v>
      </c>
      <c r="C332" s="2">
        <v>1</v>
      </c>
      <c r="D332" s="23">
        <v>17.87</v>
      </c>
      <c r="E332" s="3">
        <v>17.87</v>
      </c>
      <c r="F332" s="2" t="s">
        <v>20176</v>
      </c>
      <c r="G332" s="22"/>
      <c r="H332" s="24" t="s">
        <v>20152</v>
      </c>
      <c r="I332" s="22" t="s">
        <v>19309</v>
      </c>
      <c r="J332" s="22" t="s">
        <v>19708</v>
      </c>
      <c r="K332" s="22" t="s">
        <v>19709</v>
      </c>
      <c r="L332" s="22"/>
      <c r="M332" s="22"/>
      <c r="N332" s="25" t="str">
        <f>HYPERLINK("http://slimages.macys.com/is/image/MCY/22405968 ")</f>
        <v xml:space="preserve">http://slimages.macys.com/is/image/MCY/22405968 </v>
      </c>
    </row>
    <row r="333" spans="1:14" x14ac:dyDescent="0.25">
      <c r="A333" s="21" t="s">
        <v>13139</v>
      </c>
      <c r="B333" s="22" t="s">
        <v>13140</v>
      </c>
      <c r="C333" s="2">
        <v>2</v>
      </c>
      <c r="D333" s="23">
        <v>17.87</v>
      </c>
      <c r="E333" s="3">
        <v>35.74</v>
      </c>
      <c r="F333" s="2" t="s">
        <v>20182</v>
      </c>
      <c r="G333" s="22"/>
      <c r="H333" s="24" t="s">
        <v>19770</v>
      </c>
      <c r="I333" s="22" t="s">
        <v>19309</v>
      </c>
      <c r="J333" s="22" t="s">
        <v>19708</v>
      </c>
      <c r="K333" s="22" t="s">
        <v>19709</v>
      </c>
      <c r="L333" s="22"/>
      <c r="M333" s="22"/>
      <c r="N333" s="25" t="str">
        <f>HYPERLINK("http://slimages.macys.com/is/image/MCY/22405971 ")</f>
        <v xml:space="preserve">http://slimages.macys.com/is/image/MCY/22405971 </v>
      </c>
    </row>
    <row r="334" spans="1:14" x14ac:dyDescent="0.25">
      <c r="A334" s="21" t="s">
        <v>20187</v>
      </c>
      <c r="B334" s="22" t="s">
        <v>20188</v>
      </c>
      <c r="C334" s="2">
        <v>1</v>
      </c>
      <c r="D334" s="23">
        <v>17.87</v>
      </c>
      <c r="E334" s="3">
        <v>17.87</v>
      </c>
      <c r="F334" s="2" t="s">
        <v>20176</v>
      </c>
      <c r="G334" s="22"/>
      <c r="H334" s="24" t="s">
        <v>19770</v>
      </c>
      <c r="I334" s="22" t="s">
        <v>19309</v>
      </c>
      <c r="J334" s="22" t="s">
        <v>19708</v>
      </c>
      <c r="K334" s="22" t="s">
        <v>19709</v>
      </c>
      <c r="L334" s="22"/>
      <c r="M334" s="22"/>
      <c r="N334" s="25" t="str">
        <f>HYPERLINK("http://slimages.macys.com/is/image/MCY/22405968 ")</f>
        <v xml:space="preserve">http://slimages.macys.com/is/image/MCY/22405968 </v>
      </c>
    </row>
    <row r="335" spans="1:14" ht="24.75" x14ac:dyDescent="0.25">
      <c r="A335" s="21" t="s">
        <v>13141</v>
      </c>
      <c r="B335" s="22" t="s">
        <v>13142</v>
      </c>
      <c r="C335" s="2">
        <v>1</v>
      </c>
      <c r="D335" s="23">
        <v>15.71</v>
      </c>
      <c r="E335" s="3">
        <v>15.71</v>
      </c>
      <c r="F335" s="2" t="s">
        <v>13143</v>
      </c>
      <c r="G335" s="22"/>
      <c r="H335" s="24" t="s">
        <v>19392</v>
      </c>
      <c r="I335" s="22" t="s">
        <v>19309</v>
      </c>
      <c r="J335" s="22" t="s">
        <v>19602</v>
      </c>
      <c r="K335" s="22" t="s">
        <v>20041</v>
      </c>
      <c r="L335" s="22"/>
      <c r="M335" s="22"/>
      <c r="N335" s="25" t="str">
        <f>HYPERLINK("http://slimages.macys.com/is/image/MCY/21669860 ")</f>
        <v xml:space="preserve">http://slimages.macys.com/is/image/MCY/21669860 </v>
      </c>
    </row>
    <row r="336" spans="1:14" ht="24.75" x14ac:dyDescent="0.25">
      <c r="A336" s="21" t="s">
        <v>18191</v>
      </c>
      <c r="B336" s="22" t="s">
        <v>18192</v>
      </c>
      <c r="C336" s="2">
        <v>1</v>
      </c>
      <c r="D336" s="23">
        <v>15.71</v>
      </c>
      <c r="E336" s="3">
        <v>15.71</v>
      </c>
      <c r="F336" s="2" t="s">
        <v>18193</v>
      </c>
      <c r="G336" s="22" t="s">
        <v>19431</v>
      </c>
      <c r="H336" s="24" t="s">
        <v>19345</v>
      </c>
      <c r="I336" s="22" t="s">
        <v>19309</v>
      </c>
      <c r="J336" s="22" t="s">
        <v>19602</v>
      </c>
      <c r="K336" s="22" t="s">
        <v>20041</v>
      </c>
      <c r="L336" s="22"/>
      <c r="M336" s="22"/>
      <c r="N336" s="25" t="str">
        <f>HYPERLINK("http://slimages.macys.com/is/image/MCY/21728870 ")</f>
        <v xml:space="preserve">http://slimages.macys.com/is/image/MCY/21728870 </v>
      </c>
    </row>
    <row r="337" spans="1:14" x14ac:dyDescent="0.25">
      <c r="A337" s="21" t="s">
        <v>13691</v>
      </c>
      <c r="B337" s="22" t="s">
        <v>13692</v>
      </c>
      <c r="C337" s="2">
        <v>1</v>
      </c>
      <c r="D337" s="23">
        <v>19.989999999999998</v>
      </c>
      <c r="E337" s="3">
        <v>19.989999999999998</v>
      </c>
      <c r="F337" s="2" t="s">
        <v>13693</v>
      </c>
      <c r="G337" s="22" t="s">
        <v>19342</v>
      </c>
      <c r="H337" s="24" t="s">
        <v>19997</v>
      </c>
      <c r="I337" s="22" t="s">
        <v>19309</v>
      </c>
      <c r="J337" s="22" t="s">
        <v>19696</v>
      </c>
      <c r="K337" s="22" t="s">
        <v>19697</v>
      </c>
      <c r="L337" s="22"/>
      <c r="M337" s="22"/>
      <c r="N337" s="25" t="str">
        <f>HYPERLINK("http://slimages.macys.com/is/image/MCY/20662555 ")</f>
        <v xml:space="preserve">http://slimages.macys.com/is/image/MCY/20662555 </v>
      </c>
    </row>
    <row r="338" spans="1:14" x14ac:dyDescent="0.25">
      <c r="A338" s="21" t="s">
        <v>13144</v>
      </c>
      <c r="B338" s="22" t="s">
        <v>13145</v>
      </c>
      <c r="C338" s="2">
        <v>1</v>
      </c>
      <c r="D338" s="23">
        <v>19.989999999999998</v>
      </c>
      <c r="E338" s="3">
        <v>19.989999999999998</v>
      </c>
      <c r="F338" s="2" t="s">
        <v>13693</v>
      </c>
      <c r="G338" s="22" t="s">
        <v>19342</v>
      </c>
      <c r="H338" s="24" t="s">
        <v>19542</v>
      </c>
      <c r="I338" s="22" t="s">
        <v>19309</v>
      </c>
      <c r="J338" s="22" t="s">
        <v>19696</v>
      </c>
      <c r="K338" s="22" t="s">
        <v>19697</v>
      </c>
      <c r="L338" s="22"/>
      <c r="M338" s="22"/>
      <c r="N338" s="25" t="str">
        <f>HYPERLINK("http://slimages.macys.com/is/image/MCY/20662555 ")</f>
        <v xml:space="preserve">http://slimages.macys.com/is/image/MCY/20662555 </v>
      </c>
    </row>
    <row r="339" spans="1:14" x14ac:dyDescent="0.25">
      <c r="A339" s="21" t="s">
        <v>13146</v>
      </c>
      <c r="B339" s="22" t="s">
        <v>13147</v>
      </c>
      <c r="C339" s="2">
        <v>1</v>
      </c>
      <c r="D339" s="23">
        <v>19.989999999999998</v>
      </c>
      <c r="E339" s="3">
        <v>19.989999999999998</v>
      </c>
      <c r="F339" s="2" t="s">
        <v>13693</v>
      </c>
      <c r="G339" s="22" t="s">
        <v>19342</v>
      </c>
      <c r="H339" s="24" t="s">
        <v>19395</v>
      </c>
      <c r="I339" s="22" t="s">
        <v>19309</v>
      </c>
      <c r="J339" s="22" t="s">
        <v>19696</v>
      </c>
      <c r="K339" s="22" t="s">
        <v>19697</v>
      </c>
      <c r="L339" s="22"/>
      <c r="M339" s="22"/>
      <c r="N339" s="25" t="str">
        <f>HYPERLINK("http://slimages.macys.com/is/image/MCY/20662555 ")</f>
        <v xml:space="preserve">http://slimages.macys.com/is/image/MCY/20662555 </v>
      </c>
    </row>
    <row r="340" spans="1:14" x14ac:dyDescent="0.25">
      <c r="A340" s="21" t="s">
        <v>13148</v>
      </c>
      <c r="B340" s="22" t="s">
        <v>13149</v>
      </c>
      <c r="C340" s="2">
        <v>2</v>
      </c>
      <c r="D340" s="23">
        <v>13.77</v>
      </c>
      <c r="E340" s="3">
        <v>27.54</v>
      </c>
      <c r="F340" s="2" t="s">
        <v>13150</v>
      </c>
      <c r="G340" s="22"/>
      <c r="H340" s="24" t="s">
        <v>20159</v>
      </c>
      <c r="I340" s="22" t="s">
        <v>19309</v>
      </c>
      <c r="J340" s="22" t="s">
        <v>19708</v>
      </c>
      <c r="K340" s="22" t="s">
        <v>19709</v>
      </c>
      <c r="L340" s="22"/>
      <c r="M340" s="22"/>
      <c r="N340" s="25" t="str">
        <f>HYPERLINK("http://slimages.macys.com/is/image/MCY/19067056 ")</f>
        <v xml:space="preserve">http://slimages.macys.com/is/image/MCY/19067056 </v>
      </c>
    </row>
    <row r="341" spans="1:14" x14ac:dyDescent="0.25">
      <c r="A341" s="21" t="s">
        <v>13151</v>
      </c>
      <c r="B341" s="22" t="s">
        <v>13152</v>
      </c>
      <c r="C341" s="2">
        <v>1</v>
      </c>
      <c r="D341" s="23">
        <v>13.77</v>
      </c>
      <c r="E341" s="3">
        <v>13.77</v>
      </c>
      <c r="F341" s="2" t="s">
        <v>13150</v>
      </c>
      <c r="G341" s="22"/>
      <c r="H341" s="24" t="s">
        <v>19367</v>
      </c>
      <c r="I341" s="22" t="s">
        <v>19309</v>
      </c>
      <c r="J341" s="22" t="s">
        <v>19708</v>
      </c>
      <c r="K341" s="22" t="s">
        <v>19709</v>
      </c>
      <c r="L341" s="22"/>
      <c r="M341" s="22"/>
      <c r="N341" s="25" t="str">
        <f>HYPERLINK("http://slimages.macys.com/is/image/MCY/19067056 ")</f>
        <v xml:space="preserve">http://slimages.macys.com/is/image/MCY/19067056 </v>
      </c>
    </row>
    <row r="342" spans="1:14" x14ac:dyDescent="0.25">
      <c r="A342" s="21" t="s">
        <v>13153</v>
      </c>
      <c r="B342" s="22" t="s">
        <v>13154</v>
      </c>
      <c r="C342" s="2">
        <v>1</v>
      </c>
      <c r="D342" s="23">
        <v>13.77</v>
      </c>
      <c r="E342" s="3">
        <v>13.77</v>
      </c>
      <c r="F342" s="2" t="s">
        <v>13150</v>
      </c>
      <c r="G342" s="22"/>
      <c r="H342" s="24" t="s">
        <v>19770</v>
      </c>
      <c r="I342" s="22" t="s">
        <v>19309</v>
      </c>
      <c r="J342" s="22" t="s">
        <v>19708</v>
      </c>
      <c r="K342" s="22" t="s">
        <v>19709</v>
      </c>
      <c r="L342" s="22"/>
      <c r="M342" s="22"/>
      <c r="N342" s="25" t="str">
        <f>HYPERLINK("http://slimages.macys.com/is/image/MCY/19067056 ")</f>
        <v xml:space="preserve">http://slimages.macys.com/is/image/MCY/19067056 </v>
      </c>
    </row>
    <row r="343" spans="1:14" x14ac:dyDescent="0.25">
      <c r="A343" s="21" t="s">
        <v>13155</v>
      </c>
      <c r="B343" s="22" t="s">
        <v>13156</v>
      </c>
      <c r="C343" s="2">
        <v>1</v>
      </c>
      <c r="D343" s="23">
        <v>13.77</v>
      </c>
      <c r="E343" s="3">
        <v>13.77</v>
      </c>
      <c r="F343" s="2" t="s">
        <v>13150</v>
      </c>
      <c r="G343" s="22"/>
      <c r="H343" s="24" t="s">
        <v>19330</v>
      </c>
      <c r="I343" s="22" t="s">
        <v>19309</v>
      </c>
      <c r="J343" s="22" t="s">
        <v>19708</v>
      </c>
      <c r="K343" s="22" t="s">
        <v>19709</v>
      </c>
      <c r="L343" s="22"/>
      <c r="M343" s="22"/>
      <c r="N343" s="25" t="str">
        <f>HYPERLINK("http://slimages.macys.com/is/image/MCY/19067056 ")</f>
        <v xml:space="preserve">http://slimages.macys.com/is/image/MCY/19067056 </v>
      </c>
    </row>
    <row r="344" spans="1:14" ht="24.75" x14ac:dyDescent="0.25">
      <c r="A344" s="21" t="s">
        <v>13157</v>
      </c>
      <c r="B344" s="22" t="s">
        <v>13158</v>
      </c>
      <c r="C344" s="2">
        <v>2</v>
      </c>
      <c r="D344" s="23">
        <v>13.77</v>
      </c>
      <c r="E344" s="3">
        <v>27.54</v>
      </c>
      <c r="F344" s="2" t="s">
        <v>20205</v>
      </c>
      <c r="G344" s="22"/>
      <c r="H344" s="24" t="s">
        <v>20152</v>
      </c>
      <c r="I344" s="22" t="s">
        <v>19309</v>
      </c>
      <c r="J344" s="22" t="s">
        <v>19708</v>
      </c>
      <c r="K344" s="22" t="s">
        <v>19709</v>
      </c>
      <c r="L344" s="22"/>
      <c r="M344" s="22"/>
      <c r="N344" s="25" t="str">
        <f>HYPERLINK("http://slimages.macys.com/is/image/MCY/21183992 ")</f>
        <v xml:space="preserve">http://slimages.macys.com/is/image/MCY/21183992 </v>
      </c>
    </row>
    <row r="345" spans="1:14" x14ac:dyDescent="0.25">
      <c r="A345" s="21" t="s">
        <v>13159</v>
      </c>
      <c r="B345" s="22" t="s">
        <v>13160</v>
      </c>
      <c r="C345" s="2">
        <v>1</v>
      </c>
      <c r="D345" s="23">
        <v>17.3</v>
      </c>
      <c r="E345" s="3">
        <v>17.3</v>
      </c>
      <c r="F345" s="2" t="s">
        <v>13161</v>
      </c>
      <c r="G345" s="22" t="s">
        <v>19351</v>
      </c>
      <c r="H345" s="24" t="s">
        <v>19367</v>
      </c>
      <c r="I345" s="22" t="s">
        <v>19309</v>
      </c>
      <c r="J345" s="22" t="s">
        <v>19708</v>
      </c>
      <c r="K345" s="22" t="s">
        <v>19709</v>
      </c>
      <c r="L345" s="22"/>
      <c r="M345" s="22"/>
      <c r="N345" s="25" t="str">
        <f>HYPERLINK("http://slimages.macys.com/is/image/MCY/22407523 ")</f>
        <v xml:space="preserve">http://slimages.macys.com/is/image/MCY/22407523 </v>
      </c>
    </row>
    <row r="346" spans="1:14" x14ac:dyDescent="0.25">
      <c r="A346" s="21" t="s">
        <v>20200</v>
      </c>
      <c r="B346" s="22" t="s">
        <v>20201</v>
      </c>
      <c r="C346" s="2">
        <v>1</v>
      </c>
      <c r="D346" s="23">
        <v>13.77</v>
      </c>
      <c r="E346" s="3">
        <v>13.77</v>
      </c>
      <c r="F346" s="2" t="s">
        <v>20202</v>
      </c>
      <c r="G346" s="22"/>
      <c r="H346" s="24" t="s">
        <v>19770</v>
      </c>
      <c r="I346" s="22" t="s">
        <v>19309</v>
      </c>
      <c r="J346" s="22" t="s">
        <v>19708</v>
      </c>
      <c r="K346" s="22" t="s">
        <v>19709</v>
      </c>
      <c r="L346" s="22"/>
      <c r="M346" s="22"/>
      <c r="N346" s="25" t="str">
        <f>HYPERLINK("http://slimages.macys.com/is/image/MCY/19067056 ")</f>
        <v xml:space="preserve">http://slimages.macys.com/is/image/MCY/19067056 </v>
      </c>
    </row>
    <row r="347" spans="1:14" ht="24.75" x14ac:dyDescent="0.25">
      <c r="A347" s="21" t="s">
        <v>13162</v>
      </c>
      <c r="B347" s="22" t="s">
        <v>13163</v>
      </c>
      <c r="C347" s="2">
        <v>1</v>
      </c>
      <c r="D347" s="23">
        <v>14</v>
      </c>
      <c r="E347" s="3">
        <v>14</v>
      </c>
      <c r="F347" s="2" t="s">
        <v>13164</v>
      </c>
      <c r="G347" s="22" t="s">
        <v>19351</v>
      </c>
      <c r="H347" s="24" t="s">
        <v>19364</v>
      </c>
      <c r="I347" s="22" t="s">
        <v>19309</v>
      </c>
      <c r="J347" s="22" t="s">
        <v>19565</v>
      </c>
      <c r="K347" s="22" t="s">
        <v>13165</v>
      </c>
      <c r="L347" s="22"/>
      <c r="M347" s="22"/>
      <c r="N347" s="25" t="str">
        <f>HYPERLINK("http://slimages.macys.com/is/image/MCY/21574480 ")</f>
        <v xml:space="preserve">http://slimages.macys.com/is/image/MCY/21574480 </v>
      </c>
    </row>
    <row r="348" spans="1:14" ht="24.75" x14ac:dyDescent="0.25">
      <c r="A348" s="21" t="s">
        <v>13166</v>
      </c>
      <c r="B348" s="22" t="s">
        <v>13167</v>
      </c>
      <c r="C348" s="2">
        <v>1</v>
      </c>
      <c r="D348" s="23">
        <v>14</v>
      </c>
      <c r="E348" s="3">
        <v>14</v>
      </c>
      <c r="F348" s="2" t="s">
        <v>13164</v>
      </c>
      <c r="G348" s="22" t="s">
        <v>19351</v>
      </c>
      <c r="H348" s="24" t="s">
        <v>19352</v>
      </c>
      <c r="I348" s="22" t="s">
        <v>19309</v>
      </c>
      <c r="J348" s="22" t="s">
        <v>19565</v>
      </c>
      <c r="K348" s="22" t="s">
        <v>13165</v>
      </c>
      <c r="L348" s="22"/>
      <c r="M348" s="22"/>
      <c r="N348" s="25" t="str">
        <f>HYPERLINK("http://slimages.macys.com/is/image/MCY/21574480 ")</f>
        <v xml:space="preserve">http://slimages.macys.com/is/image/MCY/21574480 </v>
      </c>
    </row>
    <row r="349" spans="1:14" x14ac:dyDescent="0.25">
      <c r="A349" s="21" t="s">
        <v>13168</v>
      </c>
      <c r="B349" s="22" t="s">
        <v>13169</v>
      </c>
      <c r="C349" s="2">
        <v>2</v>
      </c>
      <c r="D349" s="23">
        <v>30</v>
      </c>
      <c r="E349" s="3">
        <v>60</v>
      </c>
      <c r="F349" s="2" t="s">
        <v>13170</v>
      </c>
      <c r="G349" s="22" t="s">
        <v>19333</v>
      </c>
      <c r="H349" s="24"/>
      <c r="I349" s="22" t="s">
        <v>19309</v>
      </c>
      <c r="J349" s="22" t="s">
        <v>19417</v>
      </c>
      <c r="K349" s="22" t="s">
        <v>20110</v>
      </c>
      <c r="L349" s="22"/>
      <c r="M349" s="22"/>
      <c r="N349" s="25" t="str">
        <f>HYPERLINK("http://slimages.macys.com/is/image/MCY/21400780 ")</f>
        <v xml:space="preserve">http://slimages.macys.com/is/image/MCY/21400780 </v>
      </c>
    </row>
    <row r="350" spans="1:14" ht="24.75" x14ac:dyDescent="0.25">
      <c r="A350" s="21" t="s">
        <v>18246</v>
      </c>
      <c r="B350" s="22" t="s">
        <v>18247</v>
      </c>
      <c r="C350" s="2">
        <v>1</v>
      </c>
      <c r="D350" s="23">
        <v>11.99</v>
      </c>
      <c r="E350" s="3">
        <v>11.99</v>
      </c>
      <c r="F350" s="2" t="s">
        <v>18248</v>
      </c>
      <c r="G350" s="22" t="s">
        <v>19357</v>
      </c>
      <c r="H350" s="24" t="s">
        <v>19770</v>
      </c>
      <c r="I350" s="22" t="s">
        <v>19309</v>
      </c>
      <c r="J350" s="22" t="s">
        <v>19573</v>
      </c>
      <c r="K350" s="22" t="s">
        <v>20256</v>
      </c>
      <c r="L350" s="22" t="s">
        <v>19319</v>
      </c>
      <c r="M350" s="22" t="s">
        <v>19358</v>
      </c>
      <c r="N350" s="25" t="str">
        <f>HYPERLINK("http://slimages.macys.com/is/image/MCY/10227910 ")</f>
        <v xml:space="preserve">http://slimages.macys.com/is/image/MCY/10227910 </v>
      </c>
    </row>
    <row r="351" spans="1:14" ht="24.75" x14ac:dyDescent="0.25">
      <c r="A351" s="21" t="s">
        <v>13171</v>
      </c>
      <c r="B351" s="22" t="s">
        <v>13172</v>
      </c>
      <c r="C351" s="2">
        <v>1</v>
      </c>
      <c r="D351" s="23">
        <v>11.99</v>
      </c>
      <c r="E351" s="3">
        <v>11.99</v>
      </c>
      <c r="F351" s="2" t="s">
        <v>13173</v>
      </c>
      <c r="G351" s="22" t="s">
        <v>19333</v>
      </c>
      <c r="H351" s="24" t="s">
        <v>19538</v>
      </c>
      <c r="I351" s="22" t="s">
        <v>19309</v>
      </c>
      <c r="J351" s="22" t="s">
        <v>19573</v>
      </c>
      <c r="K351" s="22" t="s">
        <v>20256</v>
      </c>
      <c r="L351" s="22" t="s">
        <v>19319</v>
      </c>
      <c r="M351" s="22" t="s">
        <v>19358</v>
      </c>
      <c r="N351" s="25" t="str">
        <f>HYPERLINK("http://slimages.macys.com/is/image/MCY/8018009 ")</f>
        <v xml:space="preserve">http://slimages.macys.com/is/image/MCY/8018009 </v>
      </c>
    </row>
    <row r="352" spans="1:14" ht="24.75" x14ac:dyDescent="0.25">
      <c r="A352" s="21" t="s">
        <v>13739</v>
      </c>
      <c r="B352" s="22" t="s">
        <v>13740</v>
      </c>
      <c r="C352" s="2">
        <v>1</v>
      </c>
      <c r="D352" s="23">
        <v>11.99</v>
      </c>
      <c r="E352" s="3">
        <v>11.99</v>
      </c>
      <c r="F352" s="2">
        <v>100007433</v>
      </c>
      <c r="G352" s="22" t="s">
        <v>19338</v>
      </c>
      <c r="H352" s="24" t="s">
        <v>19384</v>
      </c>
      <c r="I352" s="22" t="s">
        <v>19309</v>
      </c>
      <c r="J352" s="22" t="s">
        <v>19573</v>
      </c>
      <c r="K352" s="22" t="s">
        <v>20256</v>
      </c>
      <c r="L352" s="22" t="s">
        <v>19319</v>
      </c>
      <c r="M352" s="22" t="s">
        <v>20257</v>
      </c>
      <c r="N352" s="25" t="str">
        <f>HYPERLINK("http://slimages.macys.com/is/image/MCY/9157891 ")</f>
        <v xml:space="preserve">http://slimages.macys.com/is/image/MCY/9157891 </v>
      </c>
    </row>
    <row r="353" spans="1:14" ht="24.75" x14ac:dyDescent="0.25">
      <c r="A353" s="21" t="s">
        <v>13174</v>
      </c>
      <c r="B353" s="22" t="s">
        <v>13175</v>
      </c>
      <c r="C353" s="2">
        <v>6</v>
      </c>
      <c r="D353" s="23">
        <v>11.99</v>
      </c>
      <c r="E353" s="3">
        <v>71.94</v>
      </c>
      <c r="F353" s="2">
        <v>100007433</v>
      </c>
      <c r="G353" s="22" t="s">
        <v>19338</v>
      </c>
      <c r="H353" s="24" t="s">
        <v>19538</v>
      </c>
      <c r="I353" s="22" t="s">
        <v>19309</v>
      </c>
      <c r="J353" s="22" t="s">
        <v>19573</v>
      </c>
      <c r="K353" s="22" t="s">
        <v>20256</v>
      </c>
      <c r="L353" s="22" t="s">
        <v>19319</v>
      </c>
      <c r="M353" s="22" t="s">
        <v>20257</v>
      </c>
      <c r="N353" s="25" t="str">
        <f>HYPERLINK("http://slimages.macys.com/is/image/MCY/9157891 ")</f>
        <v xml:space="preserve">http://slimages.macys.com/is/image/MCY/9157891 </v>
      </c>
    </row>
    <row r="354" spans="1:14" ht="24.75" x14ac:dyDescent="0.25">
      <c r="A354" s="21" t="s">
        <v>13176</v>
      </c>
      <c r="B354" s="22" t="s">
        <v>13177</v>
      </c>
      <c r="C354" s="2">
        <v>3</v>
      </c>
      <c r="D354" s="23">
        <v>11.99</v>
      </c>
      <c r="E354" s="3">
        <v>35.97</v>
      </c>
      <c r="F354" s="2" t="s">
        <v>20291</v>
      </c>
      <c r="G354" s="22" t="s">
        <v>19357</v>
      </c>
      <c r="H354" s="24"/>
      <c r="I354" s="22" t="s">
        <v>19309</v>
      </c>
      <c r="J354" s="22" t="s">
        <v>19573</v>
      </c>
      <c r="K354" s="22" t="s">
        <v>20256</v>
      </c>
      <c r="L354" s="22" t="s">
        <v>19319</v>
      </c>
      <c r="M354" s="22" t="s">
        <v>19358</v>
      </c>
      <c r="N354" s="25" t="str">
        <f>HYPERLINK("http://slimages.macys.com/is/image/MCY/8018016 ")</f>
        <v xml:space="preserve">http://slimages.macys.com/is/image/MCY/8018016 </v>
      </c>
    </row>
    <row r="355" spans="1:14" ht="24.75" x14ac:dyDescent="0.25">
      <c r="A355" s="21" t="s">
        <v>20289</v>
      </c>
      <c r="B355" s="22" t="s">
        <v>20290</v>
      </c>
      <c r="C355" s="2">
        <v>1</v>
      </c>
      <c r="D355" s="23">
        <v>11.99</v>
      </c>
      <c r="E355" s="3">
        <v>11.99</v>
      </c>
      <c r="F355" s="2" t="s">
        <v>20291</v>
      </c>
      <c r="G355" s="22" t="s">
        <v>19357</v>
      </c>
      <c r="H355" s="24" t="s">
        <v>19538</v>
      </c>
      <c r="I355" s="22" t="s">
        <v>19309</v>
      </c>
      <c r="J355" s="22" t="s">
        <v>19573</v>
      </c>
      <c r="K355" s="22" t="s">
        <v>20256</v>
      </c>
      <c r="L355" s="22" t="s">
        <v>19319</v>
      </c>
      <c r="M355" s="22" t="s">
        <v>19358</v>
      </c>
      <c r="N355" s="25" t="str">
        <f>HYPERLINK("http://slimages.macys.com/is/image/MCY/8018016 ")</f>
        <v xml:space="preserve">http://slimages.macys.com/is/image/MCY/8018016 </v>
      </c>
    </row>
    <row r="356" spans="1:14" ht="24.75" x14ac:dyDescent="0.25">
      <c r="A356" s="21" t="s">
        <v>13178</v>
      </c>
      <c r="B356" s="22" t="s">
        <v>13179</v>
      </c>
      <c r="C356" s="2">
        <v>3</v>
      </c>
      <c r="D356" s="23">
        <v>11.99</v>
      </c>
      <c r="E356" s="3">
        <v>35.97</v>
      </c>
      <c r="F356" s="2" t="s">
        <v>20291</v>
      </c>
      <c r="G356" s="22" t="s">
        <v>19357</v>
      </c>
      <c r="H356" s="24" t="s">
        <v>19770</v>
      </c>
      <c r="I356" s="22" t="s">
        <v>19309</v>
      </c>
      <c r="J356" s="22" t="s">
        <v>19573</v>
      </c>
      <c r="K356" s="22" t="s">
        <v>20256</v>
      </c>
      <c r="L356" s="22" t="s">
        <v>19319</v>
      </c>
      <c r="M356" s="22" t="s">
        <v>19358</v>
      </c>
      <c r="N356" s="25" t="str">
        <f>HYPERLINK("http://slimages.macys.com/is/image/MCY/8018016 ")</f>
        <v xml:space="preserve">http://slimages.macys.com/is/image/MCY/8018016 </v>
      </c>
    </row>
    <row r="357" spans="1:14" ht="24.75" x14ac:dyDescent="0.25">
      <c r="A357" s="21" t="s">
        <v>13180</v>
      </c>
      <c r="B357" s="22" t="s">
        <v>13181</v>
      </c>
      <c r="C357" s="2">
        <v>1</v>
      </c>
      <c r="D357" s="23">
        <v>11.99</v>
      </c>
      <c r="E357" s="3">
        <v>11.99</v>
      </c>
      <c r="F357" s="2" t="s">
        <v>13182</v>
      </c>
      <c r="G357" s="22" t="s">
        <v>19333</v>
      </c>
      <c r="H357" s="24"/>
      <c r="I357" s="22" t="s">
        <v>19309</v>
      </c>
      <c r="J357" s="22" t="s">
        <v>19573</v>
      </c>
      <c r="K357" s="22" t="s">
        <v>20256</v>
      </c>
      <c r="L357" s="22" t="s">
        <v>19319</v>
      </c>
      <c r="M357" s="22" t="s">
        <v>19358</v>
      </c>
      <c r="N357" s="25" t="str">
        <f>HYPERLINK("http://slimages.macys.com/is/image/MCY/8018008 ")</f>
        <v xml:space="preserve">http://slimages.macys.com/is/image/MCY/8018008 </v>
      </c>
    </row>
    <row r="358" spans="1:14" ht="24.75" x14ac:dyDescent="0.25">
      <c r="A358" s="21" t="s">
        <v>13183</v>
      </c>
      <c r="B358" s="22" t="s">
        <v>13184</v>
      </c>
      <c r="C358" s="2">
        <v>1</v>
      </c>
      <c r="D358" s="23">
        <v>11.99</v>
      </c>
      <c r="E358" s="3">
        <v>11.99</v>
      </c>
      <c r="F358" s="2">
        <v>100007433</v>
      </c>
      <c r="G358" s="22" t="s">
        <v>19338</v>
      </c>
      <c r="H358" s="24"/>
      <c r="I358" s="22" t="s">
        <v>19309</v>
      </c>
      <c r="J358" s="22" t="s">
        <v>19573</v>
      </c>
      <c r="K358" s="22" t="s">
        <v>20256</v>
      </c>
      <c r="L358" s="22" t="s">
        <v>19319</v>
      </c>
      <c r="M358" s="22" t="s">
        <v>20257</v>
      </c>
      <c r="N358" s="25" t="str">
        <f>HYPERLINK("http://slimages.macys.com/is/image/MCY/9157891 ")</f>
        <v xml:space="preserve">http://slimages.macys.com/is/image/MCY/9157891 </v>
      </c>
    </row>
    <row r="359" spans="1:14" ht="24.75" x14ac:dyDescent="0.25">
      <c r="A359" s="21" t="s">
        <v>20312</v>
      </c>
      <c r="B359" s="22" t="s">
        <v>19916</v>
      </c>
      <c r="C359" s="2">
        <v>2</v>
      </c>
      <c r="D359" s="23">
        <v>16.989999999999998</v>
      </c>
      <c r="E359" s="3">
        <v>33.979999999999997</v>
      </c>
      <c r="F359" s="2" t="s">
        <v>20311</v>
      </c>
      <c r="G359" s="22" t="s">
        <v>19713</v>
      </c>
      <c r="H359" s="24"/>
      <c r="I359" s="22" t="s">
        <v>19309</v>
      </c>
      <c r="J359" s="22" t="s">
        <v>19573</v>
      </c>
      <c r="K359" s="22" t="s">
        <v>19574</v>
      </c>
      <c r="L359" s="22"/>
      <c r="M359" s="22"/>
      <c r="N359" s="25" t="str">
        <f>HYPERLINK("http://slimages.macys.com/is/image/MCY/1597998 ")</f>
        <v xml:space="preserve">http://slimages.macys.com/is/image/MCY/1597998 </v>
      </c>
    </row>
    <row r="360" spans="1:14" ht="24.75" x14ac:dyDescent="0.25">
      <c r="A360" s="21" t="s">
        <v>13185</v>
      </c>
      <c r="B360" s="22" t="s">
        <v>13186</v>
      </c>
      <c r="C360" s="2">
        <v>2</v>
      </c>
      <c r="D360" s="23">
        <v>16.989999999999998</v>
      </c>
      <c r="E360" s="3">
        <v>33.979999999999997</v>
      </c>
      <c r="F360" s="2" t="s">
        <v>20311</v>
      </c>
      <c r="G360" s="22" t="s">
        <v>19713</v>
      </c>
      <c r="H360" s="24" t="s">
        <v>19416</v>
      </c>
      <c r="I360" s="22" t="s">
        <v>19309</v>
      </c>
      <c r="J360" s="22" t="s">
        <v>19573</v>
      </c>
      <c r="K360" s="22" t="s">
        <v>19574</v>
      </c>
      <c r="L360" s="22"/>
      <c r="M360" s="22"/>
      <c r="N360" s="25" t="str">
        <f>HYPERLINK("http://slimages.macys.com/is/image/MCY/1597998 ")</f>
        <v xml:space="preserve">http://slimages.macys.com/is/image/MCY/1597998 </v>
      </c>
    </row>
    <row r="361" spans="1:14" ht="24.75" x14ac:dyDescent="0.25">
      <c r="A361" s="21" t="s">
        <v>20313</v>
      </c>
      <c r="B361" s="22" t="s">
        <v>19913</v>
      </c>
      <c r="C361" s="2">
        <v>3</v>
      </c>
      <c r="D361" s="23">
        <v>16.989999999999998</v>
      </c>
      <c r="E361" s="3">
        <v>50.97</v>
      </c>
      <c r="F361" s="2" t="s">
        <v>20311</v>
      </c>
      <c r="G361" s="22" t="s">
        <v>19713</v>
      </c>
      <c r="H361" s="24" t="s">
        <v>19384</v>
      </c>
      <c r="I361" s="22" t="s">
        <v>19309</v>
      </c>
      <c r="J361" s="22" t="s">
        <v>19573</v>
      </c>
      <c r="K361" s="22" t="s">
        <v>19574</v>
      </c>
      <c r="L361" s="22"/>
      <c r="M361" s="22"/>
      <c r="N361" s="25" t="str">
        <f>HYPERLINK("http://slimages.macys.com/is/image/MCY/1597998 ")</f>
        <v xml:space="preserve">http://slimages.macys.com/is/image/MCY/1597998 </v>
      </c>
    </row>
    <row r="362" spans="1:14" ht="24.75" x14ac:dyDescent="0.25">
      <c r="A362" s="21" t="s">
        <v>18275</v>
      </c>
      <c r="B362" s="22" t="s">
        <v>19926</v>
      </c>
      <c r="C362" s="2">
        <v>3</v>
      </c>
      <c r="D362" s="23">
        <v>16.989999999999998</v>
      </c>
      <c r="E362" s="3">
        <v>50.97</v>
      </c>
      <c r="F362" s="2" t="s">
        <v>20311</v>
      </c>
      <c r="G362" s="22" t="s">
        <v>19713</v>
      </c>
      <c r="H362" s="24" t="s">
        <v>19538</v>
      </c>
      <c r="I362" s="22" t="s">
        <v>19309</v>
      </c>
      <c r="J362" s="22" t="s">
        <v>19573</v>
      </c>
      <c r="K362" s="22" t="s">
        <v>19574</v>
      </c>
      <c r="L362" s="22"/>
      <c r="M362" s="22"/>
      <c r="N362" s="25" t="str">
        <f>HYPERLINK("http://slimages.macys.com/is/image/MCY/1597998 ")</f>
        <v xml:space="preserve">http://slimages.macys.com/is/image/MCY/1597998 </v>
      </c>
    </row>
    <row r="363" spans="1:14" ht="24.75" x14ac:dyDescent="0.25">
      <c r="A363" s="21" t="s">
        <v>13187</v>
      </c>
      <c r="B363" s="22" t="s">
        <v>13188</v>
      </c>
      <c r="C363" s="2">
        <v>3</v>
      </c>
      <c r="D363" s="23">
        <v>16.989999999999998</v>
      </c>
      <c r="E363" s="3">
        <v>50.97</v>
      </c>
      <c r="F363" s="2" t="s">
        <v>20311</v>
      </c>
      <c r="G363" s="22" t="s">
        <v>19713</v>
      </c>
      <c r="H363" s="24" t="s">
        <v>19324</v>
      </c>
      <c r="I363" s="22" t="s">
        <v>19309</v>
      </c>
      <c r="J363" s="22" t="s">
        <v>19573</v>
      </c>
      <c r="K363" s="22" t="s">
        <v>19574</v>
      </c>
      <c r="L363" s="22"/>
      <c r="M363" s="22"/>
      <c r="N363" s="25" t="str">
        <f>HYPERLINK("http://slimages.macys.com/is/image/MCY/1597998 ")</f>
        <v xml:space="preserve">http://slimages.macys.com/is/image/MCY/1597998 </v>
      </c>
    </row>
    <row r="364" spans="1:14" x14ac:dyDescent="0.25">
      <c r="A364" s="21" t="s">
        <v>13189</v>
      </c>
      <c r="B364" s="22" t="s">
        <v>13190</v>
      </c>
      <c r="C364" s="2">
        <v>2</v>
      </c>
      <c r="D364" s="23">
        <v>15.13</v>
      </c>
      <c r="E364" s="3">
        <v>30.26</v>
      </c>
      <c r="F364" s="2" t="s">
        <v>13191</v>
      </c>
      <c r="G364" s="22" t="s">
        <v>19357</v>
      </c>
      <c r="H364" s="24" t="s">
        <v>20159</v>
      </c>
      <c r="I364" s="22" t="s">
        <v>19309</v>
      </c>
      <c r="J364" s="22" t="s">
        <v>19708</v>
      </c>
      <c r="K364" s="22" t="s">
        <v>19709</v>
      </c>
      <c r="L364" s="22"/>
      <c r="M364" s="22"/>
      <c r="N364" s="25" t="str">
        <f>HYPERLINK("http://slimages.macys.com/is/image/MCY/21758187 ")</f>
        <v xml:space="preserve">http://slimages.macys.com/is/image/MCY/21758187 </v>
      </c>
    </row>
    <row r="365" spans="1:14" x14ac:dyDescent="0.25">
      <c r="A365" s="21" t="s">
        <v>13192</v>
      </c>
      <c r="B365" s="22" t="s">
        <v>13193</v>
      </c>
      <c r="C365" s="2">
        <v>1</v>
      </c>
      <c r="D365" s="23">
        <v>15.13</v>
      </c>
      <c r="E365" s="3">
        <v>15.13</v>
      </c>
      <c r="F365" s="2" t="s">
        <v>13191</v>
      </c>
      <c r="G365" s="22" t="s">
        <v>19357</v>
      </c>
      <c r="H365" s="24" t="s">
        <v>20152</v>
      </c>
      <c r="I365" s="22" t="s">
        <v>19309</v>
      </c>
      <c r="J365" s="22" t="s">
        <v>19708</v>
      </c>
      <c r="K365" s="22" t="s">
        <v>19709</v>
      </c>
      <c r="L365" s="22"/>
      <c r="M365" s="22"/>
      <c r="N365" s="25" t="str">
        <f>HYPERLINK("http://slimages.macys.com/is/image/MCY/21758187 ")</f>
        <v xml:space="preserve">http://slimages.macys.com/is/image/MCY/21758187 </v>
      </c>
    </row>
    <row r="366" spans="1:14" x14ac:dyDescent="0.25">
      <c r="A366" s="21" t="s">
        <v>13194</v>
      </c>
      <c r="B366" s="22" t="s">
        <v>13195</v>
      </c>
      <c r="C366" s="2">
        <v>1</v>
      </c>
      <c r="D366" s="23">
        <v>15.13</v>
      </c>
      <c r="E366" s="3">
        <v>15.13</v>
      </c>
      <c r="F366" s="2" t="s">
        <v>18360</v>
      </c>
      <c r="G366" s="22" t="s">
        <v>18361</v>
      </c>
      <c r="H366" s="24" t="s">
        <v>19367</v>
      </c>
      <c r="I366" s="22" t="s">
        <v>19309</v>
      </c>
      <c r="J366" s="22" t="s">
        <v>19708</v>
      </c>
      <c r="K366" s="22" t="s">
        <v>19709</v>
      </c>
      <c r="L366" s="22"/>
      <c r="M366" s="22"/>
      <c r="N366" s="25" t="str">
        <f>HYPERLINK("http://slimages.macys.com/is/image/MCY/21758813 ")</f>
        <v xml:space="preserve">http://slimages.macys.com/is/image/MCY/21758813 </v>
      </c>
    </row>
    <row r="367" spans="1:14" x14ac:dyDescent="0.25">
      <c r="A367" s="21" t="s">
        <v>13196</v>
      </c>
      <c r="B367" s="22" t="s">
        <v>13197</v>
      </c>
      <c r="C367" s="2">
        <v>1</v>
      </c>
      <c r="D367" s="23">
        <v>15.13</v>
      </c>
      <c r="E367" s="3">
        <v>15.13</v>
      </c>
      <c r="F367" s="2" t="s">
        <v>18360</v>
      </c>
      <c r="G367" s="22" t="s">
        <v>18361</v>
      </c>
      <c r="H367" s="24" t="s">
        <v>20152</v>
      </c>
      <c r="I367" s="22" t="s">
        <v>19309</v>
      </c>
      <c r="J367" s="22" t="s">
        <v>19708</v>
      </c>
      <c r="K367" s="22" t="s">
        <v>19709</v>
      </c>
      <c r="L367" s="22"/>
      <c r="M367" s="22"/>
      <c r="N367" s="25" t="str">
        <f>HYPERLINK("http://slimages.macys.com/is/image/MCY/21758813 ")</f>
        <v xml:space="preserve">http://slimages.macys.com/is/image/MCY/21758813 </v>
      </c>
    </row>
    <row r="368" spans="1:14" x14ac:dyDescent="0.25">
      <c r="A368" s="21" t="s">
        <v>13198</v>
      </c>
      <c r="B368" s="22" t="s">
        <v>13199</v>
      </c>
      <c r="C368" s="2">
        <v>1</v>
      </c>
      <c r="D368" s="23">
        <v>15.13</v>
      </c>
      <c r="E368" s="3">
        <v>15.13</v>
      </c>
      <c r="F368" s="2" t="s">
        <v>13200</v>
      </c>
      <c r="G368" s="22" t="s">
        <v>19594</v>
      </c>
      <c r="H368" s="24" t="s">
        <v>20159</v>
      </c>
      <c r="I368" s="22" t="s">
        <v>19309</v>
      </c>
      <c r="J368" s="22" t="s">
        <v>19708</v>
      </c>
      <c r="K368" s="22" t="s">
        <v>19709</v>
      </c>
      <c r="L368" s="22"/>
      <c r="M368" s="22"/>
      <c r="N368" s="25" t="str">
        <f>HYPERLINK("http://slimages.macys.com/is/image/MCY/21758187 ")</f>
        <v xml:space="preserve">http://slimages.macys.com/is/image/MCY/21758187 </v>
      </c>
    </row>
    <row r="369" spans="1:14" x14ac:dyDescent="0.25">
      <c r="A369" s="21" t="s">
        <v>13201</v>
      </c>
      <c r="B369" s="22" t="s">
        <v>13202</v>
      </c>
      <c r="C369" s="2">
        <v>2</v>
      </c>
      <c r="D369" s="23">
        <v>15.13</v>
      </c>
      <c r="E369" s="3">
        <v>30.26</v>
      </c>
      <c r="F369" s="2" t="s">
        <v>13200</v>
      </c>
      <c r="G369" s="22" t="s">
        <v>19594</v>
      </c>
      <c r="H369" s="24" t="s">
        <v>19324</v>
      </c>
      <c r="I369" s="22" t="s">
        <v>19309</v>
      </c>
      <c r="J369" s="22" t="s">
        <v>19708</v>
      </c>
      <c r="K369" s="22" t="s">
        <v>19709</v>
      </c>
      <c r="L369" s="22"/>
      <c r="M369" s="22"/>
      <c r="N369" s="25" t="str">
        <f>HYPERLINK("http://slimages.macys.com/is/image/MCY/21758187 ")</f>
        <v xml:space="preserve">http://slimages.macys.com/is/image/MCY/21758187 </v>
      </c>
    </row>
    <row r="370" spans="1:14" x14ac:dyDescent="0.25">
      <c r="A370" s="21" t="s">
        <v>13203</v>
      </c>
      <c r="B370" s="22" t="s">
        <v>13204</v>
      </c>
      <c r="C370" s="2">
        <v>1</v>
      </c>
      <c r="D370" s="23">
        <v>15.13</v>
      </c>
      <c r="E370" s="3">
        <v>15.13</v>
      </c>
      <c r="F370" s="2" t="s">
        <v>13200</v>
      </c>
      <c r="G370" s="22" t="s">
        <v>19594</v>
      </c>
      <c r="H370" s="24" t="s">
        <v>20152</v>
      </c>
      <c r="I370" s="22" t="s">
        <v>19309</v>
      </c>
      <c r="J370" s="22" t="s">
        <v>19708</v>
      </c>
      <c r="K370" s="22" t="s">
        <v>19709</v>
      </c>
      <c r="L370" s="22"/>
      <c r="M370" s="22"/>
      <c r="N370" s="25" t="str">
        <f>HYPERLINK("http://slimages.macys.com/is/image/MCY/21758187 ")</f>
        <v xml:space="preserve">http://slimages.macys.com/is/image/MCY/21758187 </v>
      </c>
    </row>
    <row r="371" spans="1:14" x14ac:dyDescent="0.25">
      <c r="A371" s="21" t="s">
        <v>13205</v>
      </c>
      <c r="B371" s="22" t="s">
        <v>13206</v>
      </c>
      <c r="C371" s="2">
        <v>1</v>
      </c>
      <c r="D371" s="23">
        <v>14.93</v>
      </c>
      <c r="E371" s="3">
        <v>14.93</v>
      </c>
      <c r="F371" s="2" t="s">
        <v>13207</v>
      </c>
      <c r="G371" s="22" t="s">
        <v>19338</v>
      </c>
      <c r="H371" s="24" t="s">
        <v>19770</v>
      </c>
      <c r="I371" s="22" t="s">
        <v>19309</v>
      </c>
      <c r="J371" s="22" t="s">
        <v>19708</v>
      </c>
      <c r="K371" s="22" t="s">
        <v>19709</v>
      </c>
      <c r="L371" s="22"/>
      <c r="M371" s="22"/>
      <c r="N371" s="25" t="str">
        <f>HYPERLINK("http://slimages.macys.com/is/image/MCY/22596065 ")</f>
        <v xml:space="preserve">http://slimages.macys.com/is/image/MCY/22596065 </v>
      </c>
    </row>
    <row r="372" spans="1:14" x14ac:dyDescent="0.25">
      <c r="A372" s="21" t="s">
        <v>18371</v>
      </c>
      <c r="B372" s="22" t="s">
        <v>18372</v>
      </c>
      <c r="C372" s="2">
        <v>1</v>
      </c>
      <c r="D372" s="23">
        <v>14.93</v>
      </c>
      <c r="E372" s="3">
        <v>14.93</v>
      </c>
      <c r="F372" s="2" t="s">
        <v>18373</v>
      </c>
      <c r="G372" s="22" t="s">
        <v>19333</v>
      </c>
      <c r="H372" s="24" t="s">
        <v>19367</v>
      </c>
      <c r="I372" s="22" t="s">
        <v>19309</v>
      </c>
      <c r="J372" s="22" t="s">
        <v>19708</v>
      </c>
      <c r="K372" s="22" t="s">
        <v>19709</v>
      </c>
      <c r="L372" s="22"/>
      <c r="M372" s="22"/>
      <c r="N372" s="25" t="str">
        <f>HYPERLINK("http://slimages.macys.com/is/image/MCY/22596466 ")</f>
        <v xml:space="preserve">http://slimages.macys.com/is/image/MCY/22596466 </v>
      </c>
    </row>
    <row r="373" spans="1:14" x14ac:dyDescent="0.25">
      <c r="A373" s="21" t="s">
        <v>13208</v>
      </c>
      <c r="B373" s="22" t="s">
        <v>13209</v>
      </c>
      <c r="C373" s="2">
        <v>1</v>
      </c>
      <c r="D373" s="23">
        <v>14.93</v>
      </c>
      <c r="E373" s="3">
        <v>14.93</v>
      </c>
      <c r="F373" s="2" t="s">
        <v>13210</v>
      </c>
      <c r="G373" s="22" t="s">
        <v>18361</v>
      </c>
      <c r="H373" s="24" t="s">
        <v>20152</v>
      </c>
      <c r="I373" s="22" t="s">
        <v>19309</v>
      </c>
      <c r="J373" s="22" t="s">
        <v>19708</v>
      </c>
      <c r="K373" s="22" t="s">
        <v>19709</v>
      </c>
      <c r="L373" s="22"/>
      <c r="M373" s="22"/>
      <c r="N373" s="25" t="str">
        <f>HYPERLINK("http://slimages.macys.com/is/image/MCY/22596280 ")</f>
        <v xml:space="preserve">http://slimages.macys.com/is/image/MCY/22596280 </v>
      </c>
    </row>
    <row r="374" spans="1:14" ht="24.75" x14ac:dyDescent="0.25">
      <c r="A374" s="21" t="s">
        <v>18388</v>
      </c>
      <c r="B374" s="22" t="s">
        <v>18389</v>
      </c>
      <c r="C374" s="2">
        <v>1</v>
      </c>
      <c r="D374" s="23">
        <v>16.989999999999998</v>
      </c>
      <c r="E374" s="3">
        <v>16.989999999999998</v>
      </c>
      <c r="F374" s="2" t="s">
        <v>18376</v>
      </c>
      <c r="G374" s="22" t="s">
        <v>19670</v>
      </c>
      <c r="H374" s="24" t="s">
        <v>19324</v>
      </c>
      <c r="I374" s="22" t="s">
        <v>19309</v>
      </c>
      <c r="J374" s="22" t="s">
        <v>19573</v>
      </c>
      <c r="K374" s="22" t="s">
        <v>19574</v>
      </c>
      <c r="L374" s="22"/>
      <c r="M374" s="22"/>
      <c r="N374" s="25" t="str">
        <f>HYPERLINK("http://slimages.macys.com/is/image/MCY/1516070 ")</f>
        <v xml:space="preserve">http://slimages.macys.com/is/image/MCY/1516070 </v>
      </c>
    </row>
    <row r="375" spans="1:14" ht="24.75" x14ac:dyDescent="0.25">
      <c r="A375" s="21" t="s">
        <v>18382</v>
      </c>
      <c r="B375" s="22" t="s">
        <v>18383</v>
      </c>
      <c r="C375" s="2">
        <v>1</v>
      </c>
      <c r="D375" s="23">
        <v>21.99</v>
      </c>
      <c r="E375" s="3">
        <v>21.99</v>
      </c>
      <c r="F375" s="2" t="s">
        <v>18381</v>
      </c>
      <c r="G375" s="22" t="s">
        <v>19674</v>
      </c>
      <c r="H375" s="24" t="s">
        <v>19797</v>
      </c>
      <c r="I375" s="22" t="s">
        <v>19309</v>
      </c>
      <c r="J375" s="22" t="s">
        <v>19849</v>
      </c>
      <c r="K375" s="22" t="s">
        <v>19850</v>
      </c>
      <c r="L375" s="22"/>
      <c r="M375" s="22"/>
      <c r="N375" s="25" t="str">
        <f>HYPERLINK("http://slimages.macys.com/is/image/MCY/1521091 ")</f>
        <v xml:space="preserve">http://slimages.macys.com/is/image/MCY/1521091 </v>
      </c>
    </row>
    <row r="376" spans="1:14" ht="24.75" x14ac:dyDescent="0.25">
      <c r="A376" s="21" t="s">
        <v>13211</v>
      </c>
      <c r="B376" s="22" t="s">
        <v>13212</v>
      </c>
      <c r="C376" s="2">
        <v>1</v>
      </c>
      <c r="D376" s="23">
        <v>16.989999999999998</v>
      </c>
      <c r="E376" s="3">
        <v>16.989999999999998</v>
      </c>
      <c r="F376" s="2" t="s">
        <v>18376</v>
      </c>
      <c r="G376" s="22" t="s">
        <v>19670</v>
      </c>
      <c r="H376" s="24" t="s">
        <v>19416</v>
      </c>
      <c r="I376" s="22" t="s">
        <v>19309</v>
      </c>
      <c r="J376" s="22" t="s">
        <v>19573</v>
      </c>
      <c r="K376" s="22" t="s">
        <v>19574</v>
      </c>
      <c r="L376" s="22"/>
      <c r="M376" s="22"/>
      <c r="N376" s="25" t="str">
        <f>HYPERLINK("http://slimages.macys.com/is/image/MCY/1516070 ")</f>
        <v xml:space="preserve">http://slimages.macys.com/is/image/MCY/1516070 </v>
      </c>
    </row>
    <row r="377" spans="1:14" x14ac:dyDescent="0.25">
      <c r="A377" s="21" t="s">
        <v>13213</v>
      </c>
      <c r="B377" s="22" t="s">
        <v>13214</v>
      </c>
      <c r="C377" s="2">
        <v>1</v>
      </c>
      <c r="D377" s="23">
        <v>11.79</v>
      </c>
      <c r="E377" s="3">
        <v>11.79</v>
      </c>
      <c r="F377" s="2" t="s">
        <v>18402</v>
      </c>
      <c r="G377" s="22" t="s">
        <v>19431</v>
      </c>
      <c r="H377" s="24" t="s">
        <v>19324</v>
      </c>
      <c r="I377" s="22" t="s">
        <v>19309</v>
      </c>
      <c r="J377" s="22" t="s">
        <v>19708</v>
      </c>
      <c r="K377" s="22" t="s">
        <v>19709</v>
      </c>
      <c r="L377" s="22"/>
      <c r="M377" s="22"/>
      <c r="N377" s="25" t="str">
        <f>HYPERLINK("http://slimages.macys.com/is/image/MCY/19066490 ")</f>
        <v xml:space="preserve">http://slimages.macys.com/is/image/MCY/19066490 </v>
      </c>
    </row>
    <row r="378" spans="1:14" x14ac:dyDescent="0.25">
      <c r="A378" s="21" t="s">
        <v>13215</v>
      </c>
      <c r="B378" s="22" t="s">
        <v>13216</v>
      </c>
      <c r="C378" s="2">
        <v>1</v>
      </c>
      <c r="D378" s="23">
        <v>11.79</v>
      </c>
      <c r="E378" s="3">
        <v>11.79</v>
      </c>
      <c r="F378" s="2" t="s">
        <v>18402</v>
      </c>
      <c r="G378" s="22" t="s">
        <v>19431</v>
      </c>
      <c r="H378" s="24" t="s">
        <v>19770</v>
      </c>
      <c r="I378" s="22" t="s">
        <v>19309</v>
      </c>
      <c r="J378" s="22" t="s">
        <v>19708</v>
      </c>
      <c r="K378" s="22" t="s">
        <v>19709</v>
      </c>
      <c r="L378" s="22"/>
      <c r="M378" s="22"/>
      <c r="N378" s="25" t="str">
        <f>HYPERLINK("http://slimages.macys.com/is/image/MCY/19066490 ")</f>
        <v xml:space="preserve">http://slimages.macys.com/is/image/MCY/19066490 </v>
      </c>
    </row>
    <row r="379" spans="1:14" x14ac:dyDescent="0.25">
      <c r="A379" s="21" t="s">
        <v>13217</v>
      </c>
      <c r="B379" s="22" t="s">
        <v>13218</v>
      </c>
      <c r="C379" s="2">
        <v>1</v>
      </c>
      <c r="D379" s="23">
        <v>11.79</v>
      </c>
      <c r="E379" s="3">
        <v>11.79</v>
      </c>
      <c r="F379" s="2" t="s">
        <v>18402</v>
      </c>
      <c r="G379" s="22" t="s">
        <v>19431</v>
      </c>
      <c r="H379" s="24" t="s">
        <v>19416</v>
      </c>
      <c r="I379" s="22" t="s">
        <v>19309</v>
      </c>
      <c r="J379" s="22" t="s">
        <v>19708</v>
      </c>
      <c r="K379" s="22" t="s">
        <v>19709</v>
      </c>
      <c r="L379" s="22"/>
      <c r="M379" s="22"/>
      <c r="N379" s="25" t="str">
        <f>HYPERLINK("http://slimages.macys.com/is/image/MCY/19066490 ")</f>
        <v xml:space="preserve">http://slimages.macys.com/is/image/MCY/19066490 </v>
      </c>
    </row>
    <row r="380" spans="1:14" x14ac:dyDescent="0.25">
      <c r="A380" s="21" t="s">
        <v>13219</v>
      </c>
      <c r="B380" s="22" t="s">
        <v>13220</v>
      </c>
      <c r="C380" s="2">
        <v>1</v>
      </c>
      <c r="D380" s="23">
        <v>11.79</v>
      </c>
      <c r="E380" s="3">
        <v>11.79</v>
      </c>
      <c r="F380" s="2" t="s">
        <v>13221</v>
      </c>
      <c r="G380" s="22" t="s">
        <v>19342</v>
      </c>
      <c r="H380" s="24" t="s">
        <v>20159</v>
      </c>
      <c r="I380" s="22" t="s">
        <v>19309</v>
      </c>
      <c r="J380" s="22" t="s">
        <v>19708</v>
      </c>
      <c r="K380" s="22" t="s">
        <v>19709</v>
      </c>
      <c r="L380" s="22"/>
      <c r="M380" s="22"/>
      <c r="N380" s="25" t="str">
        <f>HYPERLINK("http://slimages.macys.com/is/image/MCY/19066694 ")</f>
        <v xml:space="preserve">http://slimages.macys.com/is/image/MCY/19066694 </v>
      </c>
    </row>
    <row r="381" spans="1:14" x14ac:dyDescent="0.25">
      <c r="A381" s="21" t="s">
        <v>13802</v>
      </c>
      <c r="B381" s="22" t="s">
        <v>13803</v>
      </c>
      <c r="C381" s="2">
        <v>1</v>
      </c>
      <c r="D381" s="23">
        <v>11.79</v>
      </c>
      <c r="E381" s="3">
        <v>11.79</v>
      </c>
      <c r="F381" s="2" t="s">
        <v>13804</v>
      </c>
      <c r="G381" s="22"/>
      <c r="H381" s="24" t="s">
        <v>19770</v>
      </c>
      <c r="I381" s="22" t="s">
        <v>19309</v>
      </c>
      <c r="J381" s="22" t="s">
        <v>19708</v>
      </c>
      <c r="K381" s="22" t="s">
        <v>19709</v>
      </c>
      <c r="L381" s="22"/>
      <c r="M381" s="22"/>
      <c r="N381" s="25" t="str">
        <f>HYPERLINK("http://slimages.macys.com/is/image/MCY/19063832 ")</f>
        <v xml:space="preserve">http://slimages.macys.com/is/image/MCY/19063832 </v>
      </c>
    </row>
    <row r="382" spans="1:14" x14ac:dyDescent="0.25">
      <c r="A382" s="21" t="s">
        <v>13222</v>
      </c>
      <c r="B382" s="22" t="s">
        <v>13223</v>
      </c>
      <c r="C382" s="2">
        <v>1</v>
      </c>
      <c r="D382" s="23">
        <v>11.79</v>
      </c>
      <c r="E382" s="3">
        <v>11.79</v>
      </c>
      <c r="F382" s="2" t="s">
        <v>18402</v>
      </c>
      <c r="G382" s="22" t="s">
        <v>19431</v>
      </c>
      <c r="H382" s="24" t="s">
        <v>19367</v>
      </c>
      <c r="I382" s="22" t="s">
        <v>19309</v>
      </c>
      <c r="J382" s="22" t="s">
        <v>19708</v>
      </c>
      <c r="K382" s="22" t="s">
        <v>19709</v>
      </c>
      <c r="L382" s="22"/>
      <c r="M382" s="22"/>
      <c r="N382" s="25" t="str">
        <f>HYPERLINK("http://slimages.macys.com/is/image/MCY/19066490 ")</f>
        <v xml:space="preserve">http://slimages.macys.com/is/image/MCY/19066490 </v>
      </c>
    </row>
    <row r="383" spans="1:14" x14ac:dyDescent="0.25">
      <c r="A383" s="21" t="s">
        <v>18327</v>
      </c>
      <c r="B383" s="22" t="s">
        <v>18328</v>
      </c>
      <c r="C383" s="2">
        <v>1</v>
      </c>
      <c r="D383" s="23">
        <v>11.79</v>
      </c>
      <c r="E383" s="3">
        <v>11.79</v>
      </c>
      <c r="F383" s="2" t="s">
        <v>18329</v>
      </c>
      <c r="G383" s="22"/>
      <c r="H383" s="24" t="s">
        <v>19367</v>
      </c>
      <c r="I383" s="22" t="s">
        <v>19309</v>
      </c>
      <c r="J383" s="22" t="s">
        <v>19708</v>
      </c>
      <c r="K383" s="22" t="s">
        <v>19709</v>
      </c>
      <c r="L383" s="22"/>
      <c r="M383" s="22"/>
      <c r="N383" s="25" t="str">
        <f>HYPERLINK("http://slimages.macys.com/is/image/MCY/19063341 ")</f>
        <v xml:space="preserve">http://slimages.macys.com/is/image/MCY/19063341 </v>
      </c>
    </row>
    <row r="384" spans="1:14" x14ac:dyDescent="0.25">
      <c r="A384" s="21" t="s">
        <v>13224</v>
      </c>
      <c r="B384" s="22" t="s">
        <v>13225</v>
      </c>
      <c r="C384" s="2">
        <v>1</v>
      </c>
      <c r="D384" s="23">
        <v>11.79</v>
      </c>
      <c r="E384" s="3">
        <v>11.79</v>
      </c>
      <c r="F384" s="2" t="s">
        <v>13226</v>
      </c>
      <c r="G384" s="22" t="s">
        <v>19431</v>
      </c>
      <c r="H384" s="24" t="s">
        <v>19770</v>
      </c>
      <c r="I384" s="22" t="s">
        <v>19309</v>
      </c>
      <c r="J384" s="22" t="s">
        <v>19708</v>
      </c>
      <c r="K384" s="22" t="s">
        <v>19709</v>
      </c>
      <c r="L384" s="22"/>
      <c r="M384" s="22"/>
      <c r="N384" s="25" t="str">
        <f>HYPERLINK("http://slimages.macys.com/is/image/MCY/19063410 ")</f>
        <v xml:space="preserve">http://slimages.macys.com/is/image/MCY/19063410 </v>
      </c>
    </row>
    <row r="385" spans="1:14" ht="24.75" x14ac:dyDescent="0.25">
      <c r="A385" s="21" t="s">
        <v>13227</v>
      </c>
      <c r="B385" s="22" t="s">
        <v>13228</v>
      </c>
      <c r="C385" s="2">
        <v>8</v>
      </c>
      <c r="D385" s="23">
        <v>11.99</v>
      </c>
      <c r="E385" s="3">
        <v>95.92</v>
      </c>
      <c r="F385" s="2">
        <v>100007432</v>
      </c>
      <c r="G385" s="22" t="s">
        <v>19338</v>
      </c>
      <c r="H385" s="24" t="s">
        <v>18168</v>
      </c>
      <c r="I385" s="22" t="s">
        <v>19309</v>
      </c>
      <c r="J385" s="22" t="s">
        <v>19573</v>
      </c>
      <c r="K385" s="22" t="s">
        <v>20256</v>
      </c>
      <c r="L385" s="22" t="s">
        <v>19319</v>
      </c>
      <c r="M385" s="22" t="s">
        <v>20257</v>
      </c>
      <c r="N385" s="25" t="str">
        <f>HYPERLINK("http://slimages.macys.com/is/image/MCY/9157890 ")</f>
        <v xml:space="preserve">http://slimages.macys.com/is/image/MCY/9157890 </v>
      </c>
    </row>
    <row r="386" spans="1:14" x14ac:dyDescent="0.25">
      <c r="A386" s="21" t="s">
        <v>13229</v>
      </c>
      <c r="B386" s="22" t="s">
        <v>13230</v>
      </c>
      <c r="C386" s="2">
        <v>1</v>
      </c>
      <c r="D386" s="23">
        <v>22.5</v>
      </c>
      <c r="E386" s="3">
        <v>22.5</v>
      </c>
      <c r="F386" s="2" t="s">
        <v>13231</v>
      </c>
      <c r="G386" s="22" t="s">
        <v>19618</v>
      </c>
      <c r="H386" s="24" t="s">
        <v>19345</v>
      </c>
      <c r="I386" s="22" t="s">
        <v>19309</v>
      </c>
      <c r="J386" s="22" t="s">
        <v>19688</v>
      </c>
      <c r="K386" s="22" t="s">
        <v>19614</v>
      </c>
      <c r="L386" s="22"/>
      <c r="M386" s="22"/>
      <c r="N386" s="25" t="str">
        <f>HYPERLINK("http://slimages.macys.com/is/image/MCY/21494796 ")</f>
        <v xml:space="preserve">http://slimages.macys.com/is/image/MCY/21494796 </v>
      </c>
    </row>
    <row r="387" spans="1:14" x14ac:dyDescent="0.25">
      <c r="A387" s="21" t="s">
        <v>13232</v>
      </c>
      <c r="B387" s="22" t="s">
        <v>13233</v>
      </c>
      <c r="C387" s="2">
        <v>1</v>
      </c>
      <c r="D387" s="23">
        <v>22.5</v>
      </c>
      <c r="E387" s="3">
        <v>22.5</v>
      </c>
      <c r="F387" s="2" t="s">
        <v>13234</v>
      </c>
      <c r="G387" s="22" t="s">
        <v>19351</v>
      </c>
      <c r="H387" s="24" t="s">
        <v>19395</v>
      </c>
      <c r="I387" s="22" t="s">
        <v>19309</v>
      </c>
      <c r="J387" s="22" t="s">
        <v>19688</v>
      </c>
      <c r="K387" s="22" t="s">
        <v>19614</v>
      </c>
      <c r="L387" s="22"/>
      <c r="M387" s="22"/>
      <c r="N387" s="25" t="str">
        <f>HYPERLINK("http://slimages.macys.com/is/image/MCY/21035872 ")</f>
        <v xml:space="preserve">http://slimages.macys.com/is/image/MCY/21035872 </v>
      </c>
    </row>
    <row r="388" spans="1:14" ht="24.75" x14ac:dyDescent="0.25">
      <c r="A388" s="21" t="s">
        <v>13235</v>
      </c>
      <c r="B388" s="22" t="s">
        <v>13236</v>
      </c>
      <c r="C388" s="2">
        <v>1</v>
      </c>
      <c r="D388" s="23">
        <v>12.81</v>
      </c>
      <c r="E388" s="3">
        <v>12.81</v>
      </c>
      <c r="F388" s="2" t="s">
        <v>13237</v>
      </c>
      <c r="G388" s="22" t="s">
        <v>19467</v>
      </c>
      <c r="H388" s="24" t="s">
        <v>19345</v>
      </c>
      <c r="I388" s="22" t="s">
        <v>19309</v>
      </c>
      <c r="J388" s="22" t="s">
        <v>19602</v>
      </c>
      <c r="K388" s="22" t="s">
        <v>20041</v>
      </c>
      <c r="L388" s="22"/>
      <c r="M388" s="22"/>
      <c r="N388" s="25" t="str">
        <f>HYPERLINK("http://slimages.macys.com/is/image/MCY/21723886 ")</f>
        <v xml:space="preserve">http://slimages.macys.com/is/image/MCY/21723886 </v>
      </c>
    </row>
    <row r="389" spans="1:14" ht="24.75" x14ac:dyDescent="0.25">
      <c r="A389" s="21" t="s">
        <v>13238</v>
      </c>
      <c r="B389" s="22" t="s">
        <v>13239</v>
      </c>
      <c r="C389" s="2">
        <v>3</v>
      </c>
      <c r="D389" s="23">
        <v>12.35</v>
      </c>
      <c r="E389" s="3">
        <v>37.049999999999997</v>
      </c>
      <c r="F389" s="2" t="s">
        <v>18454</v>
      </c>
      <c r="G389" s="22"/>
      <c r="H389" s="24" t="s">
        <v>19392</v>
      </c>
      <c r="I389" s="22" t="s">
        <v>19309</v>
      </c>
      <c r="J389" s="22" t="s">
        <v>19602</v>
      </c>
      <c r="K389" s="22" t="s">
        <v>19603</v>
      </c>
      <c r="L389" s="22"/>
      <c r="M389" s="22"/>
      <c r="N389" s="25" t="str">
        <f>HYPERLINK("http://slimages.macys.com/is/image/MCY/22405799 ")</f>
        <v xml:space="preserve">http://slimages.macys.com/is/image/MCY/22405799 </v>
      </c>
    </row>
    <row r="390" spans="1:14" ht="24.75" x14ac:dyDescent="0.25">
      <c r="A390" s="21" t="s">
        <v>18452</v>
      </c>
      <c r="B390" s="22" t="s">
        <v>18453</v>
      </c>
      <c r="C390" s="2">
        <v>1</v>
      </c>
      <c r="D390" s="23">
        <v>12.35</v>
      </c>
      <c r="E390" s="3">
        <v>12.35</v>
      </c>
      <c r="F390" s="2" t="s">
        <v>18454</v>
      </c>
      <c r="G390" s="22"/>
      <c r="H390" s="24"/>
      <c r="I390" s="22" t="s">
        <v>19309</v>
      </c>
      <c r="J390" s="22" t="s">
        <v>19602</v>
      </c>
      <c r="K390" s="22" t="s">
        <v>19603</v>
      </c>
      <c r="L390" s="22"/>
      <c r="M390" s="22"/>
      <c r="N390" s="25" t="str">
        <f>HYPERLINK("http://slimages.macys.com/is/image/MCY/22405799 ")</f>
        <v xml:space="preserve">http://slimages.macys.com/is/image/MCY/22405799 </v>
      </c>
    </row>
    <row r="391" spans="1:14" ht="24.75" x14ac:dyDescent="0.25">
      <c r="A391" s="21" t="s">
        <v>13240</v>
      </c>
      <c r="B391" s="22" t="s">
        <v>13241</v>
      </c>
      <c r="C391" s="2">
        <v>3</v>
      </c>
      <c r="D391" s="23">
        <v>12.35</v>
      </c>
      <c r="E391" s="3">
        <v>37.049999999999997</v>
      </c>
      <c r="F391" s="2" t="s">
        <v>18454</v>
      </c>
      <c r="G391" s="22"/>
      <c r="H391" s="24" t="s">
        <v>19345</v>
      </c>
      <c r="I391" s="22" t="s">
        <v>19309</v>
      </c>
      <c r="J391" s="22" t="s">
        <v>19602</v>
      </c>
      <c r="K391" s="22" t="s">
        <v>19603</v>
      </c>
      <c r="L391" s="22"/>
      <c r="M391" s="22"/>
      <c r="N391" s="25" t="str">
        <f>HYPERLINK("http://slimages.macys.com/is/image/MCY/22405799 ")</f>
        <v xml:space="preserve">http://slimages.macys.com/is/image/MCY/22405799 </v>
      </c>
    </row>
    <row r="392" spans="1:14" ht="24.75" x14ac:dyDescent="0.25">
      <c r="A392" s="21" t="s">
        <v>13242</v>
      </c>
      <c r="B392" s="22" t="s">
        <v>13243</v>
      </c>
      <c r="C392" s="2">
        <v>1</v>
      </c>
      <c r="D392" s="23">
        <v>13.99</v>
      </c>
      <c r="E392" s="3">
        <v>13.99</v>
      </c>
      <c r="F392" s="2" t="s">
        <v>18470</v>
      </c>
      <c r="G392" s="22" t="s">
        <v>19351</v>
      </c>
      <c r="H392" s="24" t="s">
        <v>19330</v>
      </c>
      <c r="I392" s="22" t="s">
        <v>19309</v>
      </c>
      <c r="J392" s="22" t="s">
        <v>19573</v>
      </c>
      <c r="K392" s="22" t="s">
        <v>19574</v>
      </c>
      <c r="L392" s="22"/>
      <c r="M392" s="22"/>
      <c r="N392" s="25" t="str">
        <f>HYPERLINK("http://slimages.macys.com/is/image/MCY/21361742 ")</f>
        <v xml:space="preserve">http://slimages.macys.com/is/image/MCY/21361742 </v>
      </c>
    </row>
    <row r="393" spans="1:14" x14ac:dyDescent="0.25">
      <c r="A393" s="21" t="s">
        <v>16498</v>
      </c>
      <c r="B393" s="22" t="s">
        <v>16499</v>
      </c>
      <c r="C393" s="2">
        <v>1</v>
      </c>
      <c r="D393" s="23">
        <v>13.99</v>
      </c>
      <c r="E393" s="3">
        <v>13.99</v>
      </c>
      <c r="F393" s="2" t="s">
        <v>16497</v>
      </c>
      <c r="G393" s="22" t="s">
        <v>19618</v>
      </c>
      <c r="H393" s="24" t="s">
        <v>19352</v>
      </c>
      <c r="I393" s="22" t="s">
        <v>19309</v>
      </c>
      <c r="J393" s="22" t="s">
        <v>19849</v>
      </c>
      <c r="K393" s="22" t="s">
        <v>19850</v>
      </c>
      <c r="L393" s="22"/>
      <c r="M393" s="22"/>
      <c r="N393" s="25" t="str">
        <f>HYPERLINK("http://slimages.macys.com/is/image/MCY/21270437 ")</f>
        <v xml:space="preserve">http://slimages.macys.com/is/image/MCY/21270437 </v>
      </c>
    </row>
    <row r="394" spans="1:14" x14ac:dyDescent="0.25">
      <c r="A394" s="21" t="s">
        <v>13244</v>
      </c>
      <c r="B394" s="22" t="s">
        <v>13245</v>
      </c>
      <c r="C394" s="2">
        <v>2</v>
      </c>
      <c r="D394" s="23">
        <v>13.99</v>
      </c>
      <c r="E394" s="3">
        <v>27.98</v>
      </c>
      <c r="F394" s="2" t="s">
        <v>16497</v>
      </c>
      <c r="G394" s="22" t="s">
        <v>19674</v>
      </c>
      <c r="H394" s="24" t="s">
        <v>19364</v>
      </c>
      <c r="I394" s="22" t="s">
        <v>19309</v>
      </c>
      <c r="J394" s="22" t="s">
        <v>19849</v>
      </c>
      <c r="K394" s="22" t="s">
        <v>19850</v>
      </c>
      <c r="L394" s="22"/>
      <c r="M394" s="22"/>
      <c r="N394" s="25" t="str">
        <f>HYPERLINK("http://slimages.macys.com/is/image/MCY/21270437 ")</f>
        <v xml:space="preserve">http://slimages.macys.com/is/image/MCY/21270437 </v>
      </c>
    </row>
    <row r="395" spans="1:14" ht="24.75" x14ac:dyDescent="0.25">
      <c r="A395" s="21" t="s">
        <v>13246</v>
      </c>
      <c r="B395" s="22" t="s">
        <v>13247</v>
      </c>
      <c r="C395" s="2">
        <v>1</v>
      </c>
      <c r="D395" s="23">
        <v>13.99</v>
      </c>
      <c r="E395" s="3">
        <v>13.99</v>
      </c>
      <c r="F395" s="2" t="s">
        <v>13248</v>
      </c>
      <c r="G395" s="22" t="s">
        <v>19351</v>
      </c>
      <c r="H395" s="24" t="s">
        <v>19339</v>
      </c>
      <c r="I395" s="22" t="s">
        <v>19309</v>
      </c>
      <c r="J395" s="22" t="s">
        <v>19353</v>
      </c>
      <c r="K395" s="22" t="s">
        <v>19524</v>
      </c>
      <c r="L395" s="22"/>
      <c r="M395" s="22"/>
      <c r="N395" s="25" t="str">
        <f>HYPERLINK("http://slimages.macys.com/is/image/MCY/1757085 ")</f>
        <v xml:space="preserve">http://slimages.macys.com/is/image/MCY/1757085 </v>
      </c>
    </row>
    <row r="396" spans="1:14" ht="24.75" x14ac:dyDescent="0.25">
      <c r="A396" s="21" t="s">
        <v>18503</v>
      </c>
      <c r="B396" s="22" t="s">
        <v>18504</v>
      </c>
      <c r="C396" s="2">
        <v>1</v>
      </c>
      <c r="D396" s="23">
        <v>14.99</v>
      </c>
      <c r="E396" s="3">
        <v>14.99</v>
      </c>
      <c r="F396" s="2" t="s">
        <v>18501</v>
      </c>
      <c r="G396" s="22" t="s">
        <v>19323</v>
      </c>
      <c r="H396" s="24" t="s">
        <v>18502</v>
      </c>
      <c r="I396" s="22" t="s">
        <v>19309</v>
      </c>
      <c r="J396" s="22" t="s">
        <v>19595</v>
      </c>
      <c r="K396" s="22" t="s">
        <v>18498</v>
      </c>
      <c r="L396" s="22"/>
      <c r="M396" s="22"/>
      <c r="N396" s="25" t="str">
        <f>HYPERLINK("http://slimages.macys.com/is/image/MCY/21365889 ")</f>
        <v xml:space="preserve">http://slimages.macys.com/is/image/MCY/21365889 </v>
      </c>
    </row>
    <row r="397" spans="1:14" ht="24.75" x14ac:dyDescent="0.25">
      <c r="A397" s="21" t="s">
        <v>18505</v>
      </c>
      <c r="B397" s="22" t="s">
        <v>18506</v>
      </c>
      <c r="C397" s="2">
        <v>1</v>
      </c>
      <c r="D397" s="23">
        <v>14.99</v>
      </c>
      <c r="E397" s="3">
        <v>14.99</v>
      </c>
      <c r="F397" s="2" t="s">
        <v>18501</v>
      </c>
      <c r="G397" s="22" t="s">
        <v>19323</v>
      </c>
      <c r="H397" s="24" t="s">
        <v>18507</v>
      </c>
      <c r="I397" s="22" t="s">
        <v>19309</v>
      </c>
      <c r="J397" s="22" t="s">
        <v>19595</v>
      </c>
      <c r="K397" s="22" t="s">
        <v>18498</v>
      </c>
      <c r="L397" s="22"/>
      <c r="M397" s="22"/>
      <c r="N397" s="25" t="str">
        <f>HYPERLINK("http://slimages.macys.com/is/image/MCY/21365889 ")</f>
        <v xml:space="preserve">http://slimages.macys.com/is/image/MCY/21365889 </v>
      </c>
    </row>
    <row r="398" spans="1:14" ht="24.75" x14ac:dyDescent="0.25">
      <c r="A398" s="21" t="s">
        <v>13249</v>
      </c>
      <c r="B398" s="22" t="s">
        <v>13250</v>
      </c>
      <c r="C398" s="2">
        <v>1</v>
      </c>
      <c r="D398" s="23">
        <v>14.99</v>
      </c>
      <c r="E398" s="3">
        <v>14.99</v>
      </c>
      <c r="F398" s="2" t="s">
        <v>18501</v>
      </c>
      <c r="G398" s="22" t="s">
        <v>19431</v>
      </c>
      <c r="H398" s="24" t="s">
        <v>18507</v>
      </c>
      <c r="I398" s="22" t="s">
        <v>19309</v>
      </c>
      <c r="J398" s="22" t="s">
        <v>19595</v>
      </c>
      <c r="K398" s="22" t="s">
        <v>18498</v>
      </c>
      <c r="L398" s="22"/>
      <c r="M398" s="22"/>
      <c r="N398" s="25" t="str">
        <f>HYPERLINK("http://slimages.macys.com/is/image/MCY/21365889 ")</f>
        <v xml:space="preserve">http://slimages.macys.com/is/image/MCY/21365889 </v>
      </c>
    </row>
    <row r="399" spans="1:14" ht="24.75" x14ac:dyDescent="0.25">
      <c r="A399" s="21" t="s">
        <v>16223</v>
      </c>
      <c r="B399" s="22" t="s">
        <v>18506</v>
      </c>
      <c r="C399" s="2">
        <v>1</v>
      </c>
      <c r="D399" s="23">
        <v>14.99</v>
      </c>
      <c r="E399" s="3">
        <v>14.99</v>
      </c>
      <c r="F399" s="2" t="s">
        <v>18496</v>
      </c>
      <c r="G399" s="22" t="s">
        <v>19415</v>
      </c>
      <c r="H399" s="24" t="s">
        <v>18507</v>
      </c>
      <c r="I399" s="22" t="s">
        <v>19309</v>
      </c>
      <c r="J399" s="22" t="s">
        <v>19595</v>
      </c>
      <c r="K399" s="22" t="s">
        <v>18498</v>
      </c>
      <c r="L399" s="22"/>
      <c r="M399" s="22"/>
      <c r="N399" s="25" t="str">
        <f>HYPERLINK("http://slimages.macys.com/is/image/MCY/21693788 ")</f>
        <v xml:space="preserve">http://slimages.macys.com/is/image/MCY/21693788 </v>
      </c>
    </row>
    <row r="400" spans="1:14" ht="24.75" x14ac:dyDescent="0.25">
      <c r="A400" s="21" t="s">
        <v>13251</v>
      </c>
      <c r="B400" s="22" t="s">
        <v>13252</v>
      </c>
      <c r="C400" s="2">
        <v>1</v>
      </c>
      <c r="D400" s="23">
        <v>14.99</v>
      </c>
      <c r="E400" s="3">
        <v>14.99</v>
      </c>
      <c r="F400" s="2" t="s">
        <v>18501</v>
      </c>
      <c r="G400" s="22" t="s">
        <v>19431</v>
      </c>
      <c r="H400" s="24" t="s">
        <v>18497</v>
      </c>
      <c r="I400" s="22" t="s">
        <v>19309</v>
      </c>
      <c r="J400" s="22" t="s">
        <v>19595</v>
      </c>
      <c r="K400" s="22" t="s">
        <v>18498</v>
      </c>
      <c r="L400" s="22"/>
      <c r="M400" s="22"/>
      <c r="N400" s="25" t="str">
        <f>HYPERLINK("http://slimages.macys.com/is/image/MCY/21365889 ")</f>
        <v xml:space="preserve">http://slimages.macys.com/is/image/MCY/21365889 </v>
      </c>
    </row>
    <row r="401" spans="1:14" ht="24.75" x14ac:dyDescent="0.25">
      <c r="A401" s="21" t="s">
        <v>16514</v>
      </c>
      <c r="B401" s="22" t="s">
        <v>16515</v>
      </c>
      <c r="C401" s="2">
        <v>1</v>
      </c>
      <c r="D401" s="23">
        <v>14.99</v>
      </c>
      <c r="E401" s="3">
        <v>14.99</v>
      </c>
      <c r="F401" s="2" t="s">
        <v>18496</v>
      </c>
      <c r="G401" s="22" t="s">
        <v>19422</v>
      </c>
      <c r="H401" s="24" t="s">
        <v>19797</v>
      </c>
      <c r="I401" s="22" t="s">
        <v>19309</v>
      </c>
      <c r="J401" s="22" t="s">
        <v>19595</v>
      </c>
      <c r="K401" s="22" t="s">
        <v>18498</v>
      </c>
      <c r="L401" s="22"/>
      <c r="M401" s="22"/>
      <c r="N401" s="25" t="str">
        <f>HYPERLINK("http://slimages.macys.com/is/image/MCY/21366694 ")</f>
        <v xml:space="preserve">http://slimages.macys.com/is/image/MCY/21366694 </v>
      </c>
    </row>
    <row r="402" spans="1:14" ht="24.75" x14ac:dyDescent="0.25">
      <c r="A402" s="21" t="s">
        <v>18508</v>
      </c>
      <c r="B402" s="22" t="s">
        <v>18495</v>
      </c>
      <c r="C402" s="2">
        <v>2</v>
      </c>
      <c r="D402" s="23">
        <v>14.99</v>
      </c>
      <c r="E402" s="3">
        <v>29.98</v>
      </c>
      <c r="F402" s="2" t="s">
        <v>18501</v>
      </c>
      <c r="G402" s="22" t="s">
        <v>19323</v>
      </c>
      <c r="H402" s="24" t="s">
        <v>18497</v>
      </c>
      <c r="I402" s="22" t="s">
        <v>19309</v>
      </c>
      <c r="J402" s="22" t="s">
        <v>19595</v>
      </c>
      <c r="K402" s="22" t="s">
        <v>18498</v>
      </c>
      <c r="L402" s="22"/>
      <c r="M402" s="22"/>
      <c r="N402" s="25" t="str">
        <f>HYPERLINK("http://slimages.macys.com/is/image/MCY/21365889 ")</f>
        <v xml:space="preserve">http://slimages.macys.com/is/image/MCY/21365889 </v>
      </c>
    </row>
    <row r="403" spans="1:14" ht="24.75" x14ac:dyDescent="0.25">
      <c r="A403" s="21" t="s">
        <v>13253</v>
      </c>
      <c r="B403" s="22" t="s">
        <v>16520</v>
      </c>
      <c r="C403" s="2">
        <v>3</v>
      </c>
      <c r="D403" s="23">
        <v>11.91</v>
      </c>
      <c r="E403" s="3">
        <v>35.729999999999997</v>
      </c>
      <c r="F403" s="2" t="s">
        <v>18524</v>
      </c>
      <c r="G403" s="22"/>
      <c r="H403" s="24" t="s">
        <v>19392</v>
      </c>
      <c r="I403" s="22" t="s">
        <v>19309</v>
      </c>
      <c r="J403" s="22" t="s">
        <v>19602</v>
      </c>
      <c r="K403" s="22" t="s">
        <v>20041</v>
      </c>
      <c r="L403" s="22"/>
      <c r="M403" s="22"/>
      <c r="N403" s="25" t="str">
        <f>HYPERLINK("http://slimages.macys.com/is/image/MCY/21420574 ")</f>
        <v xml:space="preserve">http://slimages.macys.com/is/image/MCY/21420574 </v>
      </c>
    </row>
    <row r="404" spans="1:14" ht="24.75" x14ac:dyDescent="0.25">
      <c r="A404" s="21" t="s">
        <v>13254</v>
      </c>
      <c r="B404" s="22" t="s">
        <v>13255</v>
      </c>
      <c r="C404" s="2">
        <v>3</v>
      </c>
      <c r="D404" s="23">
        <v>11.91</v>
      </c>
      <c r="E404" s="3">
        <v>35.729999999999997</v>
      </c>
      <c r="F404" s="2" t="s">
        <v>18524</v>
      </c>
      <c r="G404" s="22"/>
      <c r="H404" s="24" t="s">
        <v>19345</v>
      </c>
      <c r="I404" s="22" t="s">
        <v>19309</v>
      </c>
      <c r="J404" s="22" t="s">
        <v>19602</v>
      </c>
      <c r="K404" s="22" t="s">
        <v>20041</v>
      </c>
      <c r="L404" s="22"/>
      <c r="M404" s="22"/>
      <c r="N404" s="25" t="str">
        <f>HYPERLINK("http://slimages.macys.com/is/image/MCY/21420574 ")</f>
        <v xml:space="preserve">http://slimages.macys.com/is/image/MCY/21420574 </v>
      </c>
    </row>
    <row r="405" spans="1:14" ht="24.75" x14ac:dyDescent="0.25">
      <c r="A405" s="21" t="s">
        <v>13256</v>
      </c>
      <c r="B405" s="22" t="s">
        <v>13257</v>
      </c>
      <c r="C405" s="2">
        <v>1</v>
      </c>
      <c r="D405" s="23">
        <v>11.92</v>
      </c>
      <c r="E405" s="3">
        <v>11.92</v>
      </c>
      <c r="F405" s="2" t="s">
        <v>16228</v>
      </c>
      <c r="G405" s="22" t="s">
        <v>19351</v>
      </c>
      <c r="H405" s="24" t="s">
        <v>19345</v>
      </c>
      <c r="I405" s="22" t="s">
        <v>19309</v>
      </c>
      <c r="J405" s="22" t="s">
        <v>19602</v>
      </c>
      <c r="K405" s="22" t="s">
        <v>20041</v>
      </c>
      <c r="L405" s="22"/>
      <c r="M405" s="22"/>
      <c r="N405" s="25" t="str">
        <f>HYPERLINK("http://slimages.macys.com/is/image/MCY/21728874 ")</f>
        <v xml:space="preserve">http://slimages.macys.com/is/image/MCY/21728874 </v>
      </c>
    </row>
    <row r="406" spans="1:14" ht="24.75" x14ac:dyDescent="0.25">
      <c r="A406" s="21" t="s">
        <v>16236</v>
      </c>
      <c r="B406" s="22" t="s">
        <v>16237</v>
      </c>
      <c r="C406" s="2">
        <v>1</v>
      </c>
      <c r="D406" s="23">
        <v>11.92</v>
      </c>
      <c r="E406" s="3">
        <v>11.92</v>
      </c>
      <c r="F406" s="2" t="s">
        <v>16233</v>
      </c>
      <c r="G406" s="22" t="s">
        <v>19357</v>
      </c>
      <c r="H406" s="24" t="s">
        <v>19345</v>
      </c>
      <c r="I406" s="22" t="s">
        <v>19309</v>
      </c>
      <c r="J406" s="22" t="s">
        <v>19602</v>
      </c>
      <c r="K406" s="22" t="s">
        <v>20041</v>
      </c>
      <c r="L406" s="22"/>
      <c r="M406" s="22"/>
      <c r="N406" s="25" t="str">
        <f>HYPERLINK("http://slimages.macys.com/is/image/MCY/21728874 ")</f>
        <v xml:space="preserve">http://slimages.macys.com/is/image/MCY/21728874 </v>
      </c>
    </row>
    <row r="407" spans="1:14" ht="24.75" x14ac:dyDescent="0.25">
      <c r="A407" s="21" t="s">
        <v>16229</v>
      </c>
      <c r="B407" s="22" t="s">
        <v>16230</v>
      </c>
      <c r="C407" s="2">
        <v>1</v>
      </c>
      <c r="D407" s="23">
        <v>11.92</v>
      </c>
      <c r="E407" s="3">
        <v>11.92</v>
      </c>
      <c r="F407" s="2" t="s">
        <v>16228</v>
      </c>
      <c r="G407" s="22" t="s">
        <v>19351</v>
      </c>
      <c r="H407" s="24" t="s">
        <v>19392</v>
      </c>
      <c r="I407" s="22" t="s">
        <v>19309</v>
      </c>
      <c r="J407" s="22" t="s">
        <v>19602</v>
      </c>
      <c r="K407" s="22" t="s">
        <v>20041</v>
      </c>
      <c r="L407" s="22"/>
      <c r="M407" s="22"/>
      <c r="N407" s="25" t="str">
        <f>HYPERLINK("http://slimages.macys.com/is/image/MCY/21728874 ")</f>
        <v xml:space="preserve">http://slimages.macys.com/is/image/MCY/21728874 </v>
      </c>
    </row>
    <row r="408" spans="1:14" ht="24.75" x14ac:dyDescent="0.25">
      <c r="A408" s="21" t="s">
        <v>13258</v>
      </c>
      <c r="B408" s="22" t="s">
        <v>13259</v>
      </c>
      <c r="C408" s="2">
        <v>1</v>
      </c>
      <c r="D408" s="23">
        <v>10.99</v>
      </c>
      <c r="E408" s="3">
        <v>10.99</v>
      </c>
      <c r="F408" s="2" t="s">
        <v>13260</v>
      </c>
      <c r="G408" s="22" t="s">
        <v>19431</v>
      </c>
      <c r="H408" s="24" t="s">
        <v>18168</v>
      </c>
      <c r="I408" s="22" t="s">
        <v>19309</v>
      </c>
      <c r="J408" s="22" t="s">
        <v>19573</v>
      </c>
      <c r="K408" s="22" t="s">
        <v>20256</v>
      </c>
      <c r="L408" s="22" t="s">
        <v>19319</v>
      </c>
      <c r="M408" s="22" t="s">
        <v>19435</v>
      </c>
      <c r="N408" s="25" t="str">
        <f>HYPERLINK("http://slimages.macys.com/is/image/MCY/8484386 ")</f>
        <v xml:space="preserve">http://slimages.macys.com/is/image/MCY/8484386 </v>
      </c>
    </row>
    <row r="409" spans="1:14" ht="24.75" x14ac:dyDescent="0.25">
      <c r="A409" s="21" t="s">
        <v>13863</v>
      </c>
      <c r="B409" s="22" t="s">
        <v>13864</v>
      </c>
      <c r="C409" s="2">
        <v>1</v>
      </c>
      <c r="D409" s="23">
        <v>13.99</v>
      </c>
      <c r="E409" s="3">
        <v>13.99</v>
      </c>
      <c r="F409" s="2" t="s">
        <v>18536</v>
      </c>
      <c r="G409" s="22" t="s">
        <v>19674</v>
      </c>
      <c r="H409" s="24" t="s">
        <v>19538</v>
      </c>
      <c r="I409" s="22" t="s">
        <v>19309</v>
      </c>
      <c r="J409" s="22" t="s">
        <v>19573</v>
      </c>
      <c r="K409" s="22" t="s">
        <v>19574</v>
      </c>
      <c r="L409" s="22"/>
      <c r="M409" s="22"/>
      <c r="N409" s="25" t="str">
        <f>HYPERLINK("http://slimages.macys.com/is/image/MCY/22037419 ")</f>
        <v xml:space="preserve">http://slimages.macys.com/is/image/MCY/22037419 </v>
      </c>
    </row>
    <row r="410" spans="1:14" x14ac:dyDescent="0.25">
      <c r="A410" s="21" t="s">
        <v>13261</v>
      </c>
      <c r="B410" s="22" t="s">
        <v>20084</v>
      </c>
      <c r="C410" s="2">
        <v>1</v>
      </c>
      <c r="D410" s="23">
        <v>19.989999999999998</v>
      </c>
      <c r="E410" s="3">
        <v>19.989999999999998</v>
      </c>
      <c r="F410" s="2" t="s">
        <v>18541</v>
      </c>
      <c r="G410" s="22" t="s">
        <v>19674</v>
      </c>
      <c r="H410" s="24" t="s">
        <v>19907</v>
      </c>
      <c r="I410" s="22" t="s">
        <v>19309</v>
      </c>
      <c r="J410" s="22" t="s">
        <v>19849</v>
      </c>
      <c r="K410" s="22" t="s">
        <v>19850</v>
      </c>
      <c r="L410" s="22"/>
      <c r="M410" s="22"/>
      <c r="N410" s="25" t="str">
        <f>HYPERLINK("http://slimages.macys.com/is/image/MCY/21349887 ")</f>
        <v xml:space="preserve">http://slimages.macys.com/is/image/MCY/21349887 </v>
      </c>
    </row>
    <row r="411" spans="1:14" x14ac:dyDescent="0.25">
      <c r="A411" s="21" t="s">
        <v>13262</v>
      </c>
      <c r="B411" s="22" t="s">
        <v>13263</v>
      </c>
      <c r="C411" s="2">
        <v>1</v>
      </c>
      <c r="D411" s="23">
        <v>19.989999999999998</v>
      </c>
      <c r="E411" s="3">
        <v>19.989999999999998</v>
      </c>
      <c r="F411" s="2" t="s">
        <v>18541</v>
      </c>
      <c r="G411" s="22" t="s">
        <v>19674</v>
      </c>
      <c r="H411" s="24" t="s">
        <v>20135</v>
      </c>
      <c r="I411" s="22" t="s">
        <v>19309</v>
      </c>
      <c r="J411" s="22" t="s">
        <v>19849</v>
      </c>
      <c r="K411" s="22" t="s">
        <v>19850</v>
      </c>
      <c r="L411" s="22"/>
      <c r="M411" s="22"/>
      <c r="N411" s="25" t="str">
        <f>HYPERLINK("http://slimages.macys.com/is/image/MCY/21349887 ")</f>
        <v xml:space="preserve">http://slimages.macys.com/is/image/MCY/21349887 </v>
      </c>
    </row>
    <row r="412" spans="1:14" x14ac:dyDescent="0.25">
      <c r="A412" s="21" t="s">
        <v>16246</v>
      </c>
      <c r="B412" s="22" t="s">
        <v>16247</v>
      </c>
      <c r="C412" s="2">
        <v>1</v>
      </c>
      <c r="D412" s="23">
        <v>19.989999999999998</v>
      </c>
      <c r="E412" s="3">
        <v>19.989999999999998</v>
      </c>
      <c r="F412" s="2" t="s">
        <v>18541</v>
      </c>
      <c r="G412" s="22" t="s">
        <v>19674</v>
      </c>
      <c r="H412" s="24" t="s">
        <v>19361</v>
      </c>
      <c r="I412" s="22" t="s">
        <v>19309</v>
      </c>
      <c r="J412" s="22" t="s">
        <v>19849</v>
      </c>
      <c r="K412" s="22" t="s">
        <v>19850</v>
      </c>
      <c r="L412" s="22"/>
      <c r="M412" s="22"/>
      <c r="N412" s="25" t="str">
        <f>HYPERLINK("http://slimages.macys.com/is/image/MCY/1521138 ")</f>
        <v xml:space="preserve">http://slimages.macys.com/is/image/MCY/1521138 </v>
      </c>
    </row>
    <row r="413" spans="1:14" x14ac:dyDescent="0.25">
      <c r="A413" s="21" t="s">
        <v>13264</v>
      </c>
      <c r="B413" s="22" t="s">
        <v>16014</v>
      </c>
      <c r="C413" s="2">
        <v>1</v>
      </c>
      <c r="D413" s="23">
        <v>19.989999999999998</v>
      </c>
      <c r="E413" s="3">
        <v>19.989999999999998</v>
      </c>
      <c r="F413" s="2" t="s">
        <v>18541</v>
      </c>
      <c r="G413" s="22" t="s">
        <v>19674</v>
      </c>
      <c r="H413" s="24" t="s">
        <v>20089</v>
      </c>
      <c r="I413" s="22" t="s">
        <v>19309</v>
      </c>
      <c r="J413" s="22" t="s">
        <v>19849</v>
      </c>
      <c r="K413" s="22" t="s">
        <v>19850</v>
      </c>
      <c r="L413" s="22"/>
      <c r="M413" s="22"/>
      <c r="N413" s="25" t="str">
        <f>HYPERLINK("http://slimages.macys.com/is/image/MCY/21349887 ")</f>
        <v xml:space="preserve">http://slimages.macys.com/is/image/MCY/21349887 </v>
      </c>
    </row>
    <row r="414" spans="1:14" ht="24.75" x14ac:dyDescent="0.25">
      <c r="A414" s="21" t="s">
        <v>13265</v>
      </c>
      <c r="B414" s="22" t="s">
        <v>13266</v>
      </c>
      <c r="C414" s="2">
        <v>1</v>
      </c>
      <c r="D414" s="23">
        <v>12.99</v>
      </c>
      <c r="E414" s="3">
        <v>12.99</v>
      </c>
      <c r="F414" s="2" t="s">
        <v>13267</v>
      </c>
      <c r="G414" s="22" t="s">
        <v>19594</v>
      </c>
      <c r="H414" s="24" t="s">
        <v>16005</v>
      </c>
      <c r="I414" s="22" t="s">
        <v>19309</v>
      </c>
      <c r="J414" s="22" t="s">
        <v>16678</v>
      </c>
      <c r="K414" s="22" t="s">
        <v>13268</v>
      </c>
      <c r="L414" s="22"/>
      <c r="M414" s="22"/>
      <c r="N414" s="25" t="str">
        <f>HYPERLINK("http://slimages.macys.com/is/image/MCY/20478184 ")</f>
        <v xml:space="preserve">http://slimages.macys.com/is/image/MCY/20478184 </v>
      </c>
    </row>
    <row r="415" spans="1:14" ht="24.75" x14ac:dyDescent="0.25">
      <c r="A415" s="21" t="s">
        <v>18549</v>
      </c>
      <c r="B415" s="22" t="s">
        <v>18550</v>
      </c>
      <c r="C415" s="2">
        <v>3</v>
      </c>
      <c r="D415" s="23">
        <v>13.99</v>
      </c>
      <c r="E415" s="3">
        <v>41.97</v>
      </c>
      <c r="F415" s="2" t="s">
        <v>18551</v>
      </c>
      <c r="G415" s="22" t="s">
        <v>19467</v>
      </c>
      <c r="H415" s="24" t="s">
        <v>19384</v>
      </c>
      <c r="I415" s="22" t="s">
        <v>19309</v>
      </c>
      <c r="J415" s="22" t="s">
        <v>19573</v>
      </c>
      <c r="K415" s="22" t="s">
        <v>19574</v>
      </c>
      <c r="L415" s="22"/>
      <c r="M415" s="22"/>
      <c r="N415" s="25" t="str">
        <f>HYPERLINK("http://slimages.macys.com/is/image/MCY/21361645 ")</f>
        <v xml:space="preserve">http://slimages.macys.com/is/image/MCY/21361645 </v>
      </c>
    </row>
    <row r="416" spans="1:14" ht="24.75" x14ac:dyDescent="0.25">
      <c r="A416" s="21" t="s">
        <v>16531</v>
      </c>
      <c r="B416" s="22" t="s">
        <v>16532</v>
      </c>
      <c r="C416" s="2">
        <v>1</v>
      </c>
      <c r="D416" s="23">
        <v>13.99</v>
      </c>
      <c r="E416" s="3">
        <v>13.99</v>
      </c>
      <c r="F416" s="2" t="s">
        <v>18551</v>
      </c>
      <c r="G416" s="22" t="s">
        <v>19467</v>
      </c>
      <c r="H416" s="24" t="s">
        <v>19324</v>
      </c>
      <c r="I416" s="22" t="s">
        <v>19309</v>
      </c>
      <c r="J416" s="22" t="s">
        <v>19573</v>
      </c>
      <c r="K416" s="22" t="s">
        <v>19574</v>
      </c>
      <c r="L416" s="22"/>
      <c r="M416" s="22"/>
      <c r="N416" s="25" t="str">
        <f>HYPERLINK("http://slimages.macys.com/is/image/MCY/21361645 ")</f>
        <v xml:space="preserve">http://slimages.macys.com/is/image/MCY/21361645 </v>
      </c>
    </row>
    <row r="417" spans="1:14" ht="24.75" x14ac:dyDescent="0.25">
      <c r="A417" s="21" t="s">
        <v>18552</v>
      </c>
      <c r="B417" s="22" t="s">
        <v>18553</v>
      </c>
      <c r="C417" s="2">
        <v>1</v>
      </c>
      <c r="D417" s="23">
        <v>13.99</v>
      </c>
      <c r="E417" s="3">
        <v>13.99</v>
      </c>
      <c r="F417" s="2" t="s">
        <v>18551</v>
      </c>
      <c r="G417" s="22" t="s">
        <v>19467</v>
      </c>
      <c r="H417" s="24" t="s">
        <v>19330</v>
      </c>
      <c r="I417" s="22" t="s">
        <v>19309</v>
      </c>
      <c r="J417" s="22" t="s">
        <v>19573</v>
      </c>
      <c r="K417" s="22" t="s">
        <v>19574</v>
      </c>
      <c r="L417" s="22"/>
      <c r="M417" s="22"/>
      <c r="N417" s="25" t="str">
        <f>HYPERLINK("http://slimages.macys.com/is/image/MCY/21361645 ")</f>
        <v xml:space="preserve">http://slimages.macys.com/is/image/MCY/21361645 </v>
      </c>
    </row>
    <row r="418" spans="1:14" ht="24.75" x14ac:dyDescent="0.25">
      <c r="A418" s="21" t="s">
        <v>13269</v>
      </c>
      <c r="B418" s="22" t="s">
        <v>13270</v>
      </c>
      <c r="C418" s="2">
        <v>2</v>
      </c>
      <c r="D418" s="23">
        <v>11.35</v>
      </c>
      <c r="E418" s="3">
        <v>22.7</v>
      </c>
      <c r="F418" s="2" t="s">
        <v>18587</v>
      </c>
      <c r="G418" s="22"/>
      <c r="H418" s="24" t="s">
        <v>19345</v>
      </c>
      <c r="I418" s="22" t="s">
        <v>19309</v>
      </c>
      <c r="J418" s="22" t="s">
        <v>19602</v>
      </c>
      <c r="K418" s="22" t="s">
        <v>20041</v>
      </c>
      <c r="L418" s="22"/>
      <c r="M418" s="22"/>
      <c r="N418" s="25" t="str">
        <f>HYPERLINK("http://slimages.macys.com/is/image/MCY/22406119 ")</f>
        <v xml:space="preserve">http://slimages.macys.com/is/image/MCY/22406119 </v>
      </c>
    </row>
    <row r="419" spans="1:14" ht="24.75" x14ac:dyDescent="0.25">
      <c r="A419" s="21" t="s">
        <v>13271</v>
      </c>
      <c r="B419" s="22" t="s">
        <v>13272</v>
      </c>
      <c r="C419" s="2">
        <v>1</v>
      </c>
      <c r="D419" s="23">
        <v>11.35</v>
      </c>
      <c r="E419" s="3">
        <v>11.35</v>
      </c>
      <c r="F419" s="2" t="s">
        <v>16250</v>
      </c>
      <c r="G419" s="22"/>
      <c r="H419" s="24" t="s">
        <v>19334</v>
      </c>
      <c r="I419" s="22" t="s">
        <v>19309</v>
      </c>
      <c r="J419" s="22" t="s">
        <v>19602</v>
      </c>
      <c r="K419" s="22" t="s">
        <v>20041</v>
      </c>
      <c r="L419" s="22"/>
      <c r="M419" s="22"/>
      <c r="N419" s="25" t="str">
        <f>HYPERLINK("http://slimages.macys.com/is/image/MCY/22406119 ")</f>
        <v xml:space="preserve">http://slimages.macys.com/is/image/MCY/22406119 </v>
      </c>
    </row>
    <row r="420" spans="1:14" x14ac:dyDescent="0.25">
      <c r="A420" s="21" t="s">
        <v>18603</v>
      </c>
      <c r="B420" s="22" t="s">
        <v>18604</v>
      </c>
      <c r="C420" s="2">
        <v>1</v>
      </c>
      <c r="D420" s="23">
        <v>8.99</v>
      </c>
      <c r="E420" s="3">
        <v>8.99</v>
      </c>
      <c r="F420" s="2" t="s">
        <v>18605</v>
      </c>
      <c r="G420" s="22" t="s">
        <v>19422</v>
      </c>
      <c r="H420" s="24" t="s">
        <v>18530</v>
      </c>
      <c r="I420" s="22" t="s">
        <v>19309</v>
      </c>
      <c r="J420" s="22" t="s">
        <v>19514</v>
      </c>
      <c r="K420" s="22" t="s">
        <v>18514</v>
      </c>
      <c r="L420" s="22" t="s">
        <v>19319</v>
      </c>
      <c r="M420" s="22" t="s">
        <v>19435</v>
      </c>
      <c r="N420" s="25" t="str">
        <f>HYPERLINK("http://slimages.macys.com/is/image/MCY/9995089 ")</f>
        <v xml:space="preserve">http://slimages.macys.com/is/image/MCY/9995089 </v>
      </c>
    </row>
    <row r="421" spans="1:14" ht="24.75" x14ac:dyDescent="0.25">
      <c r="A421" s="21" t="s">
        <v>16282</v>
      </c>
      <c r="B421" s="22" t="s">
        <v>16283</v>
      </c>
      <c r="C421" s="2">
        <v>1</v>
      </c>
      <c r="D421" s="23">
        <v>10.91</v>
      </c>
      <c r="E421" s="3">
        <v>10.91</v>
      </c>
      <c r="F421" s="2" t="s">
        <v>16599</v>
      </c>
      <c r="G421" s="22" t="s">
        <v>19323</v>
      </c>
      <c r="H421" s="24"/>
      <c r="I421" s="22" t="s">
        <v>19309</v>
      </c>
      <c r="J421" s="22" t="s">
        <v>19602</v>
      </c>
      <c r="K421" s="22" t="s">
        <v>20041</v>
      </c>
      <c r="L421" s="22"/>
      <c r="M421" s="22"/>
      <c r="N421" s="25" t="str">
        <f>HYPERLINK("http://slimages.macys.com/is/image/MCY/21723141 ")</f>
        <v xml:space="preserve">http://slimages.macys.com/is/image/MCY/21723141 </v>
      </c>
    </row>
    <row r="422" spans="1:14" ht="24.75" x14ac:dyDescent="0.25">
      <c r="A422" s="21" t="s">
        <v>16600</v>
      </c>
      <c r="B422" s="22" t="s">
        <v>16601</v>
      </c>
      <c r="C422" s="2">
        <v>1</v>
      </c>
      <c r="D422" s="23">
        <v>10.91</v>
      </c>
      <c r="E422" s="3">
        <v>10.91</v>
      </c>
      <c r="F422" s="2" t="s">
        <v>16602</v>
      </c>
      <c r="G422" s="22" t="s">
        <v>19357</v>
      </c>
      <c r="H422" s="24" t="s">
        <v>19334</v>
      </c>
      <c r="I422" s="22" t="s">
        <v>19309</v>
      </c>
      <c r="J422" s="22" t="s">
        <v>19602</v>
      </c>
      <c r="K422" s="22" t="s">
        <v>20041</v>
      </c>
      <c r="L422" s="22"/>
      <c r="M422" s="22"/>
      <c r="N422" s="25" t="str">
        <f>HYPERLINK("http://slimages.macys.com/is/image/MCY/21723141 ")</f>
        <v xml:space="preserve">http://slimages.macys.com/is/image/MCY/21723141 </v>
      </c>
    </row>
    <row r="423" spans="1:14" ht="24.75" x14ac:dyDescent="0.25">
      <c r="A423" s="21" t="s">
        <v>16597</v>
      </c>
      <c r="B423" s="22" t="s">
        <v>16598</v>
      </c>
      <c r="C423" s="2">
        <v>2</v>
      </c>
      <c r="D423" s="23">
        <v>10.91</v>
      </c>
      <c r="E423" s="3">
        <v>21.82</v>
      </c>
      <c r="F423" s="2" t="s">
        <v>16599</v>
      </c>
      <c r="G423" s="22" t="s">
        <v>19323</v>
      </c>
      <c r="H423" s="24" t="s">
        <v>19334</v>
      </c>
      <c r="I423" s="22" t="s">
        <v>19309</v>
      </c>
      <c r="J423" s="22" t="s">
        <v>19602</v>
      </c>
      <c r="K423" s="22" t="s">
        <v>20041</v>
      </c>
      <c r="L423" s="22"/>
      <c r="M423" s="22"/>
      <c r="N423" s="25" t="str">
        <f>HYPERLINK("http://slimages.macys.com/is/image/MCY/21723141 ")</f>
        <v xml:space="preserve">http://slimages.macys.com/is/image/MCY/21723141 </v>
      </c>
    </row>
    <row r="424" spans="1:14" ht="24.75" x14ac:dyDescent="0.25">
      <c r="A424" s="21" t="s">
        <v>13273</v>
      </c>
      <c r="B424" s="22" t="s">
        <v>13274</v>
      </c>
      <c r="C424" s="2">
        <v>1</v>
      </c>
      <c r="D424" s="23">
        <v>10.91</v>
      </c>
      <c r="E424" s="3">
        <v>10.91</v>
      </c>
      <c r="F424" s="2" t="s">
        <v>16599</v>
      </c>
      <c r="G424" s="22" t="s">
        <v>19323</v>
      </c>
      <c r="H424" s="24" t="s">
        <v>19345</v>
      </c>
      <c r="I424" s="22" t="s">
        <v>19309</v>
      </c>
      <c r="J424" s="22" t="s">
        <v>19602</v>
      </c>
      <c r="K424" s="22" t="s">
        <v>20041</v>
      </c>
      <c r="L424" s="22"/>
      <c r="M424" s="22"/>
      <c r="N424" s="25" t="str">
        <f>HYPERLINK("http://slimages.macys.com/is/image/MCY/21723141 ")</f>
        <v xml:space="preserve">http://slimages.macys.com/is/image/MCY/21723141 </v>
      </c>
    </row>
    <row r="425" spans="1:14" x14ac:dyDescent="0.25">
      <c r="A425" s="21" t="s">
        <v>13275</v>
      </c>
      <c r="B425" s="22" t="s">
        <v>13276</v>
      </c>
      <c r="C425" s="2">
        <v>1</v>
      </c>
      <c r="D425" s="23">
        <v>13.27</v>
      </c>
      <c r="E425" s="3">
        <v>13.27</v>
      </c>
      <c r="F425" s="2" t="s">
        <v>13897</v>
      </c>
      <c r="G425" s="22"/>
      <c r="H425" s="24" t="s">
        <v>19324</v>
      </c>
      <c r="I425" s="22" t="s">
        <v>19309</v>
      </c>
      <c r="J425" s="22" t="s">
        <v>19708</v>
      </c>
      <c r="K425" s="22" t="s">
        <v>19754</v>
      </c>
      <c r="L425" s="22"/>
      <c r="M425" s="22"/>
      <c r="N425" s="25" t="str">
        <f>HYPERLINK("http://slimages.macys.com/is/image/MCY/21414718 ")</f>
        <v xml:space="preserve">http://slimages.macys.com/is/image/MCY/21414718 </v>
      </c>
    </row>
    <row r="426" spans="1:14" ht="24.75" x14ac:dyDescent="0.25">
      <c r="A426" s="21" t="s">
        <v>18641</v>
      </c>
      <c r="B426" s="22" t="s">
        <v>18642</v>
      </c>
      <c r="C426" s="2">
        <v>1</v>
      </c>
      <c r="D426" s="23">
        <v>10.91</v>
      </c>
      <c r="E426" s="3">
        <v>10.91</v>
      </c>
      <c r="F426" s="2" t="s">
        <v>18643</v>
      </c>
      <c r="G426" s="22" t="s">
        <v>18644</v>
      </c>
      <c r="H426" s="24" t="s">
        <v>19334</v>
      </c>
      <c r="I426" s="22" t="s">
        <v>19309</v>
      </c>
      <c r="J426" s="22" t="s">
        <v>19602</v>
      </c>
      <c r="K426" s="22" t="s">
        <v>20041</v>
      </c>
      <c r="L426" s="22"/>
      <c r="M426" s="22"/>
      <c r="N426" s="25" t="str">
        <f>HYPERLINK("http://slimages.macys.com/is/image/MCY/21723141 ")</f>
        <v xml:space="preserve">http://slimages.macys.com/is/image/MCY/21723141 </v>
      </c>
    </row>
    <row r="427" spans="1:14" ht="24.75" x14ac:dyDescent="0.25">
      <c r="A427" s="21" t="s">
        <v>13277</v>
      </c>
      <c r="B427" s="22" t="s">
        <v>13278</v>
      </c>
      <c r="C427" s="2">
        <v>5</v>
      </c>
      <c r="D427" s="23">
        <v>10.91</v>
      </c>
      <c r="E427" s="3">
        <v>54.55</v>
      </c>
      <c r="F427" s="2" t="s">
        <v>18650</v>
      </c>
      <c r="G427" s="22"/>
      <c r="H427" s="24"/>
      <c r="I427" s="22" t="s">
        <v>19309</v>
      </c>
      <c r="J427" s="22" t="s">
        <v>19602</v>
      </c>
      <c r="K427" s="22" t="s">
        <v>19603</v>
      </c>
      <c r="L427" s="22"/>
      <c r="M427" s="22"/>
      <c r="N427" s="25" t="str">
        <f>HYPERLINK("http://slimages.macys.com/is/image/MCY/21420990 ")</f>
        <v xml:space="preserve">http://slimages.macys.com/is/image/MCY/21420990 </v>
      </c>
    </row>
    <row r="428" spans="1:14" ht="24.75" x14ac:dyDescent="0.25">
      <c r="A428" s="21" t="s">
        <v>16308</v>
      </c>
      <c r="B428" s="22" t="s">
        <v>16309</v>
      </c>
      <c r="C428" s="2">
        <v>1</v>
      </c>
      <c r="D428" s="23">
        <v>10.91</v>
      </c>
      <c r="E428" s="3">
        <v>10.91</v>
      </c>
      <c r="F428" s="2" t="s">
        <v>16310</v>
      </c>
      <c r="G428" s="22"/>
      <c r="H428" s="24" t="s">
        <v>19334</v>
      </c>
      <c r="I428" s="22" t="s">
        <v>19309</v>
      </c>
      <c r="J428" s="22" t="s">
        <v>19602</v>
      </c>
      <c r="K428" s="22" t="s">
        <v>19603</v>
      </c>
      <c r="L428" s="22"/>
      <c r="M428" s="22"/>
      <c r="N428" s="25" t="str">
        <f>HYPERLINK("http://slimages.macys.com/is/image/MCY/21421177 ")</f>
        <v xml:space="preserve">http://slimages.macys.com/is/image/MCY/21421177 </v>
      </c>
    </row>
    <row r="429" spans="1:14" ht="24.75" x14ac:dyDescent="0.25">
      <c r="A429" s="21" t="s">
        <v>18645</v>
      </c>
      <c r="B429" s="22" t="s">
        <v>18646</v>
      </c>
      <c r="C429" s="2">
        <v>1</v>
      </c>
      <c r="D429" s="23">
        <v>10.91</v>
      </c>
      <c r="E429" s="3">
        <v>10.91</v>
      </c>
      <c r="F429" s="2" t="s">
        <v>18647</v>
      </c>
      <c r="G429" s="22"/>
      <c r="H429" s="24" t="s">
        <v>19345</v>
      </c>
      <c r="I429" s="22" t="s">
        <v>19309</v>
      </c>
      <c r="J429" s="22" t="s">
        <v>19602</v>
      </c>
      <c r="K429" s="22" t="s">
        <v>19603</v>
      </c>
      <c r="L429" s="22"/>
      <c r="M429" s="22"/>
      <c r="N429" s="25" t="str">
        <f>HYPERLINK("http://slimages.macys.com/is/image/MCY/21421177 ")</f>
        <v xml:space="preserve">http://slimages.macys.com/is/image/MCY/21421177 </v>
      </c>
    </row>
    <row r="430" spans="1:14" ht="24.75" x14ac:dyDescent="0.25">
      <c r="A430" s="21" t="s">
        <v>13279</v>
      </c>
      <c r="B430" s="22" t="s">
        <v>13280</v>
      </c>
      <c r="C430" s="2">
        <v>1</v>
      </c>
      <c r="D430" s="23">
        <v>10.91</v>
      </c>
      <c r="E430" s="3">
        <v>10.91</v>
      </c>
      <c r="F430" s="2" t="s">
        <v>16602</v>
      </c>
      <c r="G430" s="22" t="s">
        <v>19357</v>
      </c>
      <c r="H430" s="24" t="s">
        <v>19345</v>
      </c>
      <c r="I430" s="22" t="s">
        <v>19309</v>
      </c>
      <c r="J430" s="22" t="s">
        <v>19602</v>
      </c>
      <c r="K430" s="22" t="s">
        <v>20041</v>
      </c>
      <c r="L430" s="22"/>
      <c r="M430" s="22"/>
      <c r="N430" s="25" t="str">
        <f>HYPERLINK("http://slimages.macys.com/is/image/MCY/21723141 ")</f>
        <v xml:space="preserve">http://slimages.macys.com/is/image/MCY/21723141 </v>
      </c>
    </row>
    <row r="431" spans="1:14" ht="24.75" x14ac:dyDescent="0.25">
      <c r="A431" s="21" t="s">
        <v>13281</v>
      </c>
      <c r="B431" s="22" t="s">
        <v>13282</v>
      </c>
      <c r="C431" s="2">
        <v>3</v>
      </c>
      <c r="D431" s="23">
        <v>10.91</v>
      </c>
      <c r="E431" s="3">
        <v>32.729999999999997</v>
      </c>
      <c r="F431" s="2" t="s">
        <v>18650</v>
      </c>
      <c r="G431" s="22"/>
      <c r="H431" s="24" t="s">
        <v>19345</v>
      </c>
      <c r="I431" s="22" t="s">
        <v>19309</v>
      </c>
      <c r="J431" s="22" t="s">
        <v>19602</v>
      </c>
      <c r="K431" s="22" t="s">
        <v>19603</v>
      </c>
      <c r="L431" s="22"/>
      <c r="M431" s="22"/>
      <c r="N431" s="25" t="str">
        <f>HYPERLINK("http://slimages.macys.com/is/image/MCY/21420990 ")</f>
        <v xml:space="preserve">http://slimages.macys.com/is/image/MCY/21420990 </v>
      </c>
    </row>
    <row r="432" spans="1:14" ht="24.75" x14ac:dyDescent="0.25">
      <c r="A432" s="21" t="s">
        <v>13283</v>
      </c>
      <c r="B432" s="22" t="s">
        <v>13284</v>
      </c>
      <c r="C432" s="2">
        <v>1</v>
      </c>
      <c r="D432" s="23">
        <v>10.99</v>
      </c>
      <c r="E432" s="3">
        <v>10.99</v>
      </c>
      <c r="F432" s="2" t="s">
        <v>18657</v>
      </c>
      <c r="G432" s="22" t="s">
        <v>19814</v>
      </c>
      <c r="H432" s="24" t="s">
        <v>19797</v>
      </c>
      <c r="I432" s="22" t="s">
        <v>19309</v>
      </c>
      <c r="J432" s="22" t="s">
        <v>19353</v>
      </c>
      <c r="K432" s="22" t="s">
        <v>19524</v>
      </c>
      <c r="L432" s="22"/>
      <c r="M432" s="22"/>
      <c r="N432" s="25" t="str">
        <f>HYPERLINK("http://slimages.macys.com/is/image/MCY/20702948 ")</f>
        <v xml:space="preserve">http://slimages.macys.com/is/image/MCY/20702948 </v>
      </c>
    </row>
    <row r="433" spans="1:14" ht="24.75" x14ac:dyDescent="0.25">
      <c r="A433" s="21" t="s">
        <v>13285</v>
      </c>
      <c r="B433" s="22" t="s">
        <v>13286</v>
      </c>
      <c r="C433" s="2">
        <v>1</v>
      </c>
      <c r="D433" s="23">
        <v>10.75</v>
      </c>
      <c r="E433" s="3">
        <v>10.75</v>
      </c>
      <c r="F433" s="2" t="s">
        <v>13287</v>
      </c>
      <c r="G433" s="22" t="s">
        <v>19879</v>
      </c>
      <c r="H433" s="24"/>
      <c r="I433" s="22" t="s">
        <v>19309</v>
      </c>
      <c r="J433" s="22" t="s">
        <v>19602</v>
      </c>
      <c r="K433" s="22" t="s">
        <v>20041</v>
      </c>
      <c r="L433" s="22"/>
      <c r="M433" s="22"/>
      <c r="N433" s="25" t="str">
        <f>HYPERLINK("http://slimages.macys.com/is/image/MCY/22874181 ")</f>
        <v xml:space="preserve">http://slimages.macys.com/is/image/MCY/22874181 </v>
      </c>
    </row>
    <row r="434" spans="1:14" x14ac:dyDescent="0.25">
      <c r="A434" s="21" t="s">
        <v>13288</v>
      </c>
      <c r="B434" s="22" t="s">
        <v>13289</v>
      </c>
      <c r="C434" s="2">
        <v>1</v>
      </c>
      <c r="D434" s="23">
        <v>9.7200000000000006</v>
      </c>
      <c r="E434" s="3">
        <v>9.7200000000000006</v>
      </c>
      <c r="F434" s="2" t="s">
        <v>13290</v>
      </c>
      <c r="G434" s="22"/>
      <c r="H434" s="24" t="s">
        <v>19770</v>
      </c>
      <c r="I434" s="22" t="s">
        <v>19309</v>
      </c>
      <c r="J434" s="22" t="s">
        <v>19708</v>
      </c>
      <c r="K434" s="22" t="s">
        <v>19709</v>
      </c>
      <c r="L434" s="22"/>
      <c r="M434" s="22"/>
      <c r="N434" s="25" t="str">
        <f>HYPERLINK("http://slimages.macys.com/is/image/MCY/19062831 ")</f>
        <v xml:space="preserve">http://slimages.macys.com/is/image/MCY/19062831 </v>
      </c>
    </row>
    <row r="435" spans="1:14" x14ac:dyDescent="0.25">
      <c r="A435" s="21" t="s">
        <v>13291</v>
      </c>
      <c r="B435" s="22" t="s">
        <v>13292</v>
      </c>
      <c r="C435" s="2">
        <v>1</v>
      </c>
      <c r="D435" s="23">
        <v>7.99</v>
      </c>
      <c r="E435" s="3">
        <v>7.99</v>
      </c>
      <c r="F435" s="2" t="s">
        <v>13293</v>
      </c>
      <c r="G435" s="22" t="s">
        <v>19315</v>
      </c>
      <c r="H435" s="24" t="s">
        <v>19308</v>
      </c>
      <c r="I435" s="22" t="s">
        <v>19309</v>
      </c>
      <c r="J435" s="22" t="s">
        <v>19310</v>
      </c>
      <c r="K435" s="22" t="s">
        <v>19873</v>
      </c>
      <c r="L435" s="22"/>
      <c r="M435" s="22"/>
      <c r="N435" s="25" t="str">
        <f>HYPERLINK("http://slimages.macys.com/is/image/MCY/19705838 ")</f>
        <v xml:space="preserve">http://slimages.macys.com/is/image/MCY/19705838 </v>
      </c>
    </row>
    <row r="436" spans="1:14" ht="24.75" x14ac:dyDescent="0.25">
      <c r="A436" s="21" t="s">
        <v>13294</v>
      </c>
      <c r="B436" s="22" t="s">
        <v>13295</v>
      </c>
      <c r="C436" s="2">
        <v>3</v>
      </c>
      <c r="D436" s="23">
        <v>10.61</v>
      </c>
      <c r="E436" s="3">
        <v>31.83</v>
      </c>
      <c r="F436" s="2" t="s">
        <v>13296</v>
      </c>
      <c r="G436" s="22" t="s">
        <v>19431</v>
      </c>
      <c r="H436" s="24" t="s">
        <v>19345</v>
      </c>
      <c r="I436" s="22" t="s">
        <v>19309</v>
      </c>
      <c r="J436" s="22" t="s">
        <v>19602</v>
      </c>
      <c r="K436" s="22" t="s">
        <v>20041</v>
      </c>
      <c r="L436" s="22"/>
      <c r="M436" s="22"/>
      <c r="N436" s="25" t="str">
        <f>HYPERLINK("http://slimages.macys.com/is/image/MCY/20529127 ")</f>
        <v xml:space="preserve">http://slimages.macys.com/is/image/MCY/20529127 </v>
      </c>
    </row>
    <row r="437" spans="1:14" ht="24.75" x14ac:dyDescent="0.25">
      <c r="A437" s="21" t="s">
        <v>13297</v>
      </c>
      <c r="B437" s="22" t="s">
        <v>13298</v>
      </c>
      <c r="C437" s="2">
        <v>1</v>
      </c>
      <c r="D437" s="23">
        <v>10.61</v>
      </c>
      <c r="E437" s="3">
        <v>10.61</v>
      </c>
      <c r="F437" s="2" t="s">
        <v>13296</v>
      </c>
      <c r="G437" s="22" t="s">
        <v>19431</v>
      </c>
      <c r="H437" s="24" t="s">
        <v>19334</v>
      </c>
      <c r="I437" s="22" t="s">
        <v>19309</v>
      </c>
      <c r="J437" s="22" t="s">
        <v>19602</v>
      </c>
      <c r="K437" s="22" t="s">
        <v>20041</v>
      </c>
      <c r="L437" s="22"/>
      <c r="M437" s="22"/>
      <c r="N437" s="25" t="str">
        <f>HYPERLINK("http://slimages.macys.com/is/image/MCY/20529127 ")</f>
        <v xml:space="preserve">http://slimages.macys.com/is/image/MCY/20529127 </v>
      </c>
    </row>
    <row r="438" spans="1:14" ht="24.75" x14ac:dyDescent="0.25">
      <c r="A438" s="21" t="s">
        <v>13299</v>
      </c>
      <c r="B438" s="22" t="s">
        <v>13300</v>
      </c>
      <c r="C438" s="2">
        <v>1</v>
      </c>
      <c r="D438" s="23">
        <v>10.61</v>
      </c>
      <c r="E438" s="3">
        <v>10.61</v>
      </c>
      <c r="F438" s="2" t="s">
        <v>13296</v>
      </c>
      <c r="G438" s="22" t="s">
        <v>19431</v>
      </c>
      <c r="H438" s="24" t="s">
        <v>19392</v>
      </c>
      <c r="I438" s="22" t="s">
        <v>19309</v>
      </c>
      <c r="J438" s="22" t="s">
        <v>19602</v>
      </c>
      <c r="K438" s="22" t="s">
        <v>20041</v>
      </c>
      <c r="L438" s="22"/>
      <c r="M438" s="22"/>
      <c r="N438" s="25" t="str">
        <f>HYPERLINK("http://slimages.macys.com/is/image/MCY/20529127 ")</f>
        <v xml:space="preserve">http://slimages.macys.com/is/image/MCY/20529127 </v>
      </c>
    </row>
    <row r="439" spans="1:14" ht="24.75" x14ac:dyDescent="0.25">
      <c r="A439" s="21" t="s">
        <v>13301</v>
      </c>
      <c r="B439" s="22" t="s">
        <v>13302</v>
      </c>
      <c r="C439" s="2">
        <v>1</v>
      </c>
      <c r="D439" s="23">
        <v>9.99</v>
      </c>
      <c r="E439" s="3">
        <v>9.99</v>
      </c>
      <c r="F439" s="2">
        <v>10015240700</v>
      </c>
      <c r="G439" s="22" t="s">
        <v>19315</v>
      </c>
      <c r="H439" s="24" t="s">
        <v>19384</v>
      </c>
      <c r="I439" s="22" t="s">
        <v>19309</v>
      </c>
      <c r="J439" s="22" t="s">
        <v>19573</v>
      </c>
      <c r="K439" s="22" t="s">
        <v>19574</v>
      </c>
      <c r="L439" s="22"/>
      <c r="M439" s="22"/>
      <c r="N439" s="25" t="str">
        <f>HYPERLINK("http://slimages.macys.com/is/image/MCY/2023449 ")</f>
        <v xml:space="preserve">http://slimages.macys.com/is/image/MCY/2023449 </v>
      </c>
    </row>
    <row r="440" spans="1:14" ht="24.75" x14ac:dyDescent="0.25">
      <c r="A440" s="21" t="s">
        <v>18687</v>
      </c>
      <c r="B440" s="22" t="s">
        <v>18688</v>
      </c>
      <c r="C440" s="2">
        <v>5</v>
      </c>
      <c r="D440" s="23">
        <v>9.99</v>
      </c>
      <c r="E440" s="3">
        <v>49.95</v>
      </c>
      <c r="F440" s="2" t="s">
        <v>18689</v>
      </c>
      <c r="G440" s="22" t="s">
        <v>19351</v>
      </c>
      <c r="H440" s="24"/>
      <c r="I440" s="22" t="s">
        <v>19309</v>
      </c>
      <c r="J440" s="22" t="s">
        <v>19573</v>
      </c>
      <c r="K440" s="22" t="s">
        <v>19574</v>
      </c>
      <c r="L440" s="22"/>
      <c r="M440" s="22"/>
      <c r="N440" s="25" t="str">
        <f>HYPERLINK("http://slimages.macys.com/is/image/MCY/1699968 ")</f>
        <v xml:space="preserve">http://slimages.macys.com/is/image/MCY/1699968 </v>
      </c>
    </row>
    <row r="441" spans="1:14" ht="24.75" x14ac:dyDescent="0.25">
      <c r="A441" s="21" t="s">
        <v>18677</v>
      </c>
      <c r="B441" s="22" t="s">
        <v>18678</v>
      </c>
      <c r="C441" s="2">
        <v>1</v>
      </c>
      <c r="D441" s="23">
        <v>9.99</v>
      </c>
      <c r="E441" s="3">
        <v>9.99</v>
      </c>
      <c r="F441" s="2">
        <v>10015240800</v>
      </c>
      <c r="G441" s="22" t="s">
        <v>19351</v>
      </c>
      <c r="H441" s="24" t="s">
        <v>19770</v>
      </c>
      <c r="I441" s="22" t="s">
        <v>19309</v>
      </c>
      <c r="J441" s="22" t="s">
        <v>19573</v>
      </c>
      <c r="K441" s="22" t="s">
        <v>19574</v>
      </c>
      <c r="L441" s="22"/>
      <c r="M441" s="22"/>
      <c r="N441" s="25" t="str">
        <f>HYPERLINK("http://slimages.macys.com/is/image/MCY/2023449 ")</f>
        <v xml:space="preserve">http://slimages.macys.com/is/image/MCY/2023449 </v>
      </c>
    </row>
    <row r="442" spans="1:14" ht="24.75" x14ac:dyDescent="0.25">
      <c r="A442" s="21" t="s">
        <v>18692</v>
      </c>
      <c r="B442" s="22" t="s">
        <v>18693</v>
      </c>
      <c r="C442" s="2">
        <v>2</v>
      </c>
      <c r="D442" s="23">
        <v>9.99</v>
      </c>
      <c r="E442" s="3">
        <v>19.98</v>
      </c>
      <c r="F442" s="2" t="s">
        <v>18689</v>
      </c>
      <c r="G442" s="22" t="s">
        <v>19351</v>
      </c>
      <c r="H442" s="24" t="s">
        <v>19538</v>
      </c>
      <c r="I442" s="22" t="s">
        <v>19309</v>
      </c>
      <c r="J442" s="22" t="s">
        <v>19573</v>
      </c>
      <c r="K442" s="22" t="s">
        <v>19574</v>
      </c>
      <c r="L442" s="22"/>
      <c r="M442" s="22"/>
      <c r="N442" s="25" t="str">
        <f>HYPERLINK("http://slimages.macys.com/is/image/MCY/1679025 ")</f>
        <v xml:space="preserve">http://slimages.macys.com/is/image/MCY/1679025 </v>
      </c>
    </row>
    <row r="443" spans="1:14" ht="24.75" x14ac:dyDescent="0.25">
      <c r="A443" s="21" t="s">
        <v>18675</v>
      </c>
      <c r="B443" s="22" t="s">
        <v>18676</v>
      </c>
      <c r="C443" s="2">
        <v>1</v>
      </c>
      <c r="D443" s="23">
        <v>9.99</v>
      </c>
      <c r="E443" s="3">
        <v>9.99</v>
      </c>
      <c r="F443" s="2">
        <v>10015240800</v>
      </c>
      <c r="G443" s="22" t="s">
        <v>19351</v>
      </c>
      <c r="H443" s="24"/>
      <c r="I443" s="22" t="s">
        <v>19309</v>
      </c>
      <c r="J443" s="22" t="s">
        <v>19573</v>
      </c>
      <c r="K443" s="22" t="s">
        <v>19574</v>
      </c>
      <c r="L443" s="22"/>
      <c r="M443" s="22"/>
      <c r="N443" s="25" t="str">
        <f>HYPERLINK("http://slimages.macys.com/is/image/MCY/2023449 ")</f>
        <v xml:space="preserve">http://slimages.macys.com/is/image/MCY/2023449 </v>
      </c>
    </row>
    <row r="444" spans="1:14" ht="24.75" x14ac:dyDescent="0.25">
      <c r="A444" s="21" t="s">
        <v>18690</v>
      </c>
      <c r="B444" s="22" t="s">
        <v>18691</v>
      </c>
      <c r="C444" s="2">
        <v>4</v>
      </c>
      <c r="D444" s="23">
        <v>9.99</v>
      </c>
      <c r="E444" s="3">
        <v>39.96</v>
      </c>
      <c r="F444" s="2" t="s">
        <v>18689</v>
      </c>
      <c r="G444" s="22" t="s">
        <v>19351</v>
      </c>
      <c r="H444" s="24" t="s">
        <v>19770</v>
      </c>
      <c r="I444" s="22" t="s">
        <v>19309</v>
      </c>
      <c r="J444" s="22" t="s">
        <v>19573</v>
      </c>
      <c r="K444" s="22" t="s">
        <v>19574</v>
      </c>
      <c r="L444" s="22"/>
      <c r="M444" s="22"/>
      <c r="N444" s="25" t="str">
        <f>HYPERLINK("http://slimages.macys.com/is/image/MCY/1679025 ")</f>
        <v xml:space="preserve">http://slimages.macys.com/is/image/MCY/1679025 </v>
      </c>
    </row>
    <row r="445" spans="1:14" ht="24.75" x14ac:dyDescent="0.25">
      <c r="A445" s="21" t="s">
        <v>18685</v>
      </c>
      <c r="B445" s="22" t="s">
        <v>18686</v>
      </c>
      <c r="C445" s="2">
        <v>4</v>
      </c>
      <c r="D445" s="23">
        <v>9.99</v>
      </c>
      <c r="E445" s="3">
        <v>39.96</v>
      </c>
      <c r="F445" s="2">
        <v>10015240700</v>
      </c>
      <c r="G445" s="22" t="s">
        <v>19315</v>
      </c>
      <c r="H445" s="24" t="s">
        <v>19538</v>
      </c>
      <c r="I445" s="22" t="s">
        <v>19309</v>
      </c>
      <c r="J445" s="22" t="s">
        <v>19573</v>
      </c>
      <c r="K445" s="22" t="s">
        <v>19574</v>
      </c>
      <c r="L445" s="22"/>
      <c r="M445" s="22"/>
      <c r="N445" s="25" t="str">
        <f>HYPERLINK("http://slimages.macys.com/is/image/MCY/2023449 ")</f>
        <v xml:space="preserve">http://slimages.macys.com/is/image/MCY/2023449 </v>
      </c>
    </row>
    <row r="446" spans="1:14" ht="24.75" x14ac:dyDescent="0.25">
      <c r="A446" s="21" t="s">
        <v>18673</v>
      </c>
      <c r="B446" s="22" t="s">
        <v>18674</v>
      </c>
      <c r="C446" s="2">
        <v>1</v>
      </c>
      <c r="D446" s="23">
        <v>9.99</v>
      </c>
      <c r="E446" s="3">
        <v>9.99</v>
      </c>
      <c r="F446" s="2">
        <v>10015240700</v>
      </c>
      <c r="G446" s="22" t="s">
        <v>19315</v>
      </c>
      <c r="H446" s="24"/>
      <c r="I446" s="22" t="s">
        <v>19309</v>
      </c>
      <c r="J446" s="22" t="s">
        <v>19573</v>
      </c>
      <c r="K446" s="22" t="s">
        <v>19574</v>
      </c>
      <c r="L446" s="22"/>
      <c r="M446" s="22"/>
      <c r="N446" s="25" t="str">
        <f>HYPERLINK("http://slimages.macys.com/is/image/MCY/2023449 ")</f>
        <v xml:space="preserve">http://slimages.macys.com/is/image/MCY/2023449 </v>
      </c>
    </row>
    <row r="447" spans="1:14" ht="24.75" x14ac:dyDescent="0.25">
      <c r="A447" s="21" t="s">
        <v>13303</v>
      </c>
      <c r="B447" s="22" t="s">
        <v>13304</v>
      </c>
      <c r="C447" s="2">
        <v>1</v>
      </c>
      <c r="D447" s="23">
        <v>9.99</v>
      </c>
      <c r="E447" s="3">
        <v>9.99</v>
      </c>
      <c r="F447" s="2" t="s">
        <v>18689</v>
      </c>
      <c r="G447" s="22" t="s">
        <v>19351</v>
      </c>
      <c r="H447" s="24" t="s">
        <v>19330</v>
      </c>
      <c r="I447" s="22" t="s">
        <v>19309</v>
      </c>
      <c r="J447" s="22" t="s">
        <v>19573</v>
      </c>
      <c r="K447" s="22" t="s">
        <v>19574</v>
      </c>
      <c r="L447" s="22"/>
      <c r="M447" s="22"/>
      <c r="N447" s="25" t="str">
        <f>HYPERLINK("http://slimages.macys.com/is/image/MCY/1679025 ")</f>
        <v xml:space="preserve">http://slimages.macys.com/is/image/MCY/1679025 </v>
      </c>
    </row>
    <row r="448" spans="1:14" x14ac:dyDescent="0.25">
      <c r="A448" s="21" t="s">
        <v>13305</v>
      </c>
      <c r="B448" s="22" t="s">
        <v>13306</v>
      </c>
      <c r="C448" s="2">
        <v>1</v>
      </c>
      <c r="D448" s="23">
        <v>13.99</v>
      </c>
      <c r="E448" s="3">
        <v>13.99</v>
      </c>
      <c r="F448" s="2" t="s">
        <v>16671</v>
      </c>
      <c r="G448" s="22" t="s">
        <v>19431</v>
      </c>
      <c r="H448" s="24" t="s">
        <v>19339</v>
      </c>
      <c r="I448" s="22" t="s">
        <v>19309</v>
      </c>
      <c r="J448" s="22" t="s">
        <v>19849</v>
      </c>
      <c r="K448" s="22" t="s">
        <v>19850</v>
      </c>
      <c r="L448" s="22"/>
      <c r="M448" s="22"/>
      <c r="N448" s="25" t="str">
        <f>HYPERLINK("http://slimages.macys.com/is/image/MCY/21270419 ")</f>
        <v xml:space="preserve">http://slimages.macys.com/is/image/MCY/21270419 </v>
      </c>
    </row>
    <row r="449" spans="1:14" ht="24.75" x14ac:dyDescent="0.25">
      <c r="A449" s="21" t="s">
        <v>13307</v>
      </c>
      <c r="B449" s="22" t="s">
        <v>13308</v>
      </c>
      <c r="C449" s="2">
        <v>1</v>
      </c>
      <c r="D449" s="23">
        <v>10.99</v>
      </c>
      <c r="E449" s="3">
        <v>10.99</v>
      </c>
      <c r="F449" s="2" t="s">
        <v>13309</v>
      </c>
      <c r="G449" s="22" t="s">
        <v>19513</v>
      </c>
      <c r="H449" s="24" t="s">
        <v>19330</v>
      </c>
      <c r="I449" s="22" t="s">
        <v>19309</v>
      </c>
      <c r="J449" s="22" t="s">
        <v>19573</v>
      </c>
      <c r="K449" s="22" t="s">
        <v>19574</v>
      </c>
      <c r="L449" s="22"/>
      <c r="M449" s="22"/>
      <c r="N449" s="25" t="str">
        <f>HYPERLINK("http://slimages.macys.com/is/image/MCY/21731816 ")</f>
        <v xml:space="preserve">http://slimages.macys.com/is/image/MCY/21731816 </v>
      </c>
    </row>
    <row r="450" spans="1:14" ht="24.75" x14ac:dyDescent="0.25">
      <c r="A450" s="21" t="s">
        <v>13310</v>
      </c>
      <c r="B450" s="22" t="s">
        <v>13311</v>
      </c>
      <c r="C450" s="2">
        <v>1</v>
      </c>
      <c r="D450" s="23">
        <v>7.99</v>
      </c>
      <c r="E450" s="3">
        <v>7.99</v>
      </c>
      <c r="F450" s="2" t="s">
        <v>13312</v>
      </c>
      <c r="G450" s="22" t="s">
        <v>13313</v>
      </c>
      <c r="H450" s="24" t="s">
        <v>19392</v>
      </c>
      <c r="I450" s="22" t="s">
        <v>19309</v>
      </c>
      <c r="J450" s="22" t="s">
        <v>19447</v>
      </c>
      <c r="K450" s="22" t="s">
        <v>20146</v>
      </c>
      <c r="L450" s="22"/>
      <c r="M450" s="22"/>
      <c r="N450" s="25" t="str">
        <f>HYPERLINK("http://slimages.macys.com/is/image/MCY/21550542 ")</f>
        <v xml:space="preserve">http://slimages.macys.com/is/image/MCY/21550542 </v>
      </c>
    </row>
    <row r="451" spans="1:14" ht="24.75" x14ac:dyDescent="0.25">
      <c r="A451" s="21" t="s">
        <v>13314</v>
      </c>
      <c r="B451" s="22" t="s">
        <v>13315</v>
      </c>
      <c r="C451" s="2">
        <v>1</v>
      </c>
      <c r="D451" s="23">
        <v>10.99</v>
      </c>
      <c r="E451" s="3">
        <v>10.99</v>
      </c>
      <c r="F451" s="2" t="s">
        <v>13316</v>
      </c>
      <c r="G451" s="22" t="s">
        <v>19351</v>
      </c>
      <c r="H451" s="24" t="s">
        <v>19352</v>
      </c>
      <c r="I451" s="22" t="s">
        <v>19309</v>
      </c>
      <c r="J451" s="22" t="s">
        <v>19353</v>
      </c>
      <c r="K451" s="22" t="s">
        <v>19524</v>
      </c>
      <c r="L451" s="22"/>
      <c r="M451" s="22"/>
      <c r="N451" s="25" t="str">
        <f>HYPERLINK("http://slimages.macys.com/is/image/MCY/21083383 ")</f>
        <v xml:space="preserve">http://slimages.macys.com/is/image/MCY/21083383 </v>
      </c>
    </row>
    <row r="452" spans="1:14" ht="24.75" x14ac:dyDescent="0.25">
      <c r="A452" s="21" t="s">
        <v>13317</v>
      </c>
      <c r="B452" s="22" t="s">
        <v>13318</v>
      </c>
      <c r="C452" s="2">
        <v>1</v>
      </c>
      <c r="D452" s="23">
        <v>10.99</v>
      </c>
      <c r="E452" s="3">
        <v>10.99</v>
      </c>
      <c r="F452" s="2" t="s">
        <v>13319</v>
      </c>
      <c r="G452" s="22" t="s">
        <v>19333</v>
      </c>
      <c r="H452" s="24" t="s">
        <v>19339</v>
      </c>
      <c r="I452" s="22" t="s">
        <v>19309</v>
      </c>
      <c r="J452" s="22" t="s">
        <v>19353</v>
      </c>
      <c r="K452" s="22" t="s">
        <v>19524</v>
      </c>
      <c r="L452" s="22"/>
      <c r="M452" s="22"/>
      <c r="N452" s="25" t="str">
        <f>HYPERLINK("http://slimages.macys.com/is/image/MCY/21083368 ")</f>
        <v xml:space="preserve">http://slimages.macys.com/is/image/MCY/21083368 </v>
      </c>
    </row>
    <row r="453" spans="1:14" x14ac:dyDescent="0.25">
      <c r="A453" s="21" t="s">
        <v>16354</v>
      </c>
      <c r="B453" s="22" t="s">
        <v>16355</v>
      </c>
      <c r="C453" s="2">
        <v>1</v>
      </c>
      <c r="D453" s="23">
        <v>9.99</v>
      </c>
      <c r="E453" s="3">
        <v>9.99</v>
      </c>
      <c r="F453" s="2" t="s">
        <v>16356</v>
      </c>
      <c r="G453" s="22" t="s">
        <v>19351</v>
      </c>
      <c r="H453" s="24" t="s">
        <v>20089</v>
      </c>
      <c r="I453" s="22" t="s">
        <v>19309</v>
      </c>
      <c r="J453" s="22" t="s">
        <v>19849</v>
      </c>
      <c r="K453" s="22" t="s">
        <v>19850</v>
      </c>
      <c r="L453" s="22"/>
      <c r="M453" s="22"/>
      <c r="N453" s="25" t="str">
        <f>HYPERLINK("http://slimages.macys.com/is/image/MCY/20752010 ")</f>
        <v xml:space="preserve">http://slimages.macys.com/is/image/MCY/20752010 </v>
      </c>
    </row>
    <row r="454" spans="1:14" ht="24.75" x14ac:dyDescent="0.25">
      <c r="A454" s="21" t="s">
        <v>16703</v>
      </c>
      <c r="B454" s="22" t="s">
        <v>16704</v>
      </c>
      <c r="C454" s="2">
        <v>3</v>
      </c>
      <c r="D454" s="23">
        <v>13.99</v>
      </c>
      <c r="E454" s="3">
        <v>41.97</v>
      </c>
      <c r="F454" s="2" t="s">
        <v>18729</v>
      </c>
      <c r="G454" s="22" t="s">
        <v>19415</v>
      </c>
      <c r="H454" s="24" t="s">
        <v>19330</v>
      </c>
      <c r="I454" s="22" t="s">
        <v>19309</v>
      </c>
      <c r="J454" s="22" t="s">
        <v>19573</v>
      </c>
      <c r="K454" s="22" t="s">
        <v>19574</v>
      </c>
      <c r="L454" s="22"/>
      <c r="M454" s="22"/>
      <c r="N454" s="25" t="str">
        <f>HYPERLINK("http://slimages.macys.com/is/image/MCY/1956290 ")</f>
        <v xml:space="preserve">http://slimages.macys.com/is/image/MCY/1956290 </v>
      </c>
    </row>
    <row r="455" spans="1:14" ht="24.75" x14ac:dyDescent="0.25">
      <c r="A455" s="21" t="s">
        <v>13320</v>
      </c>
      <c r="B455" s="22" t="s">
        <v>13321</v>
      </c>
      <c r="C455" s="2">
        <v>2</v>
      </c>
      <c r="D455" s="23">
        <v>13.99</v>
      </c>
      <c r="E455" s="3">
        <v>27.98</v>
      </c>
      <c r="F455" s="2" t="s">
        <v>18729</v>
      </c>
      <c r="G455" s="22" t="s">
        <v>19415</v>
      </c>
      <c r="H455" s="24" t="s">
        <v>19538</v>
      </c>
      <c r="I455" s="22" t="s">
        <v>19309</v>
      </c>
      <c r="J455" s="22" t="s">
        <v>19573</v>
      </c>
      <c r="K455" s="22" t="s">
        <v>19574</v>
      </c>
      <c r="L455" s="22"/>
      <c r="M455" s="22"/>
      <c r="N455" s="25" t="str">
        <f>HYPERLINK("http://slimages.macys.com/is/image/MCY/1956290 ")</f>
        <v xml:space="preserve">http://slimages.macys.com/is/image/MCY/1956290 </v>
      </c>
    </row>
    <row r="456" spans="1:14" ht="24.75" x14ac:dyDescent="0.25">
      <c r="A456" s="21" t="s">
        <v>13322</v>
      </c>
      <c r="B456" s="22" t="s">
        <v>13323</v>
      </c>
      <c r="C456" s="2">
        <v>1</v>
      </c>
      <c r="D456" s="23">
        <v>13.99</v>
      </c>
      <c r="E456" s="3">
        <v>13.99</v>
      </c>
      <c r="F456" s="2" t="s">
        <v>18729</v>
      </c>
      <c r="G456" s="22" t="s">
        <v>19415</v>
      </c>
      <c r="H456" s="24" t="s">
        <v>19416</v>
      </c>
      <c r="I456" s="22" t="s">
        <v>19309</v>
      </c>
      <c r="J456" s="22" t="s">
        <v>19573</v>
      </c>
      <c r="K456" s="22" t="s">
        <v>19574</v>
      </c>
      <c r="L456" s="22"/>
      <c r="M456" s="22"/>
      <c r="N456" s="25" t="str">
        <f>HYPERLINK("http://slimages.macys.com/is/image/MCY/1956290 ")</f>
        <v xml:space="preserve">http://slimages.macys.com/is/image/MCY/1956290 </v>
      </c>
    </row>
    <row r="457" spans="1:14" ht="24.75" x14ac:dyDescent="0.25">
      <c r="A457" s="21" t="s">
        <v>18727</v>
      </c>
      <c r="B457" s="22" t="s">
        <v>18728</v>
      </c>
      <c r="C457" s="2">
        <v>1</v>
      </c>
      <c r="D457" s="23">
        <v>13.99</v>
      </c>
      <c r="E457" s="3">
        <v>13.99</v>
      </c>
      <c r="F457" s="2" t="s">
        <v>18729</v>
      </c>
      <c r="G457" s="22" t="s">
        <v>19415</v>
      </c>
      <c r="H457" s="24" t="s">
        <v>19384</v>
      </c>
      <c r="I457" s="22" t="s">
        <v>19309</v>
      </c>
      <c r="J457" s="22" t="s">
        <v>19573</v>
      </c>
      <c r="K457" s="22" t="s">
        <v>19574</v>
      </c>
      <c r="L457" s="22"/>
      <c r="M457" s="22"/>
      <c r="N457" s="25" t="str">
        <f>HYPERLINK("http://slimages.macys.com/is/image/MCY/1956290 ")</f>
        <v xml:space="preserve">http://slimages.macys.com/is/image/MCY/1956290 </v>
      </c>
    </row>
    <row r="458" spans="1:14" ht="24.75" x14ac:dyDescent="0.25">
      <c r="A458" s="21" t="s">
        <v>13324</v>
      </c>
      <c r="B458" s="22" t="s">
        <v>13325</v>
      </c>
      <c r="C458" s="2">
        <v>1</v>
      </c>
      <c r="D458" s="23">
        <v>13.99</v>
      </c>
      <c r="E458" s="3">
        <v>13.99</v>
      </c>
      <c r="F458" s="2" t="s">
        <v>18729</v>
      </c>
      <c r="G458" s="22" t="s">
        <v>19415</v>
      </c>
      <c r="H458" s="24" t="s">
        <v>19324</v>
      </c>
      <c r="I458" s="22" t="s">
        <v>19309</v>
      </c>
      <c r="J458" s="22" t="s">
        <v>19573</v>
      </c>
      <c r="K458" s="22" t="s">
        <v>19574</v>
      </c>
      <c r="L458" s="22"/>
      <c r="M458" s="22"/>
      <c r="N458" s="25" t="str">
        <f>HYPERLINK("http://slimages.macys.com/is/image/MCY/1520506 ")</f>
        <v xml:space="preserve">http://slimages.macys.com/is/image/MCY/1520506 </v>
      </c>
    </row>
    <row r="459" spans="1:14" ht="24.75" x14ac:dyDescent="0.25">
      <c r="A459" s="21" t="s">
        <v>16705</v>
      </c>
      <c r="B459" s="22" t="s">
        <v>16706</v>
      </c>
      <c r="C459" s="2">
        <v>1</v>
      </c>
      <c r="D459" s="23">
        <v>13.99</v>
      </c>
      <c r="E459" s="3">
        <v>13.99</v>
      </c>
      <c r="F459" s="2" t="s">
        <v>18729</v>
      </c>
      <c r="G459" s="22" t="s">
        <v>19415</v>
      </c>
      <c r="H459" s="24"/>
      <c r="I459" s="22" t="s">
        <v>19309</v>
      </c>
      <c r="J459" s="22" t="s">
        <v>19573</v>
      </c>
      <c r="K459" s="22" t="s">
        <v>19574</v>
      </c>
      <c r="L459" s="22"/>
      <c r="M459" s="22"/>
      <c r="N459" s="25" t="str">
        <f>HYPERLINK("http://slimages.macys.com/is/image/MCY/1956290 ")</f>
        <v xml:space="preserve">http://slimages.macys.com/is/image/MCY/1956290 </v>
      </c>
    </row>
    <row r="460" spans="1:14" ht="24.75" x14ac:dyDescent="0.25">
      <c r="A460" s="21" t="s">
        <v>18733</v>
      </c>
      <c r="B460" s="22" t="s">
        <v>18734</v>
      </c>
      <c r="C460" s="2">
        <v>1</v>
      </c>
      <c r="D460" s="23">
        <v>9.99</v>
      </c>
      <c r="E460" s="3">
        <v>9.99</v>
      </c>
      <c r="F460" s="2" t="s">
        <v>18735</v>
      </c>
      <c r="G460" s="22" t="s">
        <v>19431</v>
      </c>
      <c r="H460" s="24" t="s">
        <v>19364</v>
      </c>
      <c r="I460" s="22" t="s">
        <v>19309</v>
      </c>
      <c r="J460" s="22" t="s">
        <v>19815</v>
      </c>
      <c r="K460" s="22" t="s">
        <v>19816</v>
      </c>
      <c r="L460" s="22"/>
      <c r="M460" s="22"/>
      <c r="N460" s="25" t="str">
        <f>HYPERLINK("http://slimages.macys.com/is/image/MCY/1968633 ")</f>
        <v xml:space="preserve">http://slimages.macys.com/is/image/MCY/1968633 </v>
      </c>
    </row>
    <row r="461" spans="1:14" x14ac:dyDescent="0.25">
      <c r="A461" s="21" t="s">
        <v>13326</v>
      </c>
      <c r="B461" s="22" t="s">
        <v>13327</v>
      </c>
      <c r="C461" s="2">
        <v>1</v>
      </c>
      <c r="D461" s="23">
        <v>11.38</v>
      </c>
      <c r="E461" s="3">
        <v>11.38</v>
      </c>
      <c r="F461" s="2" t="s">
        <v>16739</v>
      </c>
      <c r="G461" s="22" t="s">
        <v>19594</v>
      </c>
      <c r="H461" s="24" t="s">
        <v>19770</v>
      </c>
      <c r="I461" s="22" t="s">
        <v>19309</v>
      </c>
      <c r="J461" s="22" t="s">
        <v>19708</v>
      </c>
      <c r="K461" s="22" t="s">
        <v>19709</v>
      </c>
      <c r="L461" s="22"/>
      <c r="M461" s="22"/>
      <c r="N461" s="25" t="str">
        <f>HYPERLINK("http://slimages.macys.com/is/image/MCY/21414308 ")</f>
        <v xml:space="preserve">http://slimages.macys.com/is/image/MCY/21414308 </v>
      </c>
    </row>
    <row r="462" spans="1:14" x14ac:dyDescent="0.25">
      <c r="A462" s="21" t="s">
        <v>16373</v>
      </c>
      <c r="B462" s="22" t="s">
        <v>16374</v>
      </c>
      <c r="C462" s="2">
        <v>1</v>
      </c>
      <c r="D462" s="23">
        <v>11.38</v>
      </c>
      <c r="E462" s="3">
        <v>11.38</v>
      </c>
      <c r="F462" s="2" t="s">
        <v>16739</v>
      </c>
      <c r="G462" s="22" t="s">
        <v>19594</v>
      </c>
      <c r="H462" s="24" t="s">
        <v>19367</v>
      </c>
      <c r="I462" s="22" t="s">
        <v>19309</v>
      </c>
      <c r="J462" s="22" t="s">
        <v>19708</v>
      </c>
      <c r="K462" s="22" t="s">
        <v>19709</v>
      </c>
      <c r="L462" s="22"/>
      <c r="M462" s="22"/>
      <c r="N462" s="25" t="str">
        <f>HYPERLINK("http://slimages.macys.com/is/image/MCY/21414308 ")</f>
        <v xml:space="preserve">http://slimages.macys.com/is/image/MCY/21414308 </v>
      </c>
    </row>
    <row r="463" spans="1:14" x14ac:dyDescent="0.25">
      <c r="A463" s="21" t="s">
        <v>16375</v>
      </c>
      <c r="B463" s="22" t="s">
        <v>16376</v>
      </c>
      <c r="C463" s="2">
        <v>1</v>
      </c>
      <c r="D463" s="23">
        <v>11.38</v>
      </c>
      <c r="E463" s="3">
        <v>11.38</v>
      </c>
      <c r="F463" s="2" t="s">
        <v>16739</v>
      </c>
      <c r="G463" s="22" t="s">
        <v>19594</v>
      </c>
      <c r="H463" s="24" t="s">
        <v>20152</v>
      </c>
      <c r="I463" s="22" t="s">
        <v>19309</v>
      </c>
      <c r="J463" s="22" t="s">
        <v>19708</v>
      </c>
      <c r="K463" s="22" t="s">
        <v>19709</v>
      </c>
      <c r="L463" s="22"/>
      <c r="M463" s="22"/>
      <c r="N463" s="25" t="str">
        <f>HYPERLINK("http://slimages.macys.com/is/image/MCY/21414308 ")</f>
        <v xml:space="preserve">http://slimages.macys.com/is/image/MCY/21414308 </v>
      </c>
    </row>
    <row r="464" spans="1:14" ht="24.75" x14ac:dyDescent="0.25">
      <c r="A464" s="21" t="s">
        <v>18761</v>
      </c>
      <c r="B464" s="22" t="s">
        <v>18762</v>
      </c>
      <c r="C464" s="2">
        <v>2</v>
      </c>
      <c r="D464" s="23">
        <v>10.99</v>
      </c>
      <c r="E464" s="3">
        <v>21.98</v>
      </c>
      <c r="F464" s="2" t="s">
        <v>18763</v>
      </c>
      <c r="G464" s="22" t="s">
        <v>18764</v>
      </c>
      <c r="H464" s="24"/>
      <c r="I464" s="22" t="s">
        <v>19309</v>
      </c>
      <c r="J464" s="22" t="s">
        <v>19573</v>
      </c>
      <c r="K464" s="22" t="s">
        <v>19574</v>
      </c>
      <c r="L464" s="22"/>
      <c r="M464" s="22"/>
      <c r="N464" s="25" t="str">
        <f t="shared" ref="N464:N469" si="1">HYPERLINK("http://slimages.macys.com/is/image/MCY/17720840 ")</f>
        <v xml:space="preserve">http://slimages.macys.com/is/image/MCY/17720840 </v>
      </c>
    </row>
    <row r="465" spans="1:14" ht="24.75" x14ac:dyDescent="0.25">
      <c r="A465" s="21" t="s">
        <v>13964</v>
      </c>
      <c r="B465" s="22" t="s">
        <v>13965</v>
      </c>
      <c r="C465" s="2">
        <v>2</v>
      </c>
      <c r="D465" s="23">
        <v>10.99</v>
      </c>
      <c r="E465" s="3">
        <v>21.98</v>
      </c>
      <c r="F465" s="2" t="s">
        <v>18763</v>
      </c>
      <c r="G465" s="22" t="s">
        <v>18764</v>
      </c>
      <c r="H465" s="24" t="s">
        <v>19324</v>
      </c>
      <c r="I465" s="22" t="s">
        <v>19309</v>
      </c>
      <c r="J465" s="22" t="s">
        <v>19573</v>
      </c>
      <c r="K465" s="22" t="s">
        <v>19574</v>
      </c>
      <c r="L465" s="22"/>
      <c r="M465" s="22"/>
      <c r="N465" s="25" t="str">
        <f t="shared" si="1"/>
        <v xml:space="preserve">http://slimages.macys.com/is/image/MCY/17720840 </v>
      </c>
    </row>
    <row r="466" spans="1:14" ht="24.75" x14ac:dyDescent="0.25">
      <c r="A466" s="21" t="s">
        <v>13328</v>
      </c>
      <c r="B466" s="22" t="s">
        <v>13329</v>
      </c>
      <c r="C466" s="2">
        <v>1</v>
      </c>
      <c r="D466" s="23">
        <v>10.99</v>
      </c>
      <c r="E466" s="3">
        <v>10.99</v>
      </c>
      <c r="F466" s="2" t="s">
        <v>18763</v>
      </c>
      <c r="G466" s="22" t="s">
        <v>18764</v>
      </c>
      <c r="H466" s="24" t="s">
        <v>19416</v>
      </c>
      <c r="I466" s="22" t="s">
        <v>19309</v>
      </c>
      <c r="J466" s="22" t="s">
        <v>19573</v>
      </c>
      <c r="K466" s="22" t="s">
        <v>19574</v>
      </c>
      <c r="L466" s="22"/>
      <c r="M466" s="22"/>
      <c r="N466" s="25" t="str">
        <f t="shared" si="1"/>
        <v xml:space="preserve">http://slimages.macys.com/is/image/MCY/17720840 </v>
      </c>
    </row>
    <row r="467" spans="1:14" ht="24.75" x14ac:dyDescent="0.25">
      <c r="A467" s="21" t="s">
        <v>13330</v>
      </c>
      <c r="B467" s="22" t="s">
        <v>13331</v>
      </c>
      <c r="C467" s="2">
        <v>1</v>
      </c>
      <c r="D467" s="23">
        <v>10.99</v>
      </c>
      <c r="E467" s="3">
        <v>10.99</v>
      </c>
      <c r="F467" s="2" t="s">
        <v>18763</v>
      </c>
      <c r="G467" s="22" t="s">
        <v>18764</v>
      </c>
      <c r="H467" s="24" t="s">
        <v>19330</v>
      </c>
      <c r="I467" s="22" t="s">
        <v>19309</v>
      </c>
      <c r="J467" s="22" t="s">
        <v>19573</v>
      </c>
      <c r="K467" s="22" t="s">
        <v>19574</v>
      </c>
      <c r="L467" s="22"/>
      <c r="M467" s="22"/>
      <c r="N467" s="25" t="str">
        <f t="shared" si="1"/>
        <v xml:space="preserve">http://slimages.macys.com/is/image/MCY/17720840 </v>
      </c>
    </row>
    <row r="468" spans="1:14" ht="24.75" x14ac:dyDescent="0.25">
      <c r="A468" s="21" t="s">
        <v>13332</v>
      </c>
      <c r="B468" s="22" t="s">
        <v>13333</v>
      </c>
      <c r="C468" s="2">
        <v>2</v>
      </c>
      <c r="D468" s="23">
        <v>10.99</v>
      </c>
      <c r="E468" s="3">
        <v>21.98</v>
      </c>
      <c r="F468" s="2" t="s">
        <v>18763</v>
      </c>
      <c r="G468" s="22" t="s">
        <v>18764</v>
      </c>
      <c r="H468" s="24" t="s">
        <v>19538</v>
      </c>
      <c r="I468" s="22" t="s">
        <v>19309</v>
      </c>
      <c r="J468" s="22" t="s">
        <v>19573</v>
      </c>
      <c r="K468" s="22" t="s">
        <v>19574</v>
      </c>
      <c r="L468" s="22"/>
      <c r="M468" s="22"/>
      <c r="N468" s="25" t="str">
        <f t="shared" si="1"/>
        <v xml:space="preserve">http://slimages.macys.com/is/image/MCY/17720840 </v>
      </c>
    </row>
    <row r="469" spans="1:14" ht="24.75" x14ac:dyDescent="0.25">
      <c r="A469" s="21" t="s">
        <v>13334</v>
      </c>
      <c r="B469" s="22" t="s">
        <v>13335</v>
      </c>
      <c r="C469" s="2">
        <v>1</v>
      </c>
      <c r="D469" s="23">
        <v>10.99</v>
      </c>
      <c r="E469" s="3">
        <v>10.99</v>
      </c>
      <c r="F469" s="2" t="s">
        <v>18763</v>
      </c>
      <c r="G469" s="22" t="s">
        <v>18764</v>
      </c>
      <c r="H469" s="24" t="s">
        <v>19384</v>
      </c>
      <c r="I469" s="22" t="s">
        <v>19309</v>
      </c>
      <c r="J469" s="22" t="s">
        <v>19573</v>
      </c>
      <c r="K469" s="22" t="s">
        <v>19574</v>
      </c>
      <c r="L469" s="22"/>
      <c r="M469" s="22"/>
      <c r="N469" s="25" t="str">
        <f t="shared" si="1"/>
        <v xml:space="preserve">http://slimages.macys.com/is/image/MCY/17720840 </v>
      </c>
    </row>
    <row r="470" spans="1:14" ht="24.75" x14ac:dyDescent="0.25">
      <c r="A470" s="21" t="s">
        <v>18774</v>
      </c>
      <c r="B470" s="22" t="s">
        <v>18775</v>
      </c>
      <c r="C470" s="2">
        <v>3</v>
      </c>
      <c r="D470" s="23">
        <v>9.99</v>
      </c>
      <c r="E470" s="3">
        <v>29.97</v>
      </c>
      <c r="F470" s="2" t="s">
        <v>18773</v>
      </c>
      <c r="G470" s="22" t="s">
        <v>19422</v>
      </c>
      <c r="H470" s="24" t="s">
        <v>19770</v>
      </c>
      <c r="I470" s="22" t="s">
        <v>19309</v>
      </c>
      <c r="J470" s="22" t="s">
        <v>19573</v>
      </c>
      <c r="K470" s="22" t="s">
        <v>19574</v>
      </c>
      <c r="L470" s="22"/>
      <c r="M470" s="22"/>
      <c r="N470" s="25" t="str">
        <f>HYPERLINK("http://slimages.macys.com/is/image/MCY/1646328 ")</f>
        <v xml:space="preserve">http://slimages.macys.com/is/image/MCY/1646328 </v>
      </c>
    </row>
    <row r="471" spans="1:14" ht="24.75" x14ac:dyDescent="0.25">
      <c r="A471" s="21" t="s">
        <v>18776</v>
      </c>
      <c r="B471" s="22" t="s">
        <v>18777</v>
      </c>
      <c r="C471" s="2">
        <v>2</v>
      </c>
      <c r="D471" s="23">
        <v>9.99</v>
      </c>
      <c r="E471" s="3">
        <v>19.98</v>
      </c>
      <c r="F471" s="2" t="s">
        <v>18773</v>
      </c>
      <c r="G471" s="22" t="s">
        <v>19422</v>
      </c>
      <c r="H471" s="24"/>
      <c r="I471" s="22" t="s">
        <v>19309</v>
      </c>
      <c r="J471" s="22" t="s">
        <v>19573</v>
      </c>
      <c r="K471" s="22" t="s">
        <v>19574</v>
      </c>
      <c r="L471" s="22"/>
      <c r="M471" s="22"/>
      <c r="N471" s="25" t="str">
        <f>HYPERLINK("http://slimages.macys.com/is/image/MCY/1322715 ")</f>
        <v xml:space="preserve">http://slimages.macys.com/is/image/MCY/1322715 </v>
      </c>
    </row>
    <row r="472" spans="1:14" ht="24.75" x14ac:dyDescent="0.25">
      <c r="A472" s="21" t="s">
        <v>13336</v>
      </c>
      <c r="B472" s="22" t="s">
        <v>13337</v>
      </c>
      <c r="C472" s="2">
        <v>1</v>
      </c>
      <c r="D472" s="23">
        <v>9.81</v>
      </c>
      <c r="E472" s="3">
        <v>9.81</v>
      </c>
      <c r="F472" s="2" t="s">
        <v>13338</v>
      </c>
      <c r="G472" s="22" t="s">
        <v>19879</v>
      </c>
      <c r="H472" s="24" t="s">
        <v>19392</v>
      </c>
      <c r="I472" s="22" t="s">
        <v>19309</v>
      </c>
      <c r="J472" s="22" t="s">
        <v>19602</v>
      </c>
      <c r="K472" s="22" t="s">
        <v>20041</v>
      </c>
      <c r="L472" s="22"/>
      <c r="M472" s="22"/>
      <c r="N472" s="25" t="str">
        <f>HYPERLINK("http://slimages.macys.com/is/image/MCY/21728867 ")</f>
        <v xml:space="preserve">http://slimages.macys.com/is/image/MCY/21728867 </v>
      </c>
    </row>
    <row r="473" spans="1:14" ht="24.75" x14ac:dyDescent="0.25">
      <c r="A473" s="21" t="s">
        <v>13339</v>
      </c>
      <c r="B473" s="22" t="s">
        <v>13340</v>
      </c>
      <c r="C473" s="2">
        <v>1</v>
      </c>
      <c r="D473" s="23">
        <v>9.81</v>
      </c>
      <c r="E473" s="3">
        <v>9.81</v>
      </c>
      <c r="F473" s="2" t="s">
        <v>13338</v>
      </c>
      <c r="G473" s="22" t="s">
        <v>19879</v>
      </c>
      <c r="H473" s="24" t="s">
        <v>19334</v>
      </c>
      <c r="I473" s="22" t="s">
        <v>19309</v>
      </c>
      <c r="J473" s="22" t="s">
        <v>19602</v>
      </c>
      <c r="K473" s="22" t="s">
        <v>20041</v>
      </c>
      <c r="L473" s="22"/>
      <c r="M473" s="22"/>
      <c r="N473" s="25" t="str">
        <f>HYPERLINK("http://slimages.macys.com/is/image/MCY/21728867 ")</f>
        <v xml:space="preserve">http://slimages.macys.com/is/image/MCY/21728867 </v>
      </c>
    </row>
    <row r="474" spans="1:14" ht="24.75" x14ac:dyDescent="0.25">
      <c r="A474" s="21" t="s">
        <v>18771</v>
      </c>
      <c r="B474" s="22" t="s">
        <v>18772</v>
      </c>
      <c r="C474" s="2">
        <v>1</v>
      </c>
      <c r="D474" s="23">
        <v>9.99</v>
      </c>
      <c r="E474" s="3">
        <v>9.99</v>
      </c>
      <c r="F474" s="2" t="s">
        <v>18773</v>
      </c>
      <c r="G474" s="22" t="s">
        <v>19422</v>
      </c>
      <c r="H474" s="24" t="s">
        <v>19538</v>
      </c>
      <c r="I474" s="22" t="s">
        <v>19309</v>
      </c>
      <c r="J474" s="22" t="s">
        <v>19573</v>
      </c>
      <c r="K474" s="22" t="s">
        <v>19574</v>
      </c>
      <c r="L474" s="22"/>
      <c r="M474" s="22"/>
      <c r="N474" s="25" t="str">
        <f>HYPERLINK("http://slimages.macys.com/is/image/MCY/1322715 ")</f>
        <v xml:space="preserve">http://slimages.macys.com/is/image/MCY/1322715 </v>
      </c>
    </row>
    <row r="475" spans="1:14" ht="24.75" x14ac:dyDescent="0.25">
      <c r="A475" s="21" t="s">
        <v>13341</v>
      </c>
      <c r="B475" s="22" t="s">
        <v>13342</v>
      </c>
      <c r="C475" s="2">
        <v>1</v>
      </c>
      <c r="D475" s="23">
        <v>11.99</v>
      </c>
      <c r="E475" s="3">
        <v>11.99</v>
      </c>
      <c r="F475" s="2" t="s">
        <v>13343</v>
      </c>
      <c r="G475" s="22" t="s">
        <v>19955</v>
      </c>
      <c r="H475" s="24" t="s">
        <v>19384</v>
      </c>
      <c r="I475" s="22" t="s">
        <v>19309</v>
      </c>
      <c r="J475" s="22" t="s">
        <v>19573</v>
      </c>
      <c r="K475" s="22" t="s">
        <v>19574</v>
      </c>
      <c r="L475" s="22"/>
      <c r="M475" s="22"/>
      <c r="N475" s="25" t="str">
        <f>HYPERLINK("http://slimages.macys.com/is/image/MCY/1439092 ")</f>
        <v xml:space="preserve">http://slimages.macys.com/is/image/MCY/1439092 </v>
      </c>
    </row>
    <row r="476" spans="1:14" ht="24.75" x14ac:dyDescent="0.25">
      <c r="A476" s="21" t="s">
        <v>13344</v>
      </c>
      <c r="B476" s="22" t="s">
        <v>13345</v>
      </c>
      <c r="C476" s="2">
        <v>1</v>
      </c>
      <c r="D476" s="23">
        <v>11.99</v>
      </c>
      <c r="E476" s="3">
        <v>11.99</v>
      </c>
      <c r="F476" s="2" t="s">
        <v>13346</v>
      </c>
      <c r="G476" s="22" t="s">
        <v>19674</v>
      </c>
      <c r="H476" s="24"/>
      <c r="I476" s="22" t="s">
        <v>19309</v>
      </c>
      <c r="J476" s="22" t="s">
        <v>20076</v>
      </c>
      <c r="K476" s="22" t="s">
        <v>18822</v>
      </c>
      <c r="L476" s="22"/>
      <c r="M476" s="22"/>
      <c r="N476" s="25" t="str">
        <f>HYPERLINK("http://slimages.macys.com/is/image/MCY/19598319 ")</f>
        <v xml:space="preserve">http://slimages.macys.com/is/image/MCY/19598319 </v>
      </c>
    </row>
    <row r="477" spans="1:14" ht="24.75" x14ac:dyDescent="0.25">
      <c r="A477" s="21" t="s">
        <v>13347</v>
      </c>
      <c r="B477" s="22" t="s">
        <v>13348</v>
      </c>
      <c r="C477" s="2">
        <v>1</v>
      </c>
      <c r="D477" s="23">
        <v>10.99</v>
      </c>
      <c r="E477" s="3">
        <v>10.99</v>
      </c>
      <c r="F477" s="2" t="s">
        <v>16788</v>
      </c>
      <c r="G477" s="22" t="s">
        <v>19674</v>
      </c>
      <c r="H477" s="24" t="s">
        <v>19416</v>
      </c>
      <c r="I477" s="22" t="s">
        <v>19309</v>
      </c>
      <c r="J477" s="22" t="s">
        <v>19573</v>
      </c>
      <c r="K477" s="22" t="s">
        <v>19574</v>
      </c>
      <c r="L477" s="22"/>
      <c r="M477" s="22"/>
      <c r="N477" s="25" t="str">
        <f>HYPERLINK("http://slimages.macys.com/is/image/MCY/20386473 ")</f>
        <v xml:space="preserve">http://slimages.macys.com/is/image/MCY/20386473 </v>
      </c>
    </row>
    <row r="478" spans="1:14" ht="24.75" x14ac:dyDescent="0.25">
      <c r="A478" s="21" t="s">
        <v>13349</v>
      </c>
      <c r="B478" s="22" t="s">
        <v>13350</v>
      </c>
      <c r="C478" s="2">
        <v>1</v>
      </c>
      <c r="D478" s="23">
        <v>10.99</v>
      </c>
      <c r="E478" s="3">
        <v>10.99</v>
      </c>
      <c r="F478" s="2" t="s">
        <v>18795</v>
      </c>
      <c r="G478" s="22" t="s">
        <v>19713</v>
      </c>
      <c r="H478" s="24" t="s">
        <v>19538</v>
      </c>
      <c r="I478" s="22" t="s">
        <v>19309</v>
      </c>
      <c r="J478" s="22" t="s">
        <v>19573</v>
      </c>
      <c r="K478" s="22" t="s">
        <v>19574</v>
      </c>
      <c r="L478" s="22"/>
      <c r="M478" s="22"/>
      <c r="N478" s="25" t="str">
        <f>HYPERLINK("http://slimages.macys.com/is/image/MCY/1660803 ")</f>
        <v xml:space="preserve">http://slimages.macys.com/is/image/MCY/1660803 </v>
      </c>
    </row>
    <row r="479" spans="1:14" ht="24.75" x14ac:dyDescent="0.25">
      <c r="A479" s="21" t="s">
        <v>18798</v>
      </c>
      <c r="B479" s="22" t="s">
        <v>18799</v>
      </c>
      <c r="C479" s="2">
        <v>1</v>
      </c>
      <c r="D479" s="23">
        <v>10.99</v>
      </c>
      <c r="E479" s="3">
        <v>10.99</v>
      </c>
      <c r="F479" s="2" t="s">
        <v>18795</v>
      </c>
      <c r="G479" s="22" t="s">
        <v>19713</v>
      </c>
      <c r="H479" s="24"/>
      <c r="I479" s="22" t="s">
        <v>19309</v>
      </c>
      <c r="J479" s="22" t="s">
        <v>19573</v>
      </c>
      <c r="K479" s="22" t="s">
        <v>19574</v>
      </c>
      <c r="L479" s="22"/>
      <c r="M479" s="22"/>
      <c r="N479" s="25" t="str">
        <f>HYPERLINK("http://slimages.macys.com/is/image/MCY/1663589 ")</f>
        <v xml:space="preserve">http://slimages.macys.com/is/image/MCY/1663589 </v>
      </c>
    </row>
    <row r="480" spans="1:14" ht="24.75" x14ac:dyDescent="0.25">
      <c r="A480" s="21" t="s">
        <v>13351</v>
      </c>
      <c r="B480" s="22" t="s">
        <v>13352</v>
      </c>
      <c r="C480" s="2">
        <v>3</v>
      </c>
      <c r="D480" s="23">
        <v>8.89</v>
      </c>
      <c r="E480" s="3">
        <v>26.67</v>
      </c>
      <c r="F480" s="2" t="s">
        <v>13353</v>
      </c>
      <c r="G480" s="22" t="s">
        <v>19618</v>
      </c>
      <c r="H480" s="24" t="s">
        <v>19364</v>
      </c>
      <c r="I480" s="22" t="s">
        <v>19309</v>
      </c>
      <c r="J480" s="22" t="s">
        <v>19565</v>
      </c>
      <c r="K480" s="22" t="s">
        <v>18514</v>
      </c>
      <c r="L480" s="22"/>
      <c r="M480" s="22"/>
      <c r="N480" s="25" t="str">
        <f>HYPERLINK("http://slimages.macys.com/is/image/MCY/21621980 ")</f>
        <v xml:space="preserve">http://slimages.macys.com/is/image/MCY/21621980 </v>
      </c>
    </row>
    <row r="481" spans="1:14" ht="24.75" x14ac:dyDescent="0.25">
      <c r="A481" s="21" t="s">
        <v>13354</v>
      </c>
      <c r="B481" s="22" t="s">
        <v>13355</v>
      </c>
      <c r="C481" s="2">
        <v>1</v>
      </c>
      <c r="D481" s="23">
        <v>8.89</v>
      </c>
      <c r="E481" s="3">
        <v>8.89</v>
      </c>
      <c r="F481" s="2" t="s">
        <v>13353</v>
      </c>
      <c r="G481" s="22" t="s">
        <v>19618</v>
      </c>
      <c r="H481" s="24" t="s">
        <v>19352</v>
      </c>
      <c r="I481" s="22" t="s">
        <v>19309</v>
      </c>
      <c r="J481" s="22" t="s">
        <v>19565</v>
      </c>
      <c r="K481" s="22" t="s">
        <v>18514</v>
      </c>
      <c r="L481" s="22"/>
      <c r="M481" s="22"/>
      <c r="N481" s="25" t="str">
        <f>HYPERLINK("http://slimages.macys.com/is/image/MCY/21621980 ")</f>
        <v xml:space="preserve">http://slimages.macys.com/is/image/MCY/21621980 </v>
      </c>
    </row>
    <row r="482" spans="1:14" ht="24.75" x14ac:dyDescent="0.25">
      <c r="A482" s="21" t="s">
        <v>13356</v>
      </c>
      <c r="B482" s="22" t="s">
        <v>13357</v>
      </c>
      <c r="C482" s="2">
        <v>1</v>
      </c>
      <c r="D482" s="23">
        <v>11.99</v>
      </c>
      <c r="E482" s="3">
        <v>11.99</v>
      </c>
      <c r="F482" s="2" t="s">
        <v>13358</v>
      </c>
      <c r="G482" s="22" t="s">
        <v>19307</v>
      </c>
      <c r="H482" s="24" t="s">
        <v>13359</v>
      </c>
      <c r="I482" s="22" t="s">
        <v>19309</v>
      </c>
      <c r="J482" s="22" t="s">
        <v>20076</v>
      </c>
      <c r="K482" s="22" t="s">
        <v>18822</v>
      </c>
      <c r="L482" s="22"/>
      <c r="M482" s="22"/>
      <c r="N482" s="25" t="str">
        <f>HYPERLINK("http://slimages.macys.com/is/image/MCY/19598484 ")</f>
        <v xml:space="preserve">http://slimages.macys.com/is/image/MCY/19598484 </v>
      </c>
    </row>
    <row r="483" spans="1:14" x14ac:dyDescent="0.25">
      <c r="A483" s="21" t="s">
        <v>16801</v>
      </c>
      <c r="B483" s="22" t="s">
        <v>16802</v>
      </c>
      <c r="C483" s="2">
        <v>1</v>
      </c>
      <c r="D483" s="23">
        <v>11.99</v>
      </c>
      <c r="E483" s="3">
        <v>11.99</v>
      </c>
      <c r="F483" s="2" t="s">
        <v>16803</v>
      </c>
      <c r="G483" s="22" t="s">
        <v>19431</v>
      </c>
      <c r="H483" s="24" t="s">
        <v>19364</v>
      </c>
      <c r="I483" s="22" t="s">
        <v>19309</v>
      </c>
      <c r="J483" s="22" t="s">
        <v>19849</v>
      </c>
      <c r="K483" s="22" t="s">
        <v>19850</v>
      </c>
      <c r="L483" s="22"/>
      <c r="M483" s="22"/>
      <c r="N483" s="25" t="str">
        <f>HYPERLINK("http://slimages.macys.com/is/image/MCY/20752030 ")</f>
        <v xml:space="preserve">http://slimages.macys.com/is/image/MCY/20752030 </v>
      </c>
    </row>
    <row r="484" spans="1:14" x14ac:dyDescent="0.25">
      <c r="A484" s="21" t="s">
        <v>16812</v>
      </c>
      <c r="B484" s="22" t="s">
        <v>16813</v>
      </c>
      <c r="C484" s="2">
        <v>1</v>
      </c>
      <c r="D484" s="23">
        <v>11.99</v>
      </c>
      <c r="E484" s="3">
        <v>11.99</v>
      </c>
      <c r="F484" s="2" t="s">
        <v>16803</v>
      </c>
      <c r="G484" s="22" t="s">
        <v>19431</v>
      </c>
      <c r="H484" s="24" t="s">
        <v>19797</v>
      </c>
      <c r="I484" s="22" t="s">
        <v>19309</v>
      </c>
      <c r="J484" s="22" t="s">
        <v>19849</v>
      </c>
      <c r="K484" s="22" t="s">
        <v>19850</v>
      </c>
      <c r="L484" s="22"/>
      <c r="M484" s="22"/>
      <c r="N484" s="25" t="str">
        <f>HYPERLINK("http://slimages.macys.com/is/image/MCY/20752030 ")</f>
        <v xml:space="preserve">http://slimages.macys.com/is/image/MCY/20752030 </v>
      </c>
    </row>
    <row r="485" spans="1:14" ht="24.75" x14ac:dyDescent="0.25">
      <c r="A485" s="21" t="s">
        <v>13360</v>
      </c>
      <c r="B485" s="22" t="s">
        <v>13361</v>
      </c>
      <c r="C485" s="2">
        <v>1</v>
      </c>
      <c r="D485" s="23">
        <v>16</v>
      </c>
      <c r="E485" s="3">
        <v>16</v>
      </c>
      <c r="F485" s="2" t="s">
        <v>13362</v>
      </c>
      <c r="G485" s="22" t="s">
        <v>19528</v>
      </c>
      <c r="H485" s="24"/>
      <c r="I485" s="22" t="s">
        <v>19309</v>
      </c>
      <c r="J485" s="22" t="s">
        <v>19417</v>
      </c>
      <c r="K485" s="22" t="s">
        <v>20110</v>
      </c>
      <c r="L485" s="22"/>
      <c r="M485" s="22"/>
      <c r="N485" s="25" t="str">
        <f>HYPERLINK("http://slimages.macys.com/is/image/MCY/21734680 ")</f>
        <v xml:space="preserve">http://slimages.macys.com/is/image/MCY/21734680 </v>
      </c>
    </row>
    <row r="486" spans="1:14" x14ac:dyDescent="0.25">
      <c r="A486" s="21" t="s">
        <v>16428</v>
      </c>
      <c r="B486" s="22" t="s">
        <v>16429</v>
      </c>
      <c r="C486" s="2">
        <v>2</v>
      </c>
      <c r="D486" s="23">
        <v>7.99</v>
      </c>
      <c r="E486" s="3">
        <v>15.98</v>
      </c>
      <c r="F486" s="2" t="s">
        <v>16840</v>
      </c>
      <c r="G486" s="22" t="s">
        <v>19431</v>
      </c>
      <c r="H486" s="24" t="s">
        <v>19361</v>
      </c>
      <c r="I486" s="22" t="s">
        <v>19309</v>
      </c>
      <c r="J486" s="22" t="s">
        <v>19849</v>
      </c>
      <c r="K486" s="22" t="s">
        <v>19850</v>
      </c>
      <c r="L486" s="22"/>
      <c r="M486" s="22"/>
      <c r="N486" s="25" t="str">
        <f>HYPERLINK("http://slimages.macys.com/is/image/MCY/19068277 ")</f>
        <v xml:space="preserve">http://slimages.macys.com/is/image/MCY/19068277 </v>
      </c>
    </row>
    <row r="487" spans="1:14" x14ac:dyDescent="0.25">
      <c r="A487" s="21" t="s">
        <v>13363</v>
      </c>
      <c r="B487" s="22" t="s">
        <v>13364</v>
      </c>
      <c r="C487" s="2">
        <v>1</v>
      </c>
      <c r="D487" s="23">
        <v>7.99</v>
      </c>
      <c r="E487" s="3">
        <v>7.99</v>
      </c>
      <c r="F487" s="2" t="s">
        <v>16840</v>
      </c>
      <c r="G487" s="22" t="s">
        <v>19431</v>
      </c>
      <c r="H487" s="24" t="s">
        <v>20135</v>
      </c>
      <c r="I487" s="22" t="s">
        <v>19309</v>
      </c>
      <c r="J487" s="22" t="s">
        <v>19849</v>
      </c>
      <c r="K487" s="22" t="s">
        <v>19850</v>
      </c>
      <c r="L487" s="22"/>
      <c r="M487" s="22"/>
      <c r="N487" s="25" t="str">
        <f>HYPERLINK("http://slimages.macys.com/is/image/MCY/19068277 ")</f>
        <v xml:space="preserve">http://slimages.macys.com/is/image/MCY/19068277 </v>
      </c>
    </row>
    <row r="488" spans="1:14" x14ac:dyDescent="0.25">
      <c r="A488" s="21" t="s">
        <v>13365</v>
      </c>
      <c r="B488" s="22" t="s">
        <v>13366</v>
      </c>
      <c r="C488" s="2">
        <v>2</v>
      </c>
      <c r="D488" s="23">
        <v>7.99</v>
      </c>
      <c r="E488" s="3">
        <v>15.98</v>
      </c>
      <c r="F488" s="2" t="s">
        <v>16840</v>
      </c>
      <c r="G488" s="22" t="s">
        <v>19431</v>
      </c>
      <c r="H488" s="24" t="s">
        <v>19542</v>
      </c>
      <c r="I488" s="22" t="s">
        <v>19309</v>
      </c>
      <c r="J488" s="22" t="s">
        <v>19849</v>
      </c>
      <c r="K488" s="22" t="s">
        <v>19850</v>
      </c>
      <c r="L488" s="22"/>
      <c r="M488" s="22"/>
      <c r="N488" s="25" t="str">
        <f>HYPERLINK("http://slimages.macys.com/is/image/MCY/19068277 ")</f>
        <v xml:space="preserve">http://slimages.macys.com/is/image/MCY/19068277 </v>
      </c>
    </row>
    <row r="489" spans="1:14" x14ac:dyDescent="0.25">
      <c r="A489" s="21" t="s">
        <v>13367</v>
      </c>
      <c r="B489" s="22" t="s">
        <v>13368</v>
      </c>
      <c r="C489" s="2">
        <v>1</v>
      </c>
      <c r="D489" s="23">
        <v>7.99</v>
      </c>
      <c r="E489" s="3">
        <v>7.99</v>
      </c>
      <c r="F489" s="2" t="s">
        <v>16840</v>
      </c>
      <c r="G489" s="22" t="s">
        <v>19477</v>
      </c>
      <c r="H489" s="24" t="s">
        <v>19907</v>
      </c>
      <c r="I489" s="22" t="s">
        <v>19309</v>
      </c>
      <c r="J489" s="22" t="s">
        <v>19849</v>
      </c>
      <c r="K489" s="22" t="s">
        <v>19850</v>
      </c>
      <c r="L489" s="22"/>
      <c r="M489" s="22"/>
      <c r="N489" s="25" t="str">
        <f>HYPERLINK("http://slimages.macys.com/is/image/MCY/19068277 ")</f>
        <v xml:space="preserve">http://slimages.macys.com/is/image/MCY/19068277 </v>
      </c>
    </row>
    <row r="490" spans="1:14" ht="24.75" x14ac:dyDescent="0.25">
      <c r="A490" s="21" t="s">
        <v>13369</v>
      </c>
      <c r="B490" s="22" t="s">
        <v>13370</v>
      </c>
      <c r="C490" s="2">
        <v>1</v>
      </c>
      <c r="D490" s="23">
        <v>7.99</v>
      </c>
      <c r="E490" s="3">
        <v>7.99</v>
      </c>
      <c r="F490" s="2" t="s">
        <v>16852</v>
      </c>
      <c r="G490" s="22" t="s">
        <v>19415</v>
      </c>
      <c r="H490" s="24" t="s">
        <v>19392</v>
      </c>
      <c r="I490" s="22" t="s">
        <v>19309</v>
      </c>
      <c r="J490" s="22" t="s">
        <v>19454</v>
      </c>
      <c r="K490" s="22" t="s">
        <v>19524</v>
      </c>
      <c r="L490" s="22"/>
      <c r="M490" s="22"/>
      <c r="N490" s="25" t="str">
        <f>HYPERLINK("http://slimages.macys.com/is/image/MCY/1472529 ")</f>
        <v xml:space="preserve">http://slimages.macys.com/is/image/MCY/1472529 </v>
      </c>
    </row>
    <row r="491" spans="1:14" x14ac:dyDescent="0.25">
      <c r="A491" s="21" t="s">
        <v>16853</v>
      </c>
      <c r="B491" s="22" t="s">
        <v>16854</v>
      </c>
      <c r="C491" s="2">
        <v>1</v>
      </c>
      <c r="D491" s="23">
        <v>9.99</v>
      </c>
      <c r="E491" s="3">
        <v>9.99</v>
      </c>
      <c r="F491" s="2" t="s">
        <v>16855</v>
      </c>
      <c r="G491" s="22" t="s">
        <v>19674</v>
      </c>
      <c r="H491" s="24" t="s">
        <v>20135</v>
      </c>
      <c r="I491" s="22" t="s">
        <v>19309</v>
      </c>
      <c r="J491" s="22" t="s">
        <v>19849</v>
      </c>
      <c r="K491" s="22" t="s">
        <v>19850</v>
      </c>
      <c r="L491" s="22"/>
      <c r="M491" s="22"/>
      <c r="N491" s="25" t="str">
        <f>HYPERLINK("http://slimages.macys.com/is/image/MCY/20549003 ")</f>
        <v xml:space="preserve">http://slimages.macys.com/is/image/MCY/20549003 </v>
      </c>
    </row>
    <row r="492" spans="1:14" x14ac:dyDescent="0.25">
      <c r="A492" s="21" t="s">
        <v>13371</v>
      </c>
      <c r="B492" s="22" t="s">
        <v>13372</v>
      </c>
      <c r="C492" s="2">
        <v>1</v>
      </c>
      <c r="D492" s="23">
        <v>9.99</v>
      </c>
      <c r="E492" s="3">
        <v>9.99</v>
      </c>
      <c r="F492" s="2" t="s">
        <v>16855</v>
      </c>
      <c r="G492" s="22" t="s">
        <v>19674</v>
      </c>
      <c r="H492" s="24" t="s">
        <v>19361</v>
      </c>
      <c r="I492" s="22" t="s">
        <v>19309</v>
      </c>
      <c r="J492" s="22" t="s">
        <v>19849</v>
      </c>
      <c r="K492" s="22" t="s">
        <v>19850</v>
      </c>
      <c r="L492" s="22"/>
      <c r="M492" s="22"/>
      <c r="N492" s="25" t="str">
        <f>HYPERLINK("http://slimages.macys.com/is/image/MCY/1554760 ")</f>
        <v xml:space="preserve">http://slimages.macys.com/is/image/MCY/1554760 </v>
      </c>
    </row>
    <row r="493" spans="1:14" x14ac:dyDescent="0.25">
      <c r="A493" s="21" t="s">
        <v>13373</v>
      </c>
      <c r="B493" s="22" t="s">
        <v>13374</v>
      </c>
      <c r="C493" s="2">
        <v>1</v>
      </c>
      <c r="D493" s="23">
        <v>9.99</v>
      </c>
      <c r="E493" s="3">
        <v>9.99</v>
      </c>
      <c r="F493" s="2" t="s">
        <v>16855</v>
      </c>
      <c r="G493" s="22" t="s">
        <v>19674</v>
      </c>
      <c r="H493" s="24" t="s">
        <v>19907</v>
      </c>
      <c r="I493" s="22" t="s">
        <v>19309</v>
      </c>
      <c r="J493" s="22" t="s">
        <v>19849</v>
      </c>
      <c r="K493" s="22" t="s">
        <v>19850</v>
      </c>
      <c r="L493" s="22"/>
      <c r="M493" s="22"/>
      <c r="N493" s="25" t="str">
        <f>HYPERLINK("http://slimages.macys.com/is/image/MCY/20549003 ")</f>
        <v xml:space="preserve">http://slimages.macys.com/is/image/MCY/20549003 </v>
      </c>
    </row>
    <row r="494" spans="1:14" x14ac:dyDescent="0.25">
      <c r="A494" s="21" t="s">
        <v>13375</v>
      </c>
      <c r="B494" s="22" t="s">
        <v>13376</v>
      </c>
      <c r="C494" s="2">
        <v>1</v>
      </c>
      <c r="D494" s="23">
        <v>9.99</v>
      </c>
      <c r="E494" s="3">
        <v>9.99</v>
      </c>
      <c r="F494" s="2" t="s">
        <v>16855</v>
      </c>
      <c r="G494" s="22" t="s">
        <v>19674</v>
      </c>
      <c r="H494" s="24" t="s">
        <v>19542</v>
      </c>
      <c r="I494" s="22" t="s">
        <v>19309</v>
      </c>
      <c r="J494" s="22" t="s">
        <v>19849</v>
      </c>
      <c r="K494" s="22" t="s">
        <v>19850</v>
      </c>
      <c r="L494" s="22"/>
      <c r="M494" s="22"/>
      <c r="N494" s="25" t="str">
        <f>HYPERLINK("http://slimages.macys.com/is/image/MCY/20549003 ")</f>
        <v xml:space="preserve">http://slimages.macys.com/is/image/MCY/20549003 </v>
      </c>
    </row>
    <row r="495" spans="1:14" x14ac:dyDescent="0.25">
      <c r="A495" s="21" t="s">
        <v>16442</v>
      </c>
      <c r="B495" s="22" t="s">
        <v>16443</v>
      </c>
      <c r="C495" s="2">
        <v>2</v>
      </c>
      <c r="D495" s="23">
        <v>9.99</v>
      </c>
      <c r="E495" s="3">
        <v>19.98</v>
      </c>
      <c r="F495" s="2" t="s">
        <v>16855</v>
      </c>
      <c r="G495" s="22" t="s">
        <v>19674</v>
      </c>
      <c r="H495" s="24" t="s">
        <v>20089</v>
      </c>
      <c r="I495" s="22" t="s">
        <v>19309</v>
      </c>
      <c r="J495" s="22" t="s">
        <v>19849</v>
      </c>
      <c r="K495" s="22" t="s">
        <v>19850</v>
      </c>
      <c r="L495" s="22"/>
      <c r="M495" s="22"/>
      <c r="N495" s="25" t="str">
        <f>HYPERLINK("http://slimages.macys.com/is/image/MCY/20549003 ")</f>
        <v xml:space="preserve">http://slimages.macys.com/is/image/MCY/20549003 </v>
      </c>
    </row>
    <row r="496" spans="1:14" x14ac:dyDescent="0.25">
      <c r="A496" s="21" t="s">
        <v>13377</v>
      </c>
      <c r="B496" s="22" t="s">
        <v>13378</v>
      </c>
      <c r="C496" s="2">
        <v>1</v>
      </c>
      <c r="D496" s="23">
        <v>9.99</v>
      </c>
      <c r="E496" s="3">
        <v>9.99</v>
      </c>
      <c r="F496" s="2" t="s">
        <v>16855</v>
      </c>
      <c r="G496" s="22" t="s">
        <v>19674</v>
      </c>
      <c r="H496" s="24" t="s">
        <v>19377</v>
      </c>
      <c r="I496" s="22" t="s">
        <v>19309</v>
      </c>
      <c r="J496" s="22" t="s">
        <v>19849</v>
      </c>
      <c r="K496" s="22" t="s">
        <v>19850</v>
      </c>
      <c r="L496" s="22"/>
      <c r="M496" s="22"/>
      <c r="N496" s="25" t="str">
        <f>HYPERLINK("http://slimages.macys.com/is/image/MCY/20549003 ")</f>
        <v xml:space="preserve">http://slimages.macys.com/is/image/MCY/20549003 </v>
      </c>
    </row>
    <row r="497" spans="1:14" x14ac:dyDescent="0.25">
      <c r="A497" s="21" t="s">
        <v>18867</v>
      </c>
      <c r="B497" s="22" t="s">
        <v>18868</v>
      </c>
      <c r="C497" s="2">
        <v>1</v>
      </c>
      <c r="D497" s="23">
        <v>9.99</v>
      </c>
      <c r="E497" s="3">
        <v>9.99</v>
      </c>
      <c r="F497" s="2" t="s">
        <v>18869</v>
      </c>
      <c r="G497" s="22" t="s">
        <v>19351</v>
      </c>
      <c r="H497" s="24" t="s">
        <v>19907</v>
      </c>
      <c r="I497" s="22" t="s">
        <v>19309</v>
      </c>
      <c r="J497" s="22" t="s">
        <v>19849</v>
      </c>
      <c r="K497" s="22" t="s">
        <v>19850</v>
      </c>
      <c r="L497" s="22"/>
      <c r="M497" s="22"/>
      <c r="N497" s="25" t="str">
        <f>HYPERLINK("http://slimages.macys.com/is/image/MCY/21351556 ")</f>
        <v xml:space="preserve">http://slimages.macys.com/is/image/MCY/21351556 </v>
      </c>
    </row>
    <row r="498" spans="1:14" ht="24.75" x14ac:dyDescent="0.25">
      <c r="A498" s="21" t="s">
        <v>14621</v>
      </c>
      <c r="B498" s="22" t="s">
        <v>14622</v>
      </c>
      <c r="C498" s="2">
        <v>1</v>
      </c>
      <c r="D498" s="23">
        <v>7.99</v>
      </c>
      <c r="E498" s="3">
        <v>7.99</v>
      </c>
      <c r="F498" s="2" t="s">
        <v>16892</v>
      </c>
      <c r="G498" s="22" t="s">
        <v>19814</v>
      </c>
      <c r="H498" s="24" t="s">
        <v>19907</v>
      </c>
      <c r="I498" s="22" t="s">
        <v>19309</v>
      </c>
      <c r="J498" s="22" t="s">
        <v>19815</v>
      </c>
      <c r="K498" s="22" t="s">
        <v>19816</v>
      </c>
      <c r="L498" s="22"/>
      <c r="M498" s="22"/>
      <c r="N498" s="25" t="str">
        <f>HYPERLINK("http://slimages.macys.com/is/image/MCY/1695984 ")</f>
        <v xml:space="preserve">http://slimages.macys.com/is/image/MCY/1695984 </v>
      </c>
    </row>
    <row r="499" spans="1:14" ht="24.75" x14ac:dyDescent="0.25">
      <c r="A499" s="21" t="s">
        <v>13379</v>
      </c>
      <c r="B499" s="22" t="s">
        <v>13380</v>
      </c>
      <c r="C499" s="2">
        <v>1</v>
      </c>
      <c r="D499" s="23">
        <v>7.99</v>
      </c>
      <c r="E499" s="3">
        <v>7.99</v>
      </c>
      <c r="F499" s="2" t="s">
        <v>16892</v>
      </c>
      <c r="G499" s="22" t="s">
        <v>19814</v>
      </c>
      <c r="H499" s="24" t="s">
        <v>19361</v>
      </c>
      <c r="I499" s="22" t="s">
        <v>19309</v>
      </c>
      <c r="J499" s="22" t="s">
        <v>19815</v>
      </c>
      <c r="K499" s="22" t="s">
        <v>19816</v>
      </c>
      <c r="L499" s="22"/>
      <c r="M499" s="22"/>
      <c r="N499" s="25" t="str">
        <f>HYPERLINK("http://slimages.macys.com/is/image/MCY/1695984 ")</f>
        <v xml:space="preserve">http://slimages.macys.com/is/image/MCY/1695984 </v>
      </c>
    </row>
    <row r="500" spans="1:14" ht="24.75" x14ac:dyDescent="0.25">
      <c r="A500" s="21" t="s">
        <v>13381</v>
      </c>
      <c r="B500" s="22" t="s">
        <v>13382</v>
      </c>
      <c r="C500" s="2">
        <v>1</v>
      </c>
      <c r="D500" s="23">
        <v>7.99</v>
      </c>
      <c r="E500" s="3">
        <v>7.99</v>
      </c>
      <c r="F500" s="2" t="s">
        <v>16892</v>
      </c>
      <c r="G500" s="22" t="s">
        <v>19814</v>
      </c>
      <c r="H500" s="24" t="s">
        <v>19392</v>
      </c>
      <c r="I500" s="22" t="s">
        <v>19309</v>
      </c>
      <c r="J500" s="22" t="s">
        <v>19815</v>
      </c>
      <c r="K500" s="22" t="s">
        <v>19816</v>
      </c>
      <c r="L500" s="22"/>
      <c r="M500" s="22"/>
      <c r="N500" s="25" t="str">
        <f>HYPERLINK("http://slimages.macys.com/is/image/MCY/1695984 ")</f>
        <v xml:space="preserve">http://slimages.macys.com/is/image/MCY/1695984 </v>
      </c>
    </row>
    <row r="501" spans="1:14" x14ac:dyDescent="0.25">
      <c r="A501" s="21" t="s">
        <v>13383</v>
      </c>
      <c r="B501" s="22" t="s">
        <v>13384</v>
      </c>
      <c r="C501" s="2">
        <v>1</v>
      </c>
      <c r="D501" s="23">
        <v>9.44</v>
      </c>
      <c r="E501" s="3">
        <v>9.44</v>
      </c>
      <c r="F501" s="2" t="s">
        <v>13385</v>
      </c>
      <c r="G501" s="22" t="s">
        <v>19333</v>
      </c>
      <c r="H501" s="24" t="s">
        <v>20159</v>
      </c>
      <c r="I501" s="22" t="s">
        <v>19309</v>
      </c>
      <c r="J501" s="22" t="s">
        <v>19708</v>
      </c>
      <c r="K501" s="22" t="s">
        <v>19709</v>
      </c>
      <c r="L501" s="22"/>
      <c r="M501" s="22"/>
      <c r="N501" s="25" t="str">
        <f>HYPERLINK("http://slimages.macys.com/is/image/MCY/21413359 ")</f>
        <v xml:space="preserve">http://slimages.macys.com/is/image/MCY/21413359 </v>
      </c>
    </row>
    <row r="502" spans="1:14" ht="24.75" x14ac:dyDescent="0.25">
      <c r="A502" s="21" t="s">
        <v>13386</v>
      </c>
      <c r="B502" s="22" t="s">
        <v>13387</v>
      </c>
      <c r="C502" s="2">
        <v>1</v>
      </c>
      <c r="D502" s="23">
        <v>7.99</v>
      </c>
      <c r="E502" s="3">
        <v>7.99</v>
      </c>
      <c r="F502" s="2" t="s">
        <v>16892</v>
      </c>
      <c r="G502" s="22" t="s">
        <v>19814</v>
      </c>
      <c r="H502" s="24" t="s">
        <v>20135</v>
      </c>
      <c r="I502" s="22" t="s">
        <v>19309</v>
      </c>
      <c r="J502" s="22" t="s">
        <v>19815</v>
      </c>
      <c r="K502" s="22" t="s">
        <v>19816</v>
      </c>
      <c r="L502" s="22"/>
      <c r="M502" s="22"/>
      <c r="N502" s="25" t="str">
        <f>HYPERLINK("http://slimages.macys.com/is/image/MCY/1695984 ")</f>
        <v xml:space="preserve">http://slimages.macys.com/is/image/MCY/1695984 </v>
      </c>
    </row>
    <row r="503" spans="1:14" x14ac:dyDescent="0.25">
      <c r="A503" s="21" t="s">
        <v>13388</v>
      </c>
      <c r="B503" s="22" t="s">
        <v>13389</v>
      </c>
      <c r="C503" s="2">
        <v>1</v>
      </c>
      <c r="D503" s="23">
        <v>9.44</v>
      </c>
      <c r="E503" s="3">
        <v>9.44</v>
      </c>
      <c r="F503" s="2" t="s">
        <v>13390</v>
      </c>
      <c r="G503" s="22" t="s">
        <v>19404</v>
      </c>
      <c r="H503" s="24" t="s">
        <v>20159</v>
      </c>
      <c r="I503" s="22" t="s">
        <v>19309</v>
      </c>
      <c r="J503" s="22" t="s">
        <v>19708</v>
      </c>
      <c r="K503" s="22" t="s">
        <v>19709</v>
      </c>
      <c r="L503" s="22"/>
      <c r="M503" s="22"/>
      <c r="N503" s="25" t="str">
        <f>HYPERLINK("http://slimages.macys.com/is/image/MCY/21408992 ")</f>
        <v xml:space="preserve">http://slimages.macys.com/is/image/MCY/21408992 </v>
      </c>
    </row>
    <row r="504" spans="1:14" ht="24.75" x14ac:dyDescent="0.25">
      <c r="A504" s="21" t="s">
        <v>16911</v>
      </c>
      <c r="B504" s="22" t="s">
        <v>16912</v>
      </c>
      <c r="C504" s="2">
        <v>1</v>
      </c>
      <c r="D504" s="23">
        <v>7.99</v>
      </c>
      <c r="E504" s="3">
        <v>7.99</v>
      </c>
      <c r="F504" s="2" t="s">
        <v>16898</v>
      </c>
      <c r="G504" s="22" t="s">
        <v>19670</v>
      </c>
      <c r="H504" s="24" t="s">
        <v>20135</v>
      </c>
      <c r="I504" s="22" t="s">
        <v>19309</v>
      </c>
      <c r="J504" s="22" t="s">
        <v>19908</v>
      </c>
      <c r="K504" s="22" t="s">
        <v>19524</v>
      </c>
      <c r="L504" s="22"/>
      <c r="M504" s="22"/>
      <c r="N504" s="25" t="str">
        <f>HYPERLINK("http://slimages.macys.com/is/image/MCY/21727297 ")</f>
        <v xml:space="preserve">http://slimages.macys.com/is/image/MCY/21727297 </v>
      </c>
    </row>
    <row r="505" spans="1:14" ht="24.75" x14ac:dyDescent="0.25">
      <c r="A505" s="21" t="s">
        <v>13391</v>
      </c>
      <c r="B505" s="22" t="s">
        <v>13392</v>
      </c>
      <c r="C505" s="2">
        <v>1</v>
      </c>
      <c r="D505" s="23">
        <v>7.99</v>
      </c>
      <c r="E505" s="3">
        <v>7.99</v>
      </c>
      <c r="F505" s="2" t="s">
        <v>13393</v>
      </c>
      <c r="G505" s="22" t="s">
        <v>19315</v>
      </c>
      <c r="H505" s="24" t="s">
        <v>19542</v>
      </c>
      <c r="I505" s="22" t="s">
        <v>19309</v>
      </c>
      <c r="J505" s="22" t="s">
        <v>19454</v>
      </c>
      <c r="K505" s="22" t="s">
        <v>19524</v>
      </c>
      <c r="L505" s="22"/>
      <c r="M505" s="22"/>
      <c r="N505" s="25" t="str">
        <f>HYPERLINK("http://slimages.macys.com/is/image/MCY/21265950 ")</f>
        <v xml:space="preserve">http://slimages.macys.com/is/image/MCY/21265950 </v>
      </c>
    </row>
    <row r="506" spans="1:14" ht="24.75" x14ac:dyDescent="0.25">
      <c r="A506" s="21" t="s">
        <v>13394</v>
      </c>
      <c r="B506" s="22" t="s">
        <v>13395</v>
      </c>
      <c r="C506" s="2">
        <v>1</v>
      </c>
      <c r="D506" s="23">
        <v>7.99</v>
      </c>
      <c r="E506" s="3">
        <v>7.99</v>
      </c>
      <c r="F506" s="2" t="s">
        <v>13393</v>
      </c>
      <c r="G506" s="22" t="s">
        <v>19315</v>
      </c>
      <c r="H506" s="24" t="s">
        <v>19361</v>
      </c>
      <c r="I506" s="22" t="s">
        <v>19309</v>
      </c>
      <c r="J506" s="22" t="s">
        <v>19454</v>
      </c>
      <c r="K506" s="22" t="s">
        <v>19524</v>
      </c>
      <c r="L506" s="22"/>
      <c r="M506" s="22"/>
      <c r="N506" s="25" t="str">
        <f>HYPERLINK("http://slimages.macys.com/is/image/MCY/21265950 ")</f>
        <v xml:space="preserve">http://slimages.macys.com/is/image/MCY/21265950 </v>
      </c>
    </row>
    <row r="507" spans="1:14" ht="24.75" x14ac:dyDescent="0.25">
      <c r="A507" s="21" t="s">
        <v>13396</v>
      </c>
      <c r="B507" s="22" t="s">
        <v>13397</v>
      </c>
      <c r="C507" s="2">
        <v>1</v>
      </c>
      <c r="D507" s="23">
        <v>7.99</v>
      </c>
      <c r="E507" s="3">
        <v>7.99</v>
      </c>
      <c r="F507" s="2" t="s">
        <v>13393</v>
      </c>
      <c r="G507" s="22" t="s">
        <v>19315</v>
      </c>
      <c r="H507" s="24" t="s">
        <v>19907</v>
      </c>
      <c r="I507" s="22" t="s">
        <v>19309</v>
      </c>
      <c r="J507" s="22" t="s">
        <v>19454</v>
      </c>
      <c r="K507" s="22" t="s">
        <v>19524</v>
      </c>
      <c r="L507" s="22"/>
      <c r="M507" s="22"/>
      <c r="N507" s="25" t="str">
        <f>HYPERLINK("http://slimages.macys.com/is/image/MCY/21265950 ")</f>
        <v xml:space="preserve">http://slimages.macys.com/is/image/MCY/21265950 </v>
      </c>
    </row>
    <row r="508" spans="1:14" ht="24.75" x14ac:dyDescent="0.25">
      <c r="A508" s="21" t="s">
        <v>13398</v>
      </c>
      <c r="B508" s="22" t="s">
        <v>13399</v>
      </c>
      <c r="C508" s="2">
        <v>2</v>
      </c>
      <c r="D508" s="23">
        <v>7.99</v>
      </c>
      <c r="E508" s="3">
        <v>15.98</v>
      </c>
      <c r="F508" s="2" t="s">
        <v>13393</v>
      </c>
      <c r="G508" s="22" t="s">
        <v>19315</v>
      </c>
      <c r="H508" s="24" t="s">
        <v>19432</v>
      </c>
      <c r="I508" s="22" t="s">
        <v>19309</v>
      </c>
      <c r="J508" s="22" t="s">
        <v>19454</v>
      </c>
      <c r="K508" s="22" t="s">
        <v>19524</v>
      </c>
      <c r="L508" s="22"/>
      <c r="M508" s="22"/>
      <c r="N508" s="25" t="str">
        <f>HYPERLINK("http://slimages.macys.com/is/image/MCY/21265950 ")</f>
        <v xml:space="preserve">http://slimages.macys.com/is/image/MCY/21265950 </v>
      </c>
    </row>
    <row r="509" spans="1:14" ht="24.75" x14ac:dyDescent="0.25">
      <c r="A509" s="21" t="s">
        <v>13400</v>
      </c>
      <c r="B509" s="22" t="s">
        <v>13401</v>
      </c>
      <c r="C509" s="2">
        <v>1</v>
      </c>
      <c r="D509" s="23">
        <v>7.99</v>
      </c>
      <c r="E509" s="3">
        <v>7.99</v>
      </c>
      <c r="F509" s="2" t="s">
        <v>14652</v>
      </c>
      <c r="G509" s="22" t="s">
        <v>19333</v>
      </c>
      <c r="H509" s="24" t="s">
        <v>19377</v>
      </c>
      <c r="I509" s="22" t="s">
        <v>19309</v>
      </c>
      <c r="J509" s="22" t="s">
        <v>19908</v>
      </c>
      <c r="K509" s="22" t="s">
        <v>19524</v>
      </c>
      <c r="L509" s="22"/>
      <c r="M509" s="22"/>
      <c r="N509" s="25" t="str">
        <f>HYPERLINK("http://slimages.macys.com/is/image/MCY/21070282 ")</f>
        <v xml:space="preserve">http://slimages.macys.com/is/image/MCY/21070282 </v>
      </c>
    </row>
    <row r="510" spans="1:14" ht="24.75" x14ac:dyDescent="0.25">
      <c r="A510" s="21" t="s">
        <v>13402</v>
      </c>
      <c r="B510" s="22" t="s">
        <v>13403</v>
      </c>
      <c r="C510" s="2">
        <v>1</v>
      </c>
      <c r="D510" s="23">
        <v>7.99</v>
      </c>
      <c r="E510" s="3">
        <v>7.99</v>
      </c>
      <c r="F510" s="2" t="s">
        <v>18906</v>
      </c>
      <c r="G510" s="22" t="s">
        <v>19333</v>
      </c>
      <c r="H510" s="24" t="s">
        <v>19542</v>
      </c>
      <c r="I510" s="22" t="s">
        <v>19309</v>
      </c>
      <c r="J510" s="22" t="s">
        <v>19908</v>
      </c>
      <c r="K510" s="22" t="s">
        <v>19524</v>
      </c>
      <c r="L510" s="22"/>
      <c r="M510" s="22"/>
      <c r="N510" s="25" t="str">
        <f>HYPERLINK("http://slimages.macys.com/is/image/MCY/21604728 ")</f>
        <v xml:space="preserve">http://slimages.macys.com/is/image/MCY/21604728 </v>
      </c>
    </row>
    <row r="511" spans="1:14" ht="24.75" x14ac:dyDescent="0.25">
      <c r="A511" s="21" t="s">
        <v>16921</v>
      </c>
      <c r="B511" s="22" t="s">
        <v>16922</v>
      </c>
      <c r="C511" s="2">
        <v>2</v>
      </c>
      <c r="D511" s="23">
        <v>8.06</v>
      </c>
      <c r="E511" s="3">
        <v>16.12</v>
      </c>
      <c r="F511" s="2" t="s">
        <v>16923</v>
      </c>
      <c r="G511" s="22" t="s">
        <v>19315</v>
      </c>
      <c r="H511" s="24"/>
      <c r="I511" s="22" t="s">
        <v>19309</v>
      </c>
      <c r="J511" s="22" t="s">
        <v>19602</v>
      </c>
      <c r="K511" s="22" t="s">
        <v>20041</v>
      </c>
      <c r="L511" s="22"/>
      <c r="M511" s="22"/>
      <c r="N511" s="25" t="str">
        <f>HYPERLINK("http://slimages.macys.com/is/image/MCY/22406209 ")</f>
        <v xml:space="preserve">http://slimages.macys.com/is/image/MCY/22406209 </v>
      </c>
    </row>
    <row r="512" spans="1:14" ht="24.75" x14ac:dyDescent="0.25">
      <c r="A512" s="21" t="s">
        <v>13404</v>
      </c>
      <c r="B512" s="22" t="s">
        <v>13405</v>
      </c>
      <c r="C512" s="2">
        <v>2</v>
      </c>
      <c r="D512" s="23">
        <v>8.06</v>
      </c>
      <c r="E512" s="3">
        <v>16.12</v>
      </c>
      <c r="F512" s="2" t="s">
        <v>16923</v>
      </c>
      <c r="G512" s="22" t="s">
        <v>19315</v>
      </c>
      <c r="H512" s="24" t="s">
        <v>19392</v>
      </c>
      <c r="I512" s="22" t="s">
        <v>19309</v>
      </c>
      <c r="J512" s="22" t="s">
        <v>19602</v>
      </c>
      <c r="K512" s="22" t="s">
        <v>20041</v>
      </c>
      <c r="L512" s="22"/>
      <c r="M512" s="22"/>
      <c r="N512" s="25" t="str">
        <f>HYPERLINK("http://slimages.macys.com/is/image/MCY/22406209 ")</f>
        <v xml:space="preserve">http://slimages.macys.com/is/image/MCY/22406209 </v>
      </c>
    </row>
    <row r="513" spans="1:14" ht="24.75" x14ac:dyDescent="0.25">
      <c r="A513" s="21" t="s">
        <v>16924</v>
      </c>
      <c r="B513" s="22" t="s">
        <v>16925</v>
      </c>
      <c r="C513" s="2">
        <v>5</v>
      </c>
      <c r="D513" s="23">
        <v>8.06</v>
      </c>
      <c r="E513" s="3">
        <v>40.299999999999997</v>
      </c>
      <c r="F513" s="2" t="s">
        <v>16923</v>
      </c>
      <c r="G513" s="22" t="s">
        <v>19315</v>
      </c>
      <c r="H513" s="24" t="s">
        <v>19345</v>
      </c>
      <c r="I513" s="22" t="s">
        <v>19309</v>
      </c>
      <c r="J513" s="22" t="s">
        <v>19602</v>
      </c>
      <c r="K513" s="22" t="s">
        <v>20041</v>
      </c>
      <c r="L513" s="22"/>
      <c r="M513" s="22"/>
      <c r="N513" s="25" t="str">
        <f>HYPERLINK("http://slimages.macys.com/is/image/MCY/22406209 ")</f>
        <v xml:space="preserve">http://slimages.macys.com/is/image/MCY/22406209 </v>
      </c>
    </row>
    <row r="514" spans="1:14" ht="24.75" x14ac:dyDescent="0.25">
      <c r="A514" s="21" t="s">
        <v>13406</v>
      </c>
      <c r="B514" s="22" t="s">
        <v>13407</v>
      </c>
      <c r="C514" s="2">
        <v>1</v>
      </c>
      <c r="D514" s="23">
        <v>8.06</v>
      </c>
      <c r="E514" s="3">
        <v>8.06</v>
      </c>
      <c r="F514" s="2" t="s">
        <v>16923</v>
      </c>
      <c r="G514" s="22" t="s">
        <v>19315</v>
      </c>
      <c r="H514" s="24" t="s">
        <v>19334</v>
      </c>
      <c r="I514" s="22" t="s">
        <v>19309</v>
      </c>
      <c r="J514" s="22" t="s">
        <v>19602</v>
      </c>
      <c r="K514" s="22" t="s">
        <v>20041</v>
      </c>
      <c r="L514" s="22"/>
      <c r="M514" s="22"/>
      <c r="N514" s="25" t="str">
        <f>HYPERLINK("http://slimages.macys.com/is/image/MCY/22406209 ")</f>
        <v xml:space="preserve">http://slimages.macys.com/is/image/MCY/22406209 </v>
      </c>
    </row>
    <row r="515" spans="1:14" ht="24.75" x14ac:dyDescent="0.25">
      <c r="A515" s="21" t="s">
        <v>13408</v>
      </c>
      <c r="B515" s="22" t="s">
        <v>13409</v>
      </c>
      <c r="C515" s="2">
        <v>1</v>
      </c>
      <c r="D515" s="23">
        <v>7.99</v>
      </c>
      <c r="E515" s="3">
        <v>7.99</v>
      </c>
      <c r="F515" s="2" t="s">
        <v>13410</v>
      </c>
      <c r="G515" s="22" t="s">
        <v>19351</v>
      </c>
      <c r="H515" s="24" t="s">
        <v>20135</v>
      </c>
      <c r="I515" s="22" t="s">
        <v>19309</v>
      </c>
      <c r="J515" s="22" t="s">
        <v>19454</v>
      </c>
      <c r="K515" s="22" t="s">
        <v>19524</v>
      </c>
      <c r="L515" s="22"/>
      <c r="M515" s="22"/>
      <c r="N515" s="25" t="str">
        <f>HYPERLINK("http://slimages.macys.com/is/image/MCY/20665865 ")</f>
        <v xml:space="preserve">http://slimages.macys.com/is/image/MCY/20665865 </v>
      </c>
    </row>
    <row r="516" spans="1:14" ht="24.75" x14ac:dyDescent="0.25">
      <c r="A516" s="21" t="s">
        <v>13411</v>
      </c>
      <c r="B516" s="22" t="s">
        <v>13412</v>
      </c>
      <c r="C516" s="2">
        <v>2</v>
      </c>
      <c r="D516" s="23">
        <v>7.99</v>
      </c>
      <c r="E516" s="3">
        <v>15.98</v>
      </c>
      <c r="F516" s="2" t="s">
        <v>13413</v>
      </c>
      <c r="G516" s="22" t="s">
        <v>19467</v>
      </c>
      <c r="H516" s="24" t="s">
        <v>20089</v>
      </c>
      <c r="I516" s="22" t="s">
        <v>19309</v>
      </c>
      <c r="J516" s="22" t="s">
        <v>19573</v>
      </c>
      <c r="K516" s="22" t="s">
        <v>19574</v>
      </c>
      <c r="L516" s="22"/>
      <c r="M516" s="22"/>
      <c r="N516" s="25" t="str">
        <f>HYPERLINK("http://slimages.macys.com/is/image/MCY/21209062 ")</f>
        <v xml:space="preserve">http://slimages.macys.com/is/image/MCY/21209062 </v>
      </c>
    </row>
    <row r="517" spans="1:14" ht="24.75" x14ac:dyDescent="0.25">
      <c r="A517" s="21" t="s">
        <v>14659</v>
      </c>
      <c r="B517" s="22" t="s">
        <v>14660</v>
      </c>
      <c r="C517" s="2">
        <v>1</v>
      </c>
      <c r="D517" s="23">
        <v>7.99</v>
      </c>
      <c r="E517" s="3">
        <v>7.99</v>
      </c>
      <c r="F517" s="2" t="s">
        <v>14661</v>
      </c>
      <c r="G517" s="22" t="s">
        <v>19794</v>
      </c>
      <c r="H517" s="24" t="s">
        <v>19907</v>
      </c>
      <c r="I517" s="22" t="s">
        <v>19309</v>
      </c>
      <c r="J517" s="22" t="s">
        <v>19573</v>
      </c>
      <c r="K517" s="22" t="s">
        <v>19574</v>
      </c>
      <c r="L517" s="22"/>
      <c r="M517" s="22"/>
      <c r="N517" s="25" t="str">
        <f>HYPERLINK("http://slimages.macys.com/is/image/MCY/21209113 ")</f>
        <v xml:space="preserve">http://slimages.macys.com/is/image/MCY/21209113 </v>
      </c>
    </row>
    <row r="518" spans="1:14" ht="24.75" x14ac:dyDescent="0.25">
      <c r="A518" s="21" t="s">
        <v>13414</v>
      </c>
      <c r="B518" s="22" t="s">
        <v>13415</v>
      </c>
      <c r="C518" s="2">
        <v>2</v>
      </c>
      <c r="D518" s="23">
        <v>7.99</v>
      </c>
      <c r="E518" s="3">
        <v>15.98</v>
      </c>
      <c r="F518" s="2" t="s">
        <v>13413</v>
      </c>
      <c r="G518" s="22" t="s">
        <v>19467</v>
      </c>
      <c r="H518" s="24" t="s">
        <v>19907</v>
      </c>
      <c r="I518" s="22" t="s">
        <v>19309</v>
      </c>
      <c r="J518" s="22" t="s">
        <v>19573</v>
      </c>
      <c r="K518" s="22" t="s">
        <v>19574</v>
      </c>
      <c r="L518" s="22"/>
      <c r="M518" s="22"/>
      <c r="N518" s="25" t="str">
        <f>HYPERLINK("http://slimages.macys.com/is/image/MCY/21209062 ")</f>
        <v xml:space="preserve">http://slimages.macys.com/is/image/MCY/21209062 </v>
      </c>
    </row>
    <row r="519" spans="1:14" ht="24.75" x14ac:dyDescent="0.25">
      <c r="A519" s="21" t="s">
        <v>13416</v>
      </c>
      <c r="B519" s="22" t="s">
        <v>13417</v>
      </c>
      <c r="C519" s="2">
        <v>1</v>
      </c>
      <c r="D519" s="23">
        <v>7.99</v>
      </c>
      <c r="E519" s="3">
        <v>7.99</v>
      </c>
      <c r="F519" s="2" t="s">
        <v>16952</v>
      </c>
      <c r="G519" s="22" t="s">
        <v>18439</v>
      </c>
      <c r="H519" s="24" t="s">
        <v>20089</v>
      </c>
      <c r="I519" s="22" t="s">
        <v>19309</v>
      </c>
      <c r="J519" s="22" t="s">
        <v>19908</v>
      </c>
      <c r="K519" s="22" t="s">
        <v>19524</v>
      </c>
      <c r="L519" s="22"/>
      <c r="M519" s="22"/>
      <c r="N519" s="25" t="str">
        <f>HYPERLINK("http://slimages.macys.com/is/image/MCY/1555084 ")</f>
        <v xml:space="preserve">http://slimages.macys.com/is/image/MCY/1555084 </v>
      </c>
    </row>
    <row r="520" spans="1:14" ht="24.75" x14ac:dyDescent="0.25">
      <c r="A520" s="21" t="s">
        <v>14665</v>
      </c>
      <c r="B520" s="22" t="s">
        <v>14666</v>
      </c>
      <c r="C520" s="2">
        <v>1</v>
      </c>
      <c r="D520" s="23">
        <v>7.99</v>
      </c>
      <c r="E520" s="3">
        <v>7.99</v>
      </c>
      <c r="F520" s="2" t="s">
        <v>14667</v>
      </c>
      <c r="G520" s="22" t="s">
        <v>19713</v>
      </c>
      <c r="H520" s="24" t="s">
        <v>19907</v>
      </c>
      <c r="I520" s="22" t="s">
        <v>19309</v>
      </c>
      <c r="J520" s="22" t="s">
        <v>19573</v>
      </c>
      <c r="K520" s="22" t="s">
        <v>19574</v>
      </c>
      <c r="L520" s="22"/>
      <c r="M520" s="22"/>
      <c r="N520" s="25" t="str">
        <f>HYPERLINK("http://slimages.macys.com/is/image/MCY/21730765 ")</f>
        <v xml:space="preserve">http://slimages.macys.com/is/image/MCY/21730765 </v>
      </c>
    </row>
    <row r="521" spans="1:14" ht="24.75" x14ac:dyDescent="0.25">
      <c r="A521" s="21" t="s">
        <v>13418</v>
      </c>
      <c r="B521" s="22" t="s">
        <v>13419</v>
      </c>
      <c r="C521" s="2">
        <v>1</v>
      </c>
      <c r="D521" s="23">
        <v>7.99</v>
      </c>
      <c r="E521" s="3">
        <v>7.99</v>
      </c>
      <c r="F521" s="2" t="s">
        <v>13420</v>
      </c>
      <c r="G521" s="22" t="s">
        <v>19794</v>
      </c>
      <c r="H521" s="24" t="s">
        <v>19907</v>
      </c>
      <c r="I521" s="22" t="s">
        <v>19309</v>
      </c>
      <c r="J521" s="22" t="s">
        <v>19454</v>
      </c>
      <c r="K521" s="22" t="s">
        <v>19524</v>
      </c>
      <c r="L521" s="22"/>
      <c r="M521" s="22"/>
      <c r="N521" s="25" t="str">
        <f>HYPERLINK("http://slimages.macys.com/is/image/MCY/1472538 ")</f>
        <v xml:space="preserve">http://slimages.macys.com/is/image/MCY/1472538 </v>
      </c>
    </row>
    <row r="522" spans="1:14" x14ac:dyDescent="0.25">
      <c r="A522" s="21" t="s">
        <v>14676</v>
      </c>
      <c r="B522" s="22" t="s">
        <v>14677</v>
      </c>
      <c r="C522" s="2">
        <v>1</v>
      </c>
      <c r="D522" s="23">
        <v>7.99</v>
      </c>
      <c r="E522" s="3">
        <v>7.99</v>
      </c>
      <c r="F522" s="2" t="s">
        <v>16840</v>
      </c>
      <c r="G522" s="22" t="s">
        <v>19618</v>
      </c>
      <c r="H522" s="24" t="s">
        <v>20089</v>
      </c>
      <c r="I522" s="22" t="s">
        <v>19309</v>
      </c>
      <c r="J522" s="22" t="s">
        <v>19849</v>
      </c>
      <c r="K522" s="22" t="s">
        <v>19850</v>
      </c>
      <c r="L522" s="22"/>
      <c r="M522" s="22"/>
      <c r="N522" s="25" t="str">
        <f>HYPERLINK("http://slimages.macys.com/is/image/MCY/19068277 ")</f>
        <v xml:space="preserve">http://slimages.macys.com/is/image/MCY/19068277 </v>
      </c>
    </row>
    <row r="523" spans="1:14" x14ac:dyDescent="0.25">
      <c r="A523" s="21" t="s">
        <v>13421</v>
      </c>
      <c r="B523" s="22" t="s">
        <v>13422</v>
      </c>
      <c r="C523" s="2">
        <v>1</v>
      </c>
      <c r="D523" s="23">
        <v>7.99</v>
      </c>
      <c r="E523" s="3">
        <v>7.99</v>
      </c>
      <c r="F523" s="2" t="s">
        <v>16840</v>
      </c>
      <c r="G523" s="22" t="s">
        <v>19674</v>
      </c>
      <c r="H523" s="24" t="s">
        <v>20135</v>
      </c>
      <c r="I523" s="22" t="s">
        <v>19309</v>
      </c>
      <c r="J523" s="22" t="s">
        <v>19849</v>
      </c>
      <c r="K523" s="22" t="s">
        <v>19850</v>
      </c>
      <c r="L523" s="22"/>
      <c r="M523" s="22"/>
      <c r="N523" s="25" t="str">
        <f>HYPERLINK("http://slimages.macys.com/is/image/MCY/19068277 ")</f>
        <v xml:space="preserve">http://slimages.macys.com/is/image/MCY/19068277 </v>
      </c>
    </row>
    <row r="524" spans="1:14" x14ac:dyDescent="0.25">
      <c r="A524" s="21" t="s">
        <v>14678</v>
      </c>
      <c r="B524" s="22" t="s">
        <v>14679</v>
      </c>
      <c r="C524" s="2">
        <v>2</v>
      </c>
      <c r="D524" s="23">
        <v>7.99</v>
      </c>
      <c r="E524" s="3">
        <v>15.98</v>
      </c>
      <c r="F524" s="2" t="s">
        <v>16840</v>
      </c>
      <c r="G524" s="22" t="s">
        <v>19618</v>
      </c>
      <c r="H524" s="24" t="s">
        <v>19361</v>
      </c>
      <c r="I524" s="22" t="s">
        <v>19309</v>
      </c>
      <c r="J524" s="22" t="s">
        <v>19849</v>
      </c>
      <c r="K524" s="22" t="s">
        <v>19850</v>
      </c>
      <c r="L524" s="22"/>
      <c r="M524" s="22"/>
      <c r="N524" s="25" t="str">
        <f>HYPERLINK("http://slimages.macys.com/is/image/MCY/19068277 ")</f>
        <v xml:space="preserve">http://slimages.macys.com/is/image/MCY/19068277 </v>
      </c>
    </row>
    <row r="525" spans="1:14" ht="24.75" x14ac:dyDescent="0.25">
      <c r="A525" s="21" t="s">
        <v>13423</v>
      </c>
      <c r="B525" s="22" t="s">
        <v>13424</v>
      </c>
      <c r="C525" s="2">
        <v>1</v>
      </c>
      <c r="D525" s="23">
        <v>6.99</v>
      </c>
      <c r="E525" s="3">
        <v>6.99</v>
      </c>
      <c r="F525" s="2" t="s">
        <v>16964</v>
      </c>
      <c r="G525" s="22" t="s">
        <v>19422</v>
      </c>
      <c r="H525" s="24" t="s">
        <v>19352</v>
      </c>
      <c r="I525" s="22" t="s">
        <v>19309</v>
      </c>
      <c r="J525" s="22" t="s">
        <v>19353</v>
      </c>
      <c r="K525" s="22" t="s">
        <v>19354</v>
      </c>
      <c r="L525" s="22"/>
      <c r="M525" s="22"/>
      <c r="N525" s="25" t="str">
        <f>HYPERLINK("http://slimages.macys.com/is/image/MCY/21563051 ")</f>
        <v xml:space="preserve">http://slimages.macys.com/is/image/MCY/21563051 </v>
      </c>
    </row>
    <row r="526" spans="1:14" ht="24.75" x14ac:dyDescent="0.25">
      <c r="A526" s="21" t="s">
        <v>13425</v>
      </c>
      <c r="B526" s="22" t="s">
        <v>13426</v>
      </c>
      <c r="C526" s="2">
        <v>1</v>
      </c>
      <c r="D526" s="23">
        <v>7.99</v>
      </c>
      <c r="E526" s="3">
        <v>7.99</v>
      </c>
      <c r="F526" s="2" t="s">
        <v>13427</v>
      </c>
      <c r="G526" s="22" t="s">
        <v>19351</v>
      </c>
      <c r="H526" s="24" t="s">
        <v>20089</v>
      </c>
      <c r="I526" s="22" t="s">
        <v>19309</v>
      </c>
      <c r="J526" s="22" t="s">
        <v>19908</v>
      </c>
      <c r="K526" s="22" t="s">
        <v>19524</v>
      </c>
      <c r="L526" s="22"/>
      <c r="M526" s="22"/>
      <c r="N526" s="25" t="str">
        <f>HYPERLINK("http://slimages.macys.com/is/image/MCY/21433893 ")</f>
        <v xml:space="preserve">http://slimages.macys.com/is/image/MCY/21433893 </v>
      </c>
    </row>
    <row r="527" spans="1:14" ht="24.75" x14ac:dyDescent="0.25">
      <c r="A527" s="21" t="s">
        <v>17008</v>
      </c>
      <c r="B527" s="22" t="s">
        <v>17009</v>
      </c>
      <c r="C527" s="2">
        <v>2</v>
      </c>
      <c r="D527" s="23">
        <v>7.99</v>
      </c>
      <c r="E527" s="3">
        <v>15.98</v>
      </c>
      <c r="F527" s="2" t="s">
        <v>18966</v>
      </c>
      <c r="G527" s="22" t="s">
        <v>19351</v>
      </c>
      <c r="H527" s="24" t="s">
        <v>19907</v>
      </c>
      <c r="I527" s="22" t="s">
        <v>19309</v>
      </c>
      <c r="J527" s="22" t="s">
        <v>19908</v>
      </c>
      <c r="K527" s="22" t="s">
        <v>19524</v>
      </c>
      <c r="L527" s="22"/>
      <c r="M527" s="22"/>
      <c r="N527" s="25" t="str">
        <f>HYPERLINK("http://slimages.macys.com/is/image/MCY/1537727 ")</f>
        <v xml:space="preserve">http://slimages.macys.com/is/image/MCY/1537727 </v>
      </c>
    </row>
    <row r="528" spans="1:14" ht="24.75" x14ac:dyDescent="0.25">
      <c r="A528" s="21" t="s">
        <v>18964</v>
      </c>
      <c r="B528" s="22" t="s">
        <v>18965</v>
      </c>
      <c r="C528" s="2">
        <v>1</v>
      </c>
      <c r="D528" s="23">
        <v>7.99</v>
      </c>
      <c r="E528" s="3">
        <v>7.99</v>
      </c>
      <c r="F528" s="2" t="s">
        <v>18966</v>
      </c>
      <c r="G528" s="22" t="s">
        <v>19351</v>
      </c>
      <c r="H528" s="24" t="s">
        <v>19542</v>
      </c>
      <c r="I528" s="22" t="s">
        <v>19309</v>
      </c>
      <c r="J528" s="22" t="s">
        <v>19908</v>
      </c>
      <c r="K528" s="22" t="s">
        <v>19524</v>
      </c>
      <c r="L528" s="22"/>
      <c r="M528" s="22"/>
      <c r="N528" s="25" t="str">
        <f>HYPERLINK("http://slimages.macys.com/is/image/MCY/1537727 ")</f>
        <v xml:space="preserve">http://slimages.macys.com/is/image/MCY/1537727 </v>
      </c>
    </row>
    <row r="529" spans="1:14" ht="24.75" x14ac:dyDescent="0.25">
      <c r="A529" s="21" t="s">
        <v>13428</v>
      </c>
      <c r="B529" s="22" t="s">
        <v>13429</v>
      </c>
      <c r="C529" s="2">
        <v>1</v>
      </c>
      <c r="D529" s="23">
        <v>7.99</v>
      </c>
      <c r="E529" s="3">
        <v>7.99</v>
      </c>
      <c r="F529" s="2" t="s">
        <v>13430</v>
      </c>
      <c r="G529" s="22" t="s">
        <v>19462</v>
      </c>
      <c r="H529" s="24" t="s">
        <v>19361</v>
      </c>
      <c r="I529" s="22" t="s">
        <v>19309</v>
      </c>
      <c r="J529" s="22" t="s">
        <v>19908</v>
      </c>
      <c r="K529" s="22" t="s">
        <v>19524</v>
      </c>
      <c r="L529" s="22"/>
      <c r="M529" s="22"/>
      <c r="N529" s="25" t="str">
        <f>HYPERLINK("http://slimages.macys.com/is/image/MCY/21727254 ")</f>
        <v xml:space="preserve">http://slimages.macys.com/is/image/MCY/21727254 </v>
      </c>
    </row>
    <row r="530" spans="1:14" x14ac:dyDescent="0.25">
      <c r="A530" s="21" t="s">
        <v>13431</v>
      </c>
      <c r="B530" s="22" t="s">
        <v>13432</v>
      </c>
      <c r="C530" s="2">
        <v>1</v>
      </c>
      <c r="D530" s="23">
        <v>5.99</v>
      </c>
      <c r="E530" s="3">
        <v>5.99</v>
      </c>
      <c r="F530" s="2" t="s">
        <v>13433</v>
      </c>
      <c r="G530" s="22" t="s">
        <v>19477</v>
      </c>
      <c r="H530" s="24" t="s">
        <v>20135</v>
      </c>
      <c r="I530" s="22" t="s">
        <v>19309</v>
      </c>
      <c r="J530" s="22" t="s">
        <v>19849</v>
      </c>
      <c r="K530" s="22" t="s">
        <v>19850</v>
      </c>
      <c r="L530" s="22"/>
      <c r="M530" s="22"/>
      <c r="N530" s="25" t="str">
        <f>HYPERLINK("http://slimages.macys.com/is/image/MCY/20549051 ")</f>
        <v xml:space="preserve">http://slimages.macys.com/is/image/MCY/20549051 </v>
      </c>
    </row>
    <row r="531" spans="1:14" ht="24.75" x14ac:dyDescent="0.25">
      <c r="A531" s="21" t="s">
        <v>13434</v>
      </c>
      <c r="B531" s="22" t="s">
        <v>13435</v>
      </c>
      <c r="C531" s="2">
        <v>1</v>
      </c>
      <c r="D531" s="23">
        <v>8.99</v>
      </c>
      <c r="E531" s="3">
        <v>8.99</v>
      </c>
      <c r="F531" s="2" t="s">
        <v>18978</v>
      </c>
      <c r="G531" s="22" t="s">
        <v>19467</v>
      </c>
      <c r="H531" s="24" t="s">
        <v>19416</v>
      </c>
      <c r="I531" s="22" t="s">
        <v>19309</v>
      </c>
      <c r="J531" s="22" t="s">
        <v>19573</v>
      </c>
      <c r="K531" s="22" t="s">
        <v>19574</v>
      </c>
      <c r="L531" s="22"/>
      <c r="M531" s="22"/>
      <c r="N531" s="25" t="str">
        <f>HYPERLINK("http://slimages.macys.com/is/image/MCY/1537013 ")</f>
        <v xml:space="preserve">http://slimages.macys.com/is/image/MCY/1537013 </v>
      </c>
    </row>
    <row r="532" spans="1:14" ht="24.75" x14ac:dyDescent="0.25">
      <c r="A532" s="21" t="s">
        <v>13436</v>
      </c>
      <c r="B532" s="22" t="s">
        <v>13437</v>
      </c>
      <c r="C532" s="2">
        <v>1</v>
      </c>
      <c r="D532" s="23">
        <v>7.99</v>
      </c>
      <c r="E532" s="3">
        <v>7.99</v>
      </c>
      <c r="F532" s="2" t="s">
        <v>13438</v>
      </c>
      <c r="G532" s="22" t="s">
        <v>19674</v>
      </c>
      <c r="H532" s="24" t="s">
        <v>19324</v>
      </c>
      <c r="I532" s="22" t="s">
        <v>19309</v>
      </c>
      <c r="J532" s="22" t="s">
        <v>19573</v>
      </c>
      <c r="K532" s="22" t="s">
        <v>19574</v>
      </c>
      <c r="L532" s="22"/>
      <c r="M532" s="22"/>
      <c r="N532" s="25" t="str">
        <f>HYPERLINK("http://slimages.macys.com/is/image/MCY/20551331 ")</f>
        <v xml:space="preserve">http://slimages.macys.com/is/image/MCY/20551331 </v>
      </c>
    </row>
    <row r="533" spans="1:14" ht="24.75" x14ac:dyDescent="0.25">
      <c r="A533" s="21" t="s">
        <v>14700</v>
      </c>
      <c r="B533" s="22" t="s">
        <v>14701</v>
      </c>
      <c r="C533" s="2">
        <v>1</v>
      </c>
      <c r="D533" s="23">
        <v>8.99</v>
      </c>
      <c r="E533" s="3">
        <v>8.99</v>
      </c>
      <c r="F533" s="2" t="s">
        <v>18978</v>
      </c>
      <c r="G533" s="22" t="s">
        <v>19467</v>
      </c>
      <c r="H533" s="24" t="s">
        <v>19324</v>
      </c>
      <c r="I533" s="22" t="s">
        <v>19309</v>
      </c>
      <c r="J533" s="22" t="s">
        <v>19573</v>
      </c>
      <c r="K533" s="22" t="s">
        <v>19574</v>
      </c>
      <c r="L533" s="22"/>
      <c r="M533" s="22"/>
      <c r="N533" s="25" t="str">
        <f>HYPERLINK("http://slimages.macys.com/is/image/MCY/1537013 ")</f>
        <v xml:space="preserve">http://slimages.macys.com/is/image/MCY/1537013 </v>
      </c>
    </row>
    <row r="534" spans="1:14" ht="24.75" x14ac:dyDescent="0.25">
      <c r="A534" s="21" t="s">
        <v>18979</v>
      </c>
      <c r="B534" s="22" t="s">
        <v>18980</v>
      </c>
      <c r="C534" s="2">
        <v>1</v>
      </c>
      <c r="D534" s="23">
        <v>8.99</v>
      </c>
      <c r="E534" s="3">
        <v>8.99</v>
      </c>
      <c r="F534" s="2" t="s">
        <v>18981</v>
      </c>
      <c r="G534" s="22" t="s">
        <v>19422</v>
      </c>
      <c r="H534" s="24"/>
      <c r="I534" s="22" t="s">
        <v>19309</v>
      </c>
      <c r="J534" s="22" t="s">
        <v>19573</v>
      </c>
      <c r="K534" s="22" t="s">
        <v>19574</v>
      </c>
      <c r="L534" s="22"/>
      <c r="M534" s="22"/>
      <c r="N534" s="25" t="str">
        <f>HYPERLINK("http://slimages.macys.com/is/image/MCY/1537013 ")</f>
        <v xml:space="preserve">http://slimages.macys.com/is/image/MCY/1537013 </v>
      </c>
    </row>
    <row r="535" spans="1:14" ht="24.75" x14ac:dyDescent="0.25">
      <c r="A535" s="21" t="s">
        <v>14131</v>
      </c>
      <c r="B535" s="22" t="s">
        <v>14132</v>
      </c>
      <c r="C535" s="2">
        <v>1</v>
      </c>
      <c r="D535" s="23">
        <v>8.99</v>
      </c>
      <c r="E535" s="3">
        <v>8.99</v>
      </c>
      <c r="F535" s="2" t="s">
        <v>18984</v>
      </c>
      <c r="G535" s="22" t="s">
        <v>18429</v>
      </c>
      <c r="H535" s="24" t="s">
        <v>19364</v>
      </c>
      <c r="I535" s="22" t="s">
        <v>19309</v>
      </c>
      <c r="J535" s="22" t="s">
        <v>19815</v>
      </c>
      <c r="K535" s="22" t="s">
        <v>19816</v>
      </c>
      <c r="L535" s="22"/>
      <c r="M535" s="22"/>
      <c r="N535" s="25" t="str">
        <f>HYPERLINK("http://slimages.macys.com/is/image/MCY/21278530 ")</f>
        <v xml:space="preserve">http://slimages.macys.com/is/image/MCY/21278530 </v>
      </c>
    </row>
    <row r="536" spans="1:14" ht="24.75" x14ac:dyDescent="0.25">
      <c r="A536" s="21" t="s">
        <v>14713</v>
      </c>
      <c r="B536" s="22" t="s">
        <v>14714</v>
      </c>
      <c r="C536" s="2">
        <v>3</v>
      </c>
      <c r="D536" s="23">
        <v>7.99</v>
      </c>
      <c r="E536" s="3">
        <v>23.97</v>
      </c>
      <c r="F536" s="2" t="s">
        <v>14712</v>
      </c>
      <c r="G536" s="22" t="s">
        <v>19467</v>
      </c>
      <c r="H536" s="24" t="s">
        <v>20135</v>
      </c>
      <c r="I536" s="22" t="s">
        <v>19309</v>
      </c>
      <c r="J536" s="22" t="s">
        <v>19573</v>
      </c>
      <c r="K536" s="22" t="s">
        <v>19574</v>
      </c>
      <c r="L536" s="22"/>
      <c r="M536" s="22"/>
      <c r="N536" s="25" t="str">
        <f>HYPERLINK("http://slimages.macys.com/is/image/MCY/22290702 ")</f>
        <v xml:space="preserve">http://slimages.macys.com/is/image/MCY/22290702 </v>
      </c>
    </row>
    <row r="537" spans="1:14" ht="24.75" x14ac:dyDescent="0.25">
      <c r="A537" s="21" t="s">
        <v>14710</v>
      </c>
      <c r="B537" s="22" t="s">
        <v>14711</v>
      </c>
      <c r="C537" s="2">
        <v>1</v>
      </c>
      <c r="D537" s="23">
        <v>7.99</v>
      </c>
      <c r="E537" s="3">
        <v>7.99</v>
      </c>
      <c r="F537" s="2" t="s">
        <v>14712</v>
      </c>
      <c r="G537" s="22" t="s">
        <v>19467</v>
      </c>
      <c r="H537" s="24" t="s">
        <v>19907</v>
      </c>
      <c r="I537" s="22" t="s">
        <v>19309</v>
      </c>
      <c r="J537" s="22" t="s">
        <v>19573</v>
      </c>
      <c r="K537" s="22" t="s">
        <v>19574</v>
      </c>
      <c r="L537" s="22"/>
      <c r="M537" s="22"/>
      <c r="N537" s="25" t="str">
        <f>HYPERLINK("http://slimages.macys.com/is/image/MCY/22290702 ")</f>
        <v xml:space="preserve">http://slimages.macys.com/is/image/MCY/22290702 </v>
      </c>
    </row>
    <row r="538" spans="1:14" ht="24.75" x14ac:dyDescent="0.25">
      <c r="A538" s="21" t="s">
        <v>13439</v>
      </c>
      <c r="B538" s="22" t="s">
        <v>13440</v>
      </c>
      <c r="C538" s="2">
        <v>1</v>
      </c>
      <c r="D538" s="23">
        <v>7.99</v>
      </c>
      <c r="E538" s="3">
        <v>7.99</v>
      </c>
      <c r="F538" s="2" t="s">
        <v>14712</v>
      </c>
      <c r="G538" s="22" t="s">
        <v>19467</v>
      </c>
      <c r="H538" s="24" t="s">
        <v>20089</v>
      </c>
      <c r="I538" s="22" t="s">
        <v>19309</v>
      </c>
      <c r="J538" s="22" t="s">
        <v>19573</v>
      </c>
      <c r="K538" s="22" t="s">
        <v>19574</v>
      </c>
      <c r="L538" s="22"/>
      <c r="M538" s="22"/>
      <c r="N538" s="25" t="str">
        <f>HYPERLINK("http://slimages.macys.com/is/image/MCY/22290702 ")</f>
        <v xml:space="preserve">http://slimages.macys.com/is/image/MCY/22290702 </v>
      </c>
    </row>
    <row r="539" spans="1:14" ht="24.75" x14ac:dyDescent="0.25">
      <c r="A539" s="21" t="s">
        <v>13441</v>
      </c>
      <c r="B539" s="22" t="s">
        <v>13442</v>
      </c>
      <c r="C539" s="2">
        <v>1</v>
      </c>
      <c r="D539" s="23">
        <v>7.99</v>
      </c>
      <c r="E539" s="3">
        <v>7.99</v>
      </c>
      <c r="F539" s="2" t="s">
        <v>13443</v>
      </c>
      <c r="G539" s="22" t="s">
        <v>19618</v>
      </c>
      <c r="H539" s="24" t="s">
        <v>19907</v>
      </c>
      <c r="I539" s="22" t="s">
        <v>19309</v>
      </c>
      <c r="J539" s="22" t="s">
        <v>19573</v>
      </c>
      <c r="K539" s="22" t="s">
        <v>19574</v>
      </c>
      <c r="L539" s="22"/>
      <c r="M539" s="22"/>
      <c r="N539" s="25" t="str">
        <f>HYPERLINK("http://slimages.macys.com/is/image/MCY/1573861 ")</f>
        <v xml:space="preserve">http://slimages.macys.com/is/image/MCY/1573861 </v>
      </c>
    </row>
    <row r="540" spans="1:14" ht="24.75" x14ac:dyDescent="0.25">
      <c r="A540" s="21" t="s">
        <v>13444</v>
      </c>
      <c r="B540" s="22" t="s">
        <v>13445</v>
      </c>
      <c r="C540" s="2">
        <v>1</v>
      </c>
      <c r="D540" s="23">
        <v>6.99</v>
      </c>
      <c r="E540" s="3">
        <v>6.99</v>
      </c>
      <c r="F540" s="2" t="s">
        <v>13446</v>
      </c>
      <c r="G540" s="22" t="s">
        <v>19513</v>
      </c>
      <c r="H540" s="24" t="s">
        <v>19538</v>
      </c>
      <c r="I540" s="22" t="s">
        <v>19309</v>
      </c>
      <c r="J540" s="22" t="s">
        <v>19573</v>
      </c>
      <c r="K540" s="22" t="s">
        <v>19574</v>
      </c>
      <c r="L540" s="22"/>
      <c r="M540" s="22"/>
      <c r="N540" s="25" t="str">
        <f>HYPERLINK("http://slimages.macys.com/is/image/MCY/13531635 ")</f>
        <v xml:space="preserve">http://slimages.macys.com/is/image/MCY/13531635 </v>
      </c>
    </row>
    <row r="541" spans="1:14" ht="24.75" x14ac:dyDescent="0.25">
      <c r="A541" s="21" t="s">
        <v>13447</v>
      </c>
      <c r="B541" s="22" t="s">
        <v>13448</v>
      </c>
      <c r="C541" s="2">
        <v>1</v>
      </c>
      <c r="D541" s="23">
        <v>7.99</v>
      </c>
      <c r="E541" s="3">
        <v>7.99</v>
      </c>
      <c r="F541" s="2" t="s">
        <v>13449</v>
      </c>
      <c r="G541" s="22" t="s">
        <v>19431</v>
      </c>
      <c r="H541" s="24" t="s">
        <v>20089</v>
      </c>
      <c r="I541" s="22" t="s">
        <v>19309</v>
      </c>
      <c r="J541" s="22" t="s">
        <v>19573</v>
      </c>
      <c r="K541" s="22" t="s">
        <v>19574</v>
      </c>
      <c r="L541" s="22"/>
      <c r="M541" s="22"/>
      <c r="N541" s="25" t="str">
        <f>HYPERLINK("http://slimages.macys.com/is/image/MCY/21209169 ")</f>
        <v xml:space="preserve">http://slimages.macys.com/is/image/MCY/21209169 </v>
      </c>
    </row>
    <row r="542" spans="1:14" ht="24.75" x14ac:dyDescent="0.25">
      <c r="A542" s="21" t="s">
        <v>14167</v>
      </c>
      <c r="B542" s="22" t="s">
        <v>14168</v>
      </c>
      <c r="C542" s="2">
        <v>1</v>
      </c>
      <c r="D542" s="23">
        <v>6.99</v>
      </c>
      <c r="E542" s="3">
        <v>6.99</v>
      </c>
      <c r="F542" s="2" t="s">
        <v>17073</v>
      </c>
      <c r="G542" s="22" t="s">
        <v>19351</v>
      </c>
      <c r="H542" s="24" t="s">
        <v>19416</v>
      </c>
      <c r="I542" s="22" t="s">
        <v>19309</v>
      </c>
      <c r="J542" s="22" t="s">
        <v>19573</v>
      </c>
      <c r="K542" s="22" t="s">
        <v>19574</v>
      </c>
      <c r="L542" s="22"/>
      <c r="M542" s="22"/>
      <c r="N542" s="25" t="str">
        <f>HYPERLINK("http://slimages.macys.com/is/image/MCY/19507834 ")</f>
        <v xml:space="preserve">http://slimages.macys.com/is/image/MCY/19507834 </v>
      </c>
    </row>
    <row r="543" spans="1:14" ht="24.75" x14ac:dyDescent="0.25">
      <c r="A543" s="21" t="s">
        <v>14158</v>
      </c>
      <c r="B543" s="22" t="s">
        <v>14159</v>
      </c>
      <c r="C543" s="2">
        <v>2</v>
      </c>
      <c r="D543" s="23">
        <v>6.99</v>
      </c>
      <c r="E543" s="3">
        <v>13.98</v>
      </c>
      <c r="F543" s="2" t="s">
        <v>17073</v>
      </c>
      <c r="G543" s="22" t="s">
        <v>19351</v>
      </c>
      <c r="H543" s="24" t="s">
        <v>19538</v>
      </c>
      <c r="I543" s="22" t="s">
        <v>19309</v>
      </c>
      <c r="J543" s="22" t="s">
        <v>19573</v>
      </c>
      <c r="K543" s="22" t="s">
        <v>19574</v>
      </c>
      <c r="L543" s="22"/>
      <c r="M543" s="22"/>
      <c r="N543" s="25" t="str">
        <f>HYPERLINK("http://slimages.macys.com/is/image/MCY/19507834 ")</f>
        <v xml:space="preserve">http://slimages.macys.com/is/image/MCY/19507834 </v>
      </c>
    </row>
    <row r="544" spans="1:14" ht="24.75" x14ac:dyDescent="0.25">
      <c r="A544" s="21" t="s">
        <v>14732</v>
      </c>
      <c r="B544" s="22" t="s">
        <v>14733</v>
      </c>
      <c r="C544" s="2">
        <v>1</v>
      </c>
      <c r="D544" s="23">
        <v>7.99</v>
      </c>
      <c r="E544" s="3">
        <v>7.99</v>
      </c>
      <c r="F544" s="2">
        <v>10015096500</v>
      </c>
      <c r="G544" s="22" t="s">
        <v>19713</v>
      </c>
      <c r="H544" s="24" t="s">
        <v>19538</v>
      </c>
      <c r="I544" s="22" t="s">
        <v>19309</v>
      </c>
      <c r="J544" s="22" t="s">
        <v>19573</v>
      </c>
      <c r="K544" s="22" t="s">
        <v>19574</v>
      </c>
      <c r="L544" s="22"/>
      <c r="M544" s="22"/>
      <c r="N544" s="25" t="str">
        <f>HYPERLINK("http://slimages.macys.com/is/image/MCY/1439034 ")</f>
        <v xml:space="preserve">http://slimages.macys.com/is/image/MCY/1439034 </v>
      </c>
    </row>
    <row r="545" spans="1:14" ht="24.75" x14ac:dyDescent="0.25">
      <c r="A545" s="21" t="s">
        <v>19038</v>
      </c>
      <c r="B545" s="22" t="s">
        <v>19039</v>
      </c>
      <c r="C545" s="2">
        <v>1</v>
      </c>
      <c r="D545" s="23">
        <v>7.99</v>
      </c>
      <c r="E545" s="3">
        <v>7.99</v>
      </c>
      <c r="F545" s="2" t="s">
        <v>19040</v>
      </c>
      <c r="G545" s="22" t="s">
        <v>19906</v>
      </c>
      <c r="H545" s="24" t="s">
        <v>19907</v>
      </c>
      <c r="I545" s="22" t="s">
        <v>19309</v>
      </c>
      <c r="J545" s="22" t="s">
        <v>19573</v>
      </c>
      <c r="K545" s="22" t="s">
        <v>19574</v>
      </c>
      <c r="L545" s="22"/>
      <c r="M545" s="22"/>
      <c r="N545" s="25" t="str">
        <f>HYPERLINK("http://slimages.macys.com/is/image/MCY/21209467 ")</f>
        <v xml:space="preserve">http://slimages.macys.com/is/image/MCY/21209467 </v>
      </c>
    </row>
    <row r="546" spans="1:14" ht="24.75" x14ac:dyDescent="0.25">
      <c r="A546" s="21" t="s">
        <v>14201</v>
      </c>
      <c r="B546" s="22" t="s">
        <v>14202</v>
      </c>
      <c r="C546" s="2">
        <v>1</v>
      </c>
      <c r="D546" s="23">
        <v>7.99</v>
      </c>
      <c r="E546" s="3">
        <v>7.99</v>
      </c>
      <c r="F546" s="2" t="s">
        <v>18975</v>
      </c>
      <c r="G546" s="22" t="s">
        <v>19763</v>
      </c>
      <c r="H546" s="24" t="s">
        <v>19907</v>
      </c>
      <c r="I546" s="22" t="s">
        <v>19309</v>
      </c>
      <c r="J546" s="22" t="s">
        <v>19815</v>
      </c>
      <c r="K546" s="22" t="s">
        <v>19816</v>
      </c>
      <c r="L546" s="22"/>
      <c r="M546" s="22"/>
      <c r="N546" s="25" t="str">
        <f>HYPERLINK("http://slimages.macys.com/is/image/MCY/23423563 ")</f>
        <v xml:space="preserve">http://slimages.macys.com/is/image/MCY/23423563 </v>
      </c>
    </row>
    <row r="547" spans="1:14" ht="24.75" x14ac:dyDescent="0.25">
      <c r="A547" s="21" t="s">
        <v>14748</v>
      </c>
      <c r="B547" s="22" t="s">
        <v>14749</v>
      </c>
      <c r="C547" s="2">
        <v>2</v>
      </c>
      <c r="D547" s="23">
        <v>5.99</v>
      </c>
      <c r="E547" s="3">
        <v>11.98</v>
      </c>
      <c r="F547" s="2" t="s">
        <v>17097</v>
      </c>
      <c r="G547" s="22" t="s">
        <v>19713</v>
      </c>
      <c r="H547" s="24" t="s">
        <v>19384</v>
      </c>
      <c r="I547" s="22" t="s">
        <v>19309</v>
      </c>
      <c r="J547" s="22" t="s">
        <v>19573</v>
      </c>
      <c r="K547" s="22" t="s">
        <v>19574</v>
      </c>
      <c r="L547" s="22"/>
      <c r="M547" s="22"/>
      <c r="N547" s="25" t="str">
        <f>HYPERLINK("http://slimages.macys.com/is/image/MCY/21730765 ")</f>
        <v xml:space="preserve">http://slimages.macys.com/is/image/MCY/21730765 </v>
      </c>
    </row>
    <row r="548" spans="1:14" ht="24.75" x14ac:dyDescent="0.25">
      <c r="A548" s="21" t="s">
        <v>17095</v>
      </c>
      <c r="B548" s="22" t="s">
        <v>17096</v>
      </c>
      <c r="C548" s="2">
        <v>1</v>
      </c>
      <c r="D548" s="23">
        <v>5.99</v>
      </c>
      <c r="E548" s="3">
        <v>5.99</v>
      </c>
      <c r="F548" s="2" t="s">
        <v>17097</v>
      </c>
      <c r="G548" s="22" t="s">
        <v>19713</v>
      </c>
      <c r="H548" s="24" t="s">
        <v>19416</v>
      </c>
      <c r="I548" s="22" t="s">
        <v>19309</v>
      </c>
      <c r="J548" s="22" t="s">
        <v>19573</v>
      </c>
      <c r="K548" s="22" t="s">
        <v>19574</v>
      </c>
      <c r="L548" s="22"/>
      <c r="M548" s="22"/>
      <c r="N548" s="25" t="str">
        <f>HYPERLINK("http://slimages.macys.com/is/image/MCY/21730765 ")</f>
        <v xml:space="preserve">http://slimages.macys.com/is/image/MCY/21730765 </v>
      </c>
    </row>
    <row r="549" spans="1:14" ht="24.75" x14ac:dyDescent="0.25">
      <c r="A549" s="21" t="s">
        <v>13450</v>
      </c>
      <c r="B549" s="22" t="s">
        <v>13451</v>
      </c>
      <c r="C549" s="2">
        <v>1</v>
      </c>
      <c r="D549" s="23">
        <v>5.99</v>
      </c>
      <c r="E549" s="3">
        <v>5.99</v>
      </c>
      <c r="F549" s="2" t="s">
        <v>14264</v>
      </c>
      <c r="G549" s="22" t="s">
        <v>19357</v>
      </c>
      <c r="H549" s="24" t="s">
        <v>19907</v>
      </c>
      <c r="I549" s="22" t="s">
        <v>19309</v>
      </c>
      <c r="J549" s="22" t="s">
        <v>19454</v>
      </c>
      <c r="K549" s="22" t="s">
        <v>19524</v>
      </c>
      <c r="L549" s="22"/>
      <c r="M549" s="22"/>
      <c r="N549" s="25" t="str">
        <f>HYPERLINK("http://slimages.macys.com/is/image/MCY/19239511 ")</f>
        <v xml:space="preserve">http://slimages.macys.com/is/image/MCY/19239511 </v>
      </c>
    </row>
    <row r="550" spans="1:14" ht="24.75" x14ac:dyDescent="0.25">
      <c r="A550" s="21" t="s">
        <v>13452</v>
      </c>
      <c r="B550" s="22" t="s">
        <v>13453</v>
      </c>
      <c r="C550" s="2">
        <v>1</v>
      </c>
      <c r="D550" s="23">
        <v>7.99</v>
      </c>
      <c r="E550" s="3">
        <v>7.99</v>
      </c>
      <c r="F550" s="2" t="s">
        <v>17100</v>
      </c>
      <c r="G550" s="22" t="s">
        <v>19351</v>
      </c>
      <c r="H550" s="24" t="s">
        <v>20135</v>
      </c>
      <c r="I550" s="22" t="s">
        <v>19309</v>
      </c>
      <c r="J550" s="22" t="s">
        <v>19815</v>
      </c>
      <c r="K550" s="22" t="s">
        <v>19816</v>
      </c>
      <c r="L550" s="22"/>
      <c r="M550" s="22"/>
      <c r="N550" s="25" t="str">
        <f>HYPERLINK("http://slimages.macys.com/is/image/MCY/21188057 ")</f>
        <v xml:space="preserve">http://slimages.macys.com/is/image/MCY/21188057 </v>
      </c>
    </row>
    <row r="551" spans="1:14" ht="24.75" x14ac:dyDescent="0.25">
      <c r="A551" s="21" t="s">
        <v>13454</v>
      </c>
      <c r="B551" s="22" t="s">
        <v>13455</v>
      </c>
      <c r="C551" s="2">
        <v>1</v>
      </c>
      <c r="D551" s="23">
        <v>7.99</v>
      </c>
      <c r="E551" s="3">
        <v>7.99</v>
      </c>
      <c r="F551" s="2" t="s">
        <v>17100</v>
      </c>
      <c r="G551" s="22" t="s">
        <v>19351</v>
      </c>
      <c r="H551" s="24" t="s">
        <v>19432</v>
      </c>
      <c r="I551" s="22" t="s">
        <v>19309</v>
      </c>
      <c r="J551" s="22" t="s">
        <v>19815</v>
      </c>
      <c r="K551" s="22" t="s">
        <v>19816</v>
      </c>
      <c r="L551" s="22"/>
      <c r="M551" s="22"/>
      <c r="N551" s="25" t="str">
        <f>HYPERLINK("http://slimages.macys.com/is/image/MCY/21188057 ")</f>
        <v xml:space="preserve">http://slimages.macys.com/is/image/MCY/21188057 </v>
      </c>
    </row>
    <row r="552" spans="1:14" ht="24.75" x14ac:dyDescent="0.25">
      <c r="A552" s="21" t="s">
        <v>13456</v>
      </c>
      <c r="B552" s="22" t="s">
        <v>13457</v>
      </c>
      <c r="C552" s="2">
        <v>1</v>
      </c>
      <c r="D552" s="23">
        <v>7.99</v>
      </c>
      <c r="E552" s="3">
        <v>7.99</v>
      </c>
      <c r="F552" s="2" t="s">
        <v>17100</v>
      </c>
      <c r="G552" s="22" t="s">
        <v>19351</v>
      </c>
      <c r="H552" s="24" t="s">
        <v>19542</v>
      </c>
      <c r="I552" s="22" t="s">
        <v>19309</v>
      </c>
      <c r="J552" s="22" t="s">
        <v>19815</v>
      </c>
      <c r="K552" s="22" t="s">
        <v>19816</v>
      </c>
      <c r="L552" s="22"/>
      <c r="M552" s="22"/>
      <c r="N552" s="25" t="str">
        <f>HYPERLINK("http://slimages.macys.com/is/image/MCY/21188057 ")</f>
        <v xml:space="preserve">http://slimages.macys.com/is/image/MCY/21188057 </v>
      </c>
    </row>
    <row r="553" spans="1:14" ht="24.75" x14ac:dyDescent="0.25">
      <c r="A553" s="21" t="s">
        <v>13458</v>
      </c>
      <c r="B553" s="22" t="s">
        <v>13459</v>
      </c>
      <c r="C553" s="2">
        <v>1</v>
      </c>
      <c r="D553" s="23">
        <v>6.99</v>
      </c>
      <c r="E553" s="3">
        <v>6.99</v>
      </c>
      <c r="F553" s="2" t="s">
        <v>13460</v>
      </c>
      <c r="G553" s="22" t="s">
        <v>19906</v>
      </c>
      <c r="H553" s="24" t="s">
        <v>19308</v>
      </c>
      <c r="I553" s="22" t="s">
        <v>19309</v>
      </c>
      <c r="J553" s="22" t="s">
        <v>19454</v>
      </c>
      <c r="K553" s="22" t="s">
        <v>19354</v>
      </c>
      <c r="L553" s="22"/>
      <c r="M553" s="22"/>
      <c r="N553" s="25" t="str">
        <f>HYPERLINK("http://slimages.macys.com/is/image/MCY/20708515 ")</f>
        <v xml:space="preserve">http://slimages.macys.com/is/image/MCY/20708515 </v>
      </c>
    </row>
    <row r="554" spans="1:14" ht="24.75" x14ac:dyDescent="0.25">
      <c r="A554" s="21" t="s">
        <v>13461</v>
      </c>
      <c r="B554" s="22" t="s">
        <v>13462</v>
      </c>
      <c r="C554" s="2">
        <v>1</v>
      </c>
      <c r="D554" s="23">
        <v>6.99</v>
      </c>
      <c r="E554" s="3">
        <v>6.99</v>
      </c>
      <c r="F554" s="2" t="s">
        <v>13460</v>
      </c>
      <c r="G554" s="22" t="s">
        <v>19906</v>
      </c>
      <c r="H554" s="24" t="s">
        <v>19364</v>
      </c>
      <c r="I554" s="22" t="s">
        <v>19309</v>
      </c>
      <c r="J554" s="22" t="s">
        <v>19454</v>
      </c>
      <c r="K554" s="22" t="s">
        <v>19354</v>
      </c>
      <c r="L554" s="22"/>
      <c r="M554" s="22"/>
      <c r="N554" s="25" t="str">
        <f>HYPERLINK("http://slimages.macys.com/is/image/MCY/20708515 ")</f>
        <v xml:space="preserve">http://slimages.macys.com/is/image/MCY/20708515 </v>
      </c>
    </row>
    <row r="555" spans="1:14" ht="24.75" x14ac:dyDescent="0.25">
      <c r="A555" s="21" t="s">
        <v>13463</v>
      </c>
      <c r="B555" s="22" t="s">
        <v>13464</v>
      </c>
      <c r="C555" s="2">
        <v>1</v>
      </c>
      <c r="D555" s="23">
        <v>6.99</v>
      </c>
      <c r="E555" s="3">
        <v>6.99</v>
      </c>
      <c r="F555" s="2" t="s">
        <v>13460</v>
      </c>
      <c r="G555" s="22" t="s">
        <v>19906</v>
      </c>
      <c r="H555" s="24" t="s">
        <v>19352</v>
      </c>
      <c r="I555" s="22" t="s">
        <v>19309</v>
      </c>
      <c r="J555" s="22" t="s">
        <v>19454</v>
      </c>
      <c r="K555" s="22" t="s">
        <v>19354</v>
      </c>
      <c r="L555" s="22"/>
      <c r="M555" s="22"/>
      <c r="N555" s="25" t="str">
        <f>HYPERLINK("http://slimages.macys.com/is/image/MCY/20708515 ")</f>
        <v xml:space="preserve">http://slimages.macys.com/is/image/MCY/20708515 </v>
      </c>
    </row>
    <row r="556" spans="1:14" ht="24.75" x14ac:dyDescent="0.25">
      <c r="A556" s="21" t="s">
        <v>13465</v>
      </c>
      <c r="B556" s="22" t="s">
        <v>13466</v>
      </c>
      <c r="C556" s="2">
        <v>1</v>
      </c>
      <c r="D556" s="23">
        <v>7.99</v>
      </c>
      <c r="E556" s="3">
        <v>7.99</v>
      </c>
      <c r="F556" s="2" t="s">
        <v>13467</v>
      </c>
      <c r="G556" s="22" t="s">
        <v>19422</v>
      </c>
      <c r="H556" s="24" t="s">
        <v>20135</v>
      </c>
      <c r="I556" s="22" t="s">
        <v>19309</v>
      </c>
      <c r="J556" s="22" t="s">
        <v>19573</v>
      </c>
      <c r="K556" s="22" t="s">
        <v>19574</v>
      </c>
      <c r="L556" s="22"/>
      <c r="M556" s="22"/>
      <c r="N556" s="25" t="str">
        <f>HYPERLINK("http://slimages.macys.com/is/image/MCY/21905243 ")</f>
        <v xml:space="preserve">http://slimages.macys.com/is/image/MCY/21905243 </v>
      </c>
    </row>
    <row r="557" spans="1:14" ht="24.75" x14ac:dyDescent="0.25">
      <c r="A557" s="21" t="s">
        <v>14763</v>
      </c>
      <c r="B557" s="22" t="s">
        <v>14764</v>
      </c>
      <c r="C557" s="2">
        <v>1</v>
      </c>
      <c r="D557" s="23">
        <v>5.99</v>
      </c>
      <c r="E557" s="3">
        <v>5.99</v>
      </c>
      <c r="F557" s="2" t="s">
        <v>19084</v>
      </c>
      <c r="G557" s="22" t="s">
        <v>19518</v>
      </c>
      <c r="H557" s="24" t="s">
        <v>19538</v>
      </c>
      <c r="I557" s="22" t="s">
        <v>19309</v>
      </c>
      <c r="J557" s="22" t="s">
        <v>19573</v>
      </c>
      <c r="K557" s="22" t="s">
        <v>19574</v>
      </c>
      <c r="L557" s="22"/>
      <c r="M557" s="22"/>
      <c r="N557" s="25" t="str">
        <f>HYPERLINK("http://slimages.macys.com/is/image/MCY/21209585 ")</f>
        <v xml:space="preserve">http://slimages.macys.com/is/image/MCY/21209585 </v>
      </c>
    </row>
    <row r="558" spans="1:14" ht="24.75" x14ac:dyDescent="0.25">
      <c r="A558" s="21" t="s">
        <v>17114</v>
      </c>
      <c r="B558" s="22" t="s">
        <v>17115</v>
      </c>
      <c r="C558" s="2">
        <v>1</v>
      </c>
      <c r="D558" s="23">
        <v>5.99</v>
      </c>
      <c r="E558" s="3">
        <v>5.99</v>
      </c>
      <c r="F558" s="2" t="s">
        <v>19084</v>
      </c>
      <c r="G558" s="22" t="s">
        <v>19518</v>
      </c>
      <c r="H558" s="24" t="s">
        <v>19324</v>
      </c>
      <c r="I558" s="22" t="s">
        <v>19309</v>
      </c>
      <c r="J558" s="22" t="s">
        <v>19573</v>
      </c>
      <c r="K558" s="22" t="s">
        <v>19574</v>
      </c>
      <c r="L558" s="22"/>
      <c r="M558" s="22"/>
      <c r="N558" s="25" t="str">
        <f>HYPERLINK("http://slimages.macys.com/is/image/MCY/21209585 ")</f>
        <v xml:space="preserve">http://slimages.macys.com/is/image/MCY/21209585 </v>
      </c>
    </row>
    <row r="559" spans="1:14" ht="24.75" x14ac:dyDescent="0.25">
      <c r="A559" s="21" t="s">
        <v>17125</v>
      </c>
      <c r="B559" s="22" t="s">
        <v>17126</v>
      </c>
      <c r="C559" s="2">
        <v>1</v>
      </c>
      <c r="D559" s="23">
        <v>5.99</v>
      </c>
      <c r="E559" s="3">
        <v>5.99</v>
      </c>
      <c r="F559" s="2" t="s">
        <v>19109</v>
      </c>
      <c r="G559" s="22" t="s">
        <v>19674</v>
      </c>
      <c r="H559" s="24" t="s">
        <v>19324</v>
      </c>
      <c r="I559" s="22" t="s">
        <v>19309</v>
      </c>
      <c r="J559" s="22" t="s">
        <v>19573</v>
      </c>
      <c r="K559" s="22" t="s">
        <v>19574</v>
      </c>
      <c r="L559" s="22"/>
      <c r="M559" s="22"/>
      <c r="N559" s="25" t="str">
        <f>HYPERLINK("http://slimages.macys.com/is/image/MCY/1734374 ")</f>
        <v xml:space="preserve">http://slimages.macys.com/is/image/MCY/1734374 </v>
      </c>
    </row>
    <row r="560" spans="1:14" ht="24.75" x14ac:dyDescent="0.25">
      <c r="A560" s="21" t="s">
        <v>19127</v>
      </c>
      <c r="B560" s="22" t="s">
        <v>19128</v>
      </c>
      <c r="C560" s="2">
        <v>2</v>
      </c>
      <c r="D560" s="23">
        <v>5.99</v>
      </c>
      <c r="E560" s="3">
        <v>11.98</v>
      </c>
      <c r="F560" s="2" t="s">
        <v>19129</v>
      </c>
      <c r="G560" s="22" t="s">
        <v>19467</v>
      </c>
      <c r="H560" s="24" t="s">
        <v>19538</v>
      </c>
      <c r="I560" s="22" t="s">
        <v>19309</v>
      </c>
      <c r="J560" s="22" t="s">
        <v>19573</v>
      </c>
      <c r="K560" s="22" t="s">
        <v>19574</v>
      </c>
      <c r="L560" s="22"/>
      <c r="M560" s="22"/>
      <c r="N560" s="25" t="str">
        <f>HYPERLINK("http://slimages.macys.com/is/image/MCY/1905756 ")</f>
        <v xml:space="preserve">http://slimages.macys.com/is/image/MCY/1905756 </v>
      </c>
    </row>
    <row r="561" spans="1:14" ht="24.75" x14ac:dyDescent="0.25">
      <c r="A561" s="21" t="s">
        <v>19130</v>
      </c>
      <c r="B561" s="22" t="s">
        <v>19131</v>
      </c>
      <c r="C561" s="2">
        <v>1</v>
      </c>
      <c r="D561" s="23">
        <v>5.99</v>
      </c>
      <c r="E561" s="3">
        <v>5.99</v>
      </c>
      <c r="F561" s="2" t="s">
        <v>19129</v>
      </c>
      <c r="G561" s="22" t="s">
        <v>19467</v>
      </c>
      <c r="H561" s="24" t="s">
        <v>19384</v>
      </c>
      <c r="I561" s="22" t="s">
        <v>19309</v>
      </c>
      <c r="J561" s="22" t="s">
        <v>19573</v>
      </c>
      <c r="K561" s="22" t="s">
        <v>19574</v>
      </c>
      <c r="L561" s="22"/>
      <c r="M561" s="22"/>
      <c r="N561" s="25" t="str">
        <f>HYPERLINK("http://slimages.macys.com/is/image/MCY/1905756 ")</f>
        <v xml:space="preserve">http://slimages.macys.com/is/image/MCY/1905756 </v>
      </c>
    </row>
    <row r="562" spans="1:14" ht="24.75" x14ac:dyDescent="0.25">
      <c r="A562" s="21" t="s">
        <v>14795</v>
      </c>
      <c r="B562" s="22" t="s">
        <v>14796</v>
      </c>
      <c r="C562" s="2">
        <v>2</v>
      </c>
      <c r="D562" s="23">
        <v>5.99</v>
      </c>
      <c r="E562" s="3">
        <v>11.98</v>
      </c>
      <c r="F562" s="2" t="s">
        <v>19129</v>
      </c>
      <c r="G562" s="22" t="s">
        <v>19467</v>
      </c>
      <c r="H562" s="24" t="s">
        <v>19416</v>
      </c>
      <c r="I562" s="22" t="s">
        <v>19309</v>
      </c>
      <c r="J562" s="22" t="s">
        <v>19573</v>
      </c>
      <c r="K562" s="22" t="s">
        <v>19574</v>
      </c>
      <c r="L562" s="22"/>
      <c r="M562" s="22"/>
      <c r="N562" s="25" t="str">
        <f>HYPERLINK("http://slimages.macys.com/is/image/MCY/1905756 ")</f>
        <v xml:space="preserve">http://slimages.macys.com/is/image/MCY/1905756 </v>
      </c>
    </row>
    <row r="563" spans="1:14" ht="24.75" x14ac:dyDescent="0.25">
      <c r="A563" s="21" t="s">
        <v>13468</v>
      </c>
      <c r="B563" s="22" t="s">
        <v>13469</v>
      </c>
      <c r="C563" s="2">
        <v>1</v>
      </c>
      <c r="D563" s="23">
        <v>5.99</v>
      </c>
      <c r="E563" s="3">
        <v>5.99</v>
      </c>
      <c r="F563" s="2" t="s">
        <v>17140</v>
      </c>
      <c r="G563" s="22" t="s">
        <v>19467</v>
      </c>
      <c r="H563" s="24" t="s">
        <v>19416</v>
      </c>
      <c r="I563" s="22" t="s">
        <v>19309</v>
      </c>
      <c r="J563" s="22" t="s">
        <v>19573</v>
      </c>
      <c r="K563" s="22" t="s">
        <v>19574</v>
      </c>
      <c r="L563" s="22"/>
      <c r="M563" s="22"/>
      <c r="N563" s="25" t="str">
        <f>HYPERLINK("http://slimages.macys.com/is/image/MCY/21209516 ")</f>
        <v xml:space="preserve">http://slimages.macys.com/is/image/MCY/21209516 </v>
      </c>
    </row>
    <row r="564" spans="1:14" ht="24.75" x14ac:dyDescent="0.25">
      <c r="A564" s="21" t="s">
        <v>13470</v>
      </c>
      <c r="B564" s="22" t="s">
        <v>13471</v>
      </c>
      <c r="C564" s="2">
        <v>1</v>
      </c>
      <c r="D564" s="23">
        <v>5.99</v>
      </c>
      <c r="E564" s="3">
        <v>5.99</v>
      </c>
      <c r="F564" s="2" t="s">
        <v>17147</v>
      </c>
      <c r="G564" s="22" t="s">
        <v>19431</v>
      </c>
      <c r="H564" s="24" t="s">
        <v>19324</v>
      </c>
      <c r="I564" s="22" t="s">
        <v>19309</v>
      </c>
      <c r="J564" s="22" t="s">
        <v>19573</v>
      </c>
      <c r="K564" s="22" t="s">
        <v>19574</v>
      </c>
      <c r="L564" s="22"/>
      <c r="M564" s="22"/>
      <c r="N564" s="25" t="str">
        <f>HYPERLINK("http://slimages.macys.com/is/image/MCY/21209149 ")</f>
        <v xml:space="preserve">http://slimages.macys.com/is/image/MCY/21209149 </v>
      </c>
    </row>
    <row r="565" spans="1:14" ht="24.75" x14ac:dyDescent="0.25">
      <c r="A565" s="21" t="s">
        <v>13472</v>
      </c>
      <c r="B565" s="22" t="s">
        <v>13473</v>
      </c>
      <c r="C565" s="2">
        <v>2</v>
      </c>
      <c r="D565" s="23">
        <v>6.99</v>
      </c>
      <c r="E565" s="3">
        <v>13.98</v>
      </c>
      <c r="F565" s="2" t="s">
        <v>17158</v>
      </c>
      <c r="G565" s="22" t="s">
        <v>19431</v>
      </c>
      <c r="H565" s="24" t="s">
        <v>19324</v>
      </c>
      <c r="I565" s="22" t="s">
        <v>19309</v>
      </c>
      <c r="J565" s="22" t="s">
        <v>19573</v>
      </c>
      <c r="K565" s="22" t="s">
        <v>19574</v>
      </c>
      <c r="L565" s="22"/>
      <c r="M565" s="22"/>
      <c r="N565" s="25" t="str">
        <f>HYPERLINK("http://slimages.macys.com/is/image/MCY/19746542 ")</f>
        <v xml:space="preserve">http://slimages.macys.com/is/image/MCY/19746542 </v>
      </c>
    </row>
    <row r="566" spans="1:14" ht="24.75" x14ac:dyDescent="0.25">
      <c r="A566" s="21" t="s">
        <v>13474</v>
      </c>
      <c r="B566" s="22" t="s">
        <v>13475</v>
      </c>
      <c r="C566" s="2">
        <v>2</v>
      </c>
      <c r="D566" s="23">
        <v>6.99</v>
      </c>
      <c r="E566" s="3">
        <v>13.98</v>
      </c>
      <c r="F566" s="2" t="s">
        <v>17158</v>
      </c>
      <c r="G566" s="22" t="s">
        <v>19431</v>
      </c>
      <c r="H566" s="24" t="s">
        <v>19330</v>
      </c>
      <c r="I566" s="22" t="s">
        <v>19309</v>
      </c>
      <c r="J566" s="22" t="s">
        <v>19573</v>
      </c>
      <c r="K566" s="22" t="s">
        <v>19574</v>
      </c>
      <c r="L566" s="22"/>
      <c r="M566" s="22"/>
      <c r="N566" s="25" t="str">
        <f>HYPERLINK("http://slimages.macys.com/is/image/MCY/19746542 ")</f>
        <v xml:space="preserve">http://slimages.macys.com/is/image/MCY/19746542 </v>
      </c>
    </row>
    <row r="567" spans="1:14" ht="24.75" x14ac:dyDescent="0.25">
      <c r="A567" s="21" t="s">
        <v>13476</v>
      </c>
      <c r="B567" s="22" t="s">
        <v>13477</v>
      </c>
      <c r="C567" s="2">
        <v>1</v>
      </c>
      <c r="D567" s="23">
        <v>6.99</v>
      </c>
      <c r="E567" s="3">
        <v>6.99</v>
      </c>
      <c r="F567" s="2" t="s">
        <v>17158</v>
      </c>
      <c r="G567" s="22" t="s">
        <v>19431</v>
      </c>
      <c r="H567" s="24" t="s">
        <v>19416</v>
      </c>
      <c r="I567" s="22" t="s">
        <v>19309</v>
      </c>
      <c r="J567" s="22" t="s">
        <v>19573</v>
      </c>
      <c r="K567" s="22" t="s">
        <v>19574</v>
      </c>
      <c r="L567" s="22"/>
      <c r="M567" s="22"/>
      <c r="N567" s="25" t="str">
        <f>HYPERLINK("http://slimages.macys.com/is/image/MCY/19746542 ")</f>
        <v xml:space="preserve">http://slimages.macys.com/is/image/MCY/19746542 </v>
      </c>
    </row>
    <row r="568" spans="1:14" ht="24.75" x14ac:dyDescent="0.25">
      <c r="A568" s="21" t="s">
        <v>14835</v>
      </c>
      <c r="B568" s="22" t="s">
        <v>14836</v>
      </c>
      <c r="C568" s="2">
        <v>1</v>
      </c>
      <c r="D568" s="23">
        <v>5.99</v>
      </c>
      <c r="E568" s="3">
        <v>5.99</v>
      </c>
      <c r="F568" s="2" t="s">
        <v>19145</v>
      </c>
      <c r="G568" s="22" t="s">
        <v>19618</v>
      </c>
      <c r="H568" s="24" t="s">
        <v>19416</v>
      </c>
      <c r="I568" s="22" t="s">
        <v>19309</v>
      </c>
      <c r="J568" s="22" t="s">
        <v>19573</v>
      </c>
      <c r="K568" s="22" t="s">
        <v>19574</v>
      </c>
      <c r="L568" s="22"/>
      <c r="M568" s="22"/>
      <c r="N568" s="25" t="str">
        <f>HYPERLINK("http://slimages.macys.com/is/image/MCY/21970089 ")</f>
        <v xml:space="preserve">http://slimages.macys.com/is/image/MCY/21970089 </v>
      </c>
    </row>
    <row r="569" spans="1:14" ht="24.75" x14ac:dyDescent="0.25">
      <c r="A569" s="21" t="s">
        <v>14841</v>
      </c>
      <c r="B569" s="22" t="s">
        <v>14842</v>
      </c>
      <c r="C569" s="2">
        <v>1</v>
      </c>
      <c r="D569" s="23">
        <v>5.99</v>
      </c>
      <c r="E569" s="3">
        <v>5.99</v>
      </c>
      <c r="F569" s="2" t="s">
        <v>19140</v>
      </c>
      <c r="G569" s="22" t="s">
        <v>19674</v>
      </c>
      <c r="H569" s="24" t="s">
        <v>19384</v>
      </c>
      <c r="I569" s="22" t="s">
        <v>19309</v>
      </c>
      <c r="J569" s="22" t="s">
        <v>19573</v>
      </c>
      <c r="K569" s="22" t="s">
        <v>19574</v>
      </c>
      <c r="L569" s="22"/>
      <c r="M569" s="22"/>
      <c r="N569" s="25" t="str">
        <f>HYPERLINK("http://slimages.macys.com/is/image/MCY/21970109 ")</f>
        <v xml:space="preserve">http://slimages.macys.com/is/image/MCY/21970109 </v>
      </c>
    </row>
    <row r="570" spans="1:14" ht="24.75" x14ac:dyDescent="0.25">
      <c r="A570" s="21" t="s">
        <v>13478</v>
      </c>
      <c r="B570" s="22" t="s">
        <v>13479</v>
      </c>
      <c r="C570" s="2">
        <v>1</v>
      </c>
      <c r="D570" s="23">
        <v>5.99</v>
      </c>
      <c r="E570" s="3">
        <v>5.99</v>
      </c>
      <c r="F570" s="2" t="s">
        <v>13480</v>
      </c>
      <c r="G570" s="22" t="s">
        <v>19315</v>
      </c>
      <c r="H570" s="24" t="s">
        <v>19324</v>
      </c>
      <c r="I570" s="22" t="s">
        <v>19309</v>
      </c>
      <c r="J570" s="22" t="s">
        <v>19573</v>
      </c>
      <c r="K570" s="22" t="s">
        <v>19574</v>
      </c>
      <c r="L570" s="22"/>
      <c r="M570" s="22"/>
      <c r="N570" s="25" t="str">
        <f>HYPERLINK("http://slimages.macys.com/is/image/MCY/20385908 ")</f>
        <v xml:space="preserve">http://slimages.macys.com/is/image/MCY/20385908 </v>
      </c>
    </row>
    <row r="571" spans="1:14" ht="24.75" x14ac:dyDescent="0.25">
      <c r="A571" s="21" t="s">
        <v>13481</v>
      </c>
      <c r="B571" s="22" t="s">
        <v>13482</v>
      </c>
      <c r="C571" s="2">
        <v>1</v>
      </c>
      <c r="D571" s="23">
        <v>7.99</v>
      </c>
      <c r="E571" s="3">
        <v>7.99</v>
      </c>
      <c r="F571" s="2" t="s">
        <v>13483</v>
      </c>
      <c r="G571" s="22" t="s">
        <v>19415</v>
      </c>
      <c r="H571" s="24" t="s">
        <v>20089</v>
      </c>
      <c r="I571" s="22" t="s">
        <v>19309</v>
      </c>
      <c r="J571" s="22" t="s">
        <v>19573</v>
      </c>
      <c r="K571" s="22" t="s">
        <v>19574</v>
      </c>
      <c r="L571" s="22"/>
      <c r="M571" s="22"/>
      <c r="N571" s="25" t="str">
        <f>HYPERLINK("http://slimages.macys.com/is/image/MCY/22078179 ")</f>
        <v xml:space="preserve">http://slimages.macys.com/is/image/MCY/22078179 </v>
      </c>
    </row>
    <row r="572" spans="1:14" ht="24.75" x14ac:dyDescent="0.25">
      <c r="A572" s="21" t="s">
        <v>13484</v>
      </c>
      <c r="B572" s="22" t="s">
        <v>13485</v>
      </c>
      <c r="C572" s="2">
        <v>1</v>
      </c>
      <c r="D572" s="23">
        <v>5.99</v>
      </c>
      <c r="E572" s="3">
        <v>5.99</v>
      </c>
      <c r="F572" s="2" t="s">
        <v>13486</v>
      </c>
      <c r="G572" s="22" t="s">
        <v>19618</v>
      </c>
      <c r="H572" s="24" t="s">
        <v>19324</v>
      </c>
      <c r="I572" s="22" t="s">
        <v>19309</v>
      </c>
      <c r="J572" s="22" t="s">
        <v>19573</v>
      </c>
      <c r="K572" s="22" t="s">
        <v>19574</v>
      </c>
      <c r="L572" s="22"/>
      <c r="M572" s="22"/>
      <c r="N572" s="25" t="str">
        <f>HYPERLINK("http://slimages.macys.com/is/image/MCY/21088451 ")</f>
        <v xml:space="preserve">http://slimages.macys.com/is/image/MCY/21088451 </v>
      </c>
    </row>
    <row r="573" spans="1:14" ht="24.75" x14ac:dyDescent="0.25">
      <c r="A573" s="21" t="s">
        <v>14865</v>
      </c>
      <c r="B573" s="22" t="s">
        <v>14866</v>
      </c>
      <c r="C573" s="2">
        <v>1</v>
      </c>
      <c r="D573" s="23">
        <v>5.99</v>
      </c>
      <c r="E573" s="3">
        <v>5.99</v>
      </c>
      <c r="F573" s="2" t="s">
        <v>19170</v>
      </c>
      <c r="G573" s="22" t="s">
        <v>19906</v>
      </c>
      <c r="H573" s="24" t="s">
        <v>19384</v>
      </c>
      <c r="I573" s="22" t="s">
        <v>19309</v>
      </c>
      <c r="J573" s="22" t="s">
        <v>19573</v>
      </c>
      <c r="K573" s="22" t="s">
        <v>19574</v>
      </c>
      <c r="L573" s="22"/>
      <c r="M573" s="22"/>
      <c r="N573" s="25" t="str">
        <f>HYPERLINK("http://slimages.macys.com/is/image/MCY/21361119 ")</f>
        <v xml:space="preserve">http://slimages.macys.com/is/image/MCY/21361119 </v>
      </c>
    </row>
    <row r="574" spans="1:14" ht="24.75" x14ac:dyDescent="0.25">
      <c r="A574" s="21" t="s">
        <v>13487</v>
      </c>
      <c r="B574" s="22" t="s">
        <v>13488</v>
      </c>
      <c r="C574" s="2">
        <v>1</v>
      </c>
      <c r="D574" s="23">
        <v>5.99</v>
      </c>
      <c r="E574" s="3">
        <v>5.99</v>
      </c>
      <c r="F574" s="2" t="s">
        <v>17185</v>
      </c>
      <c r="G574" s="22" t="s">
        <v>19477</v>
      </c>
      <c r="H574" s="24" t="s">
        <v>19324</v>
      </c>
      <c r="I574" s="22" t="s">
        <v>19309</v>
      </c>
      <c r="J574" s="22" t="s">
        <v>19573</v>
      </c>
      <c r="K574" s="22" t="s">
        <v>19574</v>
      </c>
      <c r="L574" s="22"/>
      <c r="M574" s="22"/>
      <c r="N574" s="25" t="str">
        <f>HYPERLINK("http://slimages.macys.com/is/image/MCY/21209412 ")</f>
        <v xml:space="preserve">http://slimages.macys.com/is/image/MCY/21209412 </v>
      </c>
    </row>
    <row r="575" spans="1:14" ht="24.75" x14ac:dyDescent="0.25">
      <c r="A575" s="21" t="s">
        <v>13489</v>
      </c>
      <c r="B575" s="22" t="s">
        <v>13490</v>
      </c>
      <c r="C575" s="2">
        <v>1</v>
      </c>
      <c r="D575" s="23">
        <v>5.99</v>
      </c>
      <c r="E575" s="3">
        <v>5.99</v>
      </c>
      <c r="F575" s="2" t="s">
        <v>19173</v>
      </c>
      <c r="G575" s="22" t="s">
        <v>19518</v>
      </c>
      <c r="H575" s="24" t="s">
        <v>19538</v>
      </c>
      <c r="I575" s="22" t="s">
        <v>19309</v>
      </c>
      <c r="J575" s="22" t="s">
        <v>19573</v>
      </c>
      <c r="K575" s="22" t="s">
        <v>19574</v>
      </c>
      <c r="L575" s="22"/>
      <c r="M575" s="22"/>
      <c r="N575" s="25" t="str">
        <f>HYPERLINK("http://slimages.macys.com/is/image/MCY/21110507 ")</f>
        <v xml:space="preserve">http://slimages.macys.com/is/image/MCY/21110507 </v>
      </c>
    </row>
    <row r="576" spans="1:14" ht="24.75" x14ac:dyDescent="0.25">
      <c r="A576" s="21" t="s">
        <v>19181</v>
      </c>
      <c r="B576" s="22" t="s">
        <v>19182</v>
      </c>
      <c r="C576" s="2">
        <v>1</v>
      </c>
      <c r="D576" s="23">
        <v>5.99</v>
      </c>
      <c r="E576" s="3">
        <v>5.99</v>
      </c>
      <c r="F576" s="2" t="s">
        <v>19180</v>
      </c>
      <c r="G576" s="22" t="s">
        <v>19477</v>
      </c>
      <c r="H576" s="24" t="s">
        <v>19416</v>
      </c>
      <c r="I576" s="22" t="s">
        <v>19309</v>
      </c>
      <c r="J576" s="22" t="s">
        <v>19573</v>
      </c>
      <c r="K576" s="22" t="s">
        <v>19574</v>
      </c>
      <c r="L576" s="22"/>
      <c r="M576" s="22"/>
      <c r="N576" s="25" t="str">
        <f>HYPERLINK("http://slimages.macys.com/is/image/MCY/1521972 ")</f>
        <v xml:space="preserve">http://slimages.macys.com/is/image/MCY/1521972 </v>
      </c>
    </row>
    <row r="577" spans="1:14" ht="24.75" x14ac:dyDescent="0.25">
      <c r="A577" s="21" t="s">
        <v>19178</v>
      </c>
      <c r="B577" s="22" t="s">
        <v>19179</v>
      </c>
      <c r="C577" s="2">
        <v>2</v>
      </c>
      <c r="D577" s="23">
        <v>5.99</v>
      </c>
      <c r="E577" s="3">
        <v>11.98</v>
      </c>
      <c r="F577" s="2" t="s">
        <v>19180</v>
      </c>
      <c r="G577" s="22" t="s">
        <v>19477</v>
      </c>
      <c r="H577" s="24" t="s">
        <v>19384</v>
      </c>
      <c r="I577" s="22" t="s">
        <v>19309</v>
      </c>
      <c r="J577" s="22" t="s">
        <v>19573</v>
      </c>
      <c r="K577" s="22" t="s">
        <v>19574</v>
      </c>
      <c r="L577" s="22"/>
      <c r="M577" s="22"/>
      <c r="N577" s="25" t="str">
        <f>HYPERLINK("http://slimages.macys.com/is/image/MCY/1521974 ")</f>
        <v xml:space="preserve">http://slimages.macys.com/is/image/MCY/1521974 </v>
      </c>
    </row>
    <row r="578" spans="1:14" ht="24.75" x14ac:dyDescent="0.25">
      <c r="A578" s="21" t="s">
        <v>13491</v>
      </c>
      <c r="B578" s="22" t="s">
        <v>13492</v>
      </c>
      <c r="C578" s="2">
        <v>1</v>
      </c>
      <c r="D578" s="23">
        <v>5.99</v>
      </c>
      <c r="E578" s="3">
        <v>5.99</v>
      </c>
      <c r="F578" s="2" t="s">
        <v>19195</v>
      </c>
      <c r="G578" s="22" t="s">
        <v>19351</v>
      </c>
      <c r="H578" s="24" t="s">
        <v>19384</v>
      </c>
      <c r="I578" s="22" t="s">
        <v>19309</v>
      </c>
      <c r="J578" s="22" t="s">
        <v>19573</v>
      </c>
      <c r="K578" s="22" t="s">
        <v>19574</v>
      </c>
      <c r="L578" s="22"/>
      <c r="M578" s="22"/>
      <c r="N578" s="25" t="str">
        <f>HYPERLINK("http://slimages.macys.com/is/image/MCY/21905250 ")</f>
        <v xml:space="preserve">http://slimages.macys.com/is/image/MCY/21905250 </v>
      </c>
    </row>
    <row r="579" spans="1:14" ht="24.75" x14ac:dyDescent="0.25">
      <c r="A579" s="21" t="s">
        <v>19193</v>
      </c>
      <c r="B579" s="22" t="s">
        <v>19194</v>
      </c>
      <c r="C579" s="2">
        <v>1</v>
      </c>
      <c r="D579" s="23">
        <v>5.99</v>
      </c>
      <c r="E579" s="3">
        <v>5.99</v>
      </c>
      <c r="F579" s="2" t="s">
        <v>19195</v>
      </c>
      <c r="G579" s="22" t="s">
        <v>19351</v>
      </c>
      <c r="H579" s="24" t="s">
        <v>19330</v>
      </c>
      <c r="I579" s="22" t="s">
        <v>19309</v>
      </c>
      <c r="J579" s="22" t="s">
        <v>19573</v>
      </c>
      <c r="K579" s="22" t="s">
        <v>19574</v>
      </c>
      <c r="L579" s="22"/>
      <c r="M579" s="22"/>
      <c r="N579" s="25" t="str">
        <f>HYPERLINK("http://slimages.macys.com/is/image/MCY/21905250 ")</f>
        <v xml:space="preserve">http://slimages.macys.com/is/image/MCY/21905250 </v>
      </c>
    </row>
    <row r="580" spans="1:14" ht="24.75" x14ac:dyDescent="0.25">
      <c r="A580" s="21" t="s">
        <v>14873</v>
      </c>
      <c r="B580" s="22" t="s">
        <v>14874</v>
      </c>
      <c r="C580" s="2">
        <v>1</v>
      </c>
      <c r="D580" s="23">
        <v>5.99</v>
      </c>
      <c r="E580" s="3">
        <v>5.99</v>
      </c>
      <c r="F580" s="2" t="s">
        <v>19195</v>
      </c>
      <c r="G580" s="22" t="s">
        <v>19351</v>
      </c>
      <c r="H580" s="24" t="s">
        <v>19538</v>
      </c>
      <c r="I580" s="22" t="s">
        <v>19309</v>
      </c>
      <c r="J580" s="22" t="s">
        <v>19573</v>
      </c>
      <c r="K580" s="22" t="s">
        <v>19574</v>
      </c>
      <c r="L580" s="22"/>
      <c r="M580" s="22"/>
      <c r="N580" s="25" t="str">
        <f>HYPERLINK("http://slimages.macys.com/is/image/MCY/21905250 ")</f>
        <v xml:space="preserve">http://slimages.macys.com/is/image/MCY/21905250 </v>
      </c>
    </row>
    <row r="581" spans="1:14" ht="24.75" x14ac:dyDescent="0.25">
      <c r="A581" s="21" t="s">
        <v>13493</v>
      </c>
      <c r="B581" s="22" t="s">
        <v>13494</v>
      </c>
      <c r="C581" s="2">
        <v>1</v>
      </c>
      <c r="D581" s="23">
        <v>5.99</v>
      </c>
      <c r="E581" s="3">
        <v>5.99</v>
      </c>
      <c r="F581" s="2" t="s">
        <v>19198</v>
      </c>
      <c r="G581" s="22" t="s">
        <v>18821</v>
      </c>
      <c r="H581" s="24" t="s">
        <v>19324</v>
      </c>
      <c r="I581" s="22" t="s">
        <v>19309</v>
      </c>
      <c r="J581" s="22" t="s">
        <v>19573</v>
      </c>
      <c r="K581" s="22" t="s">
        <v>19574</v>
      </c>
      <c r="L581" s="22"/>
      <c r="M581" s="22"/>
      <c r="N581" s="25" t="str">
        <f>HYPERLINK("http://slimages.macys.com/is/image/MCY/1521972 ")</f>
        <v xml:space="preserve">http://slimages.macys.com/is/image/MCY/1521972 </v>
      </c>
    </row>
    <row r="582" spans="1:14" ht="24.75" x14ac:dyDescent="0.25">
      <c r="A582" s="21" t="s">
        <v>19205</v>
      </c>
      <c r="B582" s="22" t="s">
        <v>19206</v>
      </c>
      <c r="C582" s="2">
        <v>1</v>
      </c>
      <c r="D582" s="23">
        <v>5.99</v>
      </c>
      <c r="E582" s="3">
        <v>5.99</v>
      </c>
      <c r="F582" s="2" t="s">
        <v>19204</v>
      </c>
      <c r="G582" s="22" t="s">
        <v>19431</v>
      </c>
      <c r="H582" s="24" t="s">
        <v>19538</v>
      </c>
      <c r="I582" s="22" t="s">
        <v>19309</v>
      </c>
      <c r="J582" s="22" t="s">
        <v>19573</v>
      </c>
      <c r="K582" s="22" t="s">
        <v>19574</v>
      </c>
      <c r="L582" s="22"/>
      <c r="M582" s="22"/>
      <c r="N582" s="25" t="str">
        <f>HYPERLINK("http://slimages.macys.com/is/image/MCY/1537013 ")</f>
        <v xml:space="preserve">http://slimages.macys.com/is/image/MCY/1537013 </v>
      </c>
    </row>
    <row r="583" spans="1:14" ht="24.75" x14ac:dyDescent="0.25">
      <c r="A583" s="21" t="s">
        <v>13495</v>
      </c>
      <c r="B583" s="22" t="s">
        <v>13496</v>
      </c>
      <c r="C583" s="2">
        <v>1</v>
      </c>
      <c r="D583" s="23">
        <v>5.99</v>
      </c>
      <c r="E583" s="3">
        <v>5.99</v>
      </c>
      <c r="F583" s="2" t="s">
        <v>19204</v>
      </c>
      <c r="G583" s="22" t="s">
        <v>19431</v>
      </c>
      <c r="H583" s="24" t="s">
        <v>19330</v>
      </c>
      <c r="I583" s="22" t="s">
        <v>19309</v>
      </c>
      <c r="J583" s="22" t="s">
        <v>19573</v>
      </c>
      <c r="K583" s="22" t="s">
        <v>19574</v>
      </c>
      <c r="L583" s="22"/>
      <c r="M583" s="22"/>
      <c r="N583" s="25" t="str">
        <f>HYPERLINK("http://slimages.macys.com/is/image/MCY/1537013 ")</f>
        <v xml:space="preserve">http://slimages.macys.com/is/image/MCY/1537013 </v>
      </c>
    </row>
    <row r="584" spans="1:14" ht="24.75" x14ac:dyDescent="0.25">
      <c r="A584" s="21" t="s">
        <v>17193</v>
      </c>
      <c r="B584" s="22" t="s">
        <v>17194</v>
      </c>
      <c r="C584" s="2">
        <v>1</v>
      </c>
      <c r="D584" s="23">
        <v>5.99</v>
      </c>
      <c r="E584" s="3">
        <v>5.99</v>
      </c>
      <c r="F584" s="2" t="s">
        <v>17195</v>
      </c>
      <c r="G584" s="22" t="s">
        <v>19618</v>
      </c>
      <c r="H584" s="24" t="s">
        <v>19416</v>
      </c>
      <c r="I584" s="22" t="s">
        <v>19309</v>
      </c>
      <c r="J584" s="22" t="s">
        <v>19573</v>
      </c>
      <c r="K584" s="22" t="s">
        <v>19574</v>
      </c>
      <c r="L584" s="22"/>
      <c r="M584" s="22"/>
      <c r="N584" s="25" t="str">
        <f>HYPERLINK("http://slimages.macys.com/is/image/MCY/21371429 ")</f>
        <v xml:space="preserve">http://slimages.macys.com/is/image/MCY/21371429 </v>
      </c>
    </row>
    <row r="585" spans="1:14" ht="24.75" x14ac:dyDescent="0.25">
      <c r="A585" s="21" t="s">
        <v>14892</v>
      </c>
      <c r="B585" s="22" t="s">
        <v>14893</v>
      </c>
      <c r="C585" s="2">
        <v>1</v>
      </c>
      <c r="D585" s="23">
        <v>6.99</v>
      </c>
      <c r="E585" s="3">
        <v>6.99</v>
      </c>
      <c r="F585" s="2" t="s">
        <v>14894</v>
      </c>
      <c r="G585" s="22" t="s">
        <v>19351</v>
      </c>
      <c r="H585" s="24" t="s">
        <v>19538</v>
      </c>
      <c r="I585" s="22" t="s">
        <v>19309</v>
      </c>
      <c r="J585" s="22" t="s">
        <v>19573</v>
      </c>
      <c r="K585" s="22" t="s">
        <v>19574</v>
      </c>
      <c r="L585" s="22"/>
      <c r="M585" s="22"/>
      <c r="N585" s="25" t="str">
        <f>HYPERLINK("http://slimages.macys.com/is/image/MCY/17565512 ")</f>
        <v xml:space="preserve">http://slimages.macys.com/is/image/MCY/17565512 </v>
      </c>
    </row>
    <row r="586" spans="1:14" ht="24.75" x14ac:dyDescent="0.25">
      <c r="A586" s="21" t="s">
        <v>13497</v>
      </c>
      <c r="B586" s="22" t="s">
        <v>13498</v>
      </c>
      <c r="C586" s="2">
        <v>1</v>
      </c>
      <c r="D586" s="23">
        <v>5.99</v>
      </c>
      <c r="E586" s="3">
        <v>5.99</v>
      </c>
      <c r="F586" s="2" t="s">
        <v>17198</v>
      </c>
      <c r="G586" s="22" t="s">
        <v>19467</v>
      </c>
      <c r="H586" s="24" t="s">
        <v>19324</v>
      </c>
      <c r="I586" s="22" t="s">
        <v>19309</v>
      </c>
      <c r="J586" s="22" t="s">
        <v>19573</v>
      </c>
      <c r="K586" s="22" t="s">
        <v>19574</v>
      </c>
      <c r="L586" s="22"/>
      <c r="M586" s="22"/>
      <c r="N586" s="25" t="str">
        <f>HYPERLINK("http://slimages.macys.com/is/image/MCY/21209066 ")</f>
        <v xml:space="preserve">http://slimages.macys.com/is/image/MCY/21209066 </v>
      </c>
    </row>
    <row r="587" spans="1:14" ht="24.75" x14ac:dyDescent="0.25">
      <c r="A587" s="21" t="s">
        <v>13499</v>
      </c>
      <c r="B587" s="22" t="s">
        <v>13500</v>
      </c>
      <c r="C587" s="2">
        <v>1</v>
      </c>
      <c r="D587" s="23">
        <v>6.99</v>
      </c>
      <c r="E587" s="3">
        <v>6.99</v>
      </c>
      <c r="F587" s="2" t="s">
        <v>19217</v>
      </c>
      <c r="G587" s="22" t="s">
        <v>19906</v>
      </c>
      <c r="H587" s="24" t="s">
        <v>20135</v>
      </c>
      <c r="I587" s="22" t="s">
        <v>19309</v>
      </c>
      <c r="J587" s="22" t="s">
        <v>19454</v>
      </c>
      <c r="K587" s="22" t="s">
        <v>19354</v>
      </c>
      <c r="L587" s="22"/>
      <c r="M587" s="22"/>
      <c r="N587" s="25" t="str">
        <f>HYPERLINK("http://slimages.macys.com/is/image/MCY/20708515 ")</f>
        <v xml:space="preserve">http://slimages.macys.com/is/image/MCY/20708515 </v>
      </c>
    </row>
    <row r="588" spans="1:14" ht="24.75" x14ac:dyDescent="0.25">
      <c r="A588" s="21" t="s">
        <v>17196</v>
      </c>
      <c r="B588" s="22" t="s">
        <v>17197</v>
      </c>
      <c r="C588" s="2">
        <v>1</v>
      </c>
      <c r="D588" s="23">
        <v>5.99</v>
      </c>
      <c r="E588" s="3">
        <v>5.99</v>
      </c>
      <c r="F588" s="2" t="s">
        <v>17198</v>
      </c>
      <c r="G588" s="22" t="s">
        <v>19467</v>
      </c>
      <c r="H588" s="24" t="s">
        <v>19330</v>
      </c>
      <c r="I588" s="22" t="s">
        <v>19309</v>
      </c>
      <c r="J588" s="22" t="s">
        <v>19573</v>
      </c>
      <c r="K588" s="22" t="s">
        <v>19574</v>
      </c>
      <c r="L588" s="22"/>
      <c r="M588" s="22"/>
      <c r="N588" s="25" t="str">
        <f>HYPERLINK("http://slimages.macys.com/is/image/MCY/21209066 ")</f>
        <v xml:space="preserve">http://slimages.macys.com/is/image/MCY/21209066 </v>
      </c>
    </row>
    <row r="589" spans="1:14" ht="24.75" x14ac:dyDescent="0.25">
      <c r="A589" s="21" t="s">
        <v>19212</v>
      </c>
      <c r="B589" s="22" t="s">
        <v>19213</v>
      </c>
      <c r="C589" s="2">
        <v>1</v>
      </c>
      <c r="D589" s="23">
        <v>5.99</v>
      </c>
      <c r="E589" s="3">
        <v>5.99</v>
      </c>
      <c r="F589" s="2" t="s">
        <v>19214</v>
      </c>
      <c r="G589" s="22" t="s">
        <v>19674</v>
      </c>
      <c r="H589" s="24" t="s">
        <v>19538</v>
      </c>
      <c r="I589" s="22" t="s">
        <v>19309</v>
      </c>
      <c r="J589" s="22" t="s">
        <v>19573</v>
      </c>
      <c r="K589" s="22" t="s">
        <v>19574</v>
      </c>
      <c r="L589" s="22"/>
      <c r="M589" s="22"/>
      <c r="N589" s="25" t="str">
        <f>HYPERLINK("http://slimages.macys.com/is/image/MCY/1570641 ")</f>
        <v xml:space="preserve">http://slimages.macys.com/is/image/MCY/1570641 </v>
      </c>
    </row>
    <row r="590" spans="1:14" ht="24.75" x14ac:dyDescent="0.25">
      <c r="A590" s="21" t="s">
        <v>17199</v>
      </c>
      <c r="B590" s="22" t="s">
        <v>17200</v>
      </c>
      <c r="C590" s="2">
        <v>1</v>
      </c>
      <c r="D590" s="23">
        <v>5.99</v>
      </c>
      <c r="E590" s="3">
        <v>5.99</v>
      </c>
      <c r="F590" s="2" t="s">
        <v>17198</v>
      </c>
      <c r="G590" s="22" t="s">
        <v>19467</v>
      </c>
      <c r="H590" s="24" t="s">
        <v>19384</v>
      </c>
      <c r="I590" s="22" t="s">
        <v>19309</v>
      </c>
      <c r="J590" s="22" t="s">
        <v>19573</v>
      </c>
      <c r="K590" s="22" t="s">
        <v>19574</v>
      </c>
      <c r="L590" s="22"/>
      <c r="M590" s="22"/>
      <c r="N590" s="25" t="str">
        <f>HYPERLINK("http://slimages.macys.com/is/image/MCY/21209066 ")</f>
        <v xml:space="preserve">http://slimages.macys.com/is/image/MCY/21209066 </v>
      </c>
    </row>
    <row r="591" spans="1:14" ht="24.75" x14ac:dyDescent="0.25">
      <c r="A591" s="21" t="s">
        <v>19215</v>
      </c>
      <c r="B591" s="22" t="s">
        <v>19216</v>
      </c>
      <c r="C591" s="2">
        <v>1</v>
      </c>
      <c r="D591" s="23">
        <v>6.99</v>
      </c>
      <c r="E591" s="3">
        <v>6.99</v>
      </c>
      <c r="F591" s="2" t="s">
        <v>19217</v>
      </c>
      <c r="G591" s="22" t="s">
        <v>19906</v>
      </c>
      <c r="H591" s="24" t="s">
        <v>19392</v>
      </c>
      <c r="I591" s="22" t="s">
        <v>19309</v>
      </c>
      <c r="J591" s="22" t="s">
        <v>19454</v>
      </c>
      <c r="K591" s="22" t="s">
        <v>19354</v>
      </c>
      <c r="L591" s="22"/>
      <c r="M591" s="22"/>
      <c r="N591" s="25" t="str">
        <f>HYPERLINK("http://slimages.macys.com/is/image/MCY/20708515 ")</f>
        <v xml:space="preserve">http://slimages.macys.com/is/image/MCY/20708515 </v>
      </c>
    </row>
    <row r="592" spans="1:14" ht="24.75" x14ac:dyDescent="0.25">
      <c r="A592" s="21" t="s">
        <v>13501</v>
      </c>
      <c r="B592" s="22" t="s">
        <v>13502</v>
      </c>
      <c r="C592" s="2">
        <v>3</v>
      </c>
      <c r="D592" s="23">
        <v>6.99</v>
      </c>
      <c r="E592" s="3">
        <v>20.97</v>
      </c>
      <c r="F592" s="2" t="s">
        <v>19217</v>
      </c>
      <c r="G592" s="22" t="s">
        <v>19906</v>
      </c>
      <c r="H592" s="24" t="s">
        <v>19542</v>
      </c>
      <c r="I592" s="22" t="s">
        <v>19309</v>
      </c>
      <c r="J592" s="22" t="s">
        <v>19454</v>
      </c>
      <c r="K592" s="22" t="s">
        <v>19354</v>
      </c>
      <c r="L592" s="22"/>
      <c r="M592" s="22"/>
      <c r="N592" s="25" t="str">
        <f>HYPERLINK("http://slimages.macys.com/is/image/MCY/20708515 ")</f>
        <v xml:space="preserve">http://slimages.macys.com/is/image/MCY/20708515 </v>
      </c>
    </row>
    <row r="593" spans="1:14" ht="24.75" x14ac:dyDescent="0.25">
      <c r="A593" s="21" t="s">
        <v>13503</v>
      </c>
      <c r="B593" s="22" t="s">
        <v>13504</v>
      </c>
      <c r="C593" s="2">
        <v>2</v>
      </c>
      <c r="D593" s="23">
        <v>6.99</v>
      </c>
      <c r="E593" s="3">
        <v>13.98</v>
      </c>
      <c r="F593" s="2" t="s">
        <v>19217</v>
      </c>
      <c r="G593" s="22" t="s">
        <v>19906</v>
      </c>
      <c r="H593" s="24" t="s">
        <v>19432</v>
      </c>
      <c r="I593" s="22" t="s">
        <v>19309</v>
      </c>
      <c r="J593" s="22" t="s">
        <v>19454</v>
      </c>
      <c r="K593" s="22" t="s">
        <v>19354</v>
      </c>
      <c r="L593" s="22"/>
      <c r="M593" s="22"/>
      <c r="N593" s="25" t="str">
        <f>HYPERLINK("http://slimages.macys.com/is/image/MCY/20708515 ")</f>
        <v xml:space="preserve">http://slimages.macys.com/is/image/MCY/20708515 </v>
      </c>
    </row>
    <row r="594" spans="1:14" ht="24.75" x14ac:dyDescent="0.25">
      <c r="A594" s="21" t="s">
        <v>13505</v>
      </c>
      <c r="B594" s="22" t="s">
        <v>13506</v>
      </c>
      <c r="C594" s="2">
        <v>2</v>
      </c>
      <c r="D594" s="23">
        <v>6.99</v>
      </c>
      <c r="E594" s="3">
        <v>13.98</v>
      </c>
      <c r="F594" s="2" t="s">
        <v>19217</v>
      </c>
      <c r="G594" s="22" t="s">
        <v>19906</v>
      </c>
      <c r="H594" s="24" t="s">
        <v>19361</v>
      </c>
      <c r="I594" s="22" t="s">
        <v>19309</v>
      </c>
      <c r="J594" s="22" t="s">
        <v>19454</v>
      </c>
      <c r="K594" s="22" t="s">
        <v>19354</v>
      </c>
      <c r="L594" s="22"/>
      <c r="M594" s="22"/>
      <c r="N594" s="25" t="str">
        <f>HYPERLINK("http://slimages.macys.com/is/image/MCY/20708515 ")</f>
        <v xml:space="preserve">http://slimages.macys.com/is/image/MCY/20708515 </v>
      </c>
    </row>
    <row r="595" spans="1:14" ht="24.75" x14ac:dyDescent="0.25">
      <c r="A595" s="21" t="s">
        <v>19220</v>
      </c>
      <c r="B595" s="22" t="s">
        <v>19221</v>
      </c>
      <c r="C595" s="2">
        <v>1</v>
      </c>
      <c r="D595" s="23">
        <v>6.99</v>
      </c>
      <c r="E595" s="3">
        <v>6.99</v>
      </c>
      <c r="F595" s="2" t="s">
        <v>19217</v>
      </c>
      <c r="G595" s="22" t="s">
        <v>19906</v>
      </c>
      <c r="H595" s="24" t="s">
        <v>19907</v>
      </c>
      <c r="I595" s="22" t="s">
        <v>19309</v>
      </c>
      <c r="J595" s="22" t="s">
        <v>19454</v>
      </c>
      <c r="K595" s="22" t="s">
        <v>19354</v>
      </c>
      <c r="L595" s="22"/>
      <c r="M595" s="22"/>
      <c r="N595" s="25" t="str">
        <f>HYPERLINK("http://slimages.macys.com/is/image/MCY/20708515 ")</f>
        <v xml:space="preserve">http://slimages.macys.com/is/image/MCY/20708515 </v>
      </c>
    </row>
    <row r="596" spans="1:14" ht="24.75" x14ac:dyDescent="0.25">
      <c r="A596" s="21" t="s">
        <v>19225</v>
      </c>
      <c r="B596" s="22" t="s">
        <v>19226</v>
      </c>
      <c r="C596" s="2">
        <v>2</v>
      </c>
      <c r="D596" s="23">
        <v>5.99</v>
      </c>
      <c r="E596" s="3">
        <v>11.98</v>
      </c>
      <c r="F596" s="2" t="s">
        <v>19224</v>
      </c>
      <c r="G596" s="22" t="s">
        <v>18821</v>
      </c>
      <c r="H596" s="24" t="s">
        <v>19384</v>
      </c>
      <c r="I596" s="22" t="s">
        <v>19309</v>
      </c>
      <c r="J596" s="22" t="s">
        <v>19573</v>
      </c>
      <c r="K596" s="22" t="s">
        <v>19574</v>
      </c>
      <c r="L596" s="22"/>
      <c r="M596" s="22"/>
      <c r="N596" s="25" t="str">
        <f>HYPERLINK("http://slimages.macys.com/is/image/MCY/21905230 ")</f>
        <v xml:space="preserve">http://slimages.macys.com/is/image/MCY/21905230 </v>
      </c>
    </row>
    <row r="597" spans="1:14" ht="24.75" x14ac:dyDescent="0.25">
      <c r="A597" s="21" t="s">
        <v>13507</v>
      </c>
      <c r="B597" s="22" t="s">
        <v>13508</v>
      </c>
      <c r="C597" s="2">
        <v>1</v>
      </c>
      <c r="D597" s="23">
        <v>5.99</v>
      </c>
      <c r="E597" s="3">
        <v>5.99</v>
      </c>
      <c r="F597" s="2" t="s">
        <v>13509</v>
      </c>
      <c r="G597" s="22" t="s">
        <v>19415</v>
      </c>
      <c r="H597" s="24" t="s">
        <v>19324</v>
      </c>
      <c r="I597" s="22" t="s">
        <v>19309</v>
      </c>
      <c r="J597" s="22" t="s">
        <v>19573</v>
      </c>
      <c r="K597" s="22" t="s">
        <v>19574</v>
      </c>
      <c r="L597" s="22"/>
      <c r="M597" s="22"/>
      <c r="N597" s="25" t="str">
        <f>HYPERLINK("http://slimages.macys.com/is/image/MCY/21088469 ")</f>
        <v xml:space="preserve">http://slimages.macys.com/is/image/MCY/21088469 </v>
      </c>
    </row>
    <row r="598" spans="1:14" ht="24.75" x14ac:dyDescent="0.25">
      <c r="A598" s="21" t="s">
        <v>17210</v>
      </c>
      <c r="B598" s="22" t="s">
        <v>17211</v>
      </c>
      <c r="C598" s="2">
        <v>1</v>
      </c>
      <c r="D598" s="23">
        <v>6.99</v>
      </c>
      <c r="E598" s="3">
        <v>6.99</v>
      </c>
      <c r="F598" s="2" t="s">
        <v>19229</v>
      </c>
      <c r="G598" s="22" t="s">
        <v>19585</v>
      </c>
      <c r="H598" s="24" t="s">
        <v>19361</v>
      </c>
      <c r="I598" s="22" t="s">
        <v>19309</v>
      </c>
      <c r="J598" s="22" t="s">
        <v>19908</v>
      </c>
      <c r="K598" s="22" t="s">
        <v>19354</v>
      </c>
      <c r="L598" s="22"/>
      <c r="M598" s="22"/>
      <c r="N598" s="25" t="str">
        <f>HYPERLINK("http://slimages.macys.com/is/image/MCY/20708625 ")</f>
        <v xml:space="preserve">http://slimages.macys.com/is/image/MCY/20708625 </v>
      </c>
    </row>
    <row r="599" spans="1:14" ht="24.75" x14ac:dyDescent="0.25">
      <c r="A599" s="21" t="s">
        <v>19230</v>
      </c>
      <c r="B599" s="22" t="s">
        <v>19231</v>
      </c>
      <c r="C599" s="2">
        <v>1</v>
      </c>
      <c r="D599" s="23">
        <v>5.99</v>
      </c>
      <c r="E599" s="3">
        <v>5.99</v>
      </c>
      <c r="F599" s="2" t="s">
        <v>19232</v>
      </c>
      <c r="G599" s="22" t="s">
        <v>19467</v>
      </c>
      <c r="H599" s="24" t="s">
        <v>19416</v>
      </c>
      <c r="I599" s="22" t="s">
        <v>19309</v>
      </c>
      <c r="J599" s="22" t="s">
        <v>19573</v>
      </c>
      <c r="K599" s="22" t="s">
        <v>19574</v>
      </c>
      <c r="L599" s="22"/>
      <c r="M599" s="22"/>
      <c r="N599" s="25" t="str">
        <f>HYPERLINK("http://slimages.macys.com/is/image/MCY/21209505 ")</f>
        <v xml:space="preserve">http://slimages.macys.com/is/image/MCY/21209505 </v>
      </c>
    </row>
    <row r="600" spans="1:14" ht="24.75" x14ac:dyDescent="0.25">
      <c r="A600" s="21" t="s">
        <v>14922</v>
      </c>
      <c r="B600" s="22" t="s">
        <v>14923</v>
      </c>
      <c r="C600" s="2">
        <v>1</v>
      </c>
      <c r="D600" s="23">
        <v>6.99</v>
      </c>
      <c r="E600" s="3">
        <v>6.99</v>
      </c>
      <c r="F600" s="2" t="s">
        <v>14924</v>
      </c>
      <c r="G600" s="22" t="s">
        <v>19763</v>
      </c>
      <c r="H600" s="24" t="s">
        <v>19416</v>
      </c>
      <c r="I600" s="22" t="s">
        <v>19309</v>
      </c>
      <c r="J600" s="22" t="s">
        <v>19573</v>
      </c>
      <c r="K600" s="22" t="s">
        <v>19574</v>
      </c>
      <c r="L600" s="22"/>
      <c r="M600" s="22"/>
      <c r="N600" s="25" t="str">
        <f>HYPERLINK("http://slimages.macys.com/is/image/MCY/19507666 ")</f>
        <v xml:space="preserve">http://slimages.macys.com/is/image/MCY/19507666 </v>
      </c>
    </row>
    <row r="601" spans="1:14" ht="24.75" x14ac:dyDescent="0.25">
      <c r="A601" s="21" t="s">
        <v>19252</v>
      </c>
      <c r="B601" s="22" t="s">
        <v>19253</v>
      </c>
      <c r="C601" s="2">
        <v>1</v>
      </c>
      <c r="D601" s="23">
        <v>5.99</v>
      </c>
      <c r="E601" s="3">
        <v>5.99</v>
      </c>
      <c r="F601" s="2" t="s">
        <v>19254</v>
      </c>
      <c r="G601" s="22" t="s">
        <v>19431</v>
      </c>
      <c r="H601" s="24" t="s">
        <v>19324</v>
      </c>
      <c r="I601" s="22" t="s">
        <v>19309</v>
      </c>
      <c r="J601" s="22" t="s">
        <v>19573</v>
      </c>
      <c r="K601" s="22" t="s">
        <v>19574</v>
      </c>
      <c r="L601" s="22"/>
      <c r="M601" s="22"/>
      <c r="N601" s="25" t="str">
        <f>HYPERLINK("http://slimages.macys.com/is/image/MCY/21209124 ")</f>
        <v xml:space="preserve">http://slimages.macys.com/is/image/MCY/21209124 </v>
      </c>
    </row>
    <row r="602" spans="1:14" ht="24.75" x14ac:dyDescent="0.25">
      <c r="A602" s="21" t="s">
        <v>14972</v>
      </c>
      <c r="B602" s="22" t="s">
        <v>14973</v>
      </c>
      <c r="C602" s="2">
        <v>1</v>
      </c>
      <c r="D602" s="23">
        <v>5.99</v>
      </c>
      <c r="E602" s="3">
        <v>5.99</v>
      </c>
      <c r="F602" s="2" t="s">
        <v>19273</v>
      </c>
      <c r="G602" s="22" t="s">
        <v>19794</v>
      </c>
      <c r="H602" s="24" t="s">
        <v>19324</v>
      </c>
      <c r="I602" s="22" t="s">
        <v>19309</v>
      </c>
      <c r="J602" s="22" t="s">
        <v>19573</v>
      </c>
      <c r="K602" s="22" t="s">
        <v>19574</v>
      </c>
      <c r="L602" s="22"/>
      <c r="M602" s="22"/>
      <c r="N602" s="25" t="str">
        <f>HYPERLINK("http://slimages.macys.com/is/image/MCY/21209112 ")</f>
        <v xml:space="preserve">http://slimages.macys.com/is/image/MCY/21209112 </v>
      </c>
    </row>
    <row r="603" spans="1:14" ht="24.75" x14ac:dyDescent="0.25">
      <c r="A603" s="21" t="s">
        <v>17387</v>
      </c>
      <c r="B603" s="22" t="s">
        <v>17388</v>
      </c>
      <c r="C603" s="2">
        <v>4</v>
      </c>
      <c r="D603" s="23">
        <v>5.99</v>
      </c>
      <c r="E603" s="3">
        <v>23.96</v>
      </c>
      <c r="F603" s="2" t="s">
        <v>17384</v>
      </c>
      <c r="G603" s="22" t="s">
        <v>18439</v>
      </c>
      <c r="H603" s="24" t="s">
        <v>19538</v>
      </c>
      <c r="I603" s="22" t="s">
        <v>19309</v>
      </c>
      <c r="J603" s="22" t="s">
        <v>19573</v>
      </c>
      <c r="K603" s="22" t="s">
        <v>19574</v>
      </c>
      <c r="L603" s="22"/>
      <c r="M603" s="22"/>
      <c r="N603" s="25" t="str">
        <f>HYPERLINK("http://slimages.macys.com/is/image/MCY/1905756 ")</f>
        <v xml:space="preserve">http://slimages.macys.com/is/image/MCY/1905756 </v>
      </c>
    </row>
    <row r="604" spans="1:14" ht="24.75" x14ac:dyDescent="0.25">
      <c r="A604" s="21" t="s">
        <v>19279</v>
      </c>
      <c r="B604" s="22" t="s">
        <v>17383</v>
      </c>
      <c r="C604" s="2">
        <v>5</v>
      </c>
      <c r="D604" s="23">
        <v>5.99</v>
      </c>
      <c r="E604" s="3">
        <v>29.95</v>
      </c>
      <c r="F604" s="2" t="s">
        <v>17384</v>
      </c>
      <c r="G604" s="22" t="s">
        <v>18439</v>
      </c>
      <c r="H604" s="24" t="s">
        <v>19416</v>
      </c>
      <c r="I604" s="22" t="s">
        <v>19309</v>
      </c>
      <c r="J604" s="22" t="s">
        <v>19573</v>
      </c>
      <c r="K604" s="22" t="s">
        <v>19574</v>
      </c>
      <c r="L604" s="22"/>
      <c r="M604" s="22"/>
      <c r="N604" s="25" t="str">
        <f>HYPERLINK("http://slimages.macys.com/is/image/MCY/1905756 ")</f>
        <v xml:space="preserve">http://slimages.macys.com/is/image/MCY/1905756 </v>
      </c>
    </row>
    <row r="605" spans="1:14" ht="24.75" x14ac:dyDescent="0.25">
      <c r="A605" s="21" t="s">
        <v>17389</v>
      </c>
      <c r="B605" s="22" t="s">
        <v>17390</v>
      </c>
      <c r="C605" s="2">
        <v>1</v>
      </c>
      <c r="D605" s="23">
        <v>5.99</v>
      </c>
      <c r="E605" s="3">
        <v>5.99</v>
      </c>
      <c r="F605" s="2" t="s">
        <v>17384</v>
      </c>
      <c r="G605" s="22" t="s">
        <v>18439</v>
      </c>
      <c r="H605" s="24" t="s">
        <v>19384</v>
      </c>
      <c r="I605" s="22" t="s">
        <v>19309</v>
      </c>
      <c r="J605" s="22" t="s">
        <v>19573</v>
      </c>
      <c r="K605" s="22" t="s">
        <v>19574</v>
      </c>
      <c r="L605" s="22"/>
      <c r="M605" s="22"/>
      <c r="N605" s="25" t="str">
        <f>HYPERLINK("http://slimages.macys.com/is/image/MCY/1905756 ")</f>
        <v xml:space="preserve">http://slimages.macys.com/is/image/MCY/1905756 </v>
      </c>
    </row>
    <row r="606" spans="1:14" ht="24.75" x14ac:dyDescent="0.25">
      <c r="A606" s="21" t="s">
        <v>17385</v>
      </c>
      <c r="B606" s="22" t="s">
        <v>17386</v>
      </c>
      <c r="C606" s="2">
        <v>4</v>
      </c>
      <c r="D606" s="23">
        <v>5.99</v>
      </c>
      <c r="E606" s="3">
        <v>23.96</v>
      </c>
      <c r="F606" s="2" t="s">
        <v>17384</v>
      </c>
      <c r="G606" s="22" t="s">
        <v>18439</v>
      </c>
      <c r="H606" s="24" t="s">
        <v>19330</v>
      </c>
      <c r="I606" s="22" t="s">
        <v>19309</v>
      </c>
      <c r="J606" s="22" t="s">
        <v>19573</v>
      </c>
      <c r="K606" s="22" t="s">
        <v>19574</v>
      </c>
      <c r="L606" s="22"/>
      <c r="M606" s="22"/>
      <c r="N606" s="25" t="str">
        <f>HYPERLINK("http://slimages.macys.com/is/image/MCY/1905756 ")</f>
        <v xml:space="preserve">http://slimages.macys.com/is/image/MCY/1905756 </v>
      </c>
    </row>
    <row r="607" spans="1:14" ht="24.75" x14ac:dyDescent="0.25">
      <c r="A607" s="21" t="s">
        <v>17391</v>
      </c>
      <c r="B607" s="22" t="s">
        <v>17392</v>
      </c>
      <c r="C607" s="2">
        <v>2</v>
      </c>
      <c r="D607" s="23">
        <v>5.99</v>
      </c>
      <c r="E607" s="3">
        <v>11.98</v>
      </c>
      <c r="F607" s="2" t="s">
        <v>17384</v>
      </c>
      <c r="G607" s="22" t="s">
        <v>18439</v>
      </c>
      <c r="H607" s="24" t="s">
        <v>19324</v>
      </c>
      <c r="I607" s="22" t="s">
        <v>19309</v>
      </c>
      <c r="J607" s="22" t="s">
        <v>19573</v>
      </c>
      <c r="K607" s="22" t="s">
        <v>19574</v>
      </c>
      <c r="L607" s="22"/>
      <c r="M607" s="22"/>
      <c r="N607" s="25" t="str">
        <f>HYPERLINK("http://slimages.macys.com/is/image/MCY/1905756 ")</f>
        <v xml:space="preserve">http://slimages.macys.com/is/image/MCY/1905756 </v>
      </c>
    </row>
    <row r="608" spans="1:14" ht="24.75" x14ac:dyDescent="0.25">
      <c r="A608" s="21" t="s">
        <v>13510</v>
      </c>
      <c r="B608" s="22" t="s">
        <v>13511</v>
      </c>
      <c r="C608" s="2">
        <v>1</v>
      </c>
      <c r="D608" s="23">
        <v>6.99</v>
      </c>
      <c r="E608" s="3">
        <v>6.99</v>
      </c>
      <c r="F608" s="2" t="s">
        <v>13512</v>
      </c>
      <c r="G608" s="22" t="s">
        <v>19518</v>
      </c>
      <c r="H608" s="24" t="s">
        <v>19324</v>
      </c>
      <c r="I608" s="22" t="s">
        <v>19309</v>
      </c>
      <c r="J608" s="22" t="s">
        <v>19573</v>
      </c>
      <c r="K608" s="22" t="s">
        <v>19574</v>
      </c>
      <c r="L608" s="22"/>
      <c r="M608" s="22"/>
      <c r="N608" s="25" t="str">
        <f>HYPERLINK("http://slimages.macys.com/is/image/MCY/19755042 ")</f>
        <v xml:space="preserve">http://slimages.macys.com/is/image/MCY/19755042 </v>
      </c>
    </row>
    <row r="609" spans="1:14" ht="24.75" x14ac:dyDescent="0.25">
      <c r="A609" s="21" t="s">
        <v>13513</v>
      </c>
      <c r="B609" s="22" t="s">
        <v>13514</v>
      </c>
      <c r="C609" s="2">
        <v>1</v>
      </c>
      <c r="D609" s="23">
        <v>6.99</v>
      </c>
      <c r="E609" s="3">
        <v>6.99</v>
      </c>
      <c r="F609" s="2" t="s">
        <v>13515</v>
      </c>
      <c r="G609" s="22" t="s">
        <v>19518</v>
      </c>
      <c r="H609" s="24" t="s">
        <v>19416</v>
      </c>
      <c r="I609" s="22" t="s">
        <v>19309</v>
      </c>
      <c r="J609" s="22" t="s">
        <v>19573</v>
      </c>
      <c r="K609" s="22" t="s">
        <v>19574</v>
      </c>
      <c r="L609" s="22"/>
      <c r="M609" s="22"/>
      <c r="N609" s="25" t="str">
        <f>HYPERLINK("http://slimages.macys.com/is/image/MCY/17656959 ")</f>
        <v xml:space="preserve">http://slimages.macys.com/is/image/MCY/17656959 </v>
      </c>
    </row>
    <row r="610" spans="1:14" ht="24.75" x14ac:dyDescent="0.25">
      <c r="A610" s="21" t="s">
        <v>13516</v>
      </c>
      <c r="B610" s="22" t="s">
        <v>13517</v>
      </c>
      <c r="C610" s="2">
        <v>1</v>
      </c>
      <c r="D610" s="23">
        <v>5.99</v>
      </c>
      <c r="E610" s="3">
        <v>5.99</v>
      </c>
      <c r="F610" s="2" t="s">
        <v>17268</v>
      </c>
      <c r="G610" s="22" t="s">
        <v>18764</v>
      </c>
      <c r="H610" s="24" t="s">
        <v>19324</v>
      </c>
      <c r="I610" s="22" t="s">
        <v>19309</v>
      </c>
      <c r="J610" s="22" t="s">
        <v>19573</v>
      </c>
      <c r="K610" s="22" t="s">
        <v>19574</v>
      </c>
      <c r="L610" s="22"/>
      <c r="M610" s="22"/>
      <c r="N610" s="25" t="str">
        <f>HYPERLINK("http://slimages.macys.com/is/image/MCY/21088470 ")</f>
        <v xml:space="preserve">http://slimages.macys.com/is/image/MCY/21088470 </v>
      </c>
    </row>
    <row r="611" spans="1:14" ht="24.75" x14ac:dyDescent="0.25">
      <c r="A611" s="21" t="s">
        <v>13518</v>
      </c>
      <c r="B611" s="22" t="s">
        <v>13519</v>
      </c>
      <c r="C611" s="2">
        <v>1</v>
      </c>
      <c r="D611" s="23">
        <v>5.99</v>
      </c>
      <c r="E611" s="3">
        <v>5.99</v>
      </c>
      <c r="F611" s="2" t="s">
        <v>17268</v>
      </c>
      <c r="G611" s="22" t="s">
        <v>18764</v>
      </c>
      <c r="H611" s="24" t="s">
        <v>19384</v>
      </c>
      <c r="I611" s="22" t="s">
        <v>19309</v>
      </c>
      <c r="J611" s="22" t="s">
        <v>19573</v>
      </c>
      <c r="K611" s="22" t="s">
        <v>19574</v>
      </c>
      <c r="L611" s="22"/>
      <c r="M611" s="22"/>
      <c r="N611" s="25" t="str">
        <f>HYPERLINK("http://slimages.macys.com/is/image/MCY/21088470 ")</f>
        <v xml:space="preserve">http://slimages.macys.com/is/image/MCY/21088470 </v>
      </c>
    </row>
    <row r="612" spans="1:14" ht="24.75" x14ac:dyDescent="0.25">
      <c r="A612" s="21" t="s">
        <v>13520</v>
      </c>
      <c r="B612" s="22" t="s">
        <v>13521</v>
      </c>
      <c r="C612" s="2">
        <v>3</v>
      </c>
      <c r="D612" s="23">
        <v>5.99</v>
      </c>
      <c r="E612" s="3">
        <v>17.97</v>
      </c>
      <c r="F612" s="2" t="s">
        <v>13522</v>
      </c>
      <c r="G612" s="22" t="s">
        <v>19763</v>
      </c>
      <c r="H612" s="24" t="s">
        <v>19324</v>
      </c>
      <c r="I612" s="22" t="s">
        <v>19309</v>
      </c>
      <c r="J612" s="22" t="s">
        <v>19573</v>
      </c>
      <c r="K612" s="22" t="s">
        <v>19574</v>
      </c>
      <c r="L612" s="22"/>
      <c r="M612" s="22"/>
      <c r="N612" s="25" t="str">
        <f>HYPERLINK("http://slimages.macys.com/is/image/MCY/19521011 ")</f>
        <v xml:space="preserve">http://slimages.macys.com/is/image/MCY/19521011 </v>
      </c>
    </row>
    <row r="613" spans="1:14" ht="24.75" x14ac:dyDescent="0.25">
      <c r="A613" s="21" t="s">
        <v>13523</v>
      </c>
      <c r="B613" s="22" t="s">
        <v>13524</v>
      </c>
      <c r="C613" s="2">
        <v>2</v>
      </c>
      <c r="D613" s="23">
        <v>5.99</v>
      </c>
      <c r="E613" s="3">
        <v>11.98</v>
      </c>
      <c r="F613" s="2" t="s">
        <v>13522</v>
      </c>
      <c r="G613" s="22" t="s">
        <v>19763</v>
      </c>
      <c r="H613" s="24" t="s">
        <v>19384</v>
      </c>
      <c r="I613" s="22" t="s">
        <v>19309</v>
      </c>
      <c r="J613" s="22" t="s">
        <v>19573</v>
      </c>
      <c r="K613" s="22" t="s">
        <v>19574</v>
      </c>
      <c r="L613" s="22"/>
      <c r="M613" s="22"/>
      <c r="N613" s="25" t="str">
        <f>HYPERLINK("http://slimages.macys.com/is/image/MCY/19521011 ")</f>
        <v xml:space="preserve">http://slimages.macys.com/is/image/MCY/19521011 </v>
      </c>
    </row>
    <row r="614" spans="1:14" ht="24.75" x14ac:dyDescent="0.25">
      <c r="A614" s="21" t="s">
        <v>13525</v>
      </c>
      <c r="B614" s="22" t="s">
        <v>13526</v>
      </c>
      <c r="C614" s="2">
        <v>2</v>
      </c>
      <c r="D614" s="23">
        <v>5.99</v>
      </c>
      <c r="E614" s="3">
        <v>11.98</v>
      </c>
      <c r="F614" s="2" t="s">
        <v>13522</v>
      </c>
      <c r="G614" s="22" t="s">
        <v>19763</v>
      </c>
      <c r="H614" s="24" t="s">
        <v>19538</v>
      </c>
      <c r="I614" s="22" t="s">
        <v>19309</v>
      </c>
      <c r="J614" s="22" t="s">
        <v>19573</v>
      </c>
      <c r="K614" s="22" t="s">
        <v>19574</v>
      </c>
      <c r="L614" s="22"/>
      <c r="M614" s="22"/>
      <c r="N614" s="25" t="str">
        <f>HYPERLINK("http://slimages.macys.com/is/image/MCY/19521011 ")</f>
        <v xml:space="preserve">http://slimages.macys.com/is/image/MCY/19521011 </v>
      </c>
    </row>
    <row r="615" spans="1:14" ht="24.75" x14ac:dyDescent="0.25">
      <c r="A615" s="21" t="s">
        <v>13527</v>
      </c>
      <c r="B615" s="22" t="s">
        <v>13528</v>
      </c>
      <c r="C615" s="2">
        <v>1</v>
      </c>
      <c r="D615" s="23">
        <v>5.99</v>
      </c>
      <c r="E615" s="3">
        <v>5.99</v>
      </c>
      <c r="F615" s="2" t="s">
        <v>17408</v>
      </c>
      <c r="G615" s="22" t="s">
        <v>19467</v>
      </c>
      <c r="H615" s="24" t="s">
        <v>19324</v>
      </c>
      <c r="I615" s="22" t="s">
        <v>19309</v>
      </c>
      <c r="J615" s="22" t="s">
        <v>19573</v>
      </c>
      <c r="K615" s="22" t="s">
        <v>19574</v>
      </c>
      <c r="L615" s="22"/>
      <c r="M615" s="22"/>
      <c r="N615" s="25" t="str">
        <f>HYPERLINK("http://slimages.macys.com/is/image/MCY/21970244 ")</f>
        <v xml:space="preserve">http://slimages.macys.com/is/image/MCY/21970244 </v>
      </c>
    </row>
    <row r="616" spans="1:14" ht="24.75" x14ac:dyDescent="0.25">
      <c r="A616" s="21" t="s">
        <v>17406</v>
      </c>
      <c r="B616" s="22" t="s">
        <v>17407</v>
      </c>
      <c r="C616" s="2">
        <v>3</v>
      </c>
      <c r="D616" s="23">
        <v>5.99</v>
      </c>
      <c r="E616" s="3">
        <v>17.97</v>
      </c>
      <c r="F616" s="2" t="s">
        <v>17408</v>
      </c>
      <c r="G616" s="22" t="s">
        <v>19467</v>
      </c>
      <c r="H616" s="24" t="s">
        <v>19538</v>
      </c>
      <c r="I616" s="22" t="s">
        <v>19309</v>
      </c>
      <c r="J616" s="22" t="s">
        <v>19573</v>
      </c>
      <c r="K616" s="22" t="s">
        <v>19574</v>
      </c>
      <c r="L616" s="22"/>
      <c r="M616" s="22"/>
      <c r="N616" s="25" t="str">
        <f>HYPERLINK("http://slimages.macys.com/is/image/MCY/21970244 ")</f>
        <v xml:space="preserve">http://slimages.macys.com/is/image/MCY/21970244 </v>
      </c>
    </row>
    <row r="617" spans="1:14" ht="24.75" x14ac:dyDescent="0.25">
      <c r="A617" s="21" t="s">
        <v>17281</v>
      </c>
      <c r="B617" s="22" t="s">
        <v>17282</v>
      </c>
      <c r="C617" s="2">
        <v>1</v>
      </c>
      <c r="D617" s="23">
        <v>5.99</v>
      </c>
      <c r="E617" s="3">
        <v>5.99</v>
      </c>
      <c r="F617" s="2" t="s">
        <v>17283</v>
      </c>
      <c r="G617" s="22" t="s">
        <v>19618</v>
      </c>
      <c r="H617" s="24" t="s">
        <v>19330</v>
      </c>
      <c r="I617" s="22" t="s">
        <v>19309</v>
      </c>
      <c r="J617" s="22" t="s">
        <v>19573</v>
      </c>
      <c r="K617" s="22" t="s">
        <v>19574</v>
      </c>
      <c r="L617" s="22"/>
      <c r="M617" s="22"/>
      <c r="N617" s="25" t="str">
        <f>HYPERLINK("http://slimages.macys.com/is/image/MCY/21089253 ")</f>
        <v xml:space="preserve">http://slimages.macys.com/is/image/MCY/21089253 </v>
      </c>
    </row>
    <row r="618" spans="1:14" ht="24.75" x14ac:dyDescent="0.25">
      <c r="A618" s="21" t="s">
        <v>13529</v>
      </c>
      <c r="B618" s="22" t="s">
        <v>13530</v>
      </c>
      <c r="C618" s="2">
        <v>1</v>
      </c>
      <c r="D618" s="23">
        <v>5.99</v>
      </c>
      <c r="E618" s="3">
        <v>5.99</v>
      </c>
      <c r="F618" s="2" t="s">
        <v>17283</v>
      </c>
      <c r="G618" s="22" t="s">
        <v>19618</v>
      </c>
      <c r="H618" s="24" t="s">
        <v>19416</v>
      </c>
      <c r="I618" s="22" t="s">
        <v>19309</v>
      </c>
      <c r="J618" s="22" t="s">
        <v>19573</v>
      </c>
      <c r="K618" s="22" t="s">
        <v>19574</v>
      </c>
      <c r="L618" s="22"/>
      <c r="M618" s="22"/>
      <c r="N618" s="25" t="str">
        <f>HYPERLINK("http://slimages.macys.com/is/image/MCY/21089253 ")</f>
        <v xml:space="preserve">http://slimages.macys.com/is/image/MCY/21089253 </v>
      </c>
    </row>
    <row r="619" spans="1:14" ht="24.75" x14ac:dyDescent="0.25">
      <c r="A619" s="21" t="s">
        <v>17415</v>
      </c>
      <c r="B619" s="22" t="s">
        <v>17416</v>
      </c>
      <c r="C619" s="2">
        <v>1</v>
      </c>
      <c r="D619" s="23">
        <v>5.99</v>
      </c>
      <c r="E619" s="3">
        <v>5.99</v>
      </c>
      <c r="F619" s="2" t="s">
        <v>17417</v>
      </c>
      <c r="G619" s="22" t="s">
        <v>19351</v>
      </c>
      <c r="H619" s="24" t="s">
        <v>19384</v>
      </c>
      <c r="I619" s="22" t="s">
        <v>19309</v>
      </c>
      <c r="J619" s="22" t="s">
        <v>19573</v>
      </c>
      <c r="K619" s="22" t="s">
        <v>19574</v>
      </c>
      <c r="L619" s="22"/>
      <c r="M619" s="22"/>
      <c r="N619" s="25" t="str">
        <f>HYPERLINK("http://slimages.macys.com/is/image/MCY/21209473 ")</f>
        <v xml:space="preserve">http://slimages.macys.com/is/image/MCY/21209473 </v>
      </c>
    </row>
    <row r="620" spans="1:14" ht="24.75" x14ac:dyDescent="0.25">
      <c r="A620" s="21" t="s">
        <v>13531</v>
      </c>
      <c r="B620" s="22" t="s">
        <v>13532</v>
      </c>
      <c r="C620" s="2">
        <v>1</v>
      </c>
      <c r="D620" s="23">
        <v>5.99</v>
      </c>
      <c r="E620" s="3">
        <v>5.99</v>
      </c>
      <c r="F620" s="2" t="s">
        <v>17417</v>
      </c>
      <c r="G620" s="22" t="s">
        <v>19351</v>
      </c>
      <c r="H620" s="24" t="s">
        <v>19330</v>
      </c>
      <c r="I620" s="22" t="s">
        <v>19309</v>
      </c>
      <c r="J620" s="22" t="s">
        <v>19573</v>
      </c>
      <c r="K620" s="22" t="s">
        <v>19574</v>
      </c>
      <c r="L620" s="22"/>
      <c r="M620" s="22"/>
      <c r="N620" s="25" t="str">
        <f>HYPERLINK("http://slimages.macys.com/is/image/MCY/21209473 ")</f>
        <v xml:space="preserve">http://slimages.macys.com/is/image/MCY/21209473 </v>
      </c>
    </row>
    <row r="621" spans="1:14" ht="24.75" x14ac:dyDescent="0.25">
      <c r="A621" s="21" t="s">
        <v>17421</v>
      </c>
      <c r="B621" s="22" t="s">
        <v>17422</v>
      </c>
      <c r="C621" s="2">
        <v>1</v>
      </c>
      <c r="D621" s="23">
        <v>5.99</v>
      </c>
      <c r="E621" s="3">
        <v>5.99</v>
      </c>
      <c r="F621" s="2" t="s">
        <v>17417</v>
      </c>
      <c r="G621" s="22" t="s">
        <v>19351</v>
      </c>
      <c r="H621" s="24" t="s">
        <v>19538</v>
      </c>
      <c r="I621" s="22" t="s">
        <v>19309</v>
      </c>
      <c r="J621" s="22" t="s">
        <v>19573</v>
      </c>
      <c r="K621" s="22" t="s">
        <v>19574</v>
      </c>
      <c r="L621" s="22"/>
      <c r="M621" s="22"/>
      <c r="N621" s="25" t="str">
        <f>HYPERLINK("http://slimages.macys.com/is/image/MCY/21209473 ")</f>
        <v xml:space="preserve">http://slimages.macys.com/is/image/MCY/21209473 </v>
      </c>
    </row>
    <row r="622" spans="1:14" ht="24.75" x14ac:dyDescent="0.25">
      <c r="A622" s="21" t="s">
        <v>15005</v>
      </c>
      <c r="B622" s="22" t="s">
        <v>15006</v>
      </c>
      <c r="C622" s="2">
        <v>1</v>
      </c>
      <c r="D622" s="23">
        <v>5.99</v>
      </c>
      <c r="E622" s="3">
        <v>5.99</v>
      </c>
      <c r="F622" s="2" t="s">
        <v>17430</v>
      </c>
      <c r="G622" s="22" t="s">
        <v>19351</v>
      </c>
      <c r="H622" s="24" t="s">
        <v>19330</v>
      </c>
      <c r="I622" s="22" t="s">
        <v>19309</v>
      </c>
      <c r="J622" s="22" t="s">
        <v>19573</v>
      </c>
      <c r="K622" s="22" t="s">
        <v>19574</v>
      </c>
      <c r="L622" s="22"/>
      <c r="M622" s="22"/>
      <c r="N622" s="25" t="str">
        <f>HYPERLINK("http://slimages.macys.com/is/image/MCY/1537013 ")</f>
        <v xml:space="preserve">http://slimages.macys.com/is/image/MCY/1537013 </v>
      </c>
    </row>
    <row r="623" spans="1:14" ht="24.75" x14ac:dyDescent="0.25">
      <c r="A623" s="21" t="s">
        <v>13533</v>
      </c>
      <c r="B623" s="22" t="s">
        <v>13534</v>
      </c>
      <c r="C623" s="2">
        <v>1</v>
      </c>
      <c r="D623" s="23">
        <v>5.99</v>
      </c>
      <c r="E623" s="3">
        <v>5.99</v>
      </c>
      <c r="F623" s="2" t="s">
        <v>17433</v>
      </c>
      <c r="G623" s="22" t="s">
        <v>19467</v>
      </c>
      <c r="H623" s="24" t="s">
        <v>19416</v>
      </c>
      <c r="I623" s="22" t="s">
        <v>19309</v>
      </c>
      <c r="J623" s="22" t="s">
        <v>19573</v>
      </c>
      <c r="K623" s="22" t="s">
        <v>19574</v>
      </c>
      <c r="L623" s="22"/>
      <c r="M623" s="22"/>
      <c r="N623" s="25" t="str">
        <f>HYPERLINK("http://slimages.macys.com/is/image/MCY/21209307 ")</f>
        <v xml:space="preserve">http://slimages.macys.com/is/image/MCY/21209307 </v>
      </c>
    </row>
    <row r="624" spans="1:14" ht="24.75" x14ac:dyDescent="0.25">
      <c r="A624" s="21" t="s">
        <v>13535</v>
      </c>
      <c r="B624" s="22" t="s">
        <v>13536</v>
      </c>
      <c r="C624" s="2">
        <v>1</v>
      </c>
      <c r="D624" s="23">
        <v>5.99</v>
      </c>
      <c r="E624" s="3">
        <v>5.99</v>
      </c>
      <c r="F624" s="2" t="s">
        <v>13537</v>
      </c>
      <c r="G624" s="22" t="s">
        <v>19713</v>
      </c>
      <c r="H624" s="24" t="s">
        <v>19538</v>
      </c>
      <c r="I624" s="22" t="s">
        <v>19309</v>
      </c>
      <c r="J624" s="22" t="s">
        <v>19573</v>
      </c>
      <c r="K624" s="22" t="s">
        <v>19574</v>
      </c>
      <c r="L624" s="22"/>
      <c r="M624" s="22"/>
      <c r="N624" s="25" t="str">
        <f>HYPERLINK("http://slimages.macys.com/is/image/MCY/17663506 ")</f>
        <v xml:space="preserve">http://slimages.macys.com/is/image/MCY/17663506 </v>
      </c>
    </row>
    <row r="625" spans="1:14" ht="24.75" x14ac:dyDescent="0.25">
      <c r="A625" s="21" t="s">
        <v>15009</v>
      </c>
      <c r="B625" s="22" t="s">
        <v>15010</v>
      </c>
      <c r="C625" s="2">
        <v>1</v>
      </c>
      <c r="D625" s="23">
        <v>5.99</v>
      </c>
      <c r="E625" s="3">
        <v>5.99</v>
      </c>
      <c r="F625" s="2" t="s">
        <v>17440</v>
      </c>
      <c r="G625" s="22" t="s">
        <v>19415</v>
      </c>
      <c r="H625" s="24" t="s">
        <v>19330</v>
      </c>
      <c r="I625" s="22" t="s">
        <v>19309</v>
      </c>
      <c r="J625" s="22" t="s">
        <v>19573</v>
      </c>
      <c r="K625" s="22" t="s">
        <v>19574</v>
      </c>
      <c r="L625" s="22"/>
      <c r="M625" s="22"/>
      <c r="N625" s="25" t="str">
        <f>HYPERLINK("http://slimages.macys.com/is/image/MCY/21209026 ")</f>
        <v xml:space="preserve">http://slimages.macys.com/is/image/MCY/21209026 </v>
      </c>
    </row>
    <row r="626" spans="1:14" ht="24.75" x14ac:dyDescent="0.25">
      <c r="A626" s="21" t="s">
        <v>17286</v>
      </c>
      <c r="B626" s="22" t="s">
        <v>17287</v>
      </c>
      <c r="C626" s="2">
        <v>1</v>
      </c>
      <c r="D626" s="23">
        <v>5.99</v>
      </c>
      <c r="E626" s="3">
        <v>5.99</v>
      </c>
      <c r="F626" s="2" t="s">
        <v>17440</v>
      </c>
      <c r="G626" s="22" t="s">
        <v>19906</v>
      </c>
      <c r="H626" s="24" t="s">
        <v>19384</v>
      </c>
      <c r="I626" s="22" t="s">
        <v>19309</v>
      </c>
      <c r="J626" s="22" t="s">
        <v>19573</v>
      </c>
      <c r="K626" s="22" t="s">
        <v>19574</v>
      </c>
      <c r="L626" s="22"/>
      <c r="M626" s="22"/>
      <c r="N626" s="25" t="str">
        <f>HYPERLINK("http://slimages.macys.com/is/image/MCY/21209026 ")</f>
        <v xml:space="preserve">http://slimages.macys.com/is/image/MCY/21209026 </v>
      </c>
    </row>
    <row r="627" spans="1:14" ht="24.75" x14ac:dyDescent="0.25">
      <c r="A627" s="21" t="s">
        <v>17441</v>
      </c>
      <c r="B627" s="22" t="s">
        <v>17442</v>
      </c>
      <c r="C627" s="2">
        <v>1</v>
      </c>
      <c r="D627" s="23">
        <v>5.99</v>
      </c>
      <c r="E627" s="3">
        <v>5.99</v>
      </c>
      <c r="F627" s="2" t="s">
        <v>17440</v>
      </c>
      <c r="G627" s="22" t="s">
        <v>19415</v>
      </c>
      <c r="H627" s="24" t="s">
        <v>19384</v>
      </c>
      <c r="I627" s="22" t="s">
        <v>19309</v>
      </c>
      <c r="J627" s="22" t="s">
        <v>19573</v>
      </c>
      <c r="K627" s="22" t="s">
        <v>19574</v>
      </c>
      <c r="L627" s="22"/>
      <c r="M627" s="22"/>
      <c r="N627" s="25" t="str">
        <f>HYPERLINK("http://slimages.macys.com/is/image/MCY/21209026 ")</f>
        <v xml:space="preserve">http://slimages.macys.com/is/image/MCY/21209026 </v>
      </c>
    </row>
    <row r="628" spans="1:14" ht="24.75" x14ac:dyDescent="0.25">
      <c r="A628" s="21" t="s">
        <v>17447</v>
      </c>
      <c r="B628" s="22" t="s">
        <v>17448</v>
      </c>
      <c r="C628" s="2">
        <v>1</v>
      </c>
      <c r="D628" s="23">
        <v>5.99</v>
      </c>
      <c r="E628" s="3">
        <v>5.99</v>
      </c>
      <c r="F628" s="2" t="s">
        <v>17449</v>
      </c>
      <c r="G628" s="22" t="s">
        <v>19415</v>
      </c>
      <c r="H628" s="24" t="s">
        <v>19324</v>
      </c>
      <c r="I628" s="22" t="s">
        <v>19309</v>
      </c>
      <c r="J628" s="22" t="s">
        <v>19573</v>
      </c>
      <c r="K628" s="22" t="s">
        <v>19574</v>
      </c>
      <c r="L628" s="22"/>
      <c r="M628" s="22"/>
      <c r="N628" s="25" t="str">
        <f>HYPERLINK("http://slimages.macys.com/is/image/MCY/21209295 ")</f>
        <v xml:space="preserve">http://slimages.macys.com/is/image/MCY/21209295 </v>
      </c>
    </row>
    <row r="629" spans="1:14" ht="24.75" x14ac:dyDescent="0.25">
      <c r="A629" s="21" t="s">
        <v>15011</v>
      </c>
      <c r="B629" s="22" t="s">
        <v>15012</v>
      </c>
      <c r="C629" s="2">
        <v>1</v>
      </c>
      <c r="D629" s="23">
        <v>5.99</v>
      </c>
      <c r="E629" s="3">
        <v>5.99</v>
      </c>
      <c r="F629" s="2" t="s">
        <v>17449</v>
      </c>
      <c r="G629" s="22" t="s">
        <v>19415</v>
      </c>
      <c r="H629" s="24" t="s">
        <v>19330</v>
      </c>
      <c r="I629" s="22" t="s">
        <v>19309</v>
      </c>
      <c r="J629" s="22" t="s">
        <v>19573</v>
      </c>
      <c r="K629" s="22" t="s">
        <v>19574</v>
      </c>
      <c r="L629" s="22"/>
      <c r="M629" s="22"/>
      <c r="N629" s="25" t="str">
        <f>HYPERLINK("http://slimages.macys.com/is/image/MCY/21209295 ")</f>
        <v xml:space="preserve">http://slimages.macys.com/is/image/MCY/21209295 </v>
      </c>
    </row>
    <row r="630" spans="1:14" ht="24.75" x14ac:dyDescent="0.25">
      <c r="A630" s="21" t="s">
        <v>15013</v>
      </c>
      <c r="B630" s="22" t="s">
        <v>15014</v>
      </c>
      <c r="C630" s="2">
        <v>1</v>
      </c>
      <c r="D630" s="23">
        <v>5.99</v>
      </c>
      <c r="E630" s="3">
        <v>5.99</v>
      </c>
      <c r="F630" s="2" t="s">
        <v>17449</v>
      </c>
      <c r="G630" s="22" t="s">
        <v>19415</v>
      </c>
      <c r="H630" s="24" t="s">
        <v>19416</v>
      </c>
      <c r="I630" s="22" t="s">
        <v>19309</v>
      </c>
      <c r="J630" s="22" t="s">
        <v>19573</v>
      </c>
      <c r="K630" s="22" t="s">
        <v>19574</v>
      </c>
      <c r="L630" s="22"/>
      <c r="M630" s="22"/>
      <c r="N630" s="25" t="str">
        <f>HYPERLINK("http://slimages.macys.com/is/image/MCY/21209295 ")</f>
        <v xml:space="preserve">http://slimages.macys.com/is/image/MCY/21209295 </v>
      </c>
    </row>
    <row r="631" spans="1:14" ht="24.75" x14ac:dyDescent="0.25">
      <c r="A631" s="21" t="s">
        <v>17292</v>
      </c>
      <c r="B631" s="22" t="s">
        <v>17293</v>
      </c>
      <c r="C631" s="2">
        <v>1</v>
      </c>
      <c r="D631" s="23">
        <v>5.99</v>
      </c>
      <c r="E631" s="3">
        <v>5.99</v>
      </c>
      <c r="F631" s="2" t="s">
        <v>17449</v>
      </c>
      <c r="G631" s="22" t="s">
        <v>19415</v>
      </c>
      <c r="H631" s="24" t="s">
        <v>19538</v>
      </c>
      <c r="I631" s="22" t="s">
        <v>19309</v>
      </c>
      <c r="J631" s="22" t="s">
        <v>19573</v>
      </c>
      <c r="K631" s="22" t="s">
        <v>19574</v>
      </c>
      <c r="L631" s="22"/>
      <c r="M631" s="22"/>
      <c r="N631" s="25" t="str">
        <f>HYPERLINK("http://slimages.macys.com/is/image/MCY/21209295 ")</f>
        <v xml:space="preserve">http://slimages.macys.com/is/image/MCY/21209295 </v>
      </c>
    </row>
    <row r="632" spans="1:14" ht="24.75" x14ac:dyDescent="0.25">
      <c r="A632" s="21" t="s">
        <v>17453</v>
      </c>
      <c r="B632" s="22" t="s">
        <v>17454</v>
      </c>
      <c r="C632" s="2">
        <v>2</v>
      </c>
      <c r="D632" s="23">
        <v>5.99</v>
      </c>
      <c r="E632" s="3">
        <v>11.98</v>
      </c>
      <c r="F632" s="2" t="s">
        <v>17455</v>
      </c>
      <c r="G632" s="22" t="s">
        <v>19431</v>
      </c>
      <c r="H632" s="24" t="s">
        <v>19384</v>
      </c>
      <c r="I632" s="22" t="s">
        <v>19309</v>
      </c>
      <c r="J632" s="22" t="s">
        <v>19573</v>
      </c>
      <c r="K632" s="22" t="s">
        <v>19574</v>
      </c>
      <c r="L632" s="22"/>
      <c r="M632" s="22"/>
      <c r="N632" s="25" t="str">
        <f>HYPERLINK("http://slimages.macys.com/is/image/MCY/21089250 ")</f>
        <v xml:space="preserve">http://slimages.macys.com/is/image/MCY/21089250 </v>
      </c>
    </row>
    <row r="633" spans="1:14" ht="24.75" x14ac:dyDescent="0.25">
      <c r="A633" s="21" t="s">
        <v>17450</v>
      </c>
      <c r="B633" s="22" t="s">
        <v>17451</v>
      </c>
      <c r="C633" s="2">
        <v>1</v>
      </c>
      <c r="D633" s="23">
        <v>5.99</v>
      </c>
      <c r="E633" s="3">
        <v>5.99</v>
      </c>
      <c r="F633" s="2" t="s">
        <v>17452</v>
      </c>
      <c r="G633" s="22" t="s">
        <v>19467</v>
      </c>
      <c r="H633" s="24" t="s">
        <v>19324</v>
      </c>
      <c r="I633" s="22" t="s">
        <v>19309</v>
      </c>
      <c r="J633" s="22" t="s">
        <v>19573</v>
      </c>
      <c r="K633" s="22" t="s">
        <v>19574</v>
      </c>
      <c r="L633" s="22"/>
      <c r="M633" s="22"/>
      <c r="N633" s="25" t="str">
        <f>HYPERLINK("http://slimages.macys.com/is/image/MCY/21209018 ")</f>
        <v xml:space="preserve">http://slimages.macys.com/is/image/MCY/21209018 </v>
      </c>
    </row>
    <row r="634" spans="1:14" ht="24.75" x14ac:dyDescent="0.25">
      <c r="A634" s="21" t="s">
        <v>17305</v>
      </c>
      <c r="B634" s="22" t="s">
        <v>17306</v>
      </c>
      <c r="C634" s="2">
        <v>1</v>
      </c>
      <c r="D634" s="23">
        <v>5.99</v>
      </c>
      <c r="E634" s="3">
        <v>5.99</v>
      </c>
      <c r="F634" s="2" t="s">
        <v>17452</v>
      </c>
      <c r="G634" s="22" t="s">
        <v>19467</v>
      </c>
      <c r="H634" s="24" t="s">
        <v>19538</v>
      </c>
      <c r="I634" s="22" t="s">
        <v>19309</v>
      </c>
      <c r="J634" s="22" t="s">
        <v>19573</v>
      </c>
      <c r="K634" s="22" t="s">
        <v>19574</v>
      </c>
      <c r="L634" s="22"/>
      <c r="M634" s="22"/>
      <c r="N634" s="25" t="str">
        <f>HYPERLINK("http://slimages.macys.com/is/image/MCY/21209018 ")</f>
        <v xml:space="preserve">http://slimages.macys.com/is/image/MCY/21209018 </v>
      </c>
    </row>
    <row r="635" spans="1:14" ht="24.75" x14ac:dyDescent="0.25">
      <c r="A635" s="21" t="s">
        <v>13538</v>
      </c>
      <c r="B635" s="22" t="s">
        <v>13539</v>
      </c>
      <c r="C635" s="2">
        <v>1</v>
      </c>
      <c r="D635" s="23">
        <v>5.99</v>
      </c>
      <c r="E635" s="3">
        <v>5.99</v>
      </c>
      <c r="F635" s="2" t="s">
        <v>17455</v>
      </c>
      <c r="G635" s="22" t="s">
        <v>19431</v>
      </c>
      <c r="H635" s="24" t="s">
        <v>19538</v>
      </c>
      <c r="I635" s="22" t="s">
        <v>19309</v>
      </c>
      <c r="J635" s="22" t="s">
        <v>19573</v>
      </c>
      <c r="K635" s="22" t="s">
        <v>19574</v>
      </c>
      <c r="L635" s="22"/>
      <c r="M635" s="22"/>
      <c r="N635" s="25" t="str">
        <f>HYPERLINK("http://slimages.macys.com/is/image/MCY/21089250 ")</f>
        <v xml:space="preserve">http://slimages.macys.com/is/image/MCY/21089250 </v>
      </c>
    </row>
    <row r="636" spans="1:14" ht="24.75" x14ac:dyDescent="0.25">
      <c r="A636" s="21" t="s">
        <v>17459</v>
      </c>
      <c r="B636" s="22" t="s">
        <v>17460</v>
      </c>
      <c r="C636" s="2">
        <v>1</v>
      </c>
      <c r="D636" s="23">
        <v>5.99</v>
      </c>
      <c r="E636" s="3">
        <v>5.99</v>
      </c>
      <c r="F636" s="2" t="s">
        <v>17455</v>
      </c>
      <c r="G636" s="22" t="s">
        <v>19431</v>
      </c>
      <c r="H636" s="24" t="s">
        <v>19324</v>
      </c>
      <c r="I636" s="22" t="s">
        <v>19309</v>
      </c>
      <c r="J636" s="22" t="s">
        <v>19573</v>
      </c>
      <c r="K636" s="22" t="s">
        <v>19574</v>
      </c>
      <c r="L636" s="22"/>
      <c r="M636" s="22"/>
      <c r="N636" s="25" t="str">
        <f>HYPERLINK("http://slimages.macys.com/is/image/MCY/21089250 ")</f>
        <v xml:space="preserve">http://slimages.macys.com/is/image/MCY/21089250 </v>
      </c>
    </row>
    <row r="637" spans="1:14" ht="24.75" x14ac:dyDescent="0.25">
      <c r="A637" s="21" t="s">
        <v>17470</v>
      </c>
      <c r="B637" s="22" t="s">
        <v>17471</v>
      </c>
      <c r="C637" s="2">
        <v>1</v>
      </c>
      <c r="D637" s="23">
        <v>5.99</v>
      </c>
      <c r="E637" s="3">
        <v>5.99</v>
      </c>
      <c r="F637" s="2" t="s">
        <v>17472</v>
      </c>
      <c r="G637" s="22" t="s">
        <v>19467</v>
      </c>
      <c r="H637" s="24" t="s">
        <v>19330</v>
      </c>
      <c r="I637" s="22" t="s">
        <v>19309</v>
      </c>
      <c r="J637" s="22" t="s">
        <v>19573</v>
      </c>
      <c r="K637" s="22" t="s">
        <v>19574</v>
      </c>
      <c r="L637" s="22"/>
      <c r="M637" s="22"/>
      <c r="N637" s="25" t="str">
        <f>HYPERLINK("http://slimages.macys.com/is/image/MCY/16605973 ")</f>
        <v xml:space="preserve">http://slimages.macys.com/is/image/MCY/16605973 </v>
      </c>
    </row>
    <row r="638" spans="1:14" ht="24.75" x14ac:dyDescent="0.25">
      <c r="A638" s="21" t="s">
        <v>13540</v>
      </c>
      <c r="B638" s="22" t="s">
        <v>13541</v>
      </c>
      <c r="C638" s="2">
        <v>2</v>
      </c>
      <c r="D638" s="23">
        <v>39.5</v>
      </c>
      <c r="E638" s="3">
        <v>79</v>
      </c>
      <c r="F638" s="2">
        <v>310880294003</v>
      </c>
      <c r="G638" s="22" t="s">
        <v>19323</v>
      </c>
      <c r="H638" s="24" t="s">
        <v>19324</v>
      </c>
      <c r="I638" s="22" t="s">
        <v>14376</v>
      </c>
      <c r="J638" s="22" t="s">
        <v>19325</v>
      </c>
      <c r="K638" s="22" t="s">
        <v>19326</v>
      </c>
      <c r="L638" s="22"/>
      <c r="M638" s="22"/>
      <c r="N638" s="25"/>
    </row>
    <row r="639" spans="1:14" ht="24.75" x14ac:dyDescent="0.25">
      <c r="A639" s="21" t="s">
        <v>13542</v>
      </c>
      <c r="B639" s="22" t="s">
        <v>13543</v>
      </c>
      <c r="C639" s="2">
        <v>1</v>
      </c>
      <c r="D639" s="23">
        <v>33.99</v>
      </c>
      <c r="E639" s="3">
        <v>33.99</v>
      </c>
      <c r="F639" s="2" t="s">
        <v>17595</v>
      </c>
      <c r="G639" s="22" t="s">
        <v>19498</v>
      </c>
      <c r="H639" s="24" t="s">
        <v>19416</v>
      </c>
      <c r="I639" s="22" t="s">
        <v>19309</v>
      </c>
      <c r="J639" s="22" t="s">
        <v>19385</v>
      </c>
      <c r="K639" s="22" t="s">
        <v>19386</v>
      </c>
      <c r="L639" s="22"/>
      <c r="M639" s="22"/>
      <c r="N639" s="25"/>
    </row>
    <row r="640" spans="1:14" ht="24.75" x14ac:dyDescent="0.25">
      <c r="A640" s="21" t="s">
        <v>14362</v>
      </c>
      <c r="B640" s="22" t="s">
        <v>14363</v>
      </c>
      <c r="C640" s="2">
        <v>1</v>
      </c>
      <c r="D640" s="23">
        <v>33.99</v>
      </c>
      <c r="E640" s="3">
        <v>33.99</v>
      </c>
      <c r="F640" s="2" t="s">
        <v>17592</v>
      </c>
      <c r="G640" s="22" t="s">
        <v>19422</v>
      </c>
      <c r="H640" s="24" t="s">
        <v>19384</v>
      </c>
      <c r="I640" s="22" t="s">
        <v>19309</v>
      </c>
      <c r="J640" s="22" t="s">
        <v>19385</v>
      </c>
      <c r="K640" s="22" t="s">
        <v>19386</v>
      </c>
      <c r="L640" s="22"/>
      <c r="M640" s="22"/>
      <c r="N640" s="25"/>
    </row>
    <row r="641" spans="1:14" ht="24.75" x14ac:dyDescent="0.25">
      <c r="A641" s="21" t="s">
        <v>17473</v>
      </c>
      <c r="B641" s="22" t="s">
        <v>17474</v>
      </c>
      <c r="C641" s="2">
        <v>1</v>
      </c>
      <c r="D641" s="23">
        <v>35.99</v>
      </c>
      <c r="E641" s="3">
        <v>35.99</v>
      </c>
      <c r="F641" s="2" t="s">
        <v>17475</v>
      </c>
      <c r="G641" s="22" t="s">
        <v>19674</v>
      </c>
      <c r="H641" s="24" t="s">
        <v>19330</v>
      </c>
      <c r="I641" s="22" t="s">
        <v>19309</v>
      </c>
      <c r="J641" s="22" t="s">
        <v>19385</v>
      </c>
      <c r="K641" s="22" t="s">
        <v>19487</v>
      </c>
      <c r="L641" s="22"/>
      <c r="M641" s="22"/>
      <c r="N641" s="25"/>
    </row>
    <row r="642" spans="1:14" ht="24.75" x14ac:dyDescent="0.25">
      <c r="A642" s="21" t="s">
        <v>17320</v>
      </c>
      <c r="B642" s="22" t="s">
        <v>17321</v>
      </c>
      <c r="C642" s="2">
        <v>1</v>
      </c>
      <c r="D642" s="23">
        <v>33.99</v>
      </c>
      <c r="E642" s="3">
        <v>33.99</v>
      </c>
      <c r="F642" s="2" t="s">
        <v>17595</v>
      </c>
      <c r="G642" s="22" t="s">
        <v>19498</v>
      </c>
      <c r="H642" s="24" t="s">
        <v>19324</v>
      </c>
      <c r="I642" s="22" t="s">
        <v>19309</v>
      </c>
      <c r="J642" s="22" t="s">
        <v>19385</v>
      </c>
      <c r="K642" s="22" t="s">
        <v>19386</v>
      </c>
      <c r="L642" s="22"/>
      <c r="M642" s="22"/>
      <c r="N642" s="25"/>
    </row>
    <row r="643" spans="1:14" ht="24.75" x14ac:dyDescent="0.25">
      <c r="A643" s="21" t="s">
        <v>13544</v>
      </c>
      <c r="B643" s="22" t="s">
        <v>13545</v>
      </c>
      <c r="C643" s="2">
        <v>2</v>
      </c>
      <c r="D643" s="23">
        <v>34.99</v>
      </c>
      <c r="E643" s="3">
        <v>69.98</v>
      </c>
      <c r="F643" s="2" t="s">
        <v>17478</v>
      </c>
      <c r="G643" s="22" t="s">
        <v>19333</v>
      </c>
      <c r="H643" s="24" t="s">
        <v>19416</v>
      </c>
      <c r="I643" s="22" t="s">
        <v>19309</v>
      </c>
      <c r="J643" s="22" t="s">
        <v>19385</v>
      </c>
      <c r="K643" s="22" t="s">
        <v>19487</v>
      </c>
      <c r="L643" s="22"/>
      <c r="M643" s="22"/>
      <c r="N643" s="25"/>
    </row>
    <row r="644" spans="1:14" ht="24.75" x14ac:dyDescent="0.25">
      <c r="A644" s="21" t="s">
        <v>13546</v>
      </c>
      <c r="B644" s="22" t="s">
        <v>13547</v>
      </c>
      <c r="C644" s="2">
        <v>3</v>
      </c>
      <c r="D644" s="23">
        <v>34.99</v>
      </c>
      <c r="E644" s="3">
        <v>104.97</v>
      </c>
      <c r="F644" s="2" t="s">
        <v>17478</v>
      </c>
      <c r="G644" s="22" t="s">
        <v>19333</v>
      </c>
      <c r="H644" s="24" t="s">
        <v>19384</v>
      </c>
      <c r="I644" s="22" t="s">
        <v>19309</v>
      </c>
      <c r="J644" s="22" t="s">
        <v>19385</v>
      </c>
      <c r="K644" s="22" t="s">
        <v>19487</v>
      </c>
      <c r="L644" s="22"/>
      <c r="M644" s="22"/>
      <c r="N644" s="25"/>
    </row>
    <row r="645" spans="1:14" ht="24.75" x14ac:dyDescent="0.25">
      <c r="A645" s="21" t="s">
        <v>17476</v>
      </c>
      <c r="B645" s="22" t="s">
        <v>17477</v>
      </c>
      <c r="C645" s="2">
        <v>1</v>
      </c>
      <c r="D645" s="23">
        <v>34.99</v>
      </c>
      <c r="E645" s="3">
        <v>34.99</v>
      </c>
      <c r="F645" s="2" t="s">
        <v>17478</v>
      </c>
      <c r="G645" s="22" t="s">
        <v>19333</v>
      </c>
      <c r="H645" s="24" t="s">
        <v>19330</v>
      </c>
      <c r="I645" s="22" t="s">
        <v>19309</v>
      </c>
      <c r="J645" s="22" t="s">
        <v>19385</v>
      </c>
      <c r="K645" s="22" t="s">
        <v>19487</v>
      </c>
      <c r="L645" s="22"/>
      <c r="M645" s="22"/>
      <c r="N645" s="25"/>
    </row>
    <row r="646" spans="1:14" ht="24.75" x14ac:dyDescent="0.25">
      <c r="A646" s="21" t="s">
        <v>13548</v>
      </c>
      <c r="B646" s="22" t="s">
        <v>13549</v>
      </c>
      <c r="C646" s="2">
        <v>1</v>
      </c>
      <c r="D646" s="23">
        <v>34.99</v>
      </c>
      <c r="E646" s="3">
        <v>34.99</v>
      </c>
      <c r="F646" s="2" t="s">
        <v>17478</v>
      </c>
      <c r="G646" s="22" t="s">
        <v>19333</v>
      </c>
      <c r="H646" s="24" t="s">
        <v>19538</v>
      </c>
      <c r="I646" s="22" t="s">
        <v>19309</v>
      </c>
      <c r="J646" s="22" t="s">
        <v>19385</v>
      </c>
      <c r="K646" s="22" t="s">
        <v>19487</v>
      </c>
      <c r="L646" s="22"/>
      <c r="M646" s="22"/>
      <c r="N646" s="25"/>
    </row>
    <row r="647" spans="1:14" ht="24.75" x14ac:dyDescent="0.25">
      <c r="A647" s="21" t="s">
        <v>17484</v>
      </c>
      <c r="B647" s="22" t="s">
        <v>17485</v>
      </c>
      <c r="C647" s="2">
        <v>1</v>
      </c>
      <c r="D647" s="23">
        <v>32.99</v>
      </c>
      <c r="E647" s="3">
        <v>32.99</v>
      </c>
      <c r="F647" s="2" t="s">
        <v>17481</v>
      </c>
      <c r="G647" s="22" t="s">
        <v>19415</v>
      </c>
      <c r="H647" s="24" t="s">
        <v>19330</v>
      </c>
      <c r="I647" s="22" t="s">
        <v>19309</v>
      </c>
      <c r="J647" s="22" t="s">
        <v>19385</v>
      </c>
      <c r="K647" s="22" t="s">
        <v>19487</v>
      </c>
      <c r="L647" s="22"/>
      <c r="M647" s="22"/>
      <c r="N647" s="25"/>
    </row>
    <row r="648" spans="1:14" ht="24.75" x14ac:dyDescent="0.25">
      <c r="A648" s="21" t="s">
        <v>13550</v>
      </c>
      <c r="B648" s="22" t="s">
        <v>13551</v>
      </c>
      <c r="C648" s="2">
        <v>1</v>
      </c>
      <c r="D648" s="23">
        <v>26.99</v>
      </c>
      <c r="E648" s="3">
        <v>26.99</v>
      </c>
      <c r="F648" s="2" t="s">
        <v>13552</v>
      </c>
      <c r="G648" s="22" t="s">
        <v>19422</v>
      </c>
      <c r="H648" s="24" t="s">
        <v>19416</v>
      </c>
      <c r="I648" s="22" t="s">
        <v>19309</v>
      </c>
      <c r="J648" s="22" t="s">
        <v>19385</v>
      </c>
      <c r="K648" s="22" t="s">
        <v>19487</v>
      </c>
      <c r="L648" s="22"/>
      <c r="M648" s="22"/>
      <c r="N648" s="25"/>
    </row>
    <row r="649" spans="1:14" ht="24.75" x14ac:dyDescent="0.25">
      <c r="A649" s="21" t="s">
        <v>13553</v>
      </c>
      <c r="B649" s="22" t="s">
        <v>13554</v>
      </c>
      <c r="C649" s="2">
        <v>1</v>
      </c>
      <c r="D649" s="23">
        <v>26.23</v>
      </c>
      <c r="E649" s="3">
        <v>26.23</v>
      </c>
      <c r="F649" s="2" t="s">
        <v>13555</v>
      </c>
      <c r="G649" s="22"/>
      <c r="H649" s="24"/>
      <c r="I649" s="22" t="s">
        <v>19309</v>
      </c>
      <c r="J649" s="22" t="s">
        <v>19602</v>
      </c>
      <c r="K649" s="22" t="s">
        <v>19603</v>
      </c>
      <c r="L649" s="22"/>
      <c r="M649" s="22"/>
      <c r="N649" s="25"/>
    </row>
    <row r="650" spans="1:14" ht="24.75" x14ac:dyDescent="0.25">
      <c r="A650" s="21" t="s">
        <v>13556</v>
      </c>
      <c r="B650" s="22" t="s">
        <v>13557</v>
      </c>
      <c r="C650" s="2">
        <v>1</v>
      </c>
      <c r="D650" s="23">
        <v>24.99</v>
      </c>
      <c r="E650" s="3">
        <v>24.99</v>
      </c>
      <c r="F650" s="2" t="s">
        <v>13558</v>
      </c>
      <c r="G650" s="22" t="s">
        <v>19342</v>
      </c>
      <c r="H650" s="24" t="s">
        <v>19324</v>
      </c>
      <c r="I650" s="22" t="s">
        <v>19309</v>
      </c>
      <c r="J650" s="22" t="s">
        <v>19385</v>
      </c>
      <c r="K650" s="22" t="s">
        <v>18064</v>
      </c>
      <c r="L650" s="22"/>
      <c r="M650" s="22"/>
      <c r="N650" s="25"/>
    </row>
    <row r="651" spans="1:14" ht="24.75" x14ac:dyDescent="0.25">
      <c r="A651" s="21" t="s">
        <v>17493</v>
      </c>
      <c r="B651" s="22" t="s">
        <v>17494</v>
      </c>
      <c r="C651" s="2">
        <v>1</v>
      </c>
      <c r="D651" s="23">
        <v>26.99</v>
      </c>
      <c r="E651" s="3">
        <v>26.99</v>
      </c>
      <c r="F651" s="2" t="s">
        <v>17488</v>
      </c>
      <c r="G651" s="22" t="s">
        <v>19357</v>
      </c>
      <c r="H651" s="24" t="s">
        <v>19538</v>
      </c>
      <c r="I651" s="22" t="s">
        <v>19309</v>
      </c>
      <c r="J651" s="22" t="s">
        <v>19385</v>
      </c>
      <c r="K651" s="22" t="s">
        <v>19487</v>
      </c>
      <c r="L651" s="22"/>
      <c r="M651" s="22"/>
      <c r="N651" s="25"/>
    </row>
    <row r="652" spans="1:14" ht="24.75" x14ac:dyDescent="0.25">
      <c r="A652" s="21" t="s">
        <v>17486</v>
      </c>
      <c r="B652" s="22" t="s">
        <v>17487</v>
      </c>
      <c r="C652" s="2">
        <v>1</v>
      </c>
      <c r="D652" s="23">
        <v>26.99</v>
      </c>
      <c r="E652" s="3">
        <v>26.99</v>
      </c>
      <c r="F652" s="2" t="s">
        <v>17488</v>
      </c>
      <c r="G652" s="22" t="s">
        <v>19357</v>
      </c>
      <c r="H652" s="24" t="s">
        <v>19416</v>
      </c>
      <c r="I652" s="22" t="s">
        <v>19309</v>
      </c>
      <c r="J652" s="22" t="s">
        <v>19385</v>
      </c>
      <c r="K652" s="22" t="s">
        <v>19487</v>
      </c>
      <c r="L652" s="22"/>
      <c r="M652" s="22"/>
      <c r="N652" s="25"/>
    </row>
    <row r="653" spans="1:14" ht="24.75" x14ac:dyDescent="0.25">
      <c r="A653" s="21" t="s">
        <v>13559</v>
      </c>
      <c r="B653" s="22" t="s">
        <v>13560</v>
      </c>
      <c r="C653" s="2">
        <v>1</v>
      </c>
      <c r="D653" s="23">
        <v>22.99</v>
      </c>
      <c r="E653" s="3">
        <v>22.99</v>
      </c>
      <c r="F653" s="2" t="s">
        <v>13561</v>
      </c>
      <c r="G653" s="22" t="s">
        <v>19477</v>
      </c>
      <c r="H653" s="24" t="s">
        <v>15935</v>
      </c>
      <c r="I653" s="22" t="s">
        <v>19309</v>
      </c>
      <c r="J653" s="22" t="s">
        <v>19385</v>
      </c>
      <c r="K653" s="22" t="s">
        <v>19463</v>
      </c>
      <c r="L653" s="22"/>
      <c r="M653" s="22"/>
      <c r="N653" s="25"/>
    </row>
    <row r="654" spans="1:14" x14ac:dyDescent="0.25">
      <c r="A654" s="21" t="s">
        <v>17509</v>
      </c>
      <c r="B654" s="22" t="s">
        <v>17510</v>
      </c>
      <c r="C654" s="2">
        <v>5</v>
      </c>
      <c r="D654" s="23">
        <v>7.5</v>
      </c>
      <c r="E654" s="3">
        <v>37.5</v>
      </c>
      <c r="F654" s="2" t="s">
        <v>17510</v>
      </c>
      <c r="G654" s="22" t="s">
        <v>17504</v>
      </c>
      <c r="H654" s="24" t="s">
        <v>17505</v>
      </c>
      <c r="I654" s="22" t="s">
        <v>19309</v>
      </c>
      <c r="J654" s="22" t="s">
        <v>19708</v>
      </c>
      <c r="K654" s="22" t="s">
        <v>19709</v>
      </c>
      <c r="L654" s="22"/>
      <c r="M654" s="22"/>
      <c r="N654" s="25"/>
    </row>
    <row r="655" spans="1:14" ht="24.75" x14ac:dyDescent="0.25">
      <c r="A655" s="21" t="s">
        <v>17506</v>
      </c>
      <c r="B655" s="22" t="s">
        <v>17507</v>
      </c>
      <c r="C655" s="2">
        <v>1</v>
      </c>
      <c r="D655" s="23">
        <v>2.5</v>
      </c>
      <c r="E655" s="3">
        <v>2.5</v>
      </c>
      <c r="F655" s="2" t="s">
        <v>17507</v>
      </c>
      <c r="G655" s="22" t="s">
        <v>17504</v>
      </c>
      <c r="H655" s="24" t="s">
        <v>17505</v>
      </c>
      <c r="I655" s="22" t="s">
        <v>19309</v>
      </c>
      <c r="J655" s="22" t="s">
        <v>19696</v>
      </c>
      <c r="K655" s="22" t="s">
        <v>17508</v>
      </c>
      <c r="L655" s="22"/>
      <c r="M655" s="22"/>
      <c r="N655" s="25"/>
    </row>
    <row r="656" spans="1:14" ht="24.75" x14ac:dyDescent="0.25">
      <c r="A656" s="21" t="s">
        <v>17501</v>
      </c>
      <c r="B656" s="22" t="s">
        <v>17502</v>
      </c>
      <c r="C656" s="2">
        <v>3</v>
      </c>
      <c r="D656" s="23">
        <v>7.5</v>
      </c>
      <c r="E656" s="3">
        <v>22.5</v>
      </c>
      <c r="F656" s="2" t="s">
        <v>17503</v>
      </c>
      <c r="G656" s="22" t="s">
        <v>17504</v>
      </c>
      <c r="H656" s="24" t="s">
        <v>17505</v>
      </c>
      <c r="I656" s="22" t="s">
        <v>19309</v>
      </c>
      <c r="J656" s="22" t="s">
        <v>19573</v>
      </c>
      <c r="K656" s="22" t="s">
        <v>19574</v>
      </c>
      <c r="L656" s="22"/>
      <c r="M656" s="22"/>
      <c r="N656" s="25"/>
    </row>
    <row r="657" spans="1:14" ht="24.75" x14ac:dyDescent="0.25">
      <c r="A657" s="21" t="s">
        <v>13562</v>
      </c>
      <c r="B657" s="22" t="s">
        <v>13563</v>
      </c>
      <c r="C657" s="2">
        <v>1</v>
      </c>
      <c r="D657" s="23">
        <v>26</v>
      </c>
      <c r="E657" s="3">
        <v>26</v>
      </c>
      <c r="F657" s="2" t="s">
        <v>13564</v>
      </c>
      <c r="G657" s="22" t="s">
        <v>19351</v>
      </c>
      <c r="H657" s="24" t="s">
        <v>13565</v>
      </c>
      <c r="I657" s="22" t="s">
        <v>19309</v>
      </c>
      <c r="J657" s="22" t="s">
        <v>19385</v>
      </c>
      <c r="K657" s="22" t="s">
        <v>19463</v>
      </c>
      <c r="L657" s="22"/>
      <c r="M657" s="22"/>
      <c r="N657" s="25"/>
    </row>
    <row r="658" spans="1:14" ht="24.75" x14ac:dyDescent="0.25">
      <c r="A658" s="21" t="s">
        <v>13566</v>
      </c>
      <c r="B658" s="22" t="s">
        <v>13567</v>
      </c>
      <c r="C658" s="2">
        <v>1</v>
      </c>
      <c r="D658" s="23">
        <v>21.43</v>
      </c>
      <c r="E658" s="3">
        <v>21.43</v>
      </c>
      <c r="F658" s="2" t="s">
        <v>12981</v>
      </c>
      <c r="G658" s="22"/>
      <c r="H658" s="24"/>
      <c r="I658" s="22" t="s">
        <v>19309</v>
      </c>
      <c r="J658" s="22" t="s">
        <v>19602</v>
      </c>
      <c r="K658" s="22" t="s">
        <v>19603</v>
      </c>
      <c r="L658" s="22"/>
      <c r="M658" s="22"/>
      <c r="N658" s="25"/>
    </row>
    <row r="659" spans="1:14" ht="24.75" x14ac:dyDescent="0.25">
      <c r="A659" s="21" t="s">
        <v>13568</v>
      </c>
      <c r="B659" s="22" t="s">
        <v>13569</v>
      </c>
      <c r="C659" s="2">
        <v>2</v>
      </c>
      <c r="D659" s="23">
        <v>18.61</v>
      </c>
      <c r="E659" s="3">
        <v>37.22</v>
      </c>
      <c r="F659" s="2" t="s">
        <v>15352</v>
      </c>
      <c r="G659" s="22"/>
      <c r="H659" s="24" t="s">
        <v>19392</v>
      </c>
      <c r="I659" s="22" t="s">
        <v>19309</v>
      </c>
      <c r="J659" s="22" t="s">
        <v>19602</v>
      </c>
      <c r="K659" s="22" t="s">
        <v>20041</v>
      </c>
      <c r="L659" s="22"/>
      <c r="M659" s="22"/>
      <c r="N659" s="25"/>
    </row>
    <row r="660" spans="1:14" ht="24.75" x14ac:dyDescent="0.25">
      <c r="A660" s="21" t="s">
        <v>13570</v>
      </c>
      <c r="B660" s="22" t="s">
        <v>13571</v>
      </c>
      <c r="C660" s="2">
        <v>1</v>
      </c>
      <c r="D660" s="23">
        <v>18.22</v>
      </c>
      <c r="E660" s="3">
        <v>18.22</v>
      </c>
      <c r="F660" s="2" t="s">
        <v>13572</v>
      </c>
      <c r="G660" s="22"/>
      <c r="H660" s="24" t="s">
        <v>19432</v>
      </c>
      <c r="I660" s="22" t="s">
        <v>19309</v>
      </c>
      <c r="J660" s="22" t="s">
        <v>19602</v>
      </c>
      <c r="K660" s="22" t="s">
        <v>19603</v>
      </c>
      <c r="L660" s="22"/>
      <c r="M660" s="22"/>
      <c r="N660" s="25"/>
    </row>
    <row r="661" spans="1:14" ht="24.75" x14ac:dyDescent="0.25">
      <c r="A661" s="21" t="s">
        <v>13573</v>
      </c>
      <c r="B661" s="22" t="s">
        <v>13574</v>
      </c>
      <c r="C661" s="2">
        <v>1</v>
      </c>
      <c r="D661" s="23">
        <v>17.87</v>
      </c>
      <c r="E661" s="3">
        <v>17.87</v>
      </c>
      <c r="F661" s="2" t="s">
        <v>20179</v>
      </c>
      <c r="G661" s="22"/>
      <c r="H661" s="24" t="s">
        <v>19367</v>
      </c>
      <c r="I661" s="22" t="s">
        <v>19309</v>
      </c>
      <c r="J661" s="22" t="s">
        <v>19708</v>
      </c>
      <c r="K661" s="22" t="s">
        <v>19709</v>
      </c>
      <c r="L661" s="22"/>
      <c r="M661" s="22"/>
      <c r="N661" s="25"/>
    </row>
    <row r="662" spans="1:14" ht="24.75" x14ac:dyDescent="0.25">
      <c r="A662" s="21" t="s">
        <v>13575</v>
      </c>
      <c r="B662" s="22" t="s">
        <v>13576</v>
      </c>
      <c r="C662" s="2">
        <v>1</v>
      </c>
      <c r="D662" s="23">
        <v>14.73</v>
      </c>
      <c r="E662" s="3">
        <v>14.73</v>
      </c>
      <c r="F662" s="2" t="s">
        <v>13577</v>
      </c>
      <c r="G662" s="22" t="s">
        <v>17567</v>
      </c>
      <c r="H662" s="24" t="s">
        <v>19392</v>
      </c>
      <c r="I662" s="22" t="s">
        <v>19309</v>
      </c>
      <c r="J662" s="22" t="s">
        <v>19602</v>
      </c>
      <c r="K662" s="22" t="s">
        <v>20041</v>
      </c>
      <c r="L662" s="22"/>
      <c r="M662" s="22"/>
      <c r="N662" s="25"/>
    </row>
    <row r="663" spans="1:14" x14ac:dyDescent="0.25">
      <c r="A663" s="21" t="s">
        <v>13578</v>
      </c>
      <c r="B663" s="22" t="s">
        <v>13579</v>
      </c>
      <c r="C663" s="2">
        <v>1</v>
      </c>
      <c r="D663" s="23">
        <v>17.989999999999998</v>
      </c>
      <c r="E663" s="3">
        <v>17.989999999999998</v>
      </c>
      <c r="F663" s="2" t="s">
        <v>13580</v>
      </c>
      <c r="G663" s="22" t="s">
        <v>19342</v>
      </c>
      <c r="H663" s="24"/>
      <c r="I663" s="22" t="s">
        <v>19309</v>
      </c>
      <c r="J663" s="22" t="s">
        <v>19696</v>
      </c>
      <c r="K663" s="22" t="s">
        <v>19697</v>
      </c>
      <c r="L663" s="22"/>
      <c r="M663" s="22"/>
      <c r="N663" s="25"/>
    </row>
    <row r="664" spans="1:14" x14ac:dyDescent="0.25">
      <c r="A664" s="21" t="s">
        <v>13581</v>
      </c>
      <c r="B664" s="22" t="s">
        <v>13582</v>
      </c>
      <c r="C664" s="2">
        <v>1</v>
      </c>
      <c r="D664" s="23">
        <v>15.13</v>
      </c>
      <c r="E664" s="3">
        <v>15.13</v>
      </c>
      <c r="F664" s="2" t="s">
        <v>13583</v>
      </c>
      <c r="G664" s="22" t="s">
        <v>19323</v>
      </c>
      <c r="H664" s="24" t="s">
        <v>20152</v>
      </c>
      <c r="I664" s="22" t="s">
        <v>19309</v>
      </c>
      <c r="J664" s="22" t="s">
        <v>19708</v>
      </c>
      <c r="K664" s="22" t="s">
        <v>19709</v>
      </c>
      <c r="L664" s="22"/>
      <c r="M664" s="22"/>
      <c r="N664" s="25"/>
    </row>
    <row r="665" spans="1:14" x14ac:dyDescent="0.25">
      <c r="A665" s="21" t="s">
        <v>13584</v>
      </c>
      <c r="B665" s="22" t="s">
        <v>13585</v>
      </c>
      <c r="C665" s="2">
        <v>1</v>
      </c>
      <c r="D665" s="23">
        <v>14.93</v>
      </c>
      <c r="E665" s="3">
        <v>14.93</v>
      </c>
      <c r="F665" s="2" t="s">
        <v>13210</v>
      </c>
      <c r="G665" s="22" t="s">
        <v>18361</v>
      </c>
      <c r="H665" s="24" t="s">
        <v>20159</v>
      </c>
      <c r="I665" s="22" t="s">
        <v>19309</v>
      </c>
      <c r="J665" s="22" t="s">
        <v>19708</v>
      </c>
      <c r="K665" s="22" t="s">
        <v>19709</v>
      </c>
      <c r="L665" s="22"/>
      <c r="M665" s="22"/>
      <c r="N665" s="25"/>
    </row>
    <row r="666" spans="1:14" ht="24.75" x14ac:dyDescent="0.25">
      <c r="A666" s="21" t="s">
        <v>13586</v>
      </c>
      <c r="B666" s="22" t="s">
        <v>13587</v>
      </c>
      <c r="C666" s="2">
        <v>1</v>
      </c>
      <c r="D666" s="23">
        <v>8.99</v>
      </c>
      <c r="E666" s="3">
        <v>8.99</v>
      </c>
      <c r="F666" s="2" t="s">
        <v>13588</v>
      </c>
      <c r="G666" s="22" t="s">
        <v>15203</v>
      </c>
      <c r="H666" s="24" t="s">
        <v>19377</v>
      </c>
      <c r="I666" s="22" t="s">
        <v>19309</v>
      </c>
      <c r="J666" s="22" t="s">
        <v>19447</v>
      </c>
      <c r="K666" s="22" t="s">
        <v>20146</v>
      </c>
      <c r="L666" s="22"/>
      <c r="M666" s="22"/>
      <c r="N666" s="25"/>
    </row>
  </sheetData>
  <phoneticPr fontId="0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9"/>
  <sheetViews>
    <sheetView workbookViewId="0">
      <selection activeCell="C12" sqref="C12"/>
    </sheetView>
  </sheetViews>
  <sheetFormatPr defaultRowHeight="15" x14ac:dyDescent="0.25"/>
  <cols>
    <col min="1" max="1" width="14.42578125" customWidth="1"/>
    <col min="2" max="2" width="50.42578125" customWidth="1"/>
    <col min="3" max="4" width="15" customWidth="1"/>
    <col min="5" max="5" width="9.5703125" customWidth="1"/>
    <col min="6" max="6" width="17.140625" customWidth="1"/>
    <col min="7" max="8" width="11.42578125" customWidth="1"/>
    <col min="9" max="9" width="10.85546875" customWidth="1"/>
    <col min="10" max="10" width="12.140625" customWidth="1"/>
    <col min="11" max="11" width="36.5703125" bestFit="1" customWidth="1"/>
    <col min="12" max="13" width="20.5703125" customWidth="1"/>
    <col min="14" max="14" width="64.42578125" customWidth="1"/>
  </cols>
  <sheetData>
    <row r="1" spans="1:14" ht="36" x14ac:dyDescent="0.25">
      <c r="A1" s="1" t="s">
        <v>19291</v>
      </c>
      <c r="B1" s="1" t="s">
        <v>19292</v>
      </c>
      <c r="C1" s="1" t="s">
        <v>19293</v>
      </c>
      <c r="D1" s="1" t="s">
        <v>19284</v>
      </c>
      <c r="E1" s="1" t="s">
        <v>19294</v>
      </c>
      <c r="F1" s="1" t="s">
        <v>19295</v>
      </c>
      <c r="G1" s="1" t="s">
        <v>19296</v>
      </c>
      <c r="H1" s="1" t="s">
        <v>19297</v>
      </c>
      <c r="I1" s="1" t="s">
        <v>19298</v>
      </c>
      <c r="J1" s="1" t="s">
        <v>19299</v>
      </c>
      <c r="K1" s="1" t="s">
        <v>19300</v>
      </c>
      <c r="L1" s="1" t="s">
        <v>19301</v>
      </c>
      <c r="M1" s="1" t="s">
        <v>19302</v>
      </c>
      <c r="N1" s="1" t="s">
        <v>19303</v>
      </c>
    </row>
    <row r="2" spans="1:14" ht="24.75" x14ac:dyDescent="0.25">
      <c r="A2" s="21" t="s">
        <v>13589</v>
      </c>
      <c r="B2" s="22" t="s">
        <v>13590</v>
      </c>
      <c r="C2" s="2">
        <v>2</v>
      </c>
      <c r="D2" s="23">
        <v>79.989999999999995</v>
      </c>
      <c r="E2" s="3">
        <v>159.97999999999999</v>
      </c>
      <c r="F2" s="2" t="s">
        <v>19314</v>
      </c>
      <c r="G2" s="22" t="s">
        <v>19315</v>
      </c>
      <c r="H2" s="24" t="s">
        <v>19997</v>
      </c>
      <c r="I2" s="22" t="s">
        <v>19309</v>
      </c>
      <c r="J2" s="22" t="s">
        <v>19317</v>
      </c>
      <c r="K2" s="22" t="s">
        <v>19318</v>
      </c>
      <c r="L2" s="22" t="s">
        <v>19319</v>
      </c>
      <c r="M2" s="22" t="s">
        <v>19320</v>
      </c>
      <c r="N2" s="25" t="str">
        <f>HYPERLINK("http://slimages.macys.com/is/image/MCY/11252408 ")</f>
        <v xml:space="preserve">http://slimages.macys.com/is/image/MCY/11252408 </v>
      </c>
    </row>
    <row r="3" spans="1:14" ht="24.75" x14ac:dyDescent="0.25">
      <c r="A3" s="21" t="s">
        <v>13591</v>
      </c>
      <c r="B3" s="22" t="s">
        <v>13592</v>
      </c>
      <c r="C3" s="2">
        <v>1</v>
      </c>
      <c r="D3" s="23">
        <v>85</v>
      </c>
      <c r="E3" s="3">
        <v>85</v>
      </c>
      <c r="F3" s="2" t="s">
        <v>13593</v>
      </c>
      <c r="G3" s="22" t="s">
        <v>19315</v>
      </c>
      <c r="H3" s="24" t="s">
        <v>14556</v>
      </c>
      <c r="I3" s="22" t="s">
        <v>19309</v>
      </c>
      <c r="J3" s="22" t="s">
        <v>19317</v>
      </c>
      <c r="K3" s="22" t="s">
        <v>13594</v>
      </c>
      <c r="L3" s="22" t="s">
        <v>19319</v>
      </c>
      <c r="M3" s="22" t="s">
        <v>13595</v>
      </c>
      <c r="N3" s="25" t="str">
        <f>HYPERLINK("http://slimages.macys.com/is/image/MCY/9314709 ")</f>
        <v xml:space="preserve">http://slimages.macys.com/is/image/MCY/9314709 </v>
      </c>
    </row>
    <row r="4" spans="1:14" ht="24.75" x14ac:dyDescent="0.25">
      <c r="A4" s="21" t="s">
        <v>13596</v>
      </c>
      <c r="B4" s="22" t="s">
        <v>13597</v>
      </c>
      <c r="C4" s="2">
        <v>1</v>
      </c>
      <c r="D4" s="23">
        <v>65</v>
      </c>
      <c r="E4" s="3">
        <v>65</v>
      </c>
      <c r="F4" s="2">
        <v>310859043002</v>
      </c>
      <c r="G4" s="22" t="s">
        <v>19323</v>
      </c>
      <c r="H4" s="24" t="s">
        <v>19330</v>
      </c>
      <c r="I4" s="22" t="s">
        <v>19309</v>
      </c>
      <c r="J4" s="22" t="s">
        <v>19325</v>
      </c>
      <c r="K4" s="22" t="s">
        <v>19326</v>
      </c>
      <c r="L4" s="22" t="s">
        <v>19319</v>
      </c>
      <c r="M4" s="22" t="s">
        <v>19358</v>
      </c>
      <c r="N4" s="25" t="str">
        <f>HYPERLINK("http://images.bloomingdales.com/is/image/BLM/12031735 ")</f>
        <v xml:space="preserve">http://images.bloomingdales.com/is/image/BLM/12031735 </v>
      </c>
    </row>
    <row r="5" spans="1:14" ht="24.75" x14ac:dyDescent="0.25">
      <c r="A5" s="21" t="s">
        <v>13598</v>
      </c>
      <c r="B5" s="22" t="s">
        <v>13599</v>
      </c>
      <c r="C5" s="2">
        <v>1</v>
      </c>
      <c r="D5" s="23">
        <v>59.5</v>
      </c>
      <c r="E5" s="3">
        <v>59.5</v>
      </c>
      <c r="F5" s="2">
        <v>323865885001</v>
      </c>
      <c r="G5" s="22" t="s">
        <v>19342</v>
      </c>
      <c r="H5" s="24" t="s">
        <v>19997</v>
      </c>
      <c r="I5" s="22" t="s">
        <v>19309</v>
      </c>
      <c r="J5" s="22" t="s">
        <v>19335</v>
      </c>
      <c r="K5" s="22" t="s">
        <v>19326</v>
      </c>
      <c r="L5" s="22" t="s">
        <v>19319</v>
      </c>
      <c r="M5" s="22" t="s">
        <v>19358</v>
      </c>
      <c r="N5" s="25" t="str">
        <f>HYPERLINK("http://images.bloomingdales.com/is/image/BLM/12229440 ")</f>
        <v xml:space="preserve">http://images.bloomingdales.com/is/image/BLM/12229440 </v>
      </c>
    </row>
    <row r="6" spans="1:14" ht="24.75" x14ac:dyDescent="0.25">
      <c r="A6" s="21" t="s">
        <v>13600</v>
      </c>
      <c r="B6" s="22" t="s">
        <v>13601</v>
      </c>
      <c r="C6" s="2">
        <v>1</v>
      </c>
      <c r="D6" s="23">
        <v>45</v>
      </c>
      <c r="E6" s="3">
        <v>45</v>
      </c>
      <c r="F6" s="2">
        <v>323858780001</v>
      </c>
      <c r="G6" s="22" t="s">
        <v>19879</v>
      </c>
      <c r="H6" s="24" t="s">
        <v>19352</v>
      </c>
      <c r="I6" s="22" t="s">
        <v>19309</v>
      </c>
      <c r="J6" s="22" t="s">
        <v>19335</v>
      </c>
      <c r="K6" s="22" t="s">
        <v>19326</v>
      </c>
      <c r="L6" s="22"/>
      <c r="M6" s="22"/>
      <c r="N6" s="25" t="str">
        <f>HYPERLINK("http://slimages.macys.com/is/image/MCY/20655397 ")</f>
        <v xml:space="preserve">http://slimages.macys.com/is/image/MCY/20655397 </v>
      </c>
    </row>
    <row r="7" spans="1:14" ht="24.75" x14ac:dyDescent="0.25">
      <c r="A7" s="21" t="s">
        <v>13602</v>
      </c>
      <c r="B7" s="22" t="s">
        <v>13603</v>
      </c>
      <c r="C7" s="2">
        <v>1</v>
      </c>
      <c r="D7" s="23">
        <v>45</v>
      </c>
      <c r="E7" s="3">
        <v>45</v>
      </c>
      <c r="F7" s="2">
        <v>310748794009</v>
      </c>
      <c r="G7" s="22" t="s">
        <v>19879</v>
      </c>
      <c r="H7" s="24" t="s">
        <v>20152</v>
      </c>
      <c r="I7" s="22" t="s">
        <v>19309</v>
      </c>
      <c r="J7" s="22" t="s">
        <v>19325</v>
      </c>
      <c r="K7" s="22" t="s">
        <v>19326</v>
      </c>
      <c r="L7" s="22"/>
      <c r="M7" s="22"/>
      <c r="N7" s="25" t="str">
        <f>HYPERLINK("http://slimages.macys.com/is/image/MCY/20057767 ")</f>
        <v xml:space="preserve">http://slimages.macys.com/is/image/MCY/20057767 </v>
      </c>
    </row>
    <row r="8" spans="1:14" ht="24.75" x14ac:dyDescent="0.25">
      <c r="A8" s="21" t="s">
        <v>13604</v>
      </c>
      <c r="B8" s="22" t="s">
        <v>13605</v>
      </c>
      <c r="C8" s="2">
        <v>1</v>
      </c>
      <c r="D8" s="23">
        <v>45</v>
      </c>
      <c r="E8" s="3">
        <v>45</v>
      </c>
      <c r="F8" s="2">
        <v>321844627002</v>
      </c>
      <c r="G8" s="22" t="s">
        <v>19333</v>
      </c>
      <c r="H8" s="24" t="s">
        <v>19334</v>
      </c>
      <c r="I8" s="22" t="s">
        <v>19309</v>
      </c>
      <c r="J8" s="22" t="s">
        <v>19335</v>
      </c>
      <c r="K8" s="22" t="s">
        <v>19326</v>
      </c>
      <c r="L8" s="22"/>
      <c r="M8" s="22"/>
      <c r="N8" s="25" t="str">
        <f>HYPERLINK("http://slimages.macys.com/is/image/MCY/21850263 ")</f>
        <v xml:space="preserve">http://slimages.macys.com/is/image/MCY/21850263 </v>
      </c>
    </row>
    <row r="9" spans="1:14" ht="24.75" x14ac:dyDescent="0.25">
      <c r="A9" s="21" t="s">
        <v>13606</v>
      </c>
      <c r="B9" s="22" t="s">
        <v>13607</v>
      </c>
      <c r="C9" s="2">
        <v>1</v>
      </c>
      <c r="D9" s="23">
        <v>40</v>
      </c>
      <c r="E9" s="3">
        <v>40</v>
      </c>
      <c r="F9" s="2" t="s">
        <v>13608</v>
      </c>
      <c r="G9" s="22" t="s">
        <v>19351</v>
      </c>
      <c r="H9" s="24" t="s">
        <v>14575</v>
      </c>
      <c r="I9" s="22" t="s">
        <v>19309</v>
      </c>
      <c r="J9" s="22" t="s">
        <v>19417</v>
      </c>
      <c r="K9" s="22" t="s">
        <v>13609</v>
      </c>
      <c r="L9" s="22"/>
      <c r="M9" s="22"/>
      <c r="N9" s="25" t="str">
        <f>HYPERLINK("http://slimages.macys.com/is/image/MCY/17153557 ")</f>
        <v xml:space="preserve">http://slimages.macys.com/is/image/MCY/17153557 </v>
      </c>
    </row>
    <row r="10" spans="1:14" ht="24.75" x14ac:dyDescent="0.25">
      <c r="A10" s="21" t="s">
        <v>13610</v>
      </c>
      <c r="B10" s="22" t="s">
        <v>13611</v>
      </c>
      <c r="C10" s="2">
        <v>1</v>
      </c>
      <c r="D10" s="23">
        <v>39.99</v>
      </c>
      <c r="E10" s="3">
        <v>39.99</v>
      </c>
      <c r="F10" s="2">
        <v>1954761</v>
      </c>
      <c r="G10" s="22" t="s">
        <v>19814</v>
      </c>
      <c r="H10" s="24" t="s">
        <v>19364</v>
      </c>
      <c r="I10" s="22" t="s">
        <v>19309</v>
      </c>
      <c r="J10" s="22" t="s">
        <v>15506</v>
      </c>
      <c r="K10" s="22" t="s">
        <v>13612</v>
      </c>
      <c r="L10" s="22"/>
      <c r="M10" s="22"/>
      <c r="N10" s="25" t="str">
        <f>HYPERLINK("http://slimages.macys.com/is/image/MCY/21091368 ")</f>
        <v xml:space="preserve">http://slimages.macys.com/is/image/MCY/21091368 </v>
      </c>
    </row>
    <row r="11" spans="1:14" ht="24.75" x14ac:dyDescent="0.25">
      <c r="A11" s="21" t="s">
        <v>13613</v>
      </c>
      <c r="B11" s="22" t="s">
        <v>13614</v>
      </c>
      <c r="C11" s="2">
        <v>1</v>
      </c>
      <c r="D11" s="23">
        <v>39.99</v>
      </c>
      <c r="E11" s="3">
        <v>39.99</v>
      </c>
      <c r="F11" s="2" t="s">
        <v>13615</v>
      </c>
      <c r="G11" s="22" t="s">
        <v>18073</v>
      </c>
      <c r="H11" s="24" t="s">
        <v>19361</v>
      </c>
      <c r="I11" s="22" t="s">
        <v>19309</v>
      </c>
      <c r="J11" s="22" t="s">
        <v>19447</v>
      </c>
      <c r="K11" s="22" t="s">
        <v>13616</v>
      </c>
      <c r="L11" s="22"/>
      <c r="M11" s="22"/>
      <c r="N11" s="25" t="str">
        <f>HYPERLINK("http://slimages.macys.com/is/image/MCY/19704918 ")</f>
        <v xml:space="preserve">http://slimages.macys.com/is/image/MCY/19704918 </v>
      </c>
    </row>
    <row r="12" spans="1:14" ht="24.75" x14ac:dyDescent="0.25">
      <c r="A12" s="21" t="s">
        <v>13617</v>
      </c>
      <c r="B12" s="22" t="s">
        <v>13618</v>
      </c>
      <c r="C12" s="2">
        <v>1</v>
      </c>
      <c r="D12" s="23">
        <v>39.99</v>
      </c>
      <c r="E12" s="3">
        <v>39.99</v>
      </c>
      <c r="F12" s="2" t="s">
        <v>13619</v>
      </c>
      <c r="G12" s="22" t="s">
        <v>19422</v>
      </c>
      <c r="H12" s="24" t="s">
        <v>19770</v>
      </c>
      <c r="I12" s="22" t="s">
        <v>19309</v>
      </c>
      <c r="J12" s="22" t="s">
        <v>19573</v>
      </c>
      <c r="K12" s="22" t="s">
        <v>19574</v>
      </c>
      <c r="L12" s="22"/>
      <c r="M12" s="22"/>
      <c r="N12" s="25" t="str">
        <f>HYPERLINK("http://slimages.macys.com/is/image/MCY/19271966 ")</f>
        <v xml:space="preserve">http://slimages.macys.com/is/image/MCY/19271966 </v>
      </c>
    </row>
    <row r="13" spans="1:14" ht="24.75" x14ac:dyDescent="0.25">
      <c r="A13" s="21" t="s">
        <v>13620</v>
      </c>
      <c r="B13" s="22" t="s">
        <v>13621</v>
      </c>
      <c r="C13" s="2">
        <v>1</v>
      </c>
      <c r="D13" s="23">
        <v>39.99</v>
      </c>
      <c r="E13" s="3">
        <v>39.99</v>
      </c>
      <c r="F13" s="2" t="s">
        <v>13622</v>
      </c>
      <c r="G13" s="22" t="s">
        <v>19618</v>
      </c>
      <c r="H13" s="24" t="s">
        <v>15803</v>
      </c>
      <c r="I13" s="22" t="s">
        <v>19309</v>
      </c>
      <c r="J13" s="22" t="s">
        <v>19405</v>
      </c>
      <c r="K13" s="22" t="s">
        <v>19406</v>
      </c>
      <c r="L13" s="22" t="s">
        <v>19319</v>
      </c>
      <c r="M13" s="22" t="s">
        <v>19435</v>
      </c>
      <c r="N13" s="25" t="str">
        <f>HYPERLINK("http://slimages.macys.com/is/image/MCY/13941716 ")</f>
        <v xml:space="preserve">http://slimages.macys.com/is/image/MCY/13941716 </v>
      </c>
    </row>
    <row r="14" spans="1:14" ht="24.75" x14ac:dyDescent="0.25">
      <c r="A14" s="21" t="s">
        <v>13623</v>
      </c>
      <c r="B14" s="22" t="s">
        <v>13624</v>
      </c>
      <c r="C14" s="2">
        <v>1</v>
      </c>
      <c r="D14" s="23">
        <v>39.99</v>
      </c>
      <c r="E14" s="3">
        <v>39.99</v>
      </c>
      <c r="F14" s="2" t="s">
        <v>13625</v>
      </c>
      <c r="G14" s="22" t="s">
        <v>19333</v>
      </c>
      <c r="H14" s="24" t="s">
        <v>19316</v>
      </c>
      <c r="I14" s="22" t="s">
        <v>19309</v>
      </c>
      <c r="J14" s="22" t="s">
        <v>19405</v>
      </c>
      <c r="K14" s="22" t="s">
        <v>19406</v>
      </c>
      <c r="L14" s="22" t="s">
        <v>19319</v>
      </c>
      <c r="M14" s="22" t="s">
        <v>13626</v>
      </c>
      <c r="N14" s="25" t="str">
        <f>HYPERLINK("http://slimages.macys.com/is/image/MCY/3696437 ")</f>
        <v xml:space="preserve">http://slimages.macys.com/is/image/MCY/3696437 </v>
      </c>
    </row>
    <row r="15" spans="1:14" x14ac:dyDescent="0.25">
      <c r="A15" s="21" t="s">
        <v>13627</v>
      </c>
      <c r="B15" s="22" t="s">
        <v>13628</v>
      </c>
      <c r="C15" s="2">
        <v>1</v>
      </c>
      <c r="D15" s="23">
        <v>45</v>
      </c>
      <c r="E15" s="3">
        <v>45</v>
      </c>
      <c r="F15" s="2" t="s">
        <v>13629</v>
      </c>
      <c r="G15" s="22" t="s">
        <v>19323</v>
      </c>
      <c r="H15" s="24" t="s">
        <v>13630</v>
      </c>
      <c r="I15" s="22" t="s">
        <v>19309</v>
      </c>
      <c r="J15" s="22" t="s">
        <v>17328</v>
      </c>
      <c r="K15" s="22" t="s">
        <v>13631</v>
      </c>
      <c r="L15" s="22"/>
      <c r="M15" s="22"/>
      <c r="N15" s="25" t="str">
        <f>HYPERLINK("http://slimages.macys.com/is/image/MCY/19570480 ")</f>
        <v xml:space="preserve">http://slimages.macys.com/is/image/MCY/19570480 </v>
      </c>
    </row>
    <row r="16" spans="1:14" ht="24.75" x14ac:dyDescent="0.25">
      <c r="A16" s="21" t="s">
        <v>13632</v>
      </c>
      <c r="B16" s="22" t="s">
        <v>13633</v>
      </c>
      <c r="C16" s="2">
        <v>1</v>
      </c>
      <c r="D16" s="23">
        <v>34.99</v>
      </c>
      <c r="E16" s="3">
        <v>34.99</v>
      </c>
      <c r="F16" s="2" t="s">
        <v>15539</v>
      </c>
      <c r="G16" s="22" t="s">
        <v>19333</v>
      </c>
      <c r="H16" s="24" t="s">
        <v>19384</v>
      </c>
      <c r="I16" s="22" t="s">
        <v>19309</v>
      </c>
      <c r="J16" s="22" t="s">
        <v>19385</v>
      </c>
      <c r="K16" s="22" t="s">
        <v>19386</v>
      </c>
      <c r="L16" s="22"/>
      <c r="M16" s="22"/>
      <c r="N16" s="25" t="str">
        <f>HYPERLINK("http://slimages.macys.com/is/image/MCY/21185185 ")</f>
        <v xml:space="preserve">http://slimages.macys.com/is/image/MCY/21185185 </v>
      </c>
    </row>
    <row r="17" spans="1:14" ht="24.75" x14ac:dyDescent="0.25">
      <c r="A17" s="21" t="s">
        <v>13634</v>
      </c>
      <c r="B17" s="22" t="s">
        <v>13635</v>
      </c>
      <c r="C17" s="2">
        <v>1</v>
      </c>
      <c r="D17" s="23">
        <v>35</v>
      </c>
      <c r="E17" s="3">
        <v>35</v>
      </c>
      <c r="F17" s="2">
        <v>321867158068</v>
      </c>
      <c r="G17" s="22" t="s">
        <v>19342</v>
      </c>
      <c r="H17" s="24" t="s">
        <v>19334</v>
      </c>
      <c r="I17" s="22" t="s">
        <v>19309</v>
      </c>
      <c r="J17" s="22" t="s">
        <v>19335</v>
      </c>
      <c r="K17" s="22" t="s">
        <v>19326</v>
      </c>
      <c r="L17" s="22"/>
      <c r="M17" s="22"/>
      <c r="N17" s="25" t="str">
        <f>HYPERLINK("http://slimages.macys.com/is/image/MCY/22269127 ")</f>
        <v xml:space="preserve">http://slimages.macys.com/is/image/MCY/22269127 </v>
      </c>
    </row>
    <row r="18" spans="1:14" ht="24.75" x14ac:dyDescent="0.25">
      <c r="A18" s="21" t="s">
        <v>13636</v>
      </c>
      <c r="B18" s="22" t="s">
        <v>13637</v>
      </c>
      <c r="C18" s="2">
        <v>1</v>
      </c>
      <c r="D18" s="23">
        <v>33.99</v>
      </c>
      <c r="E18" s="3">
        <v>33.99</v>
      </c>
      <c r="F18" s="2" t="s">
        <v>13638</v>
      </c>
      <c r="G18" s="22" t="s">
        <v>19886</v>
      </c>
      <c r="H18" s="24" t="s">
        <v>19797</v>
      </c>
      <c r="I18" s="22" t="s">
        <v>19309</v>
      </c>
      <c r="J18" s="22" t="s">
        <v>19447</v>
      </c>
      <c r="K18" s="22" t="s">
        <v>19311</v>
      </c>
      <c r="L18" s="22"/>
      <c r="M18" s="22"/>
      <c r="N18" s="25" t="str">
        <f>HYPERLINK("http://slimages.macys.com/is/image/MCY/20454635 ")</f>
        <v xml:space="preserve">http://slimages.macys.com/is/image/MCY/20454635 </v>
      </c>
    </row>
    <row r="19" spans="1:14" ht="24.75" x14ac:dyDescent="0.25">
      <c r="A19" s="21" t="s">
        <v>13639</v>
      </c>
      <c r="B19" s="22" t="s">
        <v>13640</v>
      </c>
      <c r="C19" s="2">
        <v>1</v>
      </c>
      <c r="D19" s="23">
        <v>39.99</v>
      </c>
      <c r="E19" s="3">
        <v>39.99</v>
      </c>
      <c r="F19" s="2" t="s">
        <v>13641</v>
      </c>
      <c r="G19" s="22" t="s">
        <v>19323</v>
      </c>
      <c r="H19" s="24" t="s">
        <v>19416</v>
      </c>
      <c r="I19" s="22" t="s">
        <v>19309</v>
      </c>
      <c r="J19" s="22" t="s">
        <v>19385</v>
      </c>
      <c r="K19" s="22" t="s">
        <v>19487</v>
      </c>
      <c r="L19" s="22"/>
      <c r="M19" s="22"/>
      <c r="N19" s="25" t="str">
        <f>HYPERLINK("http://slimages.macys.com/is/image/MCY/21008186 ")</f>
        <v xml:space="preserve">http://slimages.macys.com/is/image/MCY/21008186 </v>
      </c>
    </row>
    <row r="20" spans="1:14" ht="24.75" x14ac:dyDescent="0.25">
      <c r="A20" s="21" t="s">
        <v>13642</v>
      </c>
      <c r="B20" s="22" t="s">
        <v>13643</v>
      </c>
      <c r="C20" s="2">
        <v>1</v>
      </c>
      <c r="D20" s="23">
        <v>46</v>
      </c>
      <c r="E20" s="3">
        <v>46</v>
      </c>
      <c r="F20" s="2" t="s">
        <v>13644</v>
      </c>
      <c r="G20" s="22" t="s">
        <v>19351</v>
      </c>
      <c r="H20" s="24" t="s">
        <v>19324</v>
      </c>
      <c r="I20" s="22" t="s">
        <v>19309</v>
      </c>
      <c r="J20" s="22" t="s">
        <v>19491</v>
      </c>
      <c r="K20" s="22" t="s">
        <v>17934</v>
      </c>
      <c r="L20" s="22"/>
      <c r="M20" s="22"/>
      <c r="N20" s="25" t="str">
        <f>HYPERLINK("http://slimages.macys.com/is/image/MCY/22272661 ")</f>
        <v xml:space="preserve">http://slimages.macys.com/is/image/MCY/22272661 </v>
      </c>
    </row>
    <row r="21" spans="1:14" ht="24.75" x14ac:dyDescent="0.25">
      <c r="A21" s="21" t="s">
        <v>13645</v>
      </c>
      <c r="B21" s="22" t="s">
        <v>13646</v>
      </c>
      <c r="C21" s="2">
        <v>1</v>
      </c>
      <c r="D21" s="23">
        <v>30.99</v>
      </c>
      <c r="E21" s="3">
        <v>30.99</v>
      </c>
      <c r="F21" s="2" t="s">
        <v>13647</v>
      </c>
      <c r="G21" s="22" t="s">
        <v>19415</v>
      </c>
      <c r="H21" s="24" t="s">
        <v>19399</v>
      </c>
      <c r="I21" s="22" t="s">
        <v>19309</v>
      </c>
      <c r="J21" s="22" t="s">
        <v>19508</v>
      </c>
      <c r="K21" s="22" t="s">
        <v>19509</v>
      </c>
      <c r="L21" s="22"/>
      <c r="M21" s="22"/>
      <c r="N21" s="25" t="str">
        <f>HYPERLINK("http://slimages.macys.com/is/image/MCY/23381540 ")</f>
        <v xml:space="preserve">http://slimages.macys.com/is/image/MCY/23381540 </v>
      </c>
    </row>
    <row r="22" spans="1:14" ht="24.75" x14ac:dyDescent="0.25">
      <c r="A22" s="21" t="s">
        <v>13648</v>
      </c>
      <c r="B22" s="22" t="s">
        <v>13649</v>
      </c>
      <c r="C22" s="2">
        <v>1</v>
      </c>
      <c r="D22" s="23">
        <v>48</v>
      </c>
      <c r="E22" s="3">
        <v>48</v>
      </c>
      <c r="F22" s="2" t="s">
        <v>13650</v>
      </c>
      <c r="G22" s="22" t="s">
        <v>19333</v>
      </c>
      <c r="H22" s="24" t="s">
        <v>19542</v>
      </c>
      <c r="I22" s="22" t="s">
        <v>19309</v>
      </c>
      <c r="J22" s="22" t="s">
        <v>19310</v>
      </c>
      <c r="K22" s="22" t="s">
        <v>15570</v>
      </c>
      <c r="L22" s="22"/>
      <c r="M22" s="22"/>
      <c r="N22" s="25" t="str">
        <f>HYPERLINK("http://slimages.macys.com/is/image/MCY/20840510 ")</f>
        <v xml:space="preserve">http://slimages.macys.com/is/image/MCY/20840510 </v>
      </c>
    </row>
    <row r="23" spans="1:14" ht="24.75" x14ac:dyDescent="0.25">
      <c r="A23" s="21" t="s">
        <v>13651</v>
      </c>
      <c r="B23" s="22" t="s">
        <v>13652</v>
      </c>
      <c r="C23" s="2">
        <v>1</v>
      </c>
      <c r="D23" s="23">
        <v>29.99</v>
      </c>
      <c r="E23" s="3">
        <v>29.99</v>
      </c>
      <c r="F23" s="2" t="s">
        <v>13653</v>
      </c>
      <c r="G23" s="22" t="s">
        <v>19431</v>
      </c>
      <c r="H23" s="24" t="s">
        <v>19330</v>
      </c>
      <c r="I23" s="22" t="s">
        <v>19309</v>
      </c>
      <c r="J23" s="22" t="s">
        <v>19491</v>
      </c>
      <c r="K23" s="22" t="s">
        <v>15106</v>
      </c>
      <c r="L23" s="22"/>
      <c r="M23" s="22"/>
      <c r="N23" s="25" t="str">
        <f>HYPERLINK("http://slimages.macys.com/is/image/MCY/21313209 ")</f>
        <v xml:space="preserve">http://slimages.macys.com/is/image/MCY/21313209 </v>
      </c>
    </row>
    <row r="24" spans="1:14" x14ac:dyDescent="0.25">
      <c r="A24" s="21" t="s">
        <v>13654</v>
      </c>
      <c r="B24" s="22" t="s">
        <v>13655</v>
      </c>
      <c r="C24" s="2">
        <v>1</v>
      </c>
      <c r="D24" s="23">
        <v>30.99</v>
      </c>
      <c r="E24" s="3">
        <v>30.99</v>
      </c>
      <c r="F24" s="2" t="s">
        <v>13656</v>
      </c>
      <c r="G24" s="22" t="s">
        <v>19315</v>
      </c>
      <c r="H24" s="24" t="s">
        <v>19308</v>
      </c>
      <c r="I24" s="22" t="s">
        <v>19309</v>
      </c>
      <c r="J24" s="22" t="s">
        <v>19310</v>
      </c>
      <c r="K24" s="22" t="s">
        <v>19529</v>
      </c>
      <c r="L24" s="22"/>
      <c r="M24" s="22"/>
      <c r="N24" s="25" t="str">
        <f>HYPERLINK("http://slimages.macys.com/is/image/MCY/19604747 ")</f>
        <v xml:space="preserve">http://slimages.macys.com/is/image/MCY/19604747 </v>
      </c>
    </row>
    <row r="25" spans="1:14" ht="24.75" x14ac:dyDescent="0.25">
      <c r="A25" s="21" t="s">
        <v>13657</v>
      </c>
      <c r="B25" s="22" t="s">
        <v>13658</v>
      </c>
      <c r="C25" s="2">
        <v>1</v>
      </c>
      <c r="D25" s="23">
        <v>33.99</v>
      </c>
      <c r="E25" s="3">
        <v>33.99</v>
      </c>
      <c r="F25" s="2" t="s">
        <v>13659</v>
      </c>
      <c r="G25" s="22" t="s">
        <v>19462</v>
      </c>
      <c r="H25" s="24" t="s">
        <v>19416</v>
      </c>
      <c r="I25" s="22" t="s">
        <v>19309</v>
      </c>
      <c r="J25" s="22" t="s">
        <v>19385</v>
      </c>
      <c r="K25" s="22" t="s">
        <v>19487</v>
      </c>
      <c r="L25" s="22"/>
      <c r="M25" s="22"/>
      <c r="N25" s="25" t="str">
        <f>HYPERLINK("http://slimages.macys.com/is/image/MCY/22258377 ")</f>
        <v xml:space="preserve">http://slimages.macys.com/is/image/MCY/22258377 </v>
      </c>
    </row>
    <row r="26" spans="1:14" ht="24.75" x14ac:dyDescent="0.25">
      <c r="A26" s="21" t="s">
        <v>17590</v>
      </c>
      <c r="B26" s="22" t="s">
        <v>17591</v>
      </c>
      <c r="C26" s="2">
        <v>1</v>
      </c>
      <c r="D26" s="23">
        <v>33.99</v>
      </c>
      <c r="E26" s="3">
        <v>33.99</v>
      </c>
      <c r="F26" s="2" t="s">
        <v>17592</v>
      </c>
      <c r="G26" s="22" t="s">
        <v>19422</v>
      </c>
      <c r="H26" s="24" t="s">
        <v>19330</v>
      </c>
      <c r="I26" s="22" t="s">
        <v>19309</v>
      </c>
      <c r="J26" s="22" t="s">
        <v>19385</v>
      </c>
      <c r="K26" s="22" t="s">
        <v>19386</v>
      </c>
      <c r="L26" s="22"/>
      <c r="M26" s="22"/>
      <c r="N26" s="25" t="str">
        <f>HYPERLINK("http://slimages.macys.com/is/image/MCY/22175295 ")</f>
        <v xml:space="preserve">http://slimages.macys.com/is/image/MCY/22175295 </v>
      </c>
    </row>
    <row r="27" spans="1:14" ht="24.75" x14ac:dyDescent="0.25">
      <c r="A27" s="21" t="s">
        <v>12867</v>
      </c>
      <c r="B27" s="22" t="s">
        <v>12868</v>
      </c>
      <c r="C27" s="2">
        <v>1</v>
      </c>
      <c r="D27" s="23">
        <v>33.99</v>
      </c>
      <c r="E27" s="3">
        <v>33.99</v>
      </c>
      <c r="F27" s="2" t="s">
        <v>17592</v>
      </c>
      <c r="G27" s="22" t="s">
        <v>19422</v>
      </c>
      <c r="H27" s="24" t="s">
        <v>19324</v>
      </c>
      <c r="I27" s="22" t="s">
        <v>19309</v>
      </c>
      <c r="J27" s="22" t="s">
        <v>19385</v>
      </c>
      <c r="K27" s="22" t="s">
        <v>19386</v>
      </c>
      <c r="L27" s="22"/>
      <c r="M27" s="22"/>
      <c r="N27" s="25" t="str">
        <f>HYPERLINK("http://slimages.macys.com/is/image/MCY/22175295 ")</f>
        <v xml:space="preserve">http://slimages.macys.com/is/image/MCY/22175295 </v>
      </c>
    </row>
    <row r="28" spans="1:14" x14ac:dyDescent="0.25">
      <c r="A28" s="21" t="s">
        <v>13660</v>
      </c>
      <c r="B28" s="22" t="s">
        <v>13661</v>
      </c>
      <c r="C28" s="2">
        <v>1</v>
      </c>
      <c r="D28" s="23">
        <v>29.99</v>
      </c>
      <c r="E28" s="3">
        <v>29.99</v>
      </c>
      <c r="F28" s="2" t="s">
        <v>17600</v>
      </c>
      <c r="G28" s="22" t="s">
        <v>19618</v>
      </c>
      <c r="H28" s="24" t="s">
        <v>19334</v>
      </c>
      <c r="I28" s="22" t="s">
        <v>19309</v>
      </c>
      <c r="J28" s="22" t="s">
        <v>19310</v>
      </c>
      <c r="K28" s="22" t="s">
        <v>19440</v>
      </c>
      <c r="L28" s="22"/>
      <c r="M28" s="22"/>
      <c r="N28" s="25" t="str">
        <f>HYPERLINK("http://slimages.macys.com/is/image/MCY/20782675 ")</f>
        <v xml:space="preserve">http://slimages.macys.com/is/image/MCY/20782675 </v>
      </c>
    </row>
    <row r="29" spans="1:14" ht="24.75" x14ac:dyDescent="0.25">
      <c r="A29" s="21" t="s">
        <v>13662</v>
      </c>
      <c r="B29" s="22" t="s">
        <v>11732</v>
      </c>
      <c r="C29" s="2">
        <v>2</v>
      </c>
      <c r="D29" s="23">
        <v>31.99</v>
      </c>
      <c r="E29" s="3">
        <v>63.98</v>
      </c>
      <c r="F29" s="2" t="s">
        <v>11733</v>
      </c>
      <c r="G29" s="22" t="s">
        <v>19307</v>
      </c>
      <c r="H29" s="24" t="s">
        <v>19324</v>
      </c>
      <c r="I29" s="22" t="s">
        <v>19309</v>
      </c>
      <c r="J29" s="22" t="s">
        <v>19385</v>
      </c>
      <c r="K29" s="22" t="s">
        <v>19463</v>
      </c>
      <c r="L29" s="22"/>
      <c r="M29" s="22"/>
      <c r="N29" s="25" t="str">
        <f>HYPERLINK("http://slimages.macys.com/is/image/MCY/21423831 ")</f>
        <v xml:space="preserve">http://slimages.macys.com/is/image/MCY/21423831 </v>
      </c>
    </row>
    <row r="30" spans="1:14" ht="24.75" x14ac:dyDescent="0.25">
      <c r="A30" s="21" t="s">
        <v>11734</v>
      </c>
      <c r="B30" s="22" t="s">
        <v>11735</v>
      </c>
      <c r="C30" s="2">
        <v>1</v>
      </c>
      <c r="D30" s="23">
        <v>28.99</v>
      </c>
      <c r="E30" s="3">
        <v>28.99</v>
      </c>
      <c r="F30" s="2" t="s">
        <v>11736</v>
      </c>
      <c r="G30" s="22" t="s">
        <v>19404</v>
      </c>
      <c r="H30" s="24" t="s">
        <v>19399</v>
      </c>
      <c r="I30" s="22" t="s">
        <v>19309</v>
      </c>
      <c r="J30" s="22" t="s">
        <v>19508</v>
      </c>
      <c r="K30" s="22" t="s">
        <v>19509</v>
      </c>
      <c r="L30" s="22"/>
      <c r="M30" s="22"/>
      <c r="N30" s="25" t="str">
        <f>HYPERLINK("http://slimages.macys.com/is/image/MCY/17740784 ")</f>
        <v xml:space="preserve">http://slimages.macys.com/is/image/MCY/17740784 </v>
      </c>
    </row>
    <row r="31" spans="1:14" ht="24.75" x14ac:dyDescent="0.25">
      <c r="A31" s="21" t="s">
        <v>11737</v>
      </c>
      <c r="B31" s="22" t="s">
        <v>11738</v>
      </c>
      <c r="C31" s="2">
        <v>1</v>
      </c>
      <c r="D31" s="23">
        <v>30</v>
      </c>
      <c r="E31" s="3">
        <v>30</v>
      </c>
      <c r="F31" s="2" t="s">
        <v>11739</v>
      </c>
      <c r="G31" s="22" t="s">
        <v>19383</v>
      </c>
      <c r="H31" s="24"/>
      <c r="I31" s="22" t="s">
        <v>19309</v>
      </c>
      <c r="J31" s="22" t="s">
        <v>15506</v>
      </c>
      <c r="K31" s="22" t="s">
        <v>11740</v>
      </c>
      <c r="L31" s="22"/>
      <c r="M31" s="22"/>
      <c r="N31" s="25" t="str">
        <f>HYPERLINK("http://slimages.macys.com/is/image/MCY/21398239 ")</f>
        <v xml:space="preserve">http://slimages.macys.com/is/image/MCY/21398239 </v>
      </c>
    </row>
    <row r="32" spans="1:14" ht="24.75" x14ac:dyDescent="0.25">
      <c r="A32" s="21" t="s">
        <v>11741</v>
      </c>
      <c r="B32" s="22" t="s">
        <v>11742</v>
      </c>
      <c r="C32" s="2">
        <v>1</v>
      </c>
      <c r="D32" s="23">
        <v>33.99</v>
      </c>
      <c r="E32" s="3">
        <v>33.99</v>
      </c>
      <c r="F32" s="2" t="s">
        <v>11743</v>
      </c>
      <c r="G32" s="22"/>
      <c r="H32" s="24" t="s">
        <v>19330</v>
      </c>
      <c r="I32" s="22" t="s">
        <v>19309</v>
      </c>
      <c r="J32" s="22" t="s">
        <v>19385</v>
      </c>
      <c r="K32" s="22" t="s">
        <v>19487</v>
      </c>
      <c r="L32" s="22"/>
      <c r="M32" s="22"/>
      <c r="N32" s="25" t="str">
        <f>HYPERLINK("http://slimages.macys.com/is/image/MCY/21174123 ")</f>
        <v xml:space="preserve">http://slimages.macys.com/is/image/MCY/21174123 </v>
      </c>
    </row>
    <row r="33" spans="1:14" ht="24.75" x14ac:dyDescent="0.25">
      <c r="A33" s="21" t="s">
        <v>11744</v>
      </c>
      <c r="B33" s="22" t="s">
        <v>11745</v>
      </c>
      <c r="C33" s="2">
        <v>1</v>
      </c>
      <c r="D33" s="23">
        <v>28.99</v>
      </c>
      <c r="E33" s="3">
        <v>28.99</v>
      </c>
      <c r="F33" s="2" t="s">
        <v>19461</v>
      </c>
      <c r="G33" s="22" t="s">
        <v>19462</v>
      </c>
      <c r="H33" s="24" t="s">
        <v>19324</v>
      </c>
      <c r="I33" s="22" t="s">
        <v>19309</v>
      </c>
      <c r="J33" s="22" t="s">
        <v>19385</v>
      </c>
      <c r="K33" s="22" t="s">
        <v>19463</v>
      </c>
      <c r="L33" s="22"/>
      <c r="M33" s="22"/>
      <c r="N33" s="25" t="str">
        <f>HYPERLINK("http://slimages.macys.com/is/image/MCY/21423842 ")</f>
        <v xml:space="preserve">http://slimages.macys.com/is/image/MCY/21423842 </v>
      </c>
    </row>
    <row r="34" spans="1:14" ht="24.75" x14ac:dyDescent="0.25">
      <c r="A34" s="21" t="s">
        <v>11746</v>
      </c>
      <c r="B34" s="22" t="s">
        <v>11747</v>
      </c>
      <c r="C34" s="2">
        <v>1</v>
      </c>
      <c r="D34" s="23">
        <v>24.99</v>
      </c>
      <c r="E34" s="3">
        <v>24.99</v>
      </c>
      <c r="F34" s="2" t="s">
        <v>19466</v>
      </c>
      <c r="G34" s="22" t="s">
        <v>19467</v>
      </c>
      <c r="H34" s="24" t="s">
        <v>19395</v>
      </c>
      <c r="I34" s="22" t="s">
        <v>19309</v>
      </c>
      <c r="J34" s="22" t="s">
        <v>19310</v>
      </c>
      <c r="K34" s="22" t="s">
        <v>19468</v>
      </c>
      <c r="L34" s="22"/>
      <c r="M34" s="22"/>
      <c r="N34" s="25" t="str">
        <f>HYPERLINK("http://slimages.macys.com/is/image/MCY/20189640 ")</f>
        <v xml:space="preserve">http://slimages.macys.com/is/image/MCY/20189640 </v>
      </c>
    </row>
    <row r="35" spans="1:14" ht="24.75" x14ac:dyDescent="0.25">
      <c r="A35" s="21" t="s">
        <v>11748</v>
      </c>
      <c r="B35" s="22" t="s">
        <v>11749</v>
      </c>
      <c r="C35" s="2">
        <v>1</v>
      </c>
      <c r="D35" s="23">
        <v>49.5</v>
      </c>
      <c r="E35" s="3">
        <v>49.5</v>
      </c>
      <c r="F35" s="2" t="s">
        <v>11750</v>
      </c>
      <c r="G35" s="22" t="s">
        <v>19886</v>
      </c>
      <c r="H35" s="24" t="s">
        <v>11751</v>
      </c>
      <c r="I35" s="22" t="s">
        <v>19309</v>
      </c>
      <c r="J35" s="22" t="s">
        <v>20104</v>
      </c>
      <c r="K35" s="22" t="s">
        <v>20105</v>
      </c>
      <c r="L35" s="22"/>
      <c r="M35" s="22"/>
      <c r="N35" s="25" t="str">
        <f>HYPERLINK("http://slimages.macys.com/is/image/MCY/20754998 ")</f>
        <v xml:space="preserve">http://slimages.macys.com/is/image/MCY/20754998 </v>
      </c>
    </row>
    <row r="36" spans="1:14" ht="24.75" x14ac:dyDescent="0.25">
      <c r="A36" s="21" t="s">
        <v>11752</v>
      </c>
      <c r="B36" s="22" t="s">
        <v>11753</v>
      </c>
      <c r="C36" s="2">
        <v>1</v>
      </c>
      <c r="D36" s="23">
        <v>29.99</v>
      </c>
      <c r="E36" s="3">
        <v>29.99</v>
      </c>
      <c r="F36" s="2" t="s">
        <v>11754</v>
      </c>
      <c r="G36" s="22" t="s">
        <v>19674</v>
      </c>
      <c r="H36" s="24" t="s">
        <v>19361</v>
      </c>
      <c r="I36" s="22" t="s">
        <v>19309</v>
      </c>
      <c r="J36" s="22" t="s">
        <v>19447</v>
      </c>
      <c r="K36" s="22" t="s">
        <v>19463</v>
      </c>
      <c r="L36" s="22"/>
      <c r="M36" s="22"/>
      <c r="N36" s="25" t="str">
        <f>HYPERLINK("http://slimages.macys.com/is/image/MCY/22213163 ")</f>
        <v xml:space="preserve">http://slimages.macys.com/is/image/MCY/22213163 </v>
      </c>
    </row>
    <row r="37" spans="1:14" ht="24.75" x14ac:dyDescent="0.25">
      <c r="A37" s="21" t="s">
        <v>11755</v>
      </c>
      <c r="B37" s="22" t="s">
        <v>11756</v>
      </c>
      <c r="C37" s="2">
        <v>1</v>
      </c>
      <c r="D37" s="23">
        <v>18.11</v>
      </c>
      <c r="E37" s="3">
        <v>18.11</v>
      </c>
      <c r="F37" s="2" t="s">
        <v>11757</v>
      </c>
      <c r="G37" s="22" t="s">
        <v>19357</v>
      </c>
      <c r="H37" s="24" t="s">
        <v>19334</v>
      </c>
      <c r="I37" s="22" t="s">
        <v>19309</v>
      </c>
      <c r="J37" s="22" t="s">
        <v>19378</v>
      </c>
      <c r="K37" s="22" t="s">
        <v>19487</v>
      </c>
      <c r="L37" s="22"/>
      <c r="M37" s="22"/>
      <c r="N37" s="25" t="str">
        <f>HYPERLINK("http://slimages.macys.com/is/image/MCY/19785136 ")</f>
        <v xml:space="preserve">http://slimages.macys.com/is/image/MCY/19785136 </v>
      </c>
    </row>
    <row r="38" spans="1:14" x14ac:dyDescent="0.25">
      <c r="A38" s="21" t="s">
        <v>11758</v>
      </c>
      <c r="B38" s="22" t="s">
        <v>11759</v>
      </c>
      <c r="C38" s="2">
        <v>1</v>
      </c>
      <c r="D38" s="23">
        <v>37.869999999999997</v>
      </c>
      <c r="E38" s="3">
        <v>37.869999999999997</v>
      </c>
      <c r="F38" s="2" t="s">
        <v>15156</v>
      </c>
      <c r="G38" s="22" t="s">
        <v>19351</v>
      </c>
      <c r="H38" s="24" t="s">
        <v>19330</v>
      </c>
      <c r="I38" s="22" t="s">
        <v>19309</v>
      </c>
      <c r="J38" s="22" t="s">
        <v>19708</v>
      </c>
      <c r="K38" s="22" t="s">
        <v>19709</v>
      </c>
      <c r="L38" s="22"/>
      <c r="M38" s="22"/>
      <c r="N38" s="25" t="str">
        <f>HYPERLINK("http://slimages.macys.com/is/image/MCY/22296949 ")</f>
        <v xml:space="preserve">http://slimages.macys.com/is/image/MCY/22296949 </v>
      </c>
    </row>
    <row r="39" spans="1:14" ht="24.75" x14ac:dyDescent="0.25">
      <c r="A39" s="21" t="s">
        <v>11760</v>
      </c>
      <c r="B39" s="22" t="s">
        <v>11761</v>
      </c>
      <c r="C39" s="2">
        <v>1</v>
      </c>
      <c r="D39" s="23">
        <v>30.99</v>
      </c>
      <c r="E39" s="3">
        <v>30.99</v>
      </c>
      <c r="F39" s="2" t="s">
        <v>11762</v>
      </c>
      <c r="G39" s="22" t="s">
        <v>19415</v>
      </c>
      <c r="H39" s="24" t="s">
        <v>19339</v>
      </c>
      <c r="I39" s="22" t="s">
        <v>19309</v>
      </c>
      <c r="J39" s="22" t="s">
        <v>19353</v>
      </c>
      <c r="K39" s="22" t="s">
        <v>19524</v>
      </c>
      <c r="L39" s="22"/>
      <c r="M39" s="22"/>
      <c r="N39" s="25" t="str">
        <f>HYPERLINK("http://slimages.macys.com/is/image/MCY/21085143 ")</f>
        <v xml:space="preserve">http://slimages.macys.com/is/image/MCY/21085143 </v>
      </c>
    </row>
    <row r="40" spans="1:14" ht="24.75" x14ac:dyDescent="0.25">
      <c r="A40" s="21" t="s">
        <v>11763</v>
      </c>
      <c r="B40" s="22" t="s">
        <v>11764</v>
      </c>
      <c r="C40" s="2">
        <v>1</v>
      </c>
      <c r="D40" s="23">
        <v>25</v>
      </c>
      <c r="E40" s="3">
        <v>25</v>
      </c>
      <c r="F40" s="2" t="s">
        <v>11765</v>
      </c>
      <c r="G40" s="22" t="s">
        <v>11766</v>
      </c>
      <c r="H40" s="24"/>
      <c r="I40" s="22" t="s">
        <v>19309</v>
      </c>
      <c r="J40" s="22" t="s">
        <v>19565</v>
      </c>
      <c r="K40" s="22" t="s">
        <v>19566</v>
      </c>
      <c r="L40" s="22"/>
      <c r="M40" s="22"/>
      <c r="N40" s="25" t="str">
        <f>HYPERLINK("http://slimages.macys.com/is/image/MCY/21294502 ")</f>
        <v xml:space="preserve">http://slimages.macys.com/is/image/MCY/21294502 </v>
      </c>
    </row>
    <row r="41" spans="1:14" ht="24.75" x14ac:dyDescent="0.25">
      <c r="A41" s="21" t="s">
        <v>11767</v>
      </c>
      <c r="B41" s="22" t="s">
        <v>11768</v>
      </c>
      <c r="C41" s="2">
        <v>2</v>
      </c>
      <c r="D41" s="23">
        <v>26.99</v>
      </c>
      <c r="E41" s="3">
        <v>53.98</v>
      </c>
      <c r="F41" s="2" t="s">
        <v>11769</v>
      </c>
      <c r="G41" s="22"/>
      <c r="H41" s="24" t="s">
        <v>19330</v>
      </c>
      <c r="I41" s="22" t="s">
        <v>19309</v>
      </c>
      <c r="J41" s="22" t="s">
        <v>19385</v>
      </c>
      <c r="K41" s="22" t="s">
        <v>19487</v>
      </c>
      <c r="L41" s="22"/>
      <c r="M41" s="22"/>
      <c r="N41" s="25" t="str">
        <f>HYPERLINK("http://slimages.macys.com/is/image/MCY/21436875 ")</f>
        <v xml:space="preserve">http://slimages.macys.com/is/image/MCY/21436875 </v>
      </c>
    </row>
    <row r="42" spans="1:14" ht="24.75" x14ac:dyDescent="0.25">
      <c r="A42" s="21" t="s">
        <v>11770</v>
      </c>
      <c r="B42" s="22" t="s">
        <v>11771</v>
      </c>
      <c r="C42" s="2">
        <v>1</v>
      </c>
      <c r="D42" s="23">
        <v>25</v>
      </c>
      <c r="E42" s="3">
        <v>25</v>
      </c>
      <c r="F42" s="2" t="s">
        <v>11772</v>
      </c>
      <c r="G42" s="22" t="s">
        <v>19585</v>
      </c>
      <c r="H42" s="24"/>
      <c r="I42" s="22" t="s">
        <v>19309</v>
      </c>
      <c r="J42" s="22" t="s">
        <v>19565</v>
      </c>
      <c r="K42" s="22" t="s">
        <v>19566</v>
      </c>
      <c r="L42" s="22"/>
      <c r="M42" s="22"/>
      <c r="N42" s="25" t="str">
        <f>HYPERLINK("http://slimages.macys.com/is/image/MCY/21294533 ")</f>
        <v xml:space="preserve">http://slimages.macys.com/is/image/MCY/21294533 </v>
      </c>
    </row>
    <row r="43" spans="1:14" ht="24.75" x14ac:dyDescent="0.25">
      <c r="A43" s="21" t="s">
        <v>11773</v>
      </c>
      <c r="B43" s="22" t="s">
        <v>11774</v>
      </c>
      <c r="C43" s="2">
        <v>1</v>
      </c>
      <c r="D43" s="23">
        <v>26.99</v>
      </c>
      <c r="E43" s="3">
        <v>26.99</v>
      </c>
      <c r="F43" s="2" t="s">
        <v>11769</v>
      </c>
      <c r="G43" s="22"/>
      <c r="H43" s="24" t="s">
        <v>19384</v>
      </c>
      <c r="I43" s="22" t="s">
        <v>19309</v>
      </c>
      <c r="J43" s="22" t="s">
        <v>19385</v>
      </c>
      <c r="K43" s="22" t="s">
        <v>19487</v>
      </c>
      <c r="L43" s="22"/>
      <c r="M43" s="22"/>
      <c r="N43" s="25" t="str">
        <f>HYPERLINK("http://slimages.macys.com/is/image/MCY/21436875 ")</f>
        <v xml:space="preserve">http://slimages.macys.com/is/image/MCY/21436875 </v>
      </c>
    </row>
    <row r="44" spans="1:14" ht="24.75" x14ac:dyDescent="0.25">
      <c r="A44" s="21" t="s">
        <v>11775</v>
      </c>
      <c r="B44" s="22" t="s">
        <v>11776</v>
      </c>
      <c r="C44" s="2">
        <v>1</v>
      </c>
      <c r="D44" s="23">
        <v>28.99</v>
      </c>
      <c r="E44" s="3">
        <v>28.99</v>
      </c>
      <c r="F44" s="2" t="s">
        <v>19572</v>
      </c>
      <c r="G44" s="22" t="s">
        <v>19315</v>
      </c>
      <c r="H44" s="24" t="s">
        <v>19538</v>
      </c>
      <c r="I44" s="22" t="s">
        <v>19309</v>
      </c>
      <c r="J44" s="22" t="s">
        <v>19573</v>
      </c>
      <c r="K44" s="22" t="s">
        <v>19574</v>
      </c>
      <c r="L44" s="22"/>
      <c r="M44" s="22"/>
      <c r="N44" s="25" t="str">
        <f>HYPERLINK("http://slimages.macys.com/is/image/MCY/21731366 ")</f>
        <v xml:space="preserve">http://slimages.macys.com/is/image/MCY/21731366 </v>
      </c>
    </row>
    <row r="45" spans="1:14" ht="24.75" x14ac:dyDescent="0.25">
      <c r="A45" s="21" t="s">
        <v>11777</v>
      </c>
      <c r="B45" s="22" t="s">
        <v>11778</v>
      </c>
      <c r="C45" s="2">
        <v>1</v>
      </c>
      <c r="D45" s="23">
        <v>23.99</v>
      </c>
      <c r="E45" s="3">
        <v>23.99</v>
      </c>
      <c r="F45" s="2" t="s">
        <v>11779</v>
      </c>
      <c r="G45" s="22" t="s">
        <v>19307</v>
      </c>
      <c r="H45" s="24" t="s">
        <v>19352</v>
      </c>
      <c r="I45" s="22" t="s">
        <v>19309</v>
      </c>
      <c r="J45" s="22" t="s">
        <v>19447</v>
      </c>
      <c r="K45" s="22" t="s">
        <v>19311</v>
      </c>
      <c r="L45" s="22"/>
      <c r="M45" s="22"/>
      <c r="N45" s="25" t="str">
        <f>HYPERLINK("http://slimages.macys.com/is/image/MCY/19219368 ")</f>
        <v xml:space="preserve">http://slimages.macys.com/is/image/MCY/19219368 </v>
      </c>
    </row>
    <row r="46" spans="1:14" x14ac:dyDescent="0.25">
      <c r="A46" s="21" t="s">
        <v>11780</v>
      </c>
      <c r="B46" s="22" t="s">
        <v>11781</v>
      </c>
      <c r="C46" s="2">
        <v>1</v>
      </c>
      <c r="D46" s="23">
        <v>22.99</v>
      </c>
      <c r="E46" s="3">
        <v>22.99</v>
      </c>
      <c r="F46" s="2" t="s">
        <v>11782</v>
      </c>
      <c r="G46" s="22" t="s">
        <v>19351</v>
      </c>
      <c r="H46" s="24" t="s">
        <v>19364</v>
      </c>
      <c r="I46" s="22" t="s">
        <v>19309</v>
      </c>
      <c r="J46" s="22" t="s">
        <v>19310</v>
      </c>
      <c r="K46" s="22" t="s">
        <v>19311</v>
      </c>
      <c r="L46" s="22" t="s">
        <v>19319</v>
      </c>
      <c r="M46" s="22" t="s">
        <v>12712</v>
      </c>
      <c r="N46" s="25" t="str">
        <f>HYPERLINK("http://slimages.macys.com/is/image/MCY/16212101 ")</f>
        <v xml:space="preserve">http://slimages.macys.com/is/image/MCY/16212101 </v>
      </c>
    </row>
    <row r="47" spans="1:14" x14ac:dyDescent="0.25">
      <c r="A47" s="21" t="s">
        <v>11783</v>
      </c>
      <c r="B47" s="22" t="s">
        <v>11784</v>
      </c>
      <c r="C47" s="2">
        <v>1</v>
      </c>
      <c r="D47" s="23">
        <v>30.99</v>
      </c>
      <c r="E47" s="3">
        <v>30.99</v>
      </c>
      <c r="F47" s="2" t="s">
        <v>11785</v>
      </c>
      <c r="G47" s="22" t="s">
        <v>19342</v>
      </c>
      <c r="H47" s="24" t="s">
        <v>19478</v>
      </c>
      <c r="I47" s="22" t="s">
        <v>19309</v>
      </c>
      <c r="J47" s="22" t="s">
        <v>19696</v>
      </c>
      <c r="K47" s="22" t="s">
        <v>19697</v>
      </c>
      <c r="L47" s="22"/>
      <c r="M47" s="22"/>
      <c r="N47" s="25" t="str">
        <f>HYPERLINK("http://slimages.macys.com/is/image/MCY/20662525 ")</f>
        <v xml:space="preserve">http://slimages.macys.com/is/image/MCY/20662525 </v>
      </c>
    </row>
    <row r="48" spans="1:14" ht="24.75" x14ac:dyDescent="0.25">
      <c r="A48" s="21" t="s">
        <v>11786</v>
      </c>
      <c r="B48" s="22" t="s">
        <v>11787</v>
      </c>
      <c r="C48" s="2">
        <v>1</v>
      </c>
      <c r="D48" s="23">
        <v>26.99</v>
      </c>
      <c r="E48" s="3">
        <v>26.99</v>
      </c>
      <c r="F48" s="2" t="s">
        <v>11788</v>
      </c>
      <c r="G48" s="22" t="s">
        <v>19513</v>
      </c>
      <c r="H48" s="24" t="s">
        <v>19361</v>
      </c>
      <c r="I48" s="22" t="s">
        <v>19309</v>
      </c>
      <c r="J48" s="22" t="s">
        <v>19595</v>
      </c>
      <c r="K48" s="22" t="s">
        <v>19596</v>
      </c>
      <c r="L48" s="22"/>
      <c r="M48" s="22"/>
      <c r="N48" s="25" t="str">
        <f>HYPERLINK("http://slimages.macys.com/is/image/MCY/21623086 ")</f>
        <v xml:space="preserve">http://slimages.macys.com/is/image/MCY/21623086 </v>
      </c>
    </row>
    <row r="49" spans="1:14" ht="24.75" x14ac:dyDescent="0.25">
      <c r="A49" s="21" t="s">
        <v>17679</v>
      </c>
      <c r="B49" s="22" t="s">
        <v>17680</v>
      </c>
      <c r="C49" s="2">
        <v>1</v>
      </c>
      <c r="D49" s="23">
        <v>24.99</v>
      </c>
      <c r="E49" s="3">
        <v>24.99</v>
      </c>
      <c r="F49" s="2" t="s">
        <v>17681</v>
      </c>
      <c r="G49" s="22" t="s">
        <v>19431</v>
      </c>
      <c r="H49" s="24" t="s">
        <v>19797</v>
      </c>
      <c r="I49" s="22" t="s">
        <v>19309</v>
      </c>
      <c r="J49" s="22" t="s">
        <v>19447</v>
      </c>
      <c r="K49" s="22" t="s">
        <v>19533</v>
      </c>
      <c r="L49" s="22"/>
      <c r="M49" s="22"/>
      <c r="N49" s="25" t="str">
        <f>HYPERLINK("http://slimages.macys.com/is/image/MCY/21150450 ")</f>
        <v xml:space="preserve">http://slimages.macys.com/is/image/MCY/21150450 </v>
      </c>
    </row>
    <row r="50" spans="1:14" ht="24.75" x14ac:dyDescent="0.25">
      <c r="A50" s="21" t="s">
        <v>11789</v>
      </c>
      <c r="B50" s="22" t="s">
        <v>11790</v>
      </c>
      <c r="C50" s="2">
        <v>1</v>
      </c>
      <c r="D50" s="23">
        <v>24.99</v>
      </c>
      <c r="E50" s="3">
        <v>24.99</v>
      </c>
      <c r="F50" s="2" t="s">
        <v>11791</v>
      </c>
      <c r="G50" s="22" t="s">
        <v>19342</v>
      </c>
      <c r="H50" s="24" t="s">
        <v>19416</v>
      </c>
      <c r="I50" s="22" t="s">
        <v>19309</v>
      </c>
      <c r="J50" s="22" t="s">
        <v>19491</v>
      </c>
      <c r="K50" s="22" t="s">
        <v>19554</v>
      </c>
      <c r="L50" s="22"/>
      <c r="M50" s="22"/>
      <c r="N50" s="25" t="str">
        <f>HYPERLINK("http://slimages.macys.com/is/image/MCY/21365125 ")</f>
        <v xml:space="preserve">http://slimages.macys.com/is/image/MCY/21365125 </v>
      </c>
    </row>
    <row r="51" spans="1:14" ht="24.75" x14ac:dyDescent="0.25">
      <c r="A51" s="21" t="s">
        <v>11792</v>
      </c>
      <c r="B51" s="22" t="s">
        <v>11793</v>
      </c>
      <c r="C51" s="2">
        <v>1</v>
      </c>
      <c r="D51" s="23">
        <v>30.99</v>
      </c>
      <c r="E51" s="3">
        <v>30.99</v>
      </c>
      <c r="F51" s="2">
        <v>4005</v>
      </c>
      <c r="G51" s="22"/>
      <c r="H51" s="24" t="s">
        <v>19797</v>
      </c>
      <c r="I51" s="22" t="s">
        <v>19309</v>
      </c>
      <c r="J51" s="22" t="s">
        <v>19696</v>
      </c>
      <c r="K51" s="22" t="s">
        <v>15660</v>
      </c>
      <c r="L51" s="22"/>
      <c r="M51" s="22"/>
      <c r="N51" s="25" t="str">
        <f>HYPERLINK("http://slimages.macys.com/is/image/MCY/20586529 ")</f>
        <v xml:space="preserve">http://slimages.macys.com/is/image/MCY/20586529 </v>
      </c>
    </row>
    <row r="52" spans="1:14" ht="24.75" x14ac:dyDescent="0.25">
      <c r="A52" s="21" t="s">
        <v>11794</v>
      </c>
      <c r="B52" s="22" t="s">
        <v>11795</v>
      </c>
      <c r="C52" s="2">
        <v>1</v>
      </c>
      <c r="D52" s="23">
        <v>30.99</v>
      </c>
      <c r="E52" s="3">
        <v>30.99</v>
      </c>
      <c r="F52" s="2">
        <v>2132</v>
      </c>
      <c r="G52" s="22" t="s">
        <v>13313</v>
      </c>
      <c r="H52" s="24" t="s">
        <v>19364</v>
      </c>
      <c r="I52" s="22" t="s">
        <v>19309</v>
      </c>
      <c r="J52" s="22" t="s">
        <v>19696</v>
      </c>
      <c r="K52" s="22" t="s">
        <v>15660</v>
      </c>
      <c r="L52" s="22"/>
      <c r="M52" s="22"/>
      <c r="N52" s="25" t="str">
        <f>HYPERLINK("http://slimages.macys.com/is/image/MCY/21408372 ")</f>
        <v xml:space="preserve">http://slimages.macys.com/is/image/MCY/21408372 </v>
      </c>
    </row>
    <row r="53" spans="1:14" ht="24.75" x14ac:dyDescent="0.25">
      <c r="A53" s="21" t="s">
        <v>12916</v>
      </c>
      <c r="B53" s="22" t="s">
        <v>12917</v>
      </c>
      <c r="C53" s="2">
        <v>1</v>
      </c>
      <c r="D53" s="23">
        <v>24.99</v>
      </c>
      <c r="E53" s="3">
        <v>24.99</v>
      </c>
      <c r="F53" s="2" t="s">
        <v>17721</v>
      </c>
      <c r="G53" s="22" t="s">
        <v>19422</v>
      </c>
      <c r="H53" s="24"/>
      <c r="I53" s="22" t="s">
        <v>19309</v>
      </c>
      <c r="J53" s="22" t="s">
        <v>19573</v>
      </c>
      <c r="K53" s="22" t="s">
        <v>19574</v>
      </c>
      <c r="L53" s="22"/>
      <c r="M53" s="22"/>
      <c r="N53" s="25" t="str">
        <f>HYPERLINK("http://slimages.macys.com/is/image/MCY/2096925 ")</f>
        <v xml:space="preserve">http://slimages.macys.com/is/image/MCY/2096925 </v>
      </c>
    </row>
    <row r="54" spans="1:14" ht="24.75" x14ac:dyDescent="0.25">
      <c r="A54" s="21" t="s">
        <v>11796</v>
      </c>
      <c r="B54" s="22" t="s">
        <v>11797</v>
      </c>
      <c r="C54" s="2">
        <v>1</v>
      </c>
      <c r="D54" s="23">
        <v>32.99</v>
      </c>
      <c r="E54" s="3">
        <v>32.99</v>
      </c>
      <c r="F54" s="2" t="s">
        <v>11798</v>
      </c>
      <c r="G54" s="22" t="s">
        <v>19357</v>
      </c>
      <c r="H54" s="24" t="s">
        <v>19364</v>
      </c>
      <c r="I54" s="22" t="s">
        <v>19309</v>
      </c>
      <c r="J54" s="22" t="s">
        <v>19595</v>
      </c>
      <c r="K54" s="22" t="s">
        <v>19423</v>
      </c>
      <c r="L54" s="22"/>
      <c r="M54" s="22"/>
      <c r="N54" s="25" t="str">
        <f>HYPERLINK("http://slimages.macys.com/is/image/MCY/21398459 ")</f>
        <v xml:space="preserve">http://slimages.macys.com/is/image/MCY/21398459 </v>
      </c>
    </row>
    <row r="55" spans="1:14" x14ac:dyDescent="0.25">
      <c r="A55" s="21" t="s">
        <v>11799</v>
      </c>
      <c r="B55" s="22" t="s">
        <v>11800</v>
      </c>
      <c r="C55" s="2">
        <v>1</v>
      </c>
      <c r="D55" s="23">
        <v>36</v>
      </c>
      <c r="E55" s="3">
        <v>36</v>
      </c>
      <c r="F55" s="2" t="s">
        <v>11801</v>
      </c>
      <c r="G55" s="22" t="s">
        <v>19351</v>
      </c>
      <c r="H55" s="24" t="s">
        <v>19478</v>
      </c>
      <c r="I55" s="22" t="s">
        <v>19309</v>
      </c>
      <c r="J55" s="22" t="s">
        <v>17328</v>
      </c>
      <c r="K55" s="22" t="s">
        <v>17329</v>
      </c>
      <c r="L55" s="22"/>
      <c r="M55" s="22"/>
      <c r="N55" s="25" t="str">
        <f>HYPERLINK("http://slimages.macys.com/is/image/MCY/18717474 ")</f>
        <v xml:space="preserve">http://slimages.macys.com/is/image/MCY/18717474 </v>
      </c>
    </row>
    <row r="56" spans="1:14" ht="24.75" x14ac:dyDescent="0.25">
      <c r="A56" s="21" t="s">
        <v>11802</v>
      </c>
      <c r="B56" s="22" t="s">
        <v>11803</v>
      </c>
      <c r="C56" s="2">
        <v>1</v>
      </c>
      <c r="D56" s="23">
        <v>22.99</v>
      </c>
      <c r="E56" s="3">
        <v>22.99</v>
      </c>
      <c r="F56" s="2" t="s">
        <v>17734</v>
      </c>
      <c r="G56" s="22" t="s">
        <v>19674</v>
      </c>
      <c r="H56" s="24" t="s">
        <v>19542</v>
      </c>
      <c r="I56" s="22" t="s">
        <v>19309</v>
      </c>
      <c r="J56" s="22" t="s">
        <v>19447</v>
      </c>
      <c r="K56" s="22" t="s">
        <v>19463</v>
      </c>
      <c r="L56" s="22"/>
      <c r="M56" s="22"/>
      <c r="N56" s="25" t="str">
        <f>HYPERLINK("http://slimages.macys.com/is/image/MCY/19696110 ")</f>
        <v xml:space="preserve">http://slimages.macys.com/is/image/MCY/19696110 </v>
      </c>
    </row>
    <row r="57" spans="1:14" ht="24.75" x14ac:dyDescent="0.25">
      <c r="A57" s="21" t="s">
        <v>11804</v>
      </c>
      <c r="B57" s="22" t="s">
        <v>11805</v>
      </c>
      <c r="C57" s="2">
        <v>1</v>
      </c>
      <c r="D57" s="23">
        <v>25.99</v>
      </c>
      <c r="E57" s="3">
        <v>25.99</v>
      </c>
      <c r="F57" s="2" t="s">
        <v>11806</v>
      </c>
      <c r="G57" s="22" t="s">
        <v>19431</v>
      </c>
      <c r="H57" s="24" t="s">
        <v>19324</v>
      </c>
      <c r="I57" s="22" t="s">
        <v>19309</v>
      </c>
      <c r="J57" s="22" t="s">
        <v>19573</v>
      </c>
      <c r="K57" s="22" t="s">
        <v>19574</v>
      </c>
      <c r="L57" s="22"/>
      <c r="M57" s="22"/>
      <c r="N57" s="25" t="str">
        <f>HYPERLINK("http://slimages.macys.com/is/image/MCY/1041651 ")</f>
        <v xml:space="preserve">http://slimages.macys.com/is/image/MCY/1041651 </v>
      </c>
    </row>
    <row r="58" spans="1:14" ht="24.75" x14ac:dyDescent="0.25">
      <c r="A58" s="21" t="s">
        <v>15683</v>
      </c>
      <c r="B58" s="22" t="s">
        <v>15684</v>
      </c>
      <c r="C58" s="2">
        <v>1</v>
      </c>
      <c r="D58" s="23">
        <v>18.989999999999998</v>
      </c>
      <c r="E58" s="3">
        <v>18.989999999999998</v>
      </c>
      <c r="F58" s="2" t="s">
        <v>15685</v>
      </c>
      <c r="G58" s="22" t="s">
        <v>19513</v>
      </c>
      <c r="H58" s="24" t="s">
        <v>19364</v>
      </c>
      <c r="I58" s="22" t="s">
        <v>19309</v>
      </c>
      <c r="J58" s="22" t="s">
        <v>19310</v>
      </c>
      <c r="K58" s="22" t="s">
        <v>19873</v>
      </c>
      <c r="L58" s="22"/>
      <c r="M58" s="22"/>
      <c r="N58" s="25" t="str">
        <f>HYPERLINK("http://slimages.macys.com/is/image/MCY/20663274 ")</f>
        <v xml:space="preserve">http://slimages.macys.com/is/image/MCY/20663274 </v>
      </c>
    </row>
    <row r="59" spans="1:14" ht="24.75" x14ac:dyDescent="0.25">
      <c r="A59" s="21" t="s">
        <v>17750</v>
      </c>
      <c r="B59" s="22" t="s">
        <v>17751</v>
      </c>
      <c r="C59" s="2">
        <v>1</v>
      </c>
      <c r="D59" s="23">
        <v>25.99</v>
      </c>
      <c r="E59" s="3">
        <v>25.99</v>
      </c>
      <c r="F59" s="2" t="s">
        <v>17752</v>
      </c>
      <c r="G59" s="22" t="s">
        <v>19431</v>
      </c>
      <c r="H59" s="24"/>
      <c r="I59" s="22" t="s">
        <v>19309</v>
      </c>
      <c r="J59" s="22" t="s">
        <v>19573</v>
      </c>
      <c r="K59" s="22" t="s">
        <v>19574</v>
      </c>
      <c r="L59" s="22"/>
      <c r="M59" s="22"/>
      <c r="N59" s="25" t="str">
        <f>HYPERLINK("http://slimages.macys.com/is/image/MCY/1554793 ")</f>
        <v xml:space="preserve">http://slimages.macys.com/is/image/MCY/1554793 </v>
      </c>
    </row>
    <row r="60" spans="1:14" ht="24.75" x14ac:dyDescent="0.25">
      <c r="A60" s="21" t="s">
        <v>15220</v>
      </c>
      <c r="B60" s="22" t="s">
        <v>15221</v>
      </c>
      <c r="C60" s="2">
        <v>1</v>
      </c>
      <c r="D60" s="23">
        <v>22.99</v>
      </c>
      <c r="E60" s="3">
        <v>22.99</v>
      </c>
      <c r="F60" s="2" t="s">
        <v>15222</v>
      </c>
      <c r="G60" s="22" t="s">
        <v>19886</v>
      </c>
      <c r="H60" s="24" t="s">
        <v>19364</v>
      </c>
      <c r="I60" s="22" t="s">
        <v>19309</v>
      </c>
      <c r="J60" s="22" t="s">
        <v>19447</v>
      </c>
      <c r="K60" s="22" t="s">
        <v>19533</v>
      </c>
      <c r="L60" s="22"/>
      <c r="M60" s="22"/>
      <c r="N60" s="25" t="str">
        <f>HYPERLINK("http://slimages.macys.com/is/image/MCY/20930978 ")</f>
        <v xml:space="preserve">http://slimages.macys.com/is/image/MCY/20930978 </v>
      </c>
    </row>
    <row r="61" spans="1:14" ht="24.75" x14ac:dyDescent="0.25">
      <c r="A61" s="21" t="s">
        <v>11807</v>
      </c>
      <c r="B61" s="22" t="s">
        <v>11808</v>
      </c>
      <c r="C61" s="2">
        <v>1</v>
      </c>
      <c r="D61" s="23">
        <v>29.99</v>
      </c>
      <c r="E61" s="3">
        <v>29.99</v>
      </c>
      <c r="F61" s="2" t="s">
        <v>11809</v>
      </c>
      <c r="G61" s="22" t="s">
        <v>19383</v>
      </c>
      <c r="H61" s="24" t="s">
        <v>19392</v>
      </c>
      <c r="I61" s="22" t="s">
        <v>19309</v>
      </c>
      <c r="J61" s="22" t="s">
        <v>19378</v>
      </c>
      <c r="K61" s="22" t="s">
        <v>19386</v>
      </c>
      <c r="L61" s="22"/>
      <c r="M61" s="22"/>
      <c r="N61" s="25" t="str">
        <f>HYPERLINK("http://slimages.macys.com/is/image/MCY/19674043 ")</f>
        <v xml:space="preserve">http://slimages.macys.com/is/image/MCY/19674043 </v>
      </c>
    </row>
    <row r="62" spans="1:14" ht="24.75" x14ac:dyDescent="0.25">
      <c r="A62" s="21" t="s">
        <v>11810</v>
      </c>
      <c r="B62" s="22" t="s">
        <v>11811</v>
      </c>
      <c r="C62" s="2">
        <v>1</v>
      </c>
      <c r="D62" s="23">
        <v>20.99</v>
      </c>
      <c r="E62" s="3">
        <v>20.99</v>
      </c>
      <c r="F62" s="2" t="s">
        <v>11812</v>
      </c>
      <c r="G62" s="22" t="s">
        <v>19513</v>
      </c>
      <c r="H62" s="24"/>
      <c r="I62" s="22" t="s">
        <v>19309</v>
      </c>
      <c r="J62" s="22" t="s">
        <v>19310</v>
      </c>
      <c r="K62" s="22" t="s">
        <v>11813</v>
      </c>
      <c r="L62" s="22"/>
      <c r="M62" s="22"/>
      <c r="N62" s="25" t="str">
        <f>HYPERLINK("http://slimages.macys.com/is/image/MCY/20064433 ")</f>
        <v xml:space="preserve">http://slimages.macys.com/is/image/MCY/20064433 </v>
      </c>
    </row>
    <row r="63" spans="1:14" ht="24.75" x14ac:dyDescent="0.25">
      <c r="A63" s="21" t="s">
        <v>17761</v>
      </c>
      <c r="B63" s="22" t="s">
        <v>17762</v>
      </c>
      <c r="C63" s="2">
        <v>1</v>
      </c>
      <c r="D63" s="23">
        <v>21.99</v>
      </c>
      <c r="E63" s="3">
        <v>21.99</v>
      </c>
      <c r="F63" s="2" t="s">
        <v>17760</v>
      </c>
      <c r="G63" s="22" t="s">
        <v>19794</v>
      </c>
      <c r="H63" s="24" t="s">
        <v>19797</v>
      </c>
      <c r="I63" s="22" t="s">
        <v>19309</v>
      </c>
      <c r="J63" s="22" t="s">
        <v>19447</v>
      </c>
      <c r="K63" s="22" t="s">
        <v>19533</v>
      </c>
      <c r="L63" s="22"/>
      <c r="M63" s="22"/>
      <c r="N63" s="25" t="str">
        <f>HYPERLINK("http://slimages.macys.com/is/image/MCY/21643405 ")</f>
        <v xml:space="preserve">http://slimages.macys.com/is/image/MCY/21643405 </v>
      </c>
    </row>
    <row r="64" spans="1:14" x14ac:dyDescent="0.25">
      <c r="A64" s="21" t="s">
        <v>19664</v>
      </c>
      <c r="B64" s="22" t="s">
        <v>19665</v>
      </c>
      <c r="C64" s="2">
        <v>1</v>
      </c>
      <c r="D64" s="23">
        <v>17.989999999999998</v>
      </c>
      <c r="E64" s="3">
        <v>17.989999999999998</v>
      </c>
      <c r="F64" s="2" t="s">
        <v>19666</v>
      </c>
      <c r="G64" s="22" t="s">
        <v>19630</v>
      </c>
      <c r="H64" s="24" t="s">
        <v>19364</v>
      </c>
      <c r="I64" s="22" t="s">
        <v>19309</v>
      </c>
      <c r="J64" s="22" t="s">
        <v>19310</v>
      </c>
      <c r="K64" s="22" t="s">
        <v>19631</v>
      </c>
      <c r="L64" s="22"/>
      <c r="M64" s="22"/>
      <c r="N64" s="25" t="str">
        <f>HYPERLINK("http://slimages.macys.com/is/image/MCY/16741764 ")</f>
        <v xml:space="preserve">http://slimages.macys.com/is/image/MCY/16741764 </v>
      </c>
    </row>
    <row r="65" spans="1:14" ht="24.75" x14ac:dyDescent="0.25">
      <c r="A65" s="21" t="s">
        <v>11814</v>
      </c>
      <c r="B65" s="22" t="s">
        <v>11815</v>
      </c>
      <c r="C65" s="2">
        <v>1</v>
      </c>
      <c r="D65" s="23">
        <v>27.99</v>
      </c>
      <c r="E65" s="3">
        <v>27.99</v>
      </c>
      <c r="F65" s="2" t="s">
        <v>11816</v>
      </c>
      <c r="G65" s="22" t="s">
        <v>19333</v>
      </c>
      <c r="H65" s="24" t="s">
        <v>19330</v>
      </c>
      <c r="I65" s="22" t="s">
        <v>19309</v>
      </c>
      <c r="J65" s="22" t="s">
        <v>19385</v>
      </c>
      <c r="K65" s="22" t="s">
        <v>19386</v>
      </c>
      <c r="L65" s="22"/>
      <c r="M65" s="22"/>
      <c r="N65" s="25" t="str">
        <f>HYPERLINK("http://slimages.macys.com/is/image/MCY/20756403 ")</f>
        <v xml:space="preserve">http://slimages.macys.com/is/image/MCY/20756403 </v>
      </c>
    </row>
    <row r="66" spans="1:14" ht="24.75" x14ac:dyDescent="0.25">
      <c r="A66" s="21" t="s">
        <v>11817</v>
      </c>
      <c r="B66" s="22" t="s">
        <v>11818</v>
      </c>
      <c r="C66" s="2">
        <v>1</v>
      </c>
      <c r="D66" s="23">
        <v>21.99</v>
      </c>
      <c r="E66" s="3">
        <v>21.99</v>
      </c>
      <c r="F66" s="2" t="s">
        <v>11819</v>
      </c>
      <c r="G66" s="22"/>
      <c r="H66" s="24" t="s">
        <v>19352</v>
      </c>
      <c r="I66" s="22" t="s">
        <v>19309</v>
      </c>
      <c r="J66" s="22" t="s">
        <v>19447</v>
      </c>
      <c r="K66" s="22" t="s">
        <v>19533</v>
      </c>
      <c r="L66" s="22"/>
      <c r="M66" s="22"/>
      <c r="N66" s="25" t="str">
        <f>HYPERLINK("http://slimages.macys.com/is/image/MCY/19730473 ")</f>
        <v xml:space="preserve">http://slimages.macys.com/is/image/MCY/19730473 </v>
      </c>
    </row>
    <row r="67" spans="1:14" x14ac:dyDescent="0.25">
      <c r="A67" s="21" t="s">
        <v>15696</v>
      </c>
      <c r="B67" s="22" t="s">
        <v>15697</v>
      </c>
      <c r="C67" s="2">
        <v>1</v>
      </c>
      <c r="D67" s="23">
        <v>27.99</v>
      </c>
      <c r="E67" s="3">
        <v>27.99</v>
      </c>
      <c r="F67" s="2" t="s">
        <v>15698</v>
      </c>
      <c r="G67" s="22" t="s">
        <v>19342</v>
      </c>
      <c r="H67" s="24" t="s">
        <v>19392</v>
      </c>
      <c r="I67" s="22" t="s">
        <v>19309</v>
      </c>
      <c r="J67" s="22" t="s">
        <v>19696</v>
      </c>
      <c r="K67" s="22" t="s">
        <v>19965</v>
      </c>
      <c r="L67" s="22"/>
      <c r="M67" s="22"/>
      <c r="N67" s="25" t="str">
        <f>HYPERLINK("http://slimages.macys.com/is/image/MCY/20662541 ")</f>
        <v xml:space="preserve">http://slimages.macys.com/is/image/MCY/20662541 </v>
      </c>
    </row>
    <row r="68" spans="1:14" ht="24.75" x14ac:dyDescent="0.25">
      <c r="A68" s="21" t="s">
        <v>11820</v>
      </c>
      <c r="B68" s="22" t="s">
        <v>11821</v>
      </c>
      <c r="C68" s="2">
        <v>2</v>
      </c>
      <c r="D68" s="23">
        <v>18.989999999999998</v>
      </c>
      <c r="E68" s="3">
        <v>37.979999999999997</v>
      </c>
      <c r="F68" s="2" t="s">
        <v>11822</v>
      </c>
      <c r="G68" s="22" t="s">
        <v>19618</v>
      </c>
      <c r="H68" s="24" t="s">
        <v>19352</v>
      </c>
      <c r="I68" s="22" t="s">
        <v>19309</v>
      </c>
      <c r="J68" s="22" t="s">
        <v>19310</v>
      </c>
      <c r="K68" s="22" t="s">
        <v>19873</v>
      </c>
      <c r="L68" s="22"/>
      <c r="M68" s="22"/>
      <c r="N68" s="25" t="str">
        <f>HYPERLINK("http://slimages.macys.com/is/image/MCY/19950646 ")</f>
        <v xml:space="preserve">http://slimages.macys.com/is/image/MCY/19950646 </v>
      </c>
    </row>
    <row r="69" spans="1:14" ht="24.75" x14ac:dyDescent="0.25">
      <c r="A69" s="21" t="s">
        <v>11823</v>
      </c>
      <c r="B69" s="22" t="s">
        <v>11824</v>
      </c>
      <c r="C69" s="2">
        <v>1</v>
      </c>
      <c r="D69" s="23">
        <v>18.989999999999998</v>
      </c>
      <c r="E69" s="3">
        <v>18.989999999999998</v>
      </c>
      <c r="F69" s="2" t="s">
        <v>11825</v>
      </c>
      <c r="G69" s="22" t="s">
        <v>19618</v>
      </c>
      <c r="H69" s="24" t="s">
        <v>19364</v>
      </c>
      <c r="I69" s="22" t="s">
        <v>19309</v>
      </c>
      <c r="J69" s="22" t="s">
        <v>19310</v>
      </c>
      <c r="K69" s="22" t="s">
        <v>19873</v>
      </c>
      <c r="L69" s="22"/>
      <c r="M69" s="22"/>
      <c r="N69" s="25" t="str">
        <f>HYPERLINK("http://slimages.macys.com/is/image/MCY/19705847 ")</f>
        <v xml:space="preserve">http://slimages.macys.com/is/image/MCY/19705847 </v>
      </c>
    </row>
    <row r="70" spans="1:14" ht="24.75" x14ac:dyDescent="0.25">
      <c r="A70" s="21" t="s">
        <v>11826</v>
      </c>
      <c r="B70" s="22" t="s">
        <v>11827</v>
      </c>
      <c r="C70" s="2">
        <v>1</v>
      </c>
      <c r="D70" s="23">
        <v>18.989999999999998</v>
      </c>
      <c r="E70" s="3">
        <v>18.989999999999998</v>
      </c>
      <c r="F70" s="2" t="s">
        <v>15703</v>
      </c>
      <c r="G70" s="22" t="s">
        <v>19323</v>
      </c>
      <c r="H70" s="24" t="s">
        <v>19395</v>
      </c>
      <c r="I70" s="22" t="s">
        <v>19309</v>
      </c>
      <c r="J70" s="22" t="s">
        <v>19447</v>
      </c>
      <c r="K70" s="22" t="s">
        <v>20146</v>
      </c>
      <c r="L70" s="22"/>
      <c r="M70" s="22"/>
      <c r="N70" s="25" t="str">
        <f>HYPERLINK("http://slimages.macys.com/is/image/MCY/20676963 ")</f>
        <v xml:space="preserve">http://slimages.macys.com/is/image/MCY/20676963 </v>
      </c>
    </row>
    <row r="71" spans="1:14" ht="24.75" x14ac:dyDescent="0.25">
      <c r="A71" s="21" t="s">
        <v>11828</v>
      </c>
      <c r="B71" s="22" t="s">
        <v>11829</v>
      </c>
      <c r="C71" s="2">
        <v>1</v>
      </c>
      <c r="D71" s="23">
        <v>18.989999999999998</v>
      </c>
      <c r="E71" s="3">
        <v>18.989999999999998</v>
      </c>
      <c r="F71" s="2" t="s">
        <v>15703</v>
      </c>
      <c r="G71" s="22" t="s">
        <v>19323</v>
      </c>
      <c r="H71" s="24" t="s">
        <v>19377</v>
      </c>
      <c r="I71" s="22" t="s">
        <v>19309</v>
      </c>
      <c r="J71" s="22" t="s">
        <v>19447</v>
      </c>
      <c r="K71" s="22" t="s">
        <v>20146</v>
      </c>
      <c r="L71" s="22"/>
      <c r="M71" s="22"/>
      <c r="N71" s="25" t="str">
        <f>HYPERLINK("http://slimages.macys.com/is/image/MCY/20676963 ")</f>
        <v xml:space="preserve">http://slimages.macys.com/is/image/MCY/20676963 </v>
      </c>
    </row>
    <row r="72" spans="1:14" ht="24.75" x14ac:dyDescent="0.25">
      <c r="A72" s="21" t="s">
        <v>11830</v>
      </c>
      <c r="B72" s="22" t="s">
        <v>11831</v>
      </c>
      <c r="C72" s="2">
        <v>1</v>
      </c>
      <c r="D72" s="23">
        <v>27.99</v>
      </c>
      <c r="E72" s="3">
        <v>27.99</v>
      </c>
      <c r="F72" s="2" t="s">
        <v>11832</v>
      </c>
      <c r="G72" s="22" t="s">
        <v>19342</v>
      </c>
      <c r="H72" s="24"/>
      <c r="I72" s="22" t="s">
        <v>19309</v>
      </c>
      <c r="J72" s="22" t="s">
        <v>19696</v>
      </c>
      <c r="K72" s="22" t="s">
        <v>17718</v>
      </c>
      <c r="L72" s="22"/>
      <c r="M72" s="22"/>
      <c r="N72" s="25" t="str">
        <f>HYPERLINK("http://slimages.macys.com/is/image/MCY/20750229 ")</f>
        <v xml:space="preserve">http://slimages.macys.com/is/image/MCY/20750229 </v>
      </c>
    </row>
    <row r="73" spans="1:14" x14ac:dyDescent="0.25">
      <c r="A73" s="21" t="s">
        <v>11833</v>
      </c>
      <c r="B73" s="22" t="s">
        <v>11834</v>
      </c>
      <c r="C73" s="2">
        <v>1</v>
      </c>
      <c r="D73" s="23">
        <v>36</v>
      </c>
      <c r="E73" s="3">
        <v>36</v>
      </c>
      <c r="F73" s="2" t="s">
        <v>11835</v>
      </c>
      <c r="G73" s="22" t="s">
        <v>19323</v>
      </c>
      <c r="H73" s="24" t="s">
        <v>19478</v>
      </c>
      <c r="I73" s="22" t="s">
        <v>19309</v>
      </c>
      <c r="J73" s="22" t="s">
        <v>17328</v>
      </c>
      <c r="K73" s="22" t="s">
        <v>17329</v>
      </c>
      <c r="L73" s="22"/>
      <c r="M73" s="22"/>
      <c r="N73" s="25" t="str">
        <f>HYPERLINK("http://slimages.macys.com/is/image/MCY/18717577 ")</f>
        <v xml:space="preserve">http://slimages.macys.com/is/image/MCY/18717577 </v>
      </c>
    </row>
    <row r="74" spans="1:14" x14ac:dyDescent="0.25">
      <c r="A74" s="21" t="s">
        <v>11836</v>
      </c>
      <c r="B74" s="22" t="s">
        <v>11837</v>
      </c>
      <c r="C74" s="2">
        <v>1</v>
      </c>
      <c r="D74" s="23">
        <v>36</v>
      </c>
      <c r="E74" s="3">
        <v>36</v>
      </c>
      <c r="F74" s="2" t="s">
        <v>11838</v>
      </c>
      <c r="G74" s="22" t="s">
        <v>19315</v>
      </c>
      <c r="H74" s="24" t="s">
        <v>19432</v>
      </c>
      <c r="I74" s="22" t="s">
        <v>19309</v>
      </c>
      <c r="J74" s="22" t="s">
        <v>17328</v>
      </c>
      <c r="K74" s="22" t="s">
        <v>17329</v>
      </c>
      <c r="L74" s="22"/>
      <c r="M74" s="22"/>
      <c r="N74" s="25" t="str">
        <f>HYPERLINK("http://slimages.macys.com/is/image/MCY/18717571 ")</f>
        <v xml:space="preserve">http://slimages.macys.com/is/image/MCY/18717571 </v>
      </c>
    </row>
    <row r="75" spans="1:14" ht="24.75" x14ac:dyDescent="0.25">
      <c r="A75" s="21" t="s">
        <v>11839</v>
      </c>
      <c r="B75" s="22" t="s">
        <v>11840</v>
      </c>
      <c r="C75" s="2">
        <v>1</v>
      </c>
      <c r="D75" s="23">
        <v>20</v>
      </c>
      <c r="E75" s="3">
        <v>20</v>
      </c>
      <c r="F75" s="2" t="s">
        <v>11841</v>
      </c>
      <c r="G75" s="22" t="s">
        <v>19315</v>
      </c>
      <c r="H75" s="24" t="s">
        <v>19352</v>
      </c>
      <c r="I75" s="22" t="s">
        <v>19309</v>
      </c>
      <c r="J75" s="22" t="s">
        <v>20076</v>
      </c>
      <c r="K75" s="22" t="s">
        <v>17980</v>
      </c>
      <c r="L75" s="22" t="s">
        <v>19319</v>
      </c>
      <c r="M75" s="22" t="s">
        <v>11842</v>
      </c>
      <c r="N75" s="25" t="str">
        <f>HYPERLINK("http://slimages.macys.com/is/image/MCY/14553460 ")</f>
        <v xml:space="preserve">http://slimages.macys.com/is/image/MCY/14553460 </v>
      </c>
    </row>
    <row r="76" spans="1:14" ht="24.75" x14ac:dyDescent="0.25">
      <c r="A76" s="21" t="s">
        <v>11843</v>
      </c>
      <c r="B76" s="22" t="s">
        <v>11844</v>
      </c>
      <c r="C76" s="2">
        <v>1</v>
      </c>
      <c r="D76" s="23">
        <v>23.99</v>
      </c>
      <c r="E76" s="3">
        <v>23.99</v>
      </c>
      <c r="F76" s="2" t="s">
        <v>11845</v>
      </c>
      <c r="G76" s="22" t="s">
        <v>19431</v>
      </c>
      <c r="H76" s="24"/>
      <c r="I76" s="22" t="s">
        <v>19309</v>
      </c>
      <c r="J76" s="22" t="s">
        <v>19573</v>
      </c>
      <c r="K76" s="22" t="s">
        <v>19574</v>
      </c>
      <c r="L76" s="22"/>
      <c r="M76" s="22"/>
      <c r="N76" s="25" t="str">
        <f>HYPERLINK("http://slimages.macys.com/is/image/MCY/19589063 ")</f>
        <v xml:space="preserve">http://slimages.macys.com/is/image/MCY/19589063 </v>
      </c>
    </row>
    <row r="77" spans="1:14" x14ac:dyDescent="0.25">
      <c r="A77" s="21" t="s">
        <v>17775</v>
      </c>
      <c r="B77" s="22" t="s">
        <v>17776</v>
      </c>
      <c r="C77" s="2">
        <v>1</v>
      </c>
      <c r="D77" s="23">
        <v>27.99</v>
      </c>
      <c r="E77" s="3">
        <v>27.99</v>
      </c>
      <c r="F77" s="2" t="s">
        <v>17777</v>
      </c>
      <c r="G77" s="22" t="s">
        <v>19342</v>
      </c>
      <c r="H77" s="24" t="s">
        <v>19345</v>
      </c>
      <c r="I77" s="22" t="s">
        <v>19309</v>
      </c>
      <c r="J77" s="22" t="s">
        <v>19696</v>
      </c>
      <c r="K77" s="22" t="s">
        <v>19697</v>
      </c>
      <c r="L77" s="22"/>
      <c r="M77" s="22"/>
      <c r="N77" s="25" t="str">
        <f>HYPERLINK("http://slimages.macys.com/is/image/MCY/21364964 ")</f>
        <v xml:space="preserve">http://slimages.macys.com/is/image/MCY/21364964 </v>
      </c>
    </row>
    <row r="78" spans="1:14" ht="24.75" x14ac:dyDescent="0.25">
      <c r="A78" s="21" t="s">
        <v>15718</v>
      </c>
      <c r="B78" s="22" t="s">
        <v>15719</v>
      </c>
      <c r="C78" s="2">
        <v>1</v>
      </c>
      <c r="D78" s="23">
        <v>19.989999999999998</v>
      </c>
      <c r="E78" s="3">
        <v>19.989999999999998</v>
      </c>
      <c r="F78" s="2" t="s">
        <v>19692</v>
      </c>
      <c r="G78" s="22" t="s">
        <v>19315</v>
      </c>
      <c r="H78" s="24" t="s">
        <v>19538</v>
      </c>
      <c r="I78" s="22" t="s">
        <v>19309</v>
      </c>
      <c r="J78" s="22" t="s">
        <v>19573</v>
      </c>
      <c r="K78" s="22" t="s">
        <v>19574</v>
      </c>
      <c r="L78" s="22"/>
      <c r="M78" s="22"/>
      <c r="N78" s="25" t="str">
        <f>HYPERLINK("http://slimages.macys.com/is/image/MCY/21731432 ")</f>
        <v xml:space="preserve">http://slimages.macys.com/is/image/MCY/21731432 </v>
      </c>
    </row>
    <row r="79" spans="1:14" x14ac:dyDescent="0.25">
      <c r="A79" s="21" t="s">
        <v>17772</v>
      </c>
      <c r="B79" s="22" t="s">
        <v>17773</v>
      </c>
      <c r="C79" s="2">
        <v>1</v>
      </c>
      <c r="D79" s="23">
        <v>27.99</v>
      </c>
      <c r="E79" s="3">
        <v>27.99</v>
      </c>
      <c r="F79" s="2" t="s">
        <v>17774</v>
      </c>
      <c r="G79" s="22" t="s">
        <v>19342</v>
      </c>
      <c r="H79" s="24" t="s">
        <v>19392</v>
      </c>
      <c r="I79" s="22" t="s">
        <v>19309</v>
      </c>
      <c r="J79" s="22" t="s">
        <v>19696</v>
      </c>
      <c r="K79" s="22" t="s">
        <v>19965</v>
      </c>
      <c r="L79" s="22"/>
      <c r="M79" s="22"/>
      <c r="N79" s="25" t="str">
        <f>HYPERLINK("http://slimages.macys.com/is/image/MCY/21540669 ")</f>
        <v xml:space="preserve">http://slimages.macys.com/is/image/MCY/21540669 </v>
      </c>
    </row>
    <row r="80" spans="1:14" ht="24.75" x14ac:dyDescent="0.25">
      <c r="A80" s="21" t="s">
        <v>11846</v>
      </c>
      <c r="B80" s="22" t="s">
        <v>11847</v>
      </c>
      <c r="C80" s="2">
        <v>1</v>
      </c>
      <c r="D80" s="23">
        <v>19.989999999999998</v>
      </c>
      <c r="E80" s="3">
        <v>19.989999999999998</v>
      </c>
      <c r="F80" s="2" t="s">
        <v>19692</v>
      </c>
      <c r="G80" s="22" t="s">
        <v>19315</v>
      </c>
      <c r="H80" s="24" t="s">
        <v>19384</v>
      </c>
      <c r="I80" s="22" t="s">
        <v>19309</v>
      </c>
      <c r="J80" s="22" t="s">
        <v>19573</v>
      </c>
      <c r="K80" s="22" t="s">
        <v>19574</v>
      </c>
      <c r="L80" s="22"/>
      <c r="M80" s="22"/>
      <c r="N80" s="25" t="str">
        <f>HYPERLINK("http://slimages.macys.com/is/image/MCY/21731432 ")</f>
        <v xml:space="preserve">http://slimages.macys.com/is/image/MCY/21731432 </v>
      </c>
    </row>
    <row r="81" spans="1:14" ht="24.75" x14ac:dyDescent="0.25">
      <c r="A81" s="21" t="s">
        <v>11848</v>
      </c>
      <c r="B81" s="22" t="s">
        <v>11849</v>
      </c>
      <c r="C81" s="2">
        <v>1</v>
      </c>
      <c r="D81" s="23">
        <v>39.5</v>
      </c>
      <c r="E81" s="3">
        <v>39.5</v>
      </c>
      <c r="F81" s="2">
        <v>100134834</v>
      </c>
      <c r="G81" s="22" t="s">
        <v>19315</v>
      </c>
      <c r="H81" s="24" t="s">
        <v>11850</v>
      </c>
      <c r="I81" s="22" t="s">
        <v>19309</v>
      </c>
      <c r="J81" s="22" t="s">
        <v>17328</v>
      </c>
      <c r="K81" s="22" t="s">
        <v>11851</v>
      </c>
      <c r="L81" s="22"/>
      <c r="M81" s="22"/>
      <c r="N81" s="25" t="str">
        <f>HYPERLINK("http://slimages.macys.com/is/image/MCY/892491 ")</f>
        <v xml:space="preserve">http://slimages.macys.com/is/image/MCY/892491 </v>
      </c>
    </row>
    <row r="82" spans="1:14" ht="24.75" x14ac:dyDescent="0.25">
      <c r="A82" s="21" t="s">
        <v>11852</v>
      </c>
      <c r="B82" s="22" t="s">
        <v>11853</v>
      </c>
      <c r="C82" s="2">
        <v>1</v>
      </c>
      <c r="D82" s="23">
        <v>21.99</v>
      </c>
      <c r="E82" s="3">
        <v>21.99</v>
      </c>
      <c r="F82" s="2" t="s">
        <v>11854</v>
      </c>
      <c r="G82" s="22" t="s">
        <v>19323</v>
      </c>
      <c r="H82" s="24" t="s">
        <v>19345</v>
      </c>
      <c r="I82" s="22" t="s">
        <v>19309</v>
      </c>
      <c r="J82" s="22" t="s">
        <v>19595</v>
      </c>
      <c r="K82" s="22" t="s">
        <v>19596</v>
      </c>
      <c r="L82" s="22"/>
      <c r="M82" s="22"/>
      <c r="N82" s="25" t="str">
        <f>HYPERLINK("http://slimages.macys.com/is/image/MCY/21623012 ")</f>
        <v xml:space="preserve">http://slimages.macys.com/is/image/MCY/21623012 </v>
      </c>
    </row>
    <row r="83" spans="1:14" ht="24.75" x14ac:dyDescent="0.25">
      <c r="A83" s="21" t="s">
        <v>11855</v>
      </c>
      <c r="B83" s="22" t="s">
        <v>11856</v>
      </c>
      <c r="C83" s="2">
        <v>1</v>
      </c>
      <c r="D83" s="23">
        <v>30.99</v>
      </c>
      <c r="E83" s="3">
        <v>30.99</v>
      </c>
      <c r="F83" s="2" t="s">
        <v>11857</v>
      </c>
      <c r="G83" s="22" t="s">
        <v>19906</v>
      </c>
      <c r="H83" s="24" t="s">
        <v>19339</v>
      </c>
      <c r="I83" s="22" t="s">
        <v>19309</v>
      </c>
      <c r="J83" s="22" t="s">
        <v>19353</v>
      </c>
      <c r="K83" s="22" t="s">
        <v>19524</v>
      </c>
      <c r="L83" s="22"/>
      <c r="M83" s="22"/>
      <c r="N83" s="25" t="str">
        <f>HYPERLINK("http://slimages.macys.com/is/image/MCY/1537658 ")</f>
        <v xml:space="preserve">http://slimages.macys.com/is/image/MCY/1537658 </v>
      </c>
    </row>
    <row r="84" spans="1:14" ht="24.75" x14ac:dyDescent="0.25">
      <c r="A84" s="21" t="s">
        <v>11858</v>
      </c>
      <c r="B84" s="22" t="s">
        <v>11859</v>
      </c>
      <c r="C84" s="2">
        <v>1</v>
      </c>
      <c r="D84" s="23">
        <v>22.39</v>
      </c>
      <c r="E84" s="3">
        <v>22.39</v>
      </c>
      <c r="F84" s="2" t="s">
        <v>11860</v>
      </c>
      <c r="G84" s="22"/>
      <c r="H84" s="24" t="s">
        <v>19432</v>
      </c>
      <c r="I84" s="22" t="s">
        <v>19309</v>
      </c>
      <c r="J84" s="22" t="s">
        <v>19602</v>
      </c>
      <c r="K84" s="22" t="s">
        <v>20041</v>
      </c>
      <c r="L84" s="22"/>
      <c r="M84" s="22"/>
      <c r="N84" s="25" t="str">
        <f>HYPERLINK("http://slimages.macys.com/is/image/MCY/22405690 ")</f>
        <v xml:space="preserve">http://slimages.macys.com/is/image/MCY/22405690 </v>
      </c>
    </row>
    <row r="85" spans="1:14" ht="24.75" x14ac:dyDescent="0.25">
      <c r="A85" s="21" t="s">
        <v>11861</v>
      </c>
      <c r="B85" s="22" t="s">
        <v>11862</v>
      </c>
      <c r="C85" s="2">
        <v>1</v>
      </c>
      <c r="D85" s="23">
        <v>23.99</v>
      </c>
      <c r="E85" s="3">
        <v>23.99</v>
      </c>
      <c r="F85" s="2" t="s">
        <v>15741</v>
      </c>
      <c r="G85" s="22" t="s">
        <v>19462</v>
      </c>
      <c r="H85" s="24" t="s">
        <v>20135</v>
      </c>
      <c r="I85" s="22" t="s">
        <v>19309</v>
      </c>
      <c r="J85" s="22" t="s">
        <v>19908</v>
      </c>
      <c r="K85" s="22" t="s">
        <v>19524</v>
      </c>
      <c r="L85" s="22"/>
      <c r="M85" s="22"/>
      <c r="N85" s="25" t="str">
        <f>HYPERLINK("http://slimages.macys.com/is/image/MCY/22028940 ")</f>
        <v xml:space="preserve">http://slimages.macys.com/is/image/MCY/22028940 </v>
      </c>
    </row>
    <row r="86" spans="1:14" ht="24.75" x14ac:dyDescent="0.25">
      <c r="A86" s="21" t="s">
        <v>17819</v>
      </c>
      <c r="B86" s="22" t="s">
        <v>17820</v>
      </c>
      <c r="C86" s="2">
        <v>1</v>
      </c>
      <c r="D86" s="23">
        <v>24.99</v>
      </c>
      <c r="E86" s="3">
        <v>24.99</v>
      </c>
      <c r="F86" s="2" t="s">
        <v>17821</v>
      </c>
      <c r="G86" s="22" t="s">
        <v>19713</v>
      </c>
      <c r="H86" s="24" t="s">
        <v>19384</v>
      </c>
      <c r="I86" s="22" t="s">
        <v>19309</v>
      </c>
      <c r="J86" s="22" t="s">
        <v>19573</v>
      </c>
      <c r="K86" s="22" t="s">
        <v>19574</v>
      </c>
      <c r="L86" s="22"/>
      <c r="M86" s="22"/>
      <c r="N86" s="25" t="str">
        <f>HYPERLINK("http://slimages.macys.com/is/image/MCY/1679020 ")</f>
        <v xml:space="preserve">http://slimages.macys.com/is/image/MCY/1679020 </v>
      </c>
    </row>
    <row r="87" spans="1:14" ht="24.75" x14ac:dyDescent="0.25">
      <c r="A87" s="21" t="s">
        <v>12961</v>
      </c>
      <c r="B87" s="22" t="s">
        <v>12962</v>
      </c>
      <c r="C87" s="2">
        <v>2</v>
      </c>
      <c r="D87" s="23">
        <v>24.99</v>
      </c>
      <c r="E87" s="3">
        <v>49.98</v>
      </c>
      <c r="F87" s="2" t="s">
        <v>17821</v>
      </c>
      <c r="G87" s="22" t="s">
        <v>19713</v>
      </c>
      <c r="H87" s="24" t="s">
        <v>19330</v>
      </c>
      <c r="I87" s="22" t="s">
        <v>19309</v>
      </c>
      <c r="J87" s="22" t="s">
        <v>19573</v>
      </c>
      <c r="K87" s="22" t="s">
        <v>19574</v>
      </c>
      <c r="L87" s="22"/>
      <c r="M87" s="22"/>
      <c r="N87" s="25" t="str">
        <f>HYPERLINK("http://slimages.macys.com/is/image/MCY/1679020 ")</f>
        <v xml:space="preserve">http://slimages.macys.com/is/image/MCY/1679020 </v>
      </c>
    </row>
    <row r="88" spans="1:14" x14ac:dyDescent="0.25">
      <c r="A88" s="21" t="s">
        <v>11863</v>
      </c>
      <c r="B88" s="22" t="s">
        <v>11864</v>
      </c>
      <c r="C88" s="2">
        <v>1</v>
      </c>
      <c r="D88" s="23">
        <v>24.8</v>
      </c>
      <c r="E88" s="3">
        <v>24.8</v>
      </c>
      <c r="F88" s="2" t="s">
        <v>11865</v>
      </c>
      <c r="G88" s="22" t="s">
        <v>19357</v>
      </c>
      <c r="H88" s="24" t="s">
        <v>19324</v>
      </c>
      <c r="I88" s="22" t="s">
        <v>19309</v>
      </c>
      <c r="J88" s="22" t="s">
        <v>19708</v>
      </c>
      <c r="K88" s="22" t="s">
        <v>19709</v>
      </c>
      <c r="L88" s="22"/>
      <c r="M88" s="22"/>
      <c r="N88" s="25" t="str">
        <f>HYPERLINK("http://slimages.macys.com/is/image/MCY/21413296 ")</f>
        <v xml:space="preserve">http://slimages.macys.com/is/image/MCY/21413296 </v>
      </c>
    </row>
    <row r="89" spans="1:14" ht="24.75" x14ac:dyDescent="0.25">
      <c r="A89" s="21" t="s">
        <v>11866</v>
      </c>
      <c r="B89" s="22" t="s">
        <v>11867</v>
      </c>
      <c r="C89" s="2">
        <v>1</v>
      </c>
      <c r="D89" s="23">
        <v>10.99</v>
      </c>
      <c r="E89" s="3">
        <v>10.99</v>
      </c>
      <c r="F89" s="2" t="s">
        <v>19725</v>
      </c>
      <c r="G89" s="22" t="s">
        <v>19674</v>
      </c>
      <c r="H89" s="24" t="s">
        <v>19364</v>
      </c>
      <c r="I89" s="22" t="s">
        <v>19309</v>
      </c>
      <c r="J89" s="22" t="s">
        <v>19353</v>
      </c>
      <c r="K89" s="22" t="s">
        <v>19354</v>
      </c>
      <c r="L89" s="22"/>
      <c r="M89" s="22"/>
      <c r="N89" s="25" t="str">
        <f>HYPERLINK("http://slimages.macys.com/is/image/MCY/22400839 ")</f>
        <v xml:space="preserve">http://slimages.macys.com/is/image/MCY/22400839 </v>
      </c>
    </row>
    <row r="90" spans="1:14" ht="24.75" x14ac:dyDescent="0.25">
      <c r="A90" s="21" t="s">
        <v>11868</v>
      </c>
      <c r="B90" s="22" t="s">
        <v>11869</v>
      </c>
      <c r="C90" s="2">
        <v>1</v>
      </c>
      <c r="D90" s="23">
        <v>24.99</v>
      </c>
      <c r="E90" s="3">
        <v>24.99</v>
      </c>
      <c r="F90" s="2" t="s">
        <v>11870</v>
      </c>
      <c r="G90" s="22" t="s">
        <v>19342</v>
      </c>
      <c r="H90" s="24" t="s">
        <v>19324</v>
      </c>
      <c r="I90" s="22" t="s">
        <v>19309</v>
      </c>
      <c r="J90" s="22" t="s">
        <v>19385</v>
      </c>
      <c r="K90" s="22" t="s">
        <v>19729</v>
      </c>
      <c r="L90" s="22"/>
      <c r="M90" s="22"/>
      <c r="N90" s="25" t="str">
        <f>HYPERLINK("http://slimages.macys.com/is/image/MCY/19682042 ")</f>
        <v xml:space="preserve">http://slimages.macys.com/is/image/MCY/19682042 </v>
      </c>
    </row>
    <row r="91" spans="1:14" ht="24.75" x14ac:dyDescent="0.25">
      <c r="A91" s="21" t="s">
        <v>19743</v>
      </c>
      <c r="B91" s="22" t="s">
        <v>19744</v>
      </c>
      <c r="C91" s="2">
        <v>1</v>
      </c>
      <c r="D91" s="23">
        <v>24.99</v>
      </c>
      <c r="E91" s="3">
        <v>24.99</v>
      </c>
      <c r="F91" s="2" t="s">
        <v>19728</v>
      </c>
      <c r="G91" s="22" t="s">
        <v>19342</v>
      </c>
      <c r="H91" s="24" t="s">
        <v>19330</v>
      </c>
      <c r="I91" s="22" t="s">
        <v>19309</v>
      </c>
      <c r="J91" s="22" t="s">
        <v>19385</v>
      </c>
      <c r="K91" s="22" t="s">
        <v>19729</v>
      </c>
      <c r="L91" s="22"/>
      <c r="M91" s="22"/>
      <c r="N91" s="25" t="str">
        <f>HYPERLINK("http://slimages.macys.com/is/image/MCY/21773792 ")</f>
        <v xml:space="preserve">http://slimages.macys.com/is/image/MCY/21773792 </v>
      </c>
    </row>
    <row r="92" spans="1:14" ht="24.75" x14ac:dyDescent="0.25">
      <c r="A92" s="21" t="s">
        <v>19741</v>
      </c>
      <c r="B92" s="22" t="s">
        <v>19742</v>
      </c>
      <c r="C92" s="2">
        <v>1</v>
      </c>
      <c r="D92" s="23">
        <v>24.99</v>
      </c>
      <c r="E92" s="3">
        <v>24.99</v>
      </c>
      <c r="F92" s="2" t="s">
        <v>19728</v>
      </c>
      <c r="G92" s="22" t="s">
        <v>19342</v>
      </c>
      <c r="H92" s="24" t="s">
        <v>19416</v>
      </c>
      <c r="I92" s="22" t="s">
        <v>19309</v>
      </c>
      <c r="J92" s="22" t="s">
        <v>19385</v>
      </c>
      <c r="K92" s="22" t="s">
        <v>19729</v>
      </c>
      <c r="L92" s="22"/>
      <c r="M92" s="22"/>
      <c r="N92" s="25" t="str">
        <f>HYPERLINK("http://slimages.macys.com/is/image/MCY/21773792 ")</f>
        <v xml:space="preserve">http://slimages.macys.com/is/image/MCY/21773792 </v>
      </c>
    </row>
    <row r="93" spans="1:14" ht="24.75" x14ac:dyDescent="0.25">
      <c r="A93" s="21" t="s">
        <v>19726</v>
      </c>
      <c r="B93" s="22" t="s">
        <v>19727</v>
      </c>
      <c r="C93" s="2">
        <v>3</v>
      </c>
      <c r="D93" s="23">
        <v>24.99</v>
      </c>
      <c r="E93" s="3">
        <v>74.97</v>
      </c>
      <c r="F93" s="2" t="s">
        <v>19728</v>
      </c>
      <c r="G93" s="22" t="s">
        <v>19342</v>
      </c>
      <c r="H93" s="24" t="s">
        <v>19324</v>
      </c>
      <c r="I93" s="22" t="s">
        <v>19309</v>
      </c>
      <c r="J93" s="22" t="s">
        <v>19385</v>
      </c>
      <c r="K93" s="22" t="s">
        <v>19729</v>
      </c>
      <c r="L93" s="22"/>
      <c r="M93" s="22"/>
      <c r="N93" s="25" t="str">
        <f>HYPERLINK("http://slimages.macys.com/is/image/MCY/21773792 ")</f>
        <v xml:space="preserve">http://slimages.macys.com/is/image/MCY/21773792 </v>
      </c>
    </row>
    <row r="94" spans="1:14" ht="24.75" x14ac:dyDescent="0.25">
      <c r="A94" s="21" t="s">
        <v>11871</v>
      </c>
      <c r="B94" s="22" t="s">
        <v>11872</v>
      </c>
      <c r="C94" s="2">
        <v>2</v>
      </c>
      <c r="D94" s="23">
        <v>30</v>
      </c>
      <c r="E94" s="3">
        <v>60</v>
      </c>
      <c r="F94" s="2" t="s">
        <v>11873</v>
      </c>
      <c r="G94" s="22" t="s">
        <v>19315</v>
      </c>
      <c r="H94" s="24" t="s">
        <v>19345</v>
      </c>
      <c r="I94" s="22" t="s">
        <v>19309</v>
      </c>
      <c r="J94" s="22" t="s">
        <v>19310</v>
      </c>
      <c r="K94" s="22" t="s">
        <v>15570</v>
      </c>
      <c r="L94" s="22" t="s">
        <v>19319</v>
      </c>
      <c r="M94" s="22" t="s">
        <v>12712</v>
      </c>
      <c r="N94" s="25" t="str">
        <f>HYPERLINK("http://slimages.macys.com/is/image/MCY/9878265 ")</f>
        <v xml:space="preserve">http://slimages.macys.com/is/image/MCY/9878265 </v>
      </c>
    </row>
    <row r="95" spans="1:14" ht="24.75" x14ac:dyDescent="0.25">
      <c r="A95" s="21" t="s">
        <v>11874</v>
      </c>
      <c r="B95" s="22" t="s">
        <v>11875</v>
      </c>
      <c r="C95" s="2">
        <v>2</v>
      </c>
      <c r="D95" s="23">
        <v>30</v>
      </c>
      <c r="E95" s="3">
        <v>60</v>
      </c>
      <c r="F95" s="2" t="s">
        <v>11876</v>
      </c>
      <c r="G95" s="22" t="s">
        <v>19315</v>
      </c>
      <c r="H95" s="24" t="s">
        <v>19334</v>
      </c>
      <c r="I95" s="22" t="s">
        <v>19309</v>
      </c>
      <c r="J95" s="22" t="s">
        <v>19310</v>
      </c>
      <c r="K95" s="22" t="s">
        <v>15570</v>
      </c>
      <c r="L95" s="22" t="s">
        <v>19319</v>
      </c>
      <c r="M95" s="22" t="s">
        <v>12712</v>
      </c>
      <c r="N95" s="25" t="str">
        <f>HYPERLINK("http://slimages.macys.com/is/image/MCY/9878265 ")</f>
        <v xml:space="preserve">http://slimages.macys.com/is/image/MCY/9878265 </v>
      </c>
    </row>
    <row r="96" spans="1:14" ht="24.75" x14ac:dyDescent="0.25">
      <c r="A96" s="21" t="s">
        <v>11877</v>
      </c>
      <c r="B96" s="22" t="s">
        <v>11878</v>
      </c>
      <c r="C96" s="2">
        <v>1</v>
      </c>
      <c r="D96" s="23">
        <v>30</v>
      </c>
      <c r="E96" s="3">
        <v>30</v>
      </c>
      <c r="F96" s="2" t="s">
        <v>11873</v>
      </c>
      <c r="G96" s="22" t="s">
        <v>19315</v>
      </c>
      <c r="H96" s="24" t="s">
        <v>19395</v>
      </c>
      <c r="I96" s="22" t="s">
        <v>19309</v>
      </c>
      <c r="J96" s="22" t="s">
        <v>19310</v>
      </c>
      <c r="K96" s="22" t="s">
        <v>15570</v>
      </c>
      <c r="L96" s="22" t="s">
        <v>19319</v>
      </c>
      <c r="M96" s="22" t="s">
        <v>12712</v>
      </c>
      <c r="N96" s="25" t="str">
        <f>HYPERLINK("http://slimages.macys.com/is/image/MCY/9878263 ")</f>
        <v xml:space="preserve">http://slimages.macys.com/is/image/MCY/9878263 </v>
      </c>
    </row>
    <row r="97" spans="1:14" ht="24.75" x14ac:dyDescent="0.25">
      <c r="A97" s="21" t="s">
        <v>11879</v>
      </c>
      <c r="B97" s="22" t="s">
        <v>11880</v>
      </c>
      <c r="C97" s="2">
        <v>1</v>
      </c>
      <c r="D97" s="23">
        <v>30</v>
      </c>
      <c r="E97" s="3">
        <v>30</v>
      </c>
      <c r="F97" s="2" t="s">
        <v>11876</v>
      </c>
      <c r="G97" s="22" t="s">
        <v>19315</v>
      </c>
      <c r="H97" s="24" t="s">
        <v>19395</v>
      </c>
      <c r="I97" s="22" t="s">
        <v>19309</v>
      </c>
      <c r="J97" s="22" t="s">
        <v>19310</v>
      </c>
      <c r="K97" s="22" t="s">
        <v>15570</v>
      </c>
      <c r="L97" s="22" t="s">
        <v>19319</v>
      </c>
      <c r="M97" s="22" t="s">
        <v>12712</v>
      </c>
      <c r="N97" s="25" t="str">
        <f>HYPERLINK("http://slimages.macys.com/is/image/MCY/9878263 ")</f>
        <v xml:space="preserve">http://slimages.macys.com/is/image/MCY/9878263 </v>
      </c>
    </row>
    <row r="98" spans="1:14" ht="24.75" x14ac:dyDescent="0.25">
      <c r="A98" s="21" t="s">
        <v>11881</v>
      </c>
      <c r="B98" s="22" t="s">
        <v>11882</v>
      </c>
      <c r="C98" s="2">
        <v>1</v>
      </c>
      <c r="D98" s="23">
        <v>30</v>
      </c>
      <c r="E98" s="3">
        <v>30</v>
      </c>
      <c r="F98" s="2" t="s">
        <v>11876</v>
      </c>
      <c r="G98" s="22" t="s">
        <v>19315</v>
      </c>
      <c r="H98" s="24" t="s">
        <v>19361</v>
      </c>
      <c r="I98" s="22" t="s">
        <v>19309</v>
      </c>
      <c r="J98" s="22" t="s">
        <v>19310</v>
      </c>
      <c r="K98" s="22" t="s">
        <v>15570</v>
      </c>
      <c r="L98" s="22" t="s">
        <v>19319</v>
      </c>
      <c r="M98" s="22" t="s">
        <v>12712</v>
      </c>
      <c r="N98" s="25" t="str">
        <f>HYPERLINK("http://slimages.macys.com/is/image/MCY/9878263 ")</f>
        <v xml:space="preserve">http://slimages.macys.com/is/image/MCY/9878263 </v>
      </c>
    </row>
    <row r="99" spans="1:14" x14ac:dyDescent="0.25">
      <c r="A99" s="21" t="s">
        <v>11883</v>
      </c>
      <c r="B99" s="22" t="s">
        <v>11884</v>
      </c>
      <c r="C99" s="2">
        <v>1</v>
      </c>
      <c r="D99" s="23">
        <v>16.989999999999998</v>
      </c>
      <c r="E99" s="3">
        <v>16.989999999999998</v>
      </c>
      <c r="F99" s="2" t="s">
        <v>11885</v>
      </c>
      <c r="G99" s="22" t="s">
        <v>19307</v>
      </c>
      <c r="H99" s="24" t="s">
        <v>19339</v>
      </c>
      <c r="I99" s="22" t="s">
        <v>19309</v>
      </c>
      <c r="J99" s="22" t="s">
        <v>19310</v>
      </c>
      <c r="K99" s="22" t="s">
        <v>19311</v>
      </c>
      <c r="L99" s="22" t="s">
        <v>19319</v>
      </c>
      <c r="M99" s="22" t="s">
        <v>17531</v>
      </c>
      <c r="N99" s="25" t="str">
        <f>HYPERLINK("http://slimages.macys.com/is/image/MCY/16213892 ")</f>
        <v xml:space="preserve">http://slimages.macys.com/is/image/MCY/16213892 </v>
      </c>
    </row>
    <row r="100" spans="1:14" ht="24.75" x14ac:dyDescent="0.25">
      <c r="A100" s="21" t="s">
        <v>11886</v>
      </c>
      <c r="B100" s="22" t="s">
        <v>11887</v>
      </c>
      <c r="C100" s="2">
        <v>1</v>
      </c>
      <c r="D100" s="23">
        <v>30</v>
      </c>
      <c r="E100" s="3">
        <v>30</v>
      </c>
      <c r="F100" s="2" t="s">
        <v>11876</v>
      </c>
      <c r="G100" s="22" t="s">
        <v>19315</v>
      </c>
      <c r="H100" s="24" t="s">
        <v>19345</v>
      </c>
      <c r="I100" s="22" t="s">
        <v>19309</v>
      </c>
      <c r="J100" s="22" t="s">
        <v>19310</v>
      </c>
      <c r="K100" s="22" t="s">
        <v>15570</v>
      </c>
      <c r="L100" s="22" t="s">
        <v>19319</v>
      </c>
      <c r="M100" s="22" t="s">
        <v>12712</v>
      </c>
      <c r="N100" s="25" t="str">
        <f>HYPERLINK("http://slimages.macys.com/is/image/MCY/9878265 ")</f>
        <v xml:space="preserve">http://slimages.macys.com/is/image/MCY/9878265 </v>
      </c>
    </row>
    <row r="101" spans="1:14" x14ac:dyDescent="0.25">
      <c r="A101" s="21" t="s">
        <v>15246</v>
      </c>
      <c r="B101" s="22" t="s">
        <v>15247</v>
      </c>
      <c r="C101" s="2">
        <v>1</v>
      </c>
      <c r="D101" s="23">
        <v>16.989999999999998</v>
      </c>
      <c r="E101" s="3">
        <v>16.989999999999998</v>
      </c>
      <c r="F101" s="2" t="s">
        <v>15809</v>
      </c>
      <c r="G101" s="22" t="s">
        <v>19315</v>
      </c>
      <c r="H101" s="24" t="s">
        <v>19352</v>
      </c>
      <c r="I101" s="22" t="s">
        <v>19309</v>
      </c>
      <c r="J101" s="22" t="s">
        <v>19310</v>
      </c>
      <c r="K101" s="22" t="s">
        <v>19873</v>
      </c>
      <c r="L101" s="22"/>
      <c r="M101" s="22"/>
      <c r="N101" s="25" t="str">
        <f>HYPERLINK("http://slimages.macys.com/is/image/MCY/19513585 ")</f>
        <v xml:space="preserve">http://slimages.macys.com/is/image/MCY/19513585 </v>
      </c>
    </row>
    <row r="102" spans="1:14" ht="24.75" x14ac:dyDescent="0.25">
      <c r="A102" s="21" t="s">
        <v>11888</v>
      </c>
      <c r="B102" s="22" t="s">
        <v>11889</v>
      </c>
      <c r="C102" s="2">
        <v>1</v>
      </c>
      <c r="D102" s="23">
        <v>22.99</v>
      </c>
      <c r="E102" s="3">
        <v>22.99</v>
      </c>
      <c r="F102" s="2" t="s">
        <v>11890</v>
      </c>
      <c r="G102" s="22" t="s">
        <v>19462</v>
      </c>
      <c r="H102" s="24" t="s">
        <v>20159</v>
      </c>
      <c r="I102" s="22" t="s">
        <v>19309</v>
      </c>
      <c r="J102" s="22" t="s">
        <v>19385</v>
      </c>
      <c r="K102" s="22" t="s">
        <v>19463</v>
      </c>
      <c r="L102" s="22"/>
      <c r="M102" s="22"/>
      <c r="N102" s="25" t="str">
        <f>HYPERLINK("http://slimages.macys.com/is/image/MCY/21474431 ")</f>
        <v xml:space="preserve">http://slimages.macys.com/is/image/MCY/21474431 </v>
      </c>
    </row>
    <row r="103" spans="1:14" ht="24.75" x14ac:dyDescent="0.25">
      <c r="A103" s="21" t="s">
        <v>11891</v>
      </c>
      <c r="B103" s="22" t="s">
        <v>11892</v>
      </c>
      <c r="C103" s="2">
        <v>1</v>
      </c>
      <c r="D103" s="23">
        <v>21.43</v>
      </c>
      <c r="E103" s="3">
        <v>21.43</v>
      </c>
      <c r="F103" s="2" t="s">
        <v>11893</v>
      </c>
      <c r="G103" s="22"/>
      <c r="H103" s="24" t="s">
        <v>19392</v>
      </c>
      <c r="I103" s="22" t="s">
        <v>19309</v>
      </c>
      <c r="J103" s="22" t="s">
        <v>19602</v>
      </c>
      <c r="K103" s="22" t="s">
        <v>19603</v>
      </c>
      <c r="L103" s="22"/>
      <c r="M103" s="22"/>
      <c r="N103" s="25" t="str">
        <f>HYPERLINK("http://slimages.macys.com/is/image/MCY/21421847 ")</f>
        <v xml:space="preserve">http://slimages.macys.com/is/image/MCY/21421847 </v>
      </c>
    </row>
    <row r="104" spans="1:14" ht="24.75" x14ac:dyDescent="0.25">
      <c r="A104" s="21" t="s">
        <v>11894</v>
      </c>
      <c r="B104" s="22" t="s">
        <v>11895</v>
      </c>
      <c r="C104" s="2">
        <v>1</v>
      </c>
      <c r="D104" s="23">
        <v>21.41</v>
      </c>
      <c r="E104" s="3">
        <v>21.41</v>
      </c>
      <c r="F104" s="2" t="s">
        <v>11896</v>
      </c>
      <c r="G104" s="22"/>
      <c r="H104" s="24" t="s">
        <v>19345</v>
      </c>
      <c r="I104" s="22" t="s">
        <v>19309</v>
      </c>
      <c r="J104" s="22" t="s">
        <v>19602</v>
      </c>
      <c r="K104" s="22" t="s">
        <v>19603</v>
      </c>
      <c r="L104" s="22"/>
      <c r="M104" s="22"/>
      <c r="N104" s="25" t="str">
        <f>HYPERLINK("http://slimages.macys.com/is/image/MCY/21723199 ")</f>
        <v xml:space="preserve">http://slimages.macys.com/is/image/MCY/21723199 </v>
      </c>
    </row>
    <row r="105" spans="1:14" ht="24.75" x14ac:dyDescent="0.25">
      <c r="A105" s="21" t="s">
        <v>11897</v>
      </c>
      <c r="B105" s="22" t="s">
        <v>11898</v>
      </c>
      <c r="C105" s="2">
        <v>1</v>
      </c>
      <c r="D105" s="23">
        <v>21.43</v>
      </c>
      <c r="E105" s="3">
        <v>21.43</v>
      </c>
      <c r="F105" s="2" t="s">
        <v>11899</v>
      </c>
      <c r="G105" s="22"/>
      <c r="H105" s="24" t="s">
        <v>19392</v>
      </c>
      <c r="I105" s="22" t="s">
        <v>19309</v>
      </c>
      <c r="J105" s="22" t="s">
        <v>19602</v>
      </c>
      <c r="K105" s="22" t="s">
        <v>19603</v>
      </c>
      <c r="L105" s="22"/>
      <c r="M105" s="22"/>
      <c r="N105" s="25" t="str">
        <f>HYPERLINK("http://slimages.macys.com/is/image/MCY/21421343 ")</f>
        <v xml:space="preserve">http://slimages.macys.com/is/image/MCY/21421343 </v>
      </c>
    </row>
    <row r="106" spans="1:14" ht="24.75" x14ac:dyDescent="0.25">
      <c r="A106" s="21" t="s">
        <v>15259</v>
      </c>
      <c r="B106" s="22" t="s">
        <v>15260</v>
      </c>
      <c r="C106" s="2">
        <v>1</v>
      </c>
      <c r="D106" s="23">
        <v>19.989999999999998</v>
      </c>
      <c r="E106" s="3">
        <v>19.989999999999998</v>
      </c>
      <c r="F106" s="2" t="s">
        <v>19776</v>
      </c>
      <c r="G106" s="22" t="s">
        <v>19315</v>
      </c>
      <c r="H106" s="24" t="s">
        <v>19384</v>
      </c>
      <c r="I106" s="22" t="s">
        <v>19309</v>
      </c>
      <c r="J106" s="22" t="s">
        <v>19573</v>
      </c>
      <c r="K106" s="22" t="s">
        <v>19574</v>
      </c>
      <c r="L106" s="22"/>
      <c r="M106" s="22"/>
      <c r="N106" s="25" t="str">
        <f>HYPERLINK("http://slimages.macys.com/is/image/MCY/1646345 ")</f>
        <v xml:space="preserve">http://slimages.macys.com/is/image/MCY/1646345 </v>
      </c>
    </row>
    <row r="107" spans="1:14" ht="24.75" x14ac:dyDescent="0.25">
      <c r="A107" s="21" t="s">
        <v>17862</v>
      </c>
      <c r="B107" s="22" t="s">
        <v>17863</v>
      </c>
      <c r="C107" s="2">
        <v>3</v>
      </c>
      <c r="D107" s="23">
        <v>19.989999999999998</v>
      </c>
      <c r="E107" s="3">
        <v>59.97</v>
      </c>
      <c r="F107" s="2" t="s">
        <v>19767</v>
      </c>
      <c r="G107" s="22" t="s">
        <v>19467</v>
      </c>
      <c r="H107" s="24" t="s">
        <v>19538</v>
      </c>
      <c r="I107" s="22" t="s">
        <v>19309</v>
      </c>
      <c r="J107" s="22" t="s">
        <v>19573</v>
      </c>
      <c r="K107" s="22" t="s">
        <v>19574</v>
      </c>
      <c r="L107" s="22"/>
      <c r="M107" s="22"/>
      <c r="N107" s="25" t="str">
        <f>HYPERLINK("http://slimages.macys.com/is/image/MCY/1646350 ")</f>
        <v xml:space="preserve">http://slimages.macys.com/is/image/MCY/1646350 </v>
      </c>
    </row>
    <row r="108" spans="1:14" ht="24.75" x14ac:dyDescent="0.25">
      <c r="A108" s="21" t="s">
        <v>17855</v>
      </c>
      <c r="B108" s="22" t="s">
        <v>17856</v>
      </c>
      <c r="C108" s="2">
        <v>1</v>
      </c>
      <c r="D108" s="23">
        <v>19.989999999999998</v>
      </c>
      <c r="E108" s="3">
        <v>19.989999999999998</v>
      </c>
      <c r="F108" s="2" t="s">
        <v>19767</v>
      </c>
      <c r="G108" s="22" t="s">
        <v>19467</v>
      </c>
      <c r="H108" s="24" t="s">
        <v>19384</v>
      </c>
      <c r="I108" s="22" t="s">
        <v>19309</v>
      </c>
      <c r="J108" s="22" t="s">
        <v>19573</v>
      </c>
      <c r="K108" s="22" t="s">
        <v>19574</v>
      </c>
      <c r="L108" s="22"/>
      <c r="M108" s="22"/>
      <c r="N108" s="25" t="str">
        <f>HYPERLINK("http://slimages.macys.com/is/image/MCY/1646345 ")</f>
        <v xml:space="preserve">http://slimages.macys.com/is/image/MCY/1646345 </v>
      </c>
    </row>
    <row r="109" spans="1:14" ht="24.75" x14ac:dyDescent="0.25">
      <c r="A109" s="21" t="s">
        <v>19789</v>
      </c>
      <c r="B109" s="22" t="s">
        <v>19790</v>
      </c>
      <c r="C109" s="2">
        <v>1</v>
      </c>
      <c r="D109" s="23">
        <v>19.989999999999998</v>
      </c>
      <c r="E109" s="3">
        <v>19.989999999999998</v>
      </c>
      <c r="F109" s="2" t="s">
        <v>19776</v>
      </c>
      <c r="G109" s="22" t="s">
        <v>19315</v>
      </c>
      <c r="H109" s="24" t="s">
        <v>19770</v>
      </c>
      <c r="I109" s="22" t="s">
        <v>19309</v>
      </c>
      <c r="J109" s="22" t="s">
        <v>19573</v>
      </c>
      <c r="K109" s="22" t="s">
        <v>19574</v>
      </c>
      <c r="L109" s="22"/>
      <c r="M109" s="22"/>
      <c r="N109" s="25" t="str">
        <f>HYPERLINK("http://slimages.macys.com/is/image/MCY/1646345 ")</f>
        <v xml:space="preserve">http://slimages.macys.com/is/image/MCY/1646345 </v>
      </c>
    </row>
    <row r="110" spans="1:14" ht="24.75" x14ac:dyDescent="0.25">
      <c r="A110" s="21" t="s">
        <v>19768</v>
      </c>
      <c r="B110" s="22" t="s">
        <v>19769</v>
      </c>
      <c r="C110" s="2">
        <v>1</v>
      </c>
      <c r="D110" s="23">
        <v>19.989999999999998</v>
      </c>
      <c r="E110" s="3">
        <v>19.989999999999998</v>
      </c>
      <c r="F110" s="2" t="s">
        <v>19767</v>
      </c>
      <c r="G110" s="22" t="s">
        <v>19467</v>
      </c>
      <c r="H110" s="24" t="s">
        <v>19770</v>
      </c>
      <c r="I110" s="22" t="s">
        <v>19309</v>
      </c>
      <c r="J110" s="22" t="s">
        <v>19573</v>
      </c>
      <c r="K110" s="22" t="s">
        <v>19574</v>
      </c>
      <c r="L110" s="22"/>
      <c r="M110" s="22"/>
      <c r="N110" s="25" t="str">
        <f>HYPERLINK("http://slimages.macys.com/is/image/MCY/1646350 ")</f>
        <v xml:space="preserve">http://slimages.macys.com/is/image/MCY/1646350 </v>
      </c>
    </row>
    <row r="111" spans="1:14" ht="24.75" x14ac:dyDescent="0.25">
      <c r="A111" s="21" t="s">
        <v>19771</v>
      </c>
      <c r="B111" s="22" t="s">
        <v>19772</v>
      </c>
      <c r="C111" s="2">
        <v>1</v>
      </c>
      <c r="D111" s="23">
        <v>19.989999999999998</v>
      </c>
      <c r="E111" s="3">
        <v>19.989999999999998</v>
      </c>
      <c r="F111" s="2" t="s">
        <v>19773</v>
      </c>
      <c r="G111" s="22" t="s">
        <v>19518</v>
      </c>
      <c r="H111" s="24"/>
      <c r="I111" s="22" t="s">
        <v>19309</v>
      </c>
      <c r="J111" s="22" t="s">
        <v>19573</v>
      </c>
      <c r="K111" s="22" t="s">
        <v>19574</v>
      </c>
      <c r="L111" s="22"/>
      <c r="M111" s="22"/>
      <c r="N111" s="25" t="str">
        <f>HYPERLINK("http://slimages.macys.com/is/image/MCY/1646350 ")</f>
        <v xml:space="preserve">http://slimages.macys.com/is/image/MCY/1646350 </v>
      </c>
    </row>
    <row r="112" spans="1:14" ht="24.75" x14ac:dyDescent="0.25">
      <c r="A112" s="21" t="s">
        <v>19765</v>
      </c>
      <c r="B112" s="22" t="s">
        <v>19766</v>
      </c>
      <c r="C112" s="2">
        <v>3</v>
      </c>
      <c r="D112" s="23">
        <v>19.989999999999998</v>
      </c>
      <c r="E112" s="3">
        <v>59.97</v>
      </c>
      <c r="F112" s="2" t="s">
        <v>19767</v>
      </c>
      <c r="G112" s="22" t="s">
        <v>19467</v>
      </c>
      <c r="H112" s="24"/>
      <c r="I112" s="22" t="s">
        <v>19309</v>
      </c>
      <c r="J112" s="22" t="s">
        <v>19573</v>
      </c>
      <c r="K112" s="22" t="s">
        <v>19574</v>
      </c>
      <c r="L112" s="22"/>
      <c r="M112" s="22"/>
      <c r="N112" s="25" t="str">
        <f>HYPERLINK("http://slimages.macys.com/is/image/MCY/1646345 ")</f>
        <v xml:space="preserve">http://slimages.macys.com/is/image/MCY/1646345 </v>
      </c>
    </row>
    <row r="113" spans="1:14" ht="24.75" x14ac:dyDescent="0.25">
      <c r="A113" s="21" t="s">
        <v>19774</v>
      </c>
      <c r="B113" s="22" t="s">
        <v>19775</v>
      </c>
      <c r="C113" s="2">
        <v>2</v>
      </c>
      <c r="D113" s="23">
        <v>19.989999999999998</v>
      </c>
      <c r="E113" s="3">
        <v>39.979999999999997</v>
      </c>
      <c r="F113" s="2" t="s">
        <v>19776</v>
      </c>
      <c r="G113" s="22" t="s">
        <v>19315</v>
      </c>
      <c r="H113" s="24"/>
      <c r="I113" s="22" t="s">
        <v>19309</v>
      </c>
      <c r="J113" s="22" t="s">
        <v>19573</v>
      </c>
      <c r="K113" s="22" t="s">
        <v>19574</v>
      </c>
      <c r="L113" s="22"/>
      <c r="M113" s="22"/>
      <c r="N113" s="25" t="str">
        <f>HYPERLINK("http://slimages.macys.com/is/image/MCY/1646345 ")</f>
        <v xml:space="preserve">http://slimages.macys.com/is/image/MCY/1646345 </v>
      </c>
    </row>
    <row r="114" spans="1:14" ht="24.75" x14ac:dyDescent="0.25">
      <c r="A114" s="21" t="s">
        <v>19787</v>
      </c>
      <c r="B114" s="22" t="s">
        <v>19788</v>
      </c>
      <c r="C114" s="2">
        <v>2</v>
      </c>
      <c r="D114" s="23">
        <v>19.989999999999998</v>
      </c>
      <c r="E114" s="3">
        <v>39.979999999999997</v>
      </c>
      <c r="F114" s="2" t="s">
        <v>19773</v>
      </c>
      <c r="G114" s="22" t="s">
        <v>19518</v>
      </c>
      <c r="H114" s="24" t="s">
        <v>19538</v>
      </c>
      <c r="I114" s="22" t="s">
        <v>19309</v>
      </c>
      <c r="J114" s="22" t="s">
        <v>19573</v>
      </c>
      <c r="K114" s="22" t="s">
        <v>19574</v>
      </c>
      <c r="L114" s="22"/>
      <c r="M114" s="22"/>
      <c r="N114" s="25" t="str">
        <f>HYPERLINK("http://slimages.macys.com/is/image/MCY/1646350 ")</f>
        <v xml:space="preserve">http://slimages.macys.com/is/image/MCY/1646350 </v>
      </c>
    </row>
    <row r="115" spans="1:14" x14ac:dyDescent="0.25">
      <c r="A115" s="21" t="s">
        <v>11900</v>
      </c>
      <c r="B115" s="22" t="s">
        <v>11901</v>
      </c>
      <c r="C115" s="2">
        <v>1</v>
      </c>
      <c r="D115" s="23">
        <v>23.99</v>
      </c>
      <c r="E115" s="3">
        <v>23.99</v>
      </c>
      <c r="F115" s="2" t="s">
        <v>11902</v>
      </c>
      <c r="G115" s="22" t="s">
        <v>19342</v>
      </c>
      <c r="H115" s="24" t="s">
        <v>19478</v>
      </c>
      <c r="I115" s="22" t="s">
        <v>19309</v>
      </c>
      <c r="J115" s="22" t="s">
        <v>19696</v>
      </c>
      <c r="K115" s="22" t="s">
        <v>19965</v>
      </c>
      <c r="L115" s="22"/>
      <c r="M115" s="22"/>
      <c r="N115" s="25" t="str">
        <f>HYPERLINK("http://slimages.macys.com/is/image/MCY/21643410 ")</f>
        <v xml:space="preserve">http://slimages.macys.com/is/image/MCY/21643410 </v>
      </c>
    </row>
    <row r="116" spans="1:14" x14ac:dyDescent="0.25">
      <c r="A116" s="21" t="s">
        <v>11903</v>
      </c>
      <c r="B116" s="22" t="s">
        <v>11904</v>
      </c>
      <c r="C116" s="2">
        <v>1</v>
      </c>
      <c r="D116" s="23">
        <v>25.07</v>
      </c>
      <c r="E116" s="3">
        <v>25.07</v>
      </c>
      <c r="F116" s="2" t="s">
        <v>11905</v>
      </c>
      <c r="G116" s="22"/>
      <c r="H116" s="24" t="s">
        <v>19416</v>
      </c>
      <c r="I116" s="22" t="s">
        <v>19309</v>
      </c>
      <c r="J116" s="22" t="s">
        <v>19708</v>
      </c>
      <c r="K116" s="22" t="s">
        <v>19754</v>
      </c>
      <c r="L116" s="22"/>
      <c r="M116" s="22"/>
      <c r="N116" s="25" t="str">
        <f>HYPERLINK("http://slimages.macys.com/is/image/MCY/19859763 ")</f>
        <v xml:space="preserve">http://slimages.macys.com/is/image/MCY/19859763 </v>
      </c>
    </row>
    <row r="117" spans="1:14" x14ac:dyDescent="0.25">
      <c r="A117" s="21" t="s">
        <v>13005</v>
      </c>
      <c r="B117" s="22" t="s">
        <v>13006</v>
      </c>
      <c r="C117" s="2">
        <v>1</v>
      </c>
      <c r="D117" s="23">
        <v>23.29</v>
      </c>
      <c r="E117" s="3">
        <v>23.29</v>
      </c>
      <c r="F117" s="2" t="s">
        <v>17890</v>
      </c>
      <c r="G117" s="22" t="s">
        <v>19879</v>
      </c>
      <c r="H117" s="24" t="s">
        <v>19367</v>
      </c>
      <c r="I117" s="22" t="s">
        <v>19309</v>
      </c>
      <c r="J117" s="22" t="s">
        <v>19708</v>
      </c>
      <c r="K117" s="22" t="s">
        <v>19709</v>
      </c>
      <c r="L117" s="22"/>
      <c r="M117" s="22"/>
      <c r="N117" s="25" t="str">
        <f>HYPERLINK("http://slimages.macys.com/is/image/MCY/22407537 ")</f>
        <v xml:space="preserve">http://slimages.macys.com/is/image/MCY/22407537 </v>
      </c>
    </row>
    <row r="118" spans="1:14" x14ac:dyDescent="0.25">
      <c r="A118" s="21" t="s">
        <v>11906</v>
      </c>
      <c r="B118" s="22" t="s">
        <v>11907</v>
      </c>
      <c r="C118" s="2">
        <v>1</v>
      </c>
      <c r="D118" s="23">
        <v>23.29</v>
      </c>
      <c r="E118" s="3">
        <v>23.29</v>
      </c>
      <c r="F118" s="2" t="s">
        <v>11908</v>
      </c>
      <c r="G118" s="22"/>
      <c r="H118" s="24" t="s">
        <v>20152</v>
      </c>
      <c r="I118" s="22" t="s">
        <v>19309</v>
      </c>
      <c r="J118" s="22" t="s">
        <v>19708</v>
      </c>
      <c r="K118" s="22" t="s">
        <v>19709</v>
      </c>
      <c r="L118" s="22"/>
      <c r="M118" s="22"/>
      <c r="N118" s="25" t="str">
        <f>HYPERLINK("http://slimages.macys.com/is/image/MCY/22407521 ")</f>
        <v xml:space="preserve">http://slimages.macys.com/is/image/MCY/22407521 </v>
      </c>
    </row>
    <row r="119" spans="1:14" x14ac:dyDescent="0.25">
      <c r="A119" s="21" t="s">
        <v>11909</v>
      </c>
      <c r="B119" s="22" t="s">
        <v>11910</v>
      </c>
      <c r="C119" s="2">
        <v>1</v>
      </c>
      <c r="D119" s="23">
        <v>23.29</v>
      </c>
      <c r="E119" s="3">
        <v>23.29</v>
      </c>
      <c r="F119" s="2" t="s">
        <v>19819</v>
      </c>
      <c r="G119" s="22"/>
      <c r="H119" s="24" t="s">
        <v>19367</v>
      </c>
      <c r="I119" s="22" t="s">
        <v>19309</v>
      </c>
      <c r="J119" s="22" t="s">
        <v>19708</v>
      </c>
      <c r="K119" s="22" t="s">
        <v>19709</v>
      </c>
      <c r="L119" s="22"/>
      <c r="M119" s="22"/>
      <c r="N119" s="25" t="str">
        <f>HYPERLINK("http://slimages.macys.com/is/image/MCY/22405494 ")</f>
        <v xml:space="preserve">http://slimages.macys.com/is/image/MCY/22405494 </v>
      </c>
    </row>
    <row r="120" spans="1:14" x14ac:dyDescent="0.25">
      <c r="A120" s="21" t="s">
        <v>11911</v>
      </c>
      <c r="B120" s="22" t="s">
        <v>11912</v>
      </c>
      <c r="C120" s="2">
        <v>1</v>
      </c>
      <c r="D120" s="23">
        <v>23.29</v>
      </c>
      <c r="E120" s="3">
        <v>23.29</v>
      </c>
      <c r="F120" s="2" t="s">
        <v>19819</v>
      </c>
      <c r="G120" s="22"/>
      <c r="H120" s="24" t="s">
        <v>19324</v>
      </c>
      <c r="I120" s="22" t="s">
        <v>19309</v>
      </c>
      <c r="J120" s="22" t="s">
        <v>19708</v>
      </c>
      <c r="K120" s="22" t="s">
        <v>19709</v>
      </c>
      <c r="L120" s="22"/>
      <c r="M120" s="22"/>
      <c r="N120" s="25" t="str">
        <f>HYPERLINK("http://slimages.macys.com/is/image/MCY/22405494 ")</f>
        <v xml:space="preserve">http://slimages.macys.com/is/image/MCY/22405494 </v>
      </c>
    </row>
    <row r="121" spans="1:14" x14ac:dyDescent="0.25">
      <c r="A121" s="21" t="s">
        <v>11913</v>
      </c>
      <c r="B121" s="22" t="s">
        <v>11914</v>
      </c>
      <c r="C121" s="2">
        <v>1</v>
      </c>
      <c r="D121" s="23">
        <v>23.29</v>
      </c>
      <c r="E121" s="3">
        <v>23.29</v>
      </c>
      <c r="F121" s="2" t="s">
        <v>11915</v>
      </c>
      <c r="G121" s="22" t="s">
        <v>19879</v>
      </c>
      <c r="H121" s="24" t="s">
        <v>19416</v>
      </c>
      <c r="I121" s="22" t="s">
        <v>19309</v>
      </c>
      <c r="J121" s="22" t="s">
        <v>19708</v>
      </c>
      <c r="K121" s="22" t="s">
        <v>19709</v>
      </c>
      <c r="L121" s="22"/>
      <c r="M121" s="22"/>
      <c r="N121" s="25" t="str">
        <f>HYPERLINK("http://slimages.macys.com/is/image/MCY/22405552 ")</f>
        <v xml:space="preserve">http://slimages.macys.com/is/image/MCY/22405552 </v>
      </c>
    </row>
    <row r="122" spans="1:14" x14ac:dyDescent="0.25">
      <c r="A122" s="21" t="s">
        <v>11916</v>
      </c>
      <c r="B122" s="22" t="s">
        <v>11917</v>
      </c>
      <c r="C122" s="2">
        <v>1</v>
      </c>
      <c r="D122" s="23">
        <v>23.29</v>
      </c>
      <c r="E122" s="3">
        <v>23.29</v>
      </c>
      <c r="F122" s="2" t="s">
        <v>19819</v>
      </c>
      <c r="G122" s="22"/>
      <c r="H122" s="24" t="s">
        <v>19330</v>
      </c>
      <c r="I122" s="22" t="s">
        <v>19309</v>
      </c>
      <c r="J122" s="22" t="s">
        <v>19708</v>
      </c>
      <c r="K122" s="22" t="s">
        <v>19709</v>
      </c>
      <c r="L122" s="22"/>
      <c r="M122" s="22"/>
      <c r="N122" s="25" t="str">
        <f>HYPERLINK("http://slimages.macys.com/is/image/MCY/22405494 ")</f>
        <v xml:space="preserve">http://slimages.macys.com/is/image/MCY/22405494 </v>
      </c>
    </row>
    <row r="123" spans="1:14" x14ac:dyDescent="0.25">
      <c r="A123" s="21" t="s">
        <v>11918</v>
      </c>
      <c r="B123" s="22" t="s">
        <v>11919</v>
      </c>
      <c r="C123" s="2">
        <v>1</v>
      </c>
      <c r="D123" s="23">
        <v>16.989999999999998</v>
      </c>
      <c r="E123" s="3">
        <v>16.989999999999998</v>
      </c>
      <c r="F123" s="2" t="s">
        <v>11920</v>
      </c>
      <c r="G123" s="22" t="s">
        <v>19618</v>
      </c>
      <c r="H123" s="24" t="s">
        <v>19797</v>
      </c>
      <c r="I123" s="22" t="s">
        <v>19309</v>
      </c>
      <c r="J123" s="22" t="s">
        <v>19849</v>
      </c>
      <c r="K123" s="22" t="s">
        <v>19850</v>
      </c>
      <c r="L123" s="22"/>
      <c r="M123" s="22"/>
      <c r="N123" s="25" t="str">
        <f>HYPERLINK("http://slimages.macys.com/is/image/MCY/20548754 ")</f>
        <v xml:space="preserve">http://slimages.macys.com/is/image/MCY/20548754 </v>
      </c>
    </row>
    <row r="124" spans="1:14" ht="24.75" x14ac:dyDescent="0.25">
      <c r="A124" s="21" t="s">
        <v>11921</v>
      </c>
      <c r="B124" s="22" t="s">
        <v>11922</v>
      </c>
      <c r="C124" s="2">
        <v>1</v>
      </c>
      <c r="D124" s="23">
        <v>21.99</v>
      </c>
      <c r="E124" s="3">
        <v>21.99</v>
      </c>
      <c r="F124" s="2" t="s">
        <v>11923</v>
      </c>
      <c r="G124" s="22"/>
      <c r="H124" s="24" t="s">
        <v>19334</v>
      </c>
      <c r="I124" s="22" t="s">
        <v>19309</v>
      </c>
      <c r="J124" s="22" t="s">
        <v>19595</v>
      </c>
      <c r="K124" s="22" t="s">
        <v>19596</v>
      </c>
      <c r="L124" s="22"/>
      <c r="M124" s="22"/>
      <c r="N124" s="25" t="str">
        <f>HYPERLINK("http://slimages.macys.com/is/image/MCY/21909788 ")</f>
        <v xml:space="preserve">http://slimages.macys.com/is/image/MCY/21909788 </v>
      </c>
    </row>
    <row r="125" spans="1:14" ht="24.75" x14ac:dyDescent="0.25">
      <c r="A125" s="21" t="s">
        <v>11924</v>
      </c>
      <c r="B125" s="22" t="s">
        <v>11925</v>
      </c>
      <c r="C125" s="2">
        <v>1</v>
      </c>
      <c r="D125" s="23">
        <v>21.99</v>
      </c>
      <c r="E125" s="3">
        <v>21.99</v>
      </c>
      <c r="F125" s="2" t="s">
        <v>11926</v>
      </c>
      <c r="G125" s="22" t="s">
        <v>19342</v>
      </c>
      <c r="H125" s="24" t="s">
        <v>19345</v>
      </c>
      <c r="I125" s="22" t="s">
        <v>19309</v>
      </c>
      <c r="J125" s="22" t="s">
        <v>19595</v>
      </c>
      <c r="K125" s="22" t="s">
        <v>17917</v>
      </c>
      <c r="L125" s="22"/>
      <c r="M125" s="22"/>
      <c r="N125" s="25" t="str">
        <f>HYPERLINK("http://slimages.macys.com/is/image/MCY/20544691 ")</f>
        <v xml:space="preserve">http://slimages.macys.com/is/image/MCY/20544691 </v>
      </c>
    </row>
    <row r="126" spans="1:14" ht="24.75" x14ac:dyDescent="0.25">
      <c r="A126" s="21" t="s">
        <v>11927</v>
      </c>
      <c r="B126" s="22" t="s">
        <v>11928</v>
      </c>
      <c r="C126" s="2">
        <v>1</v>
      </c>
      <c r="D126" s="23">
        <v>20.12</v>
      </c>
      <c r="E126" s="3">
        <v>20.12</v>
      </c>
      <c r="F126" s="2" t="s">
        <v>11929</v>
      </c>
      <c r="G126" s="22"/>
      <c r="H126" s="24" t="s">
        <v>19395</v>
      </c>
      <c r="I126" s="22" t="s">
        <v>19309</v>
      </c>
      <c r="J126" s="22" t="s">
        <v>19602</v>
      </c>
      <c r="K126" s="22" t="s">
        <v>20041</v>
      </c>
      <c r="L126" s="22"/>
      <c r="M126" s="22"/>
      <c r="N126" s="25" t="str">
        <f>HYPERLINK("http://slimages.macys.com/is/image/MCY/21706315 ")</f>
        <v xml:space="preserve">http://slimages.macys.com/is/image/MCY/21706315 </v>
      </c>
    </row>
    <row r="127" spans="1:14" ht="24.75" x14ac:dyDescent="0.25">
      <c r="A127" s="21" t="s">
        <v>11930</v>
      </c>
      <c r="B127" s="22" t="s">
        <v>11931</v>
      </c>
      <c r="C127" s="2">
        <v>1</v>
      </c>
      <c r="D127" s="23">
        <v>24.99</v>
      </c>
      <c r="E127" s="3">
        <v>24.99</v>
      </c>
      <c r="F127" s="2" t="s">
        <v>11932</v>
      </c>
      <c r="G127" s="22" t="s">
        <v>19333</v>
      </c>
      <c r="H127" s="24" t="s">
        <v>19334</v>
      </c>
      <c r="I127" s="22" t="s">
        <v>19309</v>
      </c>
      <c r="J127" s="22" t="s">
        <v>19378</v>
      </c>
      <c r="K127" s="22" t="s">
        <v>19479</v>
      </c>
      <c r="L127" s="22"/>
      <c r="M127" s="22"/>
      <c r="N127" s="25" t="str">
        <f>HYPERLINK("http://slimages.macys.com/is/image/MCY/17332902 ")</f>
        <v xml:space="preserve">http://slimages.macys.com/is/image/MCY/17332902 </v>
      </c>
    </row>
    <row r="128" spans="1:14" ht="24.75" x14ac:dyDescent="0.25">
      <c r="A128" s="21" t="s">
        <v>17954</v>
      </c>
      <c r="B128" s="22" t="s">
        <v>17955</v>
      </c>
      <c r="C128" s="2">
        <v>1</v>
      </c>
      <c r="D128" s="23">
        <v>17.989999999999998</v>
      </c>
      <c r="E128" s="3">
        <v>17.989999999999998</v>
      </c>
      <c r="F128" s="2" t="s">
        <v>17956</v>
      </c>
      <c r="G128" s="22" t="s">
        <v>19351</v>
      </c>
      <c r="H128" s="24" t="s">
        <v>19797</v>
      </c>
      <c r="I128" s="22" t="s">
        <v>19309</v>
      </c>
      <c r="J128" s="22" t="s">
        <v>19447</v>
      </c>
      <c r="K128" s="22" t="s">
        <v>19533</v>
      </c>
      <c r="L128" s="22"/>
      <c r="M128" s="22"/>
      <c r="N128" s="25" t="str">
        <f>HYPERLINK("http://slimages.macys.com/is/image/MCY/21253722 ")</f>
        <v xml:space="preserve">http://slimages.macys.com/is/image/MCY/21253722 </v>
      </c>
    </row>
    <row r="129" spans="1:14" x14ac:dyDescent="0.25">
      <c r="A129" s="21" t="s">
        <v>11933</v>
      </c>
      <c r="B129" s="22" t="s">
        <v>13025</v>
      </c>
      <c r="C129" s="2">
        <v>1</v>
      </c>
      <c r="D129" s="23">
        <v>18.329999999999998</v>
      </c>
      <c r="E129" s="3">
        <v>18.329999999999998</v>
      </c>
      <c r="F129" s="2" t="s">
        <v>17951</v>
      </c>
      <c r="G129" s="22" t="s">
        <v>19342</v>
      </c>
      <c r="H129" s="24" t="s">
        <v>19392</v>
      </c>
      <c r="I129" s="22" t="s">
        <v>19309</v>
      </c>
      <c r="J129" s="22" t="s">
        <v>19514</v>
      </c>
      <c r="K129" s="22" t="s">
        <v>17948</v>
      </c>
      <c r="L129" s="22"/>
      <c r="M129" s="22"/>
      <c r="N129" s="25" t="str">
        <f>HYPERLINK("http://slimages.macys.com/is/image/MCY/21701118 ")</f>
        <v xml:space="preserve">http://slimages.macys.com/is/image/MCY/21701118 </v>
      </c>
    </row>
    <row r="130" spans="1:14" x14ac:dyDescent="0.25">
      <c r="A130" s="21" t="s">
        <v>11934</v>
      </c>
      <c r="B130" s="22" t="s">
        <v>11935</v>
      </c>
      <c r="C130" s="2">
        <v>2</v>
      </c>
      <c r="D130" s="23">
        <v>18.329999999999998</v>
      </c>
      <c r="E130" s="3">
        <v>36.659999999999997</v>
      </c>
      <c r="F130" s="2" t="s">
        <v>11936</v>
      </c>
      <c r="G130" s="22" t="s">
        <v>19342</v>
      </c>
      <c r="H130" s="24" t="s">
        <v>19345</v>
      </c>
      <c r="I130" s="22" t="s">
        <v>19309</v>
      </c>
      <c r="J130" s="22" t="s">
        <v>19514</v>
      </c>
      <c r="K130" s="22" t="s">
        <v>17948</v>
      </c>
      <c r="L130" s="22"/>
      <c r="M130" s="22"/>
      <c r="N130" s="25" t="str">
        <f>HYPERLINK("http://slimages.macys.com/is/image/MCY/21701090 ")</f>
        <v xml:space="preserve">http://slimages.macys.com/is/image/MCY/21701090 </v>
      </c>
    </row>
    <row r="131" spans="1:14" x14ac:dyDescent="0.25">
      <c r="A131" s="21" t="s">
        <v>11937</v>
      </c>
      <c r="B131" s="22" t="s">
        <v>11938</v>
      </c>
      <c r="C131" s="2">
        <v>1</v>
      </c>
      <c r="D131" s="23">
        <v>18.329999999999998</v>
      </c>
      <c r="E131" s="3">
        <v>18.329999999999998</v>
      </c>
      <c r="F131" s="2" t="s">
        <v>11936</v>
      </c>
      <c r="G131" s="22" t="s">
        <v>19342</v>
      </c>
      <c r="H131" s="24" t="s">
        <v>19334</v>
      </c>
      <c r="I131" s="22" t="s">
        <v>19309</v>
      </c>
      <c r="J131" s="22" t="s">
        <v>19514</v>
      </c>
      <c r="K131" s="22" t="s">
        <v>17948</v>
      </c>
      <c r="L131" s="22"/>
      <c r="M131" s="22"/>
      <c r="N131" s="25" t="str">
        <f>HYPERLINK("http://slimages.macys.com/is/image/MCY/21701090 ")</f>
        <v xml:space="preserve">http://slimages.macys.com/is/image/MCY/21701090 </v>
      </c>
    </row>
    <row r="132" spans="1:14" ht="24.75" x14ac:dyDescent="0.25">
      <c r="A132" s="21" t="s">
        <v>11939</v>
      </c>
      <c r="B132" s="22" t="s">
        <v>11940</v>
      </c>
      <c r="C132" s="2">
        <v>1</v>
      </c>
      <c r="D132" s="23">
        <v>17.989999999999998</v>
      </c>
      <c r="E132" s="3">
        <v>17.989999999999998</v>
      </c>
      <c r="F132" s="2" t="s">
        <v>17956</v>
      </c>
      <c r="G132" s="22" t="s">
        <v>19351</v>
      </c>
      <c r="H132" s="24" t="s">
        <v>19352</v>
      </c>
      <c r="I132" s="22" t="s">
        <v>19309</v>
      </c>
      <c r="J132" s="22" t="s">
        <v>19447</v>
      </c>
      <c r="K132" s="22" t="s">
        <v>19533</v>
      </c>
      <c r="L132" s="22"/>
      <c r="M132" s="22"/>
      <c r="N132" s="25" t="str">
        <f>HYPERLINK("http://slimages.macys.com/is/image/MCY/21253722 ")</f>
        <v xml:space="preserve">http://slimages.macys.com/is/image/MCY/21253722 </v>
      </c>
    </row>
    <row r="133" spans="1:14" ht="24.75" x14ac:dyDescent="0.25">
      <c r="A133" s="21" t="s">
        <v>11941</v>
      </c>
      <c r="B133" s="22" t="s">
        <v>11942</v>
      </c>
      <c r="C133" s="2">
        <v>1</v>
      </c>
      <c r="D133" s="23">
        <v>14.99</v>
      </c>
      <c r="E133" s="3">
        <v>14.99</v>
      </c>
      <c r="F133" s="2" t="s">
        <v>11943</v>
      </c>
      <c r="G133" s="22" t="s">
        <v>19467</v>
      </c>
      <c r="H133" s="24" t="s">
        <v>19339</v>
      </c>
      <c r="I133" s="22" t="s">
        <v>19309</v>
      </c>
      <c r="J133" s="22" t="s">
        <v>19310</v>
      </c>
      <c r="K133" s="22" t="s">
        <v>19873</v>
      </c>
      <c r="L133" s="22"/>
      <c r="M133" s="22"/>
      <c r="N133" s="25" t="str">
        <f>HYPERLINK("http://slimages.macys.com/is/image/MCY/19950652 ")</f>
        <v xml:space="preserve">http://slimages.macys.com/is/image/MCY/19950652 </v>
      </c>
    </row>
    <row r="134" spans="1:14" x14ac:dyDescent="0.25">
      <c r="A134" s="21" t="s">
        <v>11944</v>
      </c>
      <c r="B134" s="22" t="s">
        <v>11945</v>
      </c>
      <c r="C134" s="2">
        <v>1</v>
      </c>
      <c r="D134" s="23">
        <v>19.989999999999998</v>
      </c>
      <c r="E134" s="3">
        <v>19.989999999999998</v>
      </c>
      <c r="F134" s="2" t="s">
        <v>11946</v>
      </c>
      <c r="G134" s="22" t="s">
        <v>19333</v>
      </c>
      <c r="H134" s="24"/>
      <c r="I134" s="22" t="s">
        <v>19309</v>
      </c>
      <c r="J134" s="22" t="s">
        <v>19696</v>
      </c>
      <c r="K134" s="22" t="s">
        <v>18094</v>
      </c>
      <c r="L134" s="22"/>
      <c r="M134" s="22"/>
      <c r="N134" s="25" t="str">
        <f>HYPERLINK("http://slimages.macys.com/is/image/MCY/21408522 ")</f>
        <v xml:space="preserve">http://slimages.macys.com/is/image/MCY/21408522 </v>
      </c>
    </row>
    <row r="135" spans="1:14" ht="24.75" x14ac:dyDescent="0.25">
      <c r="A135" s="21" t="s">
        <v>11947</v>
      </c>
      <c r="B135" s="22" t="s">
        <v>11948</v>
      </c>
      <c r="C135" s="2">
        <v>1</v>
      </c>
      <c r="D135" s="23">
        <v>14.99</v>
      </c>
      <c r="E135" s="3">
        <v>14.99</v>
      </c>
      <c r="F135" s="2" t="s">
        <v>11943</v>
      </c>
      <c r="G135" s="22" t="s">
        <v>19333</v>
      </c>
      <c r="H135" s="24" t="s">
        <v>19364</v>
      </c>
      <c r="I135" s="22" t="s">
        <v>19309</v>
      </c>
      <c r="J135" s="22" t="s">
        <v>19310</v>
      </c>
      <c r="K135" s="22" t="s">
        <v>19873</v>
      </c>
      <c r="L135" s="22"/>
      <c r="M135" s="22"/>
      <c r="N135" s="25" t="str">
        <f>HYPERLINK("http://slimages.macys.com/is/image/MCY/19950652 ")</f>
        <v xml:space="preserve">http://slimages.macys.com/is/image/MCY/19950652 </v>
      </c>
    </row>
    <row r="136" spans="1:14" ht="24.75" x14ac:dyDescent="0.25">
      <c r="A136" s="21" t="s">
        <v>19909</v>
      </c>
      <c r="B136" s="22" t="s">
        <v>19910</v>
      </c>
      <c r="C136" s="2">
        <v>2</v>
      </c>
      <c r="D136" s="23">
        <v>16.989999999999998</v>
      </c>
      <c r="E136" s="3">
        <v>33.979999999999997</v>
      </c>
      <c r="F136" s="2" t="s">
        <v>19911</v>
      </c>
      <c r="G136" s="22" t="s">
        <v>19422</v>
      </c>
      <c r="H136" s="24" t="s">
        <v>19538</v>
      </c>
      <c r="I136" s="22" t="s">
        <v>19309</v>
      </c>
      <c r="J136" s="22" t="s">
        <v>19573</v>
      </c>
      <c r="K136" s="22" t="s">
        <v>19574</v>
      </c>
      <c r="L136" s="22"/>
      <c r="M136" s="22"/>
      <c r="N136" s="25" t="str">
        <f>HYPERLINK("http://slimages.macys.com/is/image/MCY/1646328 ")</f>
        <v xml:space="preserve">http://slimages.macys.com/is/image/MCY/1646328 </v>
      </c>
    </row>
    <row r="137" spans="1:14" ht="24.75" x14ac:dyDescent="0.25">
      <c r="A137" s="21" t="s">
        <v>11949</v>
      </c>
      <c r="B137" s="22" t="s">
        <v>11950</v>
      </c>
      <c r="C137" s="2">
        <v>2</v>
      </c>
      <c r="D137" s="23">
        <v>16.989999999999998</v>
      </c>
      <c r="E137" s="3">
        <v>33.979999999999997</v>
      </c>
      <c r="F137" s="2" t="s">
        <v>19911</v>
      </c>
      <c r="G137" s="22" t="s">
        <v>19422</v>
      </c>
      <c r="H137" s="24"/>
      <c r="I137" s="22" t="s">
        <v>19309</v>
      </c>
      <c r="J137" s="22" t="s">
        <v>19573</v>
      </c>
      <c r="K137" s="22" t="s">
        <v>19574</v>
      </c>
      <c r="L137" s="22"/>
      <c r="M137" s="22"/>
      <c r="N137" s="25" t="str">
        <f>HYPERLINK("http://slimages.macys.com/is/image/MCY/1646328 ")</f>
        <v xml:space="preserve">http://slimages.macys.com/is/image/MCY/1646328 </v>
      </c>
    </row>
    <row r="138" spans="1:14" ht="24.75" x14ac:dyDescent="0.25">
      <c r="A138" s="21" t="s">
        <v>11951</v>
      </c>
      <c r="B138" s="22" t="s">
        <v>11952</v>
      </c>
      <c r="C138" s="2">
        <v>1</v>
      </c>
      <c r="D138" s="23">
        <v>24.99</v>
      </c>
      <c r="E138" s="3">
        <v>24.99</v>
      </c>
      <c r="F138" s="2" t="s">
        <v>15322</v>
      </c>
      <c r="G138" s="22" t="s">
        <v>19338</v>
      </c>
      <c r="H138" s="24" t="s">
        <v>20135</v>
      </c>
      <c r="I138" s="22" t="s">
        <v>19309</v>
      </c>
      <c r="J138" s="22" t="s">
        <v>19454</v>
      </c>
      <c r="K138" s="22" t="s">
        <v>19524</v>
      </c>
      <c r="L138" s="22"/>
      <c r="M138" s="22"/>
      <c r="N138" s="25" t="str">
        <f>HYPERLINK("http://slimages.macys.com/is/image/MCY/21708653 ")</f>
        <v xml:space="preserve">http://slimages.macys.com/is/image/MCY/21708653 </v>
      </c>
    </row>
    <row r="139" spans="1:14" ht="24.75" x14ac:dyDescent="0.25">
      <c r="A139" s="21" t="s">
        <v>13027</v>
      </c>
      <c r="B139" s="22" t="s">
        <v>13028</v>
      </c>
      <c r="C139" s="2">
        <v>1</v>
      </c>
      <c r="D139" s="23">
        <v>16.989999999999998</v>
      </c>
      <c r="E139" s="3">
        <v>16.989999999999998</v>
      </c>
      <c r="F139" s="2">
        <v>10015239400</v>
      </c>
      <c r="G139" s="22" t="s">
        <v>19351</v>
      </c>
      <c r="H139" s="24" t="s">
        <v>19538</v>
      </c>
      <c r="I139" s="22" t="s">
        <v>19309</v>
      </c>
      <c r="J139" s="22" t="s">
        <v>19573</v>
      </c>
      <c r="K139" s="22" t="s">
        <v>19574</v>
      </c>
      <c r="L139" s="22"/>
      <c r="M139" s="22"/>
      <c r="N139" s="25" t="str">
        <f>HYPERLINK("http://slimages.macys.com/is/image/MCY/1712799 ")</f>
        <v xml:space="preserve">http://slimages.macys.com/is/image/MCY/1712799 </v>
      </c>
    </row>
    <row r="140" spans="1:14" ht="24.75" x14ac:dyDescent="0.25">
      <c r="A140" s="21" t="s">
        <v>11953</v>
      </c>
      <c r="B140" s="22" t="s">
        <v>11954</v>
      </c>
      <c r="C140" s="2">
        <v>1</v>
      </c>
      <c r="D140" s="23">
        <v>16.989999999999998</v>
      </c>
      <c r="E140" s="3">
        <v>16.989999999999998</v>
      </c>
      <c r="F140" s="2" t="s">
        <v>13031</v>
      </c>
      <c r="G140" s="22" t="s">
        <v>19351</v>
      </c>
      <c r="H140" s="24" t="s">
        <v>19538</v>
      </c>
      <c r="I140" s="22" t="s">
        <v>19309</v>
      </c>
      <c r="J140" s="22" t="s">
        <v>19573</v>
      </c>
      <c r="K140" s="22" t="s">
        <v>19574</v>
      </c>
      <c r="L140" s="22"/>
      <c r="M140" s="22"/>
      <c r="N140" s="25" t="str">
        <f>HYPERLINK("http://slimages.macys.com/is/image/MCY/1679025 ")</f>
        <v xml:space="preserve">http://slimages.macys.com/is/image/MCY/1679025 </v>
      </c>
    </row>
    <row r="141" spans="1:14" ht="24.75" x14ac:dyDescent="0.25">
      <c r="A141" s="21" t="s">
        <v>13029</v>
      </c>
      <c r="B141" s="22" t="s">
        <v>13030</v>
      </c>
      <c r="C141" s="2">
        <v>1</v>
      </c>
      <c r="D141" s="23">
        <v>16.989999999999998</v>
      </c>
      <c r="E141" s="3">
        <v>16.989999999999998</v>
      </c>
      <c r="F141" s="2" t="s">
        <v>13031</v>
      </c>
      <c r="G141" s="22" t="s">
        <v>19351</v>
      </c>
      <c r="H141" s="24"/>
      <c r="I141" s="22" t="s">
        <v>19309</v>
      </c>
      <c r="J141" s="22" t="s">
        <v>19573</v>
      </c>
      <c r="K141" s="22" t="s">
        <v>19574</v>
      </c>
      <c r="L141" s="22"/>
      <c r="M141" s="22"/>
      <c r="N141" s="25" t="str">
        <f>HYPERLINK("http://slimages.macys.com/is/image/MCY/1679025 ")</f>
        <v xml:space="preserve">http://slimages.macys.com/is/image/MCY/1679025 </v>
      </c>
    </row>
    <row r="142" spans="1:14" ht="24.75" x14ac:dyDescent="0.25">
      <c r="A142" s="21" t="s">
        <v>11955</v>
      </c>
      <c r="B142" s="22" t="s">
        <v>11956</v>
      </c>
      <c r="C142" s="2">
        <v>1</v>
      </c>
      <c r="D142" s="23">
        <v>16.989999999999998</v>
      </c>
      <c r="E142" s="3">
        <v>16.989999999999998</v>
      </c>
      <c r="F142" s="2">
        <v>10015239400</v>
      </c>
      <c r="G142" s="22" t="s">
        <v>19351</v>
      </c>
      <c r="H142" s="24" t="s">
        <v>19330</v>
      </c>
      <c r="I142" s="22" t="s">
        <v>19309</v>
      </c>
      <c r="J142" s="22" t="s">
        <v>19573</v>
      </c>
      <c r="K142" s="22" t="s">
        <v>19574</v>
      </c>
      <c r="L142" s="22"/>
      <c r="M142" s="22"/>
      <c r="N142" s="25" t="str">
        <f>HYPERLINK("http://slimages.macys.com/is/image/MCY/1712799 ")</f>
        <v xml:space="preserve">http://slimages.macys.com/is/image/MCY/1712799 </v>
      </c>
    </row>
    <row r="143" spans="1:14" ht="24.75" x14ac:dyDescent="0.25">
      <c r="A143" s="21" t="s">
        <v>11957</v>
      </c>
      <c r="B143" s="22" t="s">
        <v>11958</v>
      </c>
      <c r="C143" s="2">
        <v>2</v>
      </c>
      <c r="D143" s="23">
        <v>16.989999999999998</v>
      </c>
      <c r="E143" s="3">
        <v>33.979999999999997</v>
      </c>
      <c r="F143" s="2" t="s">
        <v>13031</v>
      </c>
      <c r="G143" s="22" t="s">
        <v>19351</v>
      </c>
      <c r="H143" s="24" t="s">
        <v>19770</v>
      </c>
      <c r="I143" s="22" t="s">
        <v>19309</v>
      </c>
      <c r="J143" s="22" t="s">
        <v>19573</v>
      </c>
      <c r="K143" s="22" t="s">
        <v>19574</v>
      </c>
      <c r="L143" s="22"/>
      <c r="M143" s="22"/>
      <c r="N143" s="25" t="str">
        <f>HYPERLINK("http://slimages.macys.com/is/image/MCY/1679024 ")</f>
        <v xml:space="preserve">http://slimages.macys.com/is/image/MCY/1679024 </v>
      </c>
    </row>
    <row r="144" spans="1:14" ht="24.75" x14ac:dyDescent="0.25">
      <c r="A144" s="21" t="s">
        <v>11959</v>
      </c>
      <c r="B144" s="22" t="s">
        <v>11960</v>
      </c>
      <c r="C144" s="2">
        <v>1</v>
      </c>
      <c r="D144" s="23">
        <v>16.989999999999998</v>
      </c>
      <c r="E144" s="3">
        <v>16.989999999999998</v>
      </c>
      <c r="F144" s="2">
        <v>10015239300</v>
      </c>
      <c r="G144" s="22" t="s">
        <v>19315</v>
      </c>
      <c r="H144" s="24" t="s">
        <v>19538</v>
      </c>
      <c r="I144" s="22" t="s">
        <v>19309</v>
      </c>
      <c r="J144" s="22" t="s">
        <v>19573</v>
      </c>
      <c r="K144" s="22" t="s">
        <v>19574</v>
      </c>
      <c r="L144" s="22"/>
      <c r="M144" s="22"/>
      <c r="N144" s="25" t="str">
        <f>HYPERLINK("http://slimages.macys.com/is/image/MCY/1699968 ")</f>
        <v xml:space="preserve">http://slimages.macys.com/is/image/MCY/1699968 </v>
      </c>
    </row>
    <row r="145" spans="1:14" ht="24.75" x14ac:dyDescent="0.25">
      <c r="A145" s="21" t="s">
        <v>19921</v>
      </c>
      <c r="B145" s="22" t="s">
        <v>19922</v>
      </c>
      <c r="C145" s="2">
        <v>3</v>
      </c>
      <c r="D145" s="23">
        <v>18.989999999999998</v>
      </c>
      <c r="E145" s="3">
        <v>56.97</v>
      </c>
      <c r="F145" s="2">
        <v>10015242300</v>
      </c>
      <c r="G145" s="22" t="s">
        <v>19518</v>
      </c>
      <c r="H145" s="24" t="s">
        <v>19538</v>
      </c>
      <c r="I145" s="22" t="s">
        <v>19309</v>
      </c>
      <c r="J145" s="22" t="s">
        <v>19573</v>
      </c>
      <c r="K145" s="22" t="s">
        <v>19574</v>
      </c>
      <c r="L145" s="22"/>
      <c r="M145" s="22"/>
      <c r="N145" s="25" t="str">
        <f t="shared" ref="N145:N154" si="0">HYPERLINK("http://slimages.macys.com/is/image/MCY/1322715 ")</f>
        <v xml:space="preserve">http://slimages.macys.com/is/image/MCY/1322715 </v>
      </c>
    </row>
    <row r="146" spans="1:14" ht="24.75" x14ac:dyDescent="0.25">
      <c r="A146" s="21" t="s">
        <v>19912</v>
      </c>
      <c r="B146" s="22" t="s">
        <v>19913</v>
      </c>
      <c r="C146" s="2">
        <v>3</v>
      </c>
      <c r="D146" s="23">
        <v>18.989999999999998</v>
      </c>
      <c r="E146" s="3">
        <v>56.97</v>
      </c>
      <c r="F146" s="2" t="s">
        <v>19914</v>
      </c>
      <c r="G146" s="22" t="s">
        <v>19713</v>
      </c>
      <c r="H146" s="24" t="s">
        <v>19384</v>
      </c>
      <c r="I146" s="22" t="s">
        <v>19309</v>
      </c>
      <c r="J146" s="22" t="s">
        <v>19573</v>
      </c>
      <c r="K146" s="22" t="s">
        <v>19574</v>
      </c>
      <c r="L146" s="22"/>
      <c r="M146" s="22"/>
      <c r="N146" s="25" t="str">
        <f t="shared" si="0"/>
        <v xml:space="preserve">http://slimages.macys.com/is/image/MCY/1322715 </v>
      </c>
    </row>
    <row r="147" spans="1:14" ht="24.75" x14ac:dyDescent="0.25">
      <c r="A147" s="21" t="s">
        <v>17969</v>
      </c>
      <c r="B147" s="22" t="s">
        <v>17970</v>
      </c>
      <c r="C147" s="2">
        <v>3</v>
      </c>
      <c r="D147" s="23">
        <v>18.989999999999998</v>
      </c>
      <c r="E147" s="3">
        <v>56.97</v>
      </c>
      <c r="F147" s="2">
        <v>10015242200</v>
      </c>
      <c r="G147" s="22" t="s">
        <v>19315</v>
      </c>
      <c r="H147" s="24" t="s">
        <v>19538</v>
      </c>
      <c r="I147" s="22" t="s">
        <v>19309</v>
      </c>
      <c r="J147" s="22" t="s">
        <v>19573</v>
      </c>
      <c r="K147" s="22" t="s">
        <v>19574</v>
      </c>
      <c r="L147" s="22"/>
      <c r="M147" s="22"/>
      <c r="N147" s="25" t="str">
        <f t="shared" si="0"/>
        <v xml:space="preserve">http://slimages.macys.com/is/image/MCY/1322715 </v>
      </c>
    </row>
    <row r="148" spans="1:14" ht="24.75" x14ac:dyDescent="0.25">
      <c r="A148" s="21" t="s">
        <v>19919</v>
      </c>
      <c r="B148" s="22" t="s">
        <v>19920</v>
      </c>
      <c r="C148" s="2">
        <v>3</v>
      </c>
      <c r="D148" s="23">
        <v>18.989999999999998</v>
      </c>
      <c r="E148" s="3">
        <v>56.97</v>
      </c>
      <c r="F148" s="2">
        <v>10015242300</v>
      </c>
      <c r="G148" s="22" t="s">
        <v>19518</v>
      </c>
      <c r="H148" s="24"/>
      <c r="I148" s="22" t="s">
        <v>19309</v>
      </c>
      <c r="J148" s="22" t="s">
        <v>19573</v>
      </c>
      <c r="K148" s="22" t="s">
        <v>19574</v>
      </c>
      <c r="L148" s="22"/>
      <c r="M148" s="22"/>
      <c r="N148" s="25" t="str">
        <f t="shared" si="0"/>
        <v xml:space="preserve">http://slimages.macys.com/is/image/MCY/1322715 </v>
      </c>
    </row>
    <row r="149" spans="1:14" ht="24.75" x14ac:dyDescent="0.25">
      <c r="A149" s="21" t="s">
        <v>19925</v>
      </c>
      <c r="B149" s="22" t="s">
        <v>19926</v>
      </c>
      <c r="C149" s="2">
        <v>8</v>
      </c>
      <c r="D149" s="23">
        <v>18.989999999999998</v>
      </c>
      <c r="E149" s="3">
        <v>151.91999999999999</v>
      </c>
      <c r="F149" s="2" t="s">
        <v>19914</v>
      </c>
      <c r="G149" s="22" t="s">
        <v>19713</v>
      </c>
      <c r="H149" s="24" t="s">
        <v>19538</v>
      </c>
      <c r="I149" s="22" t="s">
        <v>19309</v>
      </c>
      <c r="J149" s="22" t="s">
        <v>19573</v>
      </c>
      <c r="K149" s="22" t="s">
        <v>19574</v>
      </c>
      <c r="L149" s="22"/>
      <c r="M149" s="22"/>
      <c r="N149" s="25" t="str">
        <f t="shared" si="0"/>
        <v xml:space="preserve">http://slimages.macys.com/is/image/MCY/1322715 </v>
      </c>
    </row>
    <row r="150" spans="1:14" ht="24.75" x14ac:dyDescent="0.25">
      <c r="A150" s="21" t="s">
        <v>13032</v>
      </c>
      <c r="B150" s="22" t="s">
        <v>13033</v>
      </c>
      <c r="C150" s="2">
        <v>2</v>
      </c>
      <c r="D150" s="23">
        <v>18.989999999999998</v>
      </c>
      <c r="E150" s="3">
        <v>37.979999999999997</v>
      </c>
      <c r="F150" s="2">
        <v>10015242300</v>
      </c>
      <c r="G150" s="22" t="s">
        <v>19518</v>
      </c>
      <c r="H150" s="24" t="s">
        <v>19384</v>
      </c>
      <c r="I150" s="22" t="s">
        <v>19309</v>
      </c>
      <c r="J150" s="22" t="s">
        <v>19573</v>
      </c>
      <c r="K150" s="22" t="s">
        <v>19574</v>
      </c>
      <c r="L150" s="22"/>
      <c r="M150" s="22"/>
      <c r="N150" s="25" t="str">
        <f t="shared" si="0"/>
        <v xml:space="preserve">http://slimages.macys.com/is/image/MCY/1322715 </v>
      </c>
    </row>
    <row r="151" spans="1:14" ht="24.75" x14ac:dyDescent="0.25">
      <c r="A151" s="21" t="s">
        <v>19923</v>
      </c>
      <c r="B151" s="22" t="s">
        <v>19924</v>
      </c>
      <c r="C151" s="2">
        <v>2</v>
      </c>
      <c r="D151" s="23">
        <v>18.989999999999998</v>
      </c>
      <c r="E151" s="3">
        <v>37.979999999999997</v>
      </c>
      <c r="F151" s="2">
        <v>10015242300</v>
      </c>
      <c r="G151" s="22" t="s">
        <v>19518</v>
      </c>
      <c r="H151" s="24" t="s">
        <v>19770</v>
      </c>
      <c r="I151" s="22" t="s">
        <v>19309</v>
      </c>
      <c r="J151" s="22" t="s">
        <v>19573</v>
      </c>
      <c r="K151" s="22" t="s">
        <v>19574</v>
      </c>
      <c r="L151" s="22"/>
      <c r="M151" s="22"/>
      <c r="N151" s="25" t="str">
        <f t="shared" si="0"/>
        <v xml:space="preserve">http://slimages.macys.com/is/image/MCY/1322715 </v>
      </c>
    </row>
    <row r="152" spans="1:14" ht="24.75" x14ac:dyDescent="0.25">
      <c r="A152" s="21" t="s">
        <v>19917</v>
      </c>
      <c r="B152" s="22" t="s">
        <v>19918</v>
      </c>
      <c r="C152" s="2">
        <v>2</v>
      </c>
      <c r="D152" s="23">
        <v>18.989999999999998</v>
      </c>
      <c r="E152" s="3">
        <v>37.979999999999997</v>
      </c>
      <c r="F152" s="2">
        <v>10015242200</v>
      </c>
      <c r="G152" s="22" t="s">
        <v>19315</v>
      </c>
      <c r="H152" s="24"/>
      <c r="I152" s="22" t="s">
        <v>19309</v>
      </c>
      <c r="J152" s="22" t="s">
        <v>19573</v>
      </c>
      <c r="K152" s="22" t="s">
        <v>19574</v>
      </c>
      <c r="L152" s="22"/>
      <c r="M152" s="22"/>
      <c r="N152" s="25" t="str">
        <f t="shared" si="0"/>
        <v xml:space="preserve">http://slimages.macys.com/is/image/MCY/1322715 </v>
      </c>
    </row>
    <row r="153" spans="1:14" ht="24.75" x14ac:dyDescent="0.25">
      <c r="A153" s="21" t="s">
        <v>17967</v>
      </c>
      <c r="B153" s="22" t="s">
        <v>17968</v>
      </c>
      <c r="C153" s="2">
        <v>1</v>
      </c>
      <c r="D153" s="23">
        <v>18.989999999999998</v>
      </c>
      <c r="E153" s="3">
        <v>18.989999999999998</v>
      </c>
      <c r="F153" s="2" t="s">
        <v>19914</v>
      </c>
      <c r="G153" s="22" t="s">
        <v>19713</v>
      </c>
      <c r="H153" s="24" t="s">
        <v>19770</v>
      </c>
      <c r="I153" s="22" t="s">
        <v>19309</v>
      </c>
      <c r="J153" s="22" t="s">
        <v>19573</v>
      </c>
      <c r="K153" s="22" t="s">
        <v>19574</v>
      </c>
      <c r="L153" s="22"/>
      <c r="M153" s="22"/>
      <c r="N153" s="25" t="str">
        <f t="shared" si="0"/>
        <v xml:space="preserve">http://slimages.macys.com/is/image/MCY/1322715 </v>
      </c>
    </row>
    <row r="154" spans="1:14" ht="24.75" x14ac:dyDescent="0.25">
      <c r="A154" s="21" t="s">
        <v>19915</v>
      </c>
      <c r="B154" s="22" t="s">
        <v>19916</v>
      </c>
      <c r="C154" s="2">
        <v>3</v>
      </c>
      <c r="D154" s="23">
        <v>18.989999999999998</v>
      </c>
      <c r="E154" s="3">
        <v>56.97</v>
      </c>
      <c r="F154" s="2" t="s">
        <v>19914</v>
      </c>
      <c r="G154" s="22" t="s">
        <v>19713</v>
      </c>
      <c r="H154" s="24"/>
      <c r="I154" s="22" t="s">
        <v>19309</v>
      </c>
      <c r="J154" s="22" t="s">
        <v>19573</v>
      </c>
      <c r="K154" s="22" t="s">
        <v>19574</v>
      </c>
      <c r="L154" s="22"/>
      <c r="M154" s="22"/>
      <c r="N154" s="25" t="str">
        <f t="shared" si="0"/>
        <v xml:space="preserve">http://slimages.macys.com/is/image/MCY/1322715 </v>
      </c>
    </row>
    <row r="155" spans="1:14" ht="24.75" x14ac:dyDescent="0.25">
      <c r="A155" s="21" t="s">
        <v>11961</v>
      </c>
      <c r="B155" s="22" t="s">
        <v>11962</v>
      </c>
      <c r="C155" s="2">
        <v>1</v>
      </c>
      <c r="D155" s="23">
        <v>17</v>
      </c>
      <c r="E155" s="3">
        <v>17</v>
      </c>
      <c r="F155" s="2" t="s">
        <v>11963</v>
      </c>
      <c r="G155" s="22" t="s">
        <v>19351</v>
      </c>
      <c r="H155" s="24" t="s">
        <v>19352</v>
      </c>
      <c r="I155" s="22" t="s">
        <v>19309</v>
      </c>
      <c r="J155" s="22" t="s">
        <v>20076</v>
      </c>
      <c r="K155" s="22" t="s">
        <v>17980</v>
      </c>
      <c r="L155" s="22" t="s">
        <v>19319</v>
      </c>
      <c r="M155" s="22" t="s">
        <v>11842</v>
      </c>
      <c r="N155" s="25" t="str">
        <f>HYPERLINK("http://slimages.macys.com/is/image/MCY/14556058 ")</f>
        <v xml:space="preserve">http://slimages.macys.com/is/image/MCY/14556058 </v>
      </c>
    </row>
    <row r="156" spans="1:14" ht="24.75" x14ac:dyDescent="0.25">
      <c r="A156" s="21" t="s">
        <v>11964</v>
      </c>
      <c r="B156" s="22" t="s">
        <v>11965</v>
      </c>
      <c r="C156" s="2">
        <v>1</v>
      </c>
      <c r="D156" s="23">
        <v>19</v>
      </c>
      <c r="E156" s="3">
        <v>19</v>
      </c>
      <c r="F156" s="2" t="s">
        <v>11966</v>
      </c>
      <c r="G156" s="22" t="s">
        <v>19307</v>
      </c>
      <c r="H156" s="24" t="s">
        <v>19308</v>
      </c>
      <c r="I156" s="22" t="s">
        <v>19309</v>
      </c>
      <c r="J156" s="22" t="s">
        <v>19565</v>
      </c>
      <c r="K156" s="22" t="s">
        <v>18548</v>
      </c>
      <c r="L156" s="22"/>
      <c r="M156" s="22"/>
      <c r="N156" s="25" t="str">
        <f>HYPERLINK("http://slimages.macys.com/is/image/MCY/18281918 ")</f>
        <v xml:space="preserve">http://slimages.macys.com/is/image/MCY/18281918 </v>
      </c>
    </row>
    <row r="157" spans="1:14" x14ac:dyDescent="0.25">
      <c r="A157" s="21" t="s">
        <v>11967</v>
      </c>
      <c r="B157" s="22" t="s">
        <v>11968</v>
      </c>
      <c r="C157" s="2">
        <v>1</v>
      </c>
      <c r="D157" s="23">
        <v>17.100000000000001</v>
      </c>
      <c r="E157" s="3">
        <v>17.100000000000001</v>
      </c>
      <c r="F157" s="2" t="s">
        <v>11969</v>
      </c>
      <c r="G157" s="22"/>
      <c r="H157" s="24" t="s">
        <v>19324</v>
      </c>
      <c r="I157" s="22" t="s">
        <v>19309</v>
      </c>
      <c r="J157" s="22" t="s">
        <v>19708</v>
      </c>
      <c r="K157" s="22" t="s">
        <v>19709</v>
      </c>
      <c r="L157" s="22"/>
      <c r="M157" s="22"/>
      <c r="N157" s="25" t="str">
        <f>HYPERLINK("http://slimages.macys.com/is/image/MCY/17419176 ")</f>
        <v xml:space="preserve">http://slimages.macys.com/is/image/MCY/17419176 </v>
      </c>
    </row>
    <row r="158" spans="1:14" ht="24.75" x14ac:dyDescent="0.25">
      <c r="A158" s="21" t="s">
        <v>11970</v>
      </c>
      <c r="B158" s="22" t="s">
        <v>11971</v>
      </c>
      <c r="C158" s="2">
        <v>1</v>
      </c>
      <c r="D158" s="23">
        <v>17.989999999999998</v>
      </c>
      <c r="E158" s="3">
        <v>17.989999999999998</v>
      </c>
      <c r="F158" s="2" t="s">
        <v>11972</v>
      </c>
      <c r="G158" s="22" t="s">
        <v>19307</v>
      </c>
      <c r="H158" s="24" t="s">
        <v>19345</v>
      </c>
      <c r="I158" s="22" t="s">
        <v>19309</v>
      </c>
      <c r="J158" s="22" t="s">
        <v>19447</v>
      </c>
      <c r="K158" s="22" t="s">
        <v>19463</v>
      </c>
      <c r="L158" s="22"/>
      <c r="M158" s="22"/>
      <c r="N158" s="25" t="str">
        <f>HYPERLINK("http://slimages.macys.com/is/image/MCY/22210788 ")</f>
        <v xml:space="preserve">http://slimages.macys.com/is/image/MCY/22210788 </v>
      </c>
    </row>
    <row r="159" spans="1:14" x14ac:dyDescent="0.25">
      <c r="A159" s="21" t="s">
        <v>11973</v>
      </c>
      <c r="B159" s="22" t="s">
        <v>11974</v>
      </c>
      <c r="C159" s="2">
        <v>2</v>
      </c>
      <c r="D159" s="23">
        <v>24.99</v>
      </c>
      <c r="E159" s="3">
        <v>49.98</v>
      </c>
      <c r="F159" s="2" t="s">
        <v>19958</v>
      </c>
      <c r="G159" s="22" t="s">
        <v>19315</v>
      </c>
      <c r="H159" s="24" t="s">
        <v>19364</v>
      </c>
      <c r="I159" s="22" t="s">
        <v>19309</v>
      </c>
      <c r="J159" s="22" t="s">
        <v>19849</v>
      </c>
      <c r="K159" s="22" t="s">
        <v>19850</v>
      </c>
      <c r="L159" s="22"/>
      <c r="M159" s="22"/>
      <c r="N159" s="25" t="str">
        <f>HYPERLINK("http://slimages.macys.com/is/image/MCY/1521136 ")</f>
        <v xml:space="preserve">http://slimages.macys.com/is/image/MCY/1521136 </v>
      </c>
    </row>
    <row r="160" spans="1:14" ht="24.75" x14ac:dyDescent="0.25">
      <c r="A160" s="21" t="s">
        <v>11975</v>
      </c>
      <c r="B160" s="22" t="s">
        <v>11976</v>
      </c>
      <c r="C160" s="2">
        <v>1</v>
      </c>
      <c r="D160" s="23">
        <v>24.99</v>
      </c>
      <c r="E160" s="3">
        <v>24.99</v>
      </c>
      <c r="F160" s="2" t="s">
        <v>19958</v>
      </c>
      <c r="G160" s="22" t="s">
        <v>19315</v>
      </c>
      <c r="H160" s="24" t="s">
        <v>19352</v>
      </c>
      <c r="I160" s="22" t="s">
        <v>19309</v>
      </c>
      <c r="J160" s="22" t="s">
        <v>19849</v>
      </c>
      <c r="K160" s="22" t="s">
        <v>19850</v>
      </c>
      <c r="L160" s="22"/>
      <c r="M160" s="22"/>
      <c r="N160" s="25" t="str">
        <f>HYPERLINK("http://slimages.macys.com/is/image/MCY/1521136 ")</f>
        <v xml:space="preserve">http://slimages.macys.com/is/image/MCY/1521136 </v>
      </c>
    </row>
    <row r="161" spans="1:14" ht="24.75" x14ac:dyDescent="0.25">
      <c r="A161" s="21" t="s">
        <v>11977</v>
      </c>
      <c r="B161" s="22" t="s">
        <v>11978</v>
      </c>
      <c r="C161" s="2">
        <v>2</v>
      </c>
      <c r="D161" s="23">
        <v>15.99</v>
      </c>
      <c r="E161" s="3">
        <v>31.98</v>
      </c>
      <c r="F161" s="2">
        <v>10014149900</v>
      </c>
      <c r="G161" s="22" t="s">
        <v>19467</v>
      </c>
      <c r="H161" s="24"/>
      <c r="I161" s="22" t="s">
        <v>19309</v>
      </c>
      <c r="J161" s="22" t="s">
        <v>19573</v>
      </c>
      <c r="K161" s="22" t="s">
        <v>19574</v>
      </c>
      <c r="L161" s="22"/>
      <c r="M161" s="22"/>
      <c r="N161" s="25" t="str">
        <f>HYPERLINK("http://slimages.macys.com/is/image/MCY/20757797 ")</f>
        <v xml:space="preserve">http://slimages.macys.com/is/image/MCY/20757797 </v>
      </c>
    </row>
    <row r="162" spans="1:14" ht="24.75" x14ac:dyDescent="0.25">
      <c r="A162" s="21" t="s">
        <v>11979</v>
      </c>
      <c r="B162" s="22" t="s">
        <v>11980</v>
      </c>
      <c r="C162" s="2">
        <v>2</v>
      </c>
      <c r="D162" s="23">
        <v>18.72</v>
      </c>
      <c r="E162" s="3">
        <v>37.44</v>
      </c>
      <c r="F162" s="2" t="s">
        <v>11981</v>
      </c>
      <c r="G162" s="22"/>
      <c r="H162" s="24" t="s">
        <v>19478</v>
      </c>
      <c r="I162" s="22" t="s">
        <v>19309</v>
      </c>
      <c r="J162" s="22" t="s">
        <v>19602</v>
      </c>
      <c r="K162" s="22" t="s">
        <v>20041</v>
      </c>
      <c r="L162" s="22"/>
      <c r="M162" s="22"/>
      <c r="N162" s="25" t="str">
        <f>HYPERLINK("http://slimages.macys.com/is/image/MCY/21420694 ")</f>
        <v xml:space="preserve">http://slimages.macys.com/is/image/MCY/21420694 </v>
      </c>
    </row>
    <row r="163" spans="1:14" x14ac:dyDescent="0.25">
      <c r="A163" s="21" t="s">
        <v>11982</v>
      </c>
      <c r="B163" s="22" t="s">
        <v>11983</v>
      </c>
      <c r="C163" s="2">
        <v>1</v>
      </c>
      <c r="D163" s="23">
        <v>21.99</v>
      </c>
      <c r="E163" s="3">
        <v>21.99</v>
      </c>
      <c r="F163" s="2" t="s">
        <v>18018</v>
      </c>
      <c r="G163" s="22" t="s">
        <v>19342</v>
      </c>
      <c r="H163" s="24" t="s">
        <v>19395</v>
      </c>
      <c r="I163" s="22" t="s">
        <v>19309</v>
      </c>
      <c r="J163" s="22" t="s">
        <v>19696</v>
      </c>
      <c r="K163" s="22" t="s">
        <v>19965</v>
      </c>
      <c r="L163" s="22"/>
      <c r="M163" s="22"/>
      <c r="N163" s="25" t="str">
        <f>HYPERLINK("http://slimages.macys.com/is/image/MCY/21530623 ")</f>
        <v xml:space="preserve">http://slimages.macys.com/is/image/MCY/21530623 </v>
      </c>
    </row>
    <row r="164" spans="1:14" x14ac:dyDescent="0.25">
      <c r="A164" s="21" t="s">
        <v>11984</v>
      </c>
      <c r="B164" s="22" t="s">
        <v>11985</v>
      </c>
      <c r="C164" s="2">
        <v>1</v>
      </c>
      <c r="D164" s="23">
        <v>20</v>
      </c>
      <c r="E164" s="3">
        <v>20</v>
      </c>
      <c r="F164" s="2" t="s">
        <v>11986</v>
      </c>
      <c r="G164" s="22" t="s">
        <v>19670</v>
      </c>
      <c r="H164" s="24" t="s">
        <v>19339</v>
      </c>
      <c r="I164" s="22" t="s">
        <v>19309</v>
      </c>
      <c r="J164" s="22" t="s">
        <v>19310</v>
      </c>
      <c r="K164" s="22" t="s">
        <v>17538</v>
      </c>
      <c r="L164" s="22"/>
      <c r="M164" s="22"/>
      <c r="N164" s="25" t="str">
        <f>HYPERLINK("http://slimages.macys.com/is/image/MCY/19971156 ")</f>
        <v xml:space="preserve">http://slimages.macys.com/is/image/MCY/19971156 </v>
      </c>
    </row>
    <row r="165" spans="1:14" x14ac:dyDescent="0.25">
      <c r="A165" s="21" t="s">
        <v>11987</v>
      </c>
      <c r="B165" s="22" t="s">
        <v>11988</v>
      </c>
      <c r="C165" s="2">
        <v>1</v>
      </c>
      <c r="D165" s="23">
        <v>15.99</v>
      </c>
      <c r="E165" s="3">
        <v>15.99</v>
      </c>
      <c r="F165" s="2" t="s">
        <v>11989</v>
      </c>
      <c r="G165" s="22" t="s">
        <v>19315</v>
      </c>
      <c r="H165" s="24" t="s">
        <v>19395</v>
      </c>
      <c r="I165" s="22" t="s">
        <v>19309</v>
      </c>
      <c r="J165" s="22" t="s">
        <v>19310</v>
      </c>
      <c r="K165" s="22" t="s">
        <v>19468</v>
      </c>
      <c r="L165" s="22"/>
      <c r="M165" s="22"/>
      <c r="N165" s="25" t="str">
        <f>HYPERLINK("http://slimages.macys.com/is/image/MCY/17600856 ")</f>
        <v xml:space="preserve">http://slimages.macys.com/is/image/MCY/17600856 </v>
      </c>
    </row>
    <row r="166" spans="1:14" ht="24.75" x14ac:dyDescent="0.25">
      <c r="A166" s="21" t="s">
        <v>11990</v>
      </c>
      <c r="B166" s="22" t="s">
        <v>11991</v>
      </c>
      <c r="C166" s="2">
        <v>1</v>
      </c>
      <c r="D166" s="23">
        <v>14.99</v>
      </c>
      <c r="E166" s="3">
        <v>14.99</v>
      </c>
      <c r="F166" s="2" t="s">
        <v>11992</v>
      </c>
      <c r="G166" s="22" t="s">
        <v>19467</v>
      </c>
      <c r="H166" s="24" t="s">
        <v>19361</v>
      </c>
      <c r="I166" s="22" t="s">
        <v>19309</v>
      </c>
      <c r="J166" s="22" t="s">
        <v>19447</v>
      </c>
      <c r="K166" s="22" t="s">
        <v>20146</v>
      </c>
      <c r="L166" s="22"/>
      <c r="M166" s="22"/>
      <c r="N166" s="25" t="str">
        <f>HYPERLINK("http://slimages.macys.com/is/image/MCY/17614911 ")</f>
        <v xml:space="preserve">http://slimages.macys.com/is/image/MCY/17614911 </v>
      </c>
    </row>
    <row r="167" spans="1:14" x14ac:dyDescent="0.25">
      <c r="A167" s="21" t="s">
        <v>11993</v>
      </c>
      <c r="B167" s="22" t="s">
        <v>11994</v>
      </c>
      <c r="C167" s="2">
        <v>1</v>
      </c>
      <c r="D167" s="23">
        <v>15.99</v>
      </c>
      <c r="E167" s="3">
        <v>15.99</v>
      </c>
      <c r="F167" s="2" t="s">
        <v>11995</v>
      </c>
      <c r="G167" s="22" t="s">
        <v>19333</v>
      </c>
      <c r="H167" s="24" t="s">
        <v>19395</v>
      </c>
      <c r="I167" s="22" t="s">
        <v>19309</v>
      </c>
      <c r="J167" s="22" t="s">
        <v>19310</v>
      </c>
      <c r="K167" s="22" t="s">
        <v>19468</v>
      </c>
      <c r="L167" s="22"/>
      <c r="M167" s="22"/>
      <c r="N167" s="25" t="str">
        <f>HYPERLINK("http://slimages.macys.com/is/image/MCY/19944405 ")</f>
        <v xml:space="preserve">http://slimages.macys.com/is/image/MCY/19944405 </v>
      </c>
    </row>
    <row r="168" spans="1:14" ht="24.75" x14ac:dyDescent="0.25">
      <c r="A168" s="21" t="s">
        <v>11996</v>
      </c>
      <c r="B168" s="22" t="s">
        <v>11997</v>
      </c>
      <c r="C168" s="2">
        <v>2</v>
      </c>
      <c r="D168" s="23">
        <v>14.99</v>
      </c>
      <c r="E168" s="3">
        <v>29.98</v>
      </c>
      <c r="F168" s="2" t="s">
        <v>11998</v>
      </c>
      <c r="G168" s="22" t="s">
        <v>19315</v>
      </c>
      <c r="H168" s="24" t="s">
        <v>19542</v>
      </c>
      <c r="I168" s="22" t="s">
        <v>19309</v>
      </c>
      <c r="J168" s="22" t="s">
        <v>19447</v>
      </c>
      <c r="K168" s="22" t="s">
        <v>20146</v>
      </c>
      <c r="L168" s="22"/>
      <c r="M168" s="22"/>
      <c r="N168" s="25" t="str">
        <f>HYPERLINK("http://slimages.macys.com/is/image/MCY/17609414 ")</f>
        <v xml:space="preserve">http://slimages.macys.com/is/image/MCY/17609414 </v>
      </c>
    </row>
    <row r="169" spans="1:14" x14ac:dyDescent="0.25">
      <c r="A169" s="21" t="s">
        <v>11999</v>
      </c>
      <c r="B169" s="22" t="s">
        <v>12000</v>
      </c>
      <c r="C169" s="2">
        <v>1</v>
      </c>
      <c r="D169" s="23">
        <v>16.989999999999998</v>
      </c>
      <c r="E169" s="3">
        <v>16.989999999999998</v>
      </c>
      <c r="F169" s="2" t="s">
        <v>12001</v>
      </c>
      <c r="G169" s="22" t="s">
        <v>19467</v>
      </c>
      <c r="H169" s="24" t="s">
        <v>19542</v>
      </c>
      <c r="I169" s="22" t="s">
        <v>19309</v>
      </c>
      <c r="J169" s="22" t="s">
        <v>19310</v>
      </c>
      <c r="K169" s="22" t="s">
        <v>19468</v>
      </c>
      <c r="L169" s="22"/>
      <c r="M169" s="22"/>
      <c r="N169" s="25" t="str">
        <f>HYPERLINK("http://slimages.macys.com/is/image/MCY/19065668 ")</f>
        <v xml:space="preserve">http://slimages.macys.com/is/image/MCY/19065668 </v>
      </c>
    </row>
    <row r="170" spans="1:14" ht="24.75" x14ac:dyDescent="0.25">
      <c r="A170" s="21" t="s">
        <v>12002</v>
      </c>
      <c r="B170" s="22" t="s">
        <v>12003</v>
      </c>
      <c r="C170" s="2">
        <v>1</v>
      </c>
      <c r="D170" s="23">
        <v>19.989999999999998</v>
      </c>
      <c r="E170" s="3">
        <v>19.989999999999998</v>
      </c>
      <c r="F170" s="2" t="s">
        <v>19988</v>
      </c>
      <c r="G170" s="22" t="s">
        <v>19315</v>
      </c>
      <c r="H170" s="24" t="s">
        <v>19416</v>
      </c>
      <c r="I170" s="22" t="s">
        <v>19309</v>
      </c>
      <c r="J170" s="22" t="s">
        <v>19573</v>
      </c>
      <c r="K170" s="22" t="s">
        <v>19574</v>
      </c>
      <c r="L170" s="22"/>
      <c r="M170" s="22"/>
      <c r="N170" s="25" t="str">
        <f t="shared" ref="N170:N175" si="1">HYPERLINK("http://slimages.macys.com/is/image/MCY/21209549 ")</f>
        <v xml:space="preserve">http://slimages.macys.com/is/image/MCY/21209549 </v>
      </c>
    </row>
    <row r="171" spans="1:14" ht="24.75" x14ac:dyDescent="0.25">
      <c r="A171" s="21" t="s">
        <v>12004</v>
      </c>
      <c r="B171" s="22" t="s">
        <v>12005</v>
      </c>
      <c r="C171" s="2">
        <v>1</v>
      </c>
      <c r="D171" s="23">
        <v>19.989999999999998</v>
      </c>
      <c r="E171" s="3">
        <v>19.989999999999998</v>
      </c>
      <c r="F171" s="2" t="s">
        <v>19988</v>
      </c>
      <c r="G171" s="22" t="s">
        <v>19315</v>
      </c>
      <c r="H171" s="24" t="s">
        <v>19324</v>
      </c>
      <c r="I171" s="22" t="s">
        <v>19309</v>
      </c>
      <c r="J171" s="22" t="s">
        <v>19573</v>
      </c>
      <c r="K171" s="22" t="s">
        <v>19574</v>
      </c>
      <c r="L171" s="22"/>
      <c r="M171" s="22"/>
      <c r="N171" s="25" t="str">
        <f t="shared" si="1"/>
        <v xml:space="preserve">http://slimages.macys.com/is/image/MCY/21209549 </v>
      </c>
    </row>
    <row r="172" spans="1:14" ht="24.75" x14ac:dyDescent="0.25">
      <c r="A172" s="21" t="s">
        <v>15357</v>
      </c>
      <c r="B172" s="22" t="s">
        <v>15358</v>
      </c>
      <c r="C172" s="2">
        <v>1</v>
      </c>
      <c r="D172" s="23">
        <v>19.989999999999998</v>
      </c>
      <c r="E172" s="3">
        <v>19.989999999999998</v>
      </c>
      <c r="F172" s="2" t="s">
        <v>19988</v>
      </c>
      <c r="G172" s="22" t="s">
        <v>19315</v>
      </c>
      <c r="H172" s="24"/>
      <c r="I172" s="22" t="s">
        <v>19309</v>
      </c>
      <c r="J172" s="22" t="s">
        <v>19573</v>
      </c>
      <c r="K172" s="22" t="s">
        <v>19574</v>
      </c>
      <c r="L172" s="22"/>
      <c r="M172" s="22"/>
      <c r="N172" s="25" t="str">
        <f t="shared" si="1"/>
        <v xml:space="preserve">http://slimages.macys.com/is/image/MCY/21209549 </v>
      </c>
    </row>
    <row r="173" spans="1:14" ht="24.75" x14ac:dyDescent="0.25">
      <c r="A173" s="21" t="s">
        <v>19986</v>
      </c>
      <c r="B173" s="22" t="s">
        <v>19987</v>
      </c>
      <c r="C173" s="2">
        <v>2</v>
      </c>
      <c r="D173" s="23">
        <v>19.989999999999998</v>
      </c>
      <c r="E173" s="3">
        <v>39.979999999999997</v>
      </c>
      <c r="F173" s="2" t="s">
        <v>19988</v>
      </c>
      <c r="G173" s="22" t="s">
        <v>19315</v>
      </c>
      <c r="H173" s="24" t="s">
        <v>19384</v>
      </c>
      <c r="I173" s="22" t="s">
        <v>19309</v>
      </c>
      <c r="J173" s="22" t="s">
        <v>19573</v>
      </c>
      <c r="K173" s="22" t="s">
        <v>19574</v>
      </c>
      <c r="L173" s="22"/>
      <c r="M173" s="22"/>
      <c r="N173" s="25" t="str">
        <f t="shared" si="1"/>
        <v xml:space="preserve">http://slimages.macys.com/is/image/MCY/21209549 </v>
      </c>
    </row>
    <row r="174" spans="1:14" ht="24.75" x14ac:dyDescent="0.25">
      <c r="A174" s="21" t="s">
        <v>12006</v>
      </c>
      <c r="B174" s="22" t="s">
        <v>12007</v>
      </c>
      <c r="C174" s="2">
        <v>1</v>
      </c>
      <c r="D174" s="23">
        <v>19.989999999999998</v>
      </c>
      <c r="E174" s="3">
        <v>19.989999999999998</v>
      </c>
      <c r="F174" s="2" t="s">
        <v>19988</v>
      </c>
      <c r="G174" s="22" t="s">
        <v>19315</v>
      </c>
      <c r="H174" s="24" t="s">
        <v>19330</v>
      </c>
      <c r="I174" s="22" t="s">
        <v>19309</v>
      </c>
      <c r="J174" s="22" t="s">
        <v>19573</v>
      </c>
      <c r="K174" s="22" t="s">
        <v>19574</v>
      </c>
      <c r="L174" s="22"/>
      <c r="M174" s="22"/>
      <c r="N174" s="25" t="str">
        <f t="shared" si="1"/>
        <v xml:space="preserve">http://slimages.macys.com/is/image/MCY/21209549 </v>
      </c>
    </row>
    <row r="175" spans="1:14" ht="24.75" x14ac:dyDescent="0.25">
      <c r="A175" s="21" t="s">
        <v>15359</v>
      </c>
      <c r="B175" s="22" t="s">
        <v>15360</v>
      </c>
      <c r="C175" s="2">
        <v>2</v>
      </c>
      <c r="D175" s="23">
        <v>19.989999999999998</v>
      </c>
      <c r="E175" s="3">
        <v>39.979999999999997</v>
      </c>
      <c r="F175" s="2" t="s">
        <v>19988</v>
      </c>
      <c r="G175" s="22" t="s">
        <v>19315</v>
      </c>
      <c r="H175" s="24" t="s">
        <v>19538</v>
      </c>
      <c r="I175" s="22" t="s">
        <v>19309</v>
      </c>
      <c r="J175" s="22" t="s">
        <v>19573</v>
      </c>
      <c r="K175" s="22" t="s">
        <v>19574</v>
      </c>
      <c r="L175" s="22"/>
      <c r="M175" s="22"/>
      <c r="N175" s="25" t="str">
        <f t="shared" si="1"/>
        <v xml:space="preserve">http://slimages.macys.com/is/image/MCY/21209549 </v>
      </c>
    </row>
    <row r="176" spans="1:14" x14ac:dyDescent="0.25">
      <c r="A176" s="21" t="s">
        <v>12008</v>
      </c>
      <c r="B176" s="22" t="s">
        <v>12009</v>
      </c>
      <c r="C176" s="2">
        <v>1</v>
      </c>
      <c r="D176" s="23">
        <v>19.989999999999998</v>
      </c>
      <c r="E176" s="3">
        <v>19.989999999999998</v>
      </c>
      <c r="F176" s="2" t="s">
        <v>12010</v>
      </c>
      <c r="G176" s="22" t="s">
        <v>19467</v>
      </c>
      <c r="H176" s="24"/>
      <c r="I176" s="22" t="s">
        <v>19309</v>
      </c>
      <c r="J176" s="22" t="s">
        <v>19696</v>
      </c>
      <c r="K176" s="22" t="s">
        <v>18094</v>
      </c>
      <c r="L176" s="22"/>
      <c r="M176" s="22"/>
      <c r="N176" s="25" t="str">
        <f>HYPERLINK("http://slimages.macys.com/is/image/MCY/20426345 ")</f>
        <v xml:space="preserve">http://slimages.macys.com/is/image/MCY/20426345 </v>
      </c>
    </row>
    <row r="177" spans="1:14" x14ac:dyDescent="0.25">
      <c r="A177" s="21" t="s">
        <v>15372</v>
      </c>
      <c r="B177" s="22" t="s">
        <v>15373</v>
      </c>
      <c r="C177" s="2">
        <v>2</v>
      </c>
      <c r="D177" s="23">
        <v>16.989999999999998</v>
      </c>
      <c r="E177" s="3">
        <v>33.979999999999997</v>
      </c>
      <c r="F177" s="2" t="s">
        <v>20002</v>
      </c>
      <c r="G177" s="22" t="s">
        <v>19477</v>
      </c>
      <c r="H177" s="24" t="s">
        <v>19352</v>
      </c>
      <c r="I177" s="22" t="s">
        <v>19309</v>
      </c>
      <c r="J177" s="22" t="s">
        <v>19849</v>
      </c>
      <c r="K177" s="22" t="s">
        <v>19850</v>
      </c>
      <c r="L177" s="22"/>
      <c r="M177" s="22"/>
      <c r="N177" s="25" t="str">
        <f t="shared" ref="N177:N183" si="2">HYPERLINK("http://slimages.macys.com/is/image/MCY/20549392 ")</f>
        <v xml:space="preserve">http://slimages.macys.com/is/image/MCY/20549392 </v>
      </c>
    </row>
    <row r="178" spans="1:14" x14ac:dyDescent="0.25">
      <c r="A178" s="21" t="s">
        <v>20011</v>
      </c>
      <c r="B178" s="22" t="s">
        <v>20012</v>
      </c>
      <c r="C178" s="2">
        <v>1</v>
      </c>
      <c r="D178" s="23">
        <v>16.989999999999998</v>
      </c>
      <c r="E178" s="3">
        <v>16.989999999999998</v>
      </c>
      <c r="F178" s="2" t="s">
        <v>20002</v>
      </c>
      <c r="G178" s="22" t="s">
        <v>19477</v>
      </c>
      <c r="H178" s="24" t="s">
        <v>19364</v>
      </c>
      <c r="I178" s="22" t="s">
        <v>19309</v>
      </c>
      <c r="J178" s="22" t="s">
        <v>19849</v>
      </c>
      <c r="K178" s="22" t="s">
        <v>19850</v>
      </c>
      <c r="L178" s="22"/>
      <c r="M178" s="22"/>
      <c r="N178" s="25" t="str">
        <f t="shared" si="2"/>
        <v xml:space="preserve">http://slimages.macys.com/is/image/MCY/20549392 </v>
      </c>
    </row>
    <row r="179" spans="1:14" x14ac:dyDescent="0.25">
      <c r="A179" s="21" t="s">
        <v>20007</v>
      </c>
      <c r="B179" s="22" t="s">
        <v>20008</v>
      </c>
      <c r="C179" s="2">
        <v>3</v>
      </c>
      <c r="D179" s="23">
        <v>16.989999999999998</v>
      </c>
      <c r="E179" s="3">
        <v>50.97</v>
      </c>
      <c r="F179" s="2" t="s">
        <v>20002</v>
      </c>
      <c r="G179" s="22" t="s">
        <v>19477</v>
      </c>
      <c r="H179" s="24" t="s">
        <v>19797</v>
      </c>
      <c r="I179" s="22" t="s">
        <v>19309</v>
      </c>
      <c r="J179" s="22" t="s">
        <v>19849</v>
      </c>
      <c r="K179" s="22" t="s">
        <v>19850</v>
      </c>
      <c r="L179" s="22"/>
      <c r="M179" s="22"/>
      <c r="N179" s="25" t="str">
        <f t="shared" si="2"/>
        <v xml:space="preserve">http://slimages.macys.com/is/image/MCY/20549392 </v>
      </c>
    </row>
    <row r="180" spans="1:14" x14ac:dyDescent="0.25">
      <c r="A180" s="21" t="s">
        <v>12011</v>
      </c>
      <c r="B180" s="22" t="s">
        <v>12012</v>
      </c>
      <c r="C180" s="2">
        <v>1</v>
      </c>
      <c r="D180" s="23">
        <v>16.989999999999998</v>
      </c>
      <c r="E180" s="3">
        <v>16.989999999999998</v>
      </c>
      <c r="F180" s="2" t="s">
        <v>20002</v>
      </c>
      <c r="G180" s="22" t="s">
        <v>19477</v>
      </c>
      <c r="H180" s="24" t="s">
        <v>19339</v>
      </c>
      <c r="I180" s="22" t="s">
        <v>19309</v>
      </c>
      <c r="J180" s="22" t="s">
        <v>19849</v>
      </c>
      <c r="K180" s="22" t="s">
        <v>19850</v>
      </c>
      <c r="L180" s="22"/>
      <c r="M180" s="22"/>
      <c r="N180" s="25" t="str">
        <f t="shared" si="2"/>
        <v xml:space="preserve">http://slimages.macys.com/is/image/MCY/20549392 </v>
      </c>
    </row>
    <row r="181" spans="1:14" x14ac:dyDescent="0.25">
      <c r="A181" s="21" t="s">
        <v>20003</v>
      </c>
      <c r="B181" s="22" t="s">
        <v>20004</v>
      </c>
      <c r="C181" s="2">
        <v>1</v>
      </c>
      <c r="D181" s="23">
        <v>16.989999999999998</v>
      </c>
      <c r="E181" s="3">
        <v>16.989999999999998</v>
      </c>
      <c r="F181" s="2" t="s">
        <v>20002</v>
      </c>
      <c r="G181" s="22" t="s">
        <v>19674</v>
      </c>
      <c r="H181" s="24" t="s">
        <v>19364</v>
      </c>
      <c r="I181" s="22" t="s">
        <v>19309</v>
      </c>
      <c r="J181" s="22" t="s">
        <v>19849</v>
      </c>
      <c r="K181" s="22" t="s">
        <v>19850</v>
      </c>
      <c r="L181" s="22"/>
      <c r="M181" s="22"/>
      <c r="N181" s="25" t="str">
        <f t="shared" si="2"/>
        <v xml:space="preserve">http://slimages.macys.com/is/image/MCY/20549392 </v>
      </c>
    </row>
    <row r="182" spans="1:14" x14ac:dyDescent="0.25">
      <c r="A182" s="21" t="s">
        <v>15384</v>
      </c>
      <c r="B182" s="22" t="s">
        <v>15385</v>
      </c>
      <c r="C182" s="2">
        <v>1</v>
      </c>
      <c r="D182" s="23">
        <v>16.989999999999998</v>
      </c>
      <c r="E182" s="3">
        <v>16.989999999999998</v>
      </c>
      <c r="F182" s="2" t="s">
        <v>20002</v>
      </c>
      <c r="G182" s="22" t="s">
        <v>19315</v>
      </c>
      <c r="H182" s="24" t="s">
        <v>19364</v>
      </c>
      <c r="I182" s="22" t="s">
        <v>19309</v>
      </c>
      <c r="J182" s="22" t="s">
        <v>19849</v>
      </c>
      <c r="K182" s="22" t="s">
        <v>19850</v>
      </c>
      <c r="L182" s="22"/>
      <c r="M182" s="22"/>
      <c r="N182" s="25" t="str">
        <f t="shared" si="2"/>
        <v xml:space="preserve">http://slimages.macys.com/is/image/MCY/20549392 </v>
      </c>
    </row>
    <row r="183" spans="1:14" x14ac:dyDescent="0.25">
      <c r="A183" s="21" t="s">
        <v>18055</v>
      </c>
      <c r="B183" s="22" t="s">
        <v>18056</v>
      </c>
      <c r="C183" s="2">
        <v>1</v>
      </c>
      <c r="D183" s="23">
        <v>16.989999999999998</v>
      </c>
      <c r="E183" s="3">
        <v>16.989999999999998</v>
      </c>
      <c r="F183" s="2" t="s">
        <v>20002</v>
      </c>
      <c r="G183" s="22" t="s">
        <v>19315</v>
      </c>
      <c r="H183" s="24" t="s">
        <v>19797</v>
      </c>
      <c r="I183" s="22" t="s">
        <v>19309</v>
      </c>
      <c r="J183" s="22" t="s">
        <v>19849</v>
      </c>
      <c r="K183" s="22" t="s">
        <v>19850</v>
      </c>
      <c r="L183" s="22"/>
      <c r="M183" s="22"/>
      <c r="N183" s="25" t="str">
        <f t="shared" si="2"/>
        <v xml:space="preserve">http://slimages.macys.com/is/image/MCY/20549392 </v>
      </c>
    </row>
    <row r="184" spans="1:14" ht="24.75" x14ac:dyDescent="0.25">
      <c r="A184" s="21" t="s">
        <v>12013</v>
      </c>
      <c r="B184" s="22" t="s">
        <v>12014</v>
      </c>
      <c r="C184" s="2">
        <v>1</v>
      </c>
      <c r="D184" s="23">
        <v>32</v>
      </c>
      <c r="E184" s="3">
        <v>32</v>
      </c>
      <c r="F184" s="2" t="s">
        <v>12015</v>
      </c>
      <c r="G184" s="22" t="s">
        <v>19357</v>
      </c>
      <c r="H184" s="24" t="s">
        <v>19538</v>
      </c>
      <c r="I184" s="22" t="s">
        <v>19309</v>
      </c>
      <c r="J184" s="22" t="s">
        <v>19417</v>
      </c>
      <c r="K184" s="22" t="s">
        <v>20110</v>
      </c>
      <c r="L184" s="22"/>
      <c r="M184" s="22"/>
      <c r="N184" s="25" t="str">
        <f>HYPERLINK("http://slimages.macys.com/is/image/MCY/22296732 ")</f>
        <v xml:space="preserve">http://slimages.macys.com/is/image/MCY/22296732 </v>
      </c>
    </row>
    <row r="185" spans="1:14" ht="24.75" x14ac:dyDescent="0.25">
      <c r="A185" s="21" t="s">
        <v>12016</v>
      </c>
      <c r="B185" s="22" t="s">
        <v>12017</v>
      </c>
      <c r="C185" s="2">
        <v>1</v>
      </c>
      <c r="D185" s="23">
        <v>14.99</v>
      </c>
      <c r="E185" s="3">
        <v>14.99</v>
      </c>
      <c r="F185" s="2" t="s">
        <v>12018</v>
      </c>
      <c r="G185" s="22" t="s">
        <v>19351</v>
      </c>
      <c r="H185" s="24" t="s">
        <v>19339</v>
      </c>
      <c r="I185" s="22" t="s">
        <v>19309</v>
      </c>
      <c r="J185" s="22" t="s">
        <v>20076</v>
      </c>
      <c r="K185" s="22" t="s">
        <v>12019</v>
      </c>
      <c r="L185" s="22"/>
      <c r="M185" s="22"/>
      <c r="N185" s="25" t="str">
        <f>HYPERLINK("http://slimages.macys.com/is/image/MCY/21485289 ")</f>
        <v xml:space="preserve">http://slimages.macys.com/is/image/MCY/21485289 </v>
      </c>
    </row>
    <row r="186" spans="1:14" ht="24.75" x14ac:dyDescent="0.25">
      <c r="A186" s="21" t="s">
        <v>12020</v>
      </c>
      <c r="B186" s="22" t="s">
        <v>12021</v>
      </c>
      <c r="C186" s="2">
        <v>1</v>
      </c>
      <c r="D186" s="23">
        <v>14.99</v>
      </c>
      <c r="E186" s="3">
        <v>14.99</v>
      </c>
      <c r="F186" s="2" t="s">
        <v>12018</v>
      </c>
      <c r="G186" s="22" t="s">
        <v>19351</v>
      </c>
      <c r="H186" s="24" t="s">
        <v>19352</v>
      </c>
      <c r="I186" s="22" t="s">
        <v>19309</v>
      </c>
      <c r="J186" s="22" t="s">
        <v>20076</v>
      </c>
      <c r="K186" s="22" t="s">
        <v>12019</v>
      </c>
      <c r="L186" s="22"/>
      <c r="M186" s="22"/>
      <c r="N186" s="25" t="str">
        <f>HYPERLINK("http://slimages.macys.com/is/image/MCY/21485289 ")</f>
        <v xml:space="preserve">http://slimages.macys.com/is/image/MCY/21485289 </v>
      </c>
    </row>
    <row r="187" spans="1:14" ht="24.75" x14ac:dyDescent="0.25">
      <c r="A187" s="21" t="s">
        <v>12022</v>
      </c>
      <c r="B187" s="22" t="s">
        <v>12023</v>
      </c>
      <c r="C187" s="2">
        <v>1</v>
      </c>
      <c r="D187" s="23">
        <v>19.989999999999998</v>
      </c>
      <c r="E187" s="3">
        <v>19.989999999999998</v>
      </c>
      <c r="F187" s="2" t="s">
        <v>12024</v>
      </c>
      <c r="G187" s="22" t="s">
        <v>19342</v>
      </c>
      <c r="H187" s="24" t="s">
        <v>19384</v>
      </c>
      <c r="I187" s="22" t="s">
        <v>19309</v>
      </c>
      <c r="J187" s="22" t="s">
        <v>19385</v>
      </c>
      <c r="K187" s="22" t="s">
        <v>18064</v>
      </c>
      <c r="L187" s="22"/>
      <c r="M187" s="22"/>
      <c r="N187" s="25" t="str">
        <f>HYPERLINK("http://slimages.macys.com/is/image/MCY/20122986 ")</f>
        <v xml:space="preserve">http://slimages.macys.com/is/image/MCY/20122986 </v>
      </c>
    </row>
    <row r="188" spans="1:14" ht="24.75" x14ac:dyDescent="0.25">
      <c r="A188" s="21" t="s">
        <v>12025</v>
      </c>
      <c r="B188" s="22" t="s">
        <v>12026</v>
      </c>
      <c r="C188" s="2">
        <v>1</v>
      </c>
      <c r="D188" s="23">
        <v>16.989999999999998</v>
      </c>
      <c r="E188" s="3">
        <v>16.989999999999998</v>
      </c>
      <c r="F188" s="2" t="s">
        <v>12027</v>
      </c>
      <c r="G188" s="22" t="s">
        <v>19618</v>
      </c>
      <c r="H188" s="24" t="s">
        <v>12028</v>
      </c>
      <c r="I188" s="22" t="s">
        <v>19309</v>
      </c>
      <c r="J188" s="22" t="s">
        <v>20076</v>
      </c>
      <c r="K188" s="22" t="s">
        <v>12029</v>
      </c>
      <c r="L188" s="22"/>
      <c r="M188" s="22"/>
      <c r="N188" s="25" t="str">
        <f>HYPERLINK("http://slimages.macys.com/is/image/MCY/21443479 ")</f>
        <v xml:space="preserve">http://slimages.macys.com/is/image/MCY/21443479 </v>
      </c>
    </row>
    <row r="189" spans="1:14" ht="24.75" x14ac:dyDescent="0.25">
      <c r="A189" s="21" t="s">
        <v>15951</v>
      </c>
      <c r="B189" s="22" t="s">
        <v>15952</v>
      </c>
      <c r="C189" s="2">
        <v>1</v>
      </c>
      <c r="D189" s="23">
        <v>24</v>
      </c>
      <c r="E189" s="3">
        <v>24</v>
      </c>
      <c r="F189" s="2" t="s">
        <v>15953</v>
      </c>
      <c r="G189" s="22" t="s">
        <v>19674</v>
      </c>
      <c r="H189" s="24"/>
      <c r="I189" s="22" t="s">
        <v>19309</v>
      </c>
      <c r="J189" s="22" t="s">
        <v>19417</v>
      </c>
      <c r="K189" s="22" t="s">
        <v>20110</v>
      </c>
      <c r="L189" s="22"/>
      <c r="M189" s="22"/>
      <c r="N189" s="25" t="str">
        <f>HYPERLINK("http://slimages.macys.com/is/image/MCY/22296723 ")</f>
        <v xml:space="preserve">http://slimages.macys.com/is/image/MCY/22296723 </v>
      </c>
    </row>
    <row r="190" spans="1:14" ht="24.75" x14ac:dyDescent="0.25">
      <c r="A190" s="21" t="s">
        <v>12030</v>
      </c>
      <c r="B190" s="22" t="s">
        <v>12031</v>
      </c>
      <c r="C190" s="2">
        <v>1</v>
      </c>
      <c r="D190" s="23">
        <v>24</v>
      </c>
      <c r="E190" s="3">
        <v>24</v>
      </c>
      <c r="F190" s="2">
        <v>88109</v>
      </c>
      <c r="G190" s="22"/>
      <c r="H190" s="24" t="s">
        <v>19324</v>
      </c>
      <c r="I190" s="22" t="s">
        <v>19309</v>
      </c>
      <c r="J190" s="22" t="s">
        <v>19417</v>
      </c>
      <c r="K190" s="22" t="s">
        <v>12032</v>
      </c>
      <c r="L190" s="22"/>
      <c r="M190" s="22"/>
      <c r="N190" s="25" t="str">
        <f>HYPERLINK("http://slimages.macys.com/is/image/MCY/22850232 ")</f>
        <v xml:space="preserve">http://slimages.macys.com/is/image/MCY/22850232 </v>
      </c>
    </row>
    <row r="191" spans="1:14" ht="24.75" x14ac:dyDescent="0.25">
      <c r="A191" s="21" t="s">
        <v>12033</v>
      </c>
      <c r="B191" s="22" t="s">
        <v>12034</v>
      </c>
      <c r="C191" s="2">
        <v>1</v>
      </c>
      <c r="D191" s="23">
        <v>29.5</v>
      </c>
      <c r="E191" s="3">
        <v>29.5</v>
      </c>
      <c r="F191" s="2" t="s">
        <v>12035</v>
      </c>
      <c r="G191" s="22" t="s">
        <v>19467</v>
      </c>
      <c r="H191" s="24" t="s">
        <v>19432</v>
      </c>
      <c r="I191" s="22" t="s">
        <v>19309</v>
      </c>
      <c r="J191" s="22" t="s">
        <v>20104</v>
      </c>
      <c r="K191" s="22" t="s">
        <v>20105</v>
      </c>
      <c r="L191" s="22"/>
      <c r="M191" s="22"/>
      <c r="N191" s="25" t="str">
        <f>HYPERLINK("http://slimages.macys.com/is/image/MCY/20006196 ")</f>
        <v xml:space="preserve">http://slimages.macys.com/is/image/MCY/20006196 </v>
      </c>
    </row>
    <row r="192" spans="1:14" x14ac:dyDescent="0.25">
      <c r="A192" s="21" t="s">
        <v>12036</v>
      </c>
      <c r="B192" s="22" t="s">
        <v>12037</v>
      </c>
      <c r="C192" s="2">
        <v>1</v>
      </c>
      <c r="D192" s="23">
        <v>18.989999999999998</v>
      </c>
      <c r="E192" s="3">
        <v>18.989999999999998</v>
      </c>
      <c r="F192" s="2" t="s">
        <v>12038</v>
      </c>
      <c r="G192" s="22" t="s">
        <v>19467</v>
      </c>
      <c r="H192" s="24"/>
      <c r="I192" s="22" t="s">
        <v>19309</v>
      </c>
      <c r="J192" s="22" t="s">
        <v>19696</v>
      </c>
      <c r="K192" s="22" t="s">
        <v>18094</v>
      </c>
      <c r="L192" s="22"/>
      <c r="M192" s="22"/>
      <c r="N192" s="25" t="str">
        <f>HYPERLINK("http://slimages.macys.com/is/image/MCY/21408518 ")</f>
        <v xml:space="preserve">http://slimages.macys.com/is/image/MCY/21408518 </v>
      </c>
    </row>
    <row r="193" spans="1:14" x14ac:dyDescent="0.25">
      <c r="A193" s="21" t="s">
        <v>12039</v>
      </c>
      <c r="B193" s="22" t="s">
        <v>12040</v>
      </c>
      <c r="C193" s="2">
        <v>1</v>
      </c>
      <c r="D193" s="23">
        <v>18.989999999999998</v>
      </c>
      <c r="E193" s="3">
        <v>18.989999999999998</v>
      </c>
      <c r="F193" s="2" t="s">
        <v>12038</v>
      </c>
      <c r="G193" s="22" t="s">
        <v>19467</v>
      </c>
      <c r="H193" s="24"/>
      <c r="I193" s="22" t="s">
        <v>19309</v>
      </c>
      <c r="J193" s="22" t="s">
        <v>19696</v>
      </c>
      <c r="K193" s="22" t="s">
        <v>18094</v>
      </c>
      <c r="L193" s="22"/>
      <c r="M193" s="22"/>
      <c r="N193" s="25" t="str">
        <f>HYPERLINK("http://slimages.macys.com/is/image/MCY/21408518 ")</f>
        <v xml:space="preserve">http://slimages.macys.com/is/image/MCY/21408518 </v>
      </c>
    </row>
    <row r="194" spans="1:14" ht="24.75" x14ac:dyDescent="0.25">
      <c r="A194" s="21" t="s">
        <v>12041</v>
      </c>
      <c r="B194" s="22" t="s">
        <v>12042</v>
      </c>
      <c r="C194" s="2">
        <v>1</v>
      </c>
      <c r="D194" s="23">
        <v>17.72</v>
      </c>
      <c r="E194" s="3">
        <v>17.72</v>
      </c>
      <c r="F194" s="2" t="s">
        <v>18097</v>
      </c>
      <c r="G194" s="22"/>
      <c r="H194" s="24" t="s">
        <v>19345</v>
      </c>
      <c r="I194" s="22" t="s">
        <v>19309</v>
      </c>
      <c r="J194" s="22" t="s">
        <v>19602</v>
      </c>
      <c r="K194" s="22" t="s">
        <v>19603</v>
      </c>
      <c r="L194" s="22"/>
      <c r="M194" s="22"/>
      <c r="N194" s="25" t="str">
        <f>HYPERLINK("http://slimages.macys.com/is/image/MCY/21421323 ")</f>
        <v xml:space="preserve">http://slimages.macys.com/is/image/MCY/21421323 </v>
      </c>
    </row>
    <row r="195" spans="1:14" ht="24.75" x14ac:dyDescent="0.25">
      <c r="A195" s="21" t="s">
        <v>12043</v>
      </c>
      <c r="B195" s="22" t="s">
        <v>12044</v>
      </c>
      <c r="C195" s="2">
        <v>1</v>
      </c>
      <c r="D195" s="23">
        <v>17.72</v>
      </c>
      <c r="E195" s="3">
        <v>17.72</v>
      </c>
      <c r="F195" s="2" t="s">
        <v>15981</v>
      </c>
      <c r="G195" s="22"/>
      <c r="H195" s="24" t="s">
        <v>19345</v>
      </c>
      <c r="I195" s="22" t="s">
        <v>19309</v>
      </c>
      <c r="J195" s="22" t="s">
        <v>19602</v>
      </c>
      <c r="K195" s="22" t="s">
        <v>19603</v>
      </c>
      <c r="L195" s="22"/>
      <c r="M195" s="22"/>
      <c r="N195" s="25" t="str">
        <f>HYPERLINK("http://slimages.macys.com/is/image/MCY/21722946 ")</f>
        <v xml:space="preserve">http://slimages.macys.com/is/image/MCY/21722946 </v>
      </c>
    </row>
    <row r="196" spans="1:14" ht="24.75" x14ac:dyDescent="0.25">
      <c r="A196" s="21" t="s">
        <v>12045</v>
      </c>
      <c r="B196" s="22" t="s">
        <v>12046</v>
      </c>
      <c r="C196" s="2">
        <v>1</v>
      </c>
      <c r="D196" s="23">
        <v>13.99</v>
      </c>
      <c r="E196" s="3">
        <v>13.99</v>
      </c>
      <c r="F196" s="2" t="s">
        <v>12047</v>
      </c>
      <c r="G196" s="22" t="s">
        <v>18073</v>
      </c>
      <c r="H196" s="24" t="s">
        <v>19364</v>
      </c>
      <c r="I196" s="22" t="s">
        <v>19309</v>
      </c>
      <c r="J196" s="22" t="s">
        <v>19447</v>
      </c>
      <c r="K196" s="22" t="s">
        <v>19873</v>
      </c>
      <c r="L196" s="22"/>
      <c r="M196" s="22"/>
      <c r="N196" s="25" t="str">
        <f>HYPERLINK("http://slimages.macys.com/is/image/MCY/21279961 ")</f>
        <v xml:space="preserve">http://slimages.macys.com/is/image/MCY/21279961 </v>
      </c>
    </row>
    <row r="197" spans="1:14" ht="24.75" x14ac:dyDescent="0.25">
      <c r="A197" s="21" t="s">
        <v>12048</v>
      </c>
      <c r="B197" s="22" t="s">
        <v>12049</v>
      </c>
      <c r="C197" s="2">
        <v>1</v>
      </c>
      <c r="D197" s="23">
        <v>16.329999999999998</v>
      </c>
      <c r="E197" s="3">
        <v>16.329999999999998</v>
      </c>
      <c r="F197" s="2" t="s">
        <v>12050</v>
      </c>
      <c r="G197" s="22" t="s">
        <v>19674</v>
      </c>
      <c r="H197" s="24"/>
      <c r="I197" s="22" t="s">
        <v>19309</v>
      </c>
      <c r="J197" s="22" t="s">
        <v>19565</v>
      </c>
      <c r="K197" s="22" t="s">
        <v>19566</v>
      </c>
      <c r="L197" s="22"/>
      <c r="M197" s="22"/>
      <c r="N197" s="25" t="str">
        <f>HYPERLINK("http://slimages.macys.com/is/image/MCY/21294520 ")</f>
        <v xml:space="preserve">http://slimages.macys.com/is/image/MCY/21294520 </v>
      </c>
    </row>
    <row r="198" spans="1:14" ht="24.75" x14ac:dyDescent="0.25">
      <c r="A198" s="21" t="s">
        <v>12051</v>
      </c>
      <c r="B198" s="22" t="s">
        <v>12052</v>
      </c>
      <c r="C198" s="2">
        <v>3</v>
      </c>
      <c r="D198" s="23">
        <v>14.99</v>
      </c>
      <c r="E198" s="3">
        <v>44.97</v>
      </c>
      <c r="F198" s="2" t="s">
        <v>12053</v>
      </c>
      <c r="G198" s="22"/>
      <c r="H198" s="24" t="s">
        <v>19339</v>
      </c>
      <c r="I198" s="22" t="s">
        <v>19309</v>
      </c>
      <c r="J198" s="22" t="s">
        <v>20076</v>
      </c>
      <c r="K198" s="22" t="s">
        <v>12019</v>
      </c>
      <c r="L198" s="22"/>
      <c r="M198" s="22"/>
      <c r="N198" s="25" t="str">
        <f>HYPERLINK("http://slimages.macys.com/is/image/MCY/21485284 ")</f>
        <v xml:space="preserve">http://slimages.macys.com/is/image/MCY/21485284 </v>
      </c>
    </row>
    <row r="199" spans="1:14" x14ac:dyDescent="0.25">
      <c r="A199" s="21" t="s">
        <v>12054</v>
      </c>
      <c r="B199" s="22" t="s">
        <v>12055</v>
      </c>
      <c r="C199" s="2">
        <v>1</v>
      </c>
      <c r="D199" s="23">
        <v>12.99</v>
      </c>
      <c r="E199" s="3">
        <v>12.99</v>
      </c>
      <c r="F199" s="2" t="s">
        <v>12056</v>
      </c>
      <c r="G199" s="22" t="s">
        <v>19323</v>
      </c>
      <c r="H199" s="24"/>
      <c r="I199" s="22" t="s">
        <v>19309</v>
      </c>
      <c r="J199" s="22" t="s">
        <v>19417</v>
      </c>
      <c r="K199" s="22" t="s">
        <v>15876</v>
      </c>
      <c r="L199" s="22"/>
      <c r="M199" s="22"/>
      <c r="N199" s="25" t="str">
        <f>HYPERLINK("http://slimages.macys.com/is/image/MCY/17016659 ")</f>
        <v xml:space="preserve">http://slimages.macys.com/is/image/MCY/17016659 </v>
      </c>
    </row>
    <row r="200" spans="1:14" x14ac:dyDescent="0.25">
      <c r="A200" s="21" t="s">
        <v>12057</v>
      </c>
      <c r="B200" s="22" t="s">
        <v>12058</v>
      </c>
      <c r="C200" s="2">
        <v>1</v>
      </c>
      <c r="D200" s="23">
        <v>21.99</v>
      </c>
      <c r="E200" s="3">
        <v>21.99</v>
      </c>
      <c r="F200" s="2" t="s">
        <v>12059</v>
      </c>
      <c r="G200" s="22" t="s">
        <v>19462</v>
      </c>
      <c r="H200" s="24" t="s">
        <v>19352</v>
      </c>
      <c r="I200" s="22" t="s">
        <v>19309</v>
      </c>
      <c r="J200" s="22" t="s">
        <v>19849</v>
      </c>
      <c r="K200" s="22" t="s">
        <v>19850</v>
      </c>
      <c r="L200" s="22"/>
      <c r="M200" s="22"/>
      <c r="N200" s="25" t="str">
        <f>HYPERLINK("http://slimages.macys.com/is/image/MCY/20530565 ")</f>
        <v xml:space="preserve">http://slimages.macys.com/is/image/MCY/20530565 </v>
      </c>
    </row>
    <row r="201" spans="1:14" x14ac:dyDescent="0.25">
      <c r="A201" s="21" t="s">
        <v>12060</v>
      </c>
      <c r="B201" s="22" t="s">
        <v>12061</v>
      </c>
      <c r="C201" s="2">
        <v>1</v>
      </c>
      <c r="D201" s="23">
        <v>15.99</v>
      </c>
      <c r="E201" s="3">
        <v>15.99</v>
      </c>
      <c r="F201" s="2" t="s">
        <v>12062</v>
      </c>
      <c r="G201" s="22" t="s">
        <v>19338</v>
      </c>
      <c r="H201" s="24" t="s">
        <v>19339</v>
      </c>
      <c r="I201" s="22" t="s">
        <v>19309</v>
      </c>
      <c r="J201" s="22" t="s">
        <v>19310</v>
      </c>
      <c r="K201" s="22" t="s">
        <v>19529</v>
      </c>
      <c r="L201" s="22"/>
      <c r="M201" s="22"/>
      <c r="N201" s="25" t="str">
        <f>HYPERLINK("http://slimages.macys.com/is/image/MCY/19704698 ")</f>
        <v xml:space="preserve">http://slimages.macys.com/is/image/MCY/19704698 </v>
      </c>
    </row>
    <row r="202" spans="1:14" ht="24.75" x14ac:dyDescent="0.25">
      <c r="A202" s="21" t="s">
        <v>12063</v>
      </c>
      <c r="B202" s="22" t="s">
        <v>12064</v>
      </c>
      <c r="C202" s="2">
        <v>1</v>
      </c>
      <c r="D202" s="23">
        <v>15.56</v>
      </c>
      <c r="E202" s="3">
        <v>15.56</v>
      </c>
      <c r="F202" s="2" t="s">
        <v>12065</v>
      </c>
      <c r="G202" s="22"/>
      <c r="H202" s="24" t="s">
        <v>19345</v>
      </c>
      <c r="I202" s="22" t="s">
        <v>19309</v>
      </c>
      <c r="J202" s="22" t="s">
        <v>19602</v>
      </c>
      <c r="K202" s="22" t="s">
        <v>20041</v>
      </c>
      <c r="L202" s="22"/>
      <c r="M202" s="22"/>
      <c r="N202" s="25" t="str">
        <f>HYPERLINK("http://slimages.macys.com/is/image/MCY/19934677 ")</f>
        <v xml:space="preserve">http://slimages.macys.com/is/image/MCY/19934677 </v>
      </c>
    </row>
    <row r="203" spans="1:14" x14ac:dyDescent="0.25">
      <c r="A203" s="21" t="s">
        <v>12066</v>
      </c>
      <c r="B203" s="22" t="s">
        <v>12067</v>
      </c>
      <c r="C203" s="2">
        <v>1</v>
      </c>
      <c r="D203" s="23">
        <v>19.989999999999998</v>
      </c>
      <c r="E203" s="3">
        <v>19.989999999999998</v>
      </c>
      <c r="F203" s="2" t="s">
        <v>12068</v>
      </c>
      <c r="G203" s="22" t="s">
        <v>19342</v>
      </c>
      <c r="H203" s="24" t="s">
        <v>19478</v>
      </c>
      <c r="I203" s="22" t="s">
        <v>19309</v>
      </c>
      <c r="J203" s="22" t="s">
        <v>19696</v>
      </c>
      <c r="K203" s="22" t="s">
        <v>19697</v>
      </c>
      <c r="L203" s="22"/>
      <c r="M203" s="22"/>
      <c r="N203" s="25" t="str">
        <f>HYPERLINK("http://slimages.macys.com/is/image/MCY/20662556 ")</f>
        <v xml:space="preserve">http://slimages.macys.com/is/image/MCY/20662556 </v>
      </c>
    </row>
    <row r="204" spans="1:14" x14ac:dyDescent="0.25">
      <c r="A204" s="21" t="s">
        <v>20083</v>
      </c>
      <c r="B204" s="22" t="s">
        <v>20084</v>
      </c>
      <c r="C204" s="2">
        <v>1</v>
      </c>
      <c r="D204" s="23">
        <v>22.99</v>
      </c>
      <c r="E204" s="3">
        <v>22.99</v>
      </c>
      <c r="F204" s="2" t="s">
        <v>20085</v>
      </c>
      <c r="G204" s="22" t="s">
        <v>19674</v>
      </c>
      <c r="H204" s="24" t="s">
        <v>19907</v>
      </c>
      <c r="I204" s="22" t="s">
        <v>19309</v>
      </c>
      <c r="J204" s="22" t="s">
        <v>19849</v>
      </c>
      <c r="K204" s="22" t="s">
        <v>19850</v>
      </c>
      <c r="L204" s="22"/>
      <c r="M204" s="22"/>
      <c r="N204" s="25" t="str">
        <f>HYPERLINK("http://slimages.macys.com/is/image/MCY/1521089 ")</f>
        <v xml:space="preserve">http://slimages.macys.com/is/image/MCY/1521089 </v>
      </c>
    </row>
    <row r="205" spans="1:14" x14ac:dyDescent="0.25">
      <c r="A205" s="21" t="s">
        <v>12069</v>
      </c>
      <c r="B205" s="22" t="s">
        <v>12070</v>
      </c>
      <c r="C205" s="2">
        <v>1</v>
      </c>
      <c r="D205" s="23">
        <v>14.99</v>
      </c>
      <c r="E205" s="3">
        <v>14.99</v>
      </c>
      <c r="F205" s="2" t="s">
        <v>12071</v>
      </c>
      <c r="G205" s="22" t="s">
        <v>19307</v>
      </c>
      <c r="H205" s="24" t="s">
        <v>19395</v>
      </c>
      <c r="I205" s="22" t="s">
        <v>19309</v>
      </c>
      <c r="J205" s="22" t="s">
        <v>19310</v>
      </c>
      <c r="K205" s="22" t="s">
        <v>19433</v>
      </c>
      <c r="L205" s="22"/>
      <c r="M205" s="22"/>
      <c r="N205" s="25" t="str">
        <f>HYPERLINK("http://slimages.macys.com/is/image/MCY/19689365 ")</f>
        <v xml:space="preserve">http://slimages.macys.com/is/image/MCY/19689365 </v>
      </c>
    </row>
    <row r="206" spans="1:14" ht="24.75" x14ac:dyDescent="0.25">
      <c r="A206" s="21" t="s">
        <v>12072</v>
      </c>
      <c r="B206" s="22" t="s">
        <v>12073</v>
      </c>
      <c r="C206" s="2">
        <v>1</v>
      </c>
      <c r="D206" s="23">
        <v>16.82</v>
      </c>
      <c r="E206" s="3">
        <v>16.82</v>
      </c>
      <c r="F206" s="2" t="s">
        <v>12074</v>
      </c>
      <c r="G206" s="22"/>
      <c r="H206" s="24" t="s">
        <v>19334</v>
      </c>
      <c r="I206" s="22" t="s">
        <v>19309</v>
      </c>
      <c r="J206" s="22" t="s">
        <v>19602</v>
      </c>
      <c r="K206" s="22" t="s">
        <v>20041</v>
      </c>
      <c r="L206" s="22"/>
      <c r="M206" s="22"/>
      <c r="N206" s="25" t="str">
        <f>HYPERLINK("http://slimages.macys.com/is/image/MCY/21420951 ")</f>
        <v xml:space="preserve">http://slimages.macys.com/is/image/MCY/21420951 </v>
      </c>
    </row>
    <row r="207" spans="1:14" ht="24.75" x14ac:dyDescent="0.25">
      <c r="A207" s="21" t="s">
        <v>12075</v>
      </c>
      <c r="B207" s="22" t="s">
        <v>12076</v>
      </c>
      <c r="C207" s="2">
        <v>1</v>
      </c>
      <c r="D207" s="23">
        <v>14.99</v>
      </c>
      <c r="E207" s="3">
        <v>14.99</v>
      </c>
      <c r="F207" s="2" t="s">
        <v>12077</v>
      </c>
      <c r="G207" s="22" t="s">
        <v>19674</v>
      </c>
      <c r="H207" s="24" t="s">
        <v>19339</v>
      </c>
      <c r="I207" s="22" t="s">
        <v>19309</v>
      </c>
      <c r="J207" s="22" t="s">
        <v>20076</v>
      </c>
      <c r="K207" s="22" t="s">
        <v>12019</v>
      </c>
      <c r="L207" s="22"/>
      <c r="M207" s="22"/>
      <c r="N207" s="25" t="str">
        <f>HYPERLINK("http://slimages.macys.com/is/image/MCY/21485286 ")</f>
        <v xml:space="preserve">http://slimages.macys.com/is/image/MCY/21485286 </v>
      </c>
    </row>
    <row r="208" spans="1:14" ht="24.75" x14ac:dyDescent="0.25">
      <c r="A208" s="21" t="s">
        <v>12078</v>
      </c>
      <c r="B208" s="22" t="s">
        <v>12079</v>
      </c>
      <c r="C208" s="2">
        <v>1</v>
      </c>
      <c r="D208" s="23">
        <v>14.99</v>
      </c>
      <c r="E208" s="3">
        <v>14.99</v>
      </c>
      <c r="F208" s="2">
        <v>3151</v>
      </c>
      <c r="G208" s="22" t="s">
        <v>19323</v>
      </c>
      <c r="H208" s="24" t="s">
        <v>19797</v>
      </c>
      <c r="I208" s="22" t="s">
        <v>19309</v>
      </c>
      <c r="J208" s="22" t="s">
        <v>20076</v>
      </c>
      <c r="K208" s="22" t="s">
        <v>12080</v>
      </c>
      <c r="L208" s="22"/>
      <c r="M208" s="22"/>
      <c r="N208" s="25" t="str">
        <f>HYPERLINK("http://slimages.macys.com/is/image/MCY/21816728 ")</f>
        <v xml:space="preserve">http://slimages.macys.com/is/image/MCY/21816728 </v>
      </c>
    </row>
    <row r="209" spans="1:14" ht="24.75" x14ac:dyDescent="0.25">
      <c r="A209" s="21" t="s">
        <v>12081</v>
      </c>
      <c r="B209" s="22" t="s">
        <v>12082</v>
      </c>
      <c r="C209" s="2">
        <v>1</v>
      </c>
      <c r="D209" s="23">
        <v>14.99</v>
      </c>
      <c r="E209" s="3">
        <v>14.99</v>
      </c>
      <c r="F209" s="2">
        <v>3151</v>
      </c>
      <c r="G209" s="22" t="s">
        <v>19323</v>
      </c>
      <c r="H209" s="24" t="s">
        <v>19364</v>
      </c>
      <c r="I209" s="22" t="s">
        <v>19309</v>
      </c>
      <c r="J209" s="22" t="s">
        <v>20076</v>
      </c>
      <c r="K209" s="22" t="s">
        <v>12080</v>
      </c>
      <c r="L209" s="22"/>
      <c r="M209" s="22"/>
      <c r="N209" s="25" t="str">
        <f>HYPERLINK("http://slimages.macys.com/is/image/MCY/21816728 ")</f>
        <v xml:space="preserve">http://slimages.macys.com/is/image/MCY/21816728 </v>
      </c>
    </row>
    <row r="210" spans="1:14" x14ac:dyDescent="0.25">
      <c r="A210" s="21" t="s">
        <v>12083</v>
      </c>
      <c r="B210" s="22" t="s">
        <v>12084</v>
      </c>
      <c r="C210" s="2">
        <v>1</v>
      </c>
      <c r="D210" s="23">
        <v>22.99</v>
      </c>
      <c r="E210" s="3">
        <v>22.99</v>
      </c>
      <c r="F210" s="2" t="s">
        <v>13085</v>
      </c>
      <c r="G210" s="22" t="s">
        <v>19467</v>
      </c>
      <c r="H210" s="24" t="s">
        <v>19907</v>
      </c>
      <c r="I210" s="22" t="s">
        <v>19309</v>
      </c>
      <c r="J210" s="22" t="s">
        <v>19849</v>
      </c>
      <c r="K210" s="22" t="s">
        <v>19850</v>
      </c>
      <c r="L210" s="22"/>
      <c r="M210" s="22"/>
      <c r="N210" s="25" t="str">
        <f>HYPERLINK("http://slimages.macys.com/is/image/MCY/20786231 ")</f>
        <v xml:space="preserve">http://slimages.macys.com/is/image/MCY/20786231 </v>
      </c>
    </row>
    <row r="211" spans="1:14" x14ac:dyDescent="0.25">
      <c r="A211" s="21" t="s">
        <v>18154</v>
      </c>
      <c r="B211" s="22" t="s">
        <v>18155</v>
      </c>
      <c r="C211" s="2">
        <v>1</v>
      </c>
      <c r="D211" s="23">
        <v>18.77</v>
      </c>
      <c r="E211" s="3">
        <v>18.77</v>
      </c>
      <c r="F211" s="2" t="s">
        <v>18156</v>
      </c>
      <c r="G211" s="22"/>
      <c r="H211" s="24" t="s">
        <v>19330</v>
      </c>
      <c r="I211" s="22" t="s">
        <v>19309</v>
      </c>
      <c r="J211" s="22" t="s">
        <v>19708</v>
      </c>
      <c r="K211" s="22" t="s">
        <v>19709</v>
      </c>
      <c r="L211" s="22"/>
      <c r="M211" s="22"/>
      <c r="N211" s="25" t="str">
        <f>HYPERLINK("http://slimages.macys.com/is/image/MCY/22596095 ")</f>
        <v xml:space="preserve">http://slimages.macys.com/is/image/MCY/22596095 </v>
      </c>
    </row>
    <row r="212" spans="1:14" x14ac:dyDescent="0.25">
      <c r="A212" s="21" t="s">
        <v>12085</v>
      </c>
      <c r="B212" s="22" t="s">
        <v>12086</v>
      </c>
      <c r="C212" s="2">
        <v>1</v>
      </c>
      <c r="D212" s="23">
        <v>18.77</v>
      </c>
      <c r="E212" s="3">
        <v>18.77</v>
      </c>
      <c r="F212" s="2" t="s">
        <v>20116</v>
      </c>
      <c r="G212" s="22"/>
      <c r="H212" s="24" t="s">
        <v>19416</v>
      </c>
      <c r="I212" s="22" t="s">
        <v>19309</v>
      </c>
      <c r="J212" s="22" t="s">
        <v>19708</v>
      </c>
      <c r="K212" s="22" t="s">
        <v>19709</v>
      </c>
      <c r="L212" s="22"/>
      <c r="M212" s="22"/>
      <c r="N212" s="25" t="str">
        <f>HYPERLINK("http://slimages.macys.com/is/image/MCY/22405951 ")</f>
        <v xml:space="preserve">http://slimages.macys.com/is/image/MCY/22405951 </v>
      </c>
    </row>
    <row r="213" spans="1:14" x14ac:dyDescent="0.25">
      <c r="A213" s="21" t="s">
        <v>12087</v>
      </c>
      <c r="B213" s="22" t="s">
        <v>12088</v>
      </c>
      <c r="C213" s="2">
        <v>1</v>
      </c>
      <c r="D213" s="23">
        <v>18.77</v>
      </c>
      <c r="E213" s="3">
        <v>18.77</v>
      </c>
      <c r="F213" s="2" t="s">
        <v>18156</v>
      </c>
      <c r="G213" s="22"/>
      <c r="H213" s="24" t="s">
        <v>19324</v>
      </c>
      <c r="I213" s="22" t="s">
        <v>19309</v>
      </c>
      <c r="J213" s="22" t="s">
        <v>19708</v>
      </c>
      <c r="K213" s="22" t="s">
        <v>19709</v>
      </c>
      <c r="L213" s="22"/>
      <c r="M213" s="22"/>
      <c r="N213" s="25" t="str">
        <f>HYPERLINK("http://slimages.macys.com/is/image/MCY/22596095 ")</f>
        <v xml:space="preserve">http://slimages.macys.com/is/image/MCY/22596095 </v>
      </c>
    </row>
    <row r="214" spans="1:14" x14ac:dyDescent="0.25">
      <c r="A214" s="21" t="s">
        <v>13086</v>
      </c>
      <c r="B214" s="22" t="s">
        <v>13087</v>
      </c>
      <c r="C214" s="2">
        <v>1</v>
      </c>
      <c r="D214" s="23">
        <v>18.77</v>
      </c>
      <c r="E214" s="3">
        <v>18.77</v>
      </c>
      <c r="F214" s="2" t="s">
        <v>20119</v>
      </c>
      <c r="G214" s="22"/>
      <c r="H214" s="24" t="s">
        <v>19367</v>
      </c>
      <c r="I214" s="22" t="s">
        <v>19309</v>
      </c>
      <c r="J214" s="22" t="s">
        <v>19708</v>
      </c>
      <c r="K214" s="22" t="s">
        <v>19709</v>
      </c>
      <c r="L214" s="22"/>
      <c r="M214" s="22"/>
      <c r="N214" s="25" t="str">
        <f>HYPERLINK("http://slimages.macys.com/is/image/MCY/22405750 ")</f>
        <v xml:space="preserve">http://slimages.macys.com/is/image/MCY/22405750 </v>
      </c>
    </row>
    <row r="215" spans="1:14" ht="24.75" x14ac:dyDescent="0.25">
      <c r="A215" s="21" t="s">
        <v>12089</v>
      </c>
      <c r="B215" s="22" t="s">
        <v>12090</v>
      </c>
      <c r="C215" s="2">
        <v>1</v>
      </c>
      <c r="D215" s="23">
        <v>12.99</v>
      </c>
      <c r="E215" s="3">
        <v>12.99</v>
      </c>
      <c r="F215" s="2" t="s">
        <v>20141</v>
      </c>
      <c r="G215" s="22" t="s">
        <v>19585</v>
      </c>
      <c r="H215" s="24" t="s">
        <v>19364</v>
      </c>
      <c r="I215" s="22" t="s">
        <v>19309</v>
      </c>
      <c r="J215" s="22" t="s">
        <v>19447</v>
      </c>
      <c r="K215" s="22" t="s">
        <v>19873</v>
      </c>
      <c r="L215" s="22"/>
      <c r="M215" s="22"/>
      <c r="N215" s="25" t="str">
        <f>HYPERLINK("http://slimages.macys.com/is/image/MCY/21122038 ")</f>
        <v xml:space="preserve">http://slimages.macys.com/is/image/MCY/21122038 </v>
      </c>
    </row>
    <row r="216" spans="1:14" ht="24.75" x14ac:dyDescent="0.25">
      <c r="A216" s="21" t="s">
        <v>12091</v>
      </c>
      <c r="B216" s="22" t="s">
        <v>12092</v>
      </c>
      <c r="C216" s="2">
        <v>1</v>
      </c>
      <c r="D216" s="23">
        <v>23.99</v>
      </c>
      <c r="E216" s="3">
        <v>23.99</v>
      </c>
      <c r="F216" s="2" t="s">
        <v>12093</v>
      </c>
      <c r="G216" s="22" t="s">
        <v>19618</v>
      </c>
      <c r="H216" s="24" t="s">
        <v>19330</v>
      </c>
      <c r="I216" s="22" t="s">
        <v>19309</v>
      </c>
      <c r="J216" s="22" t="s">
        <v>19491</v>
      </c>
      <c r="K216" s="22" t="s">
        <v>19406</v>
      </c>
      <c r="L216" s="22"/>
      <c r="M216" s="22"/>
      <c r="N216" s="25" t="str">
        <f>HYPERLINK("http://slimages.macys.com/is/image/MCY/18547288 ")</f>
        <v xml:space="preserve">http://slimages.macys.com/is/image/MCY/18547288 </v>
      </c>
    </row>
    <row r="217" spans="1:14" x14ac:dyDescent="0.25">
      <c r="A217" s="21" t="s">
        <v>12094</v>
      </c>
      <c r="B217" s="22" t="s">
        <v>12095</v>
      </c>
      <c r="C217" s="2">
        <v>1</v>
      </c>
      <c r="D217" s="23">
        <v>14.67</v>
      </c>
      <c r="E217" s="3">
        <v>14.67</v>
      </c>
      <c r="F217" s="2" t="s">
        <v>13097</v>
      </c>
      <c r="G217" s="22" t="s">
        <v>19323</v>
      </c>
      <c r="H217" s="24" t="s">
        <v>19367</v>
      </c>
      <c r="I217" s="22" t="s">
        <v>19309</v>
      </c>
      <c r="J217" s="22" t="s">
        <v>19708</v>
      </c>
      <c r="K217" s="22" t="s">
        <v>19709</v>
      </c>
      <c r="L217" s="22"/>
      <c r="M217" s="22"/>
      <c r="N217" s="25" t="str">
        <f>HYPERLINK("http://slimages.macys.com/is/image/MCY/19062876 ")</f>
        <v xml:space="preserve">http://slimages.macys.com/is/image/MCY/19062876 </v>
      </c>
    </row>
    <row r="218" spans="1:14" ht="24.75" x14ac:dyDescent="0.25">
      <c r="A218" s="21" t="s">
        <v>13112</v>
      </c>
      <c r="B218" s="22" t="s">
        <v>13113</v>
      </c>
      <c r="C218" s="2">
        <v>1</v>
      </c>
      <c r="D218" s="23">
        <v>16.21</v>
      </c>
      <c r="E218" s="3">
        <v>16.21</v>
      </c>
      <c r="F218" s="2" t="s">
        <v>13114</v>
      </c>
      <c r="G218" s="22"/>
      <c r="H218" s="24"/>
      <c r="I218" s="22" t="s">
        <v>19309</v>
      </c>
      <c r="J218" s="22" t="s">
        <v>19602</v>
      </c>
      <c r="K218" s="22" t="s">
        <v>20041</v>
      </c>
      <c r="L218" s="22"/>
      <c r="M218" s="22"/>
      <c r="N218" s="25" t="str">
        <f>HYPERLINK("http://slimages.macys.com/is/image/MCY/21728915 ")</f>
        <v xml:space="preserve">http://slimages.macys.com/is/image/MCY/21728915 </v>
      </c>
    </row>
    <row r="219" spans="1:14" ht="24.75" x14ac:dyDescent="0.25">
      <c r="A219" s="21" t="s">
        <v>12096</v>
      </c>
      <c r="B219" s="22" t="s">
        <v>12097</v>
      </c>
      <c r="C219" s="2">
        <v>1</v>
      </c>
      <c r="D219" s="23">
        <v>14.99</v>
      </c>
      <c r="E219" s="3">
        <v>14.99</v>
      </c>
      <c r="F219" s="2" t="s">
        <v>12098</v>
      </c>
      <c r="G219" s="22" t="s">
        <v>19618</v>
      </c>
      <c r="H219" s="24" t="s">
        <v>11751</v>
      </c>
      <c r="I219" s="22" t="s">
        <v>19309</v>
      </c>
      <c r="J219" s="22" t="s">
        <v>20076</v>
      </c>
      <c r="K219" s="22" t="s">
        <v>12029</v>
      </c>
      <c r="L219" s="22"/>
      <c r="M219" s="22"/>
      <c r="N219" s="25" t="str">
        <f>HYPERLINK("http://slimages.macys.com/is/image/MCY/21443469 ")</f>
        <v xml:space="preserve">http://slimages.macys.com/is/image/MCY/21443469 </v>
      </c>
    </row>
    <row r="220" spans="1:14" ht="24.75" x14ac:dyDescent="0.25">
      <c r="A220" s="21" t="s">
        <v>12099</v>
      </c>
      <c r="B220" s="22" t="s">
        <v>12100</v>
      </c>
      <c r="C220" s="2">
        <v>1</v>
      </c>
      <c r="D220" s="23">
        <v>14.99</v>
      </c>
      <c r="E220" s="3">
        <v>14.99</v>
      </c>
      <c r="F220" s="2">
        <v>6747</v>
      </c>
      <c r="G220" s="22" t="s">
        <v>19467</v>
      </c>
      <c r="H220" s="24" t="s">
        <v>16154</v>
      </c>
      <c r="I220" s="22" t="s">
        <v>19309</v>
      </c>
      <c r="J220" s="22" t="s">
        <v>20076</v>
      </c>
      <c r="K220" s="22" t="s">
        <v>12019</v>
      </c>
      <c r="L220" s="22"/>
      <c r="M220" s="22"/>
      <c r="N220" s="25" t="str">
        <f>HYPERLINK("http://slimages.macys.com/is/image/MCY/17948041 ")</f>
        <v xml:space="preserve">http://slimages.macys.com/is/image/MCY/17948041 </v>
      </c>
    </row>
    <row r="221" spans="1:14" x14ac:dyDescent="0.25">
      <c r="A221" s="21" t="s">
        <v>12101</v>
      </c>
      <c r="B221" s="22" t="s">
        <v>12102</v>
      </c>
      <c r="C221" s="2">
        <v>1</v>
      </c>
      <c r="D221" s="23">
        <v>14.31</v>
      </c>
      <c r="E221" s="3">
        <v>14.31</v>
      </c>
      <c r="F221" s="2" t="s">
        <v>12103</v>
      </c>
      <c r="G221" s="22" t="s">
        <v>19431</v>
      </c>
      <c r="H221" s="24" t="s">
        <v>19367</v>
      </c>
      <c r="I221" s="22" t="s">
        <v>19309</v>
      </c>
      <c r="J221" s="22" t="s">
        <v>19708</v>
      </c>
      <c r="K221" s="22" t="s">
        <v>19709</v>
      </c>
      <c r="L221" s="22"/>
      <c r="M221" s="22"/>
      <c r="N221" s="25" t="str">
        <f>HYPERLINK("http://slimages.macys.com/is/image/MCY/21409151 ")</f>
        <v xml:space="preserve">http://slimages.macys.com/is/image/MCY/21409151 </v>
      </c>
    </row>
    <row r="222" spans="1:14" x14ac:dyDescent="0.25">
      <c r="A222" s="21" t="s">
        <v>20185</v>
      </c>
      <c r="B222" s="22" t="s">
        <v>20186</v>
      </c>
      <c r="C222" s="2">
        <v>1</v>
      </c>
      <c r="D222" s="23">
        <v>17.87</v>
      </c>
      <c r="E222" s="3">
        <v>17.87</v>
      </c>
      <c r="F222" s="2" t="s">
        <v>20173</v>
      </c>
      <c r="G222" s="22"/>
      <c r="H222" s="24" t="s">
        <v>19367</v>
      </c>
      <c r="I222" s="22" t="s">
        <v>19309</v>
      </c>
      <c r="J222" s="22" t="s">
        <v>19708</v>
      </c>
      <c r="K222" s="22" t="s">
        <v>19709</v>
      </c>
      <c r="L222" s="22"/>
      <c r="M222" s="22"/>
      <c r="N222" s="25" t="str">
        <f>HYPERLINK("http://slimages.macys.com/is/image/MCY/22405672 ")</f>
        <v xml:space="preserve">http://slimages.macys.com/is/image/MCY/22405672 </v>
      </c>
    </row>
    <row r="223" spans="1:14" x14ac:dyDescent="0.25">
      <c r="A223" s="21" t="s">
        <v>12104</v>
      </c>
      <c r="B223" s="22" t="s">
        <v>20186</v>
      </c>
      <c r="C223" s="2">
        <v>1</v>
      </c>
      <c r="D223" s="23">
        <v>17.87</v>
      </c>
      <c r="E223" s="3">
        <v>17.87</v>
      </c>
      <c r="F223" s="2" t="s">
        <v>12105</v>
      </c>
      <c r="G223" s="22"/>
      <c r="H223" s="24" t="s">
        <v>19367</v>
      </c>
      <c r="I223" s="22" t="s">
        <v>19309</v>
      </c>
      <c r="J223" s="22" t="s">
        <v>19708</v>
      </c>
      <c r="K223" s="22" t="s">
        <v>19709</v>
      </c>
      <c r="L223" s="22"/>
      <c r="M223" s="22"/>
      <c r="N223" s="25" t="str">
        <f>HYPERLINK("http://slimages.macys.com/is/image/MCY/22405692 ")</f>
        <v xml:space="preserve">http://slimages.macys.com/is/image/MCY/22405692 </v>
      </c>
    </row>
    <row r="224" spans="1:14" x14ac:dyDescent="0.25">
      <c r="A224" s="21" t="s">
        <v>12106</v>
      </c>
      <c r="B224" s="22" t="s">
        <v>20193</v>
      </c>
      <c r="C224" s="2">
        <v>1</v>
      </c>
      <c r="D224" s="23">
        <v>17.87</v>
      </c>
      <c r="E224" s="3">
        <v>17.87</v>
      </c>
      <c r="F224" s="2" t="s">
        <v>12105</v>
      </c>
      <c r="G224" s="22"/>
      <c r="H224" s="24" t="s">
        <v>19324</v>
      </c>
      <c r="I224" s="22" t="s">
        <v>19309</v>
      </c>
      <c r="J224" s="22" t="s">
        <v>19708</v>
      </c>
      <c r="K224" s="22" t="s">
        <v>19709</v>
      </c>
      <c r="L224" s="22"/>
      <c r="M224" s="22"/>
      <c r="N224" s="25" t="str">
        <f>HYPERLINK("http://slimages.macys.com/is/image/MCY/22405692 ")</f>
        <v xml:space="preserve">http://slimages.macys.com/is/image/MCY/22405692 </v>
      </c>
    </row>
    <row r="225" spans="1:14" x14ac:dyDescent="0.25">
      <c r="A225" s="21" t="s">
        <v>12107</v>
      </c>
      <c r="B225" s="22" t="s">
        <v>12108</v>
      </c>
      <c r="C225" s="2">
        <v>1</v>
      </c>
      <c r="D225" s="23">
        <v>17.87</v>
      </c>
      <c r="E225" s="3">
        <v>17.87</v>
      </c>
      <c r="F225" s="2" t="s">
        <v>12109</v>
      </c>
      <c r="G225" s="22"/>
      <c r="H225" s="24" t="s">
        <v>19770</v>
      </c>
      <c r="I225" s="22" t="s">
        <v>19309</v>
      </c>
      <c r="J225" s="22" t="s">
        <v>19708</v>
      </c>
      <c r="K225" s="22" t="s">
        <v>19709</v>
      </c>
      <c r="L225" s="22"/>
      <c r="M225" s="22"/>
      <c r="N225" s="25" t="str">
        <f>HYPERLINK("http://slimages.macys.com/is/image/MCY/22405714 ")</f>
        <v xml:space="preserve">http://slimages.macys.com/is/image/MCY/22405714 </v>
      </c>
    </row>
    <row r="226" spans="1:14" x14ac:dyDescent="0.25">
      <c r="A226" s="21" t="s">
        <v>13131</v>
      </c>
      <c r="B226" s="22" t="s">
        <v>13132</v>
      </c>
      <c r="C226" s="2">
        <v>1</v>
      </c>
      <c r="D226" s="23">
        <v>17.87</v>
      </c>
      <c r="E226" s="3">
        <v>17.87</v>
      </c>
      <c r="F226" s="2" t="s">
        <v>20176</v>
      </c>
      <c r="G226" s="22"/>
      <c r="H226" s="24" t="s">
        <v>19367</v>
      </c>
      <c r="I226" s="22" t="s">
        <v>19309</v>
      </c>
      <c r="J226" s="22" t="s">
        <v>19708</v>
      </c>
      <c r="K226" s="22" t="s">
        <v>19709</v>
      </c>
      <c r="L226" s="22"/>
      <c r="M226" s="22"/>
      <c r="N226" s="25" t="str">
        <f>HYPERLINK("http://slimages.macys.com/is/image/MCY/22405968 ")</f>
        <v xml:space="preserve">http://slimages.macys.com/is/image/MCY/22405968 </v>
      </c>
    </row>
    <row r="227" spans="1:14" x14ac:dyDescent="0.25">
      <c r="A227" s="21" t="s">
        <v>13127</v>
      </c>
      <c r="B227" s="22" t="s">
        <v>13128</v>
      </c>
      <c r="C227" s="2">
        <v>1</v>
      </c>
      <c r="D227" s="23">
        <v>17.87</v>
      </c>
      <c r="E227" s="3">
        <v>17.87</v>
      </c>
      <c r="F227" s="2" t="s">
        <v>18184</v>
      </c>
      <c r="G227" s="22"/>
      <c r="H227" s="24" t="s">
        <v>19330</v>
      </c>
      <c r="I227" s="22" t="s">
        <v>19309</v>
      </c>
      <c r="J227" s="22" t="s">
        <v>19708</v>
      </c>
      <c r="K227" s="22" t="s">
        <v>19709</v>
      </c>
      <c r="L227" s="22"/>
      <c r="M227" s="22"/>
      <c r="N227" s="25" t="str">
        <f>HYPERLINK("http://slimages.macys.com/is/image/MCY/22595811 ")</f>
        <v xml:space="preserve">http://slimages.macys.com/is/image/MCY/22595811 </v>
      </c>
    </row>
    <row r="228" spans="1:14" x14ac:dyDescent="0.25">
      <c r="A228" s="21" t="s">
        <v>20171</v>
      </c>
      <c r="B228" s="22" t="s">
        <v>20172</v>
      </c>
      <c r="C228" s="2">
        <v>1</v>
      </c>
      <c r="D228" s="23">
        <v>17.87</v>
      </c>
      <c r="E228" s="3">
        <v>17.87</v>
      </c>
      <c r="F228" s="2" t="s">
        <v>20173</v>
      </c>
      <c r="G228" s="22"/>
      <c r="H228" s="24" t="s">
        <v>19770</v>
      </c>
      <c r="I228" s="22" t="s">
        <v>19309</v>
      </c>
      <c r="J228" s="22" t="s">
        <v>19708</v>
      </c>
      <c r="K228" s="22" t="s">
        <v>19709</v>
      </c>
      <c r="L228" s="22"/>
      <c r="M228" s="22"/>
      <c r="N228" s="25" t="str">
        <f>HYPERLINK("http://slimages.macys.com/is/image/MCY/22405672 ")</f>
        <v xml:space="preserve">http://slimages.macys.com/is/image/MCY/22405672 </v>
      </c>
    </row>
    <row r="229" spans="1:14" x14ac:dyDescent="0.25">
      <c r="A229" s="21" t="s">
        <v>15473</v>
      </c>
      <c r="B229" s="22" t="s">
        <v>15474</v>
      </c>
      <c r="C229" s="2">
        <v>1</v>
      </c>
      <c r="D229" s="23">
        <v>17.87</v>
      </c>
      <c r="E229" s="3">
        <v>17.87</v>
      </c>
      <c r="F229" s="2" t="s">
        <v>20173</v>
      </c>
      <c r="G229" s="22"/>
      <c r="H229" s="24" t="s">
        <v>20159</v>
      </c>
      <c r="I229" s="22" t="s">
        <v>19309</v>
      </c>
      <c r="J229" s="22" t="s">
        <v>19708</v>
      </c>
      <c r="K229" s="22" t="s">
        <v>19709</v>
      </c>
      <c r="L229" s="22"/>
      <c r="M229" s="22"/>
      <c r="N229" s="25" t="str">
        <f>HYPERLINK("http://slimages.macys.com/is/image/MCY/22405672 ")</f>
        <v xml:space="preserve">http://slimages.macys.com/is/image/MCY/22405672 </v>
      </c>
    </row>
    <row r="230" spans="1:14" ht="24.75" x14ac:dyDescent="0.25">
      <c r="A230" s="21" t="s">
        <v>12110</v>
      </c>
      <c r="B230" s="22" t="s">
        <v>12111</v>
      </c>
      <c r="C230" s="2">
        <v>1</v>
      </c>
      <c r="D230" s="23">
        <v>17.87</v>
      </c>
      <c r="E230" s="3">
        <v>17.87</v>
      </c>
      <c r="F230" s="2" t="s">
        <v>20179</v>
      </c>
      <c r="G230" s="22"/>
      <c r="H230" s="24" t="s">
        <v>20152</v>
      </c>
      <c r="I230" s="22" t="s">
        <v>19309</v>
      </c>
      <c r="J230" s="22" t="s">
        <v>19708</v>
      </c>
      <c r="K230" s="22" t="s">
        <v>19709</v>
      </c>
      <c r="L230" s="22"/>
      <c r="M230" s="22"/>
      <c r="N230" s="25" t="str">
        <f>HYPERLINK("http://slimages.macys.com/is/image/MCY/22405968 ")</f>
        <v xml:space="preserve">http://slimages.macys.com/is/image/MCY/22405968 </v>
      </c>
    </row>
    <row r="231" spans="1:14" x14ac:dyDescent="0.25">
      <c r="A231" s="21" t="s">
        <v>12112</v>
      </c>
      <c r="B231" s="22" t="s">
        <v>12113</v>
      </c>
      <c r="C231" s="2">
        <v>1</v>
      </c>
      <c r="D231" s="23">
        <v>17.87</v>
      </c>
      <c r="E231" s="3">
        <v>17.87</v>
      </c>
      <c r="F231" s="2" t="s">
        <v>20173</v>
      </c>
      <c r="G231" s="22"/>
      <c r="H231" s="24" t="s">
        <v>19416</v>
      </c>
      <c r="I231" s="22" t="s">
        <v>19309</v>
      </c>
      <c r="J231" s="22" t="s">
        <v>19708</v>
      </c>
      <c r="K231" s="22" t="s">
        <v>19709</v>
      </c>
      <c r="L231" s="22"/>
      <c r="M231" s="22"/>
      <c r="N231" s="25" t="str">
        <f>HYPERLINK("http://slimages.macys.com/is/image/MCY/22405672 ")</f>
        <v xml:space="preserve">http://slimages.macys.com/is/image/MCY/22405672 </v>
      </c>
    </row>
    <row r="232" spans="1:14" ht="24.75" x14ac:dyDescent="0.25">
      <c r="A232" s="21" t="s">
        <v>12114</v>
      </c>
      <c r="B232" s="22" t="s">
        <v>12115</v>
      </c>
      <c r="C232" s="2">
        <v>1</v>
      </c>
      <c r="D232" s="23">
        <v>17.87</v>
      </c>
      <c r="E232" s="3">
        <v>17.87</v>
      </c>
      <c r="F232" s="2" t="s">
        <v>20179</v>
      </c>
      <c r="G232" s="22"/>
      <c r="H232" s="24" t="s">
        <v>19770</v>
      </c>
      <c r="I232" s="22" t="s">
        <v>19309</v>
      </c>
      <c r="J232" s="22" t="s">
        <v>19708</v>
      </c>
      <c r="K232" s="22" t="s">
        <v>19709</v>
      </c>
      <c r="L232" s="22"/>
      <c r="M232" s="22"/>
      <c r="N232" s="25" t="str">
        <f>HYPERLINK("http://slimages.macys.com/is/image/MCY/22405968 ")</f>
        <v xml:space="preserve">http://slimages.macys.com/is/image/MCY/22405968 </v>
      </c>
    </row>
    <row r="233" spans="1:14" x14ac:dyDescent="0.25">
      <c r="A233" s="21" t="s">
        <v>12116</v>
      </c>
      <c r="B233" s="22" t="s">
        <v>13126</v>
      </c>
      <c r="C233" s="2">
        <v>1</v>
      </c>
      <c r="D233" s="23">
        <v>17.87</v>
      </c>
      <c r="E233" s="3">
        <v>17.87</v>
      </c>
      <c r="F233" s="2" t="s">
        <v>12105</v>
      </c>
      <c r="G233" s="22"/>
      <c r="H233" s="24" t="s">
        <v>19330</v>
      </c>
      <c r="I233" s="22" t="s">
        <v>19309</v>
      </c>
      <c r="J233" s="22" t="s">
        <v>19708</v>
      </c>
      <c r="K233" s="22" t="s">
        <v>19709</v>
      </c>
      <c r="L233" s="22"/>
      <c r="M233" s="22"/>
      <c r="N233" s="25" t="str">
        <f>HYPERLINK("http://slimages.macys.com/is/image/MCY/22405692 ")</f>
        <v xml:space="preserve">http://slimages.macys.com/is/image/MCY/22405692 </v>
      </c>
    </row>
    <row r="234" spans="1:14" x14ac:dyDescent="0.25">
      <c r="A234" s="21" t="s">
        <v>12117</v>
      </c>
      <c r="B234" s="22" t="s">
        <v>15472</v>
      </c>
      <c r="C234" s="2">
        <v>2</v>
      </c>
      <c r="D234" s="23">
        <v>17.87</v>
      </c>
      <c r="E234" s="3">
        <v>35.74</v>
      </c>
      <c r="F234" s="2" t="s">
        <v>12105</v>
      </c>
      <c r="G234" s="22"/>
      <c r="H234" s="24" t="s">
        <v>20152</v>
      </c>
      <c r="I234" s="22" t="s">
        <v>19309</v>
      </c>
      <c r="J234" s="22" t="s">
        <v>19708</v>
      </c>
      <c r="K234" s="22" t="s">
        <v>19709</v>
      </c>
      <c r="L234" s="22"/>
      <c r="M234" s="22"/>
      <c r="N234" s="25" t="str">
        <f>HYPERLINK("http://slimages.macys.com/is/image/MCY/22405692 ")</f>
        <v xml:space="preserve">http://slimages.macys.com/is/image/MCY/22405692 </v>
      </c>
    </row>
    <row r="235" spans="1:14" x14ac:dyDescent="0.25">
      <c r="A235" s="21" t="s">
        <v>15471</v>
      </c>
      <c r="B235" s="22" t="s">
        <v>15472</v>
      </c>
      <c r="C235" s="2">
        <v>2</v>
      </c>
      <c r="D235" s="23">
        <v>17.87</v>
      </c>
      <c r="E235" s="3">
        <v>35.74</v>
      </c>
      <c r="F235" s="2" t="s">
        <v>20173</v>
      </c>
      <c r="G235" s="22"/>
      <c r="H235" s="24" t="s">
        <v>20152</v>
      </c>
      <c r="I235" s="22" t="s">
        <v>19309</v>
      </c>
      <c r="J235" s="22" t="s">
        <v>19708</v>
      </c>
      <c r="K235" s="22" t="s">
        <v>19709</v>
      </c>
      <c r="L235" s="22"/>
      <c r="M235" s="22"/>
      <c r="N235" s="25" t="str">
        <f>HYPERLINK("http://slimages.macys.com/is/image/MCY/22405672 ")</f>
        <v xml:space="preserve">http://slimages.macys.com/is/image/MCY/22405672 </v>
      </c>
    </row>
    <row r="236" spans="1:14" ht="24.75" x14ac:dyDescent="0.25">
      <c r="A236" s="21" t="s">
        <v>18185</v>
      </c>
      <c r="B236" s="22" t="s">
        <v>18186</v>
      </c>
      <c r="C236" s="2">
        <v>1</v>
      </c>
      <c r="D236" s="23">
        <v>12.99</v>
      </c>
      <c r="E236" s="3">
        <v>12.99</v>
      </c>
      <c r="F236" s="2" t="s">
        <v>18187</v>
      </c>
      <c r="G236" s="22" t="s">
        <v>19315</v>
      </c>
      <c r="H236" s="24" t="s">
        <v>19361</v>
      </c>
      <c r="I236" s="22" t="s">
        <v>19309</v>
      </c>
      <c r="J236" s="22" t="s">
        <v>19447</v>
      </c>
      <c r="K236" s="22" t="s">
        <v>20146</v>
      </c>
      <c r="L236" s="22"/>
      <c r="M236" s="22"/>
      <c r="N236" s="25" t="str">
        <f>HYPERLINK("http://slimages.macys.com/is/image/MCY/20676949 ")</f>
        <v xml:space="preserve">http://slimages.macys.com/is/image/MCY/20676949 </v>
      </c>
    </row>
    <row r="237" spans="1:14" ht="24.75" x14ac:dyDescent="0.25">
      <c r="A237" s="21" t="s">
        <v>12118</v>
      </c>
      <c r="B237" s="22" t="s">
        <v>12119</v>
      </c>
      <c r="C237" s="2">
        <v>1</v>
      </c>
      <c r="D237" s="23">
        <v>24</v>
      </c>
      <c r="E237" s="3">
        <v>24</v>
      </c>
      <c r="F237" s="2" t="s">
        <v>12120</v>
      </c>
      <c r="G237" s="22" t="s">
        <v>19351</v>
      </c>
      <c r="H237" s="24" t="s">
        <v>19377</v>
      </c>
      <c r="I237" s="22" t="s">
        <v>19309</v>
      </c>
      <c r="J237" s="22" t="s">
        <v>19447</v>
      </c>
      <c r="K237" s="22" t="s">
        <v>20146</v>
      </c>
      <c r="L237" s="22"/>
      <c r="M237" s="22"/>
      <c r="N237" s="25" t="str">
        <f>HYPERLINK("http://slimages.macys.com/is/image/MCY/18863123 ")</f>
        <v xml:space="preserve">http://slimages.macys.com/is/image/MCY/18863123 </v>
      </c>
    </row>
    <row r="238" spans="1:14" x14ac:dyDescent="0.25">
      <c r="A238" s="21" t="s">
        <v>12121</v>
      </c>
      <c r="B238" s="22" t="s">
        <v>12122</v>
      </c>
      <c r="C238" s="2">
        <v>1</v>
      </c>
      <c r="D238" s="23">
        <v>17.75</v>
      </c>
      <c r="E238" s="3">
        <v>17.75</v>
      </c>
      <c r="F238" s="2" t="s">
        <v>12123</v>
      </c>
      <c r="G238" s="22" t="s">
        <v>19351</v>
      </c>
      <c r="H238" s="24" t="s">
        <v>19324</v>
      </c>
      <c r="I238" s="22" t="s">
        <v>19309</v>
      </c>
      <c r="J238" s="22" t="s">
        <v>19708</v>
      </c>
      <c r="K238" s="22" t="s">
        <v>19709</v>
      </c>
      <c r="L238" s="22"/>
      <c r="M238" s="22"/>
      <c r="N238" s="25" t="str">
        <f>HYPERLINK("http://slimages.macys.com/is/image/MCY/21409515 ")</f>
        <v xml:space="preserve">http://slimages.macys.com/is/image/MCY/21409515 </v>
      </c>
    </row>
    <row r="239" spans="1:14" ht="24.75" x14ac:dyDescent="0.25">
      <c r="A239" s="21" t="s">
        <v>12124</v>
      </c>
      <c r="B239" s="22" t="s">
        <v>12125</v>
      </c>
      <c r="C239" s="2">
        <v>1</v>
      </c>
      <c r="D239" s="23">
        <v>30</v>
      </c>
      <c r="E239" s="3">
        <v>30</v>
      </c>
      <c r="F239" s="2" t="s">
        <v>12126</v>
      </c>
      <c r="G239" s="22" t="s">
        <v>19680</v>
      </c>
      <c r="H239" s="24" t="s">
        <v>19770</v>
      </c>
      <c r="I239" s="22" t="s">
        <v>19309</v>
      </c>
      <c r="J239" s="22" t="s">
        <v>19417</v>
      </c>
      <c r="K239" s="22" t="s">
        <v>20110</v>
      </c>
      <c r="L239" s="22"/>
      <c r="M239" s="22"/>
      <c r="N239" s="25" t="str">
        <f>HYPERLINK("http://slimages.macys.com/is/image/MCY/22528830 ")</f>
        <v xml:space="preserve">http://slimages.macys.com/is/image/MCY/22528830 </v>
      </c>
    </row>
    <row r="240" spans="1:14" ht="24.75" x14ac:dyDescent="0.25">
      <c r="A240" s="21" t="s">
        <v>12127</v>
      </c>
      <c r="B240" s="22" t="s">
        <v>12128</v>
      </c>
      <c r="C240" s="2">
        <v>1</v>
      </c>
      <c r="D240" s="23">
        <v>15.99</v>
      </c>
      <c r="E240" s="3">
        <v>15.99</v>
      </c>
      <c r="F240" s="2" t="s">
        <v>18196</v>
      </c>
      <c r="G240" s="22" t="s">
        <v>19333</v>
      </c>
      <c r="H240" s="24" t="s">
        <v>19392</v>
      </c>
      <c r="I240" s="22" t="s">
        <v>19309</v>
      </c>
      <c r="J240" s="22" t="s">
        <v>19491</v>
      </c>
      <c r="K240" s="22" t="s">
        <v>18197</v>
      </c>
      <c r="L240" s="22"/>
      <c r="M240" s="22"/>
      <c r="N240" s="25" t="str">
        <f>HYPERLINK("http://slimages.macys.com/is/image/MCY/21541845 ")</f>
        <v xml:space="preserve">http://slimages.macys.com/is/image/MCY/21541845 </v>
      </c>
    </row>
    <row r="241" spans="1:14" ht="24.75" x14ac:dyDescent="0.25">
      <c r="A241" s="21" t="s">
        <v>12129</v>
      </c>
      <c r="B241" s="22" t="s">
        <v>12130</v>
      </c>
      <c r="C241" s="2">
        <v>1</v>
      </c>
      <c r="D241" s="23">
        <v>15.99</v>
      </c>
      <c r="E241" s="3">
        <v>15.99</v>
      </c>
      <c r="F241" s="2" t="s">
        <v>12131</v>
      </c>
      <c r="G241" s="22" t="s">
        <v>19879</v>
      </c>
      <c r="H241" s="24" t="s">
        <v>19345</v>
      </c>
      <c r="I241" s="22" t="s">
        <v>19309</v>
      </c>
      <c r="J241" s="22" t="s">
        <v>19491</v>
      </c>
      <c r="K241" s="22" t="s">
        <v>18197</v>
      </c>
      <c r="L241" s="22"/>
      <c r="M241" s="22"/>
      <c r="N241" s="25" t="str">
        <f>HYPERLINK("http://slimages.macys.com/is/image/MCY/21541845 ")</f>
        <v xml:space="preserve">http://slimages.macys.com/is/image/MCY/21541845 </v>
      </c>
    </row>
    <row r="242" spans="1:14" x14ac:dyDescent="0.25">
      <c r="A242" s="21" t="s">
        <v>12132</v>
      </c>
      <c r="B242" s="22" t="s">
        <v>12133</v>
      </c>
      <c r="C242" s="2">
        <v>1</v>
      </c>
      <c r="D242" s="23">
        <v>18.989999999999998</v>
      </c>
      <c r="E242" s="3">
        <v>18.989999999999998</v>
      </c>
      <c r="F242" s="2" t="s">
        <v>12134</v>
      </c>
      <c r="G242" s="22" t="s">
        <v>19338</v>
      </c>
      <c r="H242" s="24" t="s">
        <v>19542</v>
      </c>
      <c r="I242" s="22" t="s">
        <v>19309</v>
      </c>
      <c r="J242" s="22" t="s">
        <v>19849</v>
      </c>
      <c r="K242" s="22" t="s">
        <v>12135</v>
      </c>
      <c r="L242" s="22"/>
      <c r="M242" s="22"/>
      <c r="N242" s="25" t="str">
        <f>HYPERLINK("http://slimages.macys.com/is/image/MCY/20008203 ")</f>
        <v xml:space="preserve">http://slimages.macys.com/is/image/MCY/20008203 </v>
      </c>
    </row>
    <row r="243" spans="1:14" x14ac:dyDescent="0.25">
      <c r="A243" s="21" t="s">
        <v>12136</v>
      </c>
      <c r="B243" s="22" t="s">
        <v>12137</v>
      </c>
      <c r="C243" s="2">
        <v>1</v>
      </c>
      <c r="D243" s="23">
        <v>18.989999999999998</v>
      </c>
      <c r="E243" s="3">
        <v>18.989999999999998</v>
      </c>
      <c r="F243" s="2" t="s">
        <v>12134</v>
      </c>
      <c r="G243" s="22" t="s">
        <v>19338</v>
      </c>
      <c r="H243" s="24" t="s">
        <v>20089</v>
      </c>
      <c r="I243" s="22" t="s">
        <v>19309</v>
      </c>
      <c r="J243" s="22" t="s">
        <v>19849</v>
      </c>
      <c r="K243" s="22" t="s">
        <v>12135</v>
      </c>
      <c r="L243" s="22"/>
      <c r="M243" s="22"/>
      <c r="N243" s="25" t="str">
        <f>HYPERLINK("http://slimages.macys.com/is/image/MCY/20008203 ")</f>
        <v xml:space="preserve">http://slimages.macys.com/is/image/MCY/20008203 </v>
      </c>
    </row>
    <row r="244" spans="1:14" x14ac:dyDescent="0.25">
      <c r="A244" s="21" t="s">
        <v>12138</v>
      </c>
      <c r="B244" s="22" t="s">
        <v>12139</v>
      </c>
      <c r="C244" s="2">
        <v>1</v>
      </c>
      <c r="D244" s="23">
        <v>18.989999999999998</v>
      </c>
      <c r="E244" s="3">
        <v>18.989999999999998</v>
      </c>
      <c r="F244" s="2" t="s">
        <v>12134</v>
      </c>
      <c r="G244" s="22" t="s">
        <v>19338</v>
      </c>
      <c r="H244" s="24" t="s">
        <v>19361</v>
      </c>
      <c r="I244" s="22" t="s">
        <v>19309</v>
      </c>
      <c r="J244" s="22" t="s">
        <v>19849</v>
      </c>
      <c r="K244" s="22" t="s">
        <v>12135</v>
      </c>
      <c r="L244" s="22"/>
      <c r="M244" s="22"/>
      <c r="N244" s="25" t="str">
        <f>HYPERLINK("http://slimages.macys.com/is/image/MCY/20008203 ")</f>
        <v xml:space="preserve">http://slimages.macys.com/is/image/MCY/20008203 </v>
      </c>
    </row>
    <row r="245" spans="1:14" x14ac:dyDescent="0.25">
      <c r="A245" s="21" t="s">
        <v>12140</v>
      </c>
      <c r="B245" s="22" t="s">
        <v>12141</v>
      </c>
      <c r="C245" s="2">
        <v>1</v>
      </c>
      <c r="D245" s="23">
        <v>13.77</v>
      </c>
      <c r="E245" s="3">
        <v>13.77</v>
      </c>
      <c r="F245" s="2" t="s">
        <v>13150</v>
      </c>
      <c r="G245" s="22"/>
      <c r="H245" s="24" t="s">
        <v>19416</v>
      </c>
      <c r="I245" s="22" t="s">
        <v>19309</v>
      </c>
      <c r="J245" s="22" t="s">
        <v>19708</v>
      </c>
      <c r="K245" s="22" t="s">
        <v>19709</v>
      </c>
      <c r="L245" s="22"/>
      <c r="M245" s="22"/>
      <c r="N245" s="25" t="str">
        <f>HYPERLINK("http://slimages.macys.com/is/image/MCY/19067056 ")</f>
        <v xml:space="preserve">http://slimages.macys.com/is/image/MCY/19067056 </v>
      </c>
    </row>
    <row r="246" spans="1:14" ht="60.75" x14ac:dyDescent="0.25">
      <c r="A246" s="21" t="s">
        <v>12142</v>
      </c>
      <c r="B246" s="22" t="s">
        <v>12143</v>
      </c>
      <c r="C246" s="2">
        <v>1</v>
      </c>
      <c r="D246" s="23">
        <v>14.99</v>
      </c>
      <c r="E246" s="3">
        <v>14.99</v>
      </c>
      <c r="F246" s="2" t="s">
        <v>12144</v>
      </c>
      <c r="G246" s="22" t="s">
        <v>19674</v>
      </c>
      <c r="H246" s="24" t="s">
        <v>11751</v>
      </c>
      <c r="I246" s="22" t="s">
        <v>19309</v>
      </c>
      <c r="J246" s="22" t="s">
        <v>20076</v>
      </c>
      <c r="K246" s="22" t="s">
        <v>12029</v>
      </c>
      <c r="L246" s="22" t="s">
        <v>19319</v>
      </c>
      <c r="M246" s="22" t="s">
        <v>12145</v>
      </c>
      <c r="N246" s="25" t="str">
        <f>HYPERLINK("http://slimages.macys.com/is/image/MCY/14890250 ")</f>
        <v xml:space="preserve">http://slimages.macys.com/is/image/MCY/14890250 </v>
      </c>
    </row>
    <row r="247" spans="1:14" ht="24.75" x14ac:dyDescent="0.25">
      <c r="A247" s="21" t="s">
        <v>12146</v>
      </c>
      <c r="B247" s="22" t="s">
        <v>12147</v>
      </c>
      <c r="C247" s="2">
        <v>1</v>
      </c>
      <c r="D247" s="23">
        <v>13.99</v>
      </c>
      <c r="E247" s="3">
        <v>13.99</v>
      </c>
      <c r="F247" s="2" t="s">
        <v>12148</v>
      </c>
      <c r="G247" s="22" t="s">
        <v>19415</v>
      </c>
      <c r="H247" s="24" t="s">
        <v>19345</v>
      </c>
      <c r="I247" s="22" t="s">
        <v>19309</v>
      </c>
      <c r="J247" s="22" t="s">
        <v>19447</v>
      </c>
      <c r="K247" s="22" t="s">
        <v>19463</v>
      </c>
      <c r="L247" s="22"/>
      <c r="M247" s="22"/>
      <c r="N247" s="25" t="str">
        <f>HYPERLINK("http://slimages.macys.com/is/image/MCY/21685369 ")</f>
        <v xml:space="preserve">http://slimages.macys.com/is/image/MCY/21685369 </v>
      </c>
    </row>
    <row r="248" spans="1:14" x14ac:dyDescent="0.25">
      <c r="A248" s="21" t="s">
        <v>12149</v>
      </c>
      <c r="B248" s="22" t="s">
        <v>12150</v>
      </c>
      <c r="C248" s="2">
        <v>1</v>
      </c>
      <c r="D248" s="23">
        <v>13.99</v>
      </c>
      <c r="E248" s="3">
        <v>13.99</v>
      </c>
      <c r="F248" s="2" t="s">
        <v>12062</v>
      </c>
      <c r="G248" s="22" t="s">
        <v>19338</v>
      </c>
      <c r="H248" s="24" t="s">
        <v>19395</v>
      </c>
      <c r="I248" s="22" t="s">
        <v>19309</v>
      </c>
      <c r="J248" s="22" t="s">
        <v>19310</v>
      </c>
      <c r="K248" s="22" t="s">
        <v>19440</v>
      </c>
      <c r="L248" s="22"/>
      <c r="M248" s="22"/>
      <c r="N248" s="25" t="str">
        <f>HYPERLINK("http://slimages.macys.com/is/image/MCY/19719601 ")</f>
        <v xml:space="preserve">http://slimages.macys.com/is/image/MCY/19719601 </v>
      </c>
    </row>
    <row r="249" spans="1:14" ht="24.75" x14ac:dyDescent="0.25">
      <c r="A249" s="21" t="s">
        <v>13168</v>
      </c>
      <c r="B249" s="22" t="s">
        <v>13169</v>
      </c>
      <c r="C249" s="2">
        <v>1</v>
      </c>
      <c r="D249" s="23">
        <v>30</v>
      </c>
      <c r="E249" s="3">
        <v>30</v>
      </c>
      <c r="F249" s="2" t="s">
        <v>13170</v>
      </c>
      <c r="G249" s="22" t="s">
        <v>19333</v>
      </c>
      <c r="H249" s="24"/>
      <c r="I249" s="22" t="s">
        <v>19309</v>
      </c>
      <c r="J249" s="22" t="s">
        <v>19417</v>
      </c>
      <c r="K249" s="22" t="s">
        <v>20110</v>
      </c>
      <c r="L249" s="22"/>
      <c r="M249" s="22"/>
      <c r="N249" s="25" t="str">
        <f>HYPERLINK("http://slimages.macys.com/is/image/MCY/21400780 ")</f>
        <v xml:space="preserve">http://slimages.macys.com/is/image/MCY/21400780 </v>
      </c>
    </row>
    <row r="250" spans="1:14" x14ac:dyDescent="0.25">
      <c r="A250" s="21" t="s">
        <v>13719</v>
      </c>
      <c r="B250" s="22" t="s">
        <v>13720</v>
      </c>
      <c r="C250" s="2">
        <v>1</v>
      </c>
      <c r="D250" s="23">
        <v>15.99</v>
      </c>
      <c r="E250" s="3">
        <v>15.99</v>
      </c>
      <c r="F250" s="2" t="s">
        <v>20223</v>
      </c>
      <c r="G250" s="22" t="s">
        <v>19674</v>
      </c>
      <c r="H250" s="24" t="s">
        <v>19542</v>
      </c>
      <c r="I250" s="22" t="s">
        <v>19309</v>
      </c>
      <c r="J250" s="22" t="s">
        <v>19849</v>
      </c>
      <c r="K250" s="22" t="s">
        <v>19850</v>
      </c>
      <c r="L250" s="22"/>
      <c r="M250" s="22"/>
      <c r="N250" s="25" t="str">
        <f>HYPERLINK("http://slimages.macys.com/is/image/MCY/20549380 ")</f>
        <v xml:space="preserve">http://slimages.macys.com/is/image/MCY/20549380 </v>
      </c>
    </row>
    <row r="251" spans="1:14" x14ac:dyDescent="0.25">
      <c r="A251" s="21" t="s">
        <v>18216</v>
      </c>
      <c r="B251" s="22" t="s">
        <v>18217</v>
      </c>
      <c r="C251" s="2">
        <v>1</v>
      </c>
      <c r="D251" s="23">
        <v>15.99</v>
      </c>
      <c r="E251" s="3">
        <v>15.99</v>
      </c>
      <c r="F251" s="2" t="s">
        <v>20223</v>
      </c>
      <c r="G251" s="22" t="s">
        <v>19477</v>
      </c>
      <c r="H251" s="24" t="s">
        <v>20135</v>
      </c>
      <c r="I251" s="22" t="s">
        <v>19309</v>
      </c>
      <c r="J251" s="22" t="s">
        <v>19849</v>
      </c>
      <c r="K251" s="22" t="s">
        <v>19850</v>
      </c>
      <c r="L251" s="22"/>
      <c r="M251" s="22"/>
      <c r="N251" s="25" t="str">
        <f>HYPERLINK("http://slimages.macys.com/is/image/MCY/1488068 ")</f>
        <v xml:space="preserve">http://slimages.macys.com/is/image/MCY/1488068 </v>
      </c>
    </row>
    <row r="252" spans="1:14" x14ac:dyDescent="0.25">
      <c r="A252" s="21" t="s">
        <v>13715</v>
      </c>
      <c r="B252" s="22" t="s">
        <v>13716</v>
      </c>
      <c r="C252" s="2">
        <v>1</v>
      </c>
      <c r="D252" s="23">
        <v>15.99</v>
      </c>
      <c r="E252" s="3">
        <v>15.99</v>
      </c>
      <c r="F252" s="2" t="s">
        <v>20223</v>
      </c>
      <c r="G252" s="22" t="s">
        <v>19477</v>
      </c>
      <c r="H252" s="24" t="s">
        <v>19377</v>
      </c>
      <c r="I252" s="22" t="s">
        <v>19309</v>
      </c>
      <c r="J252" s="22" t="s">
        <v>19849</v>
      </c>
      <c r="K252" s="22" t="s">
        <v>19850</v>
      </c>
      <c r="L252" s="22"/>
      <c r="M252" s="22"/>
      <c r="N252" s="25" t="str">
        <f>HYPERLINK("http://slimages.macys.com/is/image/MCY/20549380 ")</f>
        <v xml:space="preserve">http://slimages.macys.com/is/image/MCY/20549380 </v>
      </c>
    </row>
    <row r="253" spans="1:14" ht="24.75" x14ac:dyDescent="0.25">
      <c r="A253" s="21" t="s">
        <v>12151</v>
      </c>
      <c r="B253" s="22" t="s">
        <v>12152</v>
      </c>
      <c r="C253" s="2">
        <v>1</v>
      </c>
      <c r="D253" s="23">
        <v>10.99</v>
      </c>
      <c r="E253" s="3">
        <v>10.99</v>
      </c>
      <c r="F253" s="2" t="s">
        <v>12153</v>
      </c>
      <c r="G253" s="22" t="s">
        <v>19315</v>
      </c>
      <c r="H253" s="24" t="s">
        <v>19352</v>
      </c>
      <c r="I253" s="22" t="s">
        <v>19309</v>
      </c>
      <c r="J253" s="22" t="s">
        <v>19447</v>
      </c>
      <c r="K253" s="22" t="s">
        <v>19873</v>
      </c>
      <c r="L253" s="22"/>
      <c r="M253" s="22"/>
      <c r="N253" s="25" t="str">
        <f>HYPERLINK("http://slimages.macys.com/is/image/MCY/18797597 ")</f>
        <v xml:space="preserve">http://slimages.macys.com/is/image/MCY/18797597 </v>
      </c>
    </row>
    <row r="254" spans="1:14" ht="24.75" x14ac:dyDescent="0.25">
      <c r="A254" s="21" t="s">
        <v>12154</v>
      </c>
      <c r="B254" s="22" t="s">
        <v>12155</v>
      </c>
      <c r="C254" s="2">
        <v>1</v>
      </c>
      <c r="D254" s="23">
        <v>13.99</v>
      </c>
      <c r="E254" s="3">
        <v>13.99</v>
      </c>
      <c r="F254" s="2" t="s">
        <v>12156</v>
      </c>
      <c r="G254" s="22" t="s">
        <v>19415</v>
      </c>
      <c r="H254" s="24" t="s">
        <v>19416</v>
      </c>
      <c r="I254" s="22" t="s">
        <v>19309</v>
      </c>
      <c r="J254" s="22" t="s">
        <v>19573</v>
      </c>
      <c r="K254" s="22" t="s">
        <v>19574</v>
      </c>
      <c r="L254" s="22"/>
      <c r="M254" s="22"/>
      <c r="N254" s="25" t="str">
        <f>HYPERLINK("http://slimages.macys.com/is/image/MCY/1041654 ")</f>
        <v xml:space="preserve">http://slimages.macys.com/is/image/MCY/1041654 </v>
      </c>
    </row>
    <row r="255" spans="1:14" x14ac:dyDescent="0.25">
      <c r="A255" s="21" t="s">
        <v>12157</v>
      </c>
      <c r="B255" s="22" t="s">
        <v>12158</v>
      </c>
      <c r="C255" s="2">
        <v>2</v>
      </c>
      <c r="D255" s="23">
        <v>16.72</v>
      </c>
      <c r="E255" s="3">
        <v>33.44</v>
      </c>
      <c r="F255" s="2" t="s">
        <v>12159</v>
      </c>
      <c r="G255" s="22"/>
      <c r="H255" s="24" t="s">
        <v>19330</v>
      </c>
      <c r="I255" s="22" t="s">
        <v>19309</v>
      </c>
      <c r="J255" s="22" t="s">
        <v>19708</v>
      </c>
      <c r="K255" s="22" t="s">
        <v>19709</v>
      </c>
      <c r="L255" s="22"/>
      <c r="M255" s="22"/>
      <c r="N255" s="25" t="str">
        <f>HYPERLINK("http://slimages.macys.com/is/image/MCY/21409050 ")</f>
        <v xml:space="preserve">http://slimages.macys.com/is/image/MCY/21409050 </v>
      </c>
    </row>
    <row r="256" spans="1:14" x14ac:dyDescent="0.25">
      <c r="A256" s="21" t="s">
        <v>12160</v>
      </c>
      <c r="B256" s="22" t="s">
        <v>12161</v>
      </c>
      <c r="C256" s="2">
        <v>1</v>
      </c>
      <c r="D256" s="23">
        <v>16.72</v>
      </c>
      <c r="E256" s="3">
        <v>16.72</v>
      </c>
      <c r="F256" s="2" t="s">
        <v>12159</v>
      </c>
      <c r="G256" s="22"/>
      <c r="H256" s="24" t="s">
        <v>19416</v>
      </c>
      <c r="I256" s="22" t="s">
        <v>19309</v>
      </c>
      <c r="J256" s="22" t="s">
        <v>19708</v>
      </c>
      <c r="K256" s="22" t="s">
        <v>19709</v>
      </c>
      <c r="L256" s="22"/>
      <c r="M256" s="22"/>
      <c r="N256" s="25" t="str">
        <f>HYPERLINK("http://slimages.macys.com/is/image/MCY/21409050 ")</f>
        <v xml:space="preserve">http://slimages.macys.com/is/image/MCY/21409050 </v>
      </c>
    </row>
    <row r="257" spans="1:14" ht="24.75" x14ac:dyDescent="0.25">
      <c r="A257" s="21" t="s">
        <v>12162</v>
      </c>
      <c r="B257" s="22" t="s">
        <v>12163</v>
      </c>
      <c r="C257" s="2">
        <v>1</v>
      </c>
      <c r="D257" s="23">
        <v>18.989999999999998</v>
      </c>
      <c r="E257" s="3">
        <v>18.989999999999998</v>
      </c>
      <c r="F257" s="2" t="s">
        <v>20244</v>
      </c>
      <c r="G257" s="22" t="s">
        <v>19323</v>
      </c>
      <c r="H257" s="24" t="s">
        <v>19907</v>
      </c>
      <c r="I257" s="22" t="s">
        <v>19309</v>
      </c>
      <c r="J257" s="22" t="s">
        <v>19908</v>
      </c>
      <c r="K257" s="22" t="s">
        <v>19524</v>
      </c>
      <c r="L257" s="22"/>
      <c r="M257" s="22"/>
      <c r="N257" s="25" t="str">
        <f>HYPERLINK("http://slimages.macys.com/is/image/MCY/21570033 ")</f>
        <v xml:space="preserve">http://slimages.macys.com/is/image/MCY/21570033 </v>
      </c>
    </row>
    <row r="258" spans="1:14" ht="24.75" x14ac:dyDescent="0.25">
      <c r="A258" s="21" t="s">
        <v>12164</v>
      </c>
      <c r="B258" s="22" t="s">
        <v>12165</v>
      </c>
      <c r="C258" s="2">
        <v>1</v>
      </c>
      <c r="D258" s="23">
        <v>15.99</v>
      </c>
      <c r="E258" s="3">
        <v>15.99</v>
      </c>
      <c r="F258" s="2" t="s">
        <v>12166</v>
      </c>
      <c r="G258" s="22" t="s">
        <v>19670</v>
      </c>
      <c r="H258" s="24" t="s">
        <v>19907</v>
      </c>
      <c r="I258" s="22" t="s">
        <v>19309</v>
      </c>
      <c r="J258" s="22" t="s">
        <v>19573</v>
      </c>
      <c r="K258" s="22" t="s">
        <v>19574</v>
      </c>
      <c r="L258" s="22"/>
      <c r="M258" s="22"/>
      <c r="N258" s="25" t="str">
        <f>HYPERLINK("http://slimages.macys.com/is/image/MCY/1520506 ")</f>
        <v xml:space="preserve">http://slimages.macys.com/is/image/MCY/1520506 </v>
      </c>
    </row>
    <row r="259" spans="1:14" ht="24.75" x14ac:dyDescent="0.25">
      <c r="A259" s="21" t="s">
        <v>12167</v>
      </c>
      <c r="B259" s="22" t="s">
        <v>12168</v>
      </c>
      <c r="C259" s="2">
        <v>2</v>
      </c>
      <c r="D259" s="23">
        <v>11.99</v>
      </c>
      <c r="E259" s="3">
        <v>23.98</v>
      </c>
      <c r="F259" s="2" t="s">
        <v>13173</v>
      </c>
      <c r="G259" s="22" t="s">
        <v>19333</v>
      </c>
      <c r="H259" s="24"/>
      <c r="I259" s="22" t="s">
        <v>19309</v>
      </c>
      <c r="J259" s="22" t="s">
        <v>19573</v>
      </c>
      <c r="K259" s="22" t="s">
        <v>20256</v>
      </c>
      <c r="L259" s="22" t="s">
        <v>19319</v>
      </c>
      <c r="M259" s="22" t="s">
        <v>19358</v>
      </c>
      <c r="N259" s="25" t="str">
        <f>HYPERLINK("http://slimages.macys.com/is/image/MCY/8018009 ")</f>
        <v xml:space="preserve">http://slimages.macys.com/is/image/MCY/8018009 </v>
      </c>
    </row>
    <row r="260" spans="1:14" ht="24.75" x14ac:dyDescent="0.25">
      <c r="A260" s="21" t="s">
        <v>13171</v>
      </c>
      <c r="B260" s="22" t="s">
        <v>13172</v>
      </c>
      <c r="C260" s="2">
        <v>1</v>
      </c>
      <c r="D260" s="23">
        <v>11.99</v>
      </c>
      <c r="E260" s="3">
        <v>11.99</v>
      </c>
      <c r="F260" s="2" t="s">
        <v>13173</v>
      </c>
      <c r="G260" s="22" t="s">
        <v>19333</v>
      </c>
      <c r="H260" s="24" t="s">
        <v>19538</v>
      </c>
      <c r="I260" s="22" t="s">
        <v>19309</v>
      </c>
      <c r="J260" s="22" t="s">
        <v>19573</v>
      </c>
      <c r="K260" s="22" t="s">
        <v>20256</v>
      </c>
      <c r="L260" s="22" t="s">
        <v>19319</v>
      </c>
      <c r="M260" s="22" t="s">
        <v>19358</v>
      </c>
      <c r="N260" s="25" t="str">
        <f>HYPERLINK("http://slimages.macys.com/is/image/MCY/8018009 ")</f>
        <v xml:space="preserve">http://slimages.macys.com/is/image/MCY/8018009 </v>
      </c>
    </row>
    <row r="261" spans="1:14" ht="24.75" x14ac:dyDescent="0.25">
      <c r="A261" s="21" t="s">
        <v>12169</v>
      </c>
      <c r="B261" s="22" t="s">
        <v>12170</v>
      </c>
      <c r="C261" s="2">
        <v>1</v>
      </c>
      <c r="D261" s="23">
        <v>11.99</v>
      </c>
      <c r="E261" s="3">
        <v>11.99</v>
      </c>
      <c r="F261" s="2" t="s">
        <v>13173</v>
      </c>
      <c r="G261" s="22" t="s">
        <v>19333</v>
      </c>
      <c r="H261" s="24" t="s">
        <v>19770</v>
      </c>
      <c r="I261" s="22" t="s">
        <v>19309</v>
      </c>
      <c r="J261" s="22" t="s">
        <v>19573</v>
      </c>
      <c r="K261" s="22" t="s">
        <v>20256</v>
      </c>
      <c r="L261" s="22" t="s">
        <v>19319</v>
      </c>
      <c r="M261" s="22" t="s">
        <v>19358</v>
      </c>
      <c r="N261" s="25" t="str">
        <f>HYPERLINK("http://slimages.macys.com/is/image/MCY/8018009 ")</f>
        <v xml:space="preserve">http://slimages.macys.com/is/image/MCY/8018009 </v>
      </c>
    </row>
    <row r="262" spans="1:14" x14ac:dyDescent="0.25">
      <c r="A262" s="21" t="s">
        <v>18243</v>
      </c>
      <c r="B262" s="22" t="s">
        <v>18244</v>
      </c>
      <c r="C262" s="2">
        <v>1</v>
      </c>
      <c r="D262" s="23">
        <v>16.989999999999998</v>
      </c>
      <c r="E262" s="3">
        <v>16.989999999999998</v>
      </c>
      <c r="F262" s="2" t="s">
        <v>18245</v>
      </c>
      <c r="G262" s="22" t="s">
        <v>19431</v>
      </c>
      <c r="H262" s="24" t="s">
        <v>19339</v>
      </c>
      <c r="I262" s="22" t="s">
        <v>19309</v>
      </c>
      <c r="J262" s="22" t="s">
        <v>19849</v>
      </c>
      <c r="K262" s="22" t="s">
        <v>19850</v>
      </c>
      <c r="L262" s="22"/>
      <c r="M262" s="22"/>
      <c r="N262" s="25" t="str">
        <f>HYPERLINK("http://slimages.macys.com/is/image/MCY/21270490 ")</f>
        <v xml:space="preserve">http://slimages.macys.com/is/image/MCY/21270490 </v>
      </c>
    </row>
    <row r="263" spans="1:14" ht="24.75" x14ac:dyDescent="0.25">
      <c r="A263" s="21" t="s">
        <v>18241</v>
      </c>
      <c r="B263" s="22" t="s">
        <v>18242</v>
      </c>
      <c r="C263" s="2">
        <v>1</v>
      </c>
      <c r="D263" s="23">
        <v>16.989999999999998</v>
      </c>
      <c r="E263" s="3">
        <v>16.989999999999998</v>
      </c>
      <c r="F263" s="2" t="s">
        <v>20265</v>
      </c>
      <c r="G263" s="22" t="s">
        <v>19670</v>
      </c>
      <c r="H263" s="24" t="s">
        <v>19364</v>
      </c>
      <c r="I263" s="22" t="s">
        <v>19309</v>
      </c>
      <c r="J263" s="22" t="s">
        <v>19849</v>
      </c>
      <c r="K263" s="22" t="s">
        <v>19850</v>
      </c>
      <c r="L263" s="22"/>
      <c r="M263" s="22"/>
      <c r="N263" s="25" t="str">
        <f>HYPERLINK("http://slimages.macys.com/is/image/MCY/21270486 ")</f>
        <v xml:space="preserve">http://slimages.macys.com/is/image/MCY/21270486 </v>
      </c>
    </row>
    <row r="264" spans="1:14" ht="24.75" x14ac:dyDescent="0.25">
      <c r="A264" s="21" t="s">
        <v>12171</v>
      </c>
      <c r="B264" s="22" t="s">
        <v>12172</v>
      </c>
      <c r="C264" s="2">
        <v>1</v>
      </c>
      <c r="D264" s="23">
        <v>24.5</v>
      </c>
      <c r="E264" s="3">
        <v>24.5</v>
      </c>
      <c r="F264" s="2" t="s">
        <v>12173</v>
      </c>
      <c r="G264" s="22" t="s">
        <v>19351</v>
      </c>
      <c r="H264" s="24" t="s">
        <v>11751</v>
      </c>
      <c r="I264" s="22" t="s">
        <v>19309</v>
      </c>
      <c r="J264" s="22" t="s">
        <v>12174</v>
      </c>
      <c r="K264" s="22" t="s">
        <v>19546</v>
      </c>
      <c r="L264" s="22"/>
      <c r="M264" s="22"/>
      <c r="N264" s="25" t="str">
        <f>HYPERLINK("http://slimages.macys.com/is/image/MCY/20084631 ")</f>
        <v xml:space="preserve">http://slimages.macys.com/is/image/MCY/20084631 </v>
      </c>
    </row>
    <row r="265" spans="1:14" ht="24.75" x14ac:dyDescent="0.25">
      <c r="A265" s="21" t="s">
        <v>20271</v>
      </c>
      <c r="B265" s="22" t="s">
        <v>20272</v>
      </c>
      <c r="C265" s="2">
        <v>1</v>
      </c>
      <c r="D265" s="23">
        <v>12.99</v>
      </c>
      <c r="E265" s="3">
        <v>12.99</v>
      </c>
      <c r="F265" s="2" t="s">
        <v>20273</v>
      </c>
      <c r="G265" s="22" t="s">
        <v>19763</v>
      </c>
      <c r="H265" s="24"/>
      <c r="I265" s="22" t="s">
        <v>19309</v>
      </c>
      <c r="J265" s="22" t="s">
        <v>20076</v>
      </c>
      <c r="K265" s="22" t="s">
        <v>20250</v>
      </c>
      <c r="L265" s="22" t="s">
        <v>19319</v>
      </c>
      <c r="M265" s="22" t="s">
        <v>20251</v>
      </c>
      <c r="N265" s="25" t="str">
        <f>HYPERLINK("http://slimages.macys.com/is/image/MCY/9336742 ")</f>
        <v xml:space="preserve">http://slimages.macys.com/is/image/MCY/9336742 </v>
      </c>
    </row>
    <row r="266" spans="1:14" x14ac:dyDescent="0.25">
      <c r="A266" s="21" t="s">
        <v>12175</v>
      </c>
      <c r="B266" s="22" t="s">
        <v>12176</v>
      </c>
      <c r="C266" s="2">
        <v>1</v>
      </c>
      <c r="D266" s="23">
        <v>30</v>
      </c>
      <c r="E266" s="3">
        <v>30</v>
      </c>
      <c r="F266" s="2" t="s">
        <v>12177</v>
      </c>
      <c r="G266" s="22" t="s">
        <v>19357</v>
      </c>
      <c r="H266" s="24"/>
      <c r="I266" s="22" t="s">
        <v>19309</v>
      </c>
      <c r="J266" s="22" t="s">
        <v>19417</v>
      </c>
      <c r="K266" s="22" t="s">
        <v>18317</v>
      </c>
      <c r="L266" s="22"/>
      <c r="M266" s="22"/>
      <c r="N266" s="25" t="str">
        <f>HYPERLINK("http://slimages.macys.com/is/image/MCY/21615012 ")</f>
        <v xml:space="preserve">http://slimages.macys.com/is/image/MCY/21615012 </v>
      </c>
    </row>
    <row r="267" spans="1:14" ht="24.75" x14ac:dyDescent="0.25">
      <c r="A267" s="21" t="s">
        <v>18258</v>
      </c>
      <c r="B267" s="22" t="s">
        <v>18259</v>
      </c>
      <c r="C267" s="2">
        <v>1</v>
      </c>
      <c r="D267" s="23">
        <v>10.99</v>
      </c>
      <c r="E267" s="3">
        <v>10.99</v>
      </c>
      <c r="F267" s="2" t="s">
        <v>18260</v>
      </c>
      <c r="G267" s="22" t="s">
        <v>19528</v>
      </c>
      <c r="H267" s="24" t="s">
        <v>20159</v>
      </c>
      <c r="I267" s="22" t="s">
        <v>19309</v>
      </c>
      <c r="J267" s="22" t="s">
        <v>19491</v>
      </c>
      <c r="K267" s="22" t="s">
        <v>19406</v>
      </c>
      <c r="L267" s="22"/>
      <c r="M267" s="22"/>
      <c r="N267" s="25" t="str">
        <f>HYPERLINK("http://slimages.macys.com/is/image/MCY/22120658 ")</f>
        <v xml:space="preserve">http://slimages.macys.com/is/image/MCY/22120658 </v>
      </c>
    </row>
    <row r="268" spans="1:14" ht="24.75" x14ac:dyDescent="0.25">
      <c r="A268" s="21" t="s">
        <v>20276</v>
      </c>
      <c r="B268" s="22" t="s">
        <v>20277</v>
      </c>
      <c r="C268" s="2">
        <v>1</v>
      </c>
      <c r="D268" s="23">
        <v>12.99</v>
      </c>
      <c r="E268" s="3">
        <v>12.99</v>
      </c>
      <c r="F268" s="2" t="s">
        <v>20273</v>
      </c>
      <c r="G268" s="22" t="s">
        <v>19763</v>
      </c>
      <c r="H268" s="24"/>
      <c r="I268" s="22" t="s">
        <v>19309</v>
      </c>
      <c r="J268" s="22" t="s">
        <v>20076</v>
      </c>
      <c r="K268" s="22" t="s">
        <v>20250</v>
      </c>
      <c r="L268" s="22" t="s">
        <v>19319</v>
      </c>
      <c r="M268" s="22" t="s">
        <v>20251</v>
      </c>
      <c r="N268" s="25" t="str">
        <f>HYPERLINK("http://slimages.macys.com/is/image/MCY/9336742 ")</f>
        <v xml:space="preserve">http://slimages.macys.com/is/image/MCY/9336742 </v>
      </c>
    </row>
    <row r="269" spans="1:14" ht="24.75" x14ac:dyDescent="0.25">
      <c r="A269" s="21" t="s">
        <v>12178</v>
      </c>
      <c r="B269" s="22" t="s">
        <v>12179</v>
      </c>
      <c r="C269" s="2">
        <v>1</v>
      </c>
      <c r="D269" s="23">
        <v>30</v>
      </c>
      <c r="E269" s="3">
        <v>30</v>
      </c>
      <c r="F269" s="2" t="s">
        <v>12180</v>
      </c>
      <c r="G269" s="22"/>
      <c r="H269" s="24"/>
      <c r="I269" s="22" t="s">
        <v>19309</v>
      </c>
      <c r="J269" s="22" t="s">
        <v>19417</v>
      </c>
      <c r="K269" s="22" t="s">
        <v>18317</v>
      </c>
      <c r="L269" s="22"/>
      <c r="M269" s="22"/>
      <c r="N269" s="25" t="str">
        <f>HYPERLINK("http://slimages.macys.com/is/image/MCY/21614990 ")</f>
        <v xml:space="preserve">http://slimages.macys.com/is/image/MCY/21614990 </v>
      </c>
    </row>
    <row r="270" spans="1:14" ht="24.75" x14ac:dyDescent="0.25">
      <c r="A270" s="21" t="s">
        <v>12181</v>
      </c>
      <c r="B270" s="22" t="s">
        <v>12182</v>
      </c>
      <c r="C270" s="2">
        <v>1</v>
      </c>
      <c r="D270" s="23">
        <v>16.989999999999998</v>
      </c>
      <c r="E270" s="3">
        <v>16.989999999999998</v>
      </c>
      <c r="F270" s="2" t="s">
        <v>12183</v>
      </c>
      <c r="G270" s="22" t="s">
        <v>19585</v>
      </c>
      <c r="H270" s="24" t="s">
        <v>20089</v>
      </c>
      <c r="I270" s="22" t="s">
        <v>19309</v>
      </c>
      <c r="J270" s="22" t="s">
        <v>19573</v>
      </c>
      <c r="K270" s="22" t="s">
        <v>19574</v>
      </c>
      <c r="L270" s="22"/>
      <c r="M270" s="22"/>
      <c r="N270" s="25" t="str">
        <f>HYPERLINK("http://slimages.macys.com/is/image/MCY/20757449 ")</f>
        <v xml:space="preserve">http://slimages.macys.com/is/image/MCY/20757449 </v>
      </c>
    </row>
    <row r="271" spans="1:14" ht="24.75" x14ac:dyDescent="0.25">
      <c r="A271" s="21" t="s">
        <v>12184</v>
      </c>
      <c r="B271" s="22" t="s">
        <v>12185</v>
      </c>
      <c r="C271" s="2">
        <v>1</v>
      </c>
      <c r="D271" s="23">
        <v>11.99</v>
      </c>
      <c r="E271" s="3">
        <v>11.99</v>
      </c>
      <c r="F271" s="2">
        <v>100007433</v>
      </c>
      <c r="G271" s="22" t="s">
        <v>19338</v>
      </c>
      <c r="H271" s="24" t="s">
        <v>19770</v>
      </c>
      <c r="I271" s="22" t="s">
        <v>19309</v>
      </c>
      <c r="J271" s="22" t="s">
        <v>19573</v>
      </c>
      <c r="K271" s="22" t="s">
        <v>20256</v>
      </c>
      <c r="L271" s="22" t="s">
        <v>19319</v>
      </c>
      <c r="M271" s="22" t="s">
        <v>20257</v>
      </c>
      <c r="N271" s="25" t="str">
        <f>HYPERLINK("http://slimages.macys.com/is/image/MCY/9157891 ")</f>
        <v xml:space="preserve">http://slimages.macys.com/is/image/MCY/9157891 </v>
      </c>
    </row>
    <row r="272" spans="1:14" ht="24.75" x14ac:dyDescent="0.25">
      <c r="A272" s="21" t="s">
        <v>13174</v>
      </c>
      <c r="B272" s="22" t="s">
        <v>13175</v>
      </c>
      <c r="C272" s="2">
        <v>1</v>
      </c>
      <c r="D272" s="23">
        <v>11.99</v>
      </c>
      <c r="E272" s="3">
        <v>11.99</v>
      </c>
      <c r="F272" s="2">
        <v>100007433</v>
      </c>
      <c r="G272" s="22" t="s">
        <v>19338</v>
      </c>
      <c r="H272" s="24" t="s">
        <v>19538</v>
      </c>
      <c r="I272" s="22" t="s">
        <v>19309</v>
      </c>
      <c r="J272" s="22" t="s">
        <v>19573</v>
      </c>
      <c r="K272" s="22" t="s">
        <v>20256</v>
      </c>
      <c r="L272" s="22" t="s">
        <v>19319</v>
      </c>
      <c r="M272" s="22" t="s">
        <v>20257</v>
      </c>
      <c r="N272" s="25" t="str">
        <f>HYPERLINK("http://slimages.macys.com/is/image/MCY/9157891 ")</f>
        <v xml:space="preserve">http://slimages.macys.com/is/image/MCY/9157891 </v>
      </c>
    </row>
    <row r="273" spans="1:14" ht="24.75" x14ac:dyDescent="0.25">
      <c r="A273" s="21" t="s">
        <v>12186</v>
      </c>
      <c r="B273" s="22" t="s">
        <v>12187</v>
      </c>
      <c r="C273" s="2">
        <v>1</v>
      </c>
      <c r="D273" s="23">
        <v>14.99</v>
      </c>
      <c r="E273" s="3">
        <v>14.99</v>
      </c>
      <c r="F273" s="2" t="s">
        <v>20301</v>
      </c>
      <c r="G273" s="22" t="s">
        <v>19351</v>
      </c>
      <c r="H273" s="24"/>
      <c r="I273" s="22" t="s">
        <v>19309</v>
      </c>
      <c r="J273" s="22" t="s">
        <v>19573</v>
      </c>
      <c r="K273" s="22" t="s">
        <v>20256</v>
      </c>
      <c r="L273" s="22" t="s">
        <v>19319</v>
      </c>
      <c r="M273" s="22" t="s">
        <v>20302</v>
      </c>
      <c r="N273" s="25" t="str">
        <f>HYPERLINK("http://slimages.macys.com/is/image/MCY/8484392 ")</f>
        <v xml:space="preserve">http://slimages.macys.com/is/image/MCY/8484392 </v>
      </c>
    </row>
    <row r="274" spans="1:14" x14ac:dyDescent="0.25">
      <c r="A274" s="21" t="s">
        <v>12188</v>
      </c>
      <c r="B274" s="22" t="s">
        <v>12189</v>
      </c>
      <c r="C274" s="2">
        <v>1</v>
      </c>
      <c r="D274" s="23">
        <v>15.93</v>
      </c>
      <c r="E274" s="3">
        <v>15.93</v>
      </c>
      <c r="F274" s="2" t="s">
        <v>12190</v>
      </c>
      <c r="G274" s="22" t="s">
        <v>19351</v>
      </c>
      <c r="H274" s="24" t="s">
        <v>19330</v>
      </c>
      <c r="I274" s="22" t="s">
        <v>19309</v>
      </c>
      <c r="J274" s="22" t="s">
        <v>19708</v>
      </c>
      <c r="K274" s="22" t="s">
        <v>19709</v>
      </c>
      <c r="L274" s="22"/>
      <c r="M274" s="22"/>
      <c r="N274" s="25" t="str">
        <f>HYPERLINK("http://slimages.macys.com/is/image/MCY/21410613 ")</f>
        <v xml:space="preserve">http://slimages.macys.com/is/image/MCY/21410613 </v>
      </c>
    </row>
    <row r="275" spans="1:14" x14ac:dyDescent="0.25">
      <c r="A275" s="21" t="s">
        <v>12191</v>
      </c>
      <c r="B275" s="22" t="s">
        <v>12192</v>
      </c>
      <c r="C275" s="2">
        <v>1</v>
      </c>
      <c r="D275" s="23">
        <v>15.93</v>
      </c>
      <c r="E275" s="3">
        <v>15.93</v>
      </c>
      <c r="F275" s="2" t="s">
        <v>12193</v>
      </c>
      <c r="G275" s="22" t="s">
        <v>19357</v>
      </c>
      <c r="H275" s="24" t="s">
        <v>20159</v>
      </c>
      <c r="I275" s="22" t="s">
        <v>19309</v>
      </c>
      <c r="J275" s="22" t="s">
        <v>19708</v>
      </c>
      <c r="K275" s="22" t="s">
        <v>19709</v>
      </c>
      <c r="L275" s="22"/>
      <c r="M275" s="22"/>
      <c r="N275" s="25" t="str">
        <f>HYPERLINK("http://slimages.macys.com/is/image/MCY/21411469 ")</f>
        <v xml:space="preserve">http://slimages.macys.com/is/image/MCY/21411469 </v>
      </c>
    </row>
    <row r="276" spans="1:14" ht="24.75" x14ac:dyDescent="0.25">
      <c r="A276" s="21" t="s">
        <v>20309</v>
      </c>
      <c r="B276" s="22" t="s">
        <v>20310</v>
      </c>
      <c r="C276" s="2">
        <v>1</v>
      </c>
      <c r="D276" s="23">
        <v>16.989999999999998</v>
      </c>
      <c r="E276" s="3">
        <v>16.989999999999998</v>
      </c>
      <c r="F276" s="2" t="s">
        <v>20311</v>
      </c>
      <c r="G276" s="22" t="s">
        <v>19713</v>
      </c>
      <c r="H276" s="24" t="s">
        <v>19330</v>
      </c>
      <c r="I276" s="22" t="s">
        <v>19309</v>
      </c>
      <c r="J276" s="22" t="s">
        <v>19573</v>
      </c>
      <c r="K276" s="22" t="s">
        <v>19574</v>
      </c>
      <c r="L276" s="22"/>
      <c r="M276" s="22"/>
      <c r="N276" s="25" t="str">
        <f>HYPERLINK("http://slimages.macys.com/is/image/MCY/1597998 ")</f>
        <v xml:space="preserve">http://slimages.macys.com/is/image/MCY/1597998 </v>
      </c>
    </row>
    <row r="277" spans="1:14" ht="24.75" x14ac:dyDescent="0.25">
      <c r="A277" s="21" t="s">
        <v>13187</v>
      </c>
      <c r="B277" s="22" t="s">
        <v>13188</v>
      </c>
      <c r="C277" s="2">
        <v>1</v>
      </c>
      <c r="D277" s="23">
        <v>16.989999999999998</v>
      </c>
      <c r="E277" s="3">
        <v>16.989999999999998</v>
      </c>
      <c r="F277" s="2" t="s">
        <v>20311</v>
      </c>
      <c r="G277" s="22" t="s">
        <v>19713</v>
      </c>
      <c r="H277" s="24" t="s">
        <v>19324</v>
      </c>
      <c r="I277" s="22" t="s">
        <v>19309</v>
      </c>
      <c r="J277" s="22" t="s">
        <v>19573</v>
      </c>
      <c r="K277" s="22" t="s">
        <v>19574</v>
      </c>
      <c r="L277" s="22"/>
      <c r="M277" s="22"/>
      <c r="N277" s="25" t="str">
        <f>HYPERLINK("http://slimages.macys.com/is/image/MCY/1597998 ")</f>
        <v xml:space="preserve">http://slimages.macys.com/is/image/MCY/1597998 </v>
      </c>
    </row>
    <row r="278" spans="1:14" ht="24.75" x14ac:dyDescent="0.25">
      <c r="A278" s="21" t="s">
        <v>18275</v>
      </c>
      <c r="B278" s="22" t="s">
        <v>19926</v>
      </c>
      <c r="C278" s="2">
        <v>1</v>
      </c>
      <c r="D278" s="23">
        <v>16.989999999999998</v>
      </c>
      <c r="E278" s="3">
        <v>16.989999999999998</v>
      </c>
      <c r="F278" s="2" t="s">
        <v>20311</v>
      </c>
      <c r="G278" s="22" t="s">
        <v>19713</v>
      </c>
      <c r="H278" s="24" t="s">
        <v>19538</v>
      </c>
      <c r="I278" s="22" t="s">
        <v>19309</v>
      </c>
      <c r="J278" s="22" t="s">
        <v>19573</v>
      </c>
      <c r="K278" s="22" t="s">
        <v>19574</v>
      </c>
      <c r="L278" s="22"/>
      <c r="M278" s="22"/>
      <c r="N278" s="25" t="str">
        <f>HYPERLINK("http://slimages.macys.com/is/image/MCY/1597998 ")</f>
        <v xml:space="preserve">http://slimages.macys.com/is/image/MCY/1597998 </v>
      </c>
    </row>
    <row r="279" spans="1:14" ht="24.75" x14ac:dyDescent="0.25">
      <c r="A279" s="21" t="s">
        <v>12194</v>
      </c>
      <c r="B279" s="22" t="s">
        <v>12195</v>
      </c>
      <c r="C279" s="2">
        <v>1</v>
      </c>
      <c r="D279" s="23">
        <v>15.99</v>
      </c>
      <c r="E279" s="3">
        <v>15.99</v>
      </c>
      <c r="F279" s="2" t="s">
        <v>20323</v>
      </c>
      <c r="G279" s="22" t="s">
        <v>19415</v>
      </c>
      <c r="H279" s="24" t="s">
        <v>19416</v>
      </c>
      <c r="I279" s="22" t="s">
        <v>19309</v>
      </c>
      <c r="J279" s="22" t="s">
        <v>19573</v>
      </c>
      <c r="K279" s="22" t="s">
        <v>19574</v>
      </c>
      <c r="L279" s="22"/>
      <c r="M279" s="22"/>
      <c r="N279" s="25" t="str">
        <f>HYPERLINK("http://slimages.macys.com/is/image/MCY/20757473 ")</f>
        <v xml:space="preserve">http://slimages.macys.com/is/image/MCY/20757473 </v>
      </c>
    </row>
    <row r="280" spans="1:14" ht="24.75" x14ac:dyDescent="0.25">
      <c r="A280" s="21" t="s">
        <v>20321</v>
      </c>
      <c r="B280" s="22" t="s">
        <v>20322</v>
      </c>
      <c r="C280" s="2">
        <v>1</v>
      </c>
      <c r="D280" s="23">
        <v>15.99</v>
      </c>
      <c r="E280" s="3">
        <v>15.99</v>
      </c>
      <c r="F280" s="2" t="s">
        <v>20323</v>
      </c>
      <c r="G280" s="22" t="s">
        <v>19415</v>
      </c>
      <c r="H280" s="24" t="s">
        <v>19384</v>
      </c>
      <c r="I280" s="22" t="s">
        <v>19309</v>
      </c>
      <c r="J280" s="22" t="s">
        <v>19573</v>
      </c>
      <c r="K280" s="22" t="s">
        <v>19574</v>
      </c>
      <c r="L280" s="22"/>
      <c r="M280" s="22"/>
      <c r="N280" s="25" t="str">
        <f>HYPERLINK("http://slimages.macys.com/is/image/MCY/20757473 ")</f>
        <v xml:space="preserve">http://slimages.macys.com/is/image/MCY/20757473 </v>
      </c>
    </row>
    <row r="281" spans="1:14" ht="24.75" x14ac:dyDescent="0.25">
      <c r="A281" s="21" t="s">
        <v>12196</v>
      </c>
      <c r="B281" s="22" t="s">
        <v>12197</v>
      </c>
      <c r="C281" s="2">
        <v>1</v>
      </c>
      <c r="D281" s="23">
        <v>12.99</v>
      </c>
      <c r="E281" s="3">
        <v>12.99</v>
      </c>
      <c r="F281" s="2" t="s">
        <v>12198</v>
      </c>
      <c r="G281" s="22" t="s">
        <v>19518</v>
      </c>
      <c r="H281" s="24"/>
      <c r="I281" s="22" t="s">
        <v>19309</v>
      </c>
      <c r="J281" s="22" t="s">
        <v>20076</v>
      </c>
      <c r="K281" s="22" t="s">
        <v>12199</v>
      </c>
      <c r="L281" s="22"/>
      <c r="M281" s="22"/>
      <c r="N281" s="25" t="str">
        <f>HYPERLINK("http://slimages.macys.com/is/image/MCY/21347158 ")</f>
        <v xml:space="preserve">http://slimages.macys.com/is/image/MCY/21347158 </v>
      </c>
    </row>
    <row r="282" spans="1:14" x14ac:dyDescent="0.25">
      <c r="A282" s="21" t="s">
        <v>12200</v>
      </c>
      <c r="B282" s="22" t="s">
        <v>12201</v>
      </c>
      <c r="C282" s="2">
        <v>1</v>
      </c>
      <c r="D282" s="23">
        <v>15.13</v>
      </c>
      <c r="E282" s="3">
        <v>15.13</v>
      </c>
      <c r="F282" s="2" t="s">
        <v>13583</v>
      </c>
      <c r="G282" s="22" t="s">
        <v>19323</v>
      </c>
      <c r="H282" s="24" t="s">
        <v>19416</v>
      </c>
      <c r="I282" s="22" t="s">
        <v>19309</v>
      </c>
      <c r="J282" s="22" t="s">
        <v>19708</v>
      </c>
      <c r="K282" s="22" t="s">
        <v>19709</v>
      </c>
      <c r="L282" s="22"/>
      <c r="M282" s="22"/>
      <c r="N282" s="25" t="str">
        <f>HYPERLINK("http://slimages.macys.com/is/image/MCY/21757920 ")</f>
        <v xml:space="preserve">http://slimages.macys.com/is/image/MCY/21757920 </v>
      </c>
    </row>
    <row r="283" spans="1:14" x14ac:dyDescent="0.25">
      <c r="A283" s="21" t="s">
        <v>12202</v>
      </c>
      <c r="B283" s="22" t="s">
        <v>12203</v>
      </c>
      <c r="C283" s="2">
        <v>1</v>
      </c>
      <c r="D283" s="23">
        <v>15.13</v>
      </c>
      <c r="E283" s="3">
        <v>15.13</v>
      </c>
      <c r="F283" s="2" t="s">
        <v>18360</v>
      </c>
      <c r="G283" s="22" t="s">
        <v>18361</v>
      </c>
      <c r="H283" s="24" t="s">
        <v>20159</v>
      </c>
      <c r="I283" s="22" t="s">
        <v>19309</v>
      </c>
      <c r="J283" s="22" t="s">
        <v>19708</v>
      </c>
      <c r="K283" s="22" t="s">
        <v>19709</v>
      </c>
      <c r="L283" s="22"/>
      <c r="M283" s="22"/>
      <c r="N283" s="25" t="str">
        <f>HYPERLINK("http://slimages.macys.com/is/image/MCY/21758813 ")</f>
        <v xml:space="preserve">http://slimages.macys.com/is/image/MCY/21758813 </v>
      </c>
    </row>
    <row r="284" spans="1:14" x14ac:dyDescent="0.25">
      <c r="A284" s="21" t="s">
        <v>12204</v>
      </c>
      <c r="B284" s="22" t="s">
        <v>12205</v>
      </c>
      <c r="C284" s="2">
        <v>1</v>
      </c>
      <c r="D284" s="23">
        <v>15.13</v>
      </c>
      <c r="E284" s="3">
        <v>15.13</v>
      </c>
      <c r="F284" s="2" t="s">
        <v>12206</v>
      </c>
      <c r="G284" s="22" t="s">
        <v>19351</v>
      </c>
      <c r="H284" s="24" t="s">
        <v>19324</v>
      </c>
      <c r="I284" s="22" t="s">
        <v>19309</v>
      </c>
      <c r="J284" s="22" t="s">
        <v>19708</v>
      </c>
      <c r="K284" s="22" t="s">
        <v>19709</v>
      </c>
      <c r="L284" s="22"/>
      <c r="M284" s="22"/>
      <c r="N284" s="25" t="str">
        <f>HYPERLINK("http://slimages.macys.com/is/image/MCY/21751709 ")</f>
        <v xml:space="preserve">http://slimages.macys.com/is/image/MCY/21751709 </v>
      </c>
    </row>
    <row r="285" spans="1:14" x14ac:dyDescent="0.25">
      <c r="A285" s="21" t="s">
        <v>12207</v>
      </c>
      <c r="B285" s="22" t="s">
        <v>12208</v>
      </c>
      <c r="C285" s="2">
        <v>1</v>
      </c>
      <c r="D285" s="23">
        <v>15.13</v>
      </c>
      <c r="E285" s="3">
        <v>15.13</v>
      </c>
      <c r="F285" s="2" t="s">
        <v>13793</v>
      </c>
      <c r="G285" s="22"/>
      <c r="H285" s="24" t="s">
        <v>19770</v>
      </c>
      <c r="I285" s="22" t="s">
        <v>19309</v>
      </c>
      <c r="J285" s="22" t="s">
        <v>19708</v>
      </c>
      <c r="K285" s="22" t="s">
        <v>19709</v>
      </c>
      <c r="L285" s="22"/>
      <c r="M285" s="22"/>
      <c r="N285" s="25" t="str">
        <f>HYPERLINK("http://slimages.macys.com/is/image/MCY/21752166 ")</f>
        <v xml:space="preserve">http://slimages.macys.com/is/image/MCY/21752166 </v>
      </c>
    </row>
    <row r="286" spans="1:14" x14ac:dyDescent="0.25">
      <c r="A286" s="21" t="s">
        <v>12209</v>
      </c>
      <c r="B286" s="22" t="s">
        <v>12210</v>
      </c>
      <c r="C286" s="2">
        <v>2</v>
      </c>
      <c r="D286" s="23">
        <v>15.13</v>
      </c>
      <c r="E286" s="3">
        <v>30.26</v>
      </c>
      <c r="F286" s="2" t="s">
        <v>12211</v>
      </c>
      <c r="G286" s="22" t="s">
        <v>19333</v>
      </c>
      <c r="H286" s="24" t="s">
        <v>19416</v>
      </c>
      <c r="I286" s="22" t="s">
        <v>19309</v>
      </c>
      <c r="J286" s="22" t="s">
        <v>19708</v>
      </c>
      <c r="K286" s="22" t="s">
        <v>19709</v>
      </c>
      <c r="L286" s="22"/>
      <c r="M286" s="22"/>
      <c r="N286" s="25" t="str">
        <f>HYPERLINK("http://slimages.macys.com/is/image/MCY/21184048 ")</f>
        <v xml:space="preserve">http://slimages.macys.com/is/image/MCY/21184048 </v>
      </c>
    </row>
    <row r="287" spans="1:14" x14ac:dyDescent="0.25">
      <c r="A287" s="21" t="s">
        <v>13194</v>
      </c>
      <c r="B287" s="22" t="s">
        <v>13195</v>
      </c>
      <c r="C287" s="2">
        <v>1</v>
      </c>
      <c r="D287" s="23">
        <v>15.13</v>
      </c>
      <c r="E287" s="3">
        <v>15.13</v>
      </c>
      <c r="F287" s="2" t="s">
        <v>18360</v>
      </c>
      <c r="G287" s="22" t="s">
        <v>18361</v>
      </c>
      <c r="H287" s="24" t="s">
        <v>19367</v>
      </c>
      <c r="I287" s="22" t="s">
        <v>19309</v>
      </c>
      <c r="J287" s="22" t="s">
        <v>19708</v>
      </c>
      <c r="K287" s="22" t="s">
        <v>19709</v>
      </c>
      <c r="L287" s="22"/>
      <c r="M287" s="22"/>
      <c r="N287" s="25" t="str">
        <f>HYPERLINK("http://slimages.macys.com/is/image/MCY/21758813 ")</f>
        <v xml:space="preserve">http://slimages.macys.com/is/image/MCY/21758813 </v>
      </c>
    </row>
    <row r="288" spans="1:14" x14ac:dyDescent="0.25">
      <c r="A288" s="21" t="s">
        <v>12212</v>
      </c>
      <c r="B288" s="22" t="s">
        <v>12213</v>
      </c>
      <c r="C288" s="2">
        <v>2</v>
      </c>
      <c r="D288" s="23">
        <v>14.93</v>
      </c>
      <c r="E288" s="3">
        <v>29.86</v>
      </c>
      <c r="F288" s="2" t="s">
        <v>13210</v>
      </c>
      <c r="G288" s="22" t="s">
        <v>18361</v>
      </c>
      <c r="H288" s="24" t="s">
        <v>19416</v>
      </c>
      <c r="I288" s="22" t="s">
        <v>19309</v>
      </c>
      <c r="J288" s="22" t="s">
        <v>19708</v>
      </c>
      <c r="K288" s="22" t="s">
        <v>19709</v>
      </c>
      <c r="L288" s="22"/>
      <c r="M288" s="22"/>
      <c r="N288" s="25" t="str">
        <f>HYPERLINK("http://slimages.macys.com/is/image/MCY/22596280 ")</f>
        <v xml:space="preserve">http://slimages.macys.com/is/image/MCY/22596280 </v>
      </c>
    </row>
    <row r="289" spans="1:14" x14ac:dyDescent="0.25">
      <c r="A289" s="21" t="s">
        <v>12214</v>
      </c>
      <c r="B289" s="22" t="s">
        <v>12215</v>
      </c>
      <c r="C289" s="2">
        <v>1</v>
      </c>
      <c r="D289" s="23">
        <v>14.93</v>
      </c>
      <c r="E289" s="3">
        <v>14.93</v>
      </c>
      <c r="F289" s="2" t="s">
        <v>13207</v>
      </c>
      <c r="G289" s="22" t="s">
        <v>19338</v>
      </c>
      <c r="H289" s="24" t="s">
        <v>19367</v>
      </c>
      <c r="I289" s="22" t="s">
        <v>19309</v>
      </c>
      <c r="J289" s="22" t="s">
        <v>19708</v>
      </c>
      <c r="K289" s="22" t="s">
        <v>19709</v>
      </c>
      <c r="L289" s="22"/>
      <c r="M289" s="22"/>
      <c r="N289" s="25" t="str">
        <f>HYPERLINK("http://slimages.macys.com/is/image/MCY/22596065 ")</f>
        <v xml:space="preserve">http://slimages.macys.com/is/image/MCY/22596065 </v>
      </c>
    </row>
    <row r="290" spans="1:14" x14ac:dyDescent="0.25">
      <c r="A290" s="21" t="s">
        <v>13208</v>
      </c>
      <c r="B290" s="22" t="s">
        <v>13209</v>
      </c>
      <c r="C290" s="2">
        <v>1</v>
      </c>
      <c r="D290" s="23">
        <v>14.93</v>
      </c>
      <c r="E290" s="3">
        <v>14.93</v>
      </c>
      <c r="F290" s="2" t="s">
        <v>13210</v>
      </c>
      <c r="G290" s="22" t="s">
        <v>18361</v>
      </c>
      <c r="H290" s="24" t="s">
        <v>20152</v>
      </c>
      <c r="I290" s="22" t="s">
        <v>19309</v>
      </c>
      <c r="J290" s="22" t="s">
        <v>19708</v>
      </c>
      <c r="K290" s="22" t="s">
        <v>19709</v>
      </c>
      <c r="L290" s="22"/>
      <c r="M290" s="22"/>
      <c r="N290" s="25" t="str">
        <f>HYPERLINK("http://slimages.macys.com/is/image/MCY/22596280 ")</f>
        <v xml:space="preserve">http://slimages.macys.com/is/image/MCY/22596280 </v>
      </c>
    </row>
    <row r="291" spans="1:14" ht="24.75" x14ac:dyDescent="0.25">
      <c r="A291" s="21" t="s">
        <v>12216</v>
      </c>
      <c r="B291" s="22" t="s">
        <v>12217</v>
      </c>
      <c r="C291" s="2">
        <v>1</v>
      </c>
      <c r="D291" s="23">
        <v>13.22</v>
      </c>
      <c r="E291" s="3">
        <v>13.22</v>
      </c>
      <c r="F291" s="2" t="s">
        <v>16169</v>
      </c>
      <c r="G291" s="22" t="s">
        <v>19357</v>
      </c>
      <c r="H291" s="24"/>
      <c r="I291" s="22" t="s">
        <v>19309</v>
      </c>
      <c r="J291" s="22" t="s">
        <v>19602</v>
      </c>
      <c r="K291" s="22" t="s">
        <v>20041</v>
      </c>
      <c r="L291" s="22"/>
      <c r="M291" s="22"/>
      <c r="N291" s="25" t="str">
        <f>HYPERLINK("http://slimages.macys.com/is/image/MCY/20529121 ")</f>
        <v xml:space="preserve">http://slimages.macys.com/is/image/MCY/20529121 </v>
      </c>
    </row>
    <row r="292" spans="1:14" ht="24.75" x14ac:dyDescent="0.25">
      <c r="A292" s="21" t="s">
        <v>12218</v>
      </c>
      <c r="B292" s="22" t="s">
        <v>12219</v>
      </c>
      <c r="C292" s="2">
        <v>1</v>
      </c>
      <c r="D292" s="23">
        <v>13.99</v>
      </c>
      <c r="E292" s="3">
        <v>13.99</v>
      </c>
      <c r="F292" s="2" t="s">
        <v>12220</v>
      </c>
      <c r="G292" s="22" t="s">
        <v>19351</v>
      </c>
      <c r="H292" s="24" t="s">
        <v>19384</v>
      </c>
      <c r="I292" s="22" t="s">
        <v>19309</v>
      </c>
      <c r="J292" s="22" t="s">
        <v>19573</v>
      </c>
      <c r="K292" s="22" t="s">
        <v>19574</v>
      </c>
      <c r="L292" s="22"/>
      <c r="M292" s="22"/>
      <c r="N292" s="25" t="str">
        <f>HYPERLINK("http://slimages.macys.com/is/image/MCY/20757934 ")</f>
        <v xml:space="preserve">http://slimages.macys.com/is/image/MCY/20757934 </v>
      </c>
    </row>
    <row r="293" spans="1:14" ht="24.75" x14ac:dyDescent="0.25">
      <c r="A293" s="21" t="s">
        <v>18382</v>
      </c>
      <c r="B293" s="22" t="s">
        <v>18383</v>
      </c>
      <c r="C293" s="2">
        <v>1</v>
      </c>
      <c r="D293" s="23">
        <v>21.99</v>
      </c>
      <c r="E293" s="3">
        <v>21.99</v>
      </c>
      <c r="F293" s="2" t="s">
        <v>18381</v>
      </c>
      <c r="G293" s="22" t="s">
        <v>19674</v>
      </c>
      <c r="H293" s="24" t="s">
        <v>19797</v>
      </c>
      <c r="I293" s="22" t="s">
        <v>19309</v>
      </c>
      <c r="J293" s="22" t="s">
        <v>19849</v>
      </c>
      <c r="K293" s="22" t="s">
        <v>19850</v>
      </c>
      <c r="L293" s="22"/>
      <c r="M293" s="22"/>
      <c r="N293" s="25" t="str">
        <f>HYPERLINK("http://slimages.macys.com/is/image/MCY/1521091 ")</f>
        <v xml:space="preserve">http://slimages.macys.com/is/image/MCY/1521091 </v>
      </c>
    </row>
    <row r="294" spans="1:14" ht="24.75" x14ac:dyDescent="0.25">
      <c r="A294" s="21" t="s">
        <v>12221</v>
      </c>
      <c r="B294" s="22" t="s">
        <v>12222</v>
      </c>
      <c r="C294" s="2">
        <v>1</v>
      </c>
      <c r="D294" s="23">
        <v>26</v>
      </c>
      <c r="E294" s="3">
        <v>26</v>
      </c>
      <c r="F294" s="2" t="s">
        <v>12223</v>
      </c>
      <c r="G294" s="22" t="s">
        <v>19315</v>
      </c>
      <c r="H294" s="24" t="s">
        <v>12224</v>
      </c>
      <c r="I294" s="22" t="s">
        <v>19309</v>
      </c>
      <c r="J294" s="22" t="s">
        <v>19417</v>
      </c>
      <c r="K294" s="22" t="s">
        <v>20110</v>
      </c>
      <c r="L294" s="22"/>
      <c r="M294" s="22"/>
      <c r="N294" s="25" t="str">
        <f>HYPERLINK("http://slimages.macys.com/is/image/MCY/20749621 ")</f>
        <v xml:space="preserve">http://slimages.macys.com/is/image/MCY/20749621 </v>
      </c>
    </row>
    <row r="295" spans="1:14" ht="24.75" x14ac:dyDescent="0.25">
      <c r="A295" s="21" t="s">
        <v>12225</v>
      </c>
      <c r="B295" s="22" t="s">
        <v>12226</v>
      </c>
      <c r="C295" s="2">
        <v>1</v>
      </c>
      <c r="D295" s="23">
        <v>13.99</v>
      </c>
      <c r="E295" s="3">
        <v>13.99</v>
      </c>
      <c r="F295" s="2" t="s">
        <v>12220</v>
      </c>
      <c r="G295" s="22" t="s">
        <v>19351</v>
      </c>
      <c r="H295" s="24" t="s">
        <v>19324</v>
      </c>
      <c r="I295" s="22" t="s">
        <v>19309</v>
      </c>
      <c r="J295" s="22" t="s">
        <v>19573</v>
      </c>
      <c r="K295" s="22" t="s">
        <v>19574</v>
      </c>
      <c r="L295" s="22"/>
      <c r="M295" s="22"/>
      <c r="N295" s="25" t="str">
        <f>HYPERLINK("http://slimages.macys.com/is/image/MCY/20757934 ")</f>
        <v xml:space="preserve">http://slimages.macys.com/is/image/MCY/20757934 </v>
      </c>
    </row>
    <row r="296" spans="1:14" ht="24.75" x14ac:dyDescent="0.25">
      <c r="A296" s="21" t="s">
        <v>12227</v>
      </c>
      <c r="B296" s="22" t="s">
        <v>12228</v>
      </c>
      <c r="C296" s="2">
        <v>1</v>
      </c>
      <c r="D296" s="23">
        <v>26</v>
      </c>
      <c r="E296" s="3">
        <v>26</v>
      </c>
      <c r="F296" s="2" t="s">
        <v>12229</v>
      </c>
      <c r="G296" s="22" t="s">
        <v>19879</v>
      </c>
      <c r="H296" s="24" t="s">
        <v>12224</v>
      </c>
      <c r="I296" s="22" t="s">
        <v>19309</v>
      </c>
      <c r="J296" s="22" t="s">
        <v>19417</v>
      </c>
      <c r="K296" s="22" t="s">
        <v>20110</v>
      </c>
      <c r="L296" s="22"/>
      <c r="M296" s="22"/>
      <c r="N296" s="25" t="str">
        <f>HYPERLINK("http://slimages.macys.com/is/image/MCY/20749657 ")</f>
        <v xml:space="preserve">http://slimages.macys.com/is/image/MCY/20749657 </v>
      </c>
    </row>
    <row r="297" spans="1:14" ht="24.75" x14ac:dyDescent="0.25">
      <c r="A297" s="21" t="s">
        <v>12230</v>
      </c>
      <c r="B297" s="22" t="s">
        <v>12231</v>
      </c>
      <c r="C297" s="2">
        <v>2</v>
      </c>
      <c r="D297" s="23">
        <v>26</v>
      </c>
      <c r="E297" s="3">
        <v>52</v>
      </c>
      <c r="F297" s="2" t="s">
        <v>12223</v>
      </c>
      <c r="G297" s="22" t="s">
        <v>19315</v>
      </c>
      <c r="H297" s="24" t="s">
        <v>20109</v>
      </c>
      <c r="I297" s="22" t="s">
        <v>19309</v>
      </c>
      <c r="J297" s="22" t="s">
        <v>19417</v>
      </c>
      <c r="K297" s="22" t="s">
        <v>20110</v>
      </c>
      <c r="L297" s="22"/>
      <c r="M297" s="22"/>
      <c r="N297" s="25" t="str">
        <f>HYPERLINK("http://slimages.macys.com/is/image/MCY/20749621 ")</f>
        <v xml:space="preserve">http://slimages.macys.com/is/image/MCY/20749621 </v>
      </c>
    </row>
    <row r="298" spans="1:14" ht="24.75" x14ac:dyDescent="0.25">
      <c r="A298" s="21" t="s">
        <v>12232</v>
      </c>
      <c r="B298" s="22" t="s">
        <v>12233</v>
      </c>
      <c r="C298" s="2">
        <v>1</v>
      </c>
      <c r="D298" s="23">
        <v>13.12</v>
      </c>
      <c r="E298" s="3">
        <v>13.12</v>
      </c>
      <c r="F298" s="2" t="s">
        <v>18399</v>
      </c>
      <c r="G298" s="22" t="s">
        <v>19431</v>
      </c>
      <c r="H298" s="24"/>
      <c r="I298" s="22" t="s">
        <v>19309</v>
      </c>
      <c r="J298" s="22" t="s">
        <v>19602</v>
      </c>
      <c r="K298" s="22" t="s">
        <v>20041</v>
      </c>
      <c r="L298" s="22"/>
      <c r="M298" s="22"/>
      <c r="N298" s="25" t="str">
        <f>HYPERLINK("http://slimages.macys.com/is/image/MCY/21728927 ")</f>
        <v xml:space="preserve">http://slimages.macys.com/is/image/MCY/21728927 </v>
      </c>
    </row>
    <row r="299" spans="1:14" x14ac:dyDescent="0.25">
      <c r="A299" s="21" t="s">
        <v>12234</v>
      </c>
      <c r="B299" s="22" t="s">
        <v>12235</v>
      </c>
      <c r="C299" s="2">
        <v>1</v>
      </c>
      <c r="D299" s="23">
        <v>11.79</v>
      </c>
      <c r="E299" s="3">
        <v>11.79</v>
      </c>
      <c r="F299" s="2" t="s">
        <v>12236</v>
      </c>
      <c r="G299" s="22" t="s">
        <v>19342</v>
      </c>
      <c r="H299" s="24" t="s">
        <v>20159</v>
      </c>
      <c r="I299" s="22" t="s">
        <v>19309</v>
      </c>
      <c r="J299" s="22" t="s">
        <v>19708</v>
      </c>
      <c r="K299" s="22" t="s">
        <v>19709</v>
      </c>
      <c r="L299" s="22"/>
      <c r="M299" s="22"/>
      <c r="N299" s="25" t="str">
        <f>HYPERLINK("http://slimages.macys.com/is/image/MCY/19153450 ")</f>
        <v xml:space="preserve">http://slimages.macys.com/is/image/MCY/19153450 </v>
      </c>
    </row>
    <row r="300" spans="1:14" x14ac:dyDescent="0.25">
      <c r="A300" s="21" t="s">
        <v>13802</v>
      </c>
      <c r="B300" s="22" t="s">
        <v>13803</v>
      </c>
      <c r="C300" s="2">
        <v>2</v>
      </c>
      <c r="D300" s="23">
        <v>11.79</v>
      </c>
      <c r="E300" s="3">
        <v>23.58</v>
      </c>
      <c r="F300" s="2" t="s">
        <v>13804</v>
      </c>
      <c r="G300" s="22"/>
      <c r="H300" s="24" t="s">
        <v>19770</v>
      </c>
      <c r="I300" s="22" t="s">
        <v>19309</v>
      </c>
      <c r="J300" s="22" t="s">
        <v>19708</v>
      </c>
      <c r="K300" s="22" t="s">
        <v>19709</v>
      </c>
      <c r="L300" s="22"/>
      <c r="M300" s="22"/>
      <c r="N300" s="25" t="str">
        <f>HYPERLINK("http://slimages.macys.com/is/image/MCY/19063832 ")</f>
        <v xml:space="preserve">http://slimages.macys.com/is/image/MCY/19063832 </v>
      </c>
    </row>
    <row r="301" spans="1:14" x14ac:dyDescent="0.25">
      <c r="A301" s="21" t="s">
        <v>12237</v>
      </c>
      <c r="B301" s="22" t="s">
        <v>12238</v>
      </c>
      <c r="C301" s="2">
        <v>1</v>
      </c>
      <c r="D301" s="23">
        <v>11.79</v>
      </c>
      <c r="E301" s="3">
        <v>11.79</v>
      </c>
      <c r="F301" s="2" t="s">
        <v>18326</v>
      </c>
      <c r="G301" s="22"/>
      <c r="H301" s="24" t="s">
        <v>19330</v>
      </c>
      <c r="I301" s="22" t="s">
        <v>19309</v>
      </c>
      <c r="J301" s="22" t="s">
        <v>19708</v>
      </c>
      <c r="K301" s="22" t="s">
        <v>19709</v>
      </c>
      <c r="L301" s="22"/>
      <c r="M301" s="22"/>
      <c r="N301" s="25" t="str">
        <f>HYPERLINK("http://slimages.macys.com/is/image/MCY/19066797 ")</f>
        <v xml:space="preserve">http://slimages.macys.com/is/image/MCY/19066797 </v>
      </c>
    </row>
    <row r="302" spans="1:14" ht="24.75" x14ac:dyDescent="0.25">
      <c r="A302" s="21" t="s">
        <v>12239</v>
      </c>
      <c r="B302" s="22" t="s">
        <v>12240</v>
      </c>
      <c r="C302" s="2">
        <v>1</v>
      </c>
      <c r="D302" s="23">
        <v>11.79</v>
      </c>
      <c r="E302" s="3">
        <v>11.79</v>
      </c>
      <c r="F302" s="2" t="s">
        <v>12241</v>
      </c>
      <c r="G302" s="22" t="s">
        <v>19342</v>
      </c>
      <c r="H302" s="24" t="s">
        <v>19330</v>
      </c>
      <c r="I302" s="22" t="s">
        <v>19309</v>
      </c>
      <c r="J302" s="22" t="s">
        <v>19708</v>
      </c>
      <c r="K302" s="22" t="s">
        <v>19709</v>
      </c>
      <c r="L302" s="22"/>
      <c r="M302" s="22"/>
      <c r="N302" s="25" t="str">
        <f>HYPERLINK("http://slimages.macys.com/is/image/MCY/19050628 ")</f>
        <v xml:space="preserve">http://slimages.macys.com/is/image/MCY/19050628 </v>
      </c>
    </row>
    <row r="303" spans="1:14" ht="24.75" x14ac:dyDescent="0.25">
      <c r="A303" s="21" t="s">
        <v>13227</v>
      </c>
      <c r="B303" s="22" t="s">
        <v>13228</v>
      </c>
      <c r="C303" s="2">
        <v>1</v>
      </c>
      <c r="D303" s="23">
        <v>11.99</v>
      </c>
      <c r="E303" s="3">
        <v>11.99</v>
      </c>
      <c r="F303" s="2">
        <v>100007432</v>
      </c>
      <c r="G303" s="22" t="s">
        <v>19338</v>
      </c>
      <c r="H303" s="24" t="s">
        <v>18168</v>
      </c>
      <c r="I303" s="22" t="s">
        <v>19309</v>
      </c>
      <c r="J303" s="22" t="s">
        <v>19573</v>
      </c>
      <c r="K303" s="22" t="s">
        <v>20256</v>
      </c>
      <c r="L303" s="22" t="s">
        <v>19319</v>
      </c>
      <c r="M303" s="22" t="s">
        <v>20257</v>
      </c>
      <c r="N303" s="25" t="str">
        <f>HYPERLINK("http://slimages.macys.com/is/image/MCY/9157890 ")</f>
        <v xml:space="preserve">http://slimages.macys.com/is/image/MCY/9157890 </v>
      </c>
    </row>
    <row r="304" spans="1:14" ht="24.75" x14ac:dyDescent="0.25">
      <c r="A304" s="21" t="s">
        <v>12242</v>
      </c>
      <c r="B304" s="22" t="s">
        <v>12243</v>
      </c>
      <c r="C304" s="2">
        <v>1</v>
      </c>
      <c r="D304" s="23">
        <v>12.99</v>
      </c>
      <c r="E304" s="3">
        <v>12.99</v>
      </c>
      <c r="F304" s="2" t="s">
        <v>12244</v>
      </c>
      <c r="G304" s="22" t="s">
        <v>19351</v>
      </c>
      <c r="H304" s="24"/>
      <c r="I304" s="22" t="s">
        <v>19309</v>
      </c>
      <c r="J304" s="22" t="s">
        <v>20076</v>
      </c>
      <c r="K304" s="22" t="s">
        <v>12199</v>
      </c>
      <c r="L304" s="22"/>
      <c r="M304" s="22"/>
      <c r="N304" s="25" t="str">
        <f>HYPERLINK("http://slimages.macys.com/is/image/MCY/19932516 ")</f>
        <v xml:space="preserve">http://slimages.macys.com/is/image/MCY/19932516 </v>
      </c>
    </row>
    <row r="305" spans="1:14" ht="24.75" x14ac:dyDescent="0.25">
      <c r="A305" s="21" t="s">
        <v>12245</v>
      </c>
      <c r="B305" s="22" t="s">
        <v>12246</v>
      </c>
      <c r="C305" s="2">
        <v>1</v>
      </c>
      <c r="D305" s="23">
        <v>12.99</v>
      </c>
      <c r="E305" s="3">
        <v>12.99</v>
      </c>
      <c r="F305" s="2" t="s">
        <v>12247</v>
      </c>
      <c r="G305" s="22" t="s">
        <v>19315</v>
      </c>
      <c r="H305" s="24"/>
      <c r="I305" s="22" t="s">
        <v>19309</v>
      </c>
      <c r="J305" s="22" t="s">
        <v>20076</v>
      </c>
      <c r="K305" s="22" t="s">
        <v>12199</v>
      </c>
      <c r="L305" s="22" t="s">
        <v>19319</v>
      </c>
      <c r="M305" s="22" t="s">
        <v>12712</v>
      </c>
      <c r="N305" s="25" t="str">
        <f>HYPERLINK("http://slimages.macys.com/is/image/MCY/14890413 ")</f>
        <v xml:space="preserve">http://slimages.macys.com/is/image/MCY/14890413 </v>
      </c>
    </row>
    <row r="306" spans="1:14" ht="24.75" x14ac:dyDescent="0.25">
      <c r="A306" s="21" t="s">
        <v>12248</v>
      </c>
      <c r="B306" s="22" t="s">
        <v>12249</v>
      </c>
      <c r="C306" s="2">
        <v>1</v>
      </c>
      <c r="D306" s="23">
        <v>12.99</v>
      </c>
      <c r="E306" s="3">
        <v>12.99</v>
      </c>
      <c r="F306" s="2" t="s">
        <v>12247</v>
      </c>
      <c r="G306" s="22" t="s">
        <v>19315</v>
      </c>
      <c r="H306" s="24"/>
      <c r="I306" s="22" t="s">
        <v>19309</v>
      </c>
      <c r="J306" s="22" t="s">
        <v>20076</v>
      </c>
      <c r="K306" s="22" t="s">
        <v>12199</v>
      </c>
      <c r="L306" s="22" t="s">
        <v>19319</v>
      </c>
      <c r="M306" s="22" t="s">
        <v>12712</v>
      </c>
      <c r="N306" s="25" t="str">
        <f>HYPERLINK("http://slimages.macys.com/is/image/MCY/14890413 ")</f>
        <v xml:space="preserve">http://slimages.macys.com/is/image/MCY/14890413 </v>
      </c>
    </row>
    <row r="307" spans="1:14" ht="24.75" x14ac:dyDescent="0.25">
      <c r="A307" s="21" t="s">
        <v>12250</v>
      </c>
      <c r="B307" s="22" t="s">
        <v>12251</v>
      </c>
      <c r="C307" s="2">
        <v>1</v>
      </c>
      <c r="D307" s="23">
        <v>12.99</v>
      </c>
      <c r="E307" s="3">
        <v>12.99</v>
      </c>
      <c r="F307" s="2" t="s">
        <v>12247</v>
      </c>
      <c r="G307" s="22" t="s">
        <v>19315</v>
      </c>
      <c r="H307" s="24"/>
      <c r="I307" s="22" t="s">
        <v>19309</v>
      </c>
      <c r="J307" s="22" t="s">
        <v>20076</v>
      </c>
      <c r="K307" s="22" t="s">
        <v>12199</v>
      </c>
      <c r="L307" s="22" t="s">
        <v>19319</v>
      </c>
      <c r="M307" s="22" t="s">
        <v>12712</v>
      </c>
      <c r="N307" s="25" t="str">
        <f>HYPERLINK("http://slimages.macys.com/is/image/MCY/14890413 ")</f>
        <v xml:space="preserve">http://slimages.macys.com/is/image/MCY/14890413 </v>
      </c>
    </row>
    <row r="308" spans="1:14" ht="24.75" x14ac:dyDescent="0.25">
      <c r="A308" s="21" t="s">
        <v>12252</v>
      </c>
      <c r="B308" s="22" t="s">
        <v>12253</v>
      </c>
      <c r="C308" s="2">
        <v>1</v>
      </c>
      <c r="D308" s="23">
        <v>13.99</v>
      </c>
      <c r="E308" s="3">
        <v>13.99</v>
      </c>
      <c r="F308" s="2" t="s">
        <v>18412</v>
      </c>
      <c r="G308" s="22" t="s">
        <v>19351</v>
      </c>
      <c r="H308" s="24" t="s">
        <v>19416</v>
      </c>
      <c r="I308" s="22" t="s">
        <v>19309</v>
      </c>
      <c r="J308" s="22" t="s">
        <v>19573</v>
      </c>
      <c r="K308" s="22" t="s">
        <v>19574</v>
      </c>
      <c r="L308" s="22"/>
      <c r="M308" s="22"/>
      <c r="N308" s="25" t="str">
        <f>HYPERLINK("http://slimages.macys.com/is/image/MCY/1554795 ")</f>
        <v xml:space="preserve">http://slimages.macys.com/is/image/MCY/1554795 </v>
      </c>
    </row>
    <row r="309" spans="1:14" ht="24.75" x14ac:dyDescent="0.25">
      <c r="A309" s="21" t="s">
        <v>12254</v>
      </c>
      <c r="B309" s="22" t="s">
        <v>12255</v>
      </c>
      <c r="C309" s="2">
        <v>1</v>
      </c>
      <c r="D309" s="23">
        <v>13.99</v>
      </c>
      <c r="E309" s="3">
        <v>13.99</v>
      </c>
      <c r="F309" s="2" t="s">
        <v>18412</v>
      </c>
      <c r="G309" s="22" t="s">
        <v>19674</v>
      </c>
      <c r="H309" s="24" t="s">
        <v>19384</v>
      </c>
      <c r="I309" s="22" t="s">
        <v>19309</v>
      </c>
      <c r="J309" s="22" t="s">
        <v>19573</v>
      </c>
      <c r="K309" s="22" t="s">
        <v>19574</v>
      </c>
      <c r="L309" s="22"/>
      <c r="M309" s="22"/>
      <c r="N309" s="25" t="str">
        <f>HYPERLINK("http://slimages.macys.com/is/image/MCY/21907847 ")</f>
        <v xml:space="preserve">http://slimages.macys.com/is/image/MCY/21907847 </v>
      </c>
    </row>
    <row r="310" spans="1:14" ht="24.75" x14ac:dyDescent="0.25">
      <c r="A310" s="21" t="s">
        <v>18413</v>
      </c>
      <c r="B310" s="22" t="s">
        <v>18414</v>
      </c>
      <c r="C310" s="2">
        <v>2</v>
      </c>
      <c r="D310" s="23">
        <v>13.99</v>
      </c>
      <c r="E310" s="3">
        <v>27.98</v>
      </c>
      <c r="F310" s="2" t="s">
        <v>18412</v>
      </c>
      <c r="G310" s="22" t="s">
        <v>19674</v>
      </c>
      <c r="H310" s="24" t="s">
        <v>19538</v>
      </c>
      <c r="I310" s="22" t="s">
        <v>19309</v>
      </c>
      <c r="J310" s="22" t="s">
        <v>19573</v>
      </c>
      <c r="K310" s="22" t="s">
        <v>19574</v>
      </c>
      <c r="L310" s="22"/>
      <c r="M310" s="22"/>
      <c r="N310" s="25" t="str">
        <f>HYPERLINK("http://slimages.macys.com/is/image/MCY/1554795 ")</f>
        <v xml:space="preserve">http://slimages.macys.com/is/image/MCY/1554795 </v>
      </c>
    </row>
    <row r="311" spans="1:14" ht="24.75" x14ac:dyDescent="0.25">
      <c r="A311" s="21" t="s">
        <v>12256</v>
      </c>
      <c r="B311" s="22" t="s">
        <v>12257</v>
      </c>
      <c r="C311" s="2">
        <v>1</v>
      </c>
      <c r="D311" s="23">
        <v>13.99</v>
      </c>
      <c r="E311" s="3">
        <v>13.99</v>
      </c>
      <c r="F311" s="2" t="s">
        <v>18412</v>
      </c>
      <c r="G311" s="22" t="s">
        <v>19351</v>
      </c>
      <c r="H311" s="24" t="s">
        <v>19324</v>
      </c>
      <c r="I311" s="22" t="s">
        <v>19309</v>
      </c>
      <c r="J311" s="22" t="s">
        <v>19573</v>
      </c>
      <c r="K311" s="22" t="s">
        <v>19574</v>
      </c>
      <c r="L311" s="22"/>
      <c r="M311" s="22"/>
      <c r="N311" s="25" t="str">
        <f>HYPERLINK("http://slimages.macys.com/is/image/MCY/1554795 ")</f>
        <v xml:space="preserve">http://slimages.macys.com/is/image/MCY/1554795 </v>
      </c>
    </row>
    <row r="312" spans="1:14" x14ac:dyDescent="0.25">
      <c r="A312" s="21" t="s">
        <v>12258</v>
      </c>
      <c r="B312" s="22" t="s">
        <v>12259</v>
      </c>
      <c r="C312" s="2">
        <v>2</v>
      </c>
      <c r="D312" s="23">
        <v>14.56</v>
      </c>
      <c r="E312" s="3">
        <v>29.12</v>
      </c>
      <c r="F312" s="2" t="s">
        <v>12260</v>
      </c>
      <c r="G312" s="22"/>
      <c r="H312" s="24" t="s">
        <v>19367</v>
      </c>
      <c r="I312" s="22" t="s">
        <v>19309</v>
      </c>
      <c r="J312" s="22" t="s">
        <v>19708</v>
      </c>
      <c r="K312" s="22" t="s">
        <v>19709</v>
      </c>
      <c r="L312" s="22"/>
      <c r="M312" s="22"/>
      <c r="N312" s="25" t="str">
        <f>HYPERLINK("http://slimages.macys.com/is/image/MCY/20430268 ")</f>
        <v xml:space="preserve">http://slimages.macys.com/is/image/MCY/20430268 </v>
      </c>
    </row>
    <row r="313" spans="1:14" x14ac:dyDescent="0.25">
      <c r="A313" s="21" t="s">
        <v>12261</v>
      </c>
      <c r="B313" s="22" t="s">
        <v>12262</v>
      </c>
      <c r="C313" s="2">
        <v>1</v>
      </c>
      <c r="D313" s="23">
        <v>11.99</v>
      </c>
      <c r="E313" s="3">
        <v>11.99</v>
      </c>
      <c r="F313" s="2" t="s">
        <v>12263</v>
      </c>
      <c r="G313" s="22" t="s">
        <v>19674</v>
      </c>
      <c r="H313" s="24" t="s">
        <v>19797</v>
      </c>
      <c r="I313" s="22" t="s">
        <v>19309</v>
      </c>
      <c r="J313" s="22" t="s">
        <v>19849</v>
      </c>
      <c r="K313" s="22" t="s">
        <v>19850</v>
      </c>
      <c r="L313" s="22"/>
      <c r="M313" s="22"/>
      <c r="N313" s="25" t="str">
        <f>HYPERLINK("http://slimages.macys.com/is/image/MCY/20530782 ")</f>
        <v xml:space="preserve">http://slimages.macys.com/is/image/MCY/20530782 </v>
      </c>
    </row>
    <row r="314" spans="1:14" ht="24.75" x14ac:dyDescent="0.25">
      <c r="A314" s="21" t="s">
        <v>12264</v>
      </c>
      <c r="B314" s="22" t="s">
        <v>12265</v>
      </c>
      <c r="C314" s="2">
        <v>1</v>
      </c>
      <c r="D314" s="23">
        <v>8.99</v>
      </c>
      <c r="E314" s="3">
        <v>8.99</v>
      </c>
      <c r="F314" s="2" t="s">
        <v>18435</v>
      </c>
      <c r="G314" s="22" t="s">
        <v>19467</v>
      </c>
      <c r="H314" s="24" t="s">
        <v>19308</v>
      </c>
      <c r="I314" s="22" t="s">
        <v>19309</v>
      </c>
      <c r="J314" s="22" t="s">
        <v>19310</v>
      </c>
      <c r="K314" s="22" t="s">
        <v>19873</v>
      </c>
      <c r="L314" s="22"/>
      <c r="M314" s="22"/>
      <c r="N314" s="25" t="str">
        <f>HYPERLINK("http://slimages.macys.com/is/image/MCY/20663278 ")</f>
        <v xml:space="preserve">http://slimages.macys.com/is/image/MCY/20663278 </v>
      </c>
    </row>
    <row r="315" spans="1:14" ht="24.75" x14ac:dyDescent="0.25">
      <c r="A315" s="21" t="s">
        <v>12266</v>
      </c>
      <c r="B315" s="22" t="s">
        <v>12267</v>
      </c>
      <c r="C315" s="2">
        <v>1</v>
      </c>
      <c r="D315" s="23">
        <v>26</v>
      </c>
      <c r="E315" s="3">
        <v>26</v>
      </c>
      <c r="F315" s="2" t="s">
        <v>12268</v>
      </c>
      <c r="G315" s="22" t="s">
        <v>19537</v>
      </c>
      <c r="H315" s="24" t="s">
        <v>19538</v>
      </c>
      <c r="I315" s="22" t="s">
        <v>19309</v>
      </c>
      <c r="J315" s="22" t="s">
        <v>19417</v>
      </c>
      <c r="K315" s="22" t="s">
        <v>18317</v>
      </c>
      <c r="L315" s="22"/>
      <c r="M315" s="22"/>
      <c r="N315" s="25" t="str">
        <f>HYPERLINK("http://slimages.macys.com/is/image/MCY/21614894 ")</f>
        <v xml:space="preserve">http://slimages.macys.com/is/image/MCY/21614894 </v>
      </c>
    </row>
    <row r="316" spans="1:14" x14ac:dyDescent="0.25">
      <c r="A316" s="21" t="s">
        <v>12269</v>
      </c>
      <c r="B316" s="22" t="s">
        <v>12270</v>
      </c>
      <c r="C316" s="2">
        <v>1</v>
      </c>
      <c r="D316" s="23">
        <v>26</v>
      </c>
      <c r="E316" s="3">
        <v>26</v>
      </c>
      <c r="F316" s="2" t="s">
        <v>12271</v>
      </c>
      <c r="G316" s="22"/>
      <c r="H316" s="24" t="s">
        <v>19384</v>
      </c>
      <c r="I316" s="22" t="s">
        <v>19309</v>
      </c>
      <c r="J316" s="22" t="s">
        <v>19417</v>
      </c>
      <c r="K316" s="22" t="s">
        <v>18317</v>
      </c>
      <c r="L316" s="22"/>
      <c r="M316" s="22"/>
      <c r="N316" s="25" t="str">
        <f>HYPERLINK("http://slimages.macys.com/is/image/MCY/21614894 ")</f>
        <v xml:space="preserve">http://slimages.macys.com/is/image/MCY/21614894 </v>
      </c>
    </row>
    <row r="317" spans="1:14" ht="24.75" x14ac:dyDescent="0.25">
      <c r="A317" s="21" t="s">
        <v>12272</v>
      </c>
      <c r="B317" s="22" t="s">
        <v>12273</v>
      </c>
      <c r="C317" s="2">
        <v>1</v>
      </c>
      <c r="D317" s="23">
        <v>16.989999999999998</v>
      </c>
      <c r="E317" s="3">
        <v>16.989999999999998</v>
      </c>
      <c r="F317" s="2" t="s">
        <v>12274</v>
      </c>
      <c r="G317" s="22" t="s">
        <v>19477</v>
      </c>
      <c r="H317" s="24" t="s">
        <v>19352</v>
      </c>
      <c r="I317" s="22" t="s">
        <v>19309</v>
      </c>
      <c r="J317" s="22" t="s">
        <v>19849</v>
      </c>
      <c r="K317" s="22" t="s">
        <v>19850</v>
      </c>
      <c r="L317" s="22"/>
      <c r="M317" s="22"/>
      <c r="N317" s="25" t="str">
        <f>HYPERLINK("http://slimages.macys.com/is/image/MCY/19038744 ")</f>
        <v xml:space="preserve">http://slimages.macys.com/is/image/MCY/19038744 </v>
      </c>
    </row>
    <row r="318" spans="1:14" ht="24.75" x14ac:dyDescent="0.25">
      <c r="A318" s="21" t="s">
        <v>12275</v>
      </c>
      <c r="B318" s="22" t="s">
        <v>12276</v>
      </c>
      <c r="C318" s="2">
        <v>1</v>
      </c>
      <c r="D318" s="23">
        <v>13.99</v>
      </c>
      <c r="E318" s="3">
        <v>13.99</v>
      </c>
      <c r="F318" s="2" t="s">
        <v>18470</v>
      </c>
      <c r="G318" s="22" t="s">
        <v>19351</v>
      </c>
      <c r="H318" s="24" t="s">
        <v>19324</v>
      </c>
      <c r="I318" s="22" t="s">
        <v>19309</v>
      </c>
      <c r="J318" s="22" t="s">
        <v>19573</v>
      </c>
      <c r="K318" s="22" t="s">
        <v>19574</v>
      </c>
      <c r="L318" s="22"/>
      <c r="M318" s="22"/>
      <c r="N318" s="25" t="str">
        <f>HYPERLINK("http://slimages.macys.com/is/image/MCY/1554883 ")</f>
        <v xml:space="preserve">http://slimages.macys.com/is/image/MCY/1554883 </v>
      </c>
    </row>
    <row r="319" spans="1:14" ht="24.75" x14ac:dyDescent="0.25">
      <c r="A319" s="21" t="s">
        <v>12277</v>
      </c>
      <c r="B319" s="22" t="s">
        <v>12278</v>
      </c>
      <c r="C319" s="2">
        <v>1</v>
      </c>
      <c r="D319" s="23">
        <v>13.99</v>
      </c>
      <c r="E319" s="3">
        <v>13.99</v>
      </c>
      <c r="F319" s="2" t="s">
        <v>13828</v>
      </c>
      <c r="G319" s="22" t="s">
        <v>19618</v>
      </c>
      <c r="H319" s="24" t="s">
        <v>19330</v>
      </c>
      <c r="I319" s="22" t="s">
        <v>19309</v>
      </c>
      <c r="J319" s="22" t="s">
        <v>19573</v>
      </c>
      <c r="K319" s="22" t="s">
        <v>19574</v>
      </c>
      <c r="L319" s="22"/>
      <c r="M319" s="22"/>
      <c r="N319" s="25" t="str">
        <f>HYPERLINK("http://slimages.macys.com/is/image/MCY/1554876 ")</f>
        <v xml:space="preserve">http://slimages.macys.com/is/image/MCY/1554876 </v>
      </c>
    </row>
    <row r="320" spans="1:14" x14ac:dyDescent="0.25">
      <c r="A320" s="21" t="s">
        <v>16495</v>
      </c>
      <c r="B320" s="22" t="s">
        <v>16496</v>
      </c>
      <c r="C320" s="2">
        <v>2</v>
      </c>
      <c r="D320" s="23">
        <v>13.99</v>
      </c>
      <c r="E320" s="3">
        <v>27.98</v>
      </c>
      <c r="F320" s="2" t="s">
        <v>16497</v>
      </c>
      <c r="G320" s="22" t="s">
        <v>19618</v>
      </c>
      <c r="H320" s="24" t="s">
        <v>19364</v>
      </c>
      <c r="I320" s="22" t="s">
        <v>19309</v>
      </c>
      <c r="J320" s="22" t="s">
        <v>19849</v>
      </c>
      <c r="K320" s="22" t="s">
        <v>19850</v>
      </c>
      <c r="L320" s="22"/>
      <c r="M320" s="22"/>
      <c r="N320" s="25" t="str">
        <f>HYPERLINK("http://slimages.macys.com/is/image/MCY/21270437 ")</f>
        <v xml:space="preserve">http://slimages.macys.com/is/image/MCY/21270437 </v>
      </c>
    </row>
    <row r="321" spans="1:14" x14ac:dyDescent="0.25">
      <c r="A321" s="21" t="s">
        <v>16211</v>
      </c>
      <c r="B321" s="22" t="s">
        <v>16212</v>
      </c>
      <c r="C321" s="2">
        <v>1</v>
      </c>
      <c r="D321" s="23">
        <v>13.99</v>
      </c>
      <c r="E321" s="3">
        <v>13.99</v>
      </c>
      <c r="F321" s="2" t="s">
        <v>16497</v>
      </c>
      <c r="G321" s="22" t="s">
        <v>19618</v>
      </c>
      <c r="H321" s="24" t="s">
        <v>19797</v>
      </c>
      <c r="I321" s="22" t="s">
        <v>19309</v>
      </c>
      <c r="J321" s="22" t="s">
        <v>19849</v>
      </c>
      <c r="K321" s="22" t="s">
        <v>19850</v>
      </c>
      <c r="L321" s="22"/>
      <c r="M321" s="22"/>
      <c r="N321" s="25" t="str">
        <f>HYPERLINK("http://slimages.macys.com/is/image/MCY/21270437 ")</f>
        <v xml:space="preserve">http://slimages.macys.com/is/image/MCY/21270437 </v>
      </c>
    </row>
    <row r="322" spans="1:14" ht="24.75" x14ac:dyDescent="0.25">
      <c r="A322" s="21" t="s">
        <v>12279</v>
      </c>
      <c r="B322" s="22" t="s">
        <v>12280</v>
      </c>
      <c r="C322" s="2">
        <v>1</v>
      </c>
      <c r="D322" s="23">
        <v>13.99</v>
      </c>
      <c r="E322" s="3">
        <v>13.99</v>
      </c>
      <c r="F322" s="2" t="s">
        <v>13828</v>
      </c>
      <c r="G322" s="22" t="s">
        <v>19618</v>
      </c>
      <c r="H322" s="24" t="s">
        <v>19384</v>
      </c>
      <c r="I322" s="22" t="s">
        <v>19309</v>
      </c>
      <c r="J322" s="22" t="s">
        <v>19573</v>
      </c>
      <c r="K322" s="22" t="s">
        <v>19574</v>
      </c>
      <c r="L322" s="22"/>
      <c r="M322" s="22"/>
      <c r="N322" s="25" t="str">
        <f>HYPERLINK("http://slimages.macys.com/is/image/MCY/21361742 ")</f>
        <v xml:space="preserve">http://slimages.macys.com/is/image/MCY/21361742 </v>
      </c>
    </row>
    <row r="323" spans="1:14" ht="24.75" x14ac:dyDescent="0.25">
      <c r="A323" s="21" t="s">
        <v>12281</v>
      </c>
      <c r="B323" s="22" t="s">
        <v>12282</v>
      </c>
      <c r="C323" s="2">
        <v>1</v>
      </c>
      <c r="D323" s="23">
        <v>13.99</v>
      </c>
      <c r="E323" s="3">
        <v>13.99</v>
      </c>
      <c r="F323" s="2" t="s">
        <v>16497</v>
      </c>
      <c r="G323" s="22" t="s">
        <v>19674</v>
      </c>
      <c r="H323" s="24" t="s">
        <v>19352</v>
      </c>
      <c r="I323" s="22" t="s">
        <v>19309</v>
      </c>
      <c r="J323" s="22" t="s">
        <v>19849</v>
      </c>
      <c r="K323" s="22" t="s">
        <v>19850</v>
      </c>
      <c r="L323" s="22"/>
      <c r="M323" s="22"/>
      <c r="N323" s="25" t="str">
        <f>HYPERLINK("http://slimages.macys.com/is/image/MCY/21270437 ")</f>
        <v xml:space="preserve">http://slimages.macys.com/is/image/MCY/21270437 </v>
      </c>
    </row>
    <row r="324" spans="1:14" x14ac:dyDescent="0.25">
      <c r="A324" s="21" t="s">
        <v>12283</v>
      </c>
      <c r="B324" s="22" t="s">
        <v>12284</v>
      </c>
      <c r="C324" s="2">
        <v>1</v>
      </c>
      <c r="D324" s="23">
        <v>13.99</v>
      </c>
      <c r="E324" s="3">
        <v>13.99</v>
      </c>
      <c r="F324" s="2" t="s">
        <v>16497</v>
      </c>
      <c r="G324" s="22" t="s">
        <v>19618</v>
      </c>
      <c r="H324" s="24" t="s">
        <v>19339</v>
      </c>
      <c r="I324" s="22" t="s">
        <v>19309</v>
      </c>
      <c r="J324" s="22" t="s">
        <v>19849</v>
      </c>
      <c r="K324" s="22" t="s">
        <v>19850</v>
      </c>
      <c r="L324" s="22"/>
      <c r="M324" s="22"/>
      <c r="N324" s="25" t="str">
        <f>HYPERLINK("http://slimages.macys.com/is/image/MCY/21270437 ")</f>
        <v xml:space="preserve">http://slimages.macys.com/is/image/MCY/21270437 </v>
      </c>
    </row>
    <row r="325" spans="1:14" ht="24.75" x14ac:dyDescent="0.25">
      <c r="A325" s="21" t="s">
        <v>18468</v>
      </c>
      <c r="B325" s="22" t="s">
        <v>18469</v>
      </c>
      <c r="C325" s="2">
        <v>1</v>
      </c>
      <c r="D325" s="23">
        <v>13.99</v>
      </c>
      <c r="E325" s="3">
        <v>13.99</v>
      </c>
      <c r="F325" s="2" t="s">
        <v>18470</v>
      </c>
      <c r="G325" s="22" t="s">
        <v>19351</v>
      </c>
      <c r="H325" s="24" t="s">
        <v>19384</v>
      </c>
      <c r="I325" s="22" t="s">
        <v>19309</v>
      </c>
      <c r="J325" s="22" t="s">
        <v>19573</v>
      </c>
      <c r="K325" s="22" t="s">
        <v>19574</v>
      </c>
      <c r="L325" s="22"/>
      <c r="M325" s="22"/>
      <c r="N325" s="25" t="str">
        <f>HYPERLINK("http://slimages.macys.com/is/image/MCY/21361742 ")</f>
        <v xml:space="preserve">http://slimages.macys.com/is/image/MCY/21361742 </v>
      </c>
    </row>
    <row r="326" spans="1:14" ht="24.75" x14ac:dyDescent="0.25">
      <c r="A326" s="21" t="s">
        <v>12285</v>
      </c>
      <c r="B326" s="22" t="s">
        <v>12286</v>
      </c>
      <c r="C326" s="2">
        <v>1</v>
      </c>
      <c r="D326" s="23">
        <v>13.99</v>
      </c>
      <c r="E326" s="3">
        <v>13.99</v>
      </c>
      <c r="F326" s="2" t="s">
        <v>12287</v>
      </c>
      <c r="G326" s="22" t="s">
        <v>19670</v>
      </c>
      <c r="H326" s="24" t="s">
        <v>19339</v>
      </c>
      <c r="I326" s="22" t="s">
        <v>19309</v>
      </c>
      <c r="J326" s="22" t="s">
        <v>19849</v>
      </c>
      <c r="K326" s="22" t="s">
        <v>19850</v>
      </c>
      <c r="L326" s="22"/>
      <c r="M326" s="22"/>
      <c r="N326" s="25" t="str">
        <f>HYPERLINK("http://slimages.macys.com/is/image/MCY/20752050 ")</f>
        <v xml:space="preserve">http://slimages.macys.com/is/image/MCY/20752050 </v>
      </c>
    </row>
    <row r="327" spans="1:14" x14ac:dyDescent="0.25">
      <c r="A327" s="21" t="s">
        <v>12288</v>
      </c>
      <c r="B327" s="22" t="s">
        <v>12289</v>
      </c>
      <c r="C327" s="2">
        <v>1</v>
      </c>
      <c r="D327" s="23">
        <v>13.99</v>
      </c>
      <c r="E327" s="3">
        <v>13.99</v>
      </c>
      <c r="F327" s="2" t="s">
        <v>12290</v>
      </c>
      <c r="G327" s="22" t="s">
        <v>19618</v>
      </c>
      <c r="H327" s="24" t="s">
        <v>19339</v>
      </c>
      <c r="I327" s="22" t="s">
        <v>19309</v>
      </c>
      <c r="J327" s="22" t="s">
        <v>19849</v>
      </c>
      <c r="K327" s="22" t="s">
        <v>19850</v>
      </c>
      <c r="L327" s="22"/>
      <c r="M327" s="22"/>
      <c r="N327" s="25" t="str">
        <f>HYPERLINK("http://slimages.macys.com/is/image/MCY/20751929 ")</f>
        <v xml:space="preserve">http://slimages.macys.com/is/image/MCY/20751929 </v>
      </c>
    </row>
    <row r="328" spans="1:14" x14ac:dyDescent="0.25">
      <c r="A328" s="21" t="s">
        <v>18482</v>
      </c>
      <c r="B328" s="22" t="s">
        <v>18483</v>
      </c>
      <c r="C328" s="2">
        <v>1</v>
      </c>
      <c r="D328" s="23">
        <v>13.77</v>
      </c>
      <c r="E328" s="3">
        <v>13.77</v>
      </c>
      <c r="F328" s="2" t="s">
        <v>18476</v>
      </c>
      <c r="G328" s="22"/>
      <c r="H328" s="24" t="s">
        <v>19330</v>
      </c>
      <c r="I328" s="22" t="s">
        <v>19309</v>
      </c>
      <c r="J328" s="22" t="s">
        <v>19708</v>
      </c>
      <c r="K328" s="22" t="s">
        <v>19709</v>
      </c>
      <c r="L328" s="22"/>
      <c r="M328" s="22"/>
      <c r="N328" s="25" t="str">
        <f>HYPERLINK("http://slimages.macys.com/is/image/MCY/21758809 ")</f>
        <v xml:space="preserve">http://slimages.macys.com/is/image/MCY/21758809 </v>
      </c>
    </row>
    <row r="329" spans="1:14" ht="24.75" x14ac:dyDescent="0.25">
      <c r="A329" s="21" t="s">
        <v>12291</v>
      </c>
      <c r="B329" s="22" t="s">
        <v>12292</v>
      </c>
      <c r="C329" s="2">
        <v>1</v>
      </c>
      <c r="D329" s="23">
        <v>8.99</v>
      </c>
      <c r="E329" s="3">
        <v>8.99</v>
      </c>
      <c r="F329" s="2" t="s">
        <v>12293</v>
      </c>
      <c r="G329" s="22" t="s">
        <v>19351</v>
      </c>
      <c r="H329" s="24" t="s">
        <v>19797</v>
      </c>
      <c r="I329" s="22" t="s">
        <v>19309</v>
      </c>
      <c r="J329" s="22" t="s">
        <v>19447</v>
      </c>
      <c r="K329" s="22" t="s">
        <v>19873</v>
      </c>
      <c r="L329" s="22"/>
      <c r="M329" s="22"/>
      <c r="N329" s="25" t="str">
        <f>HYPERLINK("http://slimages.macys.com/is/image/MCY/19945187 ")</f>
        <v xml:space="preserve">http://slimages.macys.com/is/image/MCY/19945187 </v>
      </c>
    </row>
    <row r="330" spans="1:14" x14ac:dyDescent="0.25">
      <c r="A330" s="21" t="s">
        <v>12294</v>
      </c>
      <c r="B330" s="22" t="s">
        <v>12295</v>
      </c>
      <c r="C330" s="2">
        <v>1</v>
      </c>
      <c r="D330" s="23">
        <v>13.77</v>
      </c>
      <c r="E330" s="3">
        <v>13.77</v>
      </c>
      <c r="F330" s="2" t="s">
        <v>12296</v>
      </c>
      <c r="G330" s="22" t="s">
        <v>19594</v>
      </c>
      <c r="H330" s="24" t="s">
        <v>19416</v>
      </c>
      <c r="I330" s="22" t="s">
        <v>19309</v>
      </c>
      <c r="J330" s="22" t="s">
        <v>19708</v>
      </c>
      <c r="K330" s="22" t="s">
        <v>19709</v>
      </c>
      <c r="L330" s="22"/>
      <c r="M330" s="22"/>
      <c r="N330" s="25" t="str">
        <f>HYPERLINK("http://slimages.macys.com/is/image/MCY/21758198 ")</f>
        <v xml:space="preserve">http://slimages.macys.com/is/image/MCY/21758198 </v>
      </c>
    </row>
    <row r="331" spans="1:14" ht="24.75" x14ac:dyDescent="0.25">
      <c r="A331" s="21" t="s">
        <v>12297</v>
      </c>
      <c r="B331" s="22" t="s">
        <v>12298</v>
      </c>
      <c r="C331" s="2">
        <v>1</v>
      </c>
      <c r="D331" s="23">
        <v>8.99</v>
      </c>
      <c r="E331" s="3">
        <v>8.99</v>
      </c>
      <c r="F331" s="2" t="s">
        <v>12299</v>
      </c>
      <c r="G331" s="22" t="s">
        <v>19338</v>
      </c>
      <c r="H331" s="24" t="s">
        <v>19364</v>
      </c>
      <c r="I331" s="22" t="s">
        <v>19309</v>
      </c>
      <c r="J331" s="22" t="s">
        <v>19310</v>
      </c>
      <c r="K331" s="22" t="s">
        <v>19873</v>
      </c>
      <c r="L331" s="22"/>
      <c r="M331" s="22"/>
      <c r="N331" s="25" t="str">
        <f>HYPERLINK("http://slimages.macys.com/is/image/MCY/19933434 ")</f>
        <v xml:space="preserve">http://slimages.macys.com/is/image/MCY/19933434 </v>
      </c>
    </row>
    <row r="332" spans="1:14" x14ac:dyDescent="0.25">
      <c r="A332" s="21" t="s">
        <v>12300</v>
      </c>
      <c r="B332" s="22" t="s">
        <v>12301</v>
      </c>
      <c r="C332" s="2">
        <v>1</v>
      </c>
      <c r="D332" s="23">
        <v>13.77</v>
      </c>
      <c r="E332" s="3">
        <v>13.77</v>
      </c>
      <c r="F332" s="2" t="s">
        <v>16507</v>
      </c>
      <c r="G332" s="22" t="s">
        <v>19323</v>
      </c>
      <c r="H332" s="24" t="s">
        <v>19330</v>
      </c>
      <c r="I332" s="22" t="s">
        <v>19309</v>
      </c>
      <c r="J332" s="22" t="s">
        <v>19708</v>
      </c>
      <c r="K332" s="22" t="s">
        <v>19709</v>
      </c>
      <c r="L332" s="22"/>
      <c r="M332" s="22"/>
      <c r="N332" s="25" t="str">
        <f>HYPERLINK("http://slimages.macys.com/is/image/MCY/21758683 ")</f>
        <v xml:space="preserve">http://slimages.macys.com/is/image/MCY/21758683 </v>
      </c>
    </row>
    <row r="333" spans="1:14" x14ac:dyDescent="0.25">
      <c r="A333" s="21" t="s">
        <v>12302</v>
      </c>
      <c r="B333" s="22" t="s">
        <v>12303</v>
      </c>
      <c r="C333" s="2">
        <v>1</v>
      </c>
      <c r="D333" s="23">
        <v>13.77</v>
      </c>
      <c r="E333" s="3">
        <v>13.77</v>
      </c>
      <c r="F333" s="2" t="s">
        <v>12296</v>
      </c>
      <c r="G333" s="22" t="s">
        <v>19594</v>
      </c>
      <c r="H333" s="24" t="s">
        <v>19330</v>
      </c>
      <c r="I333" s="22" t="s">
        <v>19309</v>
      </c>
      <c r="J333" s="22" t="s">
        <v>19708</v>
      </c>
      <c r="K333" s="22" t="s">
        <v>19709</v>
      </c>
      <c r="L333" s="22"/>
      <c r="M333" s="22"/>
      <c r="N333" s="25" t="str">
        <f>HYPERLINK("http://slimages.macys.com/is/image/MCY/21758198 ")</f>
        <v xml:space="preserve">http://slimages.macys.com/is/image/MCY/21758198 </v>
      </c>
    </row>
    <row r="334" spans="1:14" ht="24.75" x14ac:dyDescent="0.25">
      <c r="A334" s="21" t="s">
        <v>13849</v>
      </c>
      <c r="B334" s="22" t="s">
        <v>13850</v>
      </c>
      <c r="C334" s="2">
        <v>1</v>
      </c>
      <c r="D334" s="23">
        <v>14.99</v>
      </c>
      <c r="E334" s="3">
        <v>14.99</v>
      </c>
      <c r="F334" s="2" t="s">
        <v>18501</v>
      </c>
      <c r="G334" s="22" t="s">
        <v>19323</v>
      </c>
      <c r="H334" s="24" t="s">
        <v>19797</v>
      </c>
      <c r="I334" s="22" t="s">
        <v>19309</v>
      </c>
      <c r="J334" s="22" t="s">
        <v>19595</v>
      </c>
      <c r="K334" s="22" t="s">
        <v>18498</v>
      </c>
      <c r="L334" s="22"/>
      <c r="M334" s="22"/>
      <c r="N334" s="25" t="str">
        <f>HYPERLINK("http://slimages.macys.com/is/image/MCY/21365889 ")</f>
        <v xml:space="preserve">http://slimages.macys.com/is/image/MCY/21365889 </v>
      </c>
    </row>
    <row r="335" spans="1:14" ht="24.75" x14ac:dyDescent="0.25">
      <c r="A335" s="21" t="s">
        <v>18499</v>
      </c>
      <c r="B335" s="22" t="s">
        <v>18500</v>
      </c>
      <c r="C335" s="2">
        <v>1</v>
      </c>
      <c r="D335" s="23">
        <v>14.99</v>
      </c>
      <c r="E335" s="3">
        <v>14.99</v>
      </c>
      <c r="F335" s="2" t="s">
        <v>18501</v>
      </c>
      <c r="G335" s="22" t="s">
        <v>19431</v>
      </c>
      <c r="H335" s="24" t="s">
        <v>18502</v>
      </c>
      <c r="I335" s="22" t="s">
        <v>19309</v>
      </c>
      <c r="J335" s="22" t="s">
        <v>19595</v>
      </c>
      <c r="K335" s="22" t="s">
        <v>18498</v>
      </c>
      <c r="L335" s="22"/>
      <c r="M335" s="22"/>
      <c r="N335" s="25" t="str">
        <f>HYPERLINK("http://slimages.macys.com/is/image/MCY/21365889 ")</f>
        <v xml:space="preserve">http://slimages.macys.com/is/image/MCY/21365889 </v>
      </c>
    </row>
    <row r="336" spans="1:14" ht="24.75" x14ac:dyDescent="0.25">
      <c r="A336" s="21" t="s">
        <v>12304</v>
      </c>
      <c r="B336" s="22" t="s">
        <v>12305</v>
      </c>
      <c r="C336" s="2">
        <v>1</v>
      </c>
      <c r="D336" s="23">
        <v>12.99</v>
      </c>
      <c r="E336" s="3">
        <v>12.99</v>
      </c>
      <c r="F336" s="2" t="s">
        <v>12306</v>
      </c>
      <c r="G336" s="22" t="s">
        <v>19618</v>
      </c>
      <c r="H336" s="24" t="s">
        <v>19538</v>
      </c>
      <c r="I336" s="22" t="s">
        <v>19309</v>
      </c>
      <c r="J336" s="22" t="s">
        <v>19573</v>
      </c>
      <c r="K336" s="22" t="s">
        <v>19574</v>
      </c>
      <c r="L336" s="22"/>
      <c r="M336" s="22"/>
      <c r="N336" s="25" t="str">
        <f>HYPERLINK("http://slimages.macys.com/is/image/MCY/19218039 ")</f>
        <v xml:space="preserve">http://slimages.macys.com/is/image/MCY/19218039 </v>
      </c>
    </row>
    <row r="337" spans="1:14" ht="24.75" x14ac:dyDescent="0.25">
      <c r="A337" s="21" t="s">
        <v>18503</v>
      </c>
      <c r="B337" s="22" t="s">
        <v>18504</v>
      </c>
      <c r="C337" s="2">
        <v>2</v>
      </c>
      <c r="D337" s="23">
        <v>14.99</v>
      </c>
      <c r="E337" s="3">
        <v>29.98</v>
      </c>
      <c r="F337" s="2" t="s">
        <v>18501</v>
      </c>
      <c r="G337" s="22" t="s">
        <v>19323</v>
      </c>
      <c r="H337" s="24" t="s">
        <v>18502</v>
      </c>
      <c r="I337" s="22" t="s">
        <v>19309</v>
      </c>
      <c r="J337" s="22" t="s">
        <v>19595</v>
      </c>
      <c r="K337" s="22" t="s">
        <v>18498</v>
      </c>
      <c r="L337" s="22"/>
      <c r="M337" s="22"/>
      <c r="N337" s="25" t="str">
        <f>HYPERLINK("http://slimages.macys.com/is/image/MCY/21365889 ")</f>
        <v xml:space="preserve">http://slimages.macys.com/is/image/MCY/21365889 </v>
      </c>
    </row>
    <row r="338" spans="1:14" ht="24.75" x14ac:dyDescent="0.25">
      <c r="A338" s="21" t="s">
        <v>18505</v>
      </c>
      <c r="B338" s="22" t="s">
        <v>18506</v>
      </c>
      <c r="C338" s="2">
        <v>2</v>
      </c>
      <c r="D338" s="23">
        <v>14.99</v>
      </c>
      <c r="E338" s="3">
        <v>29.98</v>
      </c>
      <c r="F338" s="2" t="s">
        <v>18501</v>
      </c>
      <c r="G338" s="22" t="s">
        <v>19323</v>
      </c>
      <c r="H338" s="24" t="s">
        <v>18507</v>
      </c>
      <c r="I338" s="22" t="s">
        <v>19309</v>
      </c>
      <c r="J338" s="22" t="s">
        <v>19595</v>
      </c>
      <c r="K338" s="22" t="s">
        <v>18498</v>
      </c>
      <c r="L338" s="22"/>
      <c r="M338" s="22"/>
      <c r="N338" s="25" t="str">
        <f>HYPERLINK("http://slimages.macys.com/is/image/MCY/21365889 ")</f>
        <v xml:space="preserve">http://slimages.macys.com/is/image/MCY/21365889 </v>
      </c>
    </row>
    <row r="339" spans="1:14" ht="24.75" x14ac:dyDescent="0.25">
      <c r="A339" s="21" t="s">
        <v>18508</v>
      </c>
      <c r="B339" s="22" t="s">
        <v>18495</v>
      </c>
      <c r="C339" s="2">
        <v>3</v>
      </c>
      <c r="D339" s="23">
        <v>14.99</v>
      </c>
      <c r="E339" s="3">
        <v>44.97</v>
      </c>
      <c r="F339" s="2" t="s">
        <v>18501</v>
      </c>
      <c r="G339" s="22" t="s">
        <v>19323</v>
      </c>
      <c r="H339" s="24" t="s">
        <v>18497</v>
      </c>
      <c r="I339" s="22" t="s">
        <v>19309</v>
      </c>
      <c r="J339" s="22" t="s">
        <v>19595</v>
      </c>
      <c r="K339" s="22" t="s">
        <v>18498</v>
      </c>
      <c r="L339" s="22"/>
      <c r="M339" s="22"/>
      <c r="N339" s="25" t="str">
        <f>HYPERLINK("http://slimages.macys.com/is/image/MCY/21365889 ")</f>
        <v xml:space="preserve">http://slimages.macys.com/is/image/MCY/21365889 </v>
      </c>
    </row>
    <row r="340" spans="1:14" ht="24.75" x14ac:dyDescent="0.25">
      <c r="A340" s="21" t="s">
        <v>12307</v>
      </c>
      <c r="B340" s="22" t="s">
        <v>12308</v>
      </c>
      <c r="C340" s="2">
        <v>1</v>
      </c>
      <c r="D340" s="23">
        <v>14.99</v>
      </c>
      <c r="E340" s="3">
        <v>14.99</v>
      </c>
      <c r="F340" s="2" t="s">
        <v>18527</v>
      </c>
      <c r="G340" s="22" t="s">
        <v>19415</v>
      </c>
      <c r="H340" s="24" t="s">
        <v>18393</v>
      </c>
      <c r="I340" s="22" t="s">
        <v>19309</v>
      </c>
      <c r="J340" s="22" t="s">
        <v>19573</v>
      </c>
      <c r="K340" s="22" t="s">
        <v>20228</v>
      </c>
      <c r="L340" s="22"/>
      <c r="M340" s="22"/>
      <c r="N340" s="25" t="str">
        <f>HYPERLINK("http://slimages.macys.com/is/image/MCY/1079446 ")</f>
        <v xml:space="preserve">http://slimages.macys.com/is/image/MCY/1079446 </v>
      </c>
    </row>
    <row r="341" spans="1:14" ht="24.75" x14ac:dyDescent="0.25">
      <c r="A341" s="21" t="s">
        <v>18528</v>
      </c>
      <c r="B341" s="22" t="s">
        <v>18529</v>
      </c>
      <c r="C341" s="2">
        <v>3</v>
      </c>
      <c r="D341" s="23">
        <v>14.99</v>
      </c>
      <c r="E341" s="3">
        <v>44.97</v>
      </c>
      <c r="F341" s="2" t="s">
        <v>18527</v>
      </c>
      <c r="G341" s="22" t="s">
        <v>19415</v>
      </c>
      <c r="H341" s="24" t="s">
        <v>18530</v>
      </c>
      <c r="I341" s="22" t="s">
        <v>19309</v>
      </c>
      <c r="J341" s="22" t="s">
        <v>19573</v>
      </c>
      <c r="K341" s="22" t="s">
        <v>20228</v>
      </c>
      <c r="L341" s="22"/>
      <c r="M341" s="22"/>
      <c r="N341" s="25" t="str">
        <f>HYPERLINK("http://slimages.macys.com/is/image/MCY/1079446 ")</f>
        <v xml:space="preserve">http://slimages.macys.com/is/image/MCY/1079446 </v>
      </c>
    </row>
    <row r="342" spans="1:14" ht="24.75" x14ac:dyDescent="0.25">
      <c r="A342" s="21" t="s">
        <v>12309</v>
      </c>
      <c r="B342" s="22" t="s">
        <v>12310</v>
      </c>
      <c r="C342" s="2">
        <v>1</v>
      </c>
      <c r="D342" s="23">
        <v>14.99</v>
      </c>
      <c r="E342" s="3">
        <v>14.99</v>
      </c>
      <c r="F342" s="2" t="s">
        <v>18527</v>
      </c>
      <c r="G342" s="22" t="s">
        <v>19415</v>
      </c>
      <c r="H342" s="24" t="s">
        <v>19395</v>
      </c>
      <c r="I342" s="22" t="s">
        <v>19309</v>
      </c>
      <c r="J342" s="22" t="s">
        <v>19573</v>
      </c>
      <c r="K342" s="22" t="s">
        <v>20228</v>
      </c>
      <c r="L342" s="22"/>
      <c r="M342" s="22"/>
      <c r="N342" s="25" t="str">
        <f>HYPERLINK("http://slimages.macys.com/is/image/MCY/21104965 ")</f>
        <v xml:space="preserve">http://slimages.macys.com/is/image/MCY/21104965 </v>
      </c>
    </row>
    <row r="343" spans="1:14" ht="24.75" x14ac:dyDescent="0.25">
      <c r="A343" s="21" t="s">
        <v>12311</v>
      </c>
      <c r="B343" s="22" t="s">
        <v>12312</v>
      </c>
      <c r="C343" s="2">
        <v>1</v>
      </c>
      <c r="D343" s="23">
        <v>13.99</v>
      </c>
      <c r="E343" s="3">
        <v>13.99</v>
      </c>
      <c r="F343" s="2" t="s">
        <v>12313</v>
      </c>
      <c r="G343" s="22" t="s">
        <v>19351</v>
      </c>
      <c r="H343" s="24" t="s">
        <v>19352</v>
      </c>
      <c r="I343" s="22" t="s">
        <v>19309</v>
      </c>
      <c r="J343" s="22" t="s">
        <v>19849</v>
      </c>
      <c r="K343" s="22" t="s">
        <v>19850</v>
      </c>
      <c r="L343" s="22"/>
      <c r="M343" s="22"/>
      <c r="N343" s="25" t="str">
        <f>HYPERLINK("http://slimages.macys.com/is/image/MCY/21270437 ")</f>
        <v xml:space="preserve">http://slimages.macys.com/is/image/MCY/21270437 </v>
      </c>
    </row>
    <row r="344" spans="1:14" x14ac:dyDescent="0.25">
      <c r="A344" s="21" t="s">
        <v>12314</v>
      </c>
      <c r="B344" s="22" t="s">
        <v>12315</v>
      </c>
      <c r="C344" s="2">
        <v>1</v>
      </c>
      <c r="D344" s="23">
        <v>13.99</v>
      </c>
      <c r="E344" s="3">
        <v>13.99</v>
      </c>
      <c r="F344" s="2" t="s">
        <v>12313</v>
      </c>
      <c r="G344" s="22" t="s">
        <v>19351</v>
      </c>
      <c r="H344" s="24" t="s">
        <v>19364</v>
      </c>
      <c r="I344" s="22" t="s">
        <v>19309</v>
      </c>
      <c r="J344" s="22" t="s">
        <v>19849</v>
      </c>
      <c r="K344" s="22" t="s">
        <v>19850</v>
      </c>
      <c r="L344" s="22"/>
      <c r="M344" s="22"/>
      <c r="N344" s="25" t="str">
        <f>HYPERLINK("http://slimages.macys.com/is/image/MCY/21270437 ")</f>
        <v xml:space="preserve">http://slimages.macys.com/is/image/MCY/21270437 </v>
      </c>
    </row>
    <row r="345" spans="1:14" ht="24.75" x14ac:dyDescent="0.25">
      <c r="A345" s="21" t="s">
        <v>16243</v>
      </c>
      <c r="B345" s="22" t="s">
        <v>16244</v>
      </c>
      <c r="C345" s="2">
        <v>1</v>
      </c>
      <c r="D345" s="23">
        <v>13.99</v>
      </c>
      <c r="E345" s="3">
        <v>13.99</v>
      </c>
      <c r="F345" s="2" t="s">
        <v>16245</v>
      </c>
      <c r="G345" s="22" t="s">
        <v>19351</v>
      </c>
      <c r="H345" s="24" t="s">
        <v>19538</v>
      </c>
      <c r="I345" s="22" t="s">
        <v>19309</v>
      </c>
      <c r="J345" s="22" t="s">
        <v>19573</v>
      </c>
      <c r="K345" s="22" t="s">
        <v>19574</v>
      </c>
      <c r="L345" s="22"/>
      <c r="M345" s="22"/>
      <c r="N345" s="25" t="str">
        <f>HYPERLINK("http://slimages.macys.com/is/image/MCY/1554881 ")</f>
        <v xml:space="preserve">http://slimages.macys.com/is/image/MCY/1554881 </v>
      </c>
    </row>
    <row r="346" spans="1:14" ht="24.75" x14ac:dyDescent="0.25">
      <c r="A346" s="21" t="s">
        <v>13863</v>
      </c>
      <c r="B346" s="22" t="s">
        <v>13864</v>
      </c>
      <c r="C346" s="2">
        <v>1</v>
      </c>
      <c r="D346" s="23">
        <v>13.99</v>
      </c>
      <c r="E346" s="3">
        <v>13.99</v>
      </c>
      <c r="F346" s="2" t="s">
        <v>18536</v>
      </c>
      <c r="G346" s="22" t="s">
        <v>19674</v>
      </c>
      <c r="H346" s="24" t="s">
        <v>19538</v>
      </c>
      <c r="I346" s="22" t="s">
        <v>19309</v>
      </c>
      <c r="J346" s="22" t="s">
        <v>19573</v>
      </c>
      <c r="K346" s="22" t="s">
        <v>19574</v>
      </c>
      <c r="L346" s="22"/>
      <c r="M346" s="22"/>
      <c r="N346" s="25" t="str">
        <f>HYPERLINK("http://slimages.macys.com/is/image/MCY/22037419 ")</f>
        <v xml:space="preserve">http://slimages.macys.com/is/image/MCY/22037419 </v>
      </c>
    </row>
    <row r="347" spans="1:14" x14ac:dyDescent="0.25">
      <c r="A347" s="21" t="s">
        <v>18539</v>
      </c>
      <c r="B347" s="22" t="s">
        <v>18540</v>
      </c>
      <c r="C347" s="2">
        <v>1</v>
      </c>
      <c r="D347" s="23">
        <v>19.989999999999998</v>
      </c>
      <c r="E347" s="3">
        <v>19.989999999999998</v>
      </c>
      <c r="F347" s="2" t="s">
        <v>18541</v>
      </c>
      <c r="G347" s="22" t="s">
        <v>19674</v>
      </c>
      <c r="H347" s="24" t="s">
        <v>19542</v>
      </c>
      <c r="I347" s="22" t="s">
        <v>19309</v>
      </c>
      <c r="J347" s="22" t="s">
        <v>19849</v>
      </c>
      <c r="K347" s="22" t="s">
        <v>19850</v>
      </c>
      <c r="L347" s="22"/>
      <c r="M347" s="22"/>
      <c r="N347" s="25" t="str">
        <f>HYPERLINK("http://slimages.macys.com/is/image/MCY/1521138 ")</f>
        <v xml:space="preserve">http://slimages.macys.com/is/image/MCY/1521138 </v>
      </c>
    </row>
    <row r="348" spans="1:14" ht="24.75" x14ac:dyDescent="0.25">
      <c r="A348" s="21" t="s">
        <v>12316</v>
      </c>
      <c r="B348" s="22" t="s">
        <v>12317</v>
      </c>
      <c r="C348" s="2">
        <v>1</v>
      </c>
      <c r="D348" s="23">
        <v>11.99</v>
      </c>
      <c r="E348" s="3">
        <v>11.99</v>
      </c>
      <c r="F348" s="2" t="s">
        <v>12318</v>
      </c>
      <c r="G348" s="22" t="s">
        <v>19333</v>
      </c>
      <c r="H348" s="24" t="s">
        <v>19907</v>
      </c>
      <c r="I348" s="22" t="s">
        <v>19309</v>
      </c>
      <c r="J348" s="22" t="s">
        <v>19908</v>
      </c>
      <c r="K348" s="22" t="s">
        <v>19524</v>
      </c>
      <c r="L348" s="22"/>
      <c r="M348" s="22"/>
      <c r="N348" s="25" t="str">
        <f>HYPERLINK("http://slimages.macys.com/is/image/MCY/21570055 ")</f>
        <v xml:space="preserve">http://slimages.macys.com/is/image/MCY/21570055 </v>
      </c>
    </row>
    <row r="349" spans="1:14" ht="24.75" x14ac:dyDescent="0.25">
      <c r="A349" s="21" t="s">
        <v>12319</v>
      </c>
      <c r="B349" s="22" t="s">
        <v>12320</v>
      </c>
      <c r="C349" s="2">
        <v>1</v>
      </c>
      <c r="D349" s="23">
        <v>11.99</v>
      </c>
      <c r="E349" s="3">
        <v>11.99</v>
      </c>
      <c r="F349" s="2" t="s">
        <v>18544</v>
      </c>
      <c r="G349" s="22" t="s">
        <v>19585</v>
      </c>
      <c r="H349" s="24" t="s">
        <v>19377</v>
      </c>
      <c r="I349" s="22" t="s">
        <v>19309</v>
      </c>
      <c r="J349" s="22" t="s">
        <v>19908</v>
      </c>
      <c r="K349" s="22" t="s">
        <v>19524</v>
      </c>
      <c r="L349" s="22"/>
      <c r="M349" s="22"/>
      <c r="N349" s="25" t="str">
        <f>HYPERLINK("http://slimages.macys.com/is/image/MCY/21569929 ")</f>
        <v xml:space="preserve">http://slimages.macys.com/is/image/MCY/21569929 </v>
      </c>
    </row>
    <row r="350" spans="1:14" ht="24.75" x14ac:dyDescent="0.25">
      <c r="A350" s="21" t="s">
        <v>12321</v>
      </c>
      <c r="B350" s="22" t="s">
        <v>12322</v>
      </c>
      <c r="C350" s="2">
        <v>1</v>
      </c>
      <c r="D350" s="23">
        <v>8.99</v>
      </c>
      <c r="E350" s="3">
        <v>8.99</v>
      </c>
      <c r="F350" s="2" t="s">
        <v>18572</v>
      </c>
      <c r="G350" s="22" t="s">
        <v>19585</v>
      </c>
      <c r="H350" s="24" t="s">
        <v>19542</v>
      </c>
      <c r="I350" s="22" t="s">
        <v>19309</v>
      </c>
      <c r="J350" s="22" t="s">
        <v>19447</v>
      </c>
      <c r="K350" s="22" t="s">
        <v>20146</v>
      </c>
      <c r="L350" s="22"/>
      <c r="M350" s="22"/>
      <c r="N350" s="25" t="str">
        <f>HYPERLINK("http://slimages.macys.com/is/image/MCY/22035997 ")</f>
        <v xml:space="preserve">http://slimages.macys.com/is/image/MCY/22035997 </v>
      </c>
    </row>
    <row r="351" spans="1:14" ht="24.75" x14ac:dyDescent="0.25">
      <c r="A351" s="21" t="s">
        <v>18556</v>
      </c>
      <c r="B351" s="22" t="s">
        <v>18557</v>
      </c>
      <c r="C351" s="2">
        <v>1</v>
      </c>
      <c r="D351" s="23">
        <v>13.99</v>
      </c>
      <c r="E351" s="3">
        <v>13.99</v>
      </c>
      <c r="F351" s="2" t="s">
        <v>18551</v>
      </c>
      <c r="G351" s="22" t="s">
        <v>19415</v>
      </c>
      <c r="H351" s="24" t="s">
        <v>19416</v>
      </c>
      <c r="I351" s="22" t="s">
        <v>19309</v>
      </c>
      <c r="J351" s="22" t="s">
        <v>19573</v>
      </c>
      <c r="K351" s="22" t="s">
        <v>19574</v>
      </c>
      <c r="L351" s="22"/>
      <c r="M351" s="22"/>
      <c r="N351" s="25" t="str">
        <f>HYPERLINK("http://slimages.macys.com/is/image/MCY/1554883 ")</f>
        <v xml:space="preserve">http://slimages.macys.com/is/image/MCY/1554883 </v>
      </c>
    </row>
    <row r="352" spans="1:14" ht="24.75" x14ac:dyDescent="0.25">
      <c r="A352" s="21" t="s">
        <v>18560</v>
      </c>
      <c r="B352" s="22" t="s">
        <v>18561</v>
      </c>
      <c r="C352" s="2">
        <v>2</v>
      </c>
      <c r="D352" s="23">
        <v>13.99</v>
      </c>
      <c r="E352" s="3">
        <v>27.98</v>
      </c>
      <c r="F352" s="2" t="s">
        <v>18551</v>
      </c>
      <c r="G352" s="22" t="s">
        <v>19467</v>
      </c>
      <c r="H352" s="24" t="s">
        <v>19538</v>
      </c>
      <c r="I352" s="22" t="s">
        <v>19309</v>
      </c>
      <c r="J352" s="22" t="s">
        <v>19573</v>
      </c>
      <c r="K352" s="22" t="s">
        <v>19574</v>
      </c>
      <c r="L352" s="22"/>
      <c r="M352" s="22"/>
      <c r="N352" s="25" t="str">
        <f>HYPERLINK("http://slimages.macys.com/is/image/MCY/21361645 ")</f>
        <v xml:space="preserve">http://slimages.macys.com/is/image/MCY/21361645 </v>
      </c>
    </row>
    <row r="353" spans="1:14" ht="24.75" x14ac:dyDescent="0.25">
      <c r="A353" s="21" t="s">
        <v>18552</v>
      </c>
      <c r="B353" s="22" t="s">
        <v>18553</v>
      </c>
      <c r="C353" s="2">
        <v>3</v>
      </c>
      <c r="D353" s="23">
        <v>13.99</v>
      </c>
      <c r="E353" s="3">
        <v>41.97</v>
      </c>
      <c r="F353" s="2" t="s">
        <v>18551</v>
      </c>
      <c r="G353" s="22" t="s">
        <v>19467</v>
      </c>
      <c r="H353" s="24" t="s">
        <v>19330</v>
      </c>
      <c r="I353" s="22" t="s">
        <v>19309</v>
      </c>
      <c r="J353" s="22" t="s">
        <v>19573</v>
      </c>
      <c r="K353" s="22" t="s">
        <v>19574</v>
      </c>
      <c r="L353" s="22"/>
      <c r="M353" s="22"/>
      <c r="N353" s="25" t="str">
        <f>HYPERLINK("http://slimages.macys.com/is/image/MCY/21361645 ")</f>
        <v xml:space="preserve">http://slimages.macys.com/is/image/MCY/21361645 </v>
      </c>
    </row>
    <row r="354" spans="1:14" ht="24.75" x14ac:dyDescent="0.25">
      <c r="A354" s="21" t="s">
        <v>18549</v>
      </c>
      <c r="B354" s="22" t="s">
        <v>18550</v>
      </c>
      <c r="C354" s="2">
        <v>1</v>
      </c>
      <c r="D354" s="23">
        <v>13.99</v>
      </c>
      <c r="E354" s="3">
        <v>13.99</v>
      </c>
      <c r="F354" s="2" t="s">
        <v>18551</v>
      </c>
      <c r="G354" s="22" t="s">
        <v>19467</v>
      </c>
      <c r="H354" s="24" t="s">
        <v>19384</v>
      </c>
      <c r="I354" s="22" t="s">
        <v>19309</v>
      </c>
      <c r="J354" s="22" t="s">
        <v>19573</v>
      </c>
      <c r="K354" s="22" t="s">
        <v>19574</v>
      </c>
      <c r="L354" s="22"/>
      <c r="M354" s="22"/>
      <c r="N354" s="25" t="str">
        <f>HYPERLINK("http://slimages.macys.com/is/image/MCY/21361645 ")</f>
        <v xml:space="preserve">http://slimages.macys.com/is/image/MCY/21361645 </v>
      </c>
    </row>
    <row r="355" spans="1:14" ht="24.75" x14ac:dyDescent="0.25">
      <c r="A355" s="21" t="s">
        <v>16533</v>
      </c>
      <c r="B355" s="22" t="s">
        <v>16534</v>
      </c>
      <c r="C355" s="2">
        <v>2</v>
      </c>
      <c r="D355" s="23">
        <v>13.99</v>
      </c>
      <c r="E355" s="3">
        <v>27.98</v>
      </c>
      <c r="F355" s="2" t="s">
        <v>18551</v>
      </c>
      <c r="G355" s="22" t="s">
        <v>19467</v>
      </c>
      <c r="H355" s="24" t="s">
        <v>19416</v>
      </c>
      <c r="I355" s="22" t="s">
        <v>19309</v>
      </c>
      <c r="J355" s="22" t="s">
        <v>19573</v>
      </c>
      <c r="K355" s="22" t="s">
        <v>19574</v>
      </c>
      <c r="L355" s="22"/>
      <c r="M355" s="22"/>
      <c r="N355" s="25" t="str">
        <f>HYPERLINK("http://slimages.macys.com/is/image/MCY/1619637 ")</f>
        <v xml:space="preserve">http://slimages.macys.com/is/image/MCY/1619637 </v>
      </c>
    </row>
    <row r="356" spans="1:14" ht="24.75" x14ac:dyDescent="0.25">
      <c r="A356" s="21" t="s">
        <v>16542</v>
      </c>
      <c r="B356" s="22" t="s">
        <v>16543</v>
      </c>
      <c r="C356" s="2">
        <v>1</v>
      </c>
      <c r="D356" s="23">
        <v>14.99</v>
      </c>
      <c r="E356" s="3">
        <v>14.99</v>
      </c>
      <c r="F356" s="2" t="s">
        <v>18584</v>
      </c>
      <c r="G356" s="22" t="s">
        <v>19315</v>
      </c>
      <c r="H356" s="24" t="s">
        <v>19542</v>
      </c>
      <c r="I356" s="22" t="s">
        <v>19309</v>
      </c>
      <c r="J356" s="22" t="s">
        <v>19815</v>
      </c>
      <c r="K356" s="22" t="s">
        <v>19816</v>
      </c>
      <c r="L356" s="22"/>
      <c r="M356" s="22"/>
      <c r="N356" s="25" t="str">
        <f>HYPERLINK("http://slimages.macys.com/is/image/MCY/20815181 ")</f>
        <v xml:space="preserve">http://slimages.macys.com/is/image/MCY/20815181 </v>
      </c>
    </row>
    <row r="357" spans="1:14" ht="24.75" x14ac:dyDescent="0.25">
      <c r="A357" s="21" t="s">
        <v>12323</v>
      </c>
      <c r="B357" s="22" t="s">
        <v>12324</v>
      </c>
      <c r="C357" s="2">
        <v>1</v>
      </c>
      <c r="D357" s="23">
        <v>7.99</v>
      </c>
      <c r="E357" s="3">
        <v>7.99</v>
      </c>
      <c r="F357" s="2" t="s">
        <v>16552</v>
      </c>
      <c r="G357" s="22" t="s">
        <v>19333</v>
      </c>
      <c r="H357" s="24" t="s">
        <v>19364</v>
      </c>
      <c r="I357" s="22" t="s">
        <v>19309</v>
      </c>
      <c r="J357" s="22" t="s">
        <v>19310</v>
      </c>
      <c r="K357" s="22" t="s">
        <v>19873</v>
      </c>
      <c r="L357" s="22"/>
      <c r="M357" s="22"/>
      <c r="N357" s="25" t="str">
        <f>HYPERLINK("http://slimages.macys.com/is/image/MCY/20390271 ")</f>
        <v xml:space="preserve">http://slimages.macys.com/is/image/MCY/20390271 </v>
      </c>
    </row>
    <row r="358" spans="1:14" x14ac:dyDescent="0.25">
      <c r="A358" s="21" t="s">
        <v>12325</v>
      </c>
      <c r="B358" s="22" t="s">
        <v>12326</v>
      </c>
      <c r="C358" s="2">
        <v>1</v>
      </c>
      <c r="D358" s="23">
        <v>8.31</v>
      </c>
      <c r="E358" s="3">
        <v>8.31</v>
      </c>
      <c r="F358" s="2" t="s">
        <v>12327</v>
      </c>
      <c r="G358" s="22" t="s">
        <v>19357</v>
      </c>
      <c r="H358" s="24" t="s">
        <v>20232</v>
      </c>
      <c r="I358" s="22" t="s">
        <v>19309</v>
      </c>
      <c r="J358" s="22" t="s">
        <v>19514</v>
      </c>
      <c r="K358" s="22" t="s">
        <v>18514</v>
      </c>
      <c r="L358" s="22"/>
      <c r="M358" s="22"/>
      <c r="N358" s="25" t="str">
        <f>HYPERLINK("http://slimages.macys.com/is/image/MCY/20905077 ")</f>
        <v xml:space="preserve">http://slimages.macys.com/is/image/MCY/20905077 </v>
      </c>
    </row>
    <row r="359" spans="1:14" x14ac:dyDescent="0.25">
      <c r="A359" s="21" t="s">
        <v>12328</v>
      </c>
      <c r="B359" s="22" t="s">
        <v>12329</v>
      </c>
      <c r="C359" s="2">
        <v>1</v>
      </c>
      <c r="D359" s="23">
        <v>8.31</v>
      </c>
      <c r="E359" s="3">
        <v>8.31</v>
      </c>
      <c r="F359" s="2" t="s">
        <v>12330</v>
      </c>
      <c r="G359" s="22" t="s">
        <v>19351</v>
      </c>
      <c r="H359" s="24" t="s">
        <v>19361</v>
      </c>
      <c r="I359" s="22" t="s">
        <v>19309</v>
      </c>
      <c r="J359" s="22" t="s">
        <v>19514</v>
      </c>
      <c r="K359" s="22" t="s">
        <v>18514</v>
      </c>
      <c r="L359" s="22"/>
      <c r="M359" s="22"/>
      <c r="N359" s="25" t="str">
        <f>HYPERLINK("http://slimages.macys.com/is/image/MCY/20876641 ")</f>
        <v xml:space="preserve">http://slimages.macys.com/is/image/MCY/20876641 </v>
      </c>
    </row>
    <row r="360" spans="1:14" x14ac:dyDescent="0.25">
      <c r="A360" s="21" t="s">
        <v>12331</v>
      </c>
      <c r="B360" s="22" t="s">
        <v>12332</v>
      </c>
      <c r="C360" s="2">
        <v>1</v>
      </c>
      <c r="D360" s="23">
        <v>8.31</v>
      </c>
      <c r="E360" s="3">
        <v>8.31</v>
      </c>
      <c r="F360" s="2" t="s">
        <v>12330</v>
      </c>
      <c r="G360" s="22" t="s">
        <v>19351</v>
      </c>
      <c r="H360" s="24" t="s">
        <v>19542</v>
      </c>
      <c r="I360" s="22" t="s">
        <v>19309</v>
      </c>
      <c r="J360" s="22" t="s">
        <v>19514</v>
      </c>
      <c r="K360" s="22" t="s">
        <v>18514</v>
      </c>
      <c r="L360" s="22"/>
      <c r="M360" s="22"/>
      <c r="N360" s="25" t="str">
        <f>HYPERLINK("http://slimages.macys.com/is/image/MCY/20876641 ")</f>
        <v xml:space="preserve">http://slimages.macys.com/is/image/MCY/20876641 </v>
      </c>
    </row>
    <row r="361" spans="1:14" x14ac:dyDescent="0.25">
      <c r="A361" s="21" t="s">
        <v>12333</v>
      </c>
      <c r="B361" s="22" t="s">
        <v>12334</v>
      </c>
      <c r="C361" s="2">
        <v>1</v>
      </c>
      <c r="D361" s="23">
        <v>18.11</v>
      </c>
      <c r="E361" s="3">
        <v>18.11</v>
      </c>
      <c r="F361" s="2" t="s">
        <v>16569</v>
      </c>
      <c r="G361" s="22" t="s">
        <v>19383</v>
      </c>
      <c r="H361" s="24" t="s">
        <v>19542</v>
      </c>
      <c r="I361" s="22" t="s">
        <v>19309</v>
      </c>
      <c r="J361" s="22" t="s">
        <v>19514</v>
      </c>
      <c r="K361" s="22" t="s">
        <v>18514</v>
      </c>
      <c r="L361" s="22"/>
      <c r="M361" s="22"/>
      <c r="N361" s="25" t="str">
        <f>HYPERLINK("http://slimages.macys.com/is/image/MCY/20876630 ")</f>
        <v xml:space="preserve">http://slimages.macys.com/is/image/MCY/20876630 </v>
      </c>
    </row>
    <row r="362" spans="1:14" ht="24.75" x14ac:dyDescent="0.25">
      <c r="A362" s="21" t="s">
        <v>13912</v>
      </c>
      <c r="B362" s="22" t="s">
        <v>13913</v>
      </c>
      <c r="C362" s="2">
        <v>1</v>
      </c>
      <c r="D362" s="23">
        <v>8.99</v>
      </c>
      <c r="E362" s="3">
        <v>8.99</v>
      </c>
      <c r="F362" s="2" t="s">
        <v>16637</v>
      </c>
      <c r="G362" s="22" t="s">
        <v>19404</v>
      </c>
      <c r="H362" s="24" t="s">
        <v>19364</v>
      </c>
      <c r="I362" s="22" t="s">
        <v>19309</v>
      </c>
      <c r="J362" s="22" t="s">
        <v>19815</v>
      </c>
      <c r="K362" s="22" t="s">
        <v>19816</v>
      </c>
      <c r="L362" s="22"/>
      <c r="M362" s="22"/>
      <c r="N362" s="25" t="str">
        <f>HYPERLINK("http://slimages.macys.com/is/image/MCY/21769912 ")</f>
        <v xml:space="preserve">http://slimages.macys.com/is/image/MCY/21769912 </v>
      </c>
    </row>
    <row r="363" spans="1:14" ht="24.75" x14ac:dyDescent="0.25">
      <c r="A363" s="21" t="s">
        <v>16576</v>
      </c>
      <c r="B363" s="22" t="s">
        <v>16577</v>
      </c>
      <c r="C363" s="2">
        <v>1</v>
      </c>
      <c r="D363" s="23">
        <v>16.989999999999998</v>
      </c>
      <c r="E363" s="3">
        <v>16.989999999999998</v>
      </c>
      <c r="F363" s="2" t="s">
        <v>18666</v>
      </c>
      <c r="G363" s="22" t="s">
        <v>19351</v>
      </c>
      <c r="H363" s="24" t="s">
        <v>19352</v>
      </c>
      <c r="I363" s="22" t="s">
        <v>19309</v>
      </c>
      <c r="J363" s="22" t="s">
        <v>19849</v>
      </c>
      <c r="K363" s="22" t="s">
        <v>19850</v>
      </c>
      <c r="L363" s="22"/>
      <c r="M363" s="22"/>
      <c r="N363" s="25" t="str">
        <f>HYPERLINK("http://slimages.macys.com/is/image/MCY/20751778 ")</f>
        <v xml:space="preserve">http://slimages.macys.com/is/image/MCY/20751778 </v>
      </c>
    </row>
    <row r="364" spans="1:14" x14ac:dyDescent="0.25">
      <c r="A364" s="21" t="s">
        <v>16260</v>
      </c>
      <c r="B364" s="22" t="s">
        <v>16261</v>
      </c>
      <c r="C364" s="2">
        <v>1</v>
      </c>
      <c r="D364" s="23">
        <v>16.989999999999998</v>
      </c>
      <c r="E364" s="3">
        <v>16.989999999999998</v>
      </c>
      <c r="F364" s="2" t="s">
        <v>18666</v>
      </c>
      <c r="G364" s="22" t="s">
        <v>19351</v>
      </c>
      <c r="H364" s="24" t="s">
        <v>19797</v>
      </c>
      <c r="I364" s="22" t="s">
        <v>19309</v>
      </c>
      <c r="J364" s="22" t="s">
        <v>19849</v>
      </c>
      <c r="K364" s="22" t="s">
        <v>19850</v>
      </c>
      <c r="L364" s="22"/>
      <c r="M364" s="22"/>
      <c r="N364" s="25" t="str">
        <f>HYPERLINK("http://slimages.macys.com/is/image/MCY/20751778 ")</f>
        <v xml:space="preserve">http://slimages.macys.com/is/image/MCY/20751778 </v>
      </c>
    </row>
    <row r="365" spans="1:14" x14ac:dyDescent="0.25">
      <c r="A365" s="21" t="s">
        <v>16586</v>
      </c>
      <c r="B365" s="22" t="s">
        <v>16587</v>
      </c>
      <c r="C365" s="2">
        <v>1</v>
      </c>
      <c r="D365" s="23">
        <v>16.989999999999998</v>
      </c>
      <c r="E365" s="3">
        <v>16.989999999999998</v>
      </c>
      <c r="F365" s="2" t="s">
        <v>18666</v>
      </c>
      <c r="G365" s="22" t="s">
        <v>19431</v>
      </c>
      <c r="H365" s="24" t="s">
        <v>19364</v>
      </c>
      <c r="I365" s="22" t="s">
        <v>19309</v>
      </c>
      <c r="J365" s="22" t="s">
        <v>19849</v>
      </c>
      <c r="K365" s="22" t="s">
        <v>19850</v>
      </c>
      <c r="L365" s="22"/>
      <c r="M365" s="22"/>
      <c r="N365" s="25" t="str">
        <f>HYPERLINK("http://slimages.macys.com/is/image/MCY/1249846 ")</f>
        <v xml:space="preserve">http://slimages.macys.com/is/image/MCY/1249846 </v>
      </c>
    </row>
    <row r="366" spans="1:14" x14ac:dyDescent="0.25">
      <c r="A366" s="21" t="s">
        <v>16582</v>
      </c>
      <c r="B366" s="22" t="s">
        <v>16583</v>
      </c>
      <c r="C366" s="2">
        <v>2</v>
      </c>
      <c r="D366" s="23">
        <v>16.989999999999998</v>
      </c>
      <c r="E366" s="3">
        <v>33.979999999999997</v>
      </c>
      <c r="F366" s="2" t="s">
        <v>18666</v>
      </c>
      <c r="G366" s="22" t="s">
        <v>19431</v>
      </c>
      <c r="H366" s="24" t="s">
        <v>19797</v>
      </c>
      <c r="I366" s="22" t="s">
        <v>19309</v>
      </c>
      <c r="J366" s="22" t="s">
        <v>19849</v>
      </c>
      <c r="K366" s="22" t="s">
        <v>19850</v>
      </c>
      <c r="L366" s="22"/>
      <c r="M366" s="22"/>
      <c r="N366" s="25" t="str">
        <f>HYPERLINK("http://slimages.macys.com/is/image/MCY/1249846 ")</f>
        <v xml:space="preserve">http://slimages.macys.com/is/image/MCY/1249846 </v>
      </c>
    </row>
    <row r="367" spans="1:14" ht="24.75" x14ac:dyDescent="0.25">
      <c r="A367" s="21" t="s">
        <v>12335</v>
      </c>
      <c r="B367" s="22" t="s">
        <v>12336</v>
      </c>
      <c r="C367" s="2">
        <v>1</v>
      </c>
      <c r="D367" s="23">
        <v>8.25</v>
      </c>
      <c r="E367" s="3">
        <v>8.25</v>
      </c>
      <c r="F367" s="2" t="s">
        <v>16596</v>
      </c>
      <c r="G367" s="22" t="s">
        <v>19351</v>
      </c>
      <c r="H367" s="24" t="s">
        <v>19395</v>
      </c>
      <c r="I367" s="22" t="s">
        <v>19309</v>
      </c>
      <c r="J367" s="22" t="s">
        <v>19447</v>
      </c>
      <c r="K367" s="22" t="s">
        <v>20146</v>
      </c>
      <c r="L367" s="22"/>
      <c r="M367" s="22"/>
      <c r="N367" s="25" t="str">
        <f>HYPERLINK("http://slimages.macys.com/is/image/MCY/19941191 ")</f>
        <v xml:space="preserve">http://slimages.macys.com/is/image/MCY/19941191 </v>
      </c>
    </row>
    <row r="368" spans="1:14" ht="24.75" x14ac:dyDescent="0.25">
      <c r="A368" s="21" t="s">
        <v>16594</v>
      </c>
      <c r="B368" s="22" t="s">
        <v>16595</v>
      </c>
      <c r="C368" s="2">
        <v>1</v>
      </c>
      <c r="D368" s="23">
        <v>8.25</v>
      </c>
      <c r="E368" s="3">
        <v>8.25</v>
      </c>
      <c r="F368" s="2" t="s">
        <v>16596</v>
      </c>
      <c r="G368" s="22" t="s">
        <v>19351</v>
      </c>
      <c r="H368" s="24" t="s">
        <v>19361</v>
      </c>
      <c r="I368" s="22" t="s">
        <v>19309</v>
      </c>
      <c r="J368" s="22" t="s">
        <v>19447</v>
      </c>
      <c r="K368" s="22" t="s">
        <v>20146</v>
      </c>
      <c r="L368" s="22"/>
      <c r="M368" s="22"/>
      <c r="N368" s="25" t="str">
        <f>HYPERLINK("http://slimages.macys.com/is/image/MCY/19941191 ")</f>
        <v xml:space="preserve">http://slimages.macys.com/is/image/MCY/19941191 </v>
      </c>
    </row>
    <row r="369" spans="1:14" ht="24.75" x14ac:dyDescent="0.25">
      <c r="A369" s="21" t="s">
        <v>12337</v>
      </c>
      <c r="B369" s="22" t="s">
        <v>12338</v>
      </c>
      <c r="C369" s="2">
        <v>1</v>
      </c>
      <c r="D369" s="23">
        <v>8.25</v>
      </c>
      <c r="E369" s="3">
        <v>8.25</v>
      </c>
      <c r="F369" s="2" t="s">
        <v>16596</v>
      </c>
      <c r="G369" s="22" t="s">
        <v>19351</v>
      </c>
      <c r="H369" s="24" t="s">
        <v>19542</v>
      </c>
      <c r="I369" s="22" t="s">
        <v>19309</v>
      </c>
      <c r="J369" s="22" t="s">
        <v>19447</v>
      </c>
      <c r="K369" s="22" t="s">
        <v>20146</v>
      </c>
      <c r="L369" s="22"/>
      <c r="M369" s="22"/>
      <c r="N369" s="25" t="str">
        <f>HYPERLINK("http://slimages.macys.com/is/image/MCY/19941191 ")</f>
        <v xml:space="preserve">http://slimages.macys.com/is/image/MCY/19941191 </v>
      </c>
    </row>
    <row r="370" spans="1:14" ht="24.75" x14ac:dyDescent="0.25">
      <c r="A370" s="21" t="s">
        <v>12339</v>
      </c>
      <c r="B370" s="22" t="s">
        <v>12340</v>
      </c>
      <c r="C370" s="2">
        <v>1</v>
      </c>
      <c r="D370" s="23">
        <v>8.25</v>
      </c>
      <c r="E370" s="3">
        <v>8.25</v>
      </c>
      <c r="F370" s="2" t="s">
        <v>12341</v>
      </c>
      <c r="G370" s="22" t="s">
        <v>19323</v>
      </c>
      <c r="H370" s="24" t="s">
        <v>19377</v>
      </c>
      <c r="I370" s="22" t="s">
        <v>19309</v>
      </c>
      <c r="J370" s="22" t="s">
        <v>19447</v>
      </c>
      <c r="K370" s="22" t="s">
        <v>20146</v>
      </c>
      <c r="L370" s="22"/>
      <c r="M370" s="22"/>
      <c r="N370" s="25" t="str">
        <f>HYPERLINK("http://slimages.macys.com/is/image/MCY/20099679 ")</f>
        <v xml:space="preserve">http://slimages.macys.com/is/image/MCY/20099679 </v>
      </c>
    </row>
    <row r="371" spans="1:14" ht="24.75" x14ac:dyDescent="0.25">
      <c r="A371" s="21" t="s">
        <v>12342</v>
      </c>
      <c r="B371" s="22" t="s">
        <v>12343</v>
      </c>
      <c r="C371" s="2">
        <v>1</v>
      </c>
      <c r="D371" s="23">
        <v>8.25</v>
      </c>
      <c r="E371" s="3">
        <v>8.25</v>
      </c>
      <c r="F371" s="2" t="s">
        <v>12341</v>
      </c>
      <c r="G371" s="22" t="s">
        <v>19323</v>
      </c>
      <c r="H371" s="24" t="s">
        <v>19395</v>
      </c>
      <c r="I371" s="22" t="s">
        <v>19309</v>
      </c>
      <c r="J371" s="22" t="s">
        <v>19447</v>
      </c>
      <c r="K371" s="22" t="s">
        <v>20146</v>
      </c>
      <c r="L371" s="22"/>
      <c r="M371" s="22"/>
      <c r="N371" s="25" t="str">
        <f>HYPERLINK("http://slimages.macys.com/is/image/MCY/20099679 ")</f>
        <v xml:space="preserve">http://slimages.macys.com/is/image/MCY/20099679 </v>
      </c>
    </row>
    <row r="372" spans="1:14" ht="24.75" x14ac:dyDescent="0.25">
      <c r="A372" s="21" t="s">
        <v>12344</v>
      </c>
      <c r="B372" s="22" t="s">
        <v>12345</v>
      </c>
      <c r="C372" s="2">
        <v>1</v>
      </c>
      <c r="D372" s="23">
        <v>8.25</v>
      </c>
      <c r="E372" s="3">
        <v>8.25</v>
      </c>
      <c r="F372" s="2" t="s">
        <v>12341</v>
      </c>
      <c r="G372" s="22" t="s">
        <v>19323</v>
      </c>
      <c r="H372" s="24" t="s">
        <v>19345</v>
      </c>
      <c r="I372" s="22" t="s">
        <v>19309</v>
      </c>
      <c r="J372" s="22" t="s">
        <v>19447</v>
      </c>
      <c r="K372" s="22" t="s">
        <v>20146</v>
      </c>
      <c r="L372" s="22"/>
      <c r="M372" s="22"/>
      <c r="N372" s="25" t="str">
        <f>HYPERLINK("http://slimages.macys.com/is/image/MCY/20099678 ")</f>
        <v xml:space="preserve">http://slimages.macys.com/is/image/MCY/20099678 </v>
      </c>
    </row>
    <row r="373" spans="1:14" ht="24.75" x14ac:dyDescent="0.25">
      <c r="A373" s="21" t="s">
        <v>12346</v>
      </c>
      <c r="B373" s="22" t="s">
        <v>12347</v>
      </c>
      <c r="C373" s="2">
        <v>1</v>
      </c>
      <c r="D373" s="23">
        <v>13.99</v>
      </c>
      <c r="E373" s="3">
        <v>13.99</v>
      </c>
      <c r="F373" s="2" t="s">
        <v>16593</v>
      </c>
      <c r="G373" s="22" t="s">
        <v>19814</v>
      </c>
      <c r="H373" s="24" t="s">
        <v>19364</v>
      </c>
      <c r="I373" s="22" t="s">
        <v>19309</v>
      </c>
      <c r="J373" s="22" t="s">
        <v>19815</v>
      </c>
      <c r="K373" s="22" t="s">
        <v>19816</v>
      </c>
      <c r="L373" s="22"/>
      <c r="M373" s="22"/>
      <c r="N373" s="25" t="str">
        <f>HYPERLINK("http://slimages.macys.com/is/image/MCY/21188139 ")</f>
        <v xml:space="preserve">http://slimages.macys.com/is/image/MCY/21188139 </v>
      </c>
    </row>
    <row r="374" spans="1:14" ht="24.75" x14ac:dyDescent="0.25">
      <c r="A374" s="21" t="s">
        <v>16295</v>
      </c>
      <c r="B374" s="22" t="s">
        <v>16296</v>
      </c>
      <c r="C374" s="2">
        <v>1</v>
      </c>
      <c r="D374" s="23">
        <v>13.27</v>
      </c>
      <c r="E374" s="3">
        <v>13.27</v>
      </c>
      <c r="F374" s="2" t="s">
        <v>16292</v>
      </c>
      <c r="G374" s="22"/>
      <c r="H374" s="24" t="s">
        <v>19330</v>
      </c>
      <c r="I374" s="22" t="s">
        <v>19309</v>
      </c>
      <c r="J374" s="22" t="s">
        <v>19708</v>
      </c>
      <c r="K374" s="22" t="s">
        <v>19754</v>
      </c>
      <c r="L374" s="22"/>
      <c r="M374" s="22"/>
      <c r="N374" s="25" t="str">
        <f>HYPERLINK("http://slimages.macys.com/is/image/MCY/21758168 ")</f>
        <v xml:space="preserve">http://slimages.macys.com/is/image/MCY/21758168 </v>
      </c>
    </row>
    <row r="375" spans="1:14" x14ac:dyDescent="0.25">
      <c r="A375" s="21" t="s">
        <v>12348</v>
      </c>
      <c r="B375" s="22" t="s">
        <v>12349</v>
      </c>
      <c r="C375" s="2">
        <v>1</v>
      </c>
      <c r="D375" s="23">
        <v>9.81</v>
      </c>
      <c r="E375" s="3">
        <v>9.81</v>
      </c>
      <c r="F375" s="2" t="s">
        <v>12350</v>
      </c>
      <c r="G375" s="22" t="s">
        <v>19351</v>
      </c>
      <c r="H375" s="24" t="s">
        <v>19367</v>
      </c>
      <c r="I375" s="22" t="s">
        <v>19309</v>
      </c>
      <c r="J375" s="22" t="s">
        <v>19708</v>
      </c>
      <c r="K375" s="22" t="s">
        <v>19709</v>
      </c>
      <c r="L375" s="22"/>
      <c r="M375" s="22"/>
      <c r="N375" s="25" t="str">
        <f>HYPERLINK("http://slimages.macys.com/is/image/MCY/21410125 ")</f>
        <v xml:space="preserve">http://slimages.macys.com/is/image/MCY/21410125 </v>
      </c>
    </row>
    <row r="376" spans="1:14" x14ac:dyDescent="0.25">
      <c r="A376" s="21" t="s">
        <v>12351</v>
      </c>
      <c r="B376" s="22" t="s">
        <v>12352</v>
      </c>
      <c r="C376" s="2">
        <v>1</v>
      </c>
      <c r="D376" s="23">
        <v>9.81</v>
      </c>
      <c r="E376" s="3">
        <v>9.81</v>
      </c>
      <c r="F376" s="2" t="s">
        <v>12353</v>
      </c>
      <c r="G376" s="22" t="s">
        <v>19594</v>
      </c>
      <c r="H376" s="24" t="s">
        <v>20152</v>
      </c>
      <c r="I376" s="22" t="s">
        <v>19309</v>
      </c>
      <c r="J376" s="22" t="s">
        <v>19708</v>
      </c>
      <c r="K376" s="22" t="s">
        <v>19709</v>
      </c>
      <c r="L376" s="22"/>
      <c r="M376" s="22"/>
      <c r="N376" s="25" t="str">
        <f>HYPERLINK("http://slimages.macys.com/is/image/MCY/21409823 ")</f>
        <v xml:space="preserve">http://slimages.macys.com/is/image/MCY/21409823 </v>
      </c>
    </row>
    <row r="377" spans="1:14" x14ac:dyDescent="0.25">
      <c r="A377" s="21" t="s">
        <v>13895</v>
      </c>
      <c r="B377" s="22" t="s">
        <v>13896</v>
      </c>
      <c r="C377" s="2">
        <v>2</v>
      </c>
      <c r="D377" s="23">
        <v>13.27</v>
      </c>
      <c r="E377" s="3">
        <v>26.54</v>
      </c>
      <c r="F377" s="2" t="s">
        <v>13897</v>
      </c>
      <c r="G377" s="22"/>
      <c r="H377" s="24" t="s">
        <v>19330</v>
      </c>
      <c r="I377" s="22" t="s">
        <v>19309</v>
      </c>
      <c r="J377" s="22" t="s">
        <v>19708</v>
      </c>
      <c r="K377" s="22" t="s">
        <v>19754</v>
      </c>
      <c r="L377" s="22"/>
      <c r="M377" s="22"/>
      <c r="N377" s="25" t="str">
        <f>HYPERLINK("http://slimages.macys.com/is/image/MCY/21414718 ")</f>
        <v xml:space="preserve">http://slimages.macys.com/is/image/MCY/21414718 </v>
      </c>
    </row>
    <row r="378" spans="1:14" x14ac:dyDescent="0.25">
      <c r="A378" s="21" t="s">
        <v>12354</v>
      </c>
      <c r="B378" s="22" t="s">
        <v>12355</v>
      </c>
      <c r="C378" s="2">
        <v>1</v>
      </c>
      <c r="D378" s="23">
        <v>13.27</v>
      </c>
      <c r="E378" s="3">
        <v>13.27</v>
      </c>
      <c r="F378" s="2" t="s">
        <v>13897</v>
      </c>
      <c r="G378" s="22"/>
      <c r="H378" s="24" t="s">
        <v>19416</v>
      </c>
      <c r="I378" s="22" t="s">
        <v>19309</v>
      </c>
      <c r="J378" s="22" t="s">
        <v>19708</v>
      </c>
      <c r="K378" s="22" t="s">
        <v>19754</v>
      </c>
      <c r="L378" s="22"/>
      <c r="M378" s="22"/>
      <c r="N378" s="25" t="str">
        <f>HYPERLINK("http://slimages.macys.com/is/image/MCY/21414718 ")</f>
        <v xml:space="preserve">http://slimages.macys.com/is/image/MCY/21414718 </v>
      </c>
    </row>
    <row r="379" spans="1:14" ht="24.75" x14ac:dyDescent="0.25">
      <c r="A379" s="21" t="s">
        <v>12356</v>
      </c>
      <c r="B379" s="22" t="s">
        <v>12357</v>
      </c>
      <c r="C379" s="2">
        <v>1</v>
      </c>
      <c r="D379" s="23">
        <v>13.27</v>
      </c>
      <c r="E379" s="3">
        <v>13.27</v>
      </c>
      <c r="F379" s="2" t="s">
        <v>12358</v>
      </c>
      <c r="G379" s="22"/>
      <c r="H379" s="24" t="s">
        <v>19416</v>
      </c>
      <c r="I379" s="22" t="s">
        <v>19309</v>
      </c>
      <c r="J379" s="22" t="s">
        <v>19708</v>
      </c>
      <c r="K379" s="22" t="s">
        <v>19754</v>
      </c>
      <c r="L379" s="22"/>
      <c r="M379" s="22"/>
      <c r="N379" s="25" t="str">
        <f>HYPERLINK("http://slimages.macys.com/is/image/MCY/21758696 ")</f>
        <v xml:space="preserve">http://slimages.macys.com/is/image/MCY/21758696 </v>
      </c>
    </row>
    <row r="380" spans="1:14" x14ac:dyDescent="0.25">
      <c r="A380" s="21" t="s">
        <v>12359</v>
      </c>
      <c r="B380" s="22" t="s">
        <v>12360</v>
      </c>
      <c r="C380" s="2">
        <v>1</v>
      </c>
      <c r="D380" s="23">
        <v>9.81</v>
      </c>
      <c r="E380" s="3">
        <v>9.81</v>
      </c>
      <c r="F380" s="2" t="s">
        <v>12361</v>
      </c>
      <c r="G380" s="22" t="s">
        <v>19431</v>
      </c>
      <c r="H380" s="24" t="s">
        <v>20159</v>
      </c>
      <c r="I380" s="22" t="s">
        <v>19309</v>
      </c>
      <c r="J380" s="22" t="s">
        <v>19708</v>
      </c>
      <c r="K380" s="22" t="s">
        <v>19709</v>
      </c>
      <c r="L380" s="22"/>
      <c r="M380" s="22"/>
      <c r="N380" s="25" t="str">
        <f>HYPERLINK("http://slimages.macys.com/is/image/MCY/21409823 ")</f>
        <v xml:space="preserve">http://slimages.macys.com/is/image/MCY/21409823 </v>
      </c>
    </row>
    <row r="381" spans="1:14" x14ac:dyDescent="0.25">
      <c r="A381" s="21" t="s">
        <v>16615</v>
      </c>
      <c r="B381" s="22" t="s">
        <v>16616</v>
      </c>
      <c r="C381" s="2">
        <v>1</v>
      </c>
      <c r="D381" s="23">
        <v>12.4</v>
      </c>
      <c r="E381" s="3">
        <v>12.4</v>
      </c>
      <c r="F381" s="2" t="s">
        <v>18637</v>
      </c>
      <c r="G381" s="22" t="s">
        <v>19315</v>
      </c>
      <c r="H381" s="24" t="s">
        <v>19770</v>
      </c>
      <c r="I381" s="22" t="s">
        <v>19309</v>
      </c>
      <c r="J381" s="22" t="s">
        <v>19708</v>
      </c>
      <c r="K381" s="22" t="s">
        <v>19709</v>
      </c>
      <c r="L381" s="22"/>
      <c r="M381" s="22"/>
      <c r="N381" s="25" t="str">
        <f>HYPERLINK("http://slimages.macys.com/is/image/MCY/22296880 ")</f>
        <v xml:space="preserve">http://slimages.macys.com/is/image/MCY/22296880 </v>
      </c>
    </row>
    <row r="382" spans="1:14" x14ac:dyDescent="0.25">
      <c r="A382" s="21" t="s">
        <v>13275</v>
      </c>
      <c r="B382" s="22" t="s">
        <v>13276</v>
      </c>
      <c r="C382" s="2">
        <v>2</v>
      </c>
      <c r="D382" s="23">
        <v>13.27</v>
      </c>
      <c r="E382" s="3">
        <v>26.54</v>
      </c>
      <c r="F382" s="2" t="s">
        <v>13897</v>
      </c>
      <c r="G382" s="22"/>
      <c r="H382" s="24" t="s">
        <v>19324</v>
      </c>
      <c r="I382" s="22" t="s">
        <v>19309</v>
      </c>
      <c r="J382" s="22" t="s">
        <v>19708</v>
      </c>
      <c r="K382" s="22" t="s">
        <v>19754</v>
      </c>
      <c r="L382" s="22"/>
      <c r="M382" s="22"/>
      <c r="N382" s="25" t="str">
        <f>HYPERLINK("http://slimages.macys.com/is/image/MCY/21414718 ")</f>
        <v xml:space="preserve">http://slimages.macys.com/is/image/MCY/21414718 </v>
      </c>
    </row>
    <row r="383" spans="1:14" x14ac:dyDescent="0.25">
      <c r="A383" s="21" t="s">
        <v>12362</v>
      </c>
      <c r="B383" s="22" t="s">
        <v>12363</v>
      </c>
      <c r="C383" s="2">
        <v>1</v>
      </c>
      <c r="D383" s="23">
        <v>13.27</v>
      </c>
      <c r="E383" s="3">
        <v>13.27</v>
      </c>
      <c r="F383" s="2" t="s">
        <v>12364</v>
      </c>
      <c r="G383" s="22"/>
      <c r="H383" s="24" t="s">
        <v>19416</v>
      </c>
      <c r="I383" s="22" t="s">
        <v>19309</v>
      </c>
      <c r="J383" s="22" t="s">
        <v>19708</v>
      </c>
      <c r="K383" s="22" t="s">
        <v>19754</v>
      </c>
      <c r="L383" s="22"/>
      <c r="M383" s="22"/>
      <c r="N383" s="25" t="str">
        <f>HYPERLINK("http://slimages.macys.com/is/image/MCY/21414682 ")</f>
        <v xml:space="preserve">http://slimages.macys.com/is/image/MCY/21414682 </v>
      </c>
    </row>
    <row r="384" spans="1:14" ht="24.75" x14ac:dyDescent="0.25">
      <c r="A384" s="21" t="s">
        <v>16297</v>
      </c>
      <c r="B384" s="22" t="s">
        <v>16298</v>
      </c>
      <c r="C384" s="2">
        <v>2</v>
      </c>
      <c r="D384" s="23">
        <v>13.27</v>
      </c>
      <c r="E384" s="3">
        <v>26.54</v>
      </c>
      <c r="F384" s="2" t="s">
        <v>16292</v>
      </c>
      <c r="G384" s="22"/>
      <c r="H384" s="24" t="s">
        <v>19324</v>
      </c>
      <c r="I384" s="22" t="s">
        <v>19309</v>
      </c>
      <c r="J384" s="22" t="s">
        <v>19708</v>
      </c>
      <c r="K384" s="22" t="s">
        <v>19754</v>
      </c>
      <c r="L384" s="22"/>
      <c r="M384" s="22"/>
      <c r="N384" s="25" t="str">
        <f>HYPERLINK("http://slimages.macys.com/is/image/MCY/21758168 ")</f>
        <v xml:space="preserve">http://slimages.macys.com/is/image/MCY/21758168 </v>
      </c>
    </row>
    <row r="385" spans="1:14" ht="24.75" x14ac:dyDescent="0.25">
      <c r="A385" s="21" t="s">
        <v>12365</v>
      </c>
      <c r="B385" s="22" t="s">
        <v>12366</v>
      </c>
      <c r="C385" s="2">
        <v>2</v>
      </c>
      <c r="D385" s="23">
        <v>12.99</v>
      </c>
      <c r="E385" s="3">
        <v>25.98</v>
      </c>
      <c r="F385" s="2" t="s">
        <v>12367</v>
      </c>
      <c r="G385" s="22" t="s">
        <v>19333</v>
      </c>
      <c r="H385" s="24" t="s">
        <v>19377</v>
      </c>
      <c r="I385" s="22" t="s">
        <v>19309</v>
      </c>
      <c r="J385" s="22" t="s">
        <v>19908</v>
      </c>
      <c r="K385" s="22" t="s">
        <v>19524</v>
      </c>
      <c r="L385" s="22"/>
      <c r="M385" s="22"/>
      <c r="N385" s="25" t="str">
        <f>HYPERLINK("http://slimages.macys.com/is/image/MCY/19944391 ")</f>
        <v xml:space="preserve">http://slimages.macys.com/is/image/MCY/19944391 </v>
      </c>
    </row>
    <row r="386" spans="1:14" x14ac:dyDescent="0.25">
      <c r="A386" s="21" t="s">
        <v>16625</v>
      </c>
      <c r="B386" s="22" t="s">
        <v>16626</v>
      </c>
      <c r="C386" s="2">
        <v>1</v>
      </c>
      <c r="D386" s="23">
        <v>16.989999999999998</v>
      </c>
      <c r="E386" s="3">
        <v>16.989999999999998</v>
      </c>
      <c r="F386" s="2" t="s">
        <v>18666</v>
      </c>
      <c r="G386" s="22" t="s">
        <v>19477</v>
      </c>
      <c r="H386" s="24" t="s">
        <v>19364</v>
      </c>
      <c r="I386" s="22" t="s">
        <v>19309</v>
      </c>
      <c r="J386" s="22" t="s">
        <v>19849</v>
      </c>
      <c r="K386" s="22" t="s">
        <v>19850</v>
      </c>
      <c r="L386" s="22"/>
      <c r="M386" s="22"/>
      <c r="N386" s="25" t="str">
        <f>HYPERLINK("http://slimages.macys.com/is/image/MCY/20549559 ")</f>
        <v xml:space="preserve">http://slimages.macys.com/is/image/MCY/20549559 </v>
      </c>
    </row>
    <row r="387" spans="1:14" x14ac:dyDescent="0.25">
      <c r="A387" s="21" t="s">
        <v>16633</v>
      </c>
      <c r="B387" s="22" t="s">
        <v>16634</v>
      </c>
      <c r="C387" s="2">
        <v>1</v>
      </c>
      <c r="D387" s="23">
        <v>16.989999999999998</v>
      </c>
      <c r="E387" s="3">
        <v>16.989999999999998</v>
      </c>
      <c r="F387" s="2" t="s">
        <v>18666</v>
      </c>
      <c r="G387" s="22" t="s">
        <v>19477</v>
      </c>
      <c r="H387" s="24" t="s">
        <v>19797</v>
      </c>
      <c r="I387" s="22" t="s">
        <v>19309</v>
      </c>
      <c r="J387" s="22" t="s">
        <v>19849</v>
      </c>
      <c r="K387" s="22" t="s">
        <v>19850</v>
      </c>
      <c r="L387" s="22"/>
      <c r="M387" s="22"/>
      <c r="N387" s="25" t="str">
        <f>HYPERLINK("http://slimages.macys.com/is/image/MCY/20549559 ")</f>
        <v xml:space="preserve">http://slimages.macys.com/is/image/MCY/20549559 </v>
      </c>
    </row>
    <row r="388" spans="1:14" ht="24.75" x14ac:dyDescent="0.25">
      <c r="A388" s="21" t="s">
        <v>12368</v>
      </c>
      <c r="B388" s="22" t="s">
        <v>12369</v>
      </c>
      <c r="C388" s="2">
        <v>1</v>
      </c>
      <c r="D388" s="23">
        <v>13.99</v>
      </c>
      <c r="E388" s="3">
        <v>13.99</v>
      </c>
      <c r="F388" s="2" t="s">
        <v>18669</v>
      </c>
      <c r="G388" s="22" t="s">
        <v>19315</v>
      </c>
      <c r="H388" s="24" t="s">
        <v>19361</v>
      </c>
      <c r="I388" s="22" t="s">
        <v>19309</v>
      </c>
      <c r="J388" s="22" t="s">
        <v>19815</v>
      </c>
      <c r="K388" s="22" t="s">
        <v>19816</v>
      </c>
      <c r="L388" s="22"/>
      <c r="M388" s="22"/>
      <c r="N388" s="25" t="str">
        <f>HYPERLINK("http://slimages.macys.com/is/image/MCY/20817076 ")</f>
        <v xml:space="preserve">http://slimages.macys.com/is/image/MCY/20817076 </v>
      </c>
    </row>
    <row r="389" spans="1:14" ht="24.75" x14ac:dyDescent="0.25">
      <c r="A389" s="21" t="s">
        <v>12370</v>
      </c>
      <c r="B389" s="22" t="s">
        <v>12371</v>
      </c>
      <c r="C389" s="2">
        <v>1</v>
      </c>
      <c r="D389" s="23">
        <v>11.99</v>
      </c>
      <c r="E389" s="3">
        <v>11.99</v>
      </c>
      <c r="F389" s="2" t="s">
        <v>18672</v>
      </c>
      <c r="G389" s="22" t="s">
        <v>19670</v>
      </c>
      <c r="H389" s="24" t="s">
        <v>19330</v>
      </c>
      <c r="I389" s="22" t="s">
        <v>19309</v>
      </c>
      <c r="J389" s="22" t="s">
        <v>19573</v>
      </c>
      <c r="K389" s="22" t="s">
        <v>19574</v>
      </c>
      <c r="L389" s="22"/>
      <c r="M389" s="22"/>
      <c r="N389" s="25" t="str">
        <f>HYPERLINK("http://slimages.macys.com/is/image/MCY/21209478 ")</f>
        <v xml:space="preserve">http://slimages.macys.com/is/image/MCY/21209478 </v>
      </c>
    </row>
    <row r="390" spans="1:14" ht="24.75" x14ac:dyDescent="0.25">
      <c r="A390" s="21" t="s">
        <v>16649</v>
      </c>
      <c r="B390" s="22" t="s">
        <v>16650</v>
      </c>
      <c r="C390" s="2">
        <v>2</v>
      </c>
      <c r="D390" s="23">
        <v>11.99</v>
      </c>
      <c r="E390" s="3">
        <v>23.98</v>
      </c>
      <c r="F390" s="2" t="s">
        <v>16646</v>
      </c>
      <c r="G390" s="22" t="s">
        <v>19794</v>
      </c>
      <c r="H390" s="24" t="s">
        <v>19416</v>
      </c>
      <c r="I390" s="22" t="s">
        <v>19309</v>
      </c>
      <c r="J390" s="22" t="s">
        <v>19573</v>
      </c>
      <c r="K390" s="22" t="s">
        <v>19574</v>
      </c>
      <c r="L390" s="22"/>
      <c r="M390" s="22"/>
      <c r="N390" s="25" t="str">
        <f>HYPERLINK("http://slimages.macys.com/is/image/MCY/1956290 ")</f>
        <v xml:space="preserve">http://slimages.macys.com/is/image/MCY/1956290 </v>
      </c>
    </row>
    <row r="391" spans="1:14" x14ac:dyDescent="0.25">
      <c r="A391" s="21" t="s">
        <v>12372</v>
      </c>
      <c r="B391" s="22" t="s">
        <v>12373</v>
      </c>
      <c r="C391" s="2">
        <v>1</v>
      </c>
      <c r="D391" s="23">
        <v>12.99</v>
      </c>
      <c r="E391" s="3">
        <v>12.99</v>
      </c>
      <c r="F391" s="2" t="s">
        <v>12374</v>
      </c>
      <c r="G391" s="22" t="s">
        <v>19674</v>
      </c>
      <c r="H391" s="24" t="s">
        <v>19542</v>
      </c>
      <c r="I391" s="22" t="s">
        <v>19309</v>
      </c>
      <c r="J391" s="22" t="s">
        <v>19849</v>
      </c>
      <c r="K391" s="22" t="s">
        <v>19850</v>
      </c>
      <c r="L391" s="22"/>
      <c r="M391" s="22"/>
      <c r="N391" s="25" t="str">
        <f>HYPERLINK("http://slimages.macys.com/is/image/MCY/21270325 ")</f>
        <v xml:space="preserve">http://slimages.macys.com/is/image/MCY/21270325 </v>
      </c>
    </row>
    <row r="392" spans="1:14" x14ac:dyDescent="0.25">
      <c r="A392" s="21" t="s">
        <v>12375</v>
      </c>
      <c r="B392" s="22" t="s">
        <v>12376</v>
      </c>
      <c r="C392" s="2">
        <v>1</v>
      </c>
      <c r="D392" s="23">
        <v>12.99</v>
      </c>
      <c r="E392" s="3">
        <v>12.99</v>
      </c>
      <c r="F392" s="2" t="s">
        <v>12374</v>
      </c>
      <c r="G392" s="22" t="s">
        <v>19674</v>
      </c>
      <c r="H392" s="24" t="s">
        <v>19361</v>
      </c>
      <c r="I392" s="22" t="s">
        <v>19309</v>
      </c>
      <c r="J392" s="22" t="s">
        <v>19849</v>
      </c>
      <c r="K392" s="22" t="s">
        <v>19850</v>
      </c>
      <c r="L392" s="22"/>
      <c r="M392" s="22"/>
      <c r="N392" s="25" t="str">
        <f>HYPERLINK("http://slimages.macys.com/is/image/MCY/21270325 ")</f>
        <v xml:space="preserve">http://slimages.macys.com/is/image/MCY/21270325 </v>
      </c>
    </row>
    <row r="393" spans="1:14" ht="24.75" x14ac:dyDescent="0.25">
      <c r="A393" s="21" t="s">
        <v>12377</v>
      </c>
      <c r="B393" s="22" t="s">
        <v>12378</v>
      </c>
      <c r="C393" s="2">
        <v>1</v>
      </c>
      <c r="D393" s="23">
        <v>10.99</v>
      </c>
      <c r="E393" s="3">
        <v>10.99</v>
      </c>
      <c r="F393" s="2" t="s">
        <v>12379</v>
      </c>
      <c r="G393" s="22" t="s">
        <v>19585</v>
      </c>
      <c r="H393" s="24"/>
      <c r="I393" s="22" t="s">
        <v>19309</v>
      </c>
      <c r="J393" s="22" t="s">
        <v>19573</v>
      </c>
      <c r="K393" s="22" t="s">
        <v>19574</v>
      </c>
      <c r="L393" s="22"/>
      <c r="M393" s="22"/>
      <c r="N393" s="25" t="str">
        <f>HYPERLINK("http://slimages.macys.com/is/image/MCY/20757685 ")</f>
        <v xml:space="preserve">http://slimages.macys.com/is/image/MCY/20757685 </v>
      </c>
    </row>
    <row r="394" spans="1:14" ht="24.75" x14ac:dyDescent="0.25">
      <c r="A394" s="21" t="s">
        <v>18690</v>
      </c>
      <c r="B394" s="22" t="s">
        <v>18691</v>
      </c>
      <c r="C394" s="2">
        <v>1</v>
      </c>
      <c r="D394" s="23">
        <v>9.99</v>
      </c>
      <c r="E394" s="3">
        <v>9.99</v>
      </c>
      <c r="F394" s="2" t="s">
        <v>18689</v>
      </c>
      <c r="G394" s="22" t="s">
        <v>19351</v>
      </c>
      <c r="H394" s="24" t="s">
        <v>19770</v>
      </c>
      <c r="I394" s="22" t="s">
        <v>19309</v>
      </c>
      <c r="J394" s="22" t="s">
        <v>19573</v>
      </c>
      <c r="K394" s="22" t="s">
        <v>19574</v>
      </c>
      <c r="L394" s="22"/>
      <c r="M394" s="22"/>
      <c r="N394" s="25" t="str">
        <f>HYPERLINK("http://slimages.macys.com/is/image/MCY/1679025 ")</f>
        <v xml:space="preserve">http://slimages.macys.com/is/image/MCY/1679025 </v>
      </c>
    </row>
    <row r="395" spans="1:14" ht="24.75" x14ac:dyDescent="0.25">
      <c r="A395" s="21" t="s">
        <v>18687</v>
      </c>
      <c r="B395" s="22" t="s">
        <v>18688</v>
      </c>
      <c r="C395" s="2">
        <v>3</v>
      </c>
      <c r="D395" s="23">
        <v>9.99</v>
      </c>
      <c r="E395" s="3">
        <v>29.97</v>
      </c>
      <c r="F395" s="2" t="s">
        <v>18689</v>
      </c>
      <c r="G395" s="22" t="s">
        <v>19351</v>
      </c>
      <c r="H395" s="24"/>
      <c r="I395" s="22" t="s">
        <v>19309</v>
      </c>
      <c r="J395" s="22" t="s">
        <v>19573</v>
      </c>
      <c r="K395" s="22" t="s">
        <v>19574</v>
      </c>
      <c r="L395" s="22"/>
      <c r="M395" s="22"/>
      <c r="N395" s="25" t="str">
        <f>HYPERLINK("http://slimages.macys.com/is/image/MCY/1699968 ")</f>
        <v xml:space="preserve">http://slimages.macys.com/is/image/MCY/1699968 </v>
      </c>
    </row>
    <row r="396" spans="1:14" ht="24.75" x14ac:dyDescent="0.25">
      <c r="A396" s="21" t="s">
        <v>18692</v>
      </c>
      <c r="B396" s="22" t="s">
        <v>18693</v>
      </c>
      <c r="C396" s="2">
        <v>1</v>
      </c>
      <c r="D396" s="23">
        <v>9.99</v>
      </c>
      <c r="E396" s="3">
        <v>9.99</v>
      </c>
      <c r="F396" s="2" t="s">
        <v>18689</v>
      </c>
      <c r="G396" s="22" t="s">
        <v>19351</v>
      </c>
      <c r="H396" s="24" t="s">
        <v>19538</v>
      </c>
      <c r="I396" s="22" t="s">
        <v>19309</v>
      </c>
      <c r="J396" s="22" t="s">
        <v>19573</v>
      </c>
      <c r="K396" s="22" t="s">
        <v>19574</v>
      </c>
      <c r="L396" s="22"/>
      <c r="M396" s="22"/>
      <c r="N396" s="25" t="str">
        <f>HYPERLINK("http://slimages.macys.com/is/image/MCY/1679025 ")</f>
        <v xml:space="preserve">http://slimages.macys.com/is/image/MCY/1679025 </v>
      </c>
    </row>
    <row r="397" spans="1:14" ht="24.75" x14ac:dyDescent="0.25">
      <c r="A397" s="21" t="s">
        <v>12380</v>
      </c>
      <c r="B397" s="22" t="s">
        <v>12381</v>
      </c>
      <c r="C397" s="2">
        <v>2</v>
      </c>
      <c r="D397" s="23">
        <v>9.99</v>
      </c>
      <c r="E397" s="3">
        <v>19.98</v>
      </c>
      <c r="F397" s="2">
        <v>10015240800</v>
      </c>
      <c r="G397" s="22" t="s">
        <v>19351</v>
      </c>
      <c r="H397" s="24" t="s">
        <v>19538</v>
      </c>
      <c r="I397" s="22" t="s">
        <v>19309</v>
      </c>
      <c r="J397" s="22" t="s">
        <v>19573</v>
      </c>
      <c r="K397" s="22" t="s">
        <v>19574</v>
      </c>
      <c r="L397" s="22"/>
      <c r="M397" s="22"/>
      <c r="N397" s="25" t="str">
        <f>HYPERLINK("http://slimages.macys.com/is/image/MCY/2023449 ")</f>
        <v xml:space="preserve">http://slimages.macys.com/is/image/MCY/2023449 </v>
      </c>
    </row>
    <row r="398" spans="1:14" ht="24.75" x14ac:dyDescent="0.25">
      <c r="A398" s="21" t="s">
        <v>18673</v>
      </c>
      <c r="B398" s="22" t="s">
        <v>18674</v>
      </c>
      <c r="C398" s="2">
        <v>2</v>
      </c>
      <c r="D398" s="23">
        <v>9.99</v>
      </c>
      <c r="E398" s="3">
        <v>19.98</v>
      </c>
      <c r="F398" s="2">
        <v>10015240700</v>
      </c>
      <c r="G398" s="22" t="s">
        <v>19315</v>
      </c>
      <c r="H398" s="24"/>
      <c r="I398" s="22" t="s">
        <v>19309</v>
      </c>
      <c r="J398" s="22" t="s">
        <v>19573</v>
      </c>
      <c r="K398" s="22" t="s">
        <v>19574</v>
      </c>
      <c r="L398" s="22"/>
      <c r="M398" s="22"/>
      <c r="N398" s="25" t="str">
        <f>HYPERLINK("http://slimages.macys.com/is/image/MCY/2023449 ")</f>
        <v xml:space="preserve">http://slimages.macys.com/is/image/MCY/2023449 </v>
      </c>
    </row>
    <row r="399" spans="1:14" ht="24.75" x14ac:dyDescent="0.25">
      <c r="A399" s="21" t="s">
        <v>18685</v>
      </c>
      <c r="B399" s="22" t="s">
        <v>18686</v>
      </c>
      <c r="C399" s="2">
        <v>1</v>
      </c>
      <c r="D399" s="23">
        <v>9.99</v>
      </c>
      <c r="E399" s="3">
        <v>9.99</v>
      </c>
      <c r="F399" s="2">
        <v>10015240700</v>
      </c>
      <c r="G399" s="22" t="s">
        <v>19315</v>
      </c>
      <c r="H399" s="24" t="s">
        <v>19538</v>
      </c>
      <c r="I399" s="22" t="s">
        <v>19309</v>
      </c>
      <c r="J399" s="22" t="s">
        <v>19573</v>
      </c>
      <c r="K399" s="22" t="s">
        <v>19574</v>
      </c>
      <c r="L399" s="22"/>
      <c r="M399" s="22"/>
      <c r="N399" s="25" t="str">
        <f>HYPERLINK("http://slimages.macys.com/is/image/MCY/2023449 ")</f>
        <v xml:space="preserve">http://slimages.macys.com/is/image/MCY/2023449 </v>
      </c>
    </row>
    <row r="400" spans="1:14" ht="24.75" x14ac:dyDescent="0.25">
      <c r="A400" s="21" t="s">
        <v>13933</v>
      </c>
      <c r="B400" s="22" t="s">
        <v>13934</v>
      </c>
      <c r="C400" s="2">
        <v>1</v>
      </c>
      <c r="D400" s="23">
        <v>9.99</v>
      </c>
      <c r="E400" s="3">
        <v>9.99</v>
      </c>
      <c r="F400" s="2" t="s">
        <v>18689</v>
      </c>
      <c r="G400" s="22" t="s">
        <v>19351</v>
      </c>
      <c r="H400" s="24" t="s">
        <v>19384</v>
      </c>
      <c r="I400" s="22" t="s">
        <v>19309</v>
      </c>
      <c r="J400" s="22" t="s">
        <v>19573</v>
      </c>
      <c r="K400" s="22" t="s">
        <v>19574</v>
      </c>
      <c r="L400" s="22"/>
      <c r="M400" s="22"/>
      <c r="N400" s="25" t="str">
        <f>HYPERLINK("http://slimages.macys.com/is/image/MCY/1679025 ")</f>
        <v xml:space="preserve">http://slimages.macys.com/is/image/MCY/1679025 </v>
      </c>
    </row>
    <row r="401" spans="1:14" x14ac:dyDescent="0.25">
      <c r="A401" s="21" t="s">
        <v>12382</v>
      </c>
      <c r="B401" s="22" t="s">
        <v>12383</v>
      </c>
      <c r="C401" s="2">
        <v>1</v>
      </c>
      <c r="D401" s="23">
        <v>11.99</v>
      </c>
      <c r="E401" s="3">
        <v>11.99</v>
      </c>
      <c r="F401" s="2" t="s">
        <v>12384</v>
      </c>
      <c r="G401" s="22" t="s">
        <v>19670</v>
      </c>
      <c r="H401" s="24" t="s">
        <v>19542</v>
      </c>
      <c r="I401" s="22" t="s">
        <v>19309</v>
      </c>
      <c r="J401" s="22" t="s">
        <v>19849</v>
      </c>
      <c r="K401" s="22" t="s">
        <v>19850</v>
      </c>
      <c r="L401" s="22"/>
      <c r="M401" s="22"/>
      <c r="N401" s="25" t="str">
        <f>HYPERLINK("http://slimages.macys.com/is/image/MCY/20549498 ")</f>
        <v xml:space="preserve">http://slimages.macys.com/is/image/MCY/20549498 </v>
      </c>
    </row>
    <row r="402" spans="1:14" ht="24.75" x14ac:dyDescent="0.25">
      <c r="A402" s="21" t="s">
        <v>18700</v>
      </c>
      <c r="B402" s="22" t="s">
        <v>18701</v>
      </c>
      <c r="C402" s="2">
        <v>1</v>
      </c>
      <c r="D402" s="23">
        <v>10.99</v>
      </c>
      <c r="E402" s="3">
        <v>10.99</v>
      </c>
      <c r="F402" s="2" t="s">
        <v>18702</v>
      </c>
      <c r="G402" s="22" t="s">
        <v>19670</v>
      </c>
      <c r="H402" s="24" t="s">
        <v>19352</v>
      </c>
      <c r="I402" s="22" t="s">
        <v>19309</v>
      </c>
      <c r="J402" s="22" t="s">
        <v>19353</v>
      </c>
      <c r="K402" s="22" t="s">
        <v>19524</v>
      </c>
      <c r="L402" s="22"/>
      <c r="M402" s="22"/>
      <c r="N402" s="25" t="str">
        <f>HYPERLINK("http://slimages.macys.com/is/image/MCY/1484637 ")</f>
        <v xml:space="preserve">http://slimages.macys.com/is/image/MCY/1484637 </v>
      </c>
    </row>
    <row r="403" spans="1:14" ht="24.75" x14ac:dyDescent="0.25">
      <c r="A403" s="21" t="s">
        <v>12385</v>
      </c>
      <c r="B403" s="22" t="s">
        <v>12386</v>
      </c>
      <c r="C403" s="2">
        <v>1</v>
      </c>
      <c r="D403" s="23">
        <v>10</v>
      </c>
      <c r="E403" s="3">
        <v>10</v>
      </c>
      <c r="F403" s="2" t="s">
        <v>12387</v>
      </c>
      <c r="G403" s="22" t="s">
        <v>19315</v>
      </c>
      <c r="H403" s="24" t="s">
        <v>19364</v>
      </c>
      <c r="I403" s="22" t="s">
        <v>19309</v>
      </c>
      <c r="J403" s="22" t="s">
        <v>19565</v>
      </c>
      <c r="K403" s="22" t="s">
        <v>18548</v>
      </c>
      <c r="L403" s="22"/>
      <c r="M403" s="22"/>
      <c r="N403" s="25" t="str">
        <f>HYPERLINK("http://slimages.macys.com/is/image/MCY/20443634 ")</f>
        <v xml:space="preserve">http://slimages.macys.com/is/image/MCY/20443634 </v>
      </c>
    </row>
    <row r="404" spans="1:14" ht="24.75" x14ac:dyDescent="0.25">
      <c r="A404" s="21" t="s">
        <v>12388</v>
      </c>
      <c r="B404" s="22" t="s">
        <v>12389</v>
      </c>
      <c r="C404" s="2">
        <v>1</v>
      </c>
      <c r="D404" s="23">
        <v>10.41</v>
      </c>
      <c r="E404" s="3">
        <v>10.41</v>
      </c>
      <c r="F404" s="2" t="s">
        <v>12390</v>
      </c>
      <c r="G404" s="22"/>
      <c r="H404" s="24" t="s">
        <v>19392</v>
      </c>
      <c r="I404" s="22" t="s">
        <v>19309</v>
      </c>
      <c r="J404" s="22" t="s">
        <v>19602</v>
      </c>
      <c r="K404" s="22" t="s">
        <v>20041</v>
      </c>
      <c r="L404" s="22"/>
      <c r="M404" s="22"/>
      <c r="N404" s="25" t="str">
        <f>HYPERLINK("http://slimages.macys.com/is/image/MCY/21723875 ")</f>
        <v xml:space="preserve">http://slimages.macys.com/is/image/MCY/21723875 </v>
      </c>
    </row>
    <row r="405" spans="1:14" x14ac:dyDescent="0.25">
      <c r="A405" s="21" t="s">
        <v>12391</v>
      </c>
      <c r="B405" s="22" t="s">
        <v>12392</v>
      </c>
      <c r="C405" s="2">
        <v>1</v>
      </c>
      <c r="D405" s="23">
        <v>11.83</v>
      </c>
      <c r="E405" s="3">
        <v>11.83</v>
      </c>
      <c r="F405" s="2" t="s">
        <v>12393</v>
      </c>
      <c r="G405" s="22" t="s">
        <v>19431</v>
      </c>
      <c r="H405" s="24" t="s">
        <v>19770</v>
      </c>
      <c r="I405" s="22" t="s">
        <v>19309</v>
      </c>
      <c r="J405" s="22" t="s">
        <v>19708</v>
      </c>
      <c r="K405" s="22" t="s">
        <v>19709</v>
      </c>
      <c r="L405" s="22"/>
      <c r="M405" s="22"/>
      <c r="N405" s="25" t="str">
        <f>HYPERLINK("http://slimages.macys.com/is/image/MCY/21413395 ")</f>
        <v xml:space="preserve">http://slimages.macys.com/is/image/MCY/21413395 </v>
      </c>
    </row>
    <row r="406" spans="1:14" x14ac:dyDescent="0.25">
      <c r="A406" s="21" t="s">
        <v>12394</v>
      </c>
      <c r="B406" s="22" t="s">
        <v>12395</v>
      </c>
      <c r="C406" s="2">
        <v>1</v>
      </c>
      <c r="D406" s="23">
        <v>11.83</v>
      </c>
      <c r="E406" s="3">
        <v>11.83</v>
      </c>
      <c r="F406" s="2" t="s">
        <v>12396</v>
      </c>
      <c r="G406" s="22" t="s">
        <v>19357</v>
      </c>
      <c r="H406" s="24" t="s">
        <v>19770</v>
      </c>
      <c r="I406" s="22" t="s">
        <v>19309</v>
      </c>
      <c r="J406" s="22" t="s">
        <v>19708</v>
      </c>
      <c r="K406" s="22" t="s">
        <v>19709</v>
      </c>
      <c r="L406" s="22"/>
      <c r="M406" s="22"/>
      <c r="N406" s="25" t="str">
        <f>HYPERLINK("http://slimages.macys.com/is/image/MCY/21414017 ")</f>
        <v xml:space="preserve">http://slimages.macys.com/is/image/MCY/21414017 </v>
      </c>
    </row>
    <row r="407" spans="1:14" x14ac:dyDescent="0.25">
      <c r="A407" s="21" t="s">
        <v>12397</v>
      </c>
      <c r="B407" s="22" t="s">
        <v>12398</v>
      </c>
      <c r="C407" s="2">
        <v>1</v>
      </c>
      <c r="D407" s="23">
        <v>13.99</v>
      </c>
      <c r="E407" s="3">
        <v>13.99</v>
      </c>
      <c r="F407" s="2" t="s">
        <v>16674</v>
      </c>
      <c r="G407" s="22" t="s">
        <v>19670</v>
      </c>
      <c r="H407" s="24" t="s">
        <v>19364</v>
      </c>
      <c r="I407" s="22" t="s">
        <v>19309</v>
      </c>
      <c r="J407" s="22" t="s">
        <v>19849</v>
      </c>
      <c r="K407" s="22" t="s">
        <v>19850</v>
      </c>
      <c r="L407" s="22"/>
      <c r="M407" s="22"/>
      <c r="N407" s="25" t="str">
        <f>HYPERLINK("http://slimages.macys.com/is/image/MCY/1249963 ")</f>
        <v xml:space="preserve">http://slimages.macys.com/is/image/MCY/1249963 </v>
      </c>
    </row>
    <row r="408" spans="1:14" x14ac:dyDescent="0.25">
      <c r="A408" s="21" t="s">
        <v>12399</v>
      </c>
      <c r="B408" s="22" t="s">
        <v>12400</v>
      </c>
      <c r="C408" s="2">
        <v>1</v>
      </c>
      <c r="D408" s="23">
        <v>9.99</v>
      </c>
      <c r="E408" s="3">
        <v>9.99</v>
      </c>
      <c r="F408" s="2" t="s">
        <v>16339</v>
      </c>
      <c r="G408" s="22" t="s">
        <v>19431</v>
      </c>
      <c r="H408" s="24" t="s">
        <v>20135</v>
      </c>
      <c r="I408" s="22" t="s">
        <v>19309</v>
      </c>
      <c r="J408" s="22" t="s">
        <v>19849</v>
      </c>
      <c r="K408" s="22" t="s">
        <v>19850</v>
      </c>
      <c r="L408" s="22"/>
      <c r="M408" s="22"/>
      <c r="N408" s="25" t="str">
        <f>HYPERLINK("http://slimages.macys.com/is/image/MCY/20751994 ")</f>
        <v xml:space="preserve">http://slimages.macys.com/is/image/MCY/20751994 </v>
      </c>
    </row>
    <row r="409" spans="1:14" x14ac:dyDescent="0.25">
      <c r="A409" s="21" t="s">
        <v>12401</v>
      </c>
      <c r="B409" s="22" t="s">
        <v>12402</v>
      </c>
      <c r="C409" s="2">
        <v>1</v>
      </c>
      <c r="D409" s="23">
        <v>9.99</v>
      </c>
      <c r="E409" s="3">
        <v>9.99</v>
      </c>
      <c r="F409" s="2" t="s">
        <v>16339</v>
      </c>
      <c r="G409" s="22" t="s">
        <v>19431</v>
      </c>
      <c r="H409" s="24" t="s">
        <v>19361</v>
      </c>
      <c r="I409" s="22" t="s">
        <v>19309</v>
      </c>
      <c r="J409" s="22" t="s">
        <v>19849</v>
      </c>
      <c r="K409" s="22" t="s">
        <v>19850</v>
      </c>
      <c r="L409" s="22"/>
      <c r="M409" s="22"/>
      <c r="N409" s="25" t="str">
        <f>HYPERLINK("http://slimages.macys.com/is/image/MCY/20751994 ")</f>
        <v xml:space="preserve">http://slimages.macys.com/is/image/MCY/20751994 </v>
      </c>
    </row>
    <row r="410" spans="1:14" x14ac:dyDescent="0.25">
      <c r="A410" s="21" t="s">
        <v>16394</v>
      </c>
      <c r="B410" s="22" t="s">
        <v>16395</v>
      </c>
      <c r="C410" s="2">
        <v>1</v>
      </c>
      <c r="D410" s="23">
        <v>8.99</v>
      </c>
      <c r="E410" s="3">
        <v>8.99</v>
      </c>
      <c r="F410" s="2" t="s">
        <v>16396</v>
      </c>
      <c r="G410" s="22" t="s">
        <v>19618</v>
      </c>
      <c r="H410" s="24" t="s">
        <v>20135</v>
      </c>
      <c r="I410" s="22" t="s">
        <v>19309</v>
      </c>
      <c r="J410" s="22" t="s">
        <v>19849</v>
      </c>
      <c r="K410" s="22" t="s">
        <v>19850</v>
      </c>
      <c r="L410" s="22"/>
      <c r="M410" s="22"/>
      <c r="N410" s="25" t="str">
        <f>HYPERLINK("http://slimages.macys.com/is/image/MCY/19068331 ")</f>
        <v xml:space="preserve">http://slimages.macys.com/is/image/MCY/19068331 </v>
      </c>
    </row>
    <row r="411" spans="1:14" ht="24.75" x14ac:dyDescent="0.25">
      <c r="A411" s="21" t="s">
        <v>12403</v>
      </c>
      <c r="B411" s="22" t="s">
        <v>12404</v>
      </c>
      <c r="C411" s="2">
        <v>1</v>
      </c>
      <c r="D411" s="23">
        <v>10.99</v>
      </c>
      <c r="E411" s="3">
        <v>10.99</v>
      </c>
      <c r="F411" s="2" t="s">
        <v>13316</v>
      </c>
      <c r="G411" s="22" t="s">
        <v>19351</v>
      </c>
      <c r="H411" s="24" t="s">
        <v>19364</v>
      </c>
      <c r="I411" s="22" t="s">
        <v>19309</v>
      </c>
      <c r="J411" s="22" t="s">
        <v>19353</v>
      </c>
      <c r="K411" s="22" t="s">
        <v>19524</v>
      </c>
      <c r="L411" s="22"/>
      <c r="M411" s="22"/>
      <c r="N411" s="25" t="str">
        <f>HYPERLINK("http://slimages.macys.com/is/image/MCY/21083383 ")</f>
        <v xml:space="preserve">http://slimages.macys.com/is/image/MCY/21083383 </v>
      </c>
    </row>
    <row r="412" spans="1:14" x14ac:dyDescent="0.25">
      <c r="A412" s="21" t="s">
        <v>12405</v>
      </c>
      <c r="B412" s="22" t="s">
        <v>12406</v>
      </c>
      <c r="C412" s="2">
        <v>1</v>
      </c>
      <c r="D412" s="23">
        <v>9.99</v>
      </c>
      <c r="E412" s="3">
        <v>9.99</v>
      </c>
      <c r="F412" s="2" t="s">
        <v>16356</v>
      </c>
      <c r="G412" s="22" t="s">
        <v>19351</v>
      </c>
      <c r="H412" s="24" t="s">
        <v>19377</v>
      </c>
      <c r="I412" s="22" t="s">
        <v>19309</v>
      </c>
      <c r="J412" s="22" t="s">
        <v>19849</v>
      </c>
      <c r="K412" s="22" t="s">
        <v>19850</v>
      </c>
      <c r="L412" s="22"/>
      <c r="M412" s="22"/>
      <c r="N412" s="25" t="str">
        <f>HYPERLINK("http://slimages.macys.com/is/image/MCY/20752010 ")</f>
        <v xml:space="preserve">http://slimages.macys.com/is/image/MCY/20752010 </v>
      </c>
    </row>
    <row r="413" spans="1:14" ht="24.75" x14ac:dyDescent="0.25">
      <c r="A413" s="21" t="s">
        <v>13322</v>
      </c>
      <c r="B413" s="22" t="s">
        <v>13323</v>
      </c>
      <c r="C413" s="2">
        <v>1</v>
      </c>
      <c r="D413" s="23">
        <v>13.99</v>
      </c>
      <c r="E413" s="3">
        <v>13.99</v>
      </c>
      <c r="F413" s="2" t="s">
        <v>18729</v>
      </c>
      <c r="G413" s="22" t="s">
        <v>19415</v>
      </c>
      <c r="H413" s="24" t="s">
        <v>19416</v>
      </c>
      <c r="I413" s="22" t="s">
        <v>19309</v>
      </c>
      <c r="J413" s="22" t="s">
        <v>19573</v>
      </c>
      <c r="K413" s="22" t="s">
        <v>19574</v>
      </c>
      <c r="L413" s="22"/>
      <c r="M413" s="22"/>
      <c r="N413" s="25" t="str">
        <f>HYPERLINK("http://slimages.macys.com/is/image/MCY/1956290 ")</f>
        <v xml:space="preserve">http://slimages.macys.com/is/image/MCY/1956290 </v>
      </c>
    </row>
    <row r="414" spans="1:14" ht="24.75" x14ac:dyDescent="0.25">
      <c r="A414" s="21" t="s">
        <v>12407</v>
      </c>
      <c r="B414" s="22" t="s">
        <v>12408</v>
      </c>
      <c r="C414" s="2">
        <v>1</v>
      </c>
      <c r="D414" s="23">
        <v>13.99</v>
      </c>
      <c r="E414" s="3">
        <v>13.99</v>
      </c>
      <c r="F414" s="2" t="s">
        <v>18729</v>
      </c>
      <c r="G414" s="22" t="s">
        <v>19670</v>
      </c>
      <c r="H414" s="24" t="s">
        <v>19538</v>
      </c>
      <c r="I414" s="22" t="s">
        <v>19309</v>
      </c>
      <c r="J414" s="22" t="s">
        <v>19573</v>
      </c>
      <c r="K414" s="22" t="s">
        <v>19574</v>
      </c>
      <c r="L414" s="22"/>
      <c r="M414" s="22"/>
      <c r="N414" s="25" t="str">
        <f>HYPERLINK("http://slimages.macys.com/is/image/MCY/1520506 ")</f>
        <v xml:space="preserve">http://slimages.macys.com/is/image/MCY/1520506 </v>
      </c>
    </row>
    <row r="415" spans="1:14" ht="24.75" x14ac:dyDescent="0.25">
      <c r="A415" s="21" t="s">
        <v>13320</v>
      </c>
      <c r="B415" s="22" t="s">
        <v>13321</v>
      </c>
      <c r="C415" s="2">
        <v>1</v>
      </c>
      <c r="D415" s="23">
        <v>13.99</v>
      </c>
      <c r="E415" s="3">
        <v>13.99</v>
      </c>
      <c r="F415" s="2" t="s">
        <v>18729</v>
      </c>
      <c r="G415" s="22" t="s">
        <v>19415</v>
      </c>
      <c r="H415" s="24" t="s">
        <v>19538</v>
      </c>
      <c r="I415" s="22" t="s">
        <v>19309</v>
      </c>
      <c r="J415" s="22" t="s">
        <v>19573</v>
      </c>
      <c r="K415" s="22" t="s">
        <v>19574</v>
      </c>
      <c r="L415" s="22"/>
      <c r="M415" s="22"/>
      <c r="N415" s="25" t="str">
        <f>HYPERLINK("http://slimages.macys.com/is/image/MCY/1956290 ")</f>
        <v xml:space="preserve">http://slimages.macys.com/is/image/MCY/1956290 </v>
      </c>
    </row>
    <row r="416" spans="1:14" ht="24.75" x14ac:dyDescent="0.25">
      <c r="A416" s="21" t="s">
        <v>16703</v>
      </c>
      <c r="B416" s="22" t="s">
        <v>16704</v>
      </c>
      <c r="C416" s="2">
        <v>1</v>
      </c>
      <c r="D416" s="23">
        <v>13.99</v>
      </c>
      <c r="E416" s="3">
        <v>13.99</v>
      </c>
      <c r="F416" s="2" t="s">
        <v>18729</v>
      </c>
      <c r="G416" s="22" t="s">
        <v>19415</v>
      </c>
      <c r="H416" s="24" t="s">
        <v>19330</v>
      </c>
      <c r="I416" s="22" t="s">
        <v>19309</v>
      </c>
      <c r="J416" s="22" t="s">
        <v>19573</v>
      </c>
      <c r="K416" s="22" t="s">
        <v>19574</v>
      </c>
      <c r="L416" s="22"/>
      <c r="M416" s="22"/>
      <c r="N416" s="25" t="str">
        <f>HYPERLINK("http://slimages.macys.com/is/image/MCY/1956290 ")</f>
        <v xml:space="preserve">http://slimages.macys.com/is/image/MCY/1956290 </v>
      </c>
    </row>
    <row r="417" spans="1:14" x14ac:dyDescent="0.25">
      <c r="A417" s="21" t="s">
        <v>12409</v>
      </c>
      <c r="B417" s="22" t="s">
        <v>12410</v>
      </c>
      <c r="C417" s="2">
        <v>1</v>
      </c>
      <c r="D417" s="23">
        <v>8.99</v>
      </c>
      <c r="E417" s="3">
        <v>8.99</v>
      </c>
      <c r="F417" s="2" t="s">
        <v>18841</v>
      </c>
      <c r="G417" s="22" t="s">
        <v>19431</v>
      </c>
      <c r="H417" s="24" t="s">
        <v>19364</v>
      </c>
      <c r="I417" s="22" t="s">
        <v>19309</v>
      </c>
      <c r="J417" s="22" t="s">
        <v>19849</v>
      </c>
      <c r="K417" s="22" t="s">
        <v>19850</v>
      </c>
      <c r="L417" s="22"/>
      <c r="M417" s="22"/>
      <c r="N417" s="25" t="str">
        <f>HYPERLINK("http://slimages.macys.com/is/image/MCY/19068309 ")</f>
        <v xml:space="preserve">http://slimages.macys.com/is/image/MCY/19068309 </v>
      </c>
    </row>
    <row r="418" spans="1:14" x14ac:dyDescent="0.25">
      <c r="A418" s="21" t="s">
        <v>16733</v>
      </c>
      <c r="B418" s="22" t="s">
        <v>16734</v>
      </c>
      <c r="C418" s="2">
        <v>2</v>
      </c>
      <c r="D418" s="23">
        <v>8.99</v>
      </c>
      <c r="E418" s="3">
        <v>17.98</v>
      </c>
      <c r="F418" s="2" t="s">
        <v>18841</v>
      </c>
      <c r="G418" s="22" t="s">
        <v>19431</v>
      </c>
      <c r="H418" s="24" t="s">
        <v>19352</v>
      </c>
      <c r="I418" s="22" t="s">
        <v>19309</v>
      </c>
      <c r="J418" s="22" t="s">
        <v>19849</v>
      </c>
      <c r="K418" s="22" t="s">
        <v>19850</v>
      </c>
      <c r="L418" s="22"/>
      <c r="M418" s="22"/>
      <c r="N418" s="25" t="str">
        <f>HYPERLINK("http://slimages.macys.com/is/image/MCY/19965819 ")</f>
        <v xml:space="preserve">http://slimages.macys.com/is/image/MCY/19965819 </v>
      </c>
    </row>
    <row r="419" spans="1:14" x14ac:dyDescent="0.25">
      <c r="A419" s="21" t="s">
        <v>12411</v>
      </c>
      <c r="B419" s="22" t="s">
        <v>12412</v>
      </c>
      <c r="C419" s="2">
        <v>1</v>
      </c>
      <c r="D419" s="23">
        <v>8.99</v>
      </c>
      <c r="E419" s="3">
        <v>8.99</v>
      </c>
      <c r="F419" s="2" t="s">
        <v>18841</v>
      </c>
      <c r="G419" s="22" t="s">
        <v>19431</v>
      </c>
      <c r="H419" s="24" t="s">
        <v>19339</v>
      </c>
      <c r="I419" s="22" t="s">
        <v>19309</v>
      </c>
      <c r="J419" s="22" t="s">
        <v>19849</v>
      </c>
      <c r="K419" s="22" t="s">
        <v>19850</v>
      </c>
      <c r="L419" s="22"/>
      <c r="M419" s="22"/>
      <c r="N419" s="25" t="str">
        <f>HYPERLINK("http://slimages.macys.com/is/image/MCY/22503910 ")</f>
        <v xml:space="preserve">http://slimages.macys.com/is/image/MCY/22503910 </v>
      </c>
    </row>
    <row r="420" spans="1:14" x14ac:dyDescent="0.25">
      <c r="A420" s="21" t="s">
        <v>12413</v>
      </c>
      <c r="B420" s="22" t="s">
        <v>12414</v>
      </c>
      <c r="C420" s="2">
        <v>1</v>
      </c>
      <c r="D420" s="23">
        <v>11.38</v>
      </c>
      <c r="E420" s="3">
        <v>11.38</v>
      </c>
      <c r="F420" s="2" t="s">
        <v>16739</v>
      </c>
      <c r="G420" s="22" t="s">
        <v>19594</v>
      </c>
      <c r="H420" s="24" t="s">
        <v>19324</v>
      </c>
      <c r="I420" s="22" t="s">
        <v>19309</v>
      </c>
      <c r="J420" s="22" t="s">
        <v>19708</v>
      </c>
      <c r="K420" s="22" t="s">
        <v>19709</v>
      </c>
      <c r="L420" s="22"/>
      <c r="M420" s="22"/>
      <c r="N420" s="25" t="str">
        <f>HYPERLINK("http://slimages.macys.com/is/image/MCY/21414308 ")</f>
        <v xml:space="preserve">http://slimages.macys.com/is/image/MCY/21414308 </v>
      </c>
    </row>
    <row r="421" spans="1:14" x14ac:dyDescent="0.25">
      <c r="A421" s="21" t="s">
        <v>12415</v>
      </c>
      <c r="B421" s="22" t="s">
        <v>12416</v>
      </c>
      <c r="C421" s="2">
        <v>1</v>
      </c>
      <c r="D421" s="23">
        <v>9.99</v>
      </c>
      <c r="E421" s="3">
        <v>9.99</v>
      </c>
      <c r="F421" s="2" t="s">
        <v>12417</v>
      </c>
      <c r="G421" s="22" t="s">
        <v>19674</v>
      </c>
      <c r="H421" s="24" t="s">
        <v>20089</v>
      </c>
      <c r="I421" s="22" t="s">
        <v>19309</v>
      </c>
      <c r="J421" s="22" t="s">
        <v>19849</v>
      </c>
      <c r="K421" s="22" t="s">
        <v>19850</v>
      </c>
      <c r="L421" s="22"/>
      <c r="M421" s="22"/>
      <c r="N421" s="25" t="str">
        <f>HYPERLINK("http://slimages.macys.com/is/image/MCY/1249852 ")</f>
        <v xml:space="preserve">http://slimages.macys.com/is/image/MCY/1249852 </v>
      </c>
    </row>
    <row r="422" spans="1:14" ht="24.75" x14ac:dyDescent="0.25">
      <c r="A422" s="21" t="s">
        <v>12418</v>
      </c>
      <c r="B422" s="22" t="s">
        <v>12419</v>
      </c>
      <c r="C422" s="2">
        <v>1</v>
      </c>
      <c r="D422" s="23">
        <v>11.99</v>
      </c>
      <c r="E422" s="3">
        <v>11.99</v>
      </c>
      <c r="F422" s="2">
        <v>4217</v>
      </c>
      <c r="G422" s="22" t="s">
        <v>19351</v>
      </c>
      <c r="H422" s="24" t="s">
        <v>19364</v>
      </c>
      <c r="I422" s="22" t="s">
        <v>19309</v>
      </c>
      <c r="J422" s="22" t="s">
        <v>20076</v>
      </c>
      <c r="K422" s="22" t="s">
        <v>20077</v>
      </c>
      <c r="L422" s="22" t="s">
        <v>19319</v>
      </c>
      <c r="M422" s="22" t="s">
        <v>19209</v>
      </c>
      <c r="N422" s="25" t="str">
        <f>HYPERLINK("http://slimages.macys.com/is/image/MCY/13050192 ")</f>
        <v xml:space="preserve">http://slimages.macys.com/is/image/MCY/13050192 </v>
      </c>
    </row>
    <row r="423" spans="1:14" ht="24.75" x14ac:dyDescent="0.25">
      <c r="A423" s="21" t="s">
        <v>18778</v>
      </c>
      <c r="B423" s="22" t="s">
        <v>18779</v>
      </c>
      <c r="C423" s="2">
        <v>1</v>
      </c>
      <c r="D423" s="23">
        <v>9.99</v>
      </c>
      <c r="E423" s="3">
        <v>9.99</v>
      </c>
      <c r="F423" s="2" t="s">
        <v>18773</v>
      </c>
      <c r="G423" s="22" t="s">
        <v>19422</v>
      </c>
      <c r="H423" s="24" t="s">
        <v>19384</v>
      </c>
      <c r="I423" s="22" t="s">
        <v>19309</v>
      </c>
      <c r="J423" s="22" t="s">
        <v>19573</v>
      </c>
      <c r="K423" s="22" t="s">
        <v>19574</v>
      </c>
      <c r="L423" s="22"/>
      <c r="M423" s="22"/>
      <c r="N423" s="25" t="str">
        <f>HYPERLINK("http://slimages.macys.com/is/image/MCY/1322715 ")</f>
        <v xml:space="preserve">http://slimages.macys.com/is/image/MCY/1322715 </v>
      </c>
    </row>
    <row r="424" spans="1:14" ht="24.75" x14ac:dyDescent="0.25">
      <c r="A424" s="21" t="s">
        <v>18776</v>
      </c>
      <c r="B424" s="22" t="s">
        <v>18777</v>
      </c>
      <c r="C424" s="2">
        <v>2</v>
      </c>
      <c r="D424" s="23">
        <v>9.99</v>
      </c>
      <c r="E424" s="3">
        <v>19.98</v>
      </c>
      <c r="F424" s="2" t="s">
        <v>18773</v>
      </c>
      <c r="G424" s="22" t="s">
        <v>19422</v>
      </c>
      <c r="H424" s="24"/>
      <c r="I424" s="22" t="s">
        <v>19309</v>
      </c>
      <c r="J424" s="22" t="s">
        <v>19573</v>
      </c>
      <c r="K424" s="22" t="s">
        <v>19574</v>
      </c>
      <c r="L424" s="22"/>
      <c r="M424" s="22"/>
      <c r="N424" s="25" t="str">
        <f>HYPERLINK("http://slimages.macys.com/is/image/MCY/1322715 ")</f>
        <v xml:space="preserve">http://slimages.macys.com/is/image/MCY/1322715 </v>
      </c>
    </row>
    <row r="425" spans="1:14" ht="24.75" x14ac:dyDescent="0.25">
      <c r="A425" s="21" t="s">
        <v>12420</v>
      </c>
      <c r="B425" s="22" t="s">
        <v>12421</v>
      </c>
      <c r="C425" s="2">
        <v>1</v>
      </c>
      <c r="D425" s="23">
        <v>9.99</v>
      </c>
      <c r="E425" s="3">
        <v>9.99</v>
      </c>
      <c r="F425" s="2" t="s">
        <v>18773</v>
      </c>
      <c r="G425" s="22" t="s">
        <v>19422</v>
      </c>
      <c r="H425" s="24" t="s">
        <v>19324</v>
      </c>
      <c r="I425" s="22" t="s">
        <v>19309</v>
      </c>
      <c r="J425" s="22" t="s">
        <v>19573</v>
      </c>
      <c r="K425" s="22" t="s">
        <v>19574</v>
      </c>
      <c r="L425" s="22"/>
      <c r="M425" s="22"/>
      <c r="N425" s="25" t="str">
        <f>HYPERLINK("http://slimages.macys.com/is/image/MCY/1322715 ")</f>
        <v xml:space="preserve">http://slimages.macys.com/is/image/MCY/1322715 </v>
      </c>
    </row>
    <row r="426" spans="1:14" ht="24.75" x14ac:dyDescent="0.25">
      <c r="A426" s="21" t="s">
        <v>18774</v>
      </c>
      <c r="B426" s="22" t="s">
        <v>18775</v>
      </c>
      <c r="C426" s="2">
        <v>1</v>
      </c>
      <c r="D426" s="23">
        <v>9.99</v>
      </c>
      <c r="E426" s="3">
        <v>9.99</v>
      </c>
      <c r="F426" s="2" t="s">
        <v>18773</v>
      </c>
      <c r="G426" s="22" t="s">
        <v>19422</v>
      </c>
      <c r="H426" s="24" t="s">
        <v>19770</v>
      </c>
      <c r="I426" s="22" t="s">
        <v>19309</v>
      </c>
      <c r="J426" s="22" t="s">
        <v>19573</v>
      </c>
      <c r="K426" s="22" t="s">
        <v>19574</v>
      </c>
      <c r="L426" s="22"/>
      <c r="M426" s="22"/>
      <c r="N426" s="25" t="str">
        <f>HYPERLINK("http://slimages.macys.com/is/image/MCY/1646328 ")</f>
        <v xml:space="preserve">http://slimages.macys.com/is/image/MCY/1646328 </v>
      </c>
    </row>
    <row r="427" spans="1:14" ht="24.75" x14ac:dyDescent="0.25">
      <c r="A427" s="21" t="s">
        <v>18771</v>
      </c>
      <c r="B427" s="22" t="s">
        <v>18772</v>
      </c>
      <c r="C427" s="2">
        <v>2</v>
      </c>
      <c r="D427" s="23">
        <v>9.99</v>
      </c>
      <c r="E427" s="3">
        <v>19.98</v>
      </c>
      <c r="F427" s="2" t="s">
        <v>18773</v>
      </c>
      <c r="G427" s="22" t="s">
        <v>19422</v>
      </c>
      <c r="H427" s="24" t="s">
        <v>19538</v>
      </c>
      <c r="I427" s="22" t="s">
        <v>19309</v>
      </c>
      <c r="J427" s="22" t="s">
        <v>19573</v>
      </c>
      <c r="K427" s="22" t="s">
        <v>19574</v>
      </c>
      <c r="L427" s="22"/>
      <c r="M427" s="22"/>
      <c r="N427" s="25" t="str">
        <f>HYPERLINK("http://slimages.macys.com/is/image/MCY/1322715 ")</f>
        <v xml:space="preserve">http://slimages.macys.com/is/image/MCY/1322715 </v>
      </c>
    </row>
    <row r="428" spans="1:14" ht="24.75" x14ac:dyDescent="0.25">
      <c r="A428" s="21" t="s">
        <v>13977</v>
      </c>
      <c r="B428" s="22" t="s">
        <v>13978</v>
      </c>
      <c r="C428" s="2">
        <v>1</v>
      </c>
      <c r="D428" s="23">
        <v>10.99</v>
      </c>
      <c r="E428" s="3">
        <v>10.99</v>
      </c>
      <c r="F428" s="2" t="s">
        <v>13979</v>
      </c>
      <c r="G428" s="22" t="s">
        <v>19477</v>
      </c>
      <c r="H428" s="24" t="s">
        <v>19538</v>
      </c>
      <c r="I428" s="22" t="s">
        <v>19309</v>
      </c>
      <c r="J428" s="22" t="s">
        <v>19573</v>
      </c>
      <c r="K428" s="22" t="s">
        <v>19574</v>
      </c>
      <c r="L428" s="22"/>
      <c r="M428" s="22"/>
      <c r="N428" s="25" t="str">
        <f>HYPERLINK("http://slimages.macys.com/is/image/MCY/1290284 ")</f>
        <v xml:space="preserve">http://slimages.macys.com/is/image/MCY/1290284 </v>
      </c>
    </row>
    <row r="429" spans="1:14" ht="24.75" x14ac:dyDescent="0.25">
      <c r="A429" s="21" t="s">
        <v>12422</v>
      </c>
      <c r="B429" s="22" t="s">
        <v>12423</v>
      </c>
      <c r="C429" s="2">
        <v>1</v>
      </c>
      <c r="D429" s="23">
        <v>10.99</v>
      </c>
      <c r="E429" s="3">
        <v>10.99</v>
      </c>
      <c r="F429" s="2" t="s">
        <v>12424</v>
      </c>
      <c r="G429" s="22" t="s">
        <v>19674</v>
      </c>
      <c r="H429" s="24"/>
      <c r="I429" s="22" t="s">
        <v>19309</v>
      </c>
      <c r="J429" s="22" t="s">
        <v>19573</v>
      </c>
      <c r="K429" s="22" t="s">
        <v>19574</v>
      </c>
      <c r="L429" s="22"/>
      <c r="M429" s="22"/>
      <c r="N429" s="25" t="str">
        <f>HYPERLINK("http://slimages.macys.com/is/image/MCY/1312560 ")</f>
        <v xml:space="preserve">http://slimages.macys.com/is/image/MCY/1312560 </v>
      </c>
    </row>
    <row r="430" spans="1:14" ht="24.75" x14ac:dyDescent="0.25">
      <c r="A430" s="21" t="s">
        <v>12425</v>
      </c>
      <c r="B430" s="22" t="s">
        <v>12426</v>
      </c>
      <c r="C430" s="2">
        <v>1</v>
      </c>
      <c r="D430" s="23">
        <v>10.99</v>
      </c>
      <c r="E430" s="3">
        <v>10.99</v>
      </c>
      <c r="F430" s="2" t="s">
        <v>12424</v>
      </c>
      <c r="G430" s="22" t="s">
        <v>19674</v>
      </c>
      <c r="H430" s="24" t="s">
        <v>19324</v>
      </c>
      <c r="I430" s="22" t="s">
        <v>19309</v>
      </c>
      <c r="J430" s="22" t="s">
        <v>19573</v>
      </c>
      <c r="K430" s="22" t="s">
        <v>19574</v>
      </c>
      <c r="L430" s="22"/>
      <c r="M430" s="22"/>
      <c r="N430" s="25" t="str">
        <f>HYPERLINK("http://slimages.macys.com/is/image/MCY/20757944 ")</f>
        <v xml:space="preserve">http://slimages.macys.com/is/image/MCY/20757944 </v>
      </c>
    </row>
    <row r="431" spans="1:14" x14ac:dyDescent="0.25">
      <c r="A431" s="21" t="s">
        <v>12427</v>
      </c>
      <c r="B431" s="22" t="s">
        <v>12428</v>
      </c>
      <c r="C431" s="2">
        <v>1</v>
      </c>
      <c r="D431" s="23">
        <v>7.99</v>
      </c>
      <c r="E431" s="3">
        <v>7.99</v>
      </c>
      <c r="F431" s="2" t="s">
        <v>12429</v>
      </c>
      <c r="G431" s="22" t="s">
        <v>19351</v>
      </c>
      <c r="H431" s="24" t="s">
        <v>19361</v>
      </c>
      <c r="I431" s="22" t="s">
        <v>19309</v>
      </c>
      <c r="J431" s="22" t="s">
        <v>19310</v>
      </c>
      <c r="K431" s="22" t="s">
        <v>19468</v>
      </c>
      <c r="L431" s="22" t="s">
        <v>19319</v>
      </c>
      <c r="M431" s="22" t="s">
        <v>19435</v>
      </c>
      <c r="N431" s="25" t="str">
        <f>HYPERLINK("http://slimages.macys.com/is/image/MCY/14444269 ")</f>
        <v xml:space="preserve">http://slimages.macys.com/is/image/MCY/14444269 </v>
      </c>
    </row>
    <row r="432" spans="1:14" ht="24.75" x14ac:dyDescent="0.25">
      <c r="A432" s="21" t="s">
        <v>12430</v>
      </c>
      <c r="B432" s="22" t="s">
        <v>12431</v>
      </c>
      <c r="C432" s="2">
        <v>1</v>
      </c>
      <c r="D432" s="23">
        <v>10.99</v>
      </c>
      <c r="E432" s="3">
        <v>10.99</v>
      </c>
      <c r="F432" s="2" t="s">
        <v>16765</v>
      </c>
      <c r="G432" s="22" t="s">
        <v>19351</v>
      </c>
      <c r="H432" s="24" t="s">
        <v>19330</v>
      </c>
      <c r="I432" s="22" t="s">
        <v>19309</v>
      </c>
      <c r="J432" s="22" t="s">
        <v>19573</v>
      </c>
      <c r="K432" s="22" t="s">
        <v>19574</v>
      </c>
      <c r="L432" s="22"/>
      <c r="M432" s="22"/>
      <c r="N432" s="25" t="str">
        <f>HYPERLINK("http://slimages.macys.com/is/image/MCY/20757944 ")</f>
        <v xml:space="preserve">http://slimages.macys.com/is/image/MCY/20757944 </v>
      </c>
    </row>
    <row r="433" spans="1:14" ht="24.75" x14ac:dyDescent="0.25">
      <c r="A433" s="21" t="s">
        <v>12432</v>
      </c>
      <c r="B433" s="22" t="s">
        <v>12433</v>
      </c>
      <c r="C433" s="2">
        <v>1</v>
      </c>
      <c r="D433" s="23">
        <v>10.99</v>
      </c>
      <c r="E433" s="3">
        <v>10.99</v>
      </c>
      <c r="F433" s="2" t="s">
        <v>16765</v>
      </c>
      <c r="G433" s="22" t="s">
        <v>19351</v>
      </c>
      <c r="H433" s="24" t="s">
        <v>19416</v>
      </c>
      <c r="I433" s="22" t="s">
        <v>19309</v>
      </c>
      <c r="J433" s="22" t="s">
        <v>19573</v>
      </c>
      <c r="K433" s="22" t="s">
        <v>19574</v>
      </c>
      <c r="L433" s="22"/>
      <c r="M433" s="22"/>
      <c r="N433" s="25" t="str">
        <f>HYPERLINK("http://slimages.macys.com/is/image/MCY/20757944 ")</f>
        <v xml:space="preserve">http://slimages.macys.com/is/image/MCY/20757944 </v>
      </c>
    </row>
    <row r="434" spans="1:14" ht="24.75" x14ac:dyDescent="0.25">
      <c r="A434" s="21" t="s">
        <v>12434</v>
      </c>
      <c r="B434" s="22" t="s">
        <v>12435</v>
      </c>
      <c r="C434" s="2">
        <v>1</v>
      </c>
      <c r="D434" s="23">
        <v>10.99</v>
      </c>
      <c r="E434" s="3">
        <v>10.99</v>
      </c>
      <c r="F434" s="2" t="s">
        <v>16765</v>
      </c>
      <c r="G434" s="22" t="s">
        <v>19351</v>
      </c>
      <c r="H434" s="24" t="s">
        <v>19324</v>
      </c>
      <c r="I434" s="22" t="s">
        <v>19309</v>
      </c>
      <c r="J434" s="22" t="s">
        <v>19573</v>
      </c>
      <c r="K434" s="22" t="s">
        <v>19574</v>
      </c>
      <c r="L434" s="22"/>
      <c r="M434" s="22"/>
      <c r="N434" s="25" t="str">
        <f>HYPERLINK("http://slimages.macys.com/is/image/MCY/20757944 ")</f>
        <v xml:space="preserve">http://slimages.macys.com/is/image/MCY/20757944 </v>
      </c>
    </row>
    <row r="435" spans="1:14" ht="24.75" x14ac:dyDescent="0.25">
      <c r="A435" s="21" t="s">
        <v>12436</v>
      </c>
      <c r="B435" s="22" t="s">
        <v>12437</v>
      </c>
      <c r="C435" s="2">
        <v>1</v>
      </c>
      <c r="D435" s="23">
        <v>10.99</v>
      </c>
      <c r="E435" s="3">
        <v>10.99</v>
      </c>
      <c r="F435" s="2" t="s">
        <v>16765</v>
      </c>
      <c r="G435" s="22" t="s">
        <v>19351</v>
      </c>
      <c r="H435" s="24" t="s">
        <v>19384</v>
      </c>
      <c r="I435" s="22" t="s">
        <v>19309</v>
      </c>
      <c r="J435" s="22" t="s">
        <v>19573</v>
      </c>
      <c r="K435" s="22" t="s">
        <v>19574</v>
      </c>
      <c r="L435" s="22"/>
      <c r="M435" s="22"/>
      <c r="N435" s="25" t="str">
        <f>HYPERLINK("http://slimages.macys.com/is/image/MCY/20757944 ")</f>
        <v xml:space="preserve">http://slimages.macys.com/is/image/MCY/20757944 </v>
      </c>
    </row>
    <row r="436" spans="1:14" x14ac:dyDescent="0.25">
      <c r="A436" s="21" t="s">
        <v>12438</v>
      </c>
      <c r="B436" s="22" t="s">
        <v>12439</v>
      </c>
      <c r="C436" s="2">
        <v>1</v>
      </c>
      <c r="D436" s="23">
        <v>13.99</v>
      </c>
      <c r="E436" s="3">
        <v>13.99</v>
      </c>
      <c r="F436" s="2" t="s">
        <v>12440</v>
      </c>
      <c r="G436" s="22" t="s">
        <v>19431</v>
      </c>
      <c r="H436" s="24" t="s">
        <v>19377</v>
      </c>
      <c r="I436" s="22" t="s">
        <v>19309</v>
      </c>
      <c r="J436" s="22" t="s">
        <v>19849</v>
      </c>
      <c r="K436" s="22" t="s">
        <v>19850</v>
      </c>
      <c r="L436" s="22"/>
      <c r="M436" s="22"/>
      <c r="N436" s="25" t="str">
        <f>HYPERLINK("http://slimages.macys.com/is/image/MCY/21270308 ")</f>
        <v xml:space="preserve">http://slimages.macys.com/is/image/MCY/21270308 </v>
      </c>
    </row>
    <row r="437" spans="1:14" x14ac:dyDescent="0.25">
      <c r="A437" s="21" t="s">
        <v>12441</v>
      </c>
      <c r="B437" s="22" t="s">
        <v>12442</v>
      </c>
      <c r="C437" s="2">
        <v>1</v>
      </c>
      <c r="D437" s="23">
        <v>13.99</v>
      </c>
      <c r="E437" s="3">
        <v>13.99</v>
      </c>
      <c r="F437" s="2" t="s">
        <v>12440</v>
      </c>
      <c r="G437" s="22" t="s">
        <v>19431</v>
      </c>
      <c r="H437" s="24" t="s">
        <v>19361</v>
      </c>
      <c r="I437" s="22" t="s">
        <v>19309</v>
      </c>
      <c r="J437" s="22" t="s">
        <v>19849</v>
      </c>
      <c r="K437" s="22" t="s">
        <v>19850</v>
      </c>
      <c r="L437" s="22"/>
      <c r="M437" s="22"/>
      <c r="N437" s="25" t="str">
        <f>HYPERLINK("http://slimages.macys.com/is/image/MCY/21270308 ")</f>
        <v xml:space="preserve">http://slimages.macys.com/is/image/MCY/21270308 </v>
      </c>
    </row>
    <row r="438" spans="1:14" ht="24.75" x14ac:dyDescent="0.25">
      <c r="A438" s="21" t="s">
        <v>12443</v>
      </c>
      <c r="B438" s="22" t="s">
        <v>12444</v>
      </c>
      <c r="C438" s="2">
        <v>1</v>
      </c>
      <c r="D438" s="23">
        <v>11.99</v>
      </c>
      <c r="E438" s="3">
        <v>11.99</v>
      </c>
      <c r="F438" s="2" t="s">
        <v>12445</v>
      </c>
      <c r="G438" s="22" t="s">
        <v>19351</v>
      </c>
      <c r="H438" s="24" t="s">
        <v>19538</v>
      </c>
      <c r="I438" s="22" t="s">
        <v>19309</v>
      </c>
      <c r="J438" s="22" t="s">
        <v>19573</v>
      </c>
      <c r="K438" s="22" t="s">
        <v>19574</v>
      </c>
      <c r="L438" s="22"/>
      <c r="M438" s="22"/>
      <c r="N438" s="25" t="str">
        <f>HYPERLINK("http://slimages.macys.com/is/image/MCY/1439094 ")</f>
        <v xml:space="preserve">http://slimages.macys.com/is/image/MCY/1439094 </v>
      </c>
    </row>
    <row r="439" spans="1:14" ht="24.75" x14ac:dyDescent="0.25">
      <c r="A439" s="21" t="s">
        <v>12446</v>
      </c>
      <c r="B439" s="22" t="s">
        <v>12447</v>
      </c>
      <c r="C439" s="2">
        <v>1</v>
      </c>
      <c r="D439" s="23">
        <v>10.99</v>
      </c>
      <c r="E439" s="3">
        <v>10.99</v>
      </c>
      <c r="F439" s="2" t="s">
        <v>12448</v>
      </c>
      <c r="G439" s="22" t="s">
        <v>19431</v>
      </c>
      <c r="H439" s="24" t="s">
        <v>19416</v>
      </c>
      <c r="I439" s="22" t="s">
        <v>19309</v>
      </c>
      <c r="J439" s="22" t="s">
        <v>19573</v>
      </c>
      <c r="K439" s="22" t="s">
        <v>19574</v>
      </c>
      <c r="L439" s="22"/>
      <c r="M439" s="22"/>
      <c r="N439" s="25" t="str">
        <f>HYPERLINK("http://slimages.macys.com/is/image/MCY/1248258 ")</f>
        <v xml:space="preserve">http://slimages.macys.com/is/image/MCY/1248258 </v>
      </c>
    </row>
    <row r="440" spans="1:14" ht="24.75" x14ac:dyDescent="0.25">
      <c r="A440" s="21" t="s">
        <v>12449</v>
      </c>
      <c r="B440" s="22" t="s">
        <v>12450</v>
      </c>
      <c r="C440" s="2">
        <v>1</v>
      </c>
      <c r="D440" s="23">
        <v>10.99</v>
      </c>
      <c r="E440" s="3">
        <v>10.99</v>
      </c>
      <c r="F440" s="2" t="s">
        <v>18785</v>
      </c>
      <c r="G440" s="22" t="s">
        <v>19518</v>
      </c>
      <c r="H440" s="24"/>
      <c r="I440" s="22" t="s">
        <v>19309</v>
      </c>
      <c r="J440" s="22" t="s">
        <v>19573</v>
      </c>
      <c r="K440" s="22" t="s">
        <v>19574</v>
      </c>
      <c r="L440" s="22"/>
      <c r="M440" s="22"/>
      <c r="N440" s="25" t="str">
        <f>HYPERLINK("http://slimages.macys.com/is/image/MCY/20551163 ")</f>
        <v xml:space="preserve">http://slimages.macys.com/is/image/MCY/20551163 </v>
      </c>
    </row>
    <row r="441" spans="1:14" x14ac:dyDescent="0.25">
      <c r="A441" s="21" t="s">
        <v>16778</v>
      </c>
      <c r="B441" s="22" t="s">
        <v>16779</v>
      </c>
      <c r="C441" s="2">
        <v>1</v>
      </c>
      <c r="D441" s="23">
        <v>8.64</v>
      </c>
      <c r="E441" s="3">
        <v>8.64</v>
      </c>
      <c r="F441" s="2" t="s">
        <v>16771</v>
      </c>
      <c r="G441" s="22"/>
      <c r="H441" s="24" t="s">
        <v>20152</v>
      </c>
      <c r="I441" s="22" t="s">
        <v>19309</v>
      </c>
      <c r="J441" s="22" t="s">
        <v>19708</v>
      </c>
      <c r="K441" s="22" t="s">
        <v>19709</v>
      </c>
      <c r="L441" s="22"/>
      <c r="M441" s="22"/>
      <c r="N441" s="25" t="str">
        <f>HYPERLINK("http://slimages.macys.com/is/image/MCY/19146255 ")</f>
        <v xml:space="preserve">http://slimages.macys.com/is/image/MCY/19146255 </v>
      </c>
    </row>
    <row r="442" spans="1:14" ht="24.75" x14ac:dyDescent="0.25">
      <c r="A442" s="21" t="s">
        <v>16783</v>
      </c>
      <c r="B442" s="22" t="s">
        <v>16784</v>
      </c>
      <c r="C442" s="2">
        <v>1</v>
      </c>
      <c r="D442" s="23">
        <v>8.89</v>
      </c>
      <c r="E442" s="3">
        <v>8.89</v>
      </c>
      <c r="F442" s="2" t="s">
        <v>16785</v>
      </c>
      <c r="G442" s="22" t="s">
        <v>19763</v>
      </c>
      <c r="H442" s="24" t="s">
        <v>19339</v>
      </c>
      <c r="I442" s="22" t="s">
        <v>19309</v>
      </c>
      <c r="J442" s="22" t="s">
        <v>19565</v>
      </c>
      <c r="K442" s="22" t="s">
        <v>18514</v>
      </c>
      <c r="L442" s="22"/>
      <c r="M442" s="22"/>
      <c r="N442" s="25" t="str">
        <f>HYPERLINK("http://slimages.macys.com/is/image/MCY/21128990 ")</f>
        <v xml:space="preserve">http://slimages.macys.com/is/image/MCY/21128990 </v>
      </c>
    </row>
    <row r="443" spans="1:14" ht="24.75" x14ac:dyDescent="0.25">
      <c r="A443" s="21" t="s">
        <v>18793</v>
      </c>
      <c r="B443" s="22" t="s">
        <v>18794</v>
      </c>
      <c r="C443" s="2">
        <v>2</v>
      </c>
      <c r="D443" s="23">
        <v>10.99</v>
      </c>
      <c r="E443" s="3">
        <v>21.98</v>
      </c>
      <c r="F443" s="2" t="s">
        <v>18795</v>
      </c>
      <c r="G443" s="22" t="s">
        <v>19713</v>
      </c>
      <c r="H443" s="24" t="s">
        <v>19330</v>
      </c>
      <c r="I443" s="22" t="s">
        <v>19309</v>
      </c>
      <c r="J443" s="22" t="s">
        <v>19573</v>
      </c>
      <c r="K443" s="22" t="s">
        <v>19574</v>
      </c>
      <c r="L443" s="22"/>
      <c r="M443" s="22"/>
      <c r="N443" s="25" t="str">
        <f>HYPERLINK("http://slimages.macys.com/is/image/MCY/1660803 ")</f>
        <v xml:space="preserve">http://slimages.macys.com/is/image/MCY/1660803 </v>
      </c>
    </row>
    <row r="444" spans="1:14" x14ac:dyDescent="0.25">
      <c r="A444" s="21" t="s">
        <v>12451</v>
      </c>
      <c r="B444" s="22" t="s">
        <v>12452</v>
      </c>
      <c r="C444" s="2">
        <v>1</v>
      </c>
      <c r="D444" s="23">
        <v>9.99</v>
      </c>
      <c r="E444" s="3">
        <v>9.99</v>
      </c>
      <c r="F444" s="2" t="s">
        <v>12453</v>
      </c>
      <c r="G444" s="22" t="s">
        <v>19351</v>
      </c>
      <c r="H444" s="24" t="s">
        <v>19538</v>
      </c>
      <c r="I444" s="22" t="s">
        <v>19309</v>
      </c>
      <c r="J444" s="22" t="s">
        <v>19417</v>
      </c>
      <c r="K444" s="22" t="s">
        <v>17976</v>
      </c>
      <c r="L444" s="22"/>
      <c r="M444" s="22"/>
      <c r="N444" s="25" t="str">
        <f>HYPERLINK("http://slimages.macys.com/is/image/MCY/19052941 ")</f>
        <v xml:space="preserve">http://slimages.macys.com/is/image/MCY/19052941 </v>
      </c>
    </row>
    <row r="445" spans="1:14" ht="24.75" x14ac:dyDescent="0.25">
      <c r="A445" s="21" t="s">
        <v>12454</v>
      </c>
      <c r="B445" s="22" t="s">
        <v>12455</v>
      </c>
      <c r="C445" s="2">
        <v>2</v>
      </c>
      <c r="D445" s="23">
        <v>8.89</v>
      </c>
      <c r="E445" s="3">
        <v>17.78</v>
      </c>
      <c r="F445" s="2" t="s">
        <v>12456</v>
      </c>
      <c r="G445" s="22" t="s">
        <v>19630</v>
      </c>
      <c r="H445" s="24" t="s">
        <v>19364</v>
      </c>
      <c r="I445" s="22" t="s">
        <v>19309</v>
      </c>
      <c r="J445" s="22" t="s">
        <v>19565</v>
      </c>
      <c r="K445" s="22" t="s">
        <v>18514</v>
      </c>
      <c r="L445" s="22"/>
      <c r="M445" s="22"/>
      <c r="N445" s="25" t="str">
        <f>HYPERLINK("http://slimages.macys.com/is/image/MCY/21621965 ")</f>
        <v xml:space="preserve">http://slimages.macys.com/is/image/MCY/21621965 </v>
      </c>
    </row>
    <row r="446" spans="1:14" ht="24.75" x14ac:dyDescent="0.25">
      <c r="A446" s="21" t="s">
        <v>12457</v>
      </c>
      <c r="B446" s="22" t="s">
        <v>12458</v>
      </c>
      <c r="C446" s="2">
        <v>1</v>
      </c>
      <c r="D446" s="23">
        <v>8.89</v>
      </c>
      <c r="E446" s="3">
        <v>8.89</v>
      </c>
      <c r="F446" s="2" t="s">
        <v>12456</v>
      </c>
      <c r="G446" s="22" t="s">
        <v>19630</v>
      </c>
      <c r="H446" s="24" t="s">
        <v>19308</v>
      </c>
      <c r="I446" s="22" t="s">
        <v>19309</v>
      </c>
      <c r="J446" s="22" t="s">
        <v>19565</v>
      </c>
      <c r="K446" s="22" t="s">
        <v>18514</v>
      </c>
      <c r="L446" s="22"/>
      <c r="M446" s="22"/>
      <c r="N446" s="25" t="str">
        <f>HYPERLINK("http://slimages.macys.com/is/image/MCY/21621965 ")</f>
        <v xml:space="preserve">http://slimages.macys.com/is/image/MCY/21621965 </v>
      </c>
    </row>
    <row r="447" spans="1:14" ht="24.75" x14ac:dyDescent="0.25">
      <c r="A447" s="21" t="s">
        <v>12459</v>
      </c>
      <c r="B447" s="22" t="s">
        <v>12460</v>
      </c>
      <c r="C447" s="2">
        <v>1</v>
      </c>
      <c r="D447" s="23">
        <v>10.99</v>
      </c>
      <c r="E447" s="3">
        <v>10.99</v>
      </c>
      <c r="F447" s="2" t="s">
        <v>18795</v>
      </c>
      <c r="G447" s="22" t="s">
        <v>19713</v>
      </c>
      <c r="H447" s="24" t="s">
        <v>19324</v>
      </c>
      <c r="I447" s="22" t="s">
        <v>19309</v>
      </c>
      <c r="J447" s="22" t="s">
        <v>19573</v>
      </c>
      <c r="K447" s="22" t="s">
        <v>19574</v>
      </c>
      <c r="L447" s="22"/>
      <c r="M447" s="22"/>
      <c r="N447" s="25" t="str">
        <f>HYPERLINK("http://slimages.macys.com/is/image/MCY/1660803 ")</f>
        <v xml:space="preserve">http://slimages.macys.com/is/image/MCY/1660803 </v>
      </c>
    </row>
    <row r="448" spans="1:14" ht="24.75" x14ac:dyDescent="0.25">
      <c r="A448" s="21" t="s">
        <v>12461</v>
      </c>
      <c r="B448" s="22" t="s">
        <v>12462</v>
      </c>
      <c r="C448" s="2">
        <v>2</v>
      </c>
      <c r="D448" s="23">
        <v>10.99</v>
      </c>
      <c r="E448" s="3">
        <v>21.98</v>
      </c>
      <c r="F448" s="2" t="s">
        <v>12463</v>
      </c>
      <c r="G448" s="22" t="s">
        <v>19351</v>
      </c>
      <c r="H448" s="24" t="s">
        <v>19339</v>
      </c>
      <c r="I448" s="22" t="s">
        <v>19309</v>
      </c>
      <c r="J448" s="22" t="s">
        <v>19353</v>
      </c>
      <c r="K448" s="22" t="s">
        <v>19524</v>
      </c>
      <c r="L448" s="22"/>
      <c r="M448" s="22"/>
      <c r="N448" s="25" t="str">
        <f>HYPERLINK("http://slimages.macys.com/is/image/MCY/1571017 ")</f>
        <v xml:space="preserve">http://slimages.macys.com/is/image/MCY/1571017 </v>
      </c>
    </row>
    <row r="449" spans="1:14" ht="24.75" x14ac:dyDescent="0.25">
      <c r="A449" s="21" t="s">
        <v>12464</v>
      </c>
      <c r="B449" s="22" t="s">
        <v>12465</v>
      </c>
      <c r="C449" s="2">
        <v>1</v>
      </c>
      <c r="D449" s="23">
        <v>10.99</v>
      </c>
      <c r="E449" s="3">
        <v>10.99</v>
      </c>
      <c r="F449" s="2" t="s">
        <v>12466</v>
      </c>
      <c r="G449" s="22" t="s">
        <v>19351</v>
      </c>
      <c r="H449" s="24" t="s">
        <v>19364</v>
      </c>
      <c r="I449" s="22" t="s">
        <v>19309</v>
      </c>
      <c r="J449" s="22" t="s">
        <v>19353</v>
      </c>
      <c r="K449" s="22" t="s">
        <v>19524</v>
      </c>
      <c r="L449" s="22"/>
      <c r="M449" s="22"/>
      <c r="N449" s="25" t="str">
        <f>HYPERLINK("http://slimages.macys.com/is/image/MCY/21083345 ")</f>
        <v xml:space="preserve">http://slimages.macys.com/is/image/MCY/21083345 </v>
      </c>
    </row>
    <row r="450" spans="1:14" ht="24.75" x14ac:dyDescent="0.25">
      <c r="A450" s="21" t="s">
        <v>12467</v>
      </c>
      <c r="B450" s="22" t="s">
        <v>12468</v>
      </c>
      <c r="C450" s="2">
        <v>1</v>
      </c>
      <c r="D450" s="23">
        <v>11.99</v>
      </c>
      <c r="E450" s="3">
        <v>11.99</v>
      </c>
      <c r="F450" s="2" t="s">
        <v>13986</v>
      </c>
      <c r="G450" s="22" t="s">
        <v>19431</v>
      </c>
      <c r="H450" s="24" t="s">
        <v>19416</v>
      </c>
      <c r="I450" s="22" t="s">
        <v>19309</v>
      </c>
      <c r="J450" s="22" t="s">
        <v>19573</v>
      </c>
      <c r="K450" s="22" t="s">
        <v>19574</v>
      </c>
      <c r="L450" s="22"/>
      <c r="M450" s="22"/>
      <c r="N450" s="25" t="str">
        <f>HYPERLINK("http://slimages.macys.com/is/image/MCY/1439098 ")</f>
        <v xml:space="preserve">http://slimages.macys.com/is/image/MCY/1439098 </v>
      </c>
    </row>
    <row r="451" spans="1:14" x14ac:dyDescent="0.25">
      <c r="A451" s="21" t="s">
        <v>16801</v>
      </c>
      <c r="B451" s="22" t="s">
        <v>16802</v>
      </c>
      <c r="C451" s="2">
        <v>1</v>
      </c>
      <c r="D451" s="23">
        <v>11.99</v>
      </c>
      <c r="E451" s="3">
        <v>11.99</v>
      </c>
      <c r="F451" s="2" t="s">
        <v>16803</v>
      </c>
      <c r="G451" s="22" t="s">
        <v>19431</v>
      </c>
      <c r="H451" s="24" t="s">
        <v>19364</v>
      </c>
      <c r="I451" s="22" t="s">
        <v>19309</v>
      </c>
      <c r="J451" s="22" t="s">
        <v>19849</v>
      </c>
      <c r="K451" s="22" t="s">
        <v>19850</v>
      </c>
      <c r="L451" s="22"/>
      <c r="M451" s="22"/>
      <c r="N451" s="25" t="str">
        <f>HYPERLINK("http://slimages.macys.com/is/image/MCY/20752030 ")</f>
        <v xml:space="preserve">http://slimages.macys.com/is/image/MCY/20752030 </v>
      </c>
    </row>
    <row r="452" spans="1:14" x14ac:dyDescent="0.25">
      <c r="A452" s="21" t="s">
        <v>16818</v>
      </c>
      <c r="B452" s="22" t="s">
        <v>16819</v>
      </c>
      <c r="C452" s="2">
        <v>2</v>
      </c>
      <c r="D452" s="23">
        <v>11.99</v>
      </c>
      <c r="E452" s="3">
        <v>23.98</v>
      </c>
      <c r="F452" s="2" t="s">
        <v>16803</v>
      </c>
      <c r="G452" s="22" t="s">
        <v>19670</v>
      </c>
      <c r="H452" s="24" t="s">
        <v>19797</v>
      </c>
      <c r="I452" s="22" t="s">
        <v>19309</v>
      </c>
      <c r="J452" s="22" t="s">
        <v>19849</v>
      </c>
      <c r="K452" s="22" t="s">
        <v>19850</v>
      </c>
      <c r="L452" s="22"/>
      <c r="M452" s="22"/>
      <c r="N452" s="25" t="str">
        <f>HYPERLINK("http://slimages.macys.com/is/image/MCY/20752030 ")</f>
        <v xml:space="preserve">http://slimages.macys.com/is/image/MCY/20752030 </v>
      </c>
    </row>
    <row r="453" spans="1:14" x14ac:dyDescent="0.25">
      <c r="A453" s="21" t="s">
        <v>16810</v>
      </c>
      <c r="B453" s="22" t="s">
        <v>16811</v>
      </c>
      <c r="C453" s="2">
        <v>2</v>
      </c>
      <c r="D453" s="23">
        <v>11.99</v>
      </c>
      <c r="E453" s="3">
        <v>23.98</v>
      </c>
      <c r="F453" s="2" t="s">
        <v>16803</v>
      </c>
      <c r="G453" s="22" t="s">
        <v>19431</v>
      </c>
      <c r="H453" s="24" t="s">
        <v>19352</v>
      </c>
      <c r="I453" s="22" t="s">
        <v>19309</v>
      </c>
      <c r="J453" s="22" t="s">
        <v>19849</v>
      </c>
      <c r="K453" s="22" t="s">
        <v>19850</v>
      </c>
      <c r="L453" s="22"/>
      <c r="M453" s="22"/>
      <c r="N453" s="25" t="str">
        <f>HYPERLINK("http://slimages.macys.com/is/image/MCY/20752030 ")</f>
        <v xml:space="preserve">http://slimages.macys.com/is/image/MCY/20752030 </v>
      </c>
    </row>
    <row r="454" spans="1:14" ht="24.75" x14ac:dyDescent="0.25">
      <c r="A454" s="21" t="s">
        <v>12469</v>
      </c>
      <c r="B454" s="22" t="s">
        <v>12470</v>
      </c>
      <c r="C454" s="2">
        <v>1</v>
      </c>
      <c r="D454" s="23">
        <v>9.99</v>
      </c>
      <c r="E454" s="3">
        <v>9.99</v>
      </c>
      <c r="F454" s="2" t="s">
        <v>12471</v>
      </c>
      <c r="G454" s="22" t="s">
        <v>19351</v>
      </c>
      <c r="H454" s="24" t="s">
        <v>19334</v>
      </c>
      <c r="I454" s="22" t="s">
        <v>19309</v>
      </c>
      <c r="J454" s="22" t="s">
        <v>19595</v>
      </c>
      <c r="K454" s="22" t="s">
        <v>19596</v>
      </c>
      <c r="L454" s="22"/>
      <c r="M454" s="22"/>
      <c r="N454" s="25" t="str">
        <f>HYPERLINK("http://slimages.macys.com/is/image/MCY/17787741 ")</f>
        <v xml:space="preserve">http://slimages.macys.com/is/image/MCY/17787741 </v>
      </c>
    </row>
    <row r="455" spans="1:14" ht="24.75" x14ac:dyDescent="0.25">
      <c r="A455" s="21" t="s">
        <v>12472</v>
      </c>
      <c r="B455" s="22" t="s">
        <v>12473</v>
      </c>
      <c r="C455" s="2">
        <v>1</v>
      </c>
      <c r="D455" s="23">
        <v>10.99</v>
      </c>
      <c r="E455" s="3">
        <v>10.99</v>
      </c>
      <c r="F455" s="2" t="s">
        <v>16825</v>
      </c>
      <c r="G455" s="22" t="s">
        <v>19518</v>
      </c>
      <c r="H455" s="24"/>
      <c r="I455" s="22" t="s">
        <v>19309</v>
      </c>
      <c r="J455" s="22" t="s">
        <v>19573</v>
      </c>
      <c r="K455" s="22" t="s">
        <v>19574</v>
      </c>
      <c r="L455" s="22"/>
      <c r="M455" s="22"/>
      <c r="N455" s="25" t="str">
        <f>HYPERLINK("http://slimages.macys.com/is/image/MCY/21089280 ")</f>
        <v xml:space="preserve">http://slimages.macys.com/is/image/MCY/21089280 </v>
      </c>
    </row>
    <row r="456" spans="1:14" ht="24.75" x14ac:dyDescent="0.25">
      <c r="A456" s="21" t="s">
        <v>12474</v>
      </c>
      <c r="B456" s="22" t="s">
        <v>12475</v>
      </c>
      <c r="C456" s="2">
        <v>1</v>
      </c>
      <c r="D456" s="23">
        <v>10.99</v>
      </c>
      <c r="E456" s="3">
        <v>10.99</v>
      </c>
      <c r="F456" s="2" t="s">
        <v>16825</v>
      </c>
      <c r="G456" s="22" t="s">
        <v>19518</v>
      </c>
      <c r="H456" s="24" t="s">
        <v>19538</v>
      </c>
      <c r="I456" s="22" t="s">
        <v>19309</v>
      </c>
      <c r="J456" s="22" t="s">
        <v>19573</v>
      </c>
      <c r="K456" s="22" t="s">
        <v>19574</v>
      </c>
      <c r="L456" s="22"/>
      <c r="M456" s="22"/>
      <c r="N456" s="25" t="str">
        <f>HYPERLINK("http://slimages.macys.com/is/image/MCY/21089280 ")</f>
        <v xml:space="preserve">http://slimages.macys.com/is/image/MCY/21089280 </v>
      </c>
    </row>
    <row r="457" spans="1:14" x14ac:dyDescent="0.25">
      <c r="A457" s="21" t="s">
        <v>16426</v>
      </c>
      <c r="B457" s="22" t="s">
        <v>16427</v>
      </c>
      <c r="C457" s="2">
        <v>1</v>
      </c>
      <c r="D457" s="23">
        <v>7.99</v>
      </c>
      <c r="E457" s="3">
        <v>7.99</v>
      </c>
      <c r="F457" s="2" t="s">
        <v>16840</v>
      </c>
      <c r="G457" s="22" t="s">
        <v>19431</v>
      </c>
      <c r="H457" s="24" t="s">
        <v>20089</v>
      </c>
      <c r="I457" s="22" t="s">
        <v>19309</v>
      </c>
      <c r="J457" s="22" t="s">
        <v>19849</v>
      </c>
      <c r="K457" s="22" t="s">
        <v>19850</v>
      </c>
      <c r="L457" s="22"/>
      <c r="M457" s="22"/>
      <c r="N457" s="25" t="str">
        <f>HYPERLINK("http://slimages.macys.com/is/image/MCY/19068277 ")</f>
        <v xml:space="preserve">http://slimages.macys.com/is/image/MCY/19068277 </v>
      </c>
    </row>
    <row r="458" spans="1:14" x14ac:dyDescent="0.25">
      <c r="A458" s="21" t="s">
        <v>12476</v>
      </c>
      <c r="B458" s="22" t="s">
        <v>12477</v>
      </c>
      <c r="C458" s="2">
        <v>1</v>
      </c>
      <c r="D458" s="23">
        <v>7.99</v>
      </c>
      <c r="E458" s="3">
        <v>7.99</v>
      </c>
      <c r="F458" s="2" t="s">
        <v>16840</v>
      </c>
      <c r="G458" s="22" t="s">
        <v>19477</v>
      </c>
      <c r="H458" s="24" t="s">
        <v>20135</v>
      </c>
      <c r="I458" s="22" t="s">
        <v>19309</v>
      </c>
      <c r="J458" s="22" t="s">
        <v>19849</v>
      </c>
      <c r="K458" s="22" t="s">
        <v>19850</v>
      </c>
      <c r="L458" s="22"/>
      <c r="M458" s="22"/>
      <c r="N458" s="25" t="str">
        <f>HYPERLINK("http://slimages.macys.com/is/image/MCY/19068277 ")</f>
        <v xml:space="preserve">http://slimages.macys.com/is/image/MCY/19068277 </v>
      </c>
    </row>
    <row r="459" spans="1:14" ht="24.75" x14ac:dyDescent="0.25">
      <c r="A459" s="21" t="s">
        <v>12478</v>
      </c>
      <c r="B459" s="22" t="s">
        <v>12479</v>
      </c>
      <c r="C459" s="2">
        <v>1</v>
      </c>
      <c r="D459" s="23">
        <v>7.99</v>
      </c>
      <c r="E459" s="3">
        <v>7.99</v>
      </c>
      <c r="F459" s="2" t="s">
        <v>12480</v>
      </c>
      <c r="G459" s="22" t="s">
        <v>19338</v>
      </c>
      <c r="H459" s="24" t="s">
        <v>19542</v>
      </c>
      <c r="I459" s="22" t="s">
        <v>19309</v>
      </c>
      <c r="J459" s="22" t="s">
        <v>19454</v>
      </c>
      <c r="K459" s="22" t="s">
        <v>19524</v>
      </c>
      <c r="L459" s="22"/>
      <c r="M459" s="22"/>
      <c r="N459" s="25" t="str">
        <f>HYPERLINK("http://slimages.macys.com/is/image/MCY/1418021 ")</f>
        <v xml:space="preserve">http://slimages.macys.com/is/image/MCY/1418021 </v>
      </c>
    </row>
    <row r="460" spans="1:14" ht="24.75" x14ac:dyDescent="0.25">
      <c r="A460" s="21" t="s">
        <v>12481</v>
      </c>
      <c r="B460" s="22" t="s">
        <v>12482</v>
      </c>
      <c r="C460" s="2">
        <v>1</v>
      </c>
      <c r="D460" s="23">
        <v>7.99</v>
      </c>
      <c r="E460" s="3">
        <v>7.99</v>
      </c>
      <c r="F460" s="2" t="s">
        <v>12480</v>
      </c>
      <c r="G460" s="22" t="s">
        <v>19338</v>
      </c>
      <c r="H460" s="24" t="s">
        <v>20135</v>
      </c>
      <c r="I460" s="22" t="s">
        <v>19309</v>
      </c>
      <c r="J460" s="22" t="s">
        <v>19454</v>
      </c>
      <c r="K460" s="22" t="s">
        <v>19524</v>
      </c>
      <c r="L460" s="22"/>
      <c r="M460" s="22"/>
      <c r="N460" s="25" t="str">
        <f>HYPERLINK("http://slimages.macys.com/is/image/MCY/21708702 ")</f>
        <v xml:space="preserve">http://slimages.macys.com/is/image/MCY/21708702 </v>
      </c>
    </row>
    <row r="461" spans="1:14" x14ac:dyDescent="0.25">
      <c r="A461" s="21" t="s">
        <v>16435</v>
      </c>
      <c r="B461" s="22" t="s">
        <v>16436</v>
      </c>
      <c r="C461" s="2">
        <v>1</v>
      </c>
      <c r="D461" s="23">
        <v>8.33</v>
      </c>
      <c r="E461" s="3">
        <v>8.33</v>
      </c>
      <c r="F461" s="2" t="s">
        <v>16437</v>
      </c>
      <c r="G461" s="22" t="s">
        <v>19801</v>
      </c>
      <c r="H461" s="24" t="s">
        <v>20232</v>
      </c>
      <c r="I461" s="22" t="s">
        <v>19309</v>
      </c>
      <c r="J461" s="22" t="s">
        <v>19514</v>
      </c>
      <c r="K461" s="22" t="s">
        <v>18514</v>
      </c>
      <c r="L461" s="22"/>
      <c r="M461" s="22"/>
      <c r="N461" s="25" t="str">
        <f>HYPERLINK("http://slimages.macys.com/is/image/MCY/21511198 ")</f>
        <v xml:space="preserve">http://slimages.macys.com/is/image/MCY/21511198 </v>
      </c>
    </row>
    <row r="462" spans="1:14" x14ac:dyDescent="0.25">
      <c r="A462" s="21" t="s">
        <v>12483</v>
      </c>
      <c r="B462" s="22" t="s">
        <v>12484</v>
      </c>
      <c r="C462" s="2">
        <v>1</v>
      </c>
      <c r="D462" s="23">
        <v>8.33</v>
      </c>
      <c r="E462" s="3">
        <v>8.33</v>
      </c>
      <c r="F462" s="2" t="s">
        <v>16437</v>
      </c>
      <c r="G462" s="22" t="s">
        <v>19801</v>
      </c>
      <c r="H462" s="24" t="s">
        <v>18530</v>
      </c>
      <c r="I462" s="22" t="s">
        <v>19309</v>
      </c>
      <c r="J462" s="22" t="s">
        <v>19514</v>
      </c>
      <c r="K462" s="22" t="s">
        <v>18514</v>
      </c>
      <c r="L462" s="22"/>
      <c r="M462" s="22"/>
      <c r="N462" s="25" t="str">
        <f>HYPERLINK("http://slimages.macys.com/is/image/MCY/21511198 ")</f>
        <v xml:space="preserve">http://slimages.macys.com/is/image/MCY/21511198 </v>
      </c>
    </row>
    <row r="463" spans="1:14" ht="24.75" x14ac:dyDescent="0.25">
      <c r="A463" s="21" t="s">
        <v>12485</v>
      </c>
      <c r="B463" s="22" t="s">
        <v>12486</v>
      </c>
      <c r="C463" s="2">
        <v>1</v>
      </c>
      <c r="D463" s="23">
        <v>7.99</v>
      </c>
      <c r="E463" s="3">
        <v>7.99</v>
      </c>
      <c r="F463" s="2" t="s">
        <v>12487</v>
      </c>
      <c r="G463" s="22" t="s">
        <v>19351</v>
      </c>
      <c r="H463" s="24" t="s">
        <v>19364</v>
      </c>
      <c r="I463" s="22" t="s">
        <v>19309</v>
      </c>
      <c r="J463" s="22" t="s">
        <v>20076</v>
      </c>
      <c r="K463" s="22" t="s">
        <v>12080</v>
      </c>
      <c r="L463" s="22" t="s">
        <v>19319</v>
      </c>
      <c r="M463" s="22" t="s">
        <v>19209</v>
      </c>
      <c r="N463" s="25" t="str">
        <f>HYPERLINK("http://slimages.macys.com/is/image/MCY/1941974 ")</f>
        <v xml:space="preserve">http://slimages.macys.com/is/image/MCY/1941974 </v>
      </c>
    </row>
    <row r="464" spans="1:14" ht="24.75" x14ac:dyDescent="0.25">
      <c r="A464" s="21" t="s">
        <v>12488</v>
      </c>
      <c r="B464" s="22" t="s">
        <v>12489</v>
      </c>
      <c r="C464" s="2">
        <v>1</v>
      </c>
      <c r="D464" s="23">
        <v>7.99</v>
      </c>
      <c r="E464" s="3">
        <v>7.99</v>
      </c>
      <c r="F464" s="2" t="s">
        <v>12487</v>
      </c>
      <c r="G464" s="22" t="s">
        <v>19315</v>
      </c>
      <c r="H464" s="24" t="s">
        <v>19352</v>
      </c>
      <c r="I464" s="22" t="s">
        <v>19309</v>
      </c>
      <c r="J464" s="22" t="s">
        <v>20076</v>
      </c>
      <c r="K464" s="22" t="s">
        <v>12080</v>
      </c>
      <c r="L464" s="22" t="s">
        <v>19319</v>
      </c>
      <c r="M464" s="22" t="s">
        <v>19209</v>
      </c>
      <c r="N464" s="25" t="str">
        <f>HYPERLINK("http://slimages.macys.com/is/image/MCY/1941974 ")</f>
        <v xml:space="preserve">http://slimages.macys.com/is/image/MCY/1941974 </v>
      </c>
    </row>
    <row r="465" spans="1:14" x14ac:dyDescent="0.25">
      <c r="A465" s="21" t="s">
        <v>18834</v>
      </c>
      <c r="B465" s="22" t="s">
        <v>18835</v>
      </c>
      <c r="C465" s="2">
        <v>1</v>
      </c>
      <c r="D465" s="23">
        <v>8.99</v>
      </c>
      <c r="E465" s="3">
        <v>8.99</v>
      </c>
      <c r="F465" s="2" t="s">
        <v>18828</v>
      </c>
      <c r="G465" s="22" t="s">
        <v>19351</v>
      </c>
      <c r="H465" s="24" t="s">
        <v>19361</v>
      </c>
      <c r="I465" s="22" t="s">
        <v>19309</v>
      </c>
      <c r="J465" s="22" t="s">
        <v>19514</v>
      </c>
      <c r="K465" s="22" t="s">
        <v>18514</v>
      </c>
      <c r="L465" s="22"/>
      <c r="M465" s="22"/>
      <c r="N465" s="25" t="str">
        <f>HYPERLINK("http://slimages.macys.com/is/image/MCY/20192083 ")</f>
        <v xml:space="preserve">http://slimages.macys.com/is/image/MCY/20192083 </v>
      </c>
    </row>
    <row r="466" spans="1:14" ht="24.75" x14ac:dyDescent="0.25">
      <c r="A466" s="21" t="s">
        <v>12490</v>
      </c>
      <c r="B466" s="22" t="s">
        <v>12491</v>
      </c>
      <c r="C466" s="2">
        <v>1</v>
      </c>
      <c r="D466" s="23">
        <v>6.99</v>
      </c>
      <c r="E466" s="3">
        <v>6.99</v>
      </c>
      <c r="F466" s="2" t="s">
        <v>12492</v>
      </c>
      <c r="G466" s="22" t="s">
        <v>19618</v>
      </c>
      <c r="H466" s="24" t="s">
        <v>19770</v>
      </c>
      <c r="I466" s="22" t="s">
        <v>19309</v>
      </c>
      <c r="J466" s="22" t="s">
        <v>19573</v>
      </c>
      <c r="K466" s="22" t="s">
        <v>19574</v>
      </c>
      <c r="L466" s="22"/>
      <c r="M466" s="22"/>
      <c r="N466" s="25" t="str">
        <f>HYPERLINK("http://slimages.macys.com/is/image/MCY/18880380 ")</f>
        <v xml:space="preserve">http://slimages.macys.com/is/image/MCY/18880380 </v>
      </c>
    </row>
    <row r="467" spans="1:14" x14ac:dyDescent="0.25">
      <c r="A467" s="21" t="s">
        <v>13371</v>
      </c>
      <c r="B467" s="22" t="s">
        <v>13372</v>
      </c>
      <c r="C467" s="2">
        <v>1</v>
      </c>
      <c r="D467" s="23">
        <v>9.99</v>
      </c>
      <c r="E467" s="3">
        <v>9.99</v>
      </c>
      <c r="F467" s="2" t="s">
        <v>16855</v>
      </c>
      <c r="G467" s="22" t="s">
        <v>19674</v>
      </c>
      <c r="H467" s="24" t="s">
        <v>19361</v>
      </c>
      <c r="I467" s="22" t="s">
        <v>19309</v>
      </c>
      <c r="J467" s="22" t="s">
        <v>19849</v>
      </c>
      <c r="K467" s="22" t="s">
        <v>19850</v>
      </c>
      <c r="L467" s="22"/>
      <c r="M467" s="22"/>
      <c r="N467" s="25" t="str">
        <f>HYPERLINK("http://slimages.macys.com/is/image/MCY/1554760 ")</f>
        <v xml:space="preserve">http://slimages.macys.com/is/image/MCY/1554760 </v>
      </c>
    </row>
    <row r="468" spans="1:14" x14ac:dyDescent="0.25">
      <c r="A468" s="21" t="s">
        <v>16442</v>
      </c>
      <c r="B468" s="22" t="s">
        <v>16443</v>
      </c>
      <c r="C468" s="2">
        <v>1</v>
      </c>
      <c r="D468" s="23">
        <v>9.99</v>
      </c>
      <c r="E468" s="3">
        <v>9.99</v>
      </c>
      <c r="F468" s="2" t="s">
        <v>16855</v>
      </c>
      <c r="G468" s="22" t="s">
        <v>19674</v>
      </c>
      <c r="H468" s="24" t="s">
        <v>20089</v>
      </c>
      <c r="I468" s="22" t="s">
        <v>19309</v>
      </c>
      <c r="J468" s="22" t="s">
        <v>19849</v>
      </c>
      <c r="K468" s="22" t="s">
        <v>19850</v>
      </c>
      <c r="L468" s="22"/>
      <c r="M468" s="22"/>
      <c r="N468" s="25" t="str">
        <f>HYPERLINK("http://slimages.macys.com/is/image/MCY/20549003 ")</f>
        <v xml:space="preserve">http://slimages.macys.com/is/image/MCY/20549003 </v>
      </c>
    </row>
    <row r="469" spans="1:14" x14ac:dyDescent="0.25">
      <c r="A469" s="21" t="s">
        <v>16444</v>
      </c>
      <c r="B469" s="22" t="s">
        <v>16445</v>
      </c>
      <c r="C469" s="2">
        <v>1</v>
      </c>
      <c r="D469" s="23">
        <v>9.99</v>
      </c>
      <c r="E469" s="3">
        <v>9.99</v>
      </c>
      <c r="F469" s="2" t="s">
        <v>16446</v>
      </c>
      <c r="G469" s="22" t="s">
        <v>19315</v>
      </c>
      <c r="H469" s="24" t="s">
        <v>19361</v>
      </c>
      <c r="I469" s="22" t="s">
        <v>19309</v>
      </c>
      <c r="J469" s="22" t="s">
        <v>19849</v>
      </c>
      <c r="K469" s="22" t="s">
        <v>19850</v>
      </c>
      <c r="L469" s="22"/>
      <c r="M469" s="22"/>
      <c r="N469" s="25" t="str">
        <f>HYPERLINK("http://slimages.macys.com/is/image/MCY/1587966 ")</f>
        <v xml:space="preserve">http://slimages.macys.com/is/image/MCY/1587966 </v>
      </c>
    </row>
    <row r="470" spans="1:14" ht="24.75" x14ac:dyDescent="0.25">
      <c r="A470" s="21" t="s">
        <v>12493</v>
      </c>
      <c r="B470" s="22" t="s">
        <v>12494</v>
      </c>
      <c r="C470" s="2">
        <v>1</v>
      </c>
      <c r="D470" s="23">
        <v>9.99</v>
      </c>
      <c r="E470" s="3">
        <v>9.99</v>
      </c>
      <c r="F470" s="2" t="s">
        <v>18863</v>
      </c>
      <c r="G470" s="22" t="s">
        <v>19333</v>
      </c>
      <c r="H470" s="24" t="s">
        <v>19352</v>
      </c>
      <c r="I470" s="22" t="s">
        <v>19309</v>
      </c>
      <c r="J470" s="22" t="s">
        <v>19353</v>
      </c>
      <c r="K470" s="22" t="s">
        <v>19524</v>
      </c>
      <c r="L470" s="22"/>
      <c r="M470" s="22"/>
      <c r="N470" s="25" t="str">
        <f>HYPERLINK("http://slimages.macys.com/is/image/MCY/21083396 ")</f>
        <v xml:space="preserve">http://slimages.macys.com/is/image/MCY/21083396 </v>
      </c>
    </row>
    <row r="471" spans="1:14" ht="24.75" x14ac:dyDescent="0.25">
      <c r="A471" s="21" t="s">
        <v>12495</v>
      </c>
      <c r="B471" s="22" t="s">
        <v>12496</v>
      </c>
      <c r="C471" s="2">
        <v>1</v>
      </c>
      <c r="D471" s="23">
        <v>8.41</v>
      </c>
      <c r="E471" s="3">
        <v>8.41</v>
      </c>
      <c r="F471" s="2" t="s">
        <v>12497</v>
      </c>
      <c r="G471" s="22"/>
      <c r="H471" s="24"/>
      <c r="I471" s="22" t="s">
        <v>19309</v>
      </c>
      <c r="J471" s="22" t="s">
        <v>19602</v>
      </c>
      <c r="K471" s="22" t="s">
        <v>20041</v>
      </c>
      <c r="L471" s="22"/>
      <c r="M471" s="22"/>
      <c r="N471" s="25" t="str">
        <f>HYPERLINK("http://slimages.macys.com/is/image/MCY/21421589 ")</f>
        <v xml:space="preserve">http://slimages.macys.com/is/image/MCY/21421589 </v>
      </c>
    </row>
    <row r="472" spans="1:14" ht="24.75" x14ac:dyDescent="0.25">
      <c r="A472" s="21" t="s">
        <v>16458</v>
      </c>
      <c r="B472" s="22" t="s">
        <v>16459</v>
      </c>
      <c r="C472" s="2">
        <v>1</v>
      </c>
      <c r="D472" s="23">
        <v>8.42</v>
      </c>
      <c r="E472" s="3">
        <v>8.42</v>
      </c>
      <c r="F472" s="2" t="s">
        <v>16460</v>
      </c>
      <c r="G472" s="22"/>
      <c r="H472" s="24"/>
      <c r="I472" s="22" t="s">
        <v>19309</v>
      </c>
      <c r="J472" s="22" t="s">
        <v>19602</v>
      </c>
      <c r="K472" s="22" t="s">
        <v>20041</v>
      </c>
      <c r="L472" s="22"/>
      <c r="M472" s="22"/>
      <c r="N472" s="25" t="str">
        <f>HYPERLINK("http://slimages.macys.com/is/image/MCY/21722988 ")</f>
        <v xml:space="preserve">http://slimages.macys.com/is/image/MCY/21722988 </v>
      </c>
    </row>
    <row r="473" spans="1:14" ht="36.75" x14ac:dyDescent="0.25">
      <c r="A473" s="21" t="s">
        <v>12498</v>
      </c>
      <c r="B473" s="22" t="s">
        <v>12499</v>
      </c>
      <c r="C473" s="2">
        <v>2</v>
      </c>
      <c r="D473" s="23">
        <v>8.99</v>
      </c>
      <c r="E473" s="3">
        <v>17.98</v>
      </c>
      <c r="F473" s="2">
        <v>100015801</v>
      </c>
      <c r="G473" s="22" t="s">
        <v>19674</v>
      </c>
      <c r="H473" s="24" t="s">
        <v>18168</v>
      </c>
      <c r="I473" s="22" t="s">
        <v>19309</v>
      </c>
      <c r="J473" s="22" t="s">
        <v>19573</v>
      </c>
      <c r="K473" s="22" t="s">
        <v>20256</v>
      </c>
      <c r="L473" s="22" t="s">
        <v>19319</v>
      </c>
      <c r="M473" s="22" t="s">
        <v>12500</v>
      </c>
      <c r="N473" s="25" t="str">
        <f>HYPERLINK("http://slimages.macys.com/is/image/MCY/9157940 ")</f>
        <v xml:space="preserve">http://slimages.macys.com/is/image/MCY/9157940 </v>
      </c>
    </row>
    <row r="474" spans="1:14" ht="24.75" x14ac:dyDescent="0.25">
      <c r="A474" s="21" t="s">
        <v>16890</v>
      </c>
      <c r="B474" s="22" t="s">
        <v>16891</v>
      </c>
      <c r="C474" s="2">
        <v>1</v>
      </c>
      <c r="D474" s="23">
        <v>7.99</v>
      </c>
      <c r="E474" s="3">
        <v>7.99</v>
      </c>
      <c r="F474" s="2" t="s">
        <v>16892</v>
      </c>
      <c r="G474" s="22" t="s">
        <v>19315</v>
      </c>
      <c r="H474" s="24" t="s">
        <v>19432</v>
      </c>
      <c r="I474" s="22" t="s">
        <v>19309</v>
      </c>
      <c r="J474" s="22" t="s">
        <v>19815</v>
      </c>
      <c r="K474" s="22" t="s">
        <v>19816</v>
      </c>
      <c r="L474" s="22"/>
      <c r="M474" s="22"/>
      <c r="N474" s="25" t="str">
        <f>HYPERLINK("http://slimages.macys.com/is/image/MCY/1290486 ")</f>
        <v xml:space="preserve">http://slimages.macys.com/is/image/MCY/1290486 </v>
      </c>
    </row>
    <row r="475" spans="1:14" ht="24.75" x14ac:dyDescent="0.25">
      <c r="A475" s="21" t="s">
        <v>14641</v>
      </c>
      <c r="B475" s="22" t="s">
        <v>14642</v>
      </c>
      <c r="C475" s="2">
        <v>1</v>
      </c>
      <c r="D475" s="23">
        <v>11.99</v>
      </c>
      <c r="E475" s="3">
        <v>11.99</v>
      </c>
      <c r="F475" s="2" t="s">
        <v>14643</v>
      </c>
      <c r="G475" s="22" t="s">
        <v>19513</v>
      </c>
      <c r="H475" s="24" t="s">
        <v>19352</v>
      </c>
      <c r="I475" s="22" t="s">
        <v>19309</v>
      </c>
      <c r="J475" s="22" t="s">
        <v>19849</v>
      </c>
      <c r="K475" s="22" t="s">
        <v>19850</v>
      </c>
      <c r="L475" s="22"/>
      <c r="M475" s="22"/>
      <c r="N475" s="25" t="str">
        <f>HYPERLINK("http://slimages.macys.com/is/image/MCY/21278245 ")</f>
        <v xml:space="preserve">http://slimages.macys.com/is/image/MCY/21278245 </v>
      </c>
    </row>
    <row r="476" spans="1:14" x14ac:dyDescent="0.25">
      <c r="A476" s="21" t="s">
        <v>14646</v>
      </c>
      <c r="B476" s="22" t="s">
        <v>14647</v>
      </c>
      <c r="C476" s="2">
        <v>1</v>
      </c>
      <c r="D476" s="23">
        <v>11.99</v>
      </c>
      <c r="E476" s="3">
        <v>11.99</v>
      </c>
      <c r="F476" s="2" t="s">
        <v>14643</v>
      </c>
      <c r="G476" s="22" t="s">
        <v>19513</v>
      </c>
      <c r="H476" s="24" t="s">
        <v>19797</v>
      </c>
      <c r="I476" s="22" t="s">
        <v>19309</v>
      </c>
      <c r="J476" s="22" t="s">
        <v>19849</v>
      </c>
      <c r="K476" s="22" t="s">
        <v>19850</v>
      </c>
      <c r="L476" s="22"/>
      <c r="M476" s="22"/>
      <c r="N476" s="25" t="str">
        <f>HYPERLINK("http://slimages.macys.com/is/image/MCY/21278245 ")</f>
        <v xml:space="preserve">http://slimages.macys.com/is/image/MCY/21278245 </v>
      </c>
    </row>
    <row r="477" spans="1:14" ht="24.75" x14ac:dyDescent="0.25">
      <c r="A477" s="21" t="s">
        <v>16924</v>
      </c>
      <c r="B477" s="22" t="s">
        <v>16925</v>
      </c>
      <c r="C477" s="2">
        <v>2</v>
      </c>
      <c r="D477" s="23">
        <v>8.06</v>
      </c>
      <c r="E477" s="3">
        <v>16.12</v>
      </c>
      <c r="F477" s="2" t="s">
        <v>16923</v>
      </c>
      <c r="G477" s="22" t="s">
        <v>19315</v>
      </c>
      <c r="H477" s="24" t="s">
        <v>19345</v>
      </c>
      <c r="I477" s="22" t="s">
        <v>19309</v>
      </c>
      <c r="J477" s="22" t="s">
        <v>19602</v>
      </c>
      <c r="K477" s="22" t="s">
        <v>20041</v>
      </c>
      <c r="L477" s="22"/>
      <c r="M477" s="22"/>
      <c r="N477" s="25" t="str">
        <f>HYPERLINK("http://slimages.macys.com/is/image/MCY/22406209 ")</f>
        <v xml:space="preserve">http://slimages.macys.com/is/image/MCY/22406209 </v>
      </c>
    </row>
    <row r="478" spans="1:14" ht="24.75" x14ac:dyDescent="0.25">
      <c r="A478" s="21" t="s">
        <v>13404</v>
      </c>
      <c r="B478" s="22" t="s">
        <v>13405</v>
      </c>
      <c r="C478" s="2">
        <v>1</v>
      </c>
      <c r="D478" s="23">
        <v>8.06</v>
      </c>
      <c r="E478" s="3">
        <v>8.06</v>
      </c>
      <c r="F478" s="2" t="s">
        <v>16923</v>
      </c>
      <c r="G478" s="22" t="s">
        <v>19315</v>
      </c>
      <c r="H478" s="24" t="s">
        <v>19392</v>
      </c>
      <c r="I478" s="22" t="s">
        <v>19309</v>
      </c>
      <c r="J478" s="22" t="s">
        <v>19602</v>
      </c>
      <c r="K478" s="22" t="s">
        <v>20041</v>
      </c>
      <c r="L478" s="22"/>
      <c r="M478" s="22"/>
      <c r="N478" s="25" t="str">
        <f>HYPERLINK("http://slimages.macys.com/is/image/MCY/22406209 ")</f>
        <v xml:space="preserve">http://slimages.macys.com/is/image/MCY/22406209 </v>
      </c>
    </row>
    <row r="479" spans="1:14" ht="24.75" x14ac:dyDescent="0.25">
      <c r="A479" s="21" t="s">
        <v>12501</v>
      </c>
      <c r="B479" s="22" t="s">
        <v>12502</v>
      </c>
      <c r="C479" s="2">
        <v>1</v>
      </c>
      <c r="D479" s="23">
        <v>7.99</v>
      </c>
      <c r="E479" s="3">
        <v>7.99</v>
      </c>
      <c r="F479" s="2" t="s">
        <v>12503</v>
      </c>
      <c r="G479" s="22" t="s">
        <v>19618</v>
      </c>
      <c r="H479" s="24" t="s">
        <v>20135</v>
      </c>
      <c r="I479" s="22" t="s">
        <v>19309</v>
      </c>
      <c r="J479" s="22" t="s">
        <v>19573</v>
      </c>
      <c r="K479" s="22" t="s">
        <v>19574</v>
      </c>
      <c r="L479" s="22"/>
      <c r="M479" s="22"/>
      <c r="N479" s="25" t="str">
        <f>HYPERLINK("http://slimages.macys.com/is/image/MCY/21361690 ")</f>
        <v xml:space="preserve">http://slimages.macys.com/is/image/MCY/21361690 </v>
      </c>
    </row>
    <row r="480" spans="1:14" ht="24.75" x14ac:dyDescent="0.25">
      <c r="A480" s="21" t="s">
        <v>12504</v>
      </c>
      <c r="B480" s="22" t="s">
        <v>12505</v>
      </c>
      <c r="C480" s="2">
        <v>1</v>
      </c>
      <c r="D480" s="23">
        <v>7.99</v>
      </c>
      <c r="E480" s="3">
        <v>7.99</v>
      </c>
      <c r="F480" s="2" t="s">
        <v>12506</v>
      </c>
      <c r="G480" s="22" t="s">
        <v>18439</v>
      </c>
      <c r="H480" s="24" t="s">
        <v>19542</v>
      </c>
      <c r="I480" s="22" t="s">
        <v>19309</v>
      </c>
      <c r="J480" s="22" t="s">
        <v>19454</v>
      </c>
      <c r="K480" s="22" t="s">
        <v>19524</v>
      </c>
      <c r="L480" s="22"/>
      <c r="M480" s="22"/>
      <c r="N480" s="25" t="str">
        <f>HYPERLINK("http://slimages.macys.com/is/image/MCY/1017833 ")</f>
        <v xml:space="preserve">http://slimages.macys.com/is/image/MCY/1017833 </v>
      </c>
    </row>
    <row r="481" spans="1:14" x14ac:dyDescent="0.25">
      <c r="A481" s="21" t="s">
        <v>12507</v>
      </c>
      <c r="B481" s="22" t="s">
        <v>12508</v>
      </c>
      <c r="C481" s="2">
        <v>1</v>
      </c>
      <c r="D481" s="23">
        <v>5.99</v>
      </c>
      <c r="E481" s="3">
        <v>5.99</v>
      </c>
      <c r="F481" s="2" t="s">
        <v>18921</v>
      </c>
      <c r="G481" s="22" t="s">
        <v>19315</v>
      </c>
      <c r="H481" s="24" t="s">
        <v>20135</v>
      </c>
      <c r="I481" s="22" t="s">
        <v>19309</v>
      </c>
      <c r="J481" s="22" t="s">
        <v>19849</v>
      </c>
      <c r="K481" s="22" t="s">
        <v>19850</v>
      </c>
      <c r="L481" s="22"/>
      <c r="M481" s="22"/>
      <c r="N481" s="25" t="str">
        <f>HYPERLINK("http://slimages.macys.com/is/image/MCY/19068346 ")</f>
        <v xml:space="preserve">http://slimages.macys.com/is/image/MCY/19068346 </v>
      </c>
    </row>
    <row r="482" spans="1:14" ht="24.75" x14ac:dyDescent="0.25">
      <c r="A482" s="21" t="s">
        <v>16950</v>
      </c>
      <c r="B482" s="22" t="s">
        <v>16951</v>
      </c>
      <c r="C482" s="2">
        <v>1</v>
      </c>
      <c r="D482" s="23">
        <v>7.99</v>
      </c>
      <c r="E482" s="3">
        <v>7.99</v>
      </c>
      <c r="F482" s="2" t="s">
        <v>16952</v>
      </c>
      <c r="G482" s="22" t="s">
        <v>18439</v>
      </c>
      <c r="H482" s="24" t="s">
        <v>19361</v>
      </c>
      <c r="I482" s="22" t="s">
        <v>19309</v>
      </c>
      <c r="J482" s="22" t="s">
        <v>19908</v>
      </c>
      <c r="K482" s="22" t="s">
        <v>19524</v>
      </c>
      <c r="L482" s="22"/>
      <c r="M482" s="22"/>
      <c r="N482" s="25" t="str">
        <f>HYPERLINK("http://slimages.macys.com/is/image/MCY/22029038 ")</f>
        <v xml:space="preserve">http://slimages.macys.com/is/image/MCY/22029038 </v>
      </c>
    </row>
    <row r="483" spans="1:14" ht="24.75" x14ac:dyDescent="0.25">
      <c r="A483" s="21" t="s">
        <v>12509</v>
      </c>
      <c r="B483" s="22" t="s">
        <v>12510</v>
      </c>
      <c r="C483" s="2">
        <v>1</v>
      </c>
      <c r="D483" s="23">
        <v>7.99</v>
      </c>
      <c r="E483" s="3">
        <v>7.99</v>
      </c>
      <c r="F483" s="2" t="s">
        <v>16952</v>
      </c>
      <c r="G483" s="22" t="s">
        <v>18439</v>
      </c>
      <c r="H483" s="24" t="s">
        <v>19377</v>
      </c>
      <c r="I483" s="22" t="s">
        <v>19309</v>
      </c>
      <c r="J483" s="22" t="s">
        <v>19908</v>
      </c>
      <c r="K483" s="22" t="s">
        <v>19524</v>
      </c>
      <c r="L483" s="22"/>
      <c r="M483" s="22"/>
      <c r="N483" s="25" t="str">
        <f>HYPERLINK("http://slimages.macys.com/is/image/MCY/1555084 ")</f>
        <v xml:space="preserve">http://slimages.macys.com/is/image/MCY/1555084 </v>
      </c>
    </row>
    <row r="484" spans="1:14" ht="24.75" x14ac:dyDescent="0.25">
      <c r="A484" s="21" t="s">
        <v>12511</v>
      </c>
      <c r="B484" s="22" t="s">
        <v>12512</v>
      </c>
      <c r="C484" s="2">
        <v>1</v>
      </c>
      <c r="D484" s="23">
        <v>7.99</v>
      </c>
      <c r="E484" s="3">
        <v>7.99</v>
      </c>
      <c r="F484" s="2" t="s">
        <v>16942</v>
      </c>
      <c r="G484" s="22" t="s">
        <v>19674</v>
      </c>
      <c r="H484" s="24" t="s">
        <v>19907</v>
      </c>
      <c r="I484" s="22" t="s">
        <v>19309</v>
      </c>
      <c r="J484" s="22" t="s">
        <v>19908</v>
      </c>
      <c r="K484" s="22" t="s">
        <v>19524</v>
      </c>
      <c r="L484" s="22"/>
      <c r="M484" s="22"/>
      <c r="N484" s="25" t="str">
        <f>HYPERLINK("http://slimages.macys.com/is/image/MCY/21572442 ")</f>
        <v xml:space="preserve">http://slimages.macys.com/is/image/MCY/21572442 </v>
      </c>
    </row>
    <row r="485" spans="1:14" ht="24.75" x14ac:dyDescent="0.25">
      <c r="A485" s="21" t="s">
        <v>12513</v>
      </c>
      <c r="B485" s="22" t="s">
        <v>12514</v>
      </c>
      <c r="C485" s="2">
        <v>1</v>
      </c>
      <c r="D485" s="23">
        <v>7.99</v>
      </c>
      <c r="E485" s="3">
        <v>7.99</v>
      </c>
      <c r="F485" s="2" t="s">
        <v>12515</v>
      </c>
      <c r="G485" s="22" t="s">
        <v>19618</v>
      </c>
      <c r="H485" s="24" t="s">
        <v>20135</v>
      </c>
      <c r="I485" s="22" t="s">
        <v>19309</v>
      </c>
      <c r="J485" s="22" t="s">
        <v>19573</v>
      </c>
      <c r="K485" s="22" t="s">
        <v>19574</v>
      </c>
      <c r="L485" s="22"/>
      <c r="M485" s="22"/>
      <c r="N485" s="25" t="str">
        <f>HYPERLINK("http://slimages.macys.com/is/image/MCY/17661777 ")</f>
        <v xml:space="preserve">http://slimages.macys.com/is/image/MCY/17661777 </v>
      </c>
    </row>
    <row r="486" spans="1:14" ht="24.75" x14ac:dyDescent="0.25">
      <c r="A486" s="21" t="s">
        <v>14096</v>
      </c>
      <c r="B486" s="22" t="s">
        <v>14097</v>
      </c>
      <c r="C486" s="2">
        <v>3</v>
      </c>
      <c r="D486" s="23">
        <v>7.99</v>
      </c>
      <c r="E486" s="3">
        <v>23.97</v>
      </c>
      <c r="F486" s="2" t="s">
        <v>14098</v>
      </c>
      <c r="G486" s="22" t="s">
        <v>19415</v>
      </c>
      <c r="H486" s="24" t="s">
        <v>19542</v>
      </c>
      <c r="I486" s="22" t="s">
        <v>19309</v>
      </c>
      <c r="J486" s="22" t="s">
        <v>19454</v>
      </c>
      <c r="K486" s="22" t="s">
        <v>19524</v>
      </c>
      <c r="L486" s="22"/>
      <c r="M486" s="22"/>
      <c r="N486" s="25" t="str">
        <f>HYPERLINK("http://slimages.macys.com/is/image/MCY/21265947 ")</f>
        <v xml:space="preserve">http://slimages.macys.com/is/image/MCY/21265947 </v>
      </c>
    </row>
    <row r="487" spans="1:14" ht="24.75" x14ac:dyDescent="0.25">
      <c r="A487" s="21" t="s">
        <v>12516</v>
      </c>
      <c r="B487" s="22" t="s">
        <v>12517</v>
      </c>
      <c r="C487" s="2">
        <v>3</v>
      </c>
      <c r="D487" s="23">
        <v>7.99</v>
      </c>
      <c r="E487" s="3">
        <v>23.97</v>
      </c>
      <c r="F487" s="2" t="s">
        <v>14098</v>
      </c>
      <c r="G487" s="22" t="s">
        <v>19415</v>
      </c>
      <c r="H487" s="24" t="s">
        <v>19361</v>
      </c>
      <c r="I487" s="22" t="s">
        <v>19309</v>
      </c>
      <c r="J487" s="22" t="s">
        <v>19454</v>
      </c>
      <c r="K487" s="22" t="s">
        <v>19524</v>
      </c>
      <c r="L487" s="22"/>
      <c r="M487" s="22"/>
      <c r="N487" s="25" t="str">
        <f>HYPERLINK("http://slimages.macys.com/is/image/MCY/21265947 ")</f>
        <v xml:space="preserve">http://slimages.macys.com/is/image/MCY/21265947 </v>
      </c>
    </row>
    <row r="488" spans="1:14" ht="24.75" x14ac:dyDescent="0.25">
      <c r="A488" s="21" t="s">
        <v>12518</v>
      </c>
      <c r="B488" s="22" t="s">
        <v>12519</v>
      </c>
      <c r="C488" s="2">
        <v>3</v>
      </c>
      <c r="D488" s="23">
        <v>7.99</v>
      </c>
      <c r="E488" s="3">
        <v>23.97</v>
      </c>
      <c r="F488" s="2" t="s">
        <v>14098</v>
      </c>
      <c r="G488" s="22" t="s">
        <v>19415</v>
      </c>
      <c r="H488" s="24" t="s">
        <v>19392</v>
      </c>
      <c r="I488" s="22" t="s">
        <v>19309</v>
      </c>
      <c r="J488" s="22" t="s">
        <v>19454</v>
      </c>
      <c r="K488" s="22" t="s">
        <v>19524</v>
      </c>
      <c r="L488" s="22"/>
      <c r="M488" s="22"/>
      <c r="N488" s="25" t="str">
        <f>HYPERLINK("http://slimages.macys.com/is/image/MCY/21265947 ")</f>
        <v xml:space="preserve">http://slimages.macys.com/is/image/MCY/21265947 </v>
      </c>
    </row>
    <row r="489" spans="1:14" ht="24.75" x14ac:dyDescent="0.25">
      <c r="A489" s="21" t="s">
        <v>12520</v>
      </c>
      <c r="B489" s="22" t="s">
        <v>12521</v>
      </c>
      <c r="C489" s="2">
        <v>2</v>
      </c>
      <c r="D489" s="23">
        <v>7.99</v>
      </c>
      <c r="E489" s="3">
        <v>15.98</v>
      </c>
      <c r="F489" s="2" t="s">
        <v>14098</v>
      </c>
      <c r="G489" s="22" t="s">
        <v>19415</v>
      </c>
      <c r="H489" s="24" t="s">
        <v>19907</v>
      </c>
      <c r="I489" s="22" t="s">
        <v>19309</v>
      </c>
      <c r="J489" s="22" t="s">
        <v>19454</v>
      </c>
      <c r="K489" s="22" t="s">
        <v>19524</v>
      </c>
      <c r="L489" s="22"/>
      <c r="M489" s="22"/>
      <c r="N489" s="25" t="str">
        <f>HYPERLINK("http://slimages.macys.com/is/image/MCY/21265947 ")</f>
        <v xml:space="preserve">http://slimages.macys.com/is/image/MCY/21265947 </v>
      </c>
    </row>
    <row r="490" spans="1:14" ht="24.75" x14ac:dyDescent="0.25">
      <c r="A490" s="21" t="s">
        <v>12522</v>
      </c>
      <c r="B490" s="22" t="s">
        <v>12523</v>
      </c>
      <c r="C490" s="2">
        <v>1</v>
      </c>
      <c r="D490" s="23">
        <v>7.99</v>
      </c>
      <c r="E490" s="3">
        <v>7.99</v>
      </c>
      <c r="F490" s="2" t="s">
        <v>18948</v>
      </c>
      <c r="G490" s="22" t="s">
        <v>19351</v>
      </c>
      <c r="H490" s="24" t="s">
        <v>19361</v>
      </c>
      <c r="I490" s="22" t="s">
        <v>19309</v>
      </c>
      <c r="J490" s="22" t="s">
        <v>19454</v>
      </c>
      <c r="K490" s="22" t="s">
        <v>19524</v>
      </c>
      <c r="L490" s="22"/>
      <c r="M490" s="22"/>
      <c r="N490" s="25" t="str">
        <f>HYPERLINK("http://slimages.macys.com/is/image/MCY/21048858 ")</f>
        <v xml:space="preserve">http://slimages.macys.com/is/image/MCY/21048858 </v>
      </c>
    </row>
    <row r="491" spans="1:14" ht="24.75" x14ac:dyDescent="0.25">
      <c r="A491" s="21" t="s">
        <v>12524</v>
      </c>
      <c r="B491" s="22" t="s">
        <v>12525</v>
      </c>
      <c r="C491" s="2">
        <v>3</v>
      </c>
      <c r="D491" s="23">
        <v>7.99</v>
      </c>
      <c r="E491" s="3">
        <v>23.97</v>
      </c>
      <c r="F491" s="2" t="s">
        <v>14098</v>
      </c>
      <c r="G491" s="22" t="s">
        <v>19415</v>
      </c>
      <c r="H491" s="24" t="s">
        <v>19432</v>
      </c>
      <c r="I491" s="22" t="s">
        <v>19309</v>
      </c>
      <c r="J491" s="22" t="s">
        <v>19454</v>
      </c>
      <c r="K491" s="22" t="s">
        <v>19524</v>
      </c>
      <c r="L491" s="22"/>
      <c r="M491" s="22"/>
      <c r="N491" s="25" t="str">
        <f>HYPERLINK("http://slimages.macys.com/is/image/MCY/21265947 ")</f>
        <v xml:space="preserve">http://slimages.macys.com/is/image/MCY/21265947 </v>
      </c>
    </row>
    <row r="492" spans="1:14" ht="24.75" x14ac:dyDescent="0.25">
      <c r="A492" s="21" t="s">
        <v>12526</v>
      </c>
      <c r="B492" s="22" t="s">
        <v>12527</v>
      </c>
      <c r="C492" s="2">
        <v>1</v>
      </c>
      <c r="D492" s="23">
        <v>7.99</v>
      </c>
      <c r="E492" s="3">
        <v>7.99</v>
      </c>
      <c r="F492" s="2" t="s">
        <v>12528</v>
      </c>
      <c r="G492" s="22" t="s">
        <v>19333</v>
      </c>
      <c r="H492" s="24" t="s">
        <v>19432</v>
      </c>
      <c r="I492" s="22" t="s">
        <v>19309</v>
      </c>
      <c r="J492" s="22" t="s">
        <v>19454</v>
      </c>
      <c r="K492" s="22" t="s">
        <v>19524</v>
      </c>
      <c r="L492" s="22"/>
      <c r="M492" s="22"/>
      <c r="N492" s="25" t="str">
        <f>HYPERLINK("http://slimages.macys.com/is/image/MCY/21048677 ")</f>
        <v xml:space="preserve">http://slimages.macys.com/is/image/MCY/21048677 </v>
      </c>
    </row>
    <row r="493" spans="1:14" ht="24.75" x14ac:dyDescent="0.25">
      <c r="A493" s="21" t="s">
        <v>12529</v>
      </c>
      <c r="B493" s="22" t="s">
        <v>12530</v>
      </c>
      <c r="C493" s="2">
        <v>1</v>
      </c>
      <c r="D493" s="23">
        <v>7.99</v>
      </c>
      <c r="E493" s="3">
        <v>7.99</v>
      </c>
      <c r="F493" s="2" t="s">
        <v>12528</v>
      </c>
      <c r="G493" s="22" t="s">
        <v>19333</v>
      </c>
      <c r="H493" s="24" t="s">
        <v>19542</v>
      </c>
      <c r="I493" s="22" t="s">
        <v>19309</v>
      </c>
      <c r="J493" s="22" t="s">
        <v>19454</v>
      </c>
      <c r="K493" s="22" t="s">
        <v>19524</v>
      </c>
      <c r="L493" s="22"/>
      <c r="M493" s="22"/>
      <c r="N493" s="25" t="str">
        <f>HYPERLINK("http://slimages.macys.com/is/image/MCY/21048677 ")</f>
        <v xml:space="preserve">http://slimages.macys.com/is/image/MCY/21048677 </v>
      </c>
    </row>
    <row r="494" spans="1:14" ht="24.75" x14ac:dyDescent="0.25">
      <c r="A494" s="21" t="s">
        <v>12531</v>
      </c>
      <c r="B494" s="22" t="s">
        <v>12532</v>
      </c>
      <c r="C494" s="2">
        <v>1</v>
      </c>
      <c r="D494" s="23">
        <v>7.99</v>
      </c>
      <c r="E494" s="3">
        <v>7.99</v>
      </c>
      <c r="F494" s="2" t="s">
        <v>12528</v>
      </c>
      <c r="G494" s="22" t="s">
        <v>19333</v>
      </c>
      <c r="H494" s="24" t="s">
        <v>20135</v>
      </c>
      <c r="I494" s="22" t="s">
        <v>19309</v>
      </c>
      <c r="J494" s="22" t="s">
        <v>19454</v>
      </c>
      <c r="K494" s="22" t="s">
        <v>19524</v>
      </c>
      <c r="L494" s="22"/>
      <c r="M494" s="22"/>
      <c r="N494" s="25" t="str">
        <f>HYPERLINK("http://slimages.macys.com/is/image/MCY/21048680 ")</f>
        <v xml:space="preserve">http://slimages.macys.com/is/image/MCY/21048680 </v>
      </c>
    </row>
    <row r="495" spans="1:14" ht="24.75" x14ac:dyDescent="0.25">
      <c r="A495" s="21" t="s">
        <v>12533</v>
      </c>
      <c r="B495" s="22" t="s">
        <v>12534</v>
      </c>
      <c r="C495" s="2">
        <v>1</v>
      </c>
      <c r="D495" s="23">
        <v>7.99</v>
      </c>
      <c r="E495" s="3">
        <v>7.99</v>
      </c>
      <c r="F495" s="2" t="s">
        <v>14098</v>
      </c>
      <c r="G495" s="22" t="s">
        <v>19415</v>
      </c>
      <c r="H495" s="24" t="s">
        <v>20135</v>
      </c>
      <c r="I495" s="22" t="s">
        <v>19309</v>
      </c>
      <c r="J495" s="22" t="s">
        <v>19454</v>
      </c>
      <c r="K495" s="22" t="s">
        <v>19524</v>
      </c>
      <c r="L495" s="22"/>
      <c r="M495" s="22"/>
      <c r="N495" s="25" t="str">
        <f>HYPERLINK("http://slimages.macys.com/is/image/MCY/21265947 ")</f>
        <v xml:space="preserve">http://slimages.macys.com/is/image/MCY/21265947 </v>
      </c>
    </row>
    <row r="496" spans="1:14" ht="24.75" x14ac:dyDescent="0.25">
      <c r="A496" s="21" t="s">
        <v>12535</v>
      </c>
      <c r="B496" s="22" t="s">
        <v>12536</v>
      </c>
      <c r="C496" s="2">
        <v>1</v>
      </c>
      <c r="D496" s="23">
        <v>7.99</v>
      </c>
      <c r="E496" s="3">
        <v>7.99</v>
      </c>
      <c r="F496" s="2" t="s">
        <v>12537</v>
      </c>
      <c r="G496" s="22" t="s">
        <v>19674</v>
      </c>
      <c r="H496" s="24" t="s">
        <v>19542</v>
      </c>
      <c r="I496" s="22" t="s">
        <v>19309</v>
      </c>
      <c r="J496" s="22" t="s">
        <v>19908</v>
      </c>
      <c r="K496" s="22" t="s">
        <v>19524</v>
      </c>
      <c r="L496" s="22"/>
      <c r="M496" s="22"/>
      <c r="N496" s="25" t="str">
        <f>HYPERLINK("http://slimages.macys.com/is/image/MCY/21070269 ")</f>
        <v xml:space="preserve">http://slimages.macys.com/is/image/MCY/21070269 </v>
      </c>
    </row>
    <row r="497" spans="1:14" ht="24.75" x14ac:dyDescent="0.25">
      <c r="A497" s="21" t="s">
        <v>17023</v>
      </c>
      <c r="B497" s="22" t="s">
        <v>17024</v>
      </c>
      <c r="C497" s="2">
        <v>1</v>
      </c>
      <c r="D497" s="23">
        <v>8.99</v>
      </c>
      <c r="E497" s="3">
        <v>8.99</v>
      </c>
      <c r="F497" s="2" t="s">
        <v>16978</v>
      </c>
      <c r="G497" s="22" t="s">
        <v>19618</v>
      </c>
      <c r="H497" s="24" t="s">
        <v>19395</v>
      </c>
      <c r="I497" s="22" t="s">
        <v>19309</v>
      </c>
      <c r="J497" s="22" t="s">
        <v>19573</v>
      </c>
      <c r="K497" s="22" t="s">
        <v>20228</v>
      </c>
      <c r="L497" s="22"/>
      <c r="M497" s="22"/>
      <c r="N497" s="25" t="str">
        <f>HYPERLINK("http://slimages.macys.com/is/image/MCY/18422286 ")</f>
        <v xml:space="preserve">http://slimages.macys.com/is/image/MCY/18422286 </v>
      </c>
    </row>
    <row r="498" spans="1:14" ht="24.75" x14ac:dyDescent="0.25">
      <c r="A498" s="21" t="s">
        <v>12538</v>
      </c>
      <c r="B498" s="22" t="s">
        <v>12539</v>
      </c>
      <c r="C498" s="2">
        <v>1</v>
      </c>
      <c r="D498" s="23">
        <v>8.99</v>
      </c>
      <c r="E498" s="3">
        <v>8.99</v>
      </c>
      <c r="F498" s="2" t="s">
        <v>18978</v>
      </c>
      <c r="G498" s="22" t="s">
        <v>19467</v>
      </c>
      <c r="H498" s="24" t="s">
        <v>19538</v>
      </c>
      <c r="I498" s="22" t="s">
        <v>19309</v>
      </c>
      <c r="J498" s="22" t="s">
        <v>19573</v>
      </c>
      <c r="K498" s="22" t="s">
        <v>19574</v>
      </c>
      <c r="L498" s="22"/>
      <c r="M498" s="22"/>
      <c r="N498" s="25" t="str">
        <f>HYPERLINK("http://slimages.macys.com/is/image/MCY/1537013 ")</f>
        <v xml:space="preserve">http://slimages.macys.com/is/image/MCY/1537013 </v>
      </c>
    </row>
    <row r="499" spans="1:14" ht="24.75" x14ac:dyDescent="0.25">
      <c r="A499" s="21" t="s">
        <v>12540</v>
      </c>
      <c r="B499" s="22" t="s">
        <v>12541</v>
      </c>
      <c r="C499" s="2">
        <v>1</v>
      </c>
      <c r="D499" s="23">
        <v>8.99</v>
      </c>
      <c r="E499" s="3">
        <v>8.99</v>
      </c>
      <c r="F499" s="2" t="s">
        <v>12542</v>
      </c>
      <c r="G499" s="22" t="s">
        <v>19462</v>
      </c>
      <c r="H499" s="24" t="s">
        <v>19416</v>
      </c>
      <c r="I499" s="22" t="s">
        <v>19309</v>
      </c>
      <c r="J499" s="22" t="s">
        <v>19573</v>
      </c>
      <c r="K499" s="22" t="s">
        <v>19574</v>
      </c>
      <c r="L499" s="22"/>
      <c r="M499" s="22"/>
      <c r="N499" s="25" t="str">
        <f>HYPERLINK("http://slimages.macys.com/is/image/MCY/1520532 ")</f>
        <v xml:space="preserve">http://slimages.macys.com/is/image/MCY/1520532 </v>
      </c>
    </row>
    <row r="500" spans="1:14" ht="24.75" x14ac:dyDescent="0.25">
      <c r="A500" s="21" t="s">
        <v>12543</v>
      </c>
      <c r="B500" s="22" t="s">
        <v>12544</v>
      </c>
      <c r="C500" s="2">
        <v>1</v>
      </c>
      <c r="D500" s="23">
        <v>8.99</v>
      </c>
      <c r="E500" s="3">
        <v>8.99</v>
      </c>
      <c r="F500" s="2" t="s">
        <v>12542</v>
      </c>
      <c r="G500" s="22" t="s">
        <v>19462</v>
      </c>
      <c r="H500" s="24" t="s">
        <v>19324</v>
      </c>
      <c r="I500" s="22" t="s">
        <v>19309</v>
      </c>
      <c r="J500" s="22" t="s">
        <v>19573</v>
      </c>
      <c r="K500" s="22" t="s">
        <v>19574</v>
      </c>
      <c r="L500" s="22"/>
      <c r="M500" s="22"/>
      <c r="N500" s="25" t="str">
        <f>HYPERLINK("http://slimages.macys.com/is/image/MCY/1520532 ")</f>
        <v xml:space="preserve">http://slimages.macys.com/is/image/MCY/1520532 </v>
      </c>
    </row>
    <row r="501" spans="1:14" ht="24.75" x14ac:dyDescent="0.25">
      <c r="A501" s="21" t="s">
        <v>12545</v>
      </c>
      <c r="B501" s="22" t="s">
        <v>12546</v>
      </c>
      <c r="C501" s="2">
        <v>1</v>
      </c>
      <c r="D501" s="23">
        <v>7.99</v>
      </c>
      <c r="E501" s="3">
        <v>7.99</v>
      </c>
      <c r="F501" s="2" t="s">
        <v>14130</v>
      </c>
      <c r="G501" s="22" t="s">
        <v>19351</v>
      </c>
      <c r="H501" s="24" t="s">
        <v>19324</v>
      </c>
      <c r="I501" s="22" t="s">
        <v>19309</v>
      </c>
      <c r="J501" s="22" t="s">
        <v>19573</v>
      </c>
      <c r="K501" s="22" t="s">
        <v>19574</v>
      </c>
      <c r="L501" s="22"/>
      <c r="M501" s="22"/>
      <c r="N501" s="25" t="str">
        <f>HYPERLINK("http://slimages.macys.com/is/image/MCY/20551287 ")</f>
        <v xml:space="preserve">http://slimages.macys.com/is/image/MCY/20551287 </v>
      </c>
    </row>
    <row r="502" spans="1:14" ht="24.75" x14ac:dyDescent="0.25">
      <c r="A502" s="21" t="s">
        <v>18993</v>
      </c>
      <c r="B502" s="22" t="s">
        <v>18994</v>
      </c>
      <c r="C502" s="2">
        <v>1</v>
      </c>
      <c r="D502" s="23">
        <v>8.99</v>
      </c>
      <c r="E502" s="3">
        <v>8.99</v>
      </c>
      <c r="F502" s="2" t="s">
        <v>18984</v>
      </c>
      <c r="G502" s="22" t="s">
        <v>19518</v>
      </c>
      <c r="H502" s="24" t="s">
        <v>19364</v>
      </c>
      <c r="I502" s="22" t="s">
        <v>19309</v>
      </c>
      <c r="J502" s="22" t="s">
        <v>19815</v>
      </c>
      <c r="K502" s="22" t="s">
        <v>19816</v>
      </c>
      <c r="L502" s="22"/>
      <c r="M502" s="22"/>
      <c r="N502" s="25" t="str">
        <f>HYPERLINK("http://slimages.macys.com/is/image/MCY/1520506 ")</f>
        <v xml:space="preserve">http://slimages.macys.com/is/image/MCY/1520506 </v>
      </c>
    </row>
    <row r="503" spans="1:14" ht="24.75" x14ac:dyDescent="0.25">
      <c r="A503" s="21" t="s">
        <v>12547</v>
      </c>
      <c r="B503" s="22" t="s">
        <v>12548</v>
      </c>
      <c r="C503" s="2">
        <v>1</v>
      </c>
      <c r="D503" s="23">
        <v>7.99</v>
      </c>
      <c r="E503" s="3">
        <v>7.99</v>
      </c>
      <c r="F503" s="2" t="s">
        <v>19003</v>
      </c>
      <c r="G503" s="22" t="s">
        <v>19674</v>
      </c>
      <c r="H503" s="24" t="s">
        <v>19907</v>
      </c>
      <c r="I503" s="22" t="s">
        <v>19309</v>
      </c>
      <c r="J503" s="22" t="s">
        <v>19573</v>
      </c>
      <c r="K503" s="22" t="s">
        <v>19574</v>
      </c>
      <c r="L503" s="22"/>
      <c r="M503" s="22"/>
      <c r="N503" s="25" t="str">
        <f>HYPERLINK("http://slimages.macys.com/is/image/MCY/1505231 ")</f>
        <v xml:space="preserve">http://slimages.macys.com/is/image/MCY/1505231 </v>
      </c>
    </row>
    <row r="504" spans="1:14" ht="24.75" x14ac:dyDescent="0.25">
      <c r="A504" s="21" t="s">
        <v>12549</v>
      </c>
      <c r="B504" s="22" t="s">
        <v>12550</v>
      </c>
      <c r="C504" s="2">
        <v>2</v>
      </c>
      <c r="D504" s="23">
        <v>6.99</v>
      </c>
      <c r="E504" s="3">
        <v>13.98</v>
      </c>
      <c r="F504" s="2" t="s">
        <v>13446</v>
      </c>
      <c r="G504" s="22" t="s">
        <v>19415</v>
      </c>
      <c r="H504" s="24" t="s">
        <v>19330</v>
      </c>
      <c r="I504" s="22" t="s">
        <v>19309</v>
      </c>
      <c r="J504" s="22" t="s">
        <v>19573</v>
      </c>
      <c r="K504" s="22" t="s">
        <v>19574</v>
      </c>
      <c r="L504" s="22"/>
      <c r="M504" s="22"/>
      <c r="N504" s="25" t="str">
        <f>HYPERLINK("http://slimages.macys.com/is/image/MCY/13531635 ")</f>
        <v xml:space="preserve">http://slimages.macys.com/is/image/MCY/13531635 </v>
      </c>
    </row>
    <row r="505" spans="1:14" ht="24.75" x14ac:dyDescent="0.25">
      <c r="A505" s="21" t="s">
        <v>12551</v>
      </c>
      <c r="B505" s="22" t="s">
        <v>12552</v>
      </c>
      <c r="C505" s="2">
        <v>1</v>
      </c>
      <c r="D505" s="23">
        <v>6.99</v>
      </c>
      <c r="E505" s="3">
        <v>6.99</v>
      </c>
      <c r="F505" s="2" t="s">
        <v>13446</v>
      </c>
      <c r="G505" s="22" t="s">
        <v>19415</v>
      </c>
      <c r="H505" s="24" t="s">
        <v>19538</v>
      </c>
      <c r="I505" s="22" t="s">
        <v>19309</v>
      </c>
      <c r="J505" s="22" t="s">
        <v>19573</v>
      </c>
      <c r="K505" s="22" t="s">
        <v>19574</v>
      </c>
      <c r="L505" s="22"/>
      <c r="M505" s="22"/>
      <c r="N505" s="25" t="str">
        <f>HYPERLINK("http://slimages.macys.com/is/image/MCY/13531635 ")</f>
        <v xml:space="preserve">http://slimages.macys.com/is/image/MCY/13531635 </v>
      </c>
    </row>
    <row r="506" spans="1:14" ht="24.75" x14ac:dyDescent="0.25">
      <c r="A506" s="21" t="s">
        <v>12553</v>
      </c>
      <c r="B506" s="22" t="s">
        <v>12554</v>
      </c>
      <c r="C506" s="2">
        <v>1</v>
      </c>
      <c r="D506" s="23">
        <v>6.99</v>
      </c>
      <c r="E506" s="3">
        <v>6.99</v>
      </c>
      <c r="F506" s="2" t="s">
        <v>13446</v>
      </c>
      <c r="G506" s="22" t="s">
        <v>19415</v>
      </c>
      <c r="H506" s="24" t="s">
        <v>19324</v>
      </c>
      <c r="I506" s="22" t="s">
        <v>19309</v>
      </c>
      <c r="J506" s="22" t="s">
        <v>19573</v>
      </c>
      <c r="K506" s="22" t="s">
        <v>19574</v>
      </c>
      <c r="L506" s="22"/>
      <c r="M506" s="22"/>
      <c r="N506" s="25" t="str">
        <f>HYPERLINK("http://slimages.macys.com/is/image/MCY/13531635 ")</f>
        <v xml:space="preserve">http://slimages.macys.com/is/image/MCY/13531635 </v>
      </c>
    </row>
    <row r="507" spans="1:14" ht="24.75" x14ac:dyDescent="0.25">
      <c r="A507" s="21" t="s">
        <v>12555</v>
      </c>
      <c r="B507" s="22" t="s">
        <v>12556</v>
      </c>
      <c r="C507" s="2">
        <v>1</v>
      </c>
      <c r="D507" s="23">
        <v>7.99</v>
      </c>
      <c r="E507" s="3">
        <v>7.99</v>
      </c>
      <c r="F507" s="2" t="s">
        <v>12557</v>
      </c>
      <c r="G507" s="22" t="s">
        <v>19906</v>
      </c>
      <c r="H507" s="24" t="s">
        <v>20135</v>
      </c>
      <c r="I507" s="22" t="s">
        <v>19309</v>
      </c>
      <c r="J507" s="22" t="s">
        <v>19573</v>
      </c>
      <c r="K507" s="22" t="s">
        <v>19574</v>
      </c>
      <c r="L507" s="22"/>
      <c r="M507" s="22"/>
      <c r="N507" s="25" t="str">
        <f>HYPERLINK("http://slimages.macys.com/is/image/MCY/16999740 ")</f>
        <v xml:space="preserve">http://slimages.macys.com/is/image/MCY/16999740 </v>
      </c>
    </row>
    <row r="508" spans="1:14" ht="24.75" x14ac:dyDescent="0.25">
      <c r="A508" s="21" t="s">
        <v>13439</v>
      </c>
      <c r="B508" s="22" t="s">
        <v>13440</v>
      </c>
      <c r="C508" s="2">
        <v>1</v>
      </c>
      <c r="D508" s="23">
        <v>7.99</v>
      </c>
      <c r="E508" s="3">
        <v>7.99</v>
      </c>
      <c r="F508" s="2" t="s">
        <v>14712</v>
      </c>
      <c r="G508" s="22" t="s">
        <v>19467</v>
      </c>
      <c r="H508" s="24" t="s">
        <v>20089</v>
      </c>
      <c r="I508" s="22" t="s">
        <v>19309</v>
      </c>
      <c r="J508" s="22" t="s">
        <v>19573</v>
      </c>
      <c r="K508" s="22" t="s">
        <v>19574</v>
      </c>
      <c r="L508" s="22"/>
      <c r="M508" s="22"/>
      <c r="N508" s="25" t="str">
        <f>HYPERLINK("http://slimages.macys.com/is/image/MCY/22290702 ")</f>
        <v xml:space="preserve">http://slimages.macys.com/is/image/MCY/22290702 </v>
      </c>
    </row>
    <row r="509" spans="1:14" ht="24.75" x14ac:dyDescent="0.25">
      <c r="A509" s="21" t="s">
        <v>17052</v>
      </c>
      <c r="B509" s="22" t="s">
        <v>17053</v>
      </c>
      <c r="C509" s="2">
        <v>1</v>
      </c>
      <c r="D509" s="23">
        <v>6.99</v>
      </c>
      <c r="E509" s="3">
        <v>6.99</v>
      </c>
      <c r="F509" s="2" t="s">
        <v>17054</v>
      </c>
      <c r="G509" s="22" t="s">
        <v>19415</v>
      </c>
      <c r="H509" s="24" t="s">
        <v>19324</v>
      </c>
      <c r="I509" s="22" t="s">
        <v>19309</v>
      </c>
      <c r="J509" s="22" t="s">
        <v>19573</v>
      </c>
      <c r="K509" s="22" t="s">
        <v>19574</v>
      </c>
      <c r="L509" s="22"/>
      <c r="M509" s="22"/>
      <c r="N509" s="25" t="str">
        <f>HYPERLINK("http://slimages.macys.com/is/image/MCY/21361541 ")</f>
        <v xml:space="preserve">http://slimages.macys.com/is/image/MCY/21361541 </v>
      </c>
    </row>
    <row r="510" spans="1:14" ht="24.75" x14ac:dyDescent="0.25">
      <c r="A510" s="21" t="s">
        <v>12558</v>
      </c>
      <c r="B510" s="22" t="s">
        <v>12559</v>
      </c>
      <c r="C510" s="2">
        <v>1</v>
      </c>
      <c r="D510" s="23">
        <v>7.99</v>
      </c>
      <c r="E510" s="3">
        <v>7.99</v>
      </c>
      <c r="F510" s="2" t="s">
        <v>12560</v>
      </c>
      <c r="G510" s="22" t="s">
        <v>19351</v>
      </c>
      <c r="H510" s="24" t="s">
        <v>19907</v>
      </c>
      <c r="I510" s="22" t="s">
        <v>19309</v>
      </c>
      <c r="J510" s="22" t="s">
        <v>19573</v>
      </c>
      <c r="K510" s="22" t="s">
        <v>19574</v>
      </c>
      <c r="L510" s="22"/>
      <c r="M510" s="22"/>
      <c r="N510" s="25" t="str">
        <f>HYPERLINK("http://slimages.macys.com/is/image/MCY/20753669 ")</f>
        <v xml:space="preserve">http://slimages.macys.com/is/image/MCY/20753669 </v>
      </c>
    </row>
    <row r="511" spans="1:14" ht="24.75" x14ac:dyDescent="0.25">
      <c r="A511" s="21" t="s">
        <v>12561</v>
      </c>
      <c r="B511" s="22" t="s">
        <v>12562</v>
      </c>
      <c r="C511" s="2">
        <v>1</v>
      </c>
      <c r="D511" s="23">
        <v>6.99</v>
      </c>
      <c r="E511" s="3">
        <v>6.99</v>
      </c>
      <c r="F511" s="2" t="s">
        <v>14151</v>
      </c>
      <c r="G511" s="22" t="s">
        <v>19513</v>
      </c>
      <c r="H511" s="24" t="s">
        <v>19324</v>
      </c>
      <c r="I511" s="22" t="s">
        <v>19309</v>
      </c>
      <c r="J511" s="22" t="s">
        <v>19573</v>
      </c>
      <c r="K511" s="22" t="s">
        <v>19574</v>
      </c>
      <c r="L511" s="22"/>
      <c r="M511" s="22"/>
      <c r="N511" s="25" t="str">
        <f>HYPERLINK("http://slimages.macys.com/is/image/MCY/17709085 ")</f>
        <v xml:space="preserve">http://slimages.macys.com/is/image/MCY/17709085 </v>
      </c>
    </row>
    <row r="512" spans="1:14" ht="24.75" x14ac:dyDescent="0.25">
      <c r="A512" s="21" t="s">
        <v>12563</v>
      </c>
      <c r="B512" s="22" t="s">
        <v>12564</v>
      </c>
      <c r="C512" s="2">
        <v>1</v>
      </c>
      <c r="D512" s="23">
        <v>7.99</v>
      </c>
      <c r="E512" s="3">
        <v>7.99</v>
      </c>
      <c r="F512" s="2" t="s">
        <v>12565</v>
      </c>
      <c r="G512" s="22" t="s">
        <v>19351</v>
      </c>
      <c r="H512" s="24" t="s">
        <v>19907</v>
      </c>
      <c r="I512" s="22" t="s">
        <v>19309</v>
      </c>
      <c r="J512" s="22" t="s">
        <v>19573</v>
      </c>
      <c r="K512" s="22" t="s">
        <v>19574</v>
      </c>
      <c r="L512" s="22"/>
      <c r="M512" s="22"/>
      <c r="N512" s="25" t="str">
        <f>HYPERLINK("http://slimages.macys.com/is/image/MCY/1124651 ")</f>
        <v xml:space="preserve">http://slimages.macys.com/is/image/MCY/1124651 </v>
      </c>
    </row>
    <row r="513" spans="1:14" ht="24.75" x14ac:dyDescent="0.25">
      <c r="A513" s="21" t="s">
        <v>12566</v>
      </c>
      <c r="B513" s="22" t="s">
        <v>12567</v>
      </c>
      <c r="C513" s="2">
        <v>1</v>
      </c>
      <c r="D513" s="23">
        <v>7.99</v>
      </c>
      <c r="E513" s="3">
        <v>7.99</v>
      </c>
      <c r="F513" s="2" t="s">
        <v>12568</v>
      </c>
      <c r="G513" s="22" t="s">
        <v>19351</v>
      </c>
      <c r="H513" s="24" t="s">
        <v>20089</v>
      </c>
      <c r="I513" s="22" t="s">
        <v>19309</v>
      </c>
      <c r="J513" s="22" t="s">
        <v>19573</v>
      </c>
      <c r="K513" s="22" t="s">
        <v>19574</v>
      </c>
      <c r="L513" s="22"/>
      <c r="M513" s="22"/>
      <c r="N513" s="25" t="str">
        <f>HYPERLINK("http://slimages.macys.com/is/image/MCY/1573861 ")</f>
        <v xml:space="preserve">http://slimages.macys.com/is/image/MCY/1573861 </v>
      </c>
    </row>
    <row r="514" spans="1:14" ht="24.75" x14ac:dyDescent="0.25">
      <c r="A514" s="21" t="s">
        <v>12569</v>
      </c>
      <c r="B514" s="22" t="s">
        <v>12570</v>
      </c>
      <c r="C514" s="2">
        <v>1</v>
      </c>
      <c r="D514" s="23">
        <v>6.99</v>
      </c>
      <c r="E514" s="3">
        <v>6.99</v>
      </c>
      <c r="F514" s="2">
        <v>10013625700</v>
      </c>
      <c r="G514" s="22" t="s">
        <v>19585</v>
      </c>
      <c r="H514" s="24"/>
      <c r="I514" s="22" t="s">
        <v>19309</v>
      </c>
      <c r="J514" s="22" t="s">
        <v>19573</v>
      </c>
      <c r="K514" s="22" t="s">
        <v>19574</v>
      </c>
      <c r="L514" s="22"/>
      <c r="M514" s="22"/>
      <c r="N514" s="25" t="str">
        <f>HYPERLINK("http://slimages.macys.com/is/image/MCY/1070793 ")</f>
        <v xml:space="preserve">http://slimages.macys.com/is/image/MCY/1070793 </v>
      </c>
    </row>
    <row r="515" spans="1:14" ht="24.75" x14ac:dyDescent="0.25">
      <c r="A515" s="21" t="s">
        <v>19018</v>
      </c>
      <c r="B515" s="22" t="s">
        <v>19019</v>
      </c>
      <c r="C515" s="2">
        <v>1</v>
      </c>
      <c r="D515" s="23">
        <v>5.99</v>
      </c>
      <c r="E515" s="3">
        <v>5.99</v>
      </c>
      <c r="F515" s="2" t="s">
        <v>19020</v>
      </c>
      <c r="G515" s="22" t="s">
        <v>19618</v>
      </c>
      <c r="H515" s="24" t="s">
        <v>19538</v>
      </c>
      <c r="I515" s="22" t="s">
        <v>19309</v>
      </c>
      <c r="J515" s="22" t="s">
        <v>19573</v>
      </c>
      <c r="K515" s="22" t="s">
        <v>19574</v>
      </c>
      <c r="L515" s="22"/>
      <c r="M515" s="22"/>
      <c r="N515" s="25" t="str">
        <f>HYPERLINK("http://slimages.macys.com/is/image/MCY/21361690 ")</f>
        <v xml:space="preserve">http://slimages.macys.com/is/image/MCY/21361690 </v>
      </c>
    </row>
    <row r="516" spans="1:14" ht="24.75" x14ac:dyDescent="0.25">
      <c r="A516" s="21" t="s">
        <v>17063</v>
      </c>
      <c r="B516" s="22" t="s">
        <v>17064</v>
      </c>
      <c r="C516" s="2">
        <v>1</v>
      </c>
      <c r="D516" s="23">
        <v>6.99</v>
      </c>
      <c r="E516" s="3">
        <v>6.99</v>
      </c>
      <c r="F516" s="2" t="s">
        <v>17065</v>
      </c>
      <c r="G516" s="22" t="s">
        <v>19518</v>
      </c>
      <c r="H516" s="24" t="s">
        <v>19384</v>
      </c>
      <c r="I516" s="22" t="s">
        <v>19309</v>
      </c>
      <c r="J516" s="22" t="s">
        <v>19573</v>
      </c>
      <c r="K516" s="22" t="s">
        <v>19574</v>
      </c>
      <c r="L516" s="22"/>
      <c r="M516" s="22"/>
      <c r="N516" s="25" t="str">
        <f>HYPERLINK("http://slimages.macys.com/is/image/MCY/17565510 ")</f>
        <v xml:space="preserve">http://slimages.macys.com/is/image/MCY/17565510 </v>
      </c>
    </row>
    <row r="517" spans="1:14" ht="24.75" x14ac:dyDescent="0.25">
      <c r="A517" s="21" t="s">
        <v>12571</v>
      </c>
      <c r="B517" s="22" t="s">
        <v>12572</v>
      </c>
      <c r="C517" s="2">
        <v>2</v>
      </c>
      <c r="D517" s="23">
        <v>6.99</v>
      </c>
      <c r="E517" s="3">
        <v>13.98</v>
      </c>
      <c r="F517" s="2" t="s">
        <v>19035</v>
      </c>
      <c r="G517" s="22" t="s">
        <v>19315</v>
      </c>
      <c r="H517" s="24" t="s">
        <v>19352</v>
      </c>
      <c r="I517" s="22" t="s">
        <v>19309</v>
      </c>
      <c r="J517" s="22" t="s">
        <v>19849</v>
      </c>
      <c r="K517" s="22" t="s">
        <v>19850</v>
      </c>
      <c r="L517" s="22"/>
      <c r="M517" s="22"/>
      <c r="N517" s="25" t="str">
        <f>HYPERLINK("http://slimages.macys.com/is/image/MCY/19068309 ")</f>
        <v xml:space="preserve">http://slimages.macys.com/is/image/MCY/19068309 </v>
      </c>
    </row>
    <row r="518" spans="1:14" x14ac:dyDescent="0.25">
      <c r="A518" s="21" t="s">
        <v>17069</v>
      </c>
      <c r="B518" s="22" t="s">
        <v>17070</v>
      </c>
      <c r="C518" s="2">
        <v>1</v>
      </c>
      <c r="D518" s="23">
        <v>6.99</v>
      </c>
      <c r="E518" s="3">
        <v>6.99</v>
      </c>
      <c r="F518" s="2" t="s">
        <v>19035</v>
      </c>
      <c r="G518" s="22" t="s">
        <v>19351</v>
      </c>
      <c r="H518" s="24" t="s">
        <v>19364</v>
      </c>
      <c r="I518" s="22" t="s">
        <v>19309</v>
      </c>
      <c r="J518" s="22" t="s">
        <v>19849</v>
      </c>
      <c r="K518" s="22" t="s">
        <v>19850</v>
      </c>
      <c r="L518" s="22"/>
      <c r="M518" s="22"/>
      <c r="N518" s="25" t="str">
        <f>HYPERLINK("http://slimages.macys.com/is/image/MCY/19068309 ")</f>
        <v xml:space="preserve">http://slimages.macys.com/is/image/MCY/19068309 </v>
      </c>
    </row>
    <row r="519" spans="1:14" ht="24.75" x14ac:dyDescent="0.25">
      <c r="A519" s="21" t="s">
        <v>12573</v>
      </c>
      <c r="B519" s="22" t="s">
        <v>12574</v>
      </c>
      <c r="C519" s="2">
        <v>1</v>
      </c>
      <c r="D519" s="23">
        <v>7.99</v>
      </c>
      <c r="E519" s="3">
        <v>7.99</v>
      </c>
      <c r="F519" s="2">
        <v>10015096500</v>
      </c>
      <c r="G519" s="22" t="s">
        <v>19713</v>
      </c>
      <c r="H519" s="24" t="s">
        <v>19384</v>
      </c>
      <c r="I519" s="22" t="s">
        <v>19309</v>
      </c>
      <c r="J519" s="22" t="s">
        <v>19573</v>
      </c>
      <c r="K519" s="22" t="s">
        <v>19574</v>
      </c>
      <c r="L519" s="22"/>
      <c r="M519" s="22"/>
      <c r="N519" s="25" t="str">
        <f>HYPERLINK("http://slimages.macys.com/is/image/MCY/1439034 ")</f>
        <v xml:space="preserve">http://slimages.macys.com/is/image/MCY/1439034 </v>
      </c>
    </row>
    <row r="520" spans="1:14" ht="24.75" x14ac:dyDescent="0.25">
      <c r="A520" s="21" t="s">
        <v>12575</v>
      </c>
      <c r="B520" s="22" t="s">
        <v>12576</v>
      </c>
      <c r="C520" s="2">
        <v>1</v>
      </c>
      <c r="D520" s="23">
        <v>7.99</v>
      </c>
      <c r="E520" s="3">
        <v>7.99</v>
      </c>
      <c r="F520" s="2" t="s">
        <v>12577</v>
      </c>
      <c r="G520" s="22" t="s">
        <v>19351</v>
      </c>
      <c r="H520" s="24" t="s">
        <v>20135</v>
      </c>
      <c r="I520" s="22" t="s">
        <v>19309</v>
      </c>
      <c r="J520" s="22" t="s">
        <v>19573</v>
      </c>
      <c r="K520" s="22" t="s">
        <v>19574</v>
      </c>
      <c r="L520" s="22"/>
      <c r="M520" s="22"/>
      <c r="N520" s="25" t="str">
        <f>HYPERLINK("http://slimages.macys.com/is/image/MCY/20753665 ")</f>
        <v xml:space="preserve">http://slimages.macys.com/is/image/MCY/20753665 </v>
      </c>
    </row>
    <row r="521" spans="1:14" ht="24.75" x14ac:dyDescent="0.25">
      <c r="A521" s="21" t="s">
        <v>12578</v>
      </c>
      <c r="B521" s="22" t="s">
        <v>12579</v>
      </c>
      <c r="C521" s="2">
        <v>1</v>
      </c>
      <c r="D521" s="23">
        <v>5.99</v>
      </c>
      <c r="E521" s="3">
        <v>5.99</v>
      </c>
      <c r="F521" s="2" t="s">
        <v>14752</v>
      </c>
      <c r="G521" s="22" t="s">
        <v>19713</v>
      </c>
      <c r="H521" s="24" t="s">
        <v>19416</v>
      </c>
      <c r="I521" s="22" t="s">
        <v>19309</v>
      </c>
      <c r="J521" s="22" t="s">
        <v>19573</v>
      </c>
      <c r="K521" s="22" t="s">
        <v>19574</v>
      </c>
      <c r="L521" s="22"/>
      <c r="M521" s="22"/>
      <c r="N521" s="25" t="str">
        <f>HYPERLINK("http://slimages.macys.com/is/image/MCY/21730849 ")</f>
        <v xml:space="preserve">http://slimages.macys.com/is/image/MCY/21730849 </v>
      </c>
    </row>
    <row r="522" spans="1:14" ht="24.75" x14ac:dyDescent="0.25">
      <c r="A522" s="21" t="s">
        <v>12580</v>
      </c>
      <c r="B522" s="22" t="s">
        <v>12581</v>
      </c>
      <c r="C522" s="2">
        <v>1</v>
      </c>
      <c r="D522" s="23">
        <v>5.99</v>
      </c>
      <c r="E522" s="3">
        <v>5.99</v>
      </c>
      <c r="F522" s="2" t="s">
        <v>14752</v>
      </c>
      <c r="G522" s="22" t="s">
        <v>19713</v>
      </c>
      <c r="H522" s="24" t="s">
        <v>19538</v>
      </c>
      <c r="I522" s="22" t="s">
        <v>19309</v>
      </c>
      <c r="J522" s="22" t="s">
        <v>19573</v>
      </c>
      <c r="K522" s="22" t="s">
        <v>19574</v>
      </c>
      <c r="L522" s="22"/>
      <c r="M522" s="22"/>
      <c r="N522" s="25" t="str">
        <f>HYPERLINK("http://slimages.macys.com/is/image/MCY/1644588 ")</f>
        <v xml:space="preserve">http://slimages.macys.com/is/image/MCY/1644588 </v>
      </c>
    </row>
    <row r="523" spans="1:14" ht="24.75" x14ac:dyDescent="0.25">
      <c r="A523" s="21" t="s">
        <v>12582</v>
      </c>
      <c r="B523" s="22" t="s">
        <v>12583</v>
      </c>
      <c r="C523" s="2">
        <v>1</v>
      </c>
      <c r="D523" s="23">
        <v>7.99</v>
      </c>
      <c r="E523" s="3">
        <v>7.99</v>
      </c>
      <c r="F523" s="2" t="s">
        <v>12584</v>
      </c>
      <c r="G523" s="22" t="s">
        <v>19467</v>
      </c>
      <c r="H523" s="24" t="s">
        <v>20135</v>
      </c>
      <c r="I523" s="22" t="s">
        <v>19309</v>
      </c>
      <c r="J523" s="22" t="s">
        <v>19573</v>
      </c>
      <c r="K523" s="22" t="s">
        <v>19574</v>
      </c>
      <c r="L523" s="22"/>
      <c r="M523" s="22"/>
      <c r="N523" s="25" t="str">
        <f>HYPERLINK("http://slimages.macys.com/is/image/MCY/21209505 ")</f>
        <v xml:space="preserve">http://slimages.macys.com/is/image/MCY/21209505 </v>
      </c>
    </row>
    <row r="524" spans="1:14" ht="24.75" x14ac:dyDescent="0.25">
      <c r="A524" s="21" t="s">
        <v>12585</v>
      </c>
      <c r="B524" s="22" t="s">
        <v>12586</v>
      </c>
      <c r="C524" s="2">
        <v>1</v>
      </c>
      <c r="D524" s="23">
        <v>5.99</v>
      </c>
      <c r="E524" s="3">
        <v>5.99</v>
      </c>
      <c r="F524" s="2" t="s">
        <v>14264</v>
      </c>
      <c r="G524" s="22" t="s">
        <v>18429</v>
      </c>
      <c r="H524" s="24" t="s">
        <v>19542</v>
      </c>
      <c r="I524" s="22" t="s">
        <v>19309</v>
      </c>
      <c r="J524" s="22" t="s">
        <v>19454</v>
      </c>
      <c r="K524" s="22" t="s">
        <v>19524</v>
      </c>
      <c r="L524" s="22"/>
      <c r="M524" s="22"/>
      <c r="N524" s="25" t="str">
        <f>HYPERLINK("http://slimages.macys.com/is/image/MCY/19239511 ")</f>
        <v xml:space="preserve">http://slimages.macys.com/is/image/MCY/19239511 </v>
      </c>
    </row>
    <row r="525" spans="1:14" ht="24.75" x14ac:dyDescent="0.25">
      <c r="A525" s="21" t="s">
        <v>12587</v>
      </c>
      <c r="B525" s="22" t="s">
        <v>12588</v>
      </c>
      <c r="C525" s="2">
        <v>1</v>
      </c>
      <c r="D525" s="23">
        <v>5.99</v>
      </c>
      <c r="E525" s="3">
        <v>5.99</v>
      </c>
      <c r="F525" s="2" t="s">
        <v>14264</v>
      </c>
      <c r="G525" s="22" t="s">
        <v>18429</v>
      </c>
      <c r="H525" s="24" t="s">
        <v>19432</v>
      </c>
      <c r="I525" s="22" t="s">
        <v>19309</v>
      </c>
      <c r="J525" s="22" t="s">
        <v>19454</v>
      </c>
      <c r="K525" s="22" t="s">
        <v>19524</v>
      </c>
      <c r="L525" s="22"/>
      <c r="M525" s="22"/>
      <c r="N525" s="25" t="str">
        <f>HYPERLINK("http://slimages.macys.com/is/image/MCY/19239511 ")</f>
        <v xml:space="preserve">http://slimages.macys.com/is/image/MCY/19239511 </v>
      </c>
    </row>
    <row r="526" spans="1:14" ht="24.75" x14ac:dyDescent="0.25">
      <c r="A526" s="21" t="s">
        <v>13456</v>
      </c>
      <c r="B526" s="22" t="s">
        <v>13457</v>
      </c>
      <c r="C526" s="2">
        <v>1</v>
      </c>
      <c r="D526" s="23">
        <v>7.99</v>
      </c>
      <c r="E526" s="3">
        <v>7.99</v>
      </c>
      <c r="F526" s="2" t="s">
        <v>17100</v>
      </c>
      <c r="G526" s="22" t="s">
        <v>19351</v>
      </c>
      <c r="H526" s="24" t="s">
        <v>19542</v>
      </c>
      <c r="I526" s="22" t="s">
        <v>19309</v>
      </c>
      <c r="J526" s="22" t="s">
        <v>19815</v>
      </c>
      <c r="K526" s="22" t="s">
        <v>19816</v>
      </c>
      <c r="L526" s="22"/>
      <c r="M526" s="22"/>
      <c r="N526" s="25" t="str">
        <f>HYPERLINK("http://slimages.macys.com/is/image/MCY/21188057 ")</f>
        <v xml:space="preserve">http://slimages.macys.com/is/image/MCY/21188057 </v>
      </c>
    </row>
    <row r="527" spans="1:14" ht="24.75" x14ac:dyDescent="0.25">
      <c r="A527" s="21" t="s">
        <v>12589</v>
      </c>
      <c r="B527" s="22" t="s">
        <v>12590</v>
      </c>
      <c r="C527" s="2">
        <v>1</v>
      </c>
      <c r="D527" s="23">
        <v>5.99</v>
      </c>
      <c r="E527" s="3">
        <v>5.99</v>
      </c>
      <c r="F527" s="2" t="s">
        <v>14264</v>
      </c>
      <c r="G527" s="22" t="s">
        <v>18429</v>
      </c>
      <c r="H527" s="24" t="s">
        <v>19392</v>
      </c>
      <c r="I527" s="22" t="s">
        <v>19309</v>
      </c>
      <c r="J527" s="22" t="s">
        <v>19454</v>
      </c>
      <c r="K527" s="22" t="s">
        <v>19524</v>
      </c>
      <c r="L527" s="22"/>
      <c r="M527" s="22"/>
      <c r="N527" s="25" t="str">
        <f>HYPERLINK("http://slimages.macys.com/is/image/MCY/19239511 ")</f>
        <v xml:space="preserve">http://slimages.macys.com/is/image/MCY/19239511 </v>
      </c>
    </row>
    <row r="528" spans="1:14" ht="24.75" x14ac:dyDescent="0.25">
      <c r="A528" s="21" t="s">
        <v>19075</v>
      </c>
      <c r="B528" s="22" t="s">
        <v>19076</v>
      </c>
      <c r="C528" s="2">
        <v>2</v>
      </c>
      <c r="D528" s="23">
        <v>6.99</v>
      </c>
      <c r="E528" s="3">
        <v>13.98</v>
      </c>
      <c r="F528" s="2" t="s">
        <v>19072</v>
      </c>
      <c r="G528" s="22" t="s">
        <v>19431</v>
      </c>
      <c r="H528" s="24" t="s">
        <v>19339</v>
      </c>
      <c r="I528" s="22" t="s">
        <v>19309</v>
      </c>
      <c r="J528" s="22" t="s">
        <v>19353</v>
      </c>
      <c r="K528" s="22" t="s">
        <v>19354</v>
      </c>
      <c r="L528" s="22"/>
      <c r="M528" s="22"/>
      <c r="N528" s="25" t="str">
        <f>HYPERLINK("http://slimages.macys.com/is/image/MCY/20737633 ")</f>
        <v xml:space="preserve">http://slimages.macys.com/is/image/MCY/20737633 </v>
      </c>
    </row>
    <row r="529" spans="1:14" ht="24.75" x14ac:dyDescent="0.25">
      <c r="A529" s="21" t="s">
        <v>19079</v>
      </c>
      <c r="B529" s="22" t="s">
        <v>19080</v>
      </c>
      <c r="C529" s="2">
        <v>1</v>
      </c>
      <c r="D529" s="23">
        <v>7.99</v>
      </c>
      <c r="E529" s="3">
        <v>7.99</v>
      </c>
      <c r="F529" s="2" t="s">
        <v>19081</v>
      </c>
      <c r="G529" s="22" t="s">
        <v>19351</v>
      </c>
      <c r="H529" s="24" t="s">
        <v>20089</v>
      </c>
      <c r="I529" s="22" t="s">
        <v>19309</v>
      </c>
      <c r="J529" s="22" t="s">
        <v>19573</v>
      </c>
      <c r="K529" s="22" t="s">
        <v>19574</v>
      </c>
      <c r="L529" s="22"/>
      <c r="M529" s="22"/>
      <c r="N529" s="25" t="str">
        <f>HYPERLINK("http://slimages.macys.com/is/image/MCY/20736374 ")</f>
        <v xml:space="preserve">http://slimages.macys.com/is/image/MCY/20736374 </v>
      </c>
    </row>
    <row r="530" spans="1:14" ht="24.75" x14ac:dyDescent="0.25">
      <c r="A530" s="21" t="s">
        <v>12591</v>
      </c>
      <c r="B530" s="22" t="s">
        <v>12592</v>
      </c>
      <c r="C530" s="2">
        <v>1</v>
      </c>
      <c r="D530" s="23">
        <v>7.99</v>
      </c>
      <c r="E530" s="3">
        <v>7.99</v>
      </c>
      <c r="F530" s="2" t="s">
        <v>19081</v>
      </c>
      <c r="G530" s="22" t="s">
        <v>19351</v>
      </c>
      <c r="H530" s="24" t="s">
        <v>19907</v>
      </c>
      <c r="I530" s="22" t="s">
        <v>19309</v>
      </c>
      <c r="J530" s="22" t="s">
        <v>19573</v>
      </c>
      <c r="K530" s="22" t="s">
        <v>19574</v>
      </c>
      <c r="L530" s="22"/>
      <c r="M530" s="22"/>
      <c r="N530" s="25" t="str">
        <f>HYPERLINK("http://slimages.macys.com/is/image/MCY/20736374 ")</f>
        <v xml:space="preserve">http://slimages.macys.com/is/image/MCY/20736374 </v>
      </c>
    </row>
    <row r="531" spans="1:14" ht="24.75" x14ac:dyDescent="0.25">
      <c r="A531" s="21" t="s">
        <v>12593</v>
      </c>
      <c r="B531" s="22" t="s">
        <v>12594</v>
      </c>
      <c r="C531" s="2">
        <v>2</v>
      </c>
      <c r="D531" s="23">
        <v>5.99</v>
      </c>
      <c r="E531" s="3">
        <v>11.98</v>
      </c>
      <c r="F531" s="2" t="s">
        <v>14771</v>
      </c>
      <c r="G531" s="22" t="s">
        <v>19431</v>
      </c>
      <c r="H531" s="24" t="s">
        <v>19416</v>
      </c>
      <c r="I531" s="22" t="s">
        <v>19309</v>
      </c>
      <c r="J531" s="22" t="s">
        <v>19573</v>
      </c>
      <c r="K531" s="22" t="s">
        <v>19574</v>
      </c>
      <c r="L531" s="22"/>
      <c r="M531" s="22"/>
      <c r="N531" s="25" t="str">
        <f>HYPERLINK("http://slimages.macys.com/is/image/MCY/21209283 ")</f>
        <v xml:space="preserve">http://slimages.macys.com/is/image/MCY/21209283 </v>
      </c>
    </row>
    <row r="532" spans="1:14" x14ac:dyDescent="0.25">
      <c r="A532" s="21" t="s">
        <v>14258</v>
      </c>
      <c r="B532" s="22" t="s">
        <v>14259</v>
      </c>
      <c r="C532" s="2">
        <v>1</v>
      </c>
      <c r="D532" s="23">
        <v>5.99</v>
      </c>
      <c r="E532" s="3">
        <v>5.99</v>
      </c>
      <c r="F532" s="2" t="s">
        <v>19096</v>
      </c>
      <c r="G532" s="22" t="s">
        <v>19513</v>
      </c>
      <c r="H532" s="24" t="s">
        <v>19395</v>
      </c>
      <c r="I532" s="22" t="s">
        <v>19309</v>
      </c>
      <c r="J532" s="22" t="s">
        <v>19514</v>
      </c>
      <c r="K532" s="22" t="s">
        <v>18514</v>
      </c>
      <c r="L532" s="22" t="s">
        <v>19319</v>
      </c>
      <c r="M532" s="22" t="s">
        <v>19435</v>
      </c>
      <c r="N532" s="25" t="str">
        <f>HYPERLINK("http://slimages.macys.com/is/image/MCY/9337988 ")</f>
        <v xml:space="preserve">http://slimages.macys.com/is/image/MCY/9337988 </v>
      </c>
    </row>
    <row r="533" spans="1:14" x14ac:dyDescent="0.25">
      <c r="A533" s="21" t="s">
        <v>12595</v>
      </c>
      <c r="B533" s="22" t="s">
        <v>12596</v>
      </c>
      <c r="C533" s="2">
        <v>1</v>
      </c>
      <c r="D533" s="23">
        <v>5.99</v>
      </c>
      <c r="E533" s="3">
        <v>5.99</v>
      </c>
      <c r="F533" s="2" t="s">
        <v>19096</v>
      </c>
      <c r="G533" s="22" t="s">
        <v>19513</v>
      </c>
      <c r="H533" s="24" t="s">
        <v>18530</v>
      </c>
      <c r="I533" s="22" t="s">
        <v>19309</v>
      </c>
      <c r="J533" s="22" t="s">
        <v>19514</v>
      </c>
      <c r="K533" s="22" t="s">
        <v>18514</v>
      </c>
      <c r="L533" s="22" t="s">
        <v>19319</v>
      </c>
      <c r="M533" s="22" t="s">
        <v>20257</v>
      </c>
      <c r="N533" s="25" t="str">
        <f>HYPERLINK("http://slimages.macys.com/is/image/MCY/9337988 ")</f>
        <v xml:space="preserve">http://slimages.macys.com/is/image/MCY/9337988 </v>
      </c>
    </row>
    <row r="534" spans="1:14" x14ac:dyDescent="0.25">
      <c r="A534" s="21" t="s">
        <v>19094</v>
      </c>
      <c r="B534" s="22" t="s">
        <v>19095</v>
      </c>
      <c r="C534" s="2">
        <v>1</v>
      </c>
      <c r="D534" s="23">
        <v>5.99</v>
      </c>
      <c r="E534" s="3">
        <v>5.99</v>
      </c>
      <c r="F534" s="2" t="s">
        <v>19096</v>
      </c>
      <c r="G534" s="22" t="s">
        <v>19513</v>
      </c>
      <c r="H534" s="24" t="s">
        <v>19542</v>
      </c>
      <c r="I534" s="22" t="s">
        <v>19309</v>
      </c>
      <c r="J534" s="22" t="s">
        <v>19514</v>
      </c>
      <c r="K534" s="22" t="s">
        <v>18514</v>
      </c>
      <c r="L534" s="22" t="s">
        <v>19319</v>
      </c>
      <c r="M534" s="22" t="s">
        <v>19435</v>
      </c>
      <c r="N534" s="25" t="str">
        <f>HYPERLINK("http://slimages.macys.com/is/image/MCY/9337988 ")</f>
        <v xml:space="preserve">http://slimages.macys.com/is/image/MCY/9337988 </v>
      </c>
    </row>
    <row r="535" spans="1:14" x14ac:dyDescent="0.25">
      <c r="A535" s="21" t="s">
        <v>12597</v>
      </c>
      <c r="B535" s="22" t="s">
        <v>12598</v>
      </c>
      <c r="C535" s="2">
        <v>1</v>
      </c>
      <c r="D535" s="23">
        <v>5.99</v>
      </c>
      <c r="E535" s="3">
        <v>5.99</v>
      </c>
      <c r="F535" s="2" t="s">
        <v>12599</v>
      </c>
      <c r="G535" s="22" t="s">
        <v>19763</v>
      </c>
      <c r="H535" s="24" t="s">
        <v>18530</v>
      </c>
      <c r="I535" s="22" t="s">
        <v>19309</v>
      </c>
      <c r="J535" s="22" t="s">
        <v>19514</v>
      </c>
      <c r="K535" s="22" t="s">
        <v>18514</v>
      </c>
      <c r="L535" s="22"/>
      <c r="M535" s="22"/>
      <c r="N535" s="25" t="str">
        <f>HYPERLINK("http://slimages.macys.com/is/image/MCY/20726196 ")</f>
        <v xml:space="preserve">http://slimages.macys.com/is/image/MCY/20726196 </v>
      </c>
    </row>
    <row r="536" spans="1:14" x14ac:dyDescent="0.25">
      <c r="A536" s="21" t="s">
        <v>12600</v>
      </c>
      <c r="B536" s="22" t="s">
        <v>12601</v>
      </c>
      <c r="C536" s="2">
        <v>1</v>
      </c>
      <c r="D536" s="23">
        <v>5.99</v>
      </c>
      <c r="E536" s="3">
        <v>5.99</v>
      </c>
      <c r="F536" s="2" t="s">
        <v>12599</v>
      </c>
      <c r="G536" s="22" t="s">
        <v>19763</v>
      </c>
      <c r="H536" s="24" t="s">
        <v>19432</v>
      </c>
      <c r="I536" s="22" t="s">
        <v>19309</v>
      </c>
      <c r="J536" s="22" t="s">
        <v>19514</v>
      </c>
      <c r="K536" s="22" t="s">
        <v>18514</v>
      </c>
      <c r="L536" s="22"/>
      <c r="M536" s="22"/>
      <c r="N536" s="25" t="str">
        <f>HYPERLINK("http://slimages.macys.com/is/image/MCY/20726198 ")</f>
        <v xml:space="preserve">http://slimages.macys.com/is/image/MCY/20726198 </v>
      </c>
    </row>
    <row r="537" spans="1:14" ht="24.75" x14ac:dyDescent="0.25">
      <c r="A537" s="21" t="s">
        <v>12602</v>
      </c>
      <c r="B537" s="22" t="s">
        <v>12603</v>
      </c>
      <c r="C537" s="2">
        <v>1</v>
      </c>
      <c r="D537" s="23">
        <v>6.99</v>
      </c>
      <c r="E537" s="3">
        <v>6.99</v>
      </c>
      <c r="F537" s="2" t="s">
        <v>12604</v>
      </c>
      <c r="G537" s="22" t="s">
        <v>19351</v>
      </c>
      <c r="H537" s="24" t="s">
        <v>19330</v>
      </c>
      <c r="I537" s="22" t="s">
        <v>19309</v>
      </c>
      <c r="J537" s="22" t="s">
        <v>19573</v>
      </c>
      <c r="K537" s="22" t="s">
        <v>19574</v>
      </c>
      <c r="L537" s="22"/>
      <c r="M537" s="22"/>
      <c r="N537" s="25" t="str">
        <f>HYPERLINK("http://slimages.macys.com/is/image/MCY/20385707 ")</f>
        <v xml:space="preserve">http://slimages.macys.com/is/image/MCY/20385707 </v>
      </c>
    </row>
    <row r="538" spans="1:14" ht="24.75" x14ac:dyDescent="0.25">
      <c r="A538" s="21" t="s">
        <v>12605</v>
      </c>
      <c r="B538" s="22" t="s">
        <v>12606</v>
      </c>
      <c r="C538" s="2">
        <v>1</v>
      </c>
      <c r="D538" s="23">
        <v>6.99</v>
      </c>
      <c r="E538" s="3">
        <v>6.99</v>
      </c>
      <c r="F538" s="2" t="s">
        <v>12607</v>
      </c>
      <c r="G538" s="22" t="s">
        <v>19674</v>
      </c>
      <c r="H538" s="24" t="s">
        <v>19416</v>
      </c>
      <c r="I538" s="22" t="s">
        <v>19309</v>
      </c>
      <c r="J538" s="22" t="s">
        <v>19573</v>
      </c>
      <c r="K538" s="22" t="s">
        <v>19574</v>
      </c>
      <c r="L538" s="22"/>
      <c r="M538" s="22"/>
      <c r="N538" s="25" t="str">
        <f>HYPERLINK("http://slimages.macys.com/is/image/MCY/20385757 ")</f>
        <v xml:space="preserve">http://slimages.macys.com/is/image/MCY/20385757 </v>
      </c>
    </row>
    <row r="539" spans="1:14" ht="24.75" x14ac:dyDescent="0.25">
      <c r="A539" s="21" t="s">
        <v>19119</v>
      </c>
      <c r="B539" s="22" t="s">
        <v>19120</v>
      </c>
      <c r="C539" s="2">
        <v>2</v>
      </c>
      <c r="D539" s="23">
        <v>5.99</v>
      </c>
      <c r="E539" s="3">
        <v>11.98</v>
      </c>
      <c r="F539" s="2" t="s">
        <v>19109</v>
      </c>
      <c r="G539" s="22" t="s">
        <v>19670</v>
      </c>
      <c r="H539" s="24" t="s">
        <v>19416</v>
      </c>
      <c r="I539" s="22" t="s">
        <v>19309</v>
      </c>
      <c r="J539" s="22" t="s">
        <v>19573</v>
      </c>
      <c r="K539" s="22" t="s">
        <v>19574</v>
      </c>
      <c r="L539" s="22"/>
      <c r="M539" s="22"/>
      <c r="N539" s="25" t="str">
        <f>HYPERLINK("http://slimages.macys.com/is/image/MCY/1734374 ")</f>
        <v xml:space="preserve">http://slimages.macys.com/is/image/MCY/1734374 </v>
      </c>
    </row>
    <row r="540" spans="1:14" ht="24.75" x14ac:dyDescent="0.25">
      <c r="A540" s="21" t="s">
        <v>19117</v>
      </c>
      <c r="B540" s="22" t="s">
        <v>19118</v>
      </c>
      <c r="C540" s="2">
        <v>1</v>
      </c>
      <c r="D540" s="23">
        <v>5.99</v>
      </c>
      <c r="E540" s="3">
        <v>5.99</v>
      </c>
      <c r="F540" s="2" t="s">
        <v>19109</v>
      </c>
      <c r="G540" s="22" t="s">
        <v>19670</v>
      </c>
      <c r="H540" s="24" t="s">
        <v>19538</v>
      </c>
      <c r="I540" s="22" t="s">
        <v>19309</v>
      </c>
      <c r="J540" s="22" t="s">
        <v>19573</v>
      </c>
      <c r="K540" s="22" t="s">
        <v>19574</v>
      </c>
      <c r="L540" s="22"/>
      <c r="M540" s="22"/>
      <c r="N540" s="25" t="str">
        <f>HYPERLINK("http://slimages.macys.com/is/image/MCY/21209381 ")</f>
        <v xml:space="preserve">http://slimages.macys.com/is/image/MCY/21209381 </v>
      </c>
    </row>
    <row r="541" spans="1:14" ht="24.75" x14ac:dyDescent="0.25">
      <c r="A541" s="21" t="s">
        <v>19107</v>
      </c>
      <c r="B541" s="22" t="s">
        <v>19108</v>
      </c>
      <c r="C541" s="2">
        <v>1</v>
      </c>
      <c r="D541" s="23">
        <v>5.99</v>
      </c>
      <c r="E541" s="3">
        <v>5.99</v>
      </c>
      <c r="F541" s="2" t="s">
        <v>19109</v>
      </c>
      <c r="G541" s="22" t="s">
        <v>19670</v>
      </c>
      <c r="H541" s="24" t="s">
        <v>19384</v>
      </c>
      <c r="I541" s="22" t="s">
        <v>19309</v>
      </c>
      <c r="J541" s="22" t="s">
        <v>19573</v>
      </c>
      <c r="K541" s="22" t="s">
        <v>19574</v>
      </c>
      <c r="L541" s="22"/>
      <c r="M541" s="22"/>
      <c r="N541" s="25" t="str">
        <f>HYPERLINK("http://slimages.macys.com/is/image/MCY/1734374 ")</f>
        <v xml:space="preserve">http://slimages.macys.com/is/image/MCY/1734374 </v>
      </c>
    </row>
    <row r="542" spans="1:14" ht="24.75" x14ac:dyDescent="0.25">
      <c r="A542" s="21" t="s">
        <v>12608</v>
      </c>
      <c r="B542" s="22" t="s">
        <v>12609</v>
      </c>
      <c r="C542" s="2">
        <v>1</v>
      </c>
      <c r="D542" s="23">
        <v>6.99</v>
      </c>
      <c r="E542" s="3">
        <v>6.99</v>
      </c>
      <c r="F542" s="2" t="s">
        <v>12610</v>
      </c>
      <c r="G542" s="22" t="s">
        <v>19618</v>
      </c>
      <c r="H542" s="24" t="s">
        <v>19324</v>
      </c>
      <c r="I542" s="22" t="s">
        <v>19309</v>
      </c>
      <c r="J542" s="22" t="s">
        <v>19573</v>
      </c>
      <c r="K542" s="22" t="s">
        <v>19574</v>
      </c>
      <c r="L542" s="22"/>
      <c r="M542" s="22"/>
      <c r="N542" s="25" t="str">
        <f>HYPERLINK("http://slimages.macys.com/is/image/MCY/980804 ")</f>
        <v xml:space="preserve">http://slimages.macys.com/is/image/MCY/980804 </v>
      </c>
    </row>
    <row r="543" spans="1:14" ht="24.75" x14ac:dyDescent="0.25">
      <c r="A543" s="21" t="s">
        <v>17136</v>
      </c>
      <c r="B543" s="22" t="s">
        <v>17137</v>
      </c>
      <c r="C543" s="2">
        <v>1</v>
      </c>
      <c r="D543" s="23">
        <v>6.99</v>
      </c>
      <c r="E543" s="3">
        <v>6.99</v>
      </c>
      <c r="F543" s="2" t="s">
        <v>17129</v>
      </c>
      <c r="G543" s="22" t="s">
        <v>19315</v>
      </c>
      <c r="H543" s="24" t="s">
        <v>19416</v>
      </c>
      <c r="I543" s="22" t="s">
        <v>19309</v>
      </c>
      <c r="J543" s="22" t="s">
        <v>19573</v>
      </c>
      <c r="K543" s="22" t="s">
        <v>19574</v>
      </c>
      <c r="L543" s="22"/>
      <c r="M543" s="22"/>
      <c r="N543" s="25" t="str">
        <f>HYPERLINK("http://slimages.macys.com/is/image/MCY/14715178 ")</f>
        <v xml:space="preserve">http://slimages.macys.com/is/image/MCY/14715178 </v>
      </c>
    </row>
    <row r="544" spans="1:14" ht="24.75" x14ac:dyDescent="0.25">
      <c r="A544" s="21" t="s">
        <v>17138</v>
      </c>
      <c r="B544" s="22" t="s">
        <v>17139</v>
      </c>
      <c r="C544" s="2">
        <v>1</v>
      </c>
      <c r="D544" s="23">
        <v>5.99</v>
      </c>
      <c r="E544" s="3">
        <v>5.99</v>
      </c>
      <c r="F544" s="2" t="s">
        <v>17140</v>
      </c>
      <c r="G544" s="22" t="s">
        <v>19467</v>
      </c>
      <c r="H544" s="24" t="s">
        <v>19330</v>
      </c>
      <c r="I544" s="22" t="s">
        <v>19309</v>
      </c>
      <c r="J544" s="22" t="s">
        <v>19573</v>
      </c>
      <c r="K544" s="22" t="s">
        <v>19574</v>
      </c>
      <c r="L544" s="22"/>
      <c r="M544" s="22"/>
      <c r="N544" s="25" t="str">
        <f>HYPERLINK("http://slimages.macys.com/is/image/MCY/21209516 ")</f>
        <v xml:space="preserve">http://slimages.macys.com/is/image/MCY/21209516 </v>
      </c>
    </row>
    <row r="545" spans="1:14" ht="24.75" x14ac:dyDescent="0.25">
      <c r="A545" s="21" t="s">
        <v>12611</v>
      </c>
      <c r="B545" s="22" t="s">
        <v>12612</v>
      </c>
      <c r="C545" s="2">
        <v>1</v>
      </c>
      <c r="D545" s="23">
        <v>5.99</v>
      </c>
      <c r="E545" s="3">
        <v>5.99</v>
      </c>
      <c r="F545" s="2" t="s">
        <v>12613</v>
      </c>
      <c r="G545" s="22" t="s">
        <v>19674</v>
      </c>
      <c r="H545" s="24" t="s">
        <v>19538</v>
      </c>
      <c r="I545" s="22" t="s">
        <v>19309</v>
      </c>
      <c r="J545" s="22" t="s">
        <v>19573</v>
      </c>
      <c r="K545" s="22" t="s">
        <v>19574</v>
      </c>
      <c r="L545" s="22"/>
      <c r="M545" s="22"/>
      <c r="N545" s="25" t="str">
        <f>HYPERLINK("http://slimages.macys.com/is/image/MCY/1124650 ")</f>
        <v xml:space="preserve">http://slimages.macys.com/is/image/MCY/1124650 </v>
      </c>
    </row>
    <row r="546" spans="1:14" ht="24.75" x14ac:dyDescent="0.25">
      <c r="A546" s="21" t="s">
        <v>13468</v>
      </c>
      <c r="B546" s="22" t="s">
        <v>13469</v>
      </c>
      <c r="C546" s="2">
        <v>1</v>
      </c>
      <c r="D546" s="23">
        <v>5.99</v>
      </c>
      <c r="E546" s="3">
        <v>5.99</v>
      </c>
      <c r="F546" s="2" t="s">
        <v>17140</v>
      </c>
      <c r="G546" s="22" t="s">
        <v>19467</v>
      </c>
      <c r="H546" s="24" t="s">
        <v>19416</v>
      </c>
      <c r="I546" s="22" t="s">
        <v>19309</v>
      </c>
      <c r="J546" s="22" t="s">
        <v>19573</v>
      </c>
      <c r="K546" s="22" t="s">
        <v>19574</v>
      </c>
      <c r="L546" s="22"/>
      <c r="M546" s="22"/>
      <c r="N546" s="25" t="str">
        <f>HYPERLINK("http://slimages.macys.com/is/image/MCY/21209516 ")</f>
        <v xml:space="preserve">http://slimages.macys.com/is/image/MCY/21209516 </v>
      </c>
    </row>
    <row r="547" spans="1:14" ht="24.75" x14ac:dyDescent="0.25">
      <c r="A547" s="21" t="s">
        <v>12614</v>
      </c>
      <c r="B547" s="22" t="s">
        <v>12615</v>
      </c>
      <c r="C547" s="2">
        <v>1</v>
      </c>
      <c r="D547" s="23">
        <v>7.99</v>
      </c>
      <c r="E547" s="3">
        <v>7.99</v>
      </c>
      <c r="F547" s="2" t="s">
        <v>12616</v>
      </c>
      <c r="G547" s="22" t="s">
        <v>19467</v>
      </c>
      <c r="H547" s="24" t="s">
        <v>20089</v>
      </c>
      <c r="I547" s="22" t="s">
        <v>19309</v>
      </c>
      <c r="J547" s="22" t="s">
        <v>19573</v>
      </c>
      <c r="K547" s="22" t="s">
        <v>19574</v>
      </c>
      <c r="L547" s="22"/>
      <c r="M547" s="22"/>
      <c r="N547" s="25" t="str">
        <f>HYPERLINK("http://slimages.macys.com/is/image/MCY/20757609 ")</f>
        <v xml:space="preserve">http://slimages.macys.com/is/image/MCY/20757609 </v>
      </c>
    </row>
    <row r="548" spans="1:14" ht="24.75" x14ac:dyDescent="0.25">
      <c r="A548" s="21" t="s">
        <v>14805</v>
      </c>
      <c r="B548" s="22" t="s">
        <v>14806</v>
      </c>
      <c r="C548" s="2">
        <v>1</v>
      </c>
      <c r="D548" s="23">
        <v>5.99</v>
      </c>
      <c r="E548" s="3">
        <v>5.99</v>
      </c>
      <c r="F548" s="2" t="s">
        <v>17147</v>
      </c>
      <c r="G548" s="22" t="s">
        <v>19431</v>
      </c>
      <c r="H548" s="24" t="s">
        <v>19416</v>
      </c>
      <c r="I548" s="22" t="s">
        <v>19309</v>
      </c>
      <c r="J548" s="22" t="s">
        <v>19573</v>
      </c>
      <c r="K548" s="22" t="s">
        <v>19574</v>
      </c>
      <c r="L548" s="22"/>
      <c r="M548" s="22"/>
      <c r="N548" s="25" t="str">
        <f>HYPERLINK("http://slimages.macys.com/is/image/MCY/21209149 ")</f>
        <v xml:space="preserve">http://slimages.macys.com/is/image/MCY/21209149 </v>
      </c>
    </row>
    <row r="549" spans="1:14" ht="24.75" x14ac:dyDescent="0.25">
      <c r="A549" s="21" t="s">
        <v>12617</v>
      </c>
      <c r="B549" s="22" t="s">
        <v>12618</v>
      </c>
      <c r="C549" s="2">
        <v>1</v>
      </c>
      <c r="D549" s="23">
        <v>5.99</v>
      </c>
      <c r="E549" s="3">
        <v>5.99</v>
      </c>
      <c r="F549" s="2" t="s">
        <v>12619</v>
      </c>
      <c r="G549" s="22" t="s">
        <v>19585</v>
      </c>
      <c r="H549" s="24" t="s">
        <v>19330</v>
      </c>
      <c r="I549" s="22" t="s">
        <v>19309</v>
      </c>
      <c r="J549" s="22" t="s">
        <v>19573</v>
      </c>
      <c r="K549" s="22" t="s">
        <v>19574</v>
      </c>
      <c r="L549" s="22"/>
      <c r="M549" s="22"/>
      <c r="N549" s="25" t="str">
        <f>HYPERLINK("http://slimages.macys.com/is/image/MCY/20757605 ")</f>
        <v xml:space="preserve">http://slimages.macys.com/is/image/MCY/20757605 </v>
      </c>
    </row>
    <row r="550" spans="1:14" ht="24.75" x14ac:dyDescent="0.25">
      <c r="A550" s="21" t="s">
        <v>12620</v>
      </c>
      <c r="B550" s="22" t="s">
        <v>12621</v>
      </c>
      <c r="C550" s="2">
        <v>1</v>
      </c>
      <c r="D550" s="23">
        <v>6.99</v>
      </c>
      <c r="E550" s="3">
        <v>6.99</v>
      </c>
      <c r="F550" s="2">
        <v>10014308000</v>
      </c>
      <c r="G550" s="22" t="s">
        <v>19351</v>
      </c>
      <c r="H550" s="24" t="s">
        <v>19324</v>
      </c>
      <c r="I550" s="22" t="s">
        <v>19309</v>
      </c>
      <c r="J550" s="22" t="s">
        <v>19573</v>
      </c>
      <c r="K550" s="22" t="s">
        <v>19574</v>
      </c>
      <c r="L550" s="22"/>
      <c r="M550" s="22"/>
      <c r="N550" s="25" t="str">
        <f>HYPERLINK("http://slimages.macys.com/is/image/MCY/20757638 ")</f>
        <v xml:space="preserve">http://slimages.macys.com/is/image/MCY/20757638 </v>
      </c>
    </row>
    <row r="551" spans="1:14" ht="24.75" x14ac:dyDescent="0.25">
      <c r="A551" s="21" t="s">
        <v>14841</v>
      </c>
      <c r="B551" s="22" t="s">
        <v>14842</v>
      </c>
      <c r="C551" s="2">
        <v>1</v>
      </c>
      <c r="D551" s="23">
        <v>5.99</v>
      </c>
      <c r="E551" s="3">
        <v>5.99</v>
      </c>
      <c r="F551" s="2" t="s">
        <v>19140</v>
      </c>
      <c r="G551" s="22" t="s">
        <v>19674</v>
      </c>
      <c r="H551" s="24" t="s">
        <v>19384</v>
      </c>
      <c r="I551" s="22" t="s">
        <v>19309</v>
      </c>
      <c r="J551" s="22" t="s">
        <v>19573</v>
      </c>
      <c r="K551" s="22" t="s">
        <v>19574</v>
      </c>
      <c r="L551" s="22"/>
      <c r="M551" s="22"/>
      <c r="N551" s="25" t="str">
        <f>HYPERLINK("http://slimages.macys.com/is/image/MCY/21970109 ")</f>
        <v xml:space="preserve">http://slimages.macys.com/is/image/MCY/21970109 </v>
      </c>
    </row>
    <row r="552" spans="1:14" ht="24.75" x14ac:dyDescent="0.25">
      <c r="A552" s="21" t="s">
        <v>12622</v>
      </c>
      <c r="B552" s="22" t="s">
        <v>12623</v>
      </c>
      <c r="C552" s="2">
        <v>1</v>
      </c>
      <c r="D552" s="23">
        <v>6.99</v>
      </c>
      <c r="E552" s="3">
        <v>6.99</v>
      </c>
      <c r="F552" s="2" t="s">
        <v>19137</v>
      </c>
      <c r="G552" s="22" t="s">
        <v>19518</v>
      </c>
      <c r="H552" s="24" t="s">
        <v>19324</v>
      </c>
      <c r="I552" s="22" t="s">
        <v>19309</v>
      </c>
      <c r="J552" s="22" t="s">
        <v>19573</v>
      </c>
      <c r="K552" s="22" t="s">
        <v>19574</v>
      </c>
      <c r="L552" s="22"/>
      <c r="M552" s="22"/>
      <c r="N552" s="25" t="str">
        <f>HYPERLINK("http://slimages.macys.com/is/image/MCY/19737450 ")</f>
        <v xml:space="preserve">http://slimages.macys.com/is/image/MCY/19737450 </v>
      </c>
    </row>
    <row r="553" spans="1:14" ht="24.75" x14ac:dyDescent="0.25">
      <c r="A553" s="21" t="s">
        <v>19143</v>
      </c>
      <c r="B553" s="22" t="s">
        <v>19144</v>
      </c>
      <c r="C553" s="2">
        <v>1</v>
      </c>
      <c r="D553" s="23">
        <v>5.99</v>
      </c>
      <c r="E553" s="3">
        <v>5.99</v>
      </c>
      <c r="F553" s="2" t="s">
        <v>19145</v>
      </c>
      <c r="G553" s="22" t="s">
        <v>19618</v>
      </c>
      <c r="H553" s="24" t="s">
        <v>19538</v>
      </c>
      <c r="I553" s="22" t="s">
        <v>19309</v>
      </c>
      <c r="J553" s="22" t="s">
        <v>19573</v>
      </c>
      <c r="K553" s="22" t="s">
        <v>19574</v>
      </c>
      <c r="L553" s="22"/>
      <c r="M553" s="22"/>
      <c r="N553" s="25" t="str">
        <f>HYPERLINK("http://slimages.macys.com/is/image/MCY/21970089 ")</f>
        <v xml:space="preserve">http://slimages.macys.com/is/image/MCY/21970089 </v>
      </c>
    </row>
    <row r="554" spans="1:14" ht="24.75" x14ac:dyDescent="0.25">
      <c r="A554" s="21" t="s">
        <v>12624</v>
      </c>
      <c r="B554" s="22" t="s">
        <v>12625</v>
      </c>
      <c r="C554" s="2">
        <v>1</v>
      </c>
      <c r="D554" s="23">
        <v>7.99</v>
      </c>
      <c r="E554" s="3">
        <v>7.99</v>
      </c>
      <c r="F554" s="2" t="s">
        <v>17171</v>
      </c>
      <c r="G554" s="22" t="s">
        <v>19670</v>
      </c>
      <c r="H554" s="24" t="s">
        <v>19907</v>
      </c>
      <c r="I554" s="22" t="s">
        <v>19309</v>
      </c>
      <c r="J554" s="22" t="s">
        <v>19573</v>
      </c>
      <c r="K554" s="22" t="s">
        <v>19574</v>
      </c>
      <c r="L554" s="22"/>
      <c r="M554" s="22"/>
      <c r="N554" s="25" t="str">
        <f>HYPERLINK("http://slimages.macys.com/is/image/MCY/21209595 ")</f>
        <v xml:space="preserve">http://slimages.macys.com/is/image/MCY/21209595 </v>
      </c>
    </row>
    <row r="555" spans="1:14" ht="24.75" x14ac:dyDescent="0.25">
      <c r="A555" s="21" t="s">
        <v>12626</v>
      </c>
      <c r="B555" s="22" t="s">
        <v>12627</v>
      </c>
      <c r="C555" s="2">
        <v>1</v>
      </c>
      <c r="D555" s="23">
        <v>5.99</v>
      </c>
      <c r="E555" s="3">
        <v>5.99</v>
      </c>
      <c r="F555" s="2" t="s">
        <v>12628</v>
      </c>
      <c r="G555" s="22" t="s">
        <v>19415</v>
      </c>
      <c r="H555" s="24" t="s">
        <v>19384</v>
      </c>
      <c r="I555" s="22" t="s">
        <v>19309</v>
      </c>
      <c r="J555" s="22" t="s">
        <v>19573</v>
      </c>
      <c r="K555" s="22" t="s">
        <v>19574</v>
      </c>
      <c r="L555" s="22"/>
      <c r="M555" s="22"/>
      <c r="N555" s="25" t="str">
        <f>HYPERLINK("http://slimages.macys.com/is/image/MCY/20760060 ")</f>
        <v xml:space="preserve">http://slimages.macys.com/is/image/MCY/20760060 </v>
      </c>
    </row>
    <row r="556" spans="1:14" ht="24.75" x14ac:dyDescent="0.25">
      <c r="A556" s="21" t="s">
        <v>12629</v>
      </c>
      <c r="B556" s="22" t="s">
        <v>12630</v>
      </c>
      <c r="C556" s="2">
        <v>1</v>
      </c>
      <c r="D556" s="23">
        <v>7.99</v>
      </c>
      <c r="E556" s="3">
        <v>7.99</v>
      </c>
      <c r="F556" s="2" t="s">
        <v>13483</v>
      </c>
      <c r="G556" s="22" t="s">
        <v>19415</v>
      </c>
      <c r="H556" s="24" t="s">
        <v>20135</v>
      </c>
      <c r="I556" s="22" t="s">
        <v>19309</v>
      </c>
      <c r="J556" s="22" t="s">
        <v>19573</v>
      </c>
      <c r="K556" s="22" t="s">
        <v>19574</v>
      </c>
      <c r="L556" s="22"/>
      <c r="M556" s="22"/>
      <c r="N556" s="25" t="str">
        <f>HYPERLINK("http://slimages.macys.com/is/image/MCY/22078179 ")</f>
        <v xml:space="preserve">http://slimages.macys.com/is/image/MCY/22078179 </v>
      </c>
    </row>
    <row r="557" spans="1:14" ht="24.75" x14ac:dyDescent="0.25">
      <c r="A557" s="21" t="s">
        <v>12631</v>
      </c>
      <c r="B557" s="22" t="s">
        <v>12632</v>
      </c>
      <c r="C557" s="2">
        <v>1</v>
      </c>
      <c r="D557" s="23">
        <v>5.99</v>
      </c>
      <c r="E557" s="3">
        <v>5.99</v>
      </c>
      <c r="F557" s="2" t="s">
        <v>13486</v>
      </c>
      <c r="G557" s="22" t="s">
        <v>19618</v>
      </c>
      <c r="H557" s="24" t="s">
        <v>19384</v>
      </c>
      <c r="I557" s="22" t="s">
        <v>19309</v>
      </c>
      <c r="J557" s="22" t="s">
        <v>19573</v>
      </c>
      <c r="K557" s="22" t="s">
        <v>19574</v>
      </c>
      <c r="L557" s="22"/>
      <c r="M557" s="22"/>
      <c r="N557" s="25" t="str">
        <f>HYPERLINK("http://slimages.macys.com/is/image/MCY/21088451 ")</f>
        <v xml:space="preserve">http://slimages.macys.com/is/image/MCY/21088451 </v>
      </c>
    </row>
    <row r="558" spans="1:14" ht="24.75" x14ac:dyDescent="0.25">
      <c r="A558" s="21" t="s">
        <v>12633</v>
      </c>
      <c r="B558" s="22" t="s">
        <v>12634</v>
      </c>
      <c r="C558" s="2">
        <v>1</v>
      </c>
      <c r="D558" s="23">
        <v>7.99</v>
      </c>
      <c r="E558" s="3">
        <v>7.99</v>
      </c>
      <c r="F558" s="2" t="s">
        <v>13483</v>
      </c>
      <c r="G558" s="22" t="s">
        <v>19415</v>
      </c>
      <c r="H558" s="24" t="s">
        <v>19907</v>
      </c>
      <c r="I558" s="22" t="s">
        <v>19309</v>
      </c>
      <c r="J558" s="22" t="s">
        <v>19573</v>
      </c>
      <c r="K558" s="22" t="s">
        <v>19574</v>
      </c>
      <c r="L558" s="22"/>
      <c r="M558" s="22"/>
      <c r="N558" s="25" t="str">
        <f>HYPERLINK("http://slimages.macys.com/is/image/MCY/22078179 ")</f>
        <v xml:space="preserve">http://slimages.macys.com/is/image/MCY/22078179 </v>
      </c>
    </row>
    <row r="559" spans="1:14" ht="24.75" x14ac:dyDescent="0.25">
      <c r="A559" s="21" t="s">
        <v>12635</v>
      </c>
      <c r="B559" s="22" t="s">
        <v>12636</v>
      </c>
      <c r="C559" s="2">
        <v>1</v>
      </c>
      <c r="D559" s="23">
        <v>6.99</v>
      </c>
      <c r="E559" s="3">
        <v>6.99</v>
      </c>
      <c r="F559" s="2">
        <v>10014307400</v>
      </c>
      <c r="G559" s="22" t="s">
        <v>19713</v>
      </c>
      <c r="H559" s="24"/>
      <c r="I559" s="22" t="s">
        <v>19309</v>
      </c>
      <c r="J559" s="22" t="s">
        <v>19573</v>
      </c>
      <c r="K559" s="22" t="s">
        <v>19574</v>
      </c>
      <c r="L559" s="22"/>
      <c r="M559" s="22"/>
      <c r="N559" s="25" t="str">
        <f>HYPERLINK("http://slimages.macys.com/is/image/MCY/20758051 ")</f>
        <v xml:space="preserve">http://slimages.macys.com/is/image/MCY/20758051 </v>
      </c>
    </row>
    <row r="560" spans="1:14" ht="24.75" x14ac:dyDescent="0.25">
      <c r="A560" s="21" t="s">
        <v>12637</v>
      </c>
      <c r="B560" s="22" t="s">
        <v>12638</v>
      </c>
      <c r="C560" s="2">
        <v>1</v>
      </c>
      <c r="D560" s="23">
        <v>6.99</v>
      </c>
      <c r="E560" s="3">
        <v>6.99</v>
      </c>
      <c r="F560" s="2" t="s">
        <v>12639</v>
      </c>
      <c r="G560" s="22" t="s">
        <v>19518</v>
      </c>
      <c r="H560" s="24" t="s">
        <v>19384</v>
      </c>
      <c r="I560" s="22" t="s">
        <v>19309</v>
      </c>
      <c r="J560" s="22" t="s">
        <v>19573</v>
      </c>
      <c r="K560" s="22" t="s">
        <v>19574</v>
      </c>
      <c r="L560" s="22"/>
      <c r="M560" s="22"/>
      <c r="N560" s="25" t="str">
        <f>HYPERLINK("http://slimages.macys.com/is/image/MCY/19507857 ")</f>
        <v xml:space="preserve">http://slimages.macys.com/is/image/MCY/19507857 </v>
      </c>
    </row>
    <row r="561" spans="1:14" ht="24.75" x14ac:dyDescent="0.25">
      <c r="A561" s="21" t="s">
        <v>12640</v>
      </c>
      <c r="B561" s="22" t="s">
        <v>12641</v>
      </c>
      <c r="C561" s="2">
        <v>1</v>
      </c>
      <c r="D561" s="23">
        <v>6.99</v>
      </c>
      <c r="E561" s="3">
        <v>6.99</v>
      </c>
      <c r="F561" s="2" t="s">
        <v>12642</v>
      </c>
      <c r="G561" s="22" t="s">
        <v>19477</v>
      </c>
      <c r="H561" s="24" t="s">
        <v>19324</v>
      </c>
      <c r="I561" s="22" t="s">
        <v>19309</v>
      </c>
      <c r="J561" s="22" t="s">
        <v>19573</v>
      </c>
      <c r="K561" s="22" t="s">
        <v>19574</v>
      </c>
      <c r="L561" s="22"/>
      <c r="M561" s="22"/>
      <c r="N561" s="25" t="str">
        <f>HYPERLINK("http://slimages.macys.com/is/image/MCY/19383427 ")</f>
        <v xml:space="preserve">http://slimages.macys.com/is/image/MCY/19383427 </v>
      </c>
    </row>
    <row r="562" spans="1:14" ht="24.75" x14ac:dyDescent="0.25">
      <c r="A562" s="21" t="s">
        <v>12643</v>
      </c>
      <c r="B562" s="22" t="s">
        <v>12644</v>
      </c>
      <c r="C562" s="2">
        <v>1</v>
      </c>
      <c r="D562" s="23">
        <v>5.99</v>
      </c>
      <c r="E562" s="3">
        <v>5.99</v>
      </c>
      <c r="F562" s="2" t="s">
        <v>19170</v>
      </c>
      <c r="G562" s="22" t="s">
        <v>19906</v>
      </c>
      <c r="H562" s="24" t="s">
        <v>19538</v>
      </c>
      <c r="I562" s="22" t="s">
        <v>19309</v>
      </c>
      <c r="J562" s="22" t="s">
        <v>19573</v>
      </c>
      <c r="K562" s="22" t="s">
        <v>19574</v>
      </c>
      <c r="L562" s="22"/>
      <c r="M562" s="22"/>
      <c r="N562" s="25" t="str">
        <f>HYPERLINK("http://slimages.macys.com/is/image/MCY/21361119 ")</f>
        <v xml:space="preserve">http://slimages.macys.com/is/image/MCY/21361119 </v>
      </c>
    </row>
    <row r="563" spans="1:14" ht="24.75" x14ac:dyDescent="0.25">
      <c r="A563" s="21" t="s">
        <v>19185</v>
      </c>
      <c r="B563" s="22" t="s">
        <v>19186</v>
      </c>
      <c r="C563" s="2">
        <v>1</v>
      </c>
      <c r="D563" s="23">
        <v>5.99</v>
      </c>
      <c r="E563" s="3">
        <v>5.99</v>
      </c>
      <c r="F563" s="2" t="s">
        <v>19180</v>
      </c>
      <c r="G563" s="22" t="s">
        <v>19477</v>
      </c>
      <c r="H563" s="24" t="s">
        <v>19538</v>
      </c>
      <c r="I563" s="22" t="s">
        <v>19309</v>
      </c>
      <c r="J563" s="22" t="s">
        <v>19573</v>
      </c>
      <c r="K563" s="22" t="s">
        <v>19574</v>
      </c>
      <c r="L563" s="22"/>
      <c r="M563" s="22"/>
      <c r="N563" s="25" t="str">
        <f>HYPERLINK("http://slimages.macys.com/is/image/MCY/1521974 ")</f>
        <v xml:space="preserve">http://slimages.macys.com/is/image/MCY/1521974 </v>
      </c>
    </row>
    <row r="564" spans="1:14" ht="24.75" x14ac:dyDescent="0.25">
      <c r="A564" s="21" t="s">
        <v>19178</v>
      </c>
      <c r="B564" s="22" t="s">
        <v>19179</v>
      </c>
      <c r="C564" s="2">
        <v>1</v>
      </c>
      <c r="D564" s="23">
        <v>5.99</v>
      </c>
      <c r="E564" s="3">
        <v>5.99</v>
      </c>
      <c r="F564" s="2" t="s">
        <v>19180</v>
      </c>
      <c r="G564" s="22" t="s">
        <v>19477</v>
      </c>
      <c r="H564" s="24" t="s">
        <v>19384</v>
      </c>
      <c r="I564" s="22" t="s">
        <v>19309</v>
      </c>
      <c r="J564" s="22" t="s">
        <v>19573</v>
      </c>
      <c r="K564" s="22" t="s">
        <v>19574</v>
      </c>
      <c r="L564" s="22"/>
      <c r="M564" s="22"/>
      <c r="N564" s="25" t="str">
        <f>HYPERLINK("http://slimages.macys.com/is/image/MCY/1521974 ")</f>
        <v xml:space="preserve">http://slimages.macys.com/is/image/MCY/1521974 </v>
      </c>
    </row>
    <row r="565" spans="1:14" ht="24.75" x14ac:dyDescent="0.25">
      <c r="A565" s="21" t="s">
        <v>12645</v>
      </c>
      <c r="B565" s="22" t="s">
        <v>12646</v>
      </c>
      <c r="C565" s="2">
        <v>1</v>
      </c>
      <c r="D565" s="23">
        <v>7.99</v>
      </c>
      <c r="E565" s="3">
        <v>7.99</v>
      </c>
      <c r="F565" s="2" t="s">
        <v>12647</v>
      </c>
      <c r="G565" s="22" t="s">
        <v>19415</v>
      </c>
      <c r="H565" s="24" t="s">
        <v>19907</v>
      </c>
      <c r="I565" s="22" t="s">
        <v>19309</v>
      </c>
      <c r="J565" s="22" t="s">
        <v>19573</v>
      </c>
      <c r="K565" s="22" t="s">
        <v>19574</v>
      </c>
      <c r="L565" s="22"/>
      <c r="M565" s="22"/>
      <c r="N565" s="25" t="str">
        <f>HYPERLINK("http://slimages.macys.com/is/image/MCY/21209295 ")</f>
        <v xml:space="preserve">http://slimages.macys.com/is/image/MCY/21209295 </v>
      </c>
    </row>
    <row r="566" spans="1:14" ht="24.75" x14ac:dyDescent="0.25">
      <c r="A566" s="21" t="s">
        <v>12648</v>
      </c>
      <c r="B566" s="22" t="s">
        <v>12649</v>
      </c>
      <c r="C566" s="2">
        <v>1</v>
      </c>
      <c r="D566" s="23">
        <v>6.99</v>
      </c>
      <c r="E566" s="3">
        <v>6.99</v>
      </c>
      <c r="F566" s="2" t="s">
        <v>12650</v>
      </c>
      <c r="G566" s="22" t="s">
        <v>19351</v>
      </c>
      <c r="H566" s="24" t="s">
        <v>19330</v>
      </c>
      <c r="I566" s="22" t="s">
        <v>19309</v>
      </c>
      <c r="J566" s="22" t="s">
        <v>19573</v>
      </c>
      <c r="K566" s="22" t="s">
        <v>19574</v>
      </c>
      <c r="L566" s="22"/>
      <c r="M566" s="22"/>
      <c r="N566" s="25" t="str">
        <f>HYPERLINK("http://slimages.macys.com/is/image/MCY/19977735 ")</f>
        <v xml:space="preserve">http://slimages.macys.com/is/image/MCY/19977735 </v>
      </c>
    </row>
    <row r="567" spans="1:14" ht="24.75" x14ac:dyDescent="0.25">
      <c r="A567" s="21" t="s">
        <v>12651</v>
      </c>
      <c r="B567" s="22" t="s">
        <v>12652</v>
      </c>
      <c r="C567" s="2">
        <v>1</v>
      </c>
      <c r="D567" s="23">
        <v>5.99</v>
      </c>
      <c r="E567" s="3">
        <v>5.99</v>
      </c>
      <c r="F567" s="2" t="s">
        <v>17203</v>
      </c>
      <c r="G567" s="22" t="s">
        <v>19674</v>
      </c>
      <c r="H567" s="24" t="s">
        <v>19324</v>
      </c>
      <c r="I567" s="22" t="s">
        <v>19309</v>
      </c>
      <c r="J567" s="22" t="s">
        <v>19573</v>
      </c>
      <c r="K567" s="22" t="s">
        <v>19574</v>
      </c>
      <c r="L567" s="22"/>
      <c r="M567" s="22"/>
      <c r="N567" s="25" t="str">
        <f>HYPERLINK("http://slimages.macys.com/is/image/MCY/20757989 ")</f>
        <v xml:space="preserve">http://slimages.macys.com/is/image/MCY/20757989 </v>
      </c>
    </row>
    <row r="568" spans="1:14" ht="24.75" x14ac:dyDescent="0.25">
      <c r="A568" s="21" t="s">
        <v>14886</v>
      </c>
      <c r="B568" s="22" t="s">
        <v>14887</v>
      </c>
      <c r="C568" s="2">
        <v>1</v>
      </c>
      <c r="D568" s="23">
        <v>5.99</v>
      </c>
      <c r="E568" s="3">
        <v>5.99</v>
      </c>
      <c r="F568" s="2" t="s">
        <v>19204</v>
      </c>
      <c r="G568" s="22" t="s">
        <v>19431</v>
      </c>
      <c r="H568" s="24" t="s">
        <v>19416</v>
      </c>
      <c r="I568" s="22" t="s">
        <v>19309</v>
      </c>
      <c r="J568" s="22" t="s">
        <v>19573</v>
      </c>
      <c r="K568" s="22" t="s">
        <v>19574</v>
      </c>
      <c r="L568" s="22"/>
      <c r="M568" s="22"/>
      <c r="N568" s="25" t="str">
        <f>HYPERLINK("http://slimages.macys.com/is/image/MCY/1537013 ")</f>
        <v xml:space="preserve">http://slimages.macys.com/is/image/MCY/1537013 </v>
      </c>
    </row>
    <row r="569" spans="1:14" ht="24.75" x14ac:dyDescent="0.25">
      <c r="A569" s="21" t="s">
        <v>19202</v>
      </c>
      <c r="B569" s="22" t="s">
        <v>19203</v>
      </c>
      <c r="C569" s="2">
        <v>1</v>
      </c>
      <c r="D569" s="23">
        <v>5.99</v>
      </c>
      <c r="E569" s="3">
        <v>5.99</v>
      </c>
      <c r="F569" s="2" t="s">
        <v>19204</v>
      </c>
      <c r="G569" s="22" t="s">
        <v>19431</v>
      </c>
      <c r="H569" s="24" t="s">
        <v>19384</v>
      </c>
      <c r="I569" s="22" t="s">
        <v>19309</v>
      </c>
      <c r="J569" s="22" t="s">
        <v>19573</v>
      </c>
      <c r="K569" s="22" t="s">
        <v>19574</v>
      </c>
      <c r="L569" s="22"/>
      <c r="M569" s="22"/>
      <c r="N569" s="25" t="str">
        <f>HYPERLINK("http://slimages.macys.com/is/image/MCY/1537013 ")</f>
        <v xml:space="preserve">http://slimages.macys.com/is/image/MCY/1537013 </v>
      </c>
    </row>
    <row r="570" spans="1:14" ht="24.75" x14ac:dyDescent="0.25">
      <c r="A570" s="21" t="s">
        <v>19205</v>
      </c>
      <c r="B570" s="22" t="s">
        <v>19206</v>
      </c>
      <c r="C570" s="2">
        <v>1</v>
      </c>
      <c r="D570" s="23">
        <v>5.99</v>
      </c>
      <c r="E570" s="3">
        <v>5.99</v>
      </c>
      <c r="F570" s="2" t="s">
        <v>19204</v>
      </c>
      <c r="G570" s="22" t="s">
        <v>19431</v>
      </c>
      <c r="H570" s="24" t="s">
        <v>19538</v>
      </c>
      <c r="I570" s="22" t="s">
        <v>19309</v>
      </c>
      <c r="J570" s="22" t="s">
        <v>19573</v>
      </c>
      <c r="K570" s="22" t="s">
        <v>19574</v>
      </c>
      <c r="L570" s="22"/>
      <c r="M570" s="22"/>
      <c r="N570" s="25" t="str">
        <f>HYPERLINK("http://slimages.macys.com/is/image/MCY/1537013 ")</f>
        <v xml:space="preserve">http://slimages.macys.com/is/image/MCY/1537013 </v>
      </c>
    </row>
    <row r="571" spans="1:14" ht="24.75" x14ac:dyDescent="0.25">
      <c r="A571" s="21" t="s">
        <v>12653</v>
      </c>
      <c r="B571" s="22" t="s">
        <v>12654</v>
      </c>
      <c r="C571" s="2">
        <v>1</v>
      </c>
      <c r="D571" s="23">
        <v>7.99</v>
      </c>
      <c r="E571" s="3">
        <v>7.99</v>
      </c>
      <c r="F571" s="2" t="s">
        <v>12655</v>
      </c>
      <c r="G571" s="22" t="s">
        <v>19351</v>
      </c>
      <c r="H571" s="24" t="s">
        <v>20089</v>
      </c>
      <c r="I571" s="22" t="s">
        <v>19309</v>
      </c>
      <c r="J571" s="22" t="s">
        <v>19573</v>
      </c>
      <c r="K571" s="22" t="s">
        <v>19574</v>
      </c>
      <c r="L571" s="22"/>
      <c r="M571" s="22"/>
      <c r="N571" s="25" t="str">
        <f>HYPERLINK("http://slimages.macys.com/is/image/MCY/20839696 ")</f>
        <v xml:space="preserve">http://slimages.macys.com/is/image/MCY/20839696 </v>
      </c>
    </row>
    <row r="572" spans="1:14" ht="24.75" x14ac:dyDescent="0.25">
      <c r="A572" s="21" t="s">
        <v>12656</v>
      </c>
      <c r="B572" s="22" t="s">
        <v>12657</v>
      </c>
      <c r="C572" s="2">
        <v>1</v>
      </c>
      <c r="D572" s="23">
        <v>4.99</v>
      </c>
      <c r="E572" s="3">
        <v>4.99</v>
      </c>
      <c r="F572" s="2">
        <v>4114</v>
      </c>
      <c r="G572" s="22" t="s">
        <v>19333</v>
      </c>
      <c r="H572" s="24" t="s">
        <v>19364</v>
      </c>
      <c r="I572" s="22" t="s">
        <v>19309</v>
      </c>
      <c r="J572" s="22" t="s">
        <v>20076</v>
      </c>
      <c r="K572" s="22" t="s">
        <v>20077</v>
      </c>
      <c r="L572" s="22" t="s">
        <v>19319</v>
      </c>
      <c r="M572" s="22" t="s">
        <v>19209</v>
      </c>
      <c r="N572" s="25" t="str">
        <f>HYPERLINK("http://slimages.macys.com/is/image/MCY/13050244 ")</f>
        <v xml:space="preserve">http://slimages.macys.com/is/image/MCY/13050244 </v>
      </c>
    </row>
    <row r="573" spans="1:14" ht="24.75" x14ac:dyDescent="0.25">
      <c r="A573" s="21" t="s">
        <v>12658</v>
      </c>
      <c r="B573" s="22" t="s">
        <v>12659</v>
      </c>
      <c r="C573" s="2">
        <v>1</v>
      </c>
      <c r="D573" s="23">
        <v>6.99</v>
      </c>
      <c r="E573" s="3">
        <v>6.99</v>
      </c>
      <c r="F573" s="2">
        <v>10014307200</v>
      </c>
      <c r="G573" s="22" t="s">
        <v>19351</v>
      </c>
      <c r="H573" s="24" t="s">
        <v>19770</v>
      </c>
      <c r="I573" s="22" t="s">
        <v>19309</v>
      </c>
      <c r="J573" s="22" t="s">
        <v>19573</v>
      </c>
      <c r="K573" s="22" t="s">
        <v>19574</v>
      </c>
      <c r="L573" s="22"/>
      <c r="M573" s="22"/>
      <c r="N573" s="25" t="str">
        <f>HYPERLINK("http://slimages.macys.com/is/image/MCY/20757630 ")</f>
        <v xml:space="preserve">http://slimages.macys.com/is/image/MCY/20757630 </v>
      </c>
    </row>
    <row r="574" spans="1:14" ht="24.75" x14ac:dyDescent="0.25">
      <c r="A574" s="21" t="s">
        <v>12660</v>
      </c>
      <c r="B574" s="22" t="s">
        <v>10721</v>
      </c>
      <c r="C574" s="2">
        <v>1</v>
      </c>
      <c r="D574" s="23">
        <v>5.99</v>
      </c>
      <c r="E574" s="3">
        <v>5.99</v>
      </c>
      <c r="F574" s="2" t="s">
        <v>10722</v>
      </c>
      <c r="G574" s="22" t="s">
        <v>19674</v>
      </c>
      <c r="H574" s="24" t="s">
        <v>19330</v>
      </c>
      <c r="I574" s="22" t="s">
        <v>19309</v>
      </c>
      <c r="J574" s="22" t="s">
        <v>19573</v>
      </c>
      <c r="K574" s="22" t="s">
        <v>19574</v>
      </c>
      <c r="L574" s="22"/>
      <c r="M574" s="22"/>
      <c r="N574" s="25" t="str">
        <f>HYPERLINK("http://slimages.macys.com/is/image/MCY/1126196 ")</f>
        <v xml:space="preserve">http://slimages.macys.com/is/image/MCY/1126196 </v>
      </c>
    </row>
    <row r="575" spans="1:14" ht="24.75" x14ac:dyDescent="0.25">
      <c r="A575" s="21" t="s">
        <v>13499</v>
      </c>
      <c r="B575" s="22" t="s">
        <v>13500</v>
      </c>
      <c r="C575" s="2">
        <v>1</v>
      </c>
      <c r="D575" s="23">
        <v>6.99</v>
      </c>
      <c r="E575" s="3">
        <v>6.99</v>
      </c>
      <c r="F575" s="2" t="s">
        <v>19217</v>
      </c>
      <c r="G575" s="22" t="s">
        <v>19906</v>
      </c>
      <c r="H575" s="24" t="s">
        <v>20135</v>
      </c>
      <c r="I575" s="22" t="s">
        <v>19309</v>
      </c>
      <c r="J575" s="22" t="s">
        <v>19454</v>
      </c>
      <c r="K575" s="22" t="s">
        <v>19354</v>
      </c>
      <c r="L575" s="22"/>
      <c r="M575" s="22"/>
      <c r="N575" s="25" t="str">
        <f>HYPERLINK("http://slimages.macys.com/is/image/MCY/20708515 ")</f>
        <v xml:space="preserve">http://slimages.macys.com/is/image/MCY/20708515 </v>
      </c>
    </row>
    <row r="576" spans="1:14" ht="24.75" x14ac:dyDescent="0.25">
      <c r="A576" s="21" t="s">
        <v>13505</v>
      </c>
      <c r="B576" s="22" t="s">
        <v>13506</v>
      </c>
      <c r="C576" s="2">
        <v>1</v>
      </c>
      <c r="D576" s="23">
        <v>6.99</v>
      </c>
      <c r="E576" s="3">
        <v>6.99</v>
      </c>
      <c r="F576" s="2" t="s">
        <v>19217</v>
      </c>
      <c r="G576" s="22" t="s">
        <v>19906</v>
      </c>
      <c r="H576" s="24" t="s">
        <v>19361</v>
      </c>
      <c r="I576" s="22" t="s">
        <v>19309</v>
      </c>
      <c r="J576" s="22" t="s">
        <v>19454</v>
      </c>
      <c r="K576" s="22" t="s">
        <v>19354</v>
      </c>
      <c r="L576" s="22"/>
      <c r="M576" s="22"/>
      <c r="N576" s="25" t="str">
        <f>HYPERLINK("http://slimages.macys.com/is/image/MCY/20708515 ")</f>
        <v xml:space="preserve">http://slimages.macys.com/is/image/MCY/20708515 </v>
      </c>
    </row>
    <row r="577" spans="1:14" ht="24.75" x14ac:dyDescent="0.25">
      <c r="A577" s="21" t="s">
        <v>19220</v>
      </c>
      <c r="B577" s="22" t="s">
        <v>19221</v>
      </c>
      <c r="C577" s="2">
        <v>2</v>
      </c>
      <c r="D577" s="23">
        <v>6.99</v>
      </c>
      <c r="E577" s="3">
        <v>13.98</v>
      </c>
      <c r="F577" s="2" t="s">
        <v>19217</v>
      </c>
      <c r="G577" s="22" t="s">
        <v>19906</v>
      </c>
      <c r="H577" s="24" t="s">
        <v>19907</v>
      </c>
      <c r="I577" s="22" t="s">
        <v>19309</v>
      </c>
      <c r="J577" s="22" t="s">
        <v>19454</v>
      </c>
      <c r="K577" s="22" t="s">
        <v>19354</v>
      </c>
      <c r="L577" s="22"/>
      <c r="M577" s="22"/>
      <c r="N577" s="25" t="str">
        <f>HYPERLINK("http://slimages.macys.com/is/image/MCY/20708515 ")</f>
        <v xml:space="preserve">http://slimages.macys.com/is/image/MCY/20708515 </v>
      </c>
    </row>
    <row r="578" spans="1:14" ht="24.75" x14ac:dyDescent="0.25">
      <c r="A578" s="21" t="s">
        <v>13503</v>
      </c>
      <c r="B578" s="22" t="s">
        <v>13504</v>
      </c>
      <c r="C578" s="2">
        <v>1</v>
      </c>
      <c r="D578" s="23">
        <v>6.99</v>
      </c>
      <c r="E578" s="3">
        <v>6.99</v>
      </c>
      <c r="F578" s="2" t="s">
        <v>19217</v>
      </c>
      <c r="G578" s="22" t="s">
        <v>19906</v>
      </c>
      <c r="H578" s="24" t="s">
        <v>19432</v>
      </c>
      <c r="I578" s="22" t="s">
        <v>19309</v>
      </c>
      <c r="J578" s="22" t="s">
        <v>19454</v>
      </c>
      <c r="K578" s="22" t="s">
        <v>19354</v>
      </c>
      <c r="L578" s="22"/>
      <c r="M578" s="22"/>
      <c r="N578" s="25" t="str">
        <f>HYPERLINK("http://slimages.macys.com/is/image/MCY/20708515 ")</f>
        <v xml:space="preserve">http://slimages.macys.com/is/image/MCY/20708515 </v>
      </c>
    </row>
    <row r="579" spans="1:14" ht="24.75" x14ac:dyDescent="0.25">
      <c r="A579" s="21" t="s">
        <v>10723</v>
      </c>
      <c r="B579" s="22" t="s">
        <v>10724</v>
      </c>
      <c r="C579" s="2">
        <v>1</v>
      </c>
      <c r="D579" s="23">
        <v>5.99</v>
      </c>
      <c r="E579" s="3">
        <v>5.99</v>
      </c>
      <c r="F579" s="2" t="s">
        <v>17203</v>
      </c>
      <c r="G579" s="22" t="s">
        <v>19585</v>
      </c>
      <c r="H579" s="24" t="s">
        <v>19538</v>
      </c>
      <c r="I579" s="22" t="s">
        <v>19309</v>
      </c>
      <c r="J579" s="22" t="s">
        <v>19573</v>
      </c>
      <c r="K579" s="22" t="s">
        <v>19574</v>
      </c>
      <c r="L579" s="22"/>
      <c r="M579" s="22"/>
      <c r="N579" s="25" t="str">
        <f>HYPERLINK("http://slimages.macys.com/is/image/MCY/20757989 ")</f>
        <v xml:space="preserve">http://slimages.macys.com/is/image/MCY/20757989 </v>
      </c>
    </row>
    <row r="580" spans="1:14" ht="24.75" x14ac:dyDescent="0.25">
      <c r="A580" s="21" t="s">
        <v>10725</v>
      </c>
      <c r="B580" s="22" t="s">
        <v>10726</v>
      </c>
      <c r="C580" s="2">
        <v>1</v>
      </c>
      <c r="D580" s="23">
        <v>7.99</v>
      </c>
      <c r="E580" s="3">
        <v>7.99</v>
      </c>
      <c r="F580" s="2" t="s">
        <v>10727</v>
      </c>
      <c r="G580" s="22" t="s">
        <v>19351</v>
      </c>
      <c r="H580" s="24" t="s">
        <v>20135</v>
      </c>
      <c r="I580" s="22" t="s">
        <v>19309</v>
      </c>
      <c r="J580" s="22" t="s">
        <v>19573</v>
      </c>
      <c r="K580" s="22" t="s">
        <v>19574</v>
      </c>
      <c r="L580" s="22"/>
      <c r="M580" s="22"/>
      <c r="N580" s="25" t="str">
        <f>HYPERLINK("http://slimages.macys.com/is/image/MCY/20757969 ")</f>
        <v xml:space="preserve">http://slimages.macys.com/is/image/MCY/20757969 </v>
      </c>
    </row>
    <row r="581" spans="1:14" ht="24.75" x14ac:dyDescent="0.25">
      <c r="A581" s="21" t="s">
        <v>14296</v>
      </c>
      <c r="B581" s="22" t="s">
        <v>14297</v>
      </c>
      <c r="C581" s="2">
        <v>1</v>
      </c>
      <c r="D581" s="23">
        <v>5.99</v>
      </c>
      <c r="E581" s="3">
        <v>5.99</v>
      </c>
      <c r="F581" s="2" t="s">
        <v>14911</v>
      </c>
      <c r="G581" s="22" t="s">
        <v>19415</v>
      </c>
      <c r="H581" s="24" t="s">
        <v>19330</v>
      </c>
      <c r="I581" s="22" t="s">
        <v>19309</v>
      </c>
      <c r="J581" s="22" t="s">
        <v>19573</v>
      </c>
      <c r="K581" s="22" t="s">
        <v>19574</v>
      </c>
      <c r="L581" s="22"/>
      <c r="M581" s="22"/>
      <c r="N581" s="25" t="str">
        <f>HYPERLINK("http://slimages.macys.com/is/image/MCY/21371388 ")</f>
        <v xml:space="preserve">http://slimages.macys.com/is/image/MCY/21371388 </v>
      </c>
    </row>
    <row r="582" spans="1:14" ht="24.75" x14ac:dyDescent="0.25">
      <c r="A582" s="21" t="s">
        <v>14920</v>
      </c>
      <c r="B582" s="22" t="s">
        <v>14921</v>
      </c>
      <c r="C582" s="2">
        <v>1</v>
      </c>
      <c r="D582" s="23">
        <v>5.99</v>
      </c>
      <c r="E582" s="3">
        <v>5.99</v>
      </c>
      <c r="F582" s="2" t="s">
        <v>17219</v>
      </c>
      <c r="G582" s="22" t="s">
        <v>19415</v>
      </c>
      <c r="H582" s="24" t="s">
        <v>19324</v>
      </c>
      <c r="I582" s="22" t="s">
        <v>19309</v>
      </c>
      <c r="J582" s="22" t="s">
        <v>19573</v>
      </c>
      <c r="K582" s="22" t="s">
        <v>19574</v>
      </c>
      <c r="L582" s="22"/>
      <c r="M582" s="22"/>
      <c r="N582" s="25" t="str">
        <f>HYPERLINK("http://slimages.macys.com/is/image/MCY/21209249 ")</f>
        <v xml:space="preserve">http://slimages.macys.com/is/image/MCY/21209249 </v>
      </c>
    </row>
    <row r="583" spans="1:14" ht="24.75" x14ac:dyDescent="0.25">
      <c r="A583" s="21" t="s">
        <v>10728</v>
      </c>
      <c r="B583" s="22" t="s">
        <v>10729</v>
      </c>
      <c r="C583" s="2">
        <v>1</v>
      </c>
      <c r="D583" s="23">
        <v>5.99</v>
      </c>
      <c r="E583" s="3">
        <v>5.99</v>
      </c>
      <c r="F583" s="2" t="s">
        <v>17214</v>
      </c>
      <c r="G583" s="22" t="s">
        <v>19351</v>
      </c>
      <c r="H583" s="24" t="s">
        <v>19538</v>
      </c>
      <c r="I583" s="22" t="s">
        <v>19309</v>
      </c>
      <c r="J583" s="22" t="s">
        <v>19573</v>
      </c>
      <c r="K583" s="22" t="s">
        <v>19574</v>
      </c>
      <c r="L583" s="22"/>
      <c r="M583" s="22"/>
      <c r="N583" s="25" t="str">
        <f>HYPERLINK("http://slimages.macys.com/is/image/MCY/20753665 ")</f>
        <v xml:space="preserve">http://slimages.macys.com/is/image/MCY/20753665 </v>
      </c>
    </row>
    <row r="584" spans="1:14" ht="24.75" x14ac:dyDescent="0.25">
      <c r="A584" s="21" t="s">
        <v>10730</v>
      </c>
      <c r="B584" s="22" t="s">
        <v>10731</v>
      </c>
      <c r="C584" s="2">
        <v>2</v>
      </c>
      <c r="D584" s="23">
        <v>6.99</v>
      </c>
      <c r="E584" s="3">
        <v>13.98</v>
      </c>
      <c r="F584" s="2" t="s">
        <v>14924</v>
      </c>
      <c r="G584" s="22" t="s">
        <v>19763</v>
      </c>
      <c r="H584" s="24" t="s">
        <v>19384</v>
      </c>
      <c r="I584" s="22" t="s">
        <v>19309</v>
      </c>
      <c r="J584" s="22" t="s">
        <v>19573</v>
      </c>
      <c r="K584" s="22" t="s">
        <v>19574</v>
      </c>
      <c r="L584" s="22"/>
      <c r="M584" s="22"/>
      <c r="N584" s="25" t="str">
        <f>HYPERLINK("http://slimages.macys.com/is/image/MCY/19507666 ")</f>
        <v xml:space="preserve">http://slimages.macys.com/is/image/MCY/19507666 </v>
      </c>
    </row>
    <row r="585" spans="1:14" ht="24.75" x14ac:dyDescent="0.25">
      <c r="A585" s="21" t="s">
        <v>10732</v>
      </c>
      <c r="B585" s="22" t="s">
        <v>10733</v>
      </c>
      <c r="C585" s="2">
        <v>1</v>
      </c>
      <c r="D585" s="23">
        <v>6.99</v>
      </c>
      <c r="E585" s="3">
        <v>6.99</v>
      </c>
      <c r="F585" s="2" t="s">
        <v>14924</v>
      </c>
      <c r="G585" s="22" t="s">
        <v>19763</v>
      </c>
      <c r="H585" s="24" t="s">
        <v>19324</v>
      </c>
      <c r="I585" s="22" t="s">
        <v>19309</v>
      </c>
      <c r="J585" s="22" t="s">
        <v>19573</v>
      </c>
      <c r="K585" s="22" t="s">
        <v>19574</v>
      </c>
      <c r="L585" s="22"/>
      <c r="M585" s="22"/>
      <c r="N585" s="25" t="str">
        <f>HYPERLINK("http://slimages.macys.com/is/image/MCY/19507666 ")</f>
        <v xml:space="preserve">http://slimages.macys.com/is/image/MCY/19507666 </v>
      </c>
    </row>
    <row r="586" spans="1:14" ht="24.75" x14ac:dyDescent="0.25">
      <c r="A586" s="21" t="s">
        <v>10734</v>
      </c>
      <c r="B586" s="22" t="s">
        <v>10735</v>
      </c>
      <c r="C586" s="2">
        <v>1</v>
      </c>
      <c r="D586" s="23">
        <v>6.99</v>
      </c>
      <c r="E586" s="3">
        <v>6.99</v>
      </c>
      <c r="F586" s="2" t="s">
        <v>14924</v>
      </c>
      <c r="G586" s="22" t="s">
        <v>19763</v>
      </c>
      <c r="H586" s="24" t="s">
        <v>19538</v>
      </c>
      <c r="I586" s="22" t="s">
        <v>19309</v>
      </c>
      <c r="J586" s="22" t="s">
        <v>19573</v>
      </c>
      <c r="K586" s="22" t="s">
        <v>19574</v>
      </c>
      <c r="L586" s="22"/>
      <c r="M586" s="22"/>
      <c r="N586" s="25" t="str">
        <f>HYPERLINK("http://slimages.macys.com/is/image/MCY/19507666 ")</f>
        <v xml:space="preserve">http://slimages.macys.com/is/image/MCY/19507666 </v>
      </c>
    </row>
    <row r="587" spans="1:14" ht="24.75" x14ac:dyDescent="0.25">
      <c r="A587" s="21" t="s">
        <v>14311</v>
      </c>
      <c r="B587" s="22" t="s">
        <v>14312</v>
      </c>
      <c r="C587" s="2">
        <v>1</v>
      </c>
      <c r="D587" s="23">
        <v>5.99</v>
      </c>
      <c r="E587" s="3">
        <v>5.99</v>
      </c>
      <c r="F587" s="2" t="s">
        <v>19254</v>
      </c>
      <c r="G587" s="22" t="s">
        <v>19431</v>
      </c>
      <c r="H587" s="24" t="s">
        <v>19416</v>
      </c>
      <c r="I587" s="22" t="s">
        <v>19309</v>
      </c>
      <c r="J587" s="22" t="s">
        <v>19573</v>
      </c>
      <c r="K587" s="22" t="s">
        <v>19574</v>
      </c>
      <c r="L587" s="22"/>
      <c r="M587" s="22"/>
      <c r="N587" s="25" t="str">
        <f>HYPERLINK("http://slimages.macys.com/is/image/MCY/21209124 ")</f>
        <v xml:space="preserve">http://slimages.macys.com/is/image/MCY/21209124 </v>
      </c>
    </row>
    <row r="588" spans="1:14" ht="24.75" x14ac:dyDescent="0.25">
      <c r="A588" s="21" t="s">
        <v>19255</v>
      </c>
      <c r="B588" s="22" t="s">
        <v>19256</v>
      </c>
      <c r="C588" s="2">
        <v>1</v>
      </c>
      <c r="D588" s="23">
        <v>5.99</v>
      </c>
      <c r="E588" s="3">
        <v>5.99</v>
      </c>
      <c r="F588" s="2" t="s">
        <v>19254</v>
      </c>
      <c r="G588" s="22" t="s">
        <v>19431</v>
      </c>
      <c r="H588" s="24" t="s">
        <v>19330</v>
      </c>
      <c r="I588" s="22" t="s">
        <v>19309</v>
      </c>
      <c r="J588" s="22" t="s">
        <v>19573</v>
      </c>
      <c r="K588" s="22" t="s">
        <v>19574</v>
      </c>
      <c r="L588" s="22"/>
      <c r="M588" s="22"/>
      <c r="N588" s="25" t="str">
        <f>HYPERLINK("http://slimages.macys.com/is/image/MCY/21209124 ")</f>
        <v xml:space="preserve">http://slimages.macys.com/is/image/MCY/21209124 </v>
      </c>
    </row>
    <row r="589" spans="1:14" ht="24.75" x14ac:dyDescent="0.25">
      <c r="A589" s="21" t="s">
        <v>10736</v>
      </c>
      <c r="B589" s="22" t="s">
        <v>10737</v>
      </c>
      <c r="C589" s="2">
        <v>3</v>
      </c>
      <c r="D589" s="23">
        <v>7.99</v>
      </c>
      <c r="E589" s="3">
        <v>23.97</v>
      </c>
      <c r="F589" s="2" t="s">
        <v>14930</v>
      </c>
      <c r="G589" s="22" t="s">
        <v>19467</v>
      </c>
      <c r="H589" s="24" t="s">
        <v>20089</v>
      </c>
      <c r="I589" s="22" t="s">
        <v>19309</v>
      </c>
      <c r="J589" s="22" t="s">
        <v>19573</v>
      </c>
      <c r="K589" s="22" t="s">
        <v>19574</v>
      </c>
      <c r="L589" s="22"/>
      <c r="M589" s="22"/>
      <c r="N589" s="25" t="str">
        <f>HYPERLINK("http://slimages.macys.com/is/image/MCY/21209307 ")</f>
        <v xml:space="preserve">http://slimages.macys.com/is/image/MCY/21209307 </v>
      </c>
    </row>
    <row r="590" spans="1:14" ht="24.75" x14ac:dyDescent="0.25">
      <c r="A590" s="21" t="s">
        <v>10738</v>
      </c>
      <c r="B590" s="22" t="s">
        <v>10739</v>
      </c>
      <c r="C590" s="2">
        <v>1</v>
      </c>
      <c r="D590" s="23">
        <v>5.99</v>
      </c>
      <c r="E590" s="3">
        <v>5.99</v>
      </c>
      <c r="F590" s="2" t="s">
        <v>19254</v>
      </c>
      <c r="G590" s="22" t="s">
        <v>19431</v>
      </c>
      <c r="H590" s="24" t="s">
        <v>19384</v>
      </c>
      <c r="I590" s="22" t="s">
        <v>19309</v>
      </c>
      <c r="J590" s="22" t="s">
        <v>19573</v>
      </c>
      <c r="K590" s="22" t="s">
        <v>19574</v>
      </c>
      <c r="L590" s="22"/>
      <c r="M590" s="22"/>
      <c r="N590" s="25" t="str">
        <f>HYPERLINK("http://slimages.macys.com/is/image/MCY/21209124 ")</f>
        <v xml:space="preserve">http://slimages.macys.com/is/image/MCY/21209124 </v>
      </c>
    </row>
    <row r="591" spans="1:14" ht="24.75" x14ac:dyDescent="0.25">
      <c r="A591" s="21" t="s">
        <v>14928</v>
      </c>
      <c r="B591" s="22" t="s">
        <v>14929</v>
      </c>
      <c r="C591" s="2">
        <v>1</v>
      </c>
      <c r="D591" s="23">
        <v>7.99</v>
      </c>
      <c r="E591" s="3">
        <v>7.99</v>
      </c>
      <c r="F591" s="2" t="s">
        <v>14930</v>
      </c>
      <c r="G591" s="22" t="s">
        <v>19467</v>
      </c>
      <c r="H591" s="24" t="s">
        <v>20135</v>
      </c>
      <c r="I591" s="22" t="s">
        <v>19309</v>
      </c>
      <c r="J591" s="22" t="s">
        <v>19573</v>
      </c>
      <c r="K591" s="22" t="s">
        <v>19574</v>
      </c>
      <c r="L591" s="22"/>
      <c r="M591" s="22"/>
      <c r="N591" s="25" t="str">
        <f>HYPERLINK("http://slimages.macys.com/is/image/MCY/21209307 ")</f>
        <v xml:space="preserve">http://slimages.macys.com/is/image/MCY/21209307 </v>
      </c>
    </row>
    <row r="592" spans="1:14" ht="24.75" x14ac:dyDescent="0.25">
      <c r="A592" s="21" t="s">
        <v>10740</v>
      </c>
      <c r="B592" s="22" t="s">
        <v>10741</v>
      </c>
      <c r="C592" s="2">
        <v>1</v>
      </c>
      <c r="D592" s="23">
        <v>5.99</v>
      </c>
      <c r="E592" s="3">
        <v>5.99</v>
      </c>
      <c r="F592" s="2" t="s">
        <v>19254</v>
      </c>
      <c r="G592" s="22" t="s">
        <v>19431</v>
      </c>
      <c r="H592" s="24" t="s">
        <v>19538</v>
      </c>
      <c r="I592" s="22" t="s">
        <v>19309</v>
      </c>
      <c r="J592" s="22" t="s">
        <v>19573</v>
      </c>
      <c r="K592" s="22" t="s">
        <v>19574</v>
      </c>
      <c r="L592" s="22"/>
      <c r="M592" s="22"/>
      <c r="N592" s="25" t="str">
        <f>HYPERLINK("http://slimages.macys.com/is/image/MCY/21209124 ")</f>
        <v xml:space="preserve">http://slimages.macys.com/is/image/MCY/21209124 </v>
      </c>
    </row>
    <row r="593" spans="1:14" ht="24.75" x14ac:dyDescent="0.25">
      <c r="A593" s="21" t="s">
        <v>10742</v>
      </c>
      <c r="B593" s="22" t="s">
        <v>10743</v>
      </c>
      <c r="C593" s="2">
        <v>2</v>
      </c>
      <c r="D593" s="23">
        <v>7.99</v>
      </c>
      <c r="E593" s="3">
        <v>15.98</v>
      </c>
      <c r="F593" s="2" t="s">
        <v>10744</v>
      </c>
      <c r="G593" s="22" t="s">
        <v>19431</v>
      </c>
      <c r="H593" s="24" t="s">
        <v>20135</v>
      </c>
      <c r="I593" s="22" t="s">
        <v>19309</v>
      </c>
      <c r="J593" s="22" t="s">
        <v>19573</v>
      </c>
      <c r="K593" s="22" t="s">
        <v>19574</v>
      </c>
      <c r="L593" s="22"/>
      <c r="M593" s="22"/>
      <c r="N593" s="25" t="str">
        <f>HYPERLINK("http://slimages.macys.com/is/image/MCY/21209287 ")</f>
        <v xml:space="preserve">http://slimages.macys.com/is/image/MCY/21209287 </v>
      </c>
    </row>
    <row r="594" spans="1:14" ht="24.75" x14ac:dyDescent="0.25">
      <c r="A594" s="21" t="s">
        <v>10745</v>
      </c>
      <c r="B594" s="22" t="s">
        <v>10746</v>
      </c>
      <c r="C594" s="2">
        <v>1</v>
      </c>
      <c r="D594" s="23">
        <v>7.99</v>
      </c>
      <c r="E594" s="3">
        <v>7.99</v>
      </c>
      <c r="F594" s="2" t="s">
        <v>14959</v>
      </c>
      <c r="G594" s="22" t="s">
        <v>19415</v>
      </c>
      <c r="H594" s="24" t="s">
        <v>20089</v>
      </c>
      <c r="I594" s="22" t="s">
        <v>19309</v>
      </c>
      <c r="J594" s="22" t="s">
        <v>19573</v>
      </c>
      <c r="K594" s="22" t="s">
        <v>19574</v>
      </c>
      <c r="L594" s="22"/>
      <c r="M594" s="22"/>
      <c r="N594" s="25" t="str">
        <f>HYPERLINK("http://slimages.macys.com/is/image/MCY/21209562 ")</f>
        <v xml:space="preserve">http://slimages.macys.com/is/image/MCY/21209562 </v>
      </c>
    </row>
    <row r="595" spans="1:14" ht="24.75" x14ac:dyDescent="0.25">
      <c r="A595" s="21" t="s">
        <v>17258</v>
      </c>
      <c r="B595" s="22" t="s">
        <v>17259</v>
      </c>
      <c r="C595" s="2">
        <v>1</v>
      </c>
      <c r="D595" s="23">
        <v>5.99</v>
      </c>
      <c r="E595" s="3">
        <v>5.99</v>
      </c>
      <c r="F595" s="2" t="s">
        <v>17254</v>
      </c>
      <c r="G595" s="22" t="s">
        <v>19906</v>
      </c>
      <c r="H595" s="24" t="s">
        <v>19538</v>
      </c>
      <c r="I595" s="22" t="s">
        <v>19309</v>
      </c>
      <c r="J595" s="22" t="s">
        <v>19573</v>
      </c>
      <c r="K595" s="22" t="s">
        <v>19574</v>
      </c>
      <c r="L595" s="22"/>
      <c r="M595" s="22"/>
      <c r="N595" s="25" t="str">
        <f>HYPERLINK("http://slimages.macys.com/is/image/MCY/21209467 ")</f>
        <v xml:space="preserve">http://slimages.macys.com/is/image/MCY/21209467 </v>
      </c>
    </row>
    <row r="596" spans="1:14" ht="24.75" x14ac:dyDescent="0.25">
      <c r="A596" s="21" t="s">
        <v>14976</v>
      </c>
      <c r="B596" s="22" t="s">
        <v>14977</v>
      </c>
      <c r="C596" s="2">
        <v>1</v>
      </c>
      <c r="D596" s="23">
        <v>5.99</v>
      </c>
      <c r="E596" s="3">
        <v>5.99</v>
      </c>
      <c r="F596" s="2" t="s">
        <v>19273</v>
      </c>
      <c r="G596" s="22" t="s">
        <v>19794</v>
      </c>
      <c r="H596" s="24" t="s">
        <v>19416</v>
      </c>
      <c r="I596" s="22" t="s">
        <v>19309</v>
      </c>
      <c r="J596" s="22" t="s">
        <v>19573</v>
      </c>
      <c r="K596" s="22" t="s">
        <v>19574</v>
      </c>
      <c r="L596" s="22"/>
      <c r="M596" s="22"/>
      <c r="N596" s="25" t="str">
        <f>HYPERLINK("http://slimages.macys.com/is/image/MCY/21209112 ")</f>
        <v xml:space="preserve">http://slimages.macys.com/is/image/MCY/21209112 </v>
      </c>
    </row>
    <row r="597" spans="1:14" ht="24.75" x14ac:dyDescent="0.25">
      <c r="A597" s="21" t="s">
        <v>14970</v>
      </c>
      <c r="B597" s="22" t="s">
        <v>14971</v>
      </c>
      <c r="C597" s="2">
        <v>1</v>
      </c>
      <c r="D597" s="23">
        <v>5.99</v>
      </c>
      <c r="E597" s="3">
        <v>5.99</v>
      </c>
      <c r="F597" s="2" t="s">
        <v>19270</v>
      </c>
      <c r="G597" s="22" t="s">
        <v>19351</v>
      </c>
      <c r="H597" s="24" t="s">
        <v>19330</v>
      </c>
      <c r="I597" s="22" t="s">
        <v>19309</v>
      </c>
      <c r="J597" s="22" t="s">
        <v>19573</v>
      </c>
      <c r="K597" s="22" t="s">
        <v>19574</v>
      </c>
      <c r="L597" s="22"/>
      <c r="M597" s="22"/>
      <c r="N597" s="25" t="str">
        <f>HYPERLINK("http://slimages.macys.com/is/image/MCY/20839696 ")</f>
        <v xml:space="preserve">http://slimages.macys.com/is/image/MCY/20839696 </v>
      </c>
    </row>
    <row r="598" spans="1:14" ht="24.75" x14ac:dyDescent="0.25">
      <c r="A598" s="21" t="s">
        <v>14972</v>
      </c>
      <c r="B598" s="22" t="s">
        <v>14973</v>
      </c>
      <c r="C598" s="2">
        <v>1</v>
      </c>
      <c r="D598" s="23">
        <v>5.99</v>
      </c>
      <c r="E598" s="3">
        <v>5.99</v>
      </c>
      <c r="F598" s="2" t="s">
        <v>19273</v>
      </c>
      <c r="G598" s="22" t="s">
        <v>19794</v>
      </c>
      <c r="H598" s="24" t="s">
        <v>19324</v>
      </c>
      <c r="I598" s="22" t="s">
        <v>19309</v>
      </c>
      <c r="J598" s="22" t="s">
        <v>19573</v>
      </c>
      <c r="K598" s="22" t="s">
        <v>19574</v>
      </c>
      <c r="L598" s="22"/>
      <c r="M598" s="22"/>
      <c r="N598" s="25" t="str">
        <f>HYPERLINK("http://slimages.macys.com/is/image/MCY/21209112 ")</f>
        <v xml:space="preserve">http://slimages.macys.com/is/image/MCY/21209112 </v>
      </c>
    </row>
    <row r="599" spans="1:14" ht="24.75" x14ac:dyDescent="0.25">
      <c r="A599" s="21" t="s">
        <v>14974</v>
      </c>
      <c r="B599" s="22" t="s">
        <v>14975</v>
      </c>
      <c r="C599" s="2">
        <v>1</v>
      </c>
      <c r="D599" s="23">
        <v>5.99</v>
      </c>
      <c r="E599" s="3">
        <v>5.99</v>
      </c>
      <c r="F599" s="2" t="s">
        <v>19273</v>
      </c>
      <c r="G599" s="22" t="s">
        <v>19794</v>
      </c>
      <c r="H599" s="24" t="s">
        <v>19384</v>
      </c>
      <c r="I599" s="22" t="s">
        <v>19309</v>
      </c>
      <c r="J599" s="22" t="s">
        <v>19573</v>
      </c>
      <c r="K599" s="22" t="s">
        <v>19574</v>
      </c>
      <c r="L599" s="22"/>
      <c r="M599" s="22"/>
      <c r="N599" s="25" t="str">
        <f>HYPERLINK("http://slimages.macys.com/is/image/MCY/21209112 ")</f>
        <v xml:space="preserve">http://slimages.macys.com/is/image/MCY/21209112 </v>
      </c>
    </row>
    <row r="600" spans="1:14" ht="24.75" x14ac:dyDescent="0.25">
      <c r="A600" s="21" t="s">
        <v>10747</v>
      </c>
      <c r="B600" s="22" t="s">
        <v>10748</v>
      </c>
      <c r="C600" s="2">
        <v>1</v>
      </c>
      <c r="D600" s="23">
        <v>5.99</v>
      </c>
      <c r="E600" s="3">
        <v>5.99</v>
      </c>
      <c r="F600" s="2" t="s">
        <v>17254</v>
      </c>
      <c r="G600" s="22" t="s">
        <v>19906</v>
      </c>
      <c r="H600" s="24" t="s">
        <v>19324</v>
      </c>
      <c r="I600" s="22" t="s">
        <v>19309</v>
      </c>
      <c r="J600" s="22" t="s">
        <v>19573</v>
      </c>
      <c r="K600" s="22" t="s">
        <v>19574</v>
      </c>
      <c r="L600" s="22"/>
      <c r="M600" s="22"/>
      <c r="N600" s="25" t="str">
        <f>HYPERLINK("http://slimages.macys.com/is/image/MCY/1537377 ")</f>
        <v xml:space="preserve">http://slimages.macys.com/is/image/MCY/1537377 </v>
      </c>
    </row>
    <row r="601" spans="1:14" ht="24.75" x14ac:dyDescent="0.25">
      <c r="A601" s="21" t="s">
        <v>14978</v>
      </c>
      <c r="B601" s="22" t="s">
        <v>14979</v>
      </c>
      <c r="C601" s="2">
        <v>1</v>
      </c>
      <c r="D601" s="23">
        <v>5.99</v>
      </c>
      <c r="E601" s="3">
        <v>5.99</v>
      </c>
      <c r="F601" s="2" t="s">
        <v>19273</v>
      </c>
      <c r="G601" s="22" t="s">
        <v>19794</v>
      </c>
      <c r="H601" s="24" t="s">
        <v>19330</v>
      </c>
      <c r="I601" s="22" t="s">
        <v>19309</v>
      </c>
      <c r="J601" s="22" t="s">
        <v>19573</v>
      </c>
      <c r="K601" s="22" t="s">
        <v>19574</v>
      </c>
      <c r="L601" s="22"/>
      <c r="M601" s="22"/>
      <c r="N601" s="25" t="str">
        <f>HYPERLINK("http://slimages.macys.com/is/image/MCY/21209112 ")</f>
        <v xml:space="preserve">http://slimages.macys.com/is/image/MCY/21209112 </v>
      </c>
    </row>
    <row r="602" spans="1:14" ht="24.75" x14ac:dyDescent="0.25">
      <c r="A602" s="21" t="s">
        <v>10749</v>
      </c>
      <c r="B602" s="22" t="s">
        <v>10750</v>
      </c>
      <c r="C602" s="2">
        <v>1</v>
      </c>
      <c r="D602" s="23">
        <v>5.99</v>
      </c>
      <c r="E602" s="3">
        <v>5.99</v>
      </c>
      <c r="F602" s="2" t="s">
        <v>10751</v>
      </c>
      <c r="G602" s="22" t="s">
        <v>19618</v>
      </c>
      <c r="H602" s="24" t="s">
        <v>19330</v>
      </c>
      <c r="I602" s="22" t="s">
        <v>19309</v>
      </c>
      <c r="J602" s="22" t="s">
        <v>19573</v>
      </c>
      <c r="K602" s="22" t="s">
        <v>19574</v>
      </c>
      <c r="L602" s="22"/>
      <c r="M602" s="22"/>
      <c r="N602" s="25" t="str">
        <f>HYPERLINK("http://slimages.macys.com/is/image/MCY/19977787 ")</f>
        <v xml:space="preserve">http://slimages.macys.com/is/image/MCY/19977787 </v>
      </c>
    </row>
    <row r="603" spans="1:14" ht="24.75" x14ac:dyDescent="0.25">
      <c r="A603" s="21" t="s">
        <v>10752</v>
      </c>
      <c r="B603" s="22" t="s">
        <v>10753</v>
      </c>
      <c r="C603" s="2">
        <v>1</v>
      </c>
      <c r="D603" s="23">
        <v>7.99</v>
      </c>
      <c r="E603" s="3">
        <v>7.99</v>
      </c>
      <c r="F603" s="2" t="s">
        <v>10754</v>
      </c>
      <c r="G603" s="22" t="s">
        <v>19467</v>
      </c>
      <c r="H603" s="24" t="s">
        <v>20089</v>
      </c>
      <c r="I603" s="22" t="s">
        <v>19309</v>
      </c>
      <c r="J603" s="22" t="s">
        <v>19573</v>
      </c>
      <c r="K603" s="22" t="s">
        <v>19574</v>
      </c>
      <c r="L603" s="22"/>
      <c r="M603" s="22"/>
      <c r="N603" s="25" t="str">
        <f>HYPERLINK("http://slimages.macys.com/is/image/MCY/16605973 ")</f>
        <v xml:space="preserve">http://slimages.macys.com/is/image/MCY/16605973 </v>
      </c>
    </row>
    <row r="604" spans="1:14" ht="24.75" x14ac:dyDescent="0.25">
      <c r="A604" s="21" t="s">
        <v>14982</v>
      </c>
      <c r="B604" s="22" t="s">
        <v>14983</v>
      </c>
      <c r="C604" s="2">
        <v>1</v>
      </c>
      <c r="D604" s="23">
        <v>5.99</v>
      </c>
      <c r="E604" s="3">
        <v>5.99</v>
      </c>
      <c r="F604" s="2" t="s">
        <v>19000</v>
      </c>
      <c r="G604" s="22" t="s">
        <v>19618</v>
      </c>
      <c r="H604" s="24" t="s">
        <v>19538</v>
      </c>
      <c r="I604" s="22" t="s">
        <v>19309</v>
      </c>
      <c r="J604" s="22" t="s">
        <v>19573</v>
      </c>
      <c r="K604" s="22" t="s">
        <v>19574</v>
      </c>
      <c r="L604" s="22"/>
      <c r="M604" s="22"/>
      <c r="N604" s="25" t="str">
        <f>HYPERLINK("http://slimages.macys.com/is/image/MCY/21515593 ")</f>
        <v xml:space="preserve">http://slimages.macys.com/is/image/MCY/21515593 </v>
      </c>
    </row>
    <row r="605" spans="1:14" ht="24.75" x14ac:dyDescent="0.25">
      <c r="A605" s="21" t="s">
        <v>10755</v>
      </c>
      <c r="B605" s="22" t="s">
        <v>10756</v>
      </c>
      <c r="C605" s="2">
        <v>1</v>
      </c>
      <c r="D605" s="23">
        <v>5.99</v>
      </c>
      <c r="E605" s="3">
        <v>5.99</v>
      </c>
      <c r="F605" s="2" t="s">
        <v>17268</v>
      </c>
      <c r="G605" s="22" t="s">
        <v>18764</v>
      </c>
      <c r="H605" s="24" t="s">
        <v>19330</v>
      </c>
      <c r="I605" s="22" t="s">
        <v>19309</v>
      </c>
      <c r="J605" s="22" t="s">
        <v>19573</v>
      </c>
      <c r="K605" s="22" t="s">
        <v>19574</v>
      </c>
      <c r="L605" s="22"/>
      <c r="M605" s="22"/>
      <c r="N605" s="25" t="str">
        <f>HYPERLINK("http://slimages.macys.com/is/image/MCY/21088470 ")</f>
        <v xml:space="preserve">http://slimages.macys.com/is/image/MCY/21088470 </v>
      </c>
    </row>
    <row r="606" spans="1:14" ht="24.75" x14ac:dyDescent="0.25">
      <c r="A606" s="21" t="s">
        <v>10757</v>
      </c>
      <c r="B606" s="22" t="s">
        <v>10758</v>
      </c>
      <c r="C606" s="2">
        <v>1</v>
      </c>
      <c r="D606" s="23">
        <v>5.99</v>
      </c>
      <c r="E606" s="3">
        <v>5.99</v>
      </c>
      <c r="F606" s="2" t="s">
        <v>17268</v>
      </c>
      <c r="G606" s="22" t="s">
        <v>18764</v>
      </c>
      <c r="H606" s="24" t="s">
        <v>19416</v>
      </c>
      <c r="I606" s="22" t="s">
        <v>19309</v>
      </c>
      <c r="J606" s="22" t="s">
        <v>19573</v>
      </c>
      <c r="K606" s="22" t="s">
        <v>19574</v>
      </c>
      <c r="L606" s="22"/>
      <c r="M606" s="22"/>
      <c r="N606" s="25" t="str">
        <f>HYPERLINK("http://slimages.macys.com/is/image/MCY/21088470 ")</f>
        <v xml:space="preserve">http://slimages.macys.com/is/image/MCY/21088470 </v>
      </c>
    </row>
    <row r="607" spans="1:14" ht="24.75" x14ac:dyDescent="0.25">
      <c r="A607" s="21" t="s">
        <v>13523</v>
      </c>
      <c r="B607" s="22" t="s">
        <v>13524</v>
      </c>
      <c r="C607" s="2">
        <v>3</v>
      </c>
      <c r="D607" s="23">
        <v>5.99</v>
      </c>
      <c r="E607" s="3">
        <v>17.97</v>
      </c>
      <c r="F607" s="2" t="s">
        <v>13522</v>
      </c>
      <c r="G607" s="22" t="s">
        <v>19763</v>
      </c>
      <c r="H607" s="24" t="s">
        <v>19384</v>
      </c>
      <c r="I607" s="22" t="s">
        <v>19309</v>
      </c>
      <c r="J607" s="22" t="s">
        <v>19573</v>
      </c>
      <c r="K607" s="22" t="s">
        <v>19574</v>
      </c>
      <c r="L607" s="22"/>
      <c r="M607" s="22"/>
      <c r="N607" s="25" t="str">
        <f>HYPERLINK("http://slimages.macys.com/is/image/MCY/19521011 ")</f>
        <v xml:space="preserve">http://slimages.macys.com/is/image/MCY/19521011 </v>
      </c>
    </row>
    <row r="608" spans="1:14" ht="24.75" x14ac:dyDescent="0.25">
      <c r="A608" s="21" t="s">
        <v>17271</v>
      </c>
      <c r="B608" s="22" t="s">
        <v>17272</v>
      </c>
      <c r="C608" s="2">
        <v>1</v>
      </c>
      <c r="D608" s="23">
        <v>5.99</v>
      </c>
      <c r="E608" s="3">
        <v>5.99</v>
      </c>
      <c r="F608" s="2" t="s">
        <v>17408</v>
      </c>
      <c r="G608" s="22" t="s">
        <v>19467</v>
      </c>
      <c r="H608" s="24" t="s">
        <v>19384</v>
      </c>
      <c r="I608" s="22" t="s">
        <v>19309</v>
      </c>
      <c r="J608" s="22" t="s">
        <v>19573</v>
      </c>
      <c r="K608" s="22" t="s">
        <v>19574</v>
      </c>
      <c r="L608" s="22"/>
      <c r="M608" s="22"/>
      <c r="N608" s="25" t="str">
        <f>HYPERLINK("http://slimages.macys.com/is/image/MCY/21970244 ")</f>
        <v xml:space="preserve">http://slimages.macys.com/is/image/MCY/21970244 </v>
      </c>
    </row>
    <row r="609" spans="1:14" ht="24.75" x14ac:dyDescent="0.25">
      <c r="A609" s="21" t="s">
        <v>10759</v>
      </c>
      <c r="B609" s="22" t="s">
        <v>10760</v>
      </c>
      <c r="C609" s="2">
        <v>1</v>
      </c>
      <c r="D609" s="23">
        <v>5.99</v>
      </c>
      <c r="E609" s="3">
        <v>5.99</v>
      </c>
      <c r="F609" s="2" t="s">
        <v>17405</v>
      </c>
      <c r="G609" s="22" t="s">
        <v>19351</v>
      </c>
      <c r="H609" s="24" t="s">
        <v>19416</v>
      </c>
      <c r="I609" s="22" t="s">
        <v>19309</v>
      </c>
      <c r="J609" s="22" t="s">
        <v>19573</v>
      </c>
      <c r="K609" s="22" t="s">
        <v>19574</v>
      </c>
      <c r="L609" s="22"/>
      <c r="M609" s="22"/>
      <c r="N609" s="25" t="str">
        <f>HYPERLINK("http://slimages.macys.com/is/image/MCY/1570641 ")</f>
        <v xml:space="preserve">http://slimages.macys.com/is/image/MCY/1570641 </v>
      </c>
    </row>
    <row r="610" spans="1:14" ht="24.75" x14ac:dyDescent="0.25">
      <c r="A610" s="21" t="s">
        <v>10761</v>
      </c>
      <c r="B610" s="22" t="s">
        <v>10762</v>
      </c>
      <c r="C610" s="2">
        <v>1</v>
      </c>
      <c r="D610" s="23">
        <v>6.99</v>
      </c>
      <c r="E610" s="3">
        <v>6.99</v>
      </c>
      <c r="F610" s="2" t="s">
        <v>10763</v>
      </c>
      <c r="G610" s="22" t="s">
        <v>19351</v>
      </c>
      <c r="H610" s="24" t="s">
        <v>19384</v>
      </c>
      <c r="I610" s="22" t="s">
        <v>19309</v>
      </c>
      <c r="J610" s="22" t="s">
        <v>19573</v>
      </c>
      <c r="K610" s="22" t="s">
        <v>19574</v>
      </c>
      <c r="L610" s="22"/>
      <c r="M610" s="22"/>
      <c r="N610" s="25" t="str">
        <f>HYPERLINK("http://slimages.macys.com/is/image/MCY/20385749 ")</f>
        <v xml:space="preserve">http://slimages.macys.com/is/image/MCY/20385749 </v>
      </c>
    </row>
    <row r="611" spans="1:14" ht="24.75" x14ac:dyDescent="0.25">
      <c r="A611" s="21" t="s">
        <v>14993</v>
      </c>
      <c r="B611" s="22" t="s">
        <v>14994</v>
      </c>
      <c r="C611" s="2">
        <v>1</v>
      </c>
      <c r="D611" s="23">
        <v>5.99</v>
      </c>
      <c r="E611" s="3">
        <v>5.99</v>
      </c>
      <c r="F611" s="2" t="s">
        <v>17280</v>
      </c>
      <c r="G611" s="22" t="s">
        <v>19618</v>
      </c>
      <c r="H611" s="24" t="s">
        <v>19324</v>
      </c>
      <c r="I611" s="22" t="s">
        <v>19309</v>
      </c>
      <c r="J611" s="22" t="s">
        <v>19573</v>
      </c>
      <c r="K611" s="22" t="s">
        <v>19574</v>
      </c>
      <c r="L611" s="22"/>
      <c r="M611" s="22"/>
      <c r="N611" s="25" t="str">
        <f>HYPERLINK("http://slimages.macys.com/is/image/MCY/20839692 ")</f>
        <v xml:space="preserve">http://slimages.macys.com/is/image/MCY/20839692 </v>
      </c>
    </row>
    <row r="612" spans="1:14" ht="24.75" x14ac:dyDescent="0.25">
      <c r="A612" s="21" t="s">
        <v>14348</v>
      </c>
      <c r="B612" s="22" t="s">
        <v>14349</v>
      </c>
      <c r="C612" s="2">
        <v>1</v>
      </c>
      <c r="D612" s="23">
        <v>5.99</v>
      </c>
      <c r="E612" s="3">
        <v>5.99</v>
      </c>
      <c r="F612" s="2" t="s">
        <v>17283</v>
      </c>
      <c r="G612" s="22" t="s">
        <v>19618</v>
      </c>
      <c r="H612" s="24" t="s">
        <v>19538</v>
      </c>
      <c r="I612" s="22" t="s">
        <v>19309</v>
      </c>
      <c r="J612" s="22" t="s">
        <v>19573</v>
      </c>
      <c r="K612" s="22" t="s">
        <v>19574</v>
      </c>
      <c r="L612" s="22"/>
      <c r="M612" s="22"/>
      <c r="N612" s="25" t="str">
        <f>HYPERLINK("http://slimages.macys.com/is/image/MCY/21089253 ")</f>
        <v xml:space="preserve">http://slimages.macys.com/is/image/MCY/21089253 </v>
      </c>
    </row>
    <row r="613" spans="1:14" ht="24.75" x14ac:dyDescent="0.25">
      <c r="A613" s="21" t="s">
        <v>10764</v>
      </c>
      <c r="B613" s="22" t="s">
        <v>10765</v>
      </c>
      <c r="C613" s="2">
        <v>1</v>
      </c>
      <c r="D613" s="23">
        <v>5.99</v>
      </c>
      <c r="E613" s="3">
        <v>5.99</v>
      </c>
      <c r="F613" s="2" t="s">
        <v>10766</v>
      </c>
      <c r="G613" s="22" t="s">
        <v>19351</v>
      </c>
      <c r="H613" s="24" t="s">
        <v>19330</v>
      </c>
      <c r="I613" s="22" t="s">
        <v>19309</v>
      </c>
      <c r="J613" s="22" t="s">
        <v>19573</v>
      </c>
      <c r="K613" s="22" t="s">
        <v>19574</v>
      </c>
      <c r="L613" s="22"/>
      <c r="M613" s="22"/>
      <c r="N613" s="25" t="str">
        <f>HYPERLINK("http://slimages.macys.com/is/image/MCY/20551102 ")</f>
        <v xml:space="preserve">http://slimages.macys.com/is/image/MCY/20551102 </v>
      </c>
    </row>
    <row r="614" spans="1:14" ht="24.75" x14ac:dyDescent="0.25">
      <c r="A614" s="21" t="s">
        <v>10767</v>
      </c>
      <c r="B614" s="22" t="s">
        <v>10768</v>
      </c>
      <c r="C614" s="2">
        <v>1</v>
      </c>
      <c r="D614" s="23">
        <v>5.99</v>
      </c>
      <c r="E614" s="3">
        <v>5.99</v>
      </c>
      <c r="F614" s="2" t="s">
        <v>13537</v>
      </c>
      <c r="G614" s="22" t="s">
        <v>19713</v>
      </c>
      <c r="H614" s="24" t="s">
        <v>19416</v>
      </c>
      <c r="I614" s="22" t="s">
        <v>19309</v>
      </c>
      <c r="J614" s="22" t="s">
        <v>19573</v>
      </c>
      <c r="K614" s="22" t="s">
        <v>19574</v>
      </c>
      <c r="L614" s="22"/>
      <c r="M614" s="22"/>
      <c r="N614" s="25" t="str">
        <f>HYPERLINK("http://slimages.macys.com/is/image/MCY/17663506 ")</f>
        <v xml:space="preserve">http://slimages.macys.com/is/image/MCY/17663506 </v>
      </c>
    </row>
    <row r="615" spans="1:14" ht="24.75" x14ac:dyDescent="0.25">
      <c r="A615" s="21" t="s">
        <v>17426</v>
      </c>
      <c r="B615" s="22" t="s">
        <v>17427</v>
      </c>
      <c r="C615" s="2">
        <v>1</v>
      </c>
      <c r="D615" s="23">
        <v>5.99</v>
      </c>
      <c r="E615" s="3">
        <v>5.99</v>
      </c>
      <c r="F615" s="2" t="s">
        <v>17425</v>
      </c>
      <c r="G615" s="22" t="s">
        <v>19670</v>
      </c>
      <c r="H615" s="24" t="s">
        <v>19330</v>
      </c>
      <c r="I615" s="22" t="s">
        <v>19309</v>
      </c>
      <c r="J615" s="22" t="s">
        <v>19573</v>
      </c>
      <c r="K615" s="22" t="s">
        <v>19574</v>
      </c>
      <c r="L615" s="22"/>
      <c r="M615" s="22"/>
      <c r="N615" s="25" t="str">
        <f>HYPERLINK("http://slimages.macys.com/is/image/MCY/1537013 ")</f>
        <v xml:space="preserve">http://slimages.macys.com/is/image/MCY/1537013 </v>
      </c>
    </row>
    <row r="616" spans="1:14" ht="24.75" x14ac:dyDescent="0.25">
      <c r="A616" s="21" t="s">
        <v>13535</v>
      </c>
      <c r="B616" s="22" t="s">
        <v>13536</v>
      </c>
      <c r="C616" s="2">
        <v>1</v>
      </c>
      <c r="D616" s="23">
        <v>5.99</v>
      </c>
      <c r="E616" s="3">
        <v>5.99</v>
      </c>
      <c r="F616" s="2" t="s">
        <v>13537</v>
      </c>
      <c r="G616" s="22" t="s">
        <v>19713</v>
      </c>
      <c r="H616" s="24" t="s">
        <v>19538</v>
      </c>
      <c r="I616" s="22" t="s">
        <v>19309</v>
      </c>
      <c r="J616" s="22" t="s">
        <v>19573</v>
      </c>
      <c r="K616" s="22" t="s">
        <v>19574</v>
      </c>
      <c r="L616" s="22"/>
      <c r="M616" s="22"/>
      <c r="N616" s="25" t="str">
        <f>HYPERLINK("http://slimages.macys.com/is/image/MCY/17663506 ")</f>
        <v xml:space="preserve">http://slimages.macys.com/is/image/MCY/17663506 </v>
      </c>
    </row>
    <row r="617" spans="1:14" ht="24.75" x14ac:dyDescent="0.25">
      <c r="A617" s="21" t="s">
        <v>17441</v>
      </c>
      <c r="B617" s="22" t="s">
        <v>17442</v>
      </c>
      <c r="C617" s="2">
        <v>1</v>
      </c>
      <c r="D617" s="23">
        <v>5.99</v>
      </c>
      <c r="E617" s="3">
        <v>5.99</v>
      </c>
      <c r="F617" s="2" t="s">
        <v>17440</v>
      </c>
      <c r="G617" s="22" t="s">
        <v>19415</v>
      </c>
      <c r="H617" s="24" t="s">
        <v>19384</v>
      </c>
      <c r="I617" s="22" t="s">
        <v>19309</v>
      </c>
      <c r="J617" s="22" t="s">
        <v>19573</v>
      </c>
      <c r="K617" s="22" t="s">
        <v>19574</v>
      </c>
      <c r="L617" s="22"/>
      <c r="M617" s="22"/>
      <c r="N617" s="25" t="str">
        <f>HYPERLINK("http://slimages.macys.com/is/image/MCY/21209026 ")</f>
        <v xml:space="preserve">http://slimages.macys.com/is/image/MCY/21209026 </v>
      </c>
    </row>
    <row r="618" spans="1:14" ht="24.75" x14ac:dyDescent="0.25">
      <c r="A618" s="21" t="s">
        <v>10769</v>
      </c>
      <c r="B618" s="22" t="s">
        <v>10770</v>
      </c>
      <c r="C618" s="2">
        <v>1</v>
      </c>
      <c r="D618" s="23">
        <v>5.99</v>
      </c>
      <c r="E618" s="3">
        <v>5.99</v>
      </c>
      <c r="F618" s="2" t="s">
        <v>17440</v>
      </c>
      <c r="G618" s="22" t="s">
        <v>19906</v>
      </c>
      <c r="H618" s="24" t="s">
        <v>19416</v>
      </c>
      <c r="I618" s="22" t="s">
        <v>19309</v>
      </c>
      <c r="J618" s="22" t="s">
        <v>19573</v>
      </c>
      <c r="K618" s="22" t="s">
        <v>19574</v>
      </c>
      <c r="L618" s="22"/>
      <c r="M618" s="22"/>
      <c r="N618" s="25" t="str">
        <f>HYPERLINK("http://slimages.macys.com/is/image/MCY/21209026 ")</f>
        <v xml:space="preserve">http://slimages.macys.com/is/image/MCY/21209026 </v>
      </c>
    </row>
    <row r="619" spans="1:14" ht="24.75" x14ac:dyDescent="0.25">
      <c r="A619" s="21" t="s">
        <v>17290</v>
      </c>
      <c r="B619" s="22" t="s">
        <v>17291</v>
      </c>
      <c r="C619" s="2">
        <v>1</v>
      </c>
      <c r="D619" s="23">
        <v>5.99</v>
      </c>
      <c r="E619" s="3">
        <v>5.99</v>
      </c>
      <c r="F619" s="2" t="s">
        <v>17440</v>
      </c>
      <c r="G619" s="22" t="s">
        <v>19415</v>
      </c>
      <c r="H619" s="24" t="s">
        <v>19416</v>
      </c>
      <c r="I619" s="22" t="s">
        <v>19309</v>
      </c>
      <c r="J619" s="22" t="s">
        <v>19573</v>
      </c>
      <c r="K619" s="22" t="s">
        <v>19574</v>
      </c>
      <c r="L619" s="22"/>
      <c r="M619" s="22"/>
      <c r="N619" s="25" t="str">
        <f>HYPERLINK("http://slimages.macys.com/is/image/MCY/21209026 ")</f>
        <v xml:space="preserve">http://slimages.macys.com/is/image/MCY/21209026 </v>
      </c>
    </row>
    <row r="620" spans="1:14" ht="24.75" x14ac:dyDescent="0.25">
      <c r="A620" s="21" t="s">
        <v>17294</v>
      </c>
      <c r="B620" s="22" t="s">
        <v>17295</v>
      </c>
      <c r="C620" s="2">
        <v>1</v>
      </c>
      <c r="D620" s="23">
        <v>5.99</v>
      </c>
      <c r="E620" s="3">
        <v>5.99</v>
      </c>
      <c r="F620" s="2" t="s">
        <v>17449</v>
      </c>
      <c r="G620" s="22" t="s">
        <v>19415</v>
      </c>
      <c r="H620" s="24" t="s">
        <v>19384</v>
      </c>
      <c r="I620" s="22" t="s">
        <v>19309</v>
      </c>
      <c r="J620" s="22" t="s">
        <v>19573</v>
      </c>
      <c r="K620" s="22" t="s">
        <v>19574</v>
      </c>
      <c r="L620" s="22"/>
      <c r="M620" s="22"/>
      <c r="N620" s="25" t="str">
        <f>HYPERLINK("http://slimages.macys.com/is/image/MCY/21209295 ")</f>
        <v xml:space="preserve">http://slimages.macys.com/is/image/MCY/21209295 </v>
      </c>
    </row>
    <row r="621" spans="1:14" ht="24.75" x14ac:dyDescent="0.25">
      <c r="A621" s="21" t="s">
        <v>10771</v>
      </c>
      <c r="B621" s="22" t="s">
        <v>10772</v>
      </c>
      <c r="C621" s="2">
        <v>1</v>
      </c>
      <c r="D621" s="23">
        <v>5.99</v>
      </c>
      <c r="E621" s="3">
        <v>5.99</v>
      </c>
      <c r="F621" s="2" t="s">
        <v>10773</v>
      </c>
      <c r="G621" s="22" t="s">
        <v>19467</v>
      </c>
      <c r="H621" s="24" t="s">
        <v>19538</v>
      </c>
      <c r="I621" s="22" t="s">
        <v>19309</v>
      </c>
      <c r="J621" s="22" t="s">
        <v>19573</v>
      </c>
      <c r="K621" s="22" t="s">
        <v>19574</v>
      </c>
      <c r="L621" s="22"/>
      <c r="M621" s="22"/>
      <c r="N621" s="25" t="str">
        <f>HYPERLINK("http://slimages.macys.com/is/image/MCY/21970216 ")</f>
        <v xml:space="preserve">http://slimages.macys.com/is/image/MCY/21970216 </v>
      </c>
    </row>
    <row r="622" spans="1:14" ht="24.75" x14ac:dyDescent="0.25">
      <c r="A622" s="21" t="s">
        <v>14354</v>
      </c>
      <c r="B622" s="22" t="s">
        <v>14355</v>
      </c>
      <c r="C622" s="2">
        <v>1</v>
      </c>
      <c r="D622" s="23">
        <v>5.99</v>
      </c>
      <c r="E622" s="3">
        <v>5.99</v>
      </c>
      <c r="F622" s="2" t="s">
        <v>17304</v>
      </c>
      <c r="G622" s="22" t="s">
        <v>19518</v>
      </c>
      <c r="H622" s="24" t="s">
        <v>19384</v>
      </c>
      <c r="I622" s="22" t="s">
        <v>19309</v>
      </c>
      <c r="J622" s="22" t="s">
        <v>19573</v>
      </c>
      <c r="K622" s="22" t="s">
        <v>19574</v>
      </c>
      <c r="L622" s="22"/>
      <c r="M622" s="22"/>
      <c r="N622" s="25" t="str">
        <f>HYPERLINK("http://slimages.macys.com/is/image/MCY/21089247 ")</f>
        <v xml:space="preserve">http://slimages.macys.com/is/image/MCY/21089247 </v>
      </c>
    </row>
    <row r="623" spans="1:14" ht="24.75" x14ac:dyDescent="0.25">
      <c r="A623" s="21" t="s">
        <v>17310</v>
      </c>
      <c r="B623" s="22" t="s">
        <v>17311</v>
      </c>
      <c r="C623" s="2">
        <v>1</v>
      </c>
      <c r="D623" s="23">
        <v>5.99</v>
      </c>
      <c r="E623" s="3">
        <v>5.99</v>
      </c>
      <c r="F623" s="2" t="s">
        <v>17452</v>
      </c>
      <c r="G623" s="22" t="s">
        <v>19467</v>
      </c>
      <c r="H623" s="24" t="s">
        <v>19330</v>
      </c>
      <c r="I623" s="22" t="s">
        <v>19309</v>
      </c>
      <c r="J623" s="22" t="s">
        <v>19573</v>
      </c>
      <c r="K623" s="22" t="s">
        <v>19574</v>
      </c>
      <c r="L623" s="22"/>
      <c r="M623" s="22"/>
      <c r="N623" s="25" t="str">
        <f>HYPERLINK("http://slimages.macys.com/is/image/MCY/21209018 ")</f>
        <v xml:space="preserve">http://slimages.macys.com/is/image/MCY/21209018 </v>
      </c>
    </row>
    <row r="624" spans="1:14" ht="24.75" x14ac:dyDescent="0.25">
      <c r="A624" s="21" t="s">
        <v>17322</v>
      </c>
      <c r="B624" s="22" t="s">
        <v>17323</v>
      </c>
      <c r="C624" s="2">
        <v>1</v>
      </c>
      <c r="D624" s="23">
        <v>33.99</v>
      </c>
      <c r="E624" s="3">
        <v>33.99</v>
      </c>
      <c r="F624" s="2" t="s">
        <v>17595</v>
      </c>
      <c r="G624" s="22" t="s">
        <v>19498</v>
      </c>
      <c r="H624" s="24" t="s">
        <v>19384</v>
      </c>
      <c r="I624" s="22" t="s">
        <v>19309</v>
      </c>
      <c r="J624" s="22" t="s">
        <v>19385</v>
      </c>
      <c r="K624" s="22" t="s">
        <v>19386</v>
      </c>
      <c r="L624" s="22"/>
      <c r="M624" s="22"/>
      <c r="N624" s="25"/>
    </row>
    <row r="625" spans="1:14" ht="24.75" x14ac:dyDescent="0.25">
      <c r="A625" s="21" t="s">
        <v>14362</v>
      </c>
      <c r="B625" s="22" t="s">
        <v>14363</v>
      </c>
      <c r="C625" s="2">
        <v>1</v>
      </c>
      <c r="D625" s="23">
        <v>33.99</v>
      </c>
      <c r="E625" s="3">
        <v>33.99</v>
      </c>
      <c r="F625" s="2" t="s">
        <v>17592</v>
      </c>
      <c r="G625" s="22" t="s">
        <v>19422</v>
      </c>
      <c r="H625" s="24" t="s">
        <v>19384</v>
      </c>
      <c r="I625" s="22" t="s">
        <v>19309</v>
      </c>
      <c r="J625" s="22" t="s">
        <v>19385</v>
      </c>
      <c r="K625" s="22" t="s">
        <v>19386</v>
      </c>
      <c r="L625" s="22"/>
      <c r="M625" s="22"/>
      <c r="N625" s="25"/>
    </row>
    <row r="626" spans="1:14" ht="24.75" x14ac:dyDescent="0.25">
      <c r="A626" s="21" t="s">
        <v>17476</v>
      </c>
      <c r="B626" s="22" t="s">
        <v>17477</v>
      </c>
      <c r="C626" s="2">
        <v>1</v>
      </c>
      <c r="D626" s="23">
        <v>34.99</v>
      </c>
      <c r="E626" s="3">
        <v>34.99</v>
      </c>
      <c r="F626" s="2" t="s">
        <v>17478</v>
      </c>
      <c r="G626" s="22" t="s">
        <v>19333</v>
      </c>
      <c r="H626" s="24" t="s">
        <v>19330</v>
      </c>
      <c r="I626" s="22" t="s">
        <v>19309</v>
      </c>
      <c r="J626" s="22" t="s">
        <v>19385</v>
      </c>
      <c r="K626" s="22" t="s">
        <v>19487</v>
      </c>
      <c r="L626" s="22"/>
      <c r="M626" s="22"/>
      <c r="N626" s="25"/>
    </row>
    <row r="627" spans="1:14" x14ac:dyDescent="0.25">
      <c r="A627" s="21" t="s">
        <v>10774</v>
      </c>
      <c r="B627" s="22" t="s">
        <v>17325</v>
      </c>
      <c r="C627" s="2">
        <v>1</v>
      </c>
      <c r="D627" s="23">
        <v>42</v>
      </c>
      <c r="E627" s="3">
        <v>42</v>
      </c>
      <c r="F627" s="2" t="s">
        <v>17326</v>
      </c>
      <c r="G627" s="22" t="s">
        <v>19338</v>
      </c>
      <c r="H627" s="24" t="s">
        <v>19361</v>
      </c>
      <c r="I627" s="22" t="s">
        <v>19309</v>
      </c>
      <c r="J627" s="22" t="s">
        <v>17328</v>
      </c>
      <c r="K627" s="22" t="s">
        <v>17329</v>
      </c>
      <c r="L627" s="22"/>
      <c r="M627" s="22"/>
      <c r="N627" s="25"/>
    </row>
    <row r="628" spans="1:14" ht="24.75" x14ac:dyDescent="0.25">
      <c r="A628" s="21" t="s">
        <v>10775</v>
      </c>
      <c r="B628" s="22" t="s">
        <v>10776</v>
      </c>
      <c r="C628" s="2">
        <v>1</v>
      </c>
      <c r="D628" s="23">
        <v>29.99</v>
      </c>
      <c r="E628" s="3">
        <v>29.99</v>
      </c>
      <c r="F628" s="2" t="s">
        <v>10777</v>
      </c>
      <c r="G628" s="22" t="s">
        <v>19622</v>
      </c>
      <c r="H628" s="24" t="s">
        <v>19339</v>
      </c>
      <c r="I628" s="22" t="s">
        <v>19309</v>
      </c>
      <c r="J628" s="22" t="s">
        <v>19405</v>
      </c>
      <c r="K628" s="22" t="s">
        <v>19406</v>
      </c>
      <c r="L628" s="22"/>
      <c r="M628" s="22"/>
      <c r="N628" s="25"/>
    </row>
    <row r="629" spans="1:14" x14ac:dyDescent="0.25">
      <c r="A629" s="21" t="s">
        <v>10778</v>
      </c>
      <c r="B629" s="22" t="s">
        <v>10779</v>
      </c>
      <c r="C629" s="2">
        <v>1</v>
      </c>
      <c r="D629" s="23">
        <v>40</v>
      </c>
      <c r="E629" s="3">
        <v>40</v>
      </c>
      <c r="F629" s="2" t="s">
        <v>10780</v>
      </c>
      <c r="G629" s="22" t="s">
        <v>19814</v>
      </c>
      <c r="H629" s="24" t="s">
        <v>19478</v>
      </c>
      <c r="I629" s="22" t="s">
        <v>19309</v>
      </c>
      <c r="J629" s="22" t="s">
        <v>17328</v>
      </c>
      <c r="K629" s="22" t="s">
        <v>17329</v>
      </c>
      <c r="L629" s="22"/>
      <c r="M629" s="22"/>
      <c r="N629" s="25"/>
    </row>
    <row r="630" spans="1:14" x14ac:dyDescent="0.25">
      <c r="A630" s="21" t="s">
        <v>10781</v>
      </c>
      <c r="B630" s="22" t="s">
        <v>10779</v>
      </c>
      <c r="C630" s="2">
        <v>1</v>
      </c>
      <c r="D630" s="23">
        <v>40</v>
      </c>
      <c r="E630" s="3">
        <v>40</v>
      </c>
      <c r="F630" s="2" t="s">
        <v>10782</v>
      </c>
      <c r="G630" s="22" t="s">
        <v>19338</v>
      </c>
      <c r="H630" s="24" t="s">
        <v>17346</v>
      </c>
      <c r="I630" s="22" t="s">
        <v>19309</v>
      </c>
      <c r="J630" s="22" t="s">
        <v>17328</v>
      </c>
      <c r="K630" s="22" t="s">
        <v>17329</v>
      </c>
      <c r="L630" s="22"/>
      <c r="M630" s="22"/>
      <c r="N630" s="25"/>
    </row>
    <row r="631" spans="1:14" x14ac:dyDescent="0.25">
      <c r="A631" s="21" t="s">
        <v>10783</v>
      </c>
      <c r="B631" s="22" t="s">
        <v>10779</v>
      </c>
      <c r="C631" s="2">
        <v>1</v>
      </c>
      <c r="D631" s="23">
        <v>40</v>
      </c>
      <c r="E631" s="3">
        <v>40</v>
      </c>
      <c r="F631" s="2" t="s">
        <v>10780</v>
      </c>
      <c r="G631" s="22" t="s">
        <v>19814</v>
      </c>
      <c r="H631" s="24" t="s">
        <v>19432</v>
      </c>
      <c r="I631" s="22" t="s">
        <v>19309</v>
      </c>
      <c r="J631" s="22" t="s">
        <v>17328</v>
      </c>
      <c r="K631" s="22" t="s">
        <v>17329</v>
      </c>
      <c r="L631" s="22"/>
      <c r="M631" s="22"/>
      <c r="N631" s="25"/>
    </row>
    <row r="632" spans="1:14" x14ac:dyDescent="0.25">
      <c r="A632" s="21" t="s">
        <v>10784</v>
      </c>
      <c r="B632" s="22" t="s">
        <v>17331</v>
      </c>
      <c r="C632" s="2">
        <v>1</v>
      </c>
      <c r="D632" s="23">
        <v>40</v>
      </c>
      <c r="E632" s="3">
        <v>40</v>
      </c>
      <c r="F632" s="2" t="s">
        <v>17332</v>
      </c>
      <c r="G632" s="22" t="s">
        <v>19351</v>
      </c>
      <c r="H632" s="24" t="s">
        <v>19478</v>
      </c>
      <c r="I632" s="22" t="s">
        <v>19309</v>
      </c>
      <c r="J632" s="22" t="s">
        <v>17328</v>
      </c>
      <c r="K632" s="22" t="s">
        <v>17329</v>
      </c>
      <c r="L632" s="22"/>
      <c r="M632" s="22"/>
      <c r="N632" s="25"/>
    </row>
    <row r="633" spans="1:14" x14ac:dyDescent="0.25">
      <c r="A633" s="21" t="s">
        <v>10785</v>
      </c>
      <c r="B633" s="22" t="s">
        <v>10786</v>
      </c>
      <c r="C633" s="2">
        <v>1</v>
      </c>
      <c r="D633" s="23">
        <v>40</v>
      </c>
      <c r="E633" s="3">
        <v>40</v>
      </c>
      <c r="F633" s="2" t="s">
        <v>10787</v>
      </c>
      <c r="G633" s="22" t="s">
        <v>19342</v>
      </c>
      <c r="H633" s="24" t="s">
        <v>19361</v>
      </c>
      <c r="I633" s="22" t="s">
        <v>19309</v>
      </c>
      <c r="J633" s="22" t="s">
        <v>17328</v>
      </c>
      <c r="K633" s="22" t="s">
        <v>17329</v>
      </c>
      <c r="L633" s="22"/>
      <c r="M633" s="22"/>
      <c r="N633" s="25"/>
    </row>
    <row r="634" spans="1:14" x14ac:dyDescent="0.25">
      <c r="A634" s="21" t="s">
        <v>10788</v>
      </c>
      <c r="B634" s="22" t="s">
        <v>10786</v>
      </c>
      <c r="C634" s="2">
        <v>1</v>
      </c>
      <c r="D634" s="23">
        <v>40</v>
      </c>
      <c r="E634" s="3">
        <v>40</v>
      </c>
      <c r="F634" s="2" t="s">
        <v>10787</v>
      </c>
      <c r="G634" s="22" t="s">
        <v>19342</v>
      </c>
      <c r="H634" s="24" t="s">
        <v>17346</v>
      </c>
      <c r="I634" s="22" t="s">
        <v>19309</v>
      </c>
      <c r="J634" s="22" t="s">
        <v>17328</v>
      </c>
      <c r="K634" s="22" t="s">
        <v>17329</v>
      </c>
      <c r="L634" s="22"/>
      <c r="M634" s="22"/>
      <c r="N634" s="25"/>
    </row>
    <row r="635" spans="1:14" x14ac:dyDescent="0.25">
      <c r="A635" s="21" t="s">
        <v>10789</v>
      </c>
      <c r="B635" s="22" t="s">
        <v>10786</v>
      </c>
      <c r="C635" s="2">
        <v>1</v>
      </c>
      <c r="D635" s="23">
        <v>40</v>
      </c>
      <c r="E635" s="3">
        <v>40</v>
      </c>
      <c r="F635" s="2" t="s">
        <v>10787</v>
      </c>
      <c r="G635" s="22" t="s">
        <v>19342</v>
      </c>
      <c r="H635" s="24" t="s">
        <v>19432</v>
      </c>
      <c r="I635" s="22" t="s">
        <v>19309</v>
      </c>
      <c r="J635" s="22" t="s">
        <v>17328</v>
      </c>
      <c r="K635" s="22" t="s">
        <v>17329</v>
      </c>
      <c r="L635" s="22"/>
      <c r="M635" s="22"/>
      <c r="N635" s="25"/>
    </row>
    <row r="636" spans="1:14" x14ac:dyDescent="0.25">
      <c r="A636" s="21" t="s">
        <v>10790</v>
      </c>
      <c r="B636" s="22" t="s">
        <v>10786</v>
      </c>
      <c r="C636" s="2">
        <v>1</v>
      </c>
      <c r="D636" s="23">
        <v>40</v>
      </c>
      <c r="E636" s="3">
        <v>40</v>
      </c>
      <c r="F636" s="2" t="s">
        <v>10787</v>
      </c>
      <c r="G636" s="22" t="s">
        <v>19342</v>
      </c>
      <c r="H636" s="24" t="s">
        <v>19501</v>
      </c>
      <c r="I636" s="22" t="s">
        <v>19309</v>
      </c>
      <c r="J636" s="22" t="s">
        <v>17328</v>
      </c>
      <c r="K636" s="22" t="s">
        <v>17329</v>
      </c>
      <c r="L636" s="22"/>
      <c r="M636" s="22"/>
      <c r="N636" s="25"/>
    </row>
    <row r="637" spans="1:14" x14ac:dyDescent="0.25">
      <c r="A637" s="21" t="s">
        <v>10791</v>
      </c>
      <c r="B637" s="22" t="s">
        <v>10786</v>
      </c>
      <c r="C637" s="2">
        <v>1</v>
      </c>
      <c r="D637" s="23">
        <v>40</v>
      </c>
      <c r="E637" s="3">
        <v>40</v>
      </c>
      <c r="F637" s="2" t="s">
        <v>10787</v>
      </c>
      <c r="G637" s="22" t="s">
        <v>19342</v>
      </c>
      <c r="H637" s="24" t="s">
        <v>19997</v>
      </c>
      <c r="I637" s="22" t="s">
        <v>19309</v>
      </c>
      <c r="J637" s="22" t="s">
        <v>17328</v>
      </c>
      <c r="K637" s="22" t="s">
        <v>17329</v>
      </c>
      <c r="L637" s="22"/>
      <c r="M637" s="22"/>
      <c r="N637" s="25"/>
    </row>
    <row r="638" spans="1:14" x14ac:dyDescent="0.25">
      <c r="A638" s="21" t="s">
        <v>10792</v>
      </c>
      <c r="B638" s="22" t="s">
        <v>10793</v>
      </c>
      <c r="C638" s="2">
        <v>1</v>
      </c>
      <c r="D638" s="23">
        <v>36</v>
      </c>
      <c r="E638" s="3">
        <v>36</v>
      </c>
      <c r="F638" s="2" t="s">
        <v>10794</v>
      </c>
      <c r="G638" s="22" t="s">
        <v>18361</v>
      </c>
      <c r="H638" s="24" t="s">
        <v>19501</v>
      </c>
      <c r="I638" s="22" t="s">
        <v>19309</v>
      </c>
      <c r="J638" s="22" t="s">
        <v>17328</v>
      </c>
      <c r="K638" s="22" t="s">
        <v>17329</v>
      </c>
      <c r="L638" s="22"/>
      <c r="M638" s="22"/>
      <c r="N638" s="25"/>
    </row>
    <row r="639" spans="1:14" x14ac:dyDescent="0.25">
      <c r="A639" s="21" t="s">
        <v>10795</v>
      </c>
      <c r="B639" s="22" t="s">
        <v>10793</v>
      </c>
      <c r="C639" s="2">
        <v>1</v>
      </c>
      <c r="D639" s="23">
        <v>36</v>
      </c>
      <c r="E639" s="3">
        <v>36</v>
      </c>
      <c r="F639" s="2" t="s">
        <v>10794</v>
      </c>
      <c r="G639" s="22" t="s">
        <v>18361</v>
      </c>
      <c r="H639" s="24" t="s">
        <v>19997</v>
      </c>
      <c r="I639" s="22" t="s">
        <v>19309</v>
      </c>
      <c r="J639" s="22" t="s">
        <v>17328</v>
      </c>
      <c r="K639" s="22" t="s">
        <v>17329</v>
      </c>
      <c r="L639" s="22"/>
      <c r="M639" s="22"/>
      <c r="N639" s="25"/>
    </row>
    <row r="640" spans="1:14" ht="24.75" x14ac:dyDescent="0.25">
      <c r="A640" s="21" t="s">
        <v>17493</v>
      </c>
      <c r="B640" s="22" t="s">
        <v>17494</v>
      </c>
      <c r="C640" s="2">
        <v>1</v>
      </c>
      <c r="D640" s="23">
        <v>26.99</v>
      </c>
      <c r="E640" s="3">
        <v>26.99</v>
      </c>
      <c r="F640" s="2" t="s">
        <v>17488</v>
      </c>
      <c r="G640" s="22" t="s">
        <v>19357</v>
      </c>
      <c r="H640" s="24" t="s">
        <v>19538</v>
      </c>
      <c r="I640" s="22" t="s">
        <v>19309</v>
      </c>
      <c r="J640" s="22" t="s">
        <v>19385</v>
      </c>
      <c r="K640" s="22" t="s">
        <v>19487</v>
      </c>
      <c r="L640" s="22"/>
      <c r="M640" s="22"/>
      <c r="N640" s="25"/>
    </row>
    <row r="641" spans="1:14" x14ac:dyDescent="0.25">
      <c r="A641" s="21" t="s">
        <v>10796</v>
      </c>
      <c r="B641" s="22" t="s">
        <v>10797</v>
      </c>
      <c r="C641" s="2">
        <v>1</v>
      </c>
      <c r="D641" s="23">
        <v>36</v>
      </c>
      <c r="E641" s="3">
        <v>36</v>
      </c>
      <c r="F641" s="2" t="s">
        <v>10798</v>
      </c>
      <c r="G641" s="22" t="s">
        <v>19537</v>
      </c>
      <c r="H641" s="24" t="s">
        <v>17327</v>
      </c>
      <c r="I641" s="22" t="s">
        <v>19309</v>
      </c>
      <c r="J641" s="22" t="s">
        <v>17328</v>
      </c>
      <c r="K641" s="22" t="s">
        <v>17329</v>
      </c>
      <c r="L641" s="22"/>
      <c r="M641" s="22"/>
      <c r="N641" s="25"/>
    </row>
    <row r="642" spans="1:14" x14ac:dyDescent="0.25">
      <c r="A642" s="21" t="s">
        <v>17509</v>
      </c>
      <c r="B642" s="22" t="s">
        <v>17510</v>
      </c>
      <c r="C642" s="2">
        <v>3</v>
      </c>
      <c r="D642" s="23">
        <v>7.5</v>
      </c>
      <c r="E642" s="3">
        <v>22.5</v>
      </c>
      <c r="F642" s="2" t="s">
        <v>17510</v>
      </c>
      <c r="G642" s="22" t="s">
        <v>17504</v>
      </c>
      <c r="H642" s="24" t="s">
        <v>17505</v>
      </c>
      <c r="I642" s="22" t="s">
        <v>19309</v>
      </c>
      <c r="J642" s="22" t="s">
        <v>19708</v>
      </c>
      <c r="K642" s="22" t="s">
        <v>19709</v>
      </c>
      <c r="L642" s="22"/>
      <c r="M642" s="22"/>
      <c r="N642" s="25"/>
    </row>
    <row r="643" spans="1:14" ht="24.75" x14ac:dyDescent="0.25">
      <c r="A643" s="21" t="s">
        <v>17501</v>
      </c>
      <c r="B643" s="22" t="s">
        <v>17502</v>
      </c>
      <c r="C643" s="2">
        <v>3</v>
      </c>
      <c r="D643" s="23">
        <v>7.5</v>
      </c>
      <c r="E643" s="3">
        <v>22.5</v>
      </c>
      <c r="F643" s="2" t="s">
        <v>17503</v>
      </c>
      <c r="G643" s="22" t="s">
        <v>17504</v>
      </c>
      <c r="H643" s="24" t="s">
        <v>17505</v>
      </c>
      <c r="I643" s="22" t="s">
        <v>19309</v>
      </c>
      <c r="J643" s="22" t="s">
        <v>19573</v>
      </c>
      <c r="K643" s="22" t="s">
        <v>19574</v>
      </c>
      <c r="L643" s="22"/>
      <c r="M643" s="22"/>
      <c r="N643" s="25"/>
    </row>
    <row r="644" spans="1:14" x14ac:dyDescent="0.25">
      <c r="A644" s="21" t="s">
        <v>10799</v>
      </c>
      <c r="B644" s="22" t="s">
        <v>10800</v>
      </c>
      <c r="C644" s="2">
        <v>1</v>
      </c>
      <c r="D644" s="23">
        <v>25.44</v>
      </c>
      <c r="E644" s="3">
        <v>25.44</v>
      </c>
      <c r="F644" s="2" t="s">
        <v>19707</v>
      </c>
      <c r="G644" s="22" t="s">
        <v>19323</v>
      </c>
      <c r="H644" s="24" t="s">
        <v>20159</v>
      </c>
      <c r="I644" s="22" t="s">
        <v>19309</v>
      </c>
      <c r="J644" s="22" t="s">
        <v>19708</v>
      </c>
      <c r="K644" s="22" t="s">
        <v>19709</v>
      </c>
      <c r="L644" s="22"/>
      <c r="M644" s="22"/>
      <c r="N644" s="25"/>
    </row>
    <row r="645" spans="1:14" x14ac:dyDescent="0.25">
      <c r="A645" s="21" t="s">
        <v>10801</v>
      </c>
      <c r="B645" s="22" t="s">
        <v>10802</v>
      </c>
      <c r="C645" s="2">
        <v>1</v>
      </c>
      <c r="D645" s="23">
        <v>24.65</v>
      </c>
      <c r="E645" s="3">
        <v>24.65</v>
      </c>
      <c r="F645" s="2" t="s">
        <v>10803</v>
      </c>
      <c r="G645" s="22" t="s">
        <v>18361</v>
      </c>
      <c r="H645" s="24" t="s">
        <v>19367</v>
      </c>
      <c r="I645" s="22" t="s">
        <v>19309</v>
      </c>
      <c r="J645" s="22" t="s">
        <v>19708</v>
      </c>
      <c r="K645" s="22" t="s">
        <v>19709</v>
      </c>
      <c r="L645" s="22"/>
      <c r="M645" s="22"/>
      <c r="N645" s="25"/>
    </row>
    <row r="646" spans="1:14" ht="24.75" x14ac:dyDescent="0.25">
      <c r="A646" s="21" t="s">
        <v>10804</v>
      </c>
      <c r="B646" s="22" t="s">
        <v>10805</v>
      </c>
      <c r="C646" s="2">
        <v>2</v>
      </c>
      <c r="D646" s="23">
        <v>21.43</v>
      </c>
      <c r="E646" s="3">
        <v>42.86</v>
      </c>
      <c r="F646" s="2" t="s">
        <v>10806</v>
      </c>
      <c r="G646" s="22"/>
      <c r="H646" s="24" t="s">
        <v>19334</v>
      </c>
      <c r="I646" s="22" t="s">
        <v>19309</v>
      </c>
      <c r="J646" s="22" t="s">
        <v>19602</v>
      </c>
      <c r="K646" s="22" t="s">
        <v>19603</v>
      </c>
      <c r="L646" s="22"/>
      <c r="M646" s="22"/>
      <c r="N646" s="25"/>
    </row>
    <row r="647" spans="1:14" ht="24.75" x14ac:dyDescent="0.25">
      <c r="A647" s="21" t="s">
        <v>10807</v>
      </c>
      <c r="B647" s="22" t="s">
        <v>10808</v>
      </c>
      <c r="C647" s="2">
        <v>1</v>
      </c>
      <c r="D647" s="23">
        <v>17.989999999999998</v>
      </c>
      <c r="E647" s="3">
        <v>17.989999999999998</v>
      </c>
      <c r="F647" s="2" t="s">
        <v>10809</v>
      </c>
      <c r="G647" s="22" t="s">
        <v>18073</v>
      </c>
      <c r="H647" s="24" t="s">
        <v>19797</v>
      </c>
      <c r="I647" s="22" t="s">
        <v>19309</v>
      </c>
      <c r="J647" s="22" t="s">
        <v>19508</v>
      </c>
      <c r="K647" s="22" t="s">
        <v>19509</v>
      </c>
      <c r="L647" s="22"/>
      <c r="M647" s="22"/>
      <c r="N647" s="25"/>
    </row>
    <row r="648" spans="1:14" ht="24.75" x14ac:dyDescent="0.25">
      <c r="A648" s="21" t="s">
        <v>13568</v>
      </c>
      <c r="B648" s="22" t="s">
        <v>13569</v>
      </c>
      <c r="C648" s="2">
        <v>1</v>
      </c>
      <c r="D648" s="23">
        <v>18.61</v>
      </c>
      <c r="E648" s="3">
        <v>18.61</v>
      </c>
      <c r="F648" s="2" t="s">
        <v>15352</v>
      </c>
      <c r="G648" s="22"/>
      <c r="H648" s="24" t="s">
        <v>19392</v>
      </c>
      <c r="I648" s="22" t="s">
        <v>19309</v>
      </c>
      <c r="J648" s="22" t="s">
        <v>19602</v>
      </c>
      <c r="K648" s="22" t="s">
        <v>20041</v>
      </c>
      <c r="L648" s="22"/>
      <c r="M648" s="22"/>
      <c r="N648" s="25"/>
    </row>
    <row r="649" spans="1:14" ht="24.75" x14ac:dyDescent="0.25">
      <c r="A649" s="21" t="s">
        <v>10810</v>
      </c>
      <c r="B649" s="22" t="s">
        <v>10811</v>
      </c>
      <c r="C649" s="2">
        <v>1</v>
      </c>
      <c r="D649" s="23">
        <v>18.22</v>
      </c>
      <c r="E649" s="3">
        <v>18.22</v>
      </c>
      <c r="F649" s="2" t="s">
        <v>10812</v>
      </c>
      <c r="G649" s="22"/>
      <c r="H649" s="24" t="s">
        <v>19432</v>
      </c>
      <c r="I649" s="22" t="s">
        <v>19309</v>
      </c>
      <c r="J649" s="22" t="s">
        <v>19602</v>
      </c>
      <c r="K649" s="22" t="s">
        <v>19603</v>
      </c>
      <c r="L649" s="22"/>
      <c r="M649" s="22"/>
      <c r="N649" s="25"/>
    </row>
    <row r="650" spans="1:14" ht="24.75" x14ac:dyDescent="0.25">
      <c r="A650" s="21" t="s">
        <v>10813</v>
      </c>
      <c r="B650" s="22" t="s">
        <v>10814</v>
      </c>
      <c r="C650" s="2">
        <v>1</v>
      </c>
      <c r="D650" s="23">
        <v>16.72</v>
      </c>
      <c r="E650" s="3">
        <v>16.72</v>
      </c>
      <c r="F650" s="2" t="s">
        <v>10815</v>
      </c>
      <c r="G650" s="22"/>
      <c r="H650" s="24"/>
      <c r="I650" s="22" t="s">
        <v>19309</v>
      </c>
      <c r="J650" s="22" t="s">
        <v>19602</v>
      </c>
      <c r="K650" s="22" t="s">
        <v>20041</v>
      </c>
      <c r="L650" s="22"/>
      <c r="M650" s="22"/>
      <c r="N650" s="25"/>
    </row>
    <row r="651" spans="1:14" ht="24.75" x14ac:dyDescent="0.25">
      <c r="A651" s="21" t="s">
        <v>10816</v>
      </c>
      <c r="B651" s="22" t="s">
        <v>10817</v>
      </c>
      <c r="C651" s="2">
        <v>1</v>
      </c>
      <c r="D651" s="23">
        <v>14.99</v>
      </c>
      <c r="E651" s="3">
        <v>14.99</v>
      </c>
      <c r="F651" s="2" t="s">
        <v>16088</v>
      </c>
      <c r="G651" s="22" t="s">
        <v>19338</v>
      </c>
      <c r="H651" s="24" t="s">
        <v>20152</v>
      </c>
      <c r="I651" s="22" t="s">
        <v>19309</v>
      </c>
      <c r="J651" s="22" t="s">
        <v>19385</v>
      </c>
      <c r="K651" s="22" t="s">
        <v>19463</v>
      </c>
      <c r="L651" s="22"/>
      <c r="M651" s="22"/>
      <c r="N651" s="25"/>
    </row>
    <row r="652" spans="1:14" ht="24.75" x14ac:dyDescent="0.25">
      <c r="A652" s="21" t="s">
        <v>10818</v>
      </c>
      <c r="B652" s="22" t="s">
        <v>10817</v>
      </c>
      <c r="C652" s="2">
        <v>1</v>
      </c>
      <c r="D652" s="23">
        <v>14.99</v>
      </c>
      <c r="E652" s="3">
        <v>14.99</v>
      </c>
      <c r="F652" s="2" t="s">
        <v>16088</v>
      </c>
      <c r="G652" s="22" t="s">
        <v>19338</v>
      </c>
      <c r="H652" s="24" t="s">
        <v>19367</v>
      </c>
      <c r="I652" s="22" t="s">
        <v>19309</v>
      </c>
      <c r="J652" s="22" t="s">
        <v>19385</v>
      </c>
      <c r="K652" s="22" t="s">
        <v>19463</v>
      </c>
      <c r="L652" s="22"/>
      <c r="M652" s="22"/>
      <c r="N652" s="25"/>
    </row>
    <row r="653" spans="1:14" x14ac:dyDescent="0.25">
      <c r="A653" s="21" t="s">
        <v>10819</v>
      </c>
      <c r="B653" s="22" t="s">
        <v>10820</v>
      </c>
      <c r="C653" s="2">
        <v>1</v>
      </c>
      <c r="D653" s="23">
        <v>15.83</v>
      </c>
      <c r="E653" s="3">
        <v>15.83</v>
      </c>
      <c r="F653" s="2" t="s">
        <v>18272</v>
      </c>
      <c r="G653" s="22" t="s">
        <v>19351</v>
      </c>
      <c r="H653" s="24" t="s">
        <v>19367</v>
      </c>
      <c r="I653" s="22" t="s">
        <v>19309</v>
      </c>
      <c r="J653" s="22" t="s">
        <v>19708</v>
      </c>
      <c r="K653" s="22" t="s">
        <v>19709</v>
      </c>
      <c r="L653" s="22"/>
      <c r="M653" s="22"/>
      <c r="N653" s="25"/>
    </row>
    <row r="654" spans="1:14" x14ac:dyDescent="0.25">
      <c r="A654" s="21" t="s">
        <v>10821</v>
      </c>
      <c r="B654" s="22" t="s">
        <v>10822</v>
      </c>
      <c r="C654" s="2">
        <v>1</v>
      </c>
      <c r="D654" s="23">
        <v>15.13</v>
      </c>
      <c r="E654" s="3">
        <v>15.13</v>
      </c>
      <c r="F654" s="2" t="s">
        <v>10823</v>
      </c>
      <c r="G654" s="22"/>
      <c r="H654" s="24" t="s">
        <v>19770</v>
      </c>
      <c r="I654" s="22" t="s">
        <v>19309</v>
      </c>
      <c r="J654" s="22" t="s">
        <v>19708</v>
      </c>
      <c r="K654" s="22" t="s">
        <v>19709</v>
      </c>
      <c r="L654" s="22"/>
      <c r="M654" s="22"/>
      <c r="N654" s="25"/>
    </row>
    <row r="655" spans="1:14" x14ac:dyDescent="0.25">
      <c r="A655" s="21" t="s">
        <v>10824</v>
      </c>
      <c r="B655" s="22" t="s">
        <v>10825</v>
      </c>
      <c r="C655" s="2">
        <v>1</v>
      </c>
      <c r="D655" s="23">
        <v>14.93</v>
      </c>
      <c r="E655" s="3">
        <v>14.93</v>
      </c>
      <c r="F655" s="2" t="s">
        <v>13210</v>
      </c>
      <c r="G655" s="22" t="s">
        <v>18361</v>
      </c>
      <c r="H655" s="24" t="s">
        <v>19367</v>
      </c>
      <c r="I655" s="22" t="s">
        <v>19309</v>
      </c>
      <c r="J655" s="22" t="s">
        <v>19708</v>
      </c>
      <c r="K655" s="22" t="s">
        <v>19709</v>
      </c>
      <c r="L655" s="22"/>
      <c r="M655" s="22"/>
      <c r="N655" s="25"/>
    </row>
    <row r="656" spans="1:14" ht="24.75" x14ac:dyDescent="0.25">
      <c r="A656" s="21" t="s">
        <v>10826</v>
      </c>
      <c r="B656" s="22" t="s">
        <v>10827</v>
      </c>
      <c r="C656" s="2">
        <v>1</v>
      </c>
      <c r="D656" s="23">
        <v>13.22</v>
      </c>
      <c r="E656" s="3">
        <v>13.22</v>
      </c>
      <c r="F656" s="2" t="s">
        <v>10828</v>
      </c>
      <c r="G656" s="22"/>
      <c r="H656" s="24" t="s">
        <v>19392</v>
      </c>
      <c r="I656" s="22" t="s">
        <v>19309</v>
      </c>
      <c r="J656" s="22" t="s">
        <v>19602</v>
      </c>
      <c r="K656" s="22" t="s">
        <v>20041</v>
      </c>
      <c r="L656" s="22"/>
      <c r="M656" s="22"/>
      <c r="N656" s="25"/>
    </row>
    <row r="657" spans="1:14" x14ac:dyDescent="0.25">
      <c r="A657" s="21" t="s">
        <v>10829</v>
      </c>
      <c r="B657" s="22" t="s">
        <v>10830</v>
      </c>
      <c r="C657" s="2">
        <v>1</v>
      </c>
      <c r="D657" s="23">
        <v>18.11</v>
      </c>
      <c r="E657" s="3">
        <v>18.11</v>
      </c>
      <c r="F657" s="2" t="s">
        <v>10831</v>
      </c>
      <c r="G657" s="22" t="s">
        <v>19323</v>
      </c>
      <c r="H657" s="24" t="s">
        <v>20152</v>
      </c>
      <c r="I657" s="22" t="s">
        <v>19309</v>
      </c>
      <c r="J657" s="22" t="s">
        <v>19708</v>
      </c>
      <c r="K657" s="22" t="s">
        <v>19709</v>
      </c>
      <c r="L657" s="22"/>
      <c r="M657" s="22"/>
      <c r="N657" s="25"/>
    </row>
    <row r="658" spans="1:14" ht="24.75" x14ac:dyDescent="0.25">
      <c r="A658" s="21" t="s">
        <v>10832</v>
      </c>
      <c r="B658" s="22" t="s">
        <v>10833</v>
      </c>
      <c r="C658" s="2">
        <v>1</v>
      </c>
      <c r="D658" s="23">
        <v>10.91</v>
      </c>
      <c r="E658" s="3">
        <v>10.91</v>
      </c>
      <c r="F658" s="2" t="s">
        <v>10834</v>
      </c>
      <c r="G658" s="22"/>
      <c r="H658" s="24" t="s">
        <v>19334</v>
      </c>
      <c r="I658" s="22" t="s">
        <v>19309</v>
      </c>
      <c r="J658" s="22" t="s">
        <v>19602</v>
      </c>
      <c r="K658" s="22" t="s">
        <v>19603</v>
      </c>
      <c r="L658" s="22"/>
      <c r="M658" s="22"/>
      <c r="N658" s="25"/>
    </row>
    <row r="659" spans="1:14" x14ac:dyDescent="0.25">
      <c r="A659" s="21" t="s">
        <v>10835</v>
      </c>
      <c r="B659" s="22" t="s">
        <v>10836</v>
      </c>
      <c r="C659" s="2">
        <v>1</v>
      </c>
      <c r="D659" s="23">
        <v>9.1</v>
      </c>
      <c r="E659" s="3">
        <v>9.1</v>
      </c>
      <c r="F659" s="2" t="s">
        <v>10837</v>
      </c>
      <c r="G659" s="22" t="s">
        <v>19431</v>
      </c>
      <c r="H659" s="24" t="s">
        <v>19367</v>
      </c>
      <c r="I659" s="22" t="s">
        <v>19309</v>
      </c>
      <c r="J659" s="22" t="s">
        <v>19708</v>
      </c>
      <c r="K659" s="22" t="s">
        <v>19709</v>
      </c>
      <c r="L659" s="22"/>
      <c r="M659" s="22"/>
      <c r="N659" s="25"/>
    </row>
  </sheetData>
  <phoneticPr fontId="0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7"/>
  <sheetViews>
    <sheetView workbookViewId="0">
      <selection activeCell="E12" sqref="E12"/>
    </sheetView>
  </sheetViews>
  <sheetFormatPr defaultRowHeight="15" x14ac:dyDescent="0.25"/>
  <cols>
    <col min="1" max="1" width="14.42578125" customWidth="1"/>
    <col min="2" max="2" width="49.140625" customWidth="1"/>
    <col min="3" max="4" width="15" customWidth="1"/>
    <col min="5" max="5" width="10.85546875" customWidth="1"/>
    <col min="6" max="6" width="13.140625" customWidth="1"/>
    <col min="7" max="8" width="11.42578125" customWidth="1"/>
    <col min="9" max="9" width="10.85546875" customWidth="1"/>
    <col min="10" max="10" width="12.140625" customWidth="1"/>
    <col min="11" max="11" width="36.5703125" bestFit="1" customWidth="1"/>
    <col min="12" max="13" width="20.5703125" customWidth="1"/>
    <col min="14" max="14" width="64.42578125" customWidth="1"/>
  </cols>
  <sheetData>
    <row r="1" spans="1:14" ht="36" x14ac:dyDescent="0.25">
      <c r="A1" s="1" t="s">
        <v>19291</v>
      </c>
      <c r="B1" s="1" t="s">
        <v>19292</v>
      </c>
      <c r="C1" s="1" t="s">
        <v>19293</v>
      </c>
      <c r="D1" s="1" t="s">
        <v>19284</v>
      </c>
      <c r="E1" s="1" t="s">
        <v>19294</v>
      </c>
      <c r="F1" s="1" t="s">
        <v>19295</v>
      </c>
      <c r="G1" s="1" t="s">
        <v>19296</v>
      </c>
      <c r="H1" s="1" t="s">
        <v>19297</v>
      </c>
      <c r="I1" s="1" t="s">
        <v>19298</v>
      </c>
      <c r="J1" s="1" t="s">
        <v>19299</v>
      </c>
      <c r="K1" s="1" t="s">
        <v>19300</v>
      </c>
      <c r="L1" s="1" t="s">
        <v>19301</v>
      </c>
      <c r="M1" s="1" t="s">
        <v>19302</v>
      </c>
      <c r="N1" s="1" t="s">
        <v>19303</v>
      </c>
    </row>
    <row r="2" spans="1:14" ht="24.75" x14ac:dyDescent="0.25">
      <c r="A2" s="21" t="s">
        <v>19328</v>
      </c>
      <c r="B2" s="22" t="s">
        <v>19329</v>
      </c>
      <c r="C2" s="2">
        <v>2</v>
      </c>
      <c r="D2" s="23">
        <v>65</v>
      </c>
      <c r="E2" s="3">
        <v>130</v>
      </c>
      <c r="F2" s="2">
        <v>310874033001</v>
      </c>
      <c r="G2" s="22" t="s">
        <v>19323</v>
      </c>
      <c r="H2" s="24" t="s">
        <v>19330</v>
      </c>
      <c r="I2" s="22" t="s">
        <v>19309</v>
      </c>
      <c r="J2" s="22" t="s">
        <v>19325</v>
      </c>
      <c r="K2" s="22" t="s">
        <v>19326</v>
      </c>
      <c r="L2" s="22"/>
      <c r="M2" s="22"/>
      <c r="N2" s="25" t="str">
        <f>HYPERLINK("http://slimages.macys.com/is/image/MCY/22118876 ")</f>
        <v xml:space="preserve">http://slimages.macys.com/is/image/MCY/22118876 </v>
      </c>
    </row>
    <row r="3" spans="1:14" ht="36.75" x14ac:dyDescent="0.25">
      <c r="A3" s="21" t="s">
        <v>10838</v>
      </c>
      <c r="B3" s="22" t="s">
        <v>10839</v>
      </c>
      <c r="C3" s="2">
        <v>8</v>
      </c>
      <c r="D3" s="23">
        <v>65</v>
      </c>
      <c r="E3" s="3">
        <v>520</v>
      </c>
      <c r="F3" s="2">
        <v>310874033001</v>
      </c>
      <c r="G3" s="22" t="s">
        <v>19323</v>
      </c>
      <c r="H3" s="24" t="s">
        <v>20159</v>
      </c>
      <c r="I3" s="22" t="s">
        <v>19309</v>
      </c>
      <c r="J3" s="22" t="s">
        <v>19325</v>
      </c>
      <c r="K3" s="22" t="s">
        <v>19326</v>
      </c>
      <c r="L3" s="22" t="s">
        <v>19319</v>
      </c>
      <c r="M3" s="22" t="s">
        <v>19327</v>
      </c>
      <c r="N3" s="25" t="str">
        <f>HYPERLINK("http://images.bloomingdales.com/is/image/BLM/12239490 ")</f>
        <v xml:space="preserve">http://images.bloomingdales.com/is/image/BLM/12239490 </v>
      </c>
    </row>
    <row r="4" spans="1:14" ht="24.75" x14ac:dyDescent="0.25">
      <c r="A4" s="21" t="s">
        <v>10840</v>
      </c>
      <c r="B4" s="22" t="s">
        <v>10841</v>
      </c>
      <c r="C4" s="2">
        <v>1</v>
      </c>
      <c r="D4" s="23">
        <v>45</v>
      </c>
      <c r="E4" s="3">
        <v>45</v>
      </c>
      <c r="F4" s="2">
        <v>1369473</v>
      </c>
      <c r="G4" s="22" t="s">
        <v>19431</v>
      </c>
      <c r="H4" s="24" t="s">
        <v>19364</v>
      </c>
      <c r="I4" s="22" t="s">
        <v>19309</v>
      </c>
      <c r="J4" s="22" t="s">
        <v>19310</v>
      </c>
      <c r="K4" s="22" t="s">
        <v>17686</v>
      </c>
      <c r="L4" s="22"/>
      <c r="M4" s="22"/>
      <c r="N4" s="25" t="str">
        <f>HYPERLINK("http://slimages.macys.com/is/image/MCY/20071626 ")</f>
        <v xml:space="preserve">http://slimages.macys.com/is/image/MCY/20071626 </v>
      </c>
    </row>
    <row r="5" spans="1:14" ht="24.75" x14ac:dyDescent="0.25">
      <c r="A5" s="21" t="s">
        <v>10842</v>
      </c>
      <c r="B5" s="22" t="s">
        <v>10843</v>
      </c>
      <c r="C5" s="2">
        <v>2</v>
      </c>
      <c r="D5" s="23">
        <v>40.99</v>
      </c>
      <c r="E5" s="3">
        <v>81.98</v>
      </c>
      <c r="F5" s="2">
        <v>445102</v>
      </c>
      <c r="G5" s="22" t="s">
        <v>19333</v>
      </c>
      <c r="H5" s="24" t="s">
        <v>18168</v>
      </c>
      <c r="I5" s="22" t="s">
        <v>19309</v>
      </c>
      <c r="J5" s="22" t="s">
        <v>16678</v>
      </c>
      <c r="K5" s="22" t="s">
        <v>10844</v>
      </c>
      <c r="L5" s="22"/>
      <c r="M5" s="22"/>
      <c r="N5" s="25" t="str">
        <f>HYPERLINK("http://slimages.macys.com/is/image/MCY/1687779 ")</f>
        <v xml:space="preserve">http://slimages.macys.com/is/image/MCY/1687779 </v>
      </c>
    </row>
    <row r="6" spans="1:14" ht="24.75" x14ac:dyDescent="0.25">
      <c r="A6" s="21" t="s">
        <v>10845</v>
      </c>
      <c r="B6" s="22" t="s">
        <v>10846</v>
      </c>
      <c r="C6" s="2">
        <v>1</v>
      </c>
      <c r="D6" s="23">
        <v>39.5</v>
      </c>
      <c r="E6" s="3">
        <v>39.5</v>
      </c>
      <c r="F6" s="2">
        <v>323836726001</v>
      </c>
      <c r="G6" s="22" t="s">
        <v>19338</v>
      </c>
      <c r="H6" s="24" t="s">
        <v>19339</v>
      </c>
      <c r="I6" s="22" t="s">
        <v>19309</v>
      </c>
      <c r="J6" s="22" t="s">
        <v>19335</v>
      </c>
      <c r="K6" s="22" t="s">
        <v>19326</v>
      </c>
      <c r="L6" s="22"/>
      <c r="M6" s="22"/>
      <c r="N6" s="25" t="str">
        <f>HYPERLINK("http://slimages.macys.com/is/image/MCY/18574996 ")</f>
        <v xml:space="preserve">http://slimages.macys.com/is/image/MCY/18574996 </v>
      </c>
    </row>
    <row r="7" spans="1:14" ht="24.75" x14ac:dyDescent="0.25">
      <c r="A7" s="21" t="s">
        <v>10847</v>
      </c>
      <c r="B7" s="22" t="s">
        <v>10848</v>
      </c>
      <c r="C7" s="2">
        <v>3</v>
      </c>
      <c r="D7" s="23">
        <v>39.5</v>
      </c>
      <c r="E7" s="3">
        <v>118.5</v>
      </c>
      <c r="F7" s="2">
        <v>322842275002</v>
      </c>
      <c r="G7" s="22" t="s">
        <v>19333</v>
      </c>
      <c r="H7" s="24" t="s">
        <v>19432</v>
      </c>
      <c r="I7" s="22" t="s">
        <v>19309</v>
      </c>
      <c r="J7" s="22" t="s">
        <v>19335</v>
      </c>
      <c r="K7" s="22" t="s">
        <v>19326</v>
      </c>
      <c r="L7" s="22"/>
      <c r="M7" s="22"/>
      <c r="N7" s="25" t="str">
        <f>HYPERLINK("http://slimages.macys.com/is/image/MCY/19469073 ")</f>
        <v xml:space="preserve">http://slimages.macys.com/is/image/MCY/19469073 </v>
      </c>
    </row>
    <row r="8" spans="1:14" x14ac:dyDescent="0.25">
      <c r="A8" s="21" t="s">
        <v>10849</v>
      </c>
      <c r="B8" s="22" t="s">
        <v>10850</v>
      </c>
      <c r="C8" s="2">
        <v>18</v>
      </c>
      <c r="D8" s="23">
        <v>32.99</v>
      </c>
      <c r="E8" s="3">
        <v>593.82000000000005</v>
      </c>
      <c r="F8" s="2" t="s">
        <v>15093</v>
      </c>
      <c r="G8" s="22" t="s">
        <v>19307</v>
      </c>
      <c r="H8" s="24" t="s">
        <v>19352</v>
      </c>
      <c r="I8" s="22" t="s">
        <v>19309</v>
      </c>
      <c r="J8" s="22" t="s">
        <v>19310</v>
      </c>
      <c r="K8" s="22" t="s">
        <v>19311</v>
      </c>
      <c r="L8" s="22"/>
      <c r="M8" s="22"/>
      <c r="N8" s="25" t="str">
        <f>HYPERLINK("http://slimages.macys.com/is/image/MCY/17980581 ")</f>
        <v xml:space="preserve">http://slimages.macys.com/is/image/MCY/17980581 </v>
      </c>
    </row>
    <row r="9" spans="1:14" ht="24.75" x14ac:dyDescent="0.25">
      <c r="A9" s="21" t="s">
        <v>10851</v>
      </c>
      <c r="B9" s="22" t="s">
        <v>10852</v>
      </c>
      <c r="C9" s="2">
        <v>1</v>
      </c>
      <c r="D9" s="23">
        <v>44.99</v>
      </c>
      <c r="E9" s="3">
        <v>44.99</v>
      </c>
      <c r="F9" s="2" t="s">
        <v>10853</v>
      </c>
      <c r="G9" s="22" t="s">
        <v>18821</v>
      </c>
      <c r="H9" s="24" t="s">
        <v>19316</v>
      </c>
      <c r="I9" s="22" t="s">
        <v>19309</v>
      </c>
      <c r="J9" s="22" t="s">
        <v>19400</v>
      </c>
      <c r="K9" s="22" t="s">
        <v>19423</v>
      </c>
      <c r="L9" s="22"/>
      <c r="M9" s="22"/>
      <c r="N9" s="25" t="str">
        <f>HYPERLINK("http://slimages.macys.com/is/image/MCY/18431467 ")</f>
        <v xml:space="preserve">http://slimages.macys.com/is/image/MCY/18431467 </v>
      </c>
    </row>
    <row r="10" spans="1:14" ht="24.75" x14ac:dyDescent="0.25">
      <c r="A10" s="21" t="s">
        <v>19408</v>
      </c>
      <c r="B10" s="22" t="s">
        <v>19409</v>
      </c>
      <c r="C10" s="2">
        <v>1</v>
      </c>
      <c r="D10" s="23">
        <v>34.99</v>
      </c>
      <c r="E10" s="3">
        <v>34.99</v>
      </c>
      <c r="F10" s="2" t="s">
        <v>19410</v>
      </c>
      <c r="G10" s="22"/>
      <c r="H10" s="24" t="s">
        <v>19324</v>
      </c>
      <c r="I10" s="22" t="s">
        <v>19309</v>
      </c>
      <c r="J10" s="22" t="s">
        <v>19385</v>
      </c>
      <c r="K10" s="22" t="s">
        <v>19411</v>
      </c>
      <c r="L10" s="22"/>
      <c r="M10" s="22"/>
      <c r="N10" s="25" t="str">
        <f>HYPERLINK("http://slimages.macys.com/is/image/MCY/21628398 ")</f>
        <v xml:space="preserve">http://slimages.macys.com/is/image/MCY/21628398 </v>
      </c>
    </row>
    <row r="11" spans="1:14" x14ac:dyDescent="0.25">
      <c r="A11" s="21" t="s">
        <v>10854</v>
      </c>
      <c r="B11" s="22" t="s">
        <v>10855</v>
      </c>
      <c r="C11" s="2">
        <v>2</v>
      </c>
      <c r="D11" s="23">
        <v>25.99</v>
      </c>
      <c r="E11" s="3">
        <v>51.98</v>
      </c>
      <c r="F11" s="2" t="s">
        <v>10856</v>
      </c>
      <c r="G11" s="22"/>
      <c r="H11" s="24" t="s">
        <v>19395</v>
      </c>
      <c r="I11" s="22" t="s">
        <v>19309</v>
      </c>
      <c r="J11" s="22" t="s">
        <v>19310</v>
      </c>
      <c r="K11" s="22" t="s">
        <v>11813</v>
      </c>
      <c r="L11" s="22"/>
      <c r="M11" s="22"/>
      <c r="N11" s="25" t="str">
        <f>HYPERLINK("http://slimages.macys.com/is/image/MCY/19181736 ")</f>
        <v xml:space="preserve">http://slimages.macys.com/is/image/MCY/19181736 </v>
      </c>
    </row>
    <row r="12" spans="1:14" ht="24.75" x14ac:dyDescent="0.25">
      <c r="A12" s="21" t="s">
        <v>10857</v>
      </c>
      <c r="B12" s="22" t="s">
        <v>10858</v>
      </c>
      <c r="C12" s="2">
        <v>7</v>
      </c>
      <c r="D12" s="23">
        <v>22.99</v>
      </c>
      <c r="E12" s="3">
        <v>160.93</v>
      </c>
      <c r="F12" s="2" t="s">
        <v>10859</v>
      </c>
      <c r="G12" s="22" t="s">
        <v>19351</v>
      </c>
      <c r="H12" s="24" t="s">
        <v>19330</v>
      </c>
      <c r="I12" s="22" t="s">
        <v>19309</v>
      </c>
      <c r="J12" s="22" t="s">
        <v>19385</v>
      </c>
      <c r="K12" s="22" t="s">
        <v>19458</v>
      </c>
      <c r="L12" s="22"/>
      <c r="M12" s="22"/>
      <c r="N12" s="25" t="str">
        <f>HYPERLINK("http://slimages.macys.com/is/image/MCY/21423421 ")</f>
        <v xml:space="preserve">http://slimages.macys.com/is/image/MCY/21423421 </v>
      </c>
    </row>
    <row r="13" spans="1:14" ht="24.75" x14ac:dyDescent="0.25">
      <c r="A13" s="21" t="s">
        <v>10860</v>
      </c>
      <c r="B13" s="22" t="s">
        <v>10861</v>
      </c>
      <c r="C13" s="2">
        <v>1</v>
      </c>
      <c r="D13" s="23">
        <v>28.99</v>
      </c>
      <c r="E13" s="3">
        <v>28.99</v>
      </c>
      <c r="F13" s="2" t="s">
        <v>10862</v>
      </c>
      <c r="G13" s="22" t="s">
        <v>19342</v>
      </c>
      <c r="H13" s="24" t="s">
        <v>19361</v>
      </c>
      <c r="I13" s="22" t="s">
        <v>19309</v>
      </c>
      <c r="J13" s="22" t="s">
        <v>19550</v>
      </c>
      <c r="K13" s="22" t="s">
        <v>19546</v>
      </c>
      <c r="L13" s="22"/>
      <c r="M13" s="22"/>
      <c r="N13" s="25" t="str">
        <f>HYPERLINK("http://slimages.macys.com/is/image/MCY/19731640 ")</f>
        <v xml:space="preserve">http://slimages.macys.com/is/image/MCY/19731640 </v>
      </c>
    </row>
    <row r="14" spans="1:14" ht="24.75" x14ac:dyDescent="0.25">
      <c r="A14" s="21" t="s">
        <v>10863</v>
      </c>
      <c r="B14" s="22" t="s">
        <v>10864</v>
      </c>
      <c r="C14" s="2">
        <v>1</v>
      </c>
      <c r="D14" s="23">
        <v>28.99</v>
      </c>
      <c r="E14" s="3">
        <v>28.99</v>
      </c>
      <c r="F14" s="2" t="s">
        <v>10865</v>
      </c>
      <c r="G14" s="22" t="s">
        <v>19342</v>
      </c>
      <c r="H14" s="24" t="s">
        <v>19345</v>
      </c>
      <c r="I14" s="22" t="s">
        <v>19309</v>
      </c>
      <c r="J14" s="22" t="s">
        <v>19550</v>
      </c>
      <c r="K14" s="22" t="s">
        <v>19554</v>
      </c>
      <c r="L14" s="22"/>
      <c r="M14" s="22"/>
      <c r="N14" s="25" t="str">
        <f>HYPERLINK("http://slimages.macys.com/is/image/MCY/20545355 ")</f>
        <v xml:space="preserve">http://slimages.macys.com/is/image/MCY/20545355 </v>
      </c>
    </row>
    <row r="15" spans="1:14" ht="24.75" x14ac:dyDescent="0.25">
      <c r="A15" s="21" t="s">
        <v>15628</v>
      </c>
      <c r="B15" s="22" t="s">
        <v>15629</v>
      </c>
      <c r="C15" s="2">
        <v>4</v>
      </c>
      <c r="D15" s="23">
        <v>24.99</v>
      </c>
      <c r="E15" s="3">
        <v>99.96</v>
      </c>
      <c r="F15" s="2" t="s">
        <v>17681</v>
      </c>
      <c r="G15" s="22" t="s">
        <v>19618</v>
      </c>
      <c r="H15" s="24" t="s">
        <v>19797</v>
      </c>
      <c r="I15" s="22" t="s">
        <v>19309</v>
      </c>
      <c r="J15" s="22" t="s">
        <v>19447</v>
      </c>
      <c r="K15" s="22" t="s">
        <v>19533</v>
      </c>
      <c r="L15" s="22"/>
      <c r="M15" s="22"/>
      <c r="N15" s="25" t="str">
        <f>HYPERLINK("http://slimages.macys.com/is/image/MCY/21150450 ")</f>
        <v xml:space="preserve">http://slimages.macys.com/is/image/MCY/21150450 </v>
      </c>
    </row>
    <row r="16" spans="1:14" x14ac:dyDescent="0.25">
      <c r="A16" s="21" t="s">
        <v>10866</v>
      </c>
      <c r="B16" s="22" t="s">
        <v>10867</v>
      </c>
      <c r="C16" s="2">
        <v>1</v>
      </c>
      <c r="D16" s="23">
        <v>30.99</v>
      </c>
      <c r="E16" s="3">
        <v>30.99</v>
      </c>
      <c r="F16" s="2" t="s">
        <v>10868</v>
      </c>
      <c r="G16" s="22" t="s">
        <v>19342</v>
      </c>
      <c r="H16" s="24" t="s">
        <v>19395</v>
      </c>
      <c r="I16" s="22" t="s">
        <v>19309</v>
      </c>
      <c r="J16" s="22" t="s">
        <v>19696</v>
      </c>
      <c r="K16" s="22" t="s">
        <v>19965</v>
      </c>
      <c r="L16" s="22"/>
      <c r="M16" s="22"/>
      <c r="N16" s="25" t="str">
        <f>HYPERLINK("http://slimages.macys.com/is/image/MCY/21355979 ")</f>
        <v xml:space="preserve">http://slimages.macys.com/is/image/MCY/21355979 </v>
      </c>
    </row>
    <row r="17" spans="1:14" ht="24.75" x14ac:dyDescent="0.25">
      <c r="A17" s="21" t="s">
        <v>10869</v>
      </c>
      <c r="B17" s="22" t="s">
        <v>10870</v>
      </c>
      <c r="C17" s="2">
        <v>1</v>
      </c>
      <c r="D17" s="23">
        <v>21.6</v>
      </c>
      <c r="E17" s="3">
        <v>21.6</v>
      </c>
      <c r="F17" s="2" t="s">
        <v>10871</v>
      </c>
      <c r="G17" s="22" t="s">
        <v>19622</v>
      </c>
      <c r="H17" s="24"/>
      <c r="I17" s="22" t="s">
        <v>19309</v>
      </c>
      <c r="J17" s="22" t="s">
        <v>19317</v>
      </c>
      <c r="K17" s="22" t="s">
        <v>15106</v>
      </c>
      <c r="L17" s="22"/>
      <c r="M17" s="22"/>
      <c r="N17" s="25" t="str">
        <f>HYPERLINK("http://slimages.macys.com/is/image/MCY/19992508 ")</f>
        <v xml:space="preserve">http://slimages.macys.com/is/image/MCY/19992508 </v>
      </c>
    </row>
    <row r="18" spans="1:14" ht="24.75" x14ac:dyDescent="0.25">
      <c r="A18" s="21" t="s">
        <v>10872</v>
      </c>
      <c r="B18" s="22" t="s">
        <v>10873</v>
      </c>
      <c r="C18" s="2">
        <v>1</v>
      </c>
      <c r="D18" s="23">
        <v>29.99</v>
      </c>
      <c r="E18" s="3">
        <v>29.99</v>
      </c>
      <c r="F18" s="2" t="s">
        <v>10874</v>
      </c>
      <c r="G18" s="22" t="s">
        <v>19342</v>
      </c>
      <c r="H18" s="24"/>
      <c r="I18" s="22" t="s">
        <v>19309</v>
      </c>
      <c r="J18" s="22" t="s">
        <v>19696</v>
      </c>
      <c r="K18" s="22" t="s">
        <v>17718</v>
      </c>
      <c r="L18" s="22"/>
      <c r="M18" s="22"/>
      <c r="N18" s="25" t="str">
        <f>HYPERLINK("http://slimages.macys.com/is/image/MCY/21502553 ")</f>
        <v xml:space="preserve">http://slimages.macys.com/is/image/MCY/21502553 </v>
      </c>
    </row>
    <row r="19" spans="1:14" x14ac:dyDescent="0.25">
      <c r="A19" s="21" t="s">
        <v>10875</v>
      </c>
      <c r="B19" s="22" t="s">
        <v>10876</v>
      </c>
      <c r="C19" s="2">
        <v>10</v>
      </c>
      <c r="D19" s="23">
        <v>29.99</v>
      </c>
      <c r="E19" s="3">
        <v>299.89999999999998</v>
      </c>
      <c r="F19" s="2" t="s">
        <v>10877</v>
      </c>
      <c r="G19" s="22" t="s">
        <v>19342</v>
      </c>
      <c r="H19" s="24" t="s">
        <v>19395</v>
      </c>
      <c r="I19" s="22" t="s">
        <v>19309</v>
      </c>
      <c r="J19" s="22" t="s">
        <v>19696</v>
      </c>
      <c r="K19" s="22" t="s">
        <v>19697</v>
      </c>
      <c r="L19" s="22"/>
      <c r="M19" s="22"/>
      <c r="N19" s="25" t="str">
        <f>HYPERLINK("http://slimages.macys.com/is/image/MCY/21696379 ")</f>
        <v xml:space="preserve">http://slimages.macys.com/is/image/MCY/21696379 </v>
      </c>
    </row>
    <row r="20" spans="1:14" x14ac:dyDescent="0.25">
      <c r="A20" s="21" t="s">
        <v>10878</v>
      </c>
      <c r="B20" s="22" t="s">
        <v>10879</v>
      </c>
      <c r="C20" s="2">
        <v>7</v>
      </c>
      <c r="D20" s="23">
        <v>29.99</v>
      </c>
      <c r="E20" s="3">
        <v>209.93</v>
      </c>
      <c r="F20" s="2" t="s">
        <v>10877</v>
      </c>
      <c r="G20" s="22" t="s">
        <v>19342</v>
      </c>
      <c r="H20" s="24" t="s">
        <v>19478</v>
      </c>
      <c r="I20" s="22" t="s">
        <v>19309</v>
      </c>
      <c r="J20" s="22" t="s">
        <v>19696</v>
      </c>
      <c r="K20" s="22" t="s">
        <v>19697</v>
      </c>
      <c r="L20" s="22"/>
      <c r="M20" s="22"/>
      <c r="N20" s="25" t="str">
        <f>HYPERLINK("http://slimages.macys.com/is/image/MCY/21696384 ")</f>
        <v xml:space="preserve">http://slimages.macys.com/is/image/MCY/21696384 </v>
      </c>
    </row>
    <row r="21" spans="1:14" ht="24.75" x14ac:dyDescent="0.25">
      <c r="A21" s="21" t="s">
        <v>10880</v>
      </c>
      <c r="B21" s="22" t="s">
        <v>10881</v>
      </c>
      <c r="C21" s="2">
        <v>17</v>
      </c>
      <c r="D21" s="23">
        <v>24.99</v>
      </c>
      <c r="E21" s="3">
        <v>424.83</v>
      </c>
      <c r="F21" s="2" t="s">
        <v>10882</v>
      </c>
      <c r="G21" s="22" t="s">
        <v>19323</v>
      </c>
      <c r="H21" s="24" t="s">
        <v>19324</v>
      </c>
      <c r="I21" s="22" t="s">
        <v>19309</v>
      </c>
      <c r="J21" s="22" t="s">
        <v>19385</v>
      </c>
      <c r="K21" s="22" t="s">
        <v>19386</v>
      </c>
      <c r="L21" s="22"/>
      <c r="M21" s="22"/>
      <c r="N21" s="25" t="str">
        <f>HYPERLINK("http://slimages.macys.com/is/image/MCY/21820640 ")</f>
        <v xml:space="preserve">http://slimages.macys.com/is/image/MCY/21820640 </v>
      </c>
    </row>
    <row r="22" spans="1:14" ht="24.75" x14ac:dyDescent="0.25">
      <c r="A22" s="21" t="s">
        <v>10883</v>
      </c>
      <c r="B22" s="22" t="s">
        <v>10884</v>
      </c>
      <c r="C22" s="2">
        <v>8</v>
      </c>
      <c r="D22" s="23">
        <v>24.99</v>
      </c>
      <c r="E22" s="3">
        <v>199.92</v>
      </c>
      <c r="F22" s="2" t="s">
        <v>10885</v>
      </c>
      <c r="G22" s="22" t="s">
        <v>19660</v>
      </c>
      <c r="H22" s="24" t="s">
        <v>19324</v>
      </c>
      <c r="I22" s="22" t="s">
        <v>19309</v>
      </c>
      <c r="J22" s="22" t="s">
        <v>19385</v>
      </c>
      <c r="K22" s="22" t="s">
        <v>19386</v>
      </c>
      <c r="L22" s="22"/>
      <c r="M22" s="22"/>
      <c r="N22" s="25" t="str">
        <f>HYPERLINK("http://slimages.macys.com/is/image/MCY/21688904 ")</f>
        <v xml:space="preserve">http://slimages.macys.com/is/image/MCY/21688904 </v>
      </c>
    </row>
    <row r="23" spans="1:14" ht="24.75" x14ac:dyDescent="0.25">
      <c r="A23" s="21" t="s">
        <v>10886</v>
      </c>
      <c r="B23" s="22" t="s">
        <v>10887</v>
      </c>
      <c r="C23" s="2">
        <v>10</v>
      </c>
      <c r="D23" s="23">
        <v>24.99</v>
      </c>
      <c r="E23" s="3">
        <v>249.9</v>
      </c>
      <c r="F23" s="2" t="s">
        <v>10888</v>
      </c>
      <c r="G23" s="22" t="s">
        <v>19333</v>
      </c>
      <c r="H23" s="24" t="s">
        <v>19538</v>
      </c>
      <c r="I23" s="22" t="s">
        <v>19309</v>
      </c>
      <c r="J23" s="22" t="s">
        <v>19385</v>
      </c>
      <c r="K23" s="22" t="s">
        <v>19386</v>
      </c>
      <c r="L23" s="22"/>
      <c r="M23" s="22"/>
      <c r="N23" s="25" t="str">
        <f>HYPERLINK("http://slimages.macys.com/is/image/MCY/21313489 ")</f>
        <v xml:space="preserve">http://slimages.macys.com/is/image/MCY/21313489 </v>
      </c>
    </row>
    <row r="24" spans="1:14" ht="24.75" x14ac:dyDescent="0.25">
      <c r="A24" s="21" t="s">
        <v>10889</v>
      </c>
      <c r="B24" s="22" t="s">
        <v>10890</v>
      </c>
      <c r="C24" s="2">
        <v>27</v>
      </c>
      <c r="D24" s="23">
        <v>24.99</v>
      </c>
      <c r="E24" s="3">
        <v>674.73</v>
      </c>
      <c r="F24" s="2" t="s">
        <v>10882</v>
      </c>
      <c r="G24" s="22" t="s">
        <v>19323</v>
      </c>
      <c r="H24" s="24" t="s">
        <v>19330</v>
      </c>
      <c r="I24" s="22" t="s">
        <v>19309</v>
      </c>
      <c r="J24" s="22" t="s">
        <v>19385</v>
      </c>
      <c r="K24" s="22" t="s">
        <v>19386</v>
      </c>
      <c r="L24" s="22"/>
      <c r="M24" s="22"/>
      <c r="N24" s="25" t="str">
        <f>HYPERLINK("http://slimages.macys.com/is/image/MCY/21820640 ")</f>
        <v xml:space="preserve">http://slimages.macys.com/is/image/MCY/21820640 </v>
      </c>
    </row>
    <row r="25" spans="1:14" ht="24.75" x14ac:dyDescent="0.25">
      <c r="A25" s="21" t="s">
        <v>10891</v>
      </c>
      <c r="B25" s="22" t="s">
        <v>10892</v>
      </c>
      <c r="C25" s="2">
        <v>1</v>
      </c>
      <c r="D25" s="23">
        <v>24.99</v>
      </c>
      <c r="E25" s="3">
        <v>24.99</v>
      </c>
      <c r="F25" s="2" t="s">
        <v>10893</v>
      </c>
      <c r="G25" s="22" t="s">
        <v>19342</v>
      </c>
      <c r="H25" s="24" t="s">
        <v>19330</v>
      </c>
      <c r="I25" s="22" t="s">
        <v>19309</v>
      </c>
      <c r="J25" s="22" t="s">
        <v>19491</v>
      </c>
      <c r="K25" s="22" t="s">
        <v>19554</v>
      </c>
      <c r="L25" s="22"/>
      <c r="M25" s="22"/>
      <c r="N25" s="25" t="str">
        <f>HYPERLINK("http://slimages.macys.com/is/image/MCY/20123022 ")</f>
        <v xml:space="preserve">http://slimages.macys.com/is/image/MCY/20123022 </v>
      </c>
    </row>
    <row r="26" spans="1:14" ht="24.75" x14ac:dyDescent="0.25">
      <c r="A26" s="21" t="s">
        <v>10894</v>
      </c>
      <c r="B26" s="22" t="s">
        <v>10895</v>
      </c>
      <c r="C26" s="2">
        <v>5</v>
      </c>
      <c r="D26" s="23">
        <v>27.99</v>
      </c>
      <c r="E26" s="3">
        <v>139.94999999999999</v>
      </c>
      <c r="F26" s="2" t="s">
        <v>10896</v>
      </c>
      <c r="G26" s="22" t="s">
        <v>19342</v>
      </c>
      <c r="H26" s="24" t="s">
        <v>19334</v>
      </c>
      <c r="I26" s="22" t="s">
        <v>19309</v>
      </c>
      <c r="J26" s="22" t="s">
        <v>19696</v>
      </c>
      <c r="K26" s="22" t="s">
        <v>19965</v>
      </c>
      <c r="L26" s="22"/>
      <c r="M26" s="22"/>
      <c r="N26" s="25" t="str">
        <f>HYPERLINK("http://slimages.macys.com/is/image/MCY/21356000 ")</f>
        <v xml:space="preserve">http://slimages.macys.com/is/image/MCY/21356000 </v>
      </c>
    </row>
    <row r="27" spans="1:14" x14ac:dyDescent="0.25">
      <c r="A27" s="21" t="s">
        <v>10897</v>
      </c>
      <c r="B27" s="22" t="s">
        <v>10898</v>
      </c>
      <c r="C27" s="2">
        <v>6</v>
      </c>
      <c r="D27" s="23">
        <v>27.99</v>
      </c>
      <c r="E27" s="3">
        <v>167.94</v>
      </c>
      <c r="F27" s="2" t="s">
        <v>10899</v>
      </c>
      <c r="G27" s="22" t="s">
        <v>19342</v>
      </c>
      <c r="H27" s="24" t="s">
        <v>19345</v>
      </c>
      <c r="I27" s="22" t="s">
        <v>19309</v>
      </c>
      <c r="J27" s="22" t="s">
        <v>19696</v>
      </c>
      <c r="K27" s="22" t="s">
        <v>19697</v>
      </c>
      <c r="L27" s="22"/>
      <c r="M27" s="22"/>
      <c r="N27" s="25" t="str">
        <f>HYPERLINK("http://slimages.macys.com/is/image/MCY/21355157 ")</f>
        <v xml:space="preserve">http://slimages.macys.com/is/image/MCY/21355157 </v>
      </c>
    </row>
    <row r="28" spans="1:14" x14ac:dyDescent="0.25">
      <c r="A28" s="21" t="s">
        <v>10900</v>
      </c>
      <c r="B28" s="22" t="s">
        <v>10901</v>
      </c>
      <c r="C28" s="2">
        <v>12</v>
      </c>
      <c r="D28" s="23">
        <v>26.99</v>
      </c>
      <c r="E28" s="3">
        <v>323.88</v>
      </c>
      <c r="F28" s="2" t="s">
        <v>10902</v>
      </c>
      <c r="G28" s="22" t="s">
        <v>19342</v>
      </c>
      <c r="H28" s="24" t="s">
        <v>19395</v>
      </c>
      <c r="I28" s="22" t="s">
        <v>19309</v>
      </c>
      <c r="J28" s="22" t="s">
        <v>19696</v>
      </c>
      <c r="K28" s="22" t="s">
        <v>19697</v>
      </c>
      <c r="L28" s="22"/>
      <c r="M28" s="22"/>
      <c r="N28" s="25" t="str">
        <f>HYPERLINK("http://slimages.macys.com/is/image/MCY/21622671 ")</f>
        <v xml:space="preserve">http://slimages.macys.com/is/image/MCY/21622671 </v>
      </c>
    </row>
    <row r="29" spans="1:14" ht="24.75" x14ac:dyDescent="0.25">
      <c r="A29" s="21" t="s">
        <v>10903</v>
      </c>
      <c r="B29" s="22" t="s">
        <v>10904</v>
      </c>
      <c r="C29" s="2">
        <v>25</v>
      </c>
      <c r="D29" s="23">
        <v>24.99</v>
      </c>
      <c r="E29" s="3">
        <v>624.75</v>
      </c>
      <c r="F29" s="2" t="s">
        <v>10905</v>
      </c>
      <c r="G29" s="22" t="s">
        <v>19342</v>
      </c>
      <c r="H29" s="24" t="s">
        <v>19330</v>
      </c>
      <c r="I29" s="22" t="s">
        <v>19309</v>
      </c>
      <c r="J29" s="22" t="s">
        <v>19491</v>
      </c>
      <c r="K29" s="22" t="s">
        <v>19554</v>
      </c>
      <c r="L29" s="22"/>
      <c r="M29" s="22"/>
      <c r="N29" s="25" t="str">
        <f>HYPERLINK("http://slimages.macys.com/is/image/MCY/21483063 ")</f>
        <v xml:space="preserve">http://slimages.macys.com/is/image/MCY/21483063 </v>
      </c>
    </row>
    <row r="30" spans="1:14" x14ac:dyDescent="0.25">
      <c r="A30" s="21" t="s">
        <v>10906</v>
      </c>
      <c r="B30" s="22" t="s">
        <v>10907</v>
      </c>
      <c r="C30" s="2">
        <v>36</v>
      </c>
      <c r="D30" s="23">
        <v>20.58</v>
      </c>
      <c r="E30" s="3">
        <v>740.88</v>
      </c>
      <c r="F30" s="2" t="s">
        <v>10908</v>
      </c>
      <c r="G30" s="22" t="s">
        <v>19342</v>
      </c>
      <c r="H30" s="24" t="s">
        <v>19345</v>
      </c>
      <c r="I30" s="22" t="s">
        <v>19309</v>
      </c>
      <c r="J30" s="22" t="s">
        <v>19514</v>
      </c>
      <c r="K30" s="22" t="s">
        <v>10909</v>
      </c>
      <c r="L30" s="22"/>
      <c r="M30" s="22"/>
      <c r="N30" s="25" t="str">
        <f>HYPERLINK("http://slimages.macys.com/is/image/MCY/21192198 ")</f>
        <v xml:space="preserve">http://slimages.macys.com/is/image/MCY/21192198 </v>
      </c>
    </row>
    <row r="31" spans="1:14" ht="24.75" x14ac:dyDescent="0.25">
      <c r="A31" s="21" t="s">
        <v>10910</v>
      </c>
      <c r="B31" s="22" t="s">
        <v>10911</v>
      </c>
      <c r="C31" s="2">
        <v>1</v>
      </c>
      <c r="D31" s="23">
        <v>24.99</v>
      </c>
      <c r="E31" s="3">
        <v>24.99</v>
      </c>
      <c r="F31" s="2" t="s">
        <v>15796</v>
      </c>
      <c r="G31" s="22" t="s">
        <v>19594</v>
      </c>
      <c r="H31" s="24" t="s">
        <v>19324</v>
      </c>
      <c r="I31" s="22" t="s">
        <v>19309</v>
      </c>
      <c r="J31" s="22" t="s">
        <v>19385</v>
      </c>
      <c r="K31" s="22" t="s">
        <v>19386</v>
      </c>
      <c r="L31" s="22"/>
      <c r="M31" s="22"/>
      <c r="N31" s="25" t="str">
        <f>HYPERLINK("http://slimages.macys.com/is/image/MCY/21820646 ")</f>
        <v xml:space="preserve">http://slimages.macys.com/is/image/MCY/21820646 </v>
      </c>
    </row>
    <row r="32" spans="1:14" ht="24.75" x14ac:dyDescent="0.25">
      <c r="A32" s="21" t="s">
        <v>10912</v>
      </c>
      <c r="B32" s="22" t="s">
        <v>10913</v>
      </c>
      <c r="C32" s="2">
        <v>12</v>
      </c>
      <c r="D32" s="23">
        <v>21.41</v>
      </c>
      <c r="E32" s="3">
        <v>256.92</v>
      </c>
      <c r="F32" s="2" t="s">
        <v>17838</v>
      </c>
      <c r="G32" s="22"/>
      <c r="H32" s="24" t="s">
        <v>19392</v>
      </c>
      <c r="I32" s="22" t="s">
        <v>19309</v>
      </c>
      <c r="J32" s="22" t="s">
        <v>19602</v>
      </c>
      <c r="K32" s="22" t="s">
        <v>19603</v>
      </c>
      <c r="L32" s="22"/>
      <c r="M32" s="22"/>
      <c r="N32" s="25" t="str">
        <f>HYPERLINK("http://slimages.macys.com/is/image/MCY/21723232 ")</f>
        <v xml:space="preserve">http://slimages.macys.com/is/image/MCY/21723232 </v>
      </c>
    </row>
    <row r="33" spans="1:14" ht="24.75" x14ac:dyDescent="0.25">
      <c r="A33" s="21" t="s">
        <v>10914</v>
      </c>
      <c r="B33" s="22" t="s">
        <v>10915</v>
      </c>
      <c r="C33" s="2">
        <v>21</v>
      </c>
      <c r="D33" s="23">
        <v>17.989999999999998</v>
      </c>
      <c r="E33" s="3">
        <v>377.79</v>
      </c>
      <c r="F33" s="2" t="s">
        <v>10916</v>
      </c>
      <c r="G33" s="22" t="s">
        <v>19342</v>
      </c>
      <c r="H33" s="24"/>
      <c r="I33" s="22" t="s">
        <v>19309</v>
      </c>
      <c r="J33" s="22" t="s">
        <v>20076</v>
      </c>
      <c r="K33" s="22" t="s">
        <v>10917</v>
      </c>
      <c r="L33" s="22"/>
      <c r="M33" s="22"/>
      <c r="N33" s="25" t="str">
        <f>HYPERLINK("http://slimages.macys.com/is/image/MCY/23526466 ")</f>
        <v xml:space="preserve">http://slimages.macys.com/is/image/MCY/23526466 </v>
      </c>
    </row>
    <row r="34" spans="1:14" ht="24.75" x14ac:dyDescent="0.25">
      <c r="A34" s="21" t="s">
        <v>10918</v>
      </c>
      <c r="B34" s="22" t="s">
        <v>10919</v>
      </c>
      <c r="C34" s="2">
        <v>15</v>
      </c>
      <c r="D34" s="23">
        <v>17.989999999999998</v>
      </c>
      <c r="E34" s="3">
        <v>269.85000000000002</v>
      </c>
      <c r="F34" s="2" t="s">
        <v>10916</v>
      </c>
      <c r="G34" s="22" t="s">
        <v>19342</v>
      </c>
      <c r="H34" s="24" t="s">
        <v>19339</v>
      </c>
      <c r="I34" s="22" t="s">
        <v>19309</v>
      </c>
      <c r="J34" s="22" t="s">
        <v>20076</v>
      </c>
      <c r="K34" s="22" t="s">
        <v>10917</v>
      </c>
      <c r="L34" s="22"/>
      <c r="M34" s="22"/>
      <c r="N34" s="25" t="str">
        <f>HYPERLINK("http://slimages.macys.com/is/image/MCY/23526466 ")</f>
        <v xml:space="preserve">http://slimages.macys.com/is/image/MCY/23526466 </v>
      </c>
    </row>
    <row r="35" spans="1:14" ht="24.75" x14ac:dyDescent="0.25">
      <c r="A35" s="21" t="s">
        <v>10920</v>
      </c>
      <c r="B35" s="22" t="s">
        <v>10921</v>
      </c>
      <c r="C35" s="2">
        <v>9</v>
      </c>
      <c r="D35" s="23">
        <v>17.989999999999998</v>
      </c>
      <c r="E35" s="3">
        <v>161.91</v>
      </c>
      <c r="F35" s="2" t="s">
        <v>10916</v>
      </c>
      <c r="G35" s="22" t="s">
        <v>19342</v>
      </c>
      <c r="H35" s="24" t="s">
        <v>19308</v>
      </c>
      <c r="I35" s="22" t="s">
        <v>19309</v>
      </c>
      <c r="J35" s="22" t="s">
        <v>20076</v>
      </c>
      <c r="K35" s="22" t="s">
        <v>10917</v>
      </c>
      <c r="L35" s="22"/>
      <c r="M35" s="22"/>
      <c r="N35" s="25" t="str">
        <f>HYPERLINK("http://slimages.macys.com/is/image/MCY/23526466 ")</f>
        <v xml:space="preserve">http://slimages.macys.com/is/image/MCY/23526466 </v>
      </c>
    </row>
    <row r="36" spans="1:14" ht="24.75" x14ac:dyDescent="0.25">
      <c r="A36" s="21" t="s">
        <v>10922</v>
      </c>
      <c r="B36" s="22" t="s">
        <v>10923</v>
      </c>
      <c r="C36" s="2">
        <v>14</v>
      </c>
      <c r="D36" s="23">
        <v>17.989999999999998</v>
      </c>
      <c r="E36" s="3">
        <v>251.86</v>
      </c>
      <c r="F36" s="2" t="s">
        <v>10916</v>
      </c>
      <c r="G36" s="22" t="s">
        <v>19342</v>
      </c>
      <c r="H36" s="24" t="s">
        <v>19364</v>
      </c>
      <c r="I36" s="22" t="s">
        <v>19309</v>
      </c>
      <c r="J36" s="22" t="s">
        <v>20076</v>
      </c>
      <c r="K36" s="22" t="s">
        <v>10917</v>
      </c>
      <c r="L36" s="22"/>
      <c r="M36" s="22"/>
      <c r="N36" s="25" t="str">
        <f>HYPERLINK("http://slimages.macys.com/is/image/MCY/23526466 ")</f>
        <v xml:space="preserve">http://slimages.macys.com/is/image/MCY/23526466 </v>
      </c>
    </row>
    <row r="37" spans="1:14" ht="24.75" x14ac:dyDescent="0.25">
      <c r="A37" s="21" t="s">
        <v>10924</v>
      </c>
      <c r="B37" s="22" t="s">
        <v>10925</v>
      </c>
      <c r="C37" s="2">
        <v>1</v>
      </c>
      <c r="D37" s="23">
        <v>20.6</v>
      </c>
      <c r="E37" s="3">
        <v>20.6</v>
      </c>
      <c r="F37" s="2" t="s">
        <v>10926</v>
      </c>
      <c r="G37" s="22"/>
      <c r="H37" s="24" t="s">
        <v>19392</v>
      </c>
      <c r="I37" s="22" t="s">
        <v>19309</v>
      </c>
      <c r="J37" s="22" t="s">
        <v>19602</v>
      </c>
      <c r="K37" s="22" t="s">
        <v>19603</v>
      </c>
      <c r="L37" s="22"/>
      <c r="M37" s="22"/>
      <c r="N37" s="25" t="str">
        <f>HYPERLINK("http://slimages.macys.com/is/image/MCY/17600494 ")</f>
        <v xml:space="preserve">http://slimages.macys.com/is/image/MCY/17600494 </v>
      </c>
    </row>
    <row r="38" spans="1:14" x14ac:dyDescent="0.25">
      <c r="A38" s="21" t="s">
        <v>10927</v>
      </c>
      <c r="B38" s="22" t="s">
        <v>10928</v>
      </c>
      <c r="C38" s="2">
        <v>12</v>
      </c>
      <c r="D38" s="23">
        <v>34</v>
      </c>
      <c r="E38" s="3">
        <v>408</v>
      </c>
      <c r="F38" s="2" t="s">
        <v>10929</v>
      </c>
      <c r="G38" s="22"/>
      <c r="H38" s="24" t="s">
        <v>19367</v>
      </c>
      <c r="I38" s="22" t="s">
        <v>19309</v>
      </c>
      <c r="J38" s="22" t="s">
        <v>19708</v>
      </c>
      <c r="K38" s="22" t="s">
        <v>19709</v>
      </c>
      <c r="L38" s="22"/>
      <c r="M38" s="22"/>
      <c r="N38" s="25" t="str">
        <f>HYPERLINK("http://slimages.macys.com/is/image/MCY/21717958 ")</f>
        <v xml:space="preserve">http://slimages.macys.com/is/image/MCY/21717958 </v>
      </c>
    </row>
    <row r="39" spans="1:14" ht="24.75" x14ac:dyDescent="0.25">
      <c r="A39" s="21" t="s">
        <v>10930</v>
      </c>
      <c r="B39" s="22" t="s">
        <v>10931</v>
      </c>
      <c r="C39" s="2">
        <v>1</v>
      </c>
      <c r="D39" s="23">
        <v>22.99</v>
      </c>
      <c r="E39" s="3">
        <v>22.99</v>
      </c>
      <c r="F39" s="2" t="s">
        <v>10932</v>
      </c>
      <c r="G39" s="22" t="s">
        <v>19814</v>
      </c>
      <c r="H39" s="24" t="s">
        <v>20089</v>
      </c>
      <c r="I39" s="22" t="s">
        <v>19309</v>
      </c>
      <c r="J39" s="22" t="s">
        <v>19908</v>
      </c>
      <c r="K39" s="22" t="s">
        <v>19524</v>
      </c>
      <c r="L39" s="22"/>
      <c r="M39" s="22"/>
      <c r="N39" s="25" t="str">
        <f>HYPERLINK("http://slimages.macys.com/is/image/MCY/19632125 ")</f>
        <v xml:space="preserve">http://slimages.macys.com/is/image/MCY/19632125 </v>
      </c>
    </row>
    <row r="40" spans="1:14" ht="24.75" x14ac:dyDescent="0.25">
      <c r="A40" s="21" t="s">
        <v>10933</v>
      </c>
      <c r="B40" s="22" t="s">
        <v>10934</v>
      </c>
      <c r="C40" s="2">
        <v>5</v>
      </c>
      <c r="D40" s="23">
        <v>24</v>
      </c>
      <c r="E40" s="3">
        <v>120</v>
      </c>
      <c r="F40" s="2" t="s">
        <v>19857</v>
      </c>
      <c r="G40" s="22" t="s">
        <v>19404</v>
      </c>
      <c r="H40" s="24" t="s">
        <v>19330</v>
      </c>
      <c r="I40" s="22" t="s">
        <v>19309</v>
      </c>
      <c r="J40" s="22" t="s">
        <v>19417</v>
      </c>
      <c r="K40" s="22" t="s">
        <v>19854</v>
      </c>
      <c r="L40" s="22"/>
      <c r="M40" s="22"/>
      <c r="N40" s="25" t="str">
        <f>HYPERLINK("http://slimages.macys.com/is/image/MCY/21362679 ")</f>
        <v xml:space="preserve">http://slimages.macys.com/is/image/MCY/21362679 </v>
      </c>
    </row>
    <row r="41" spans="1:14" ht="24.75" x14ac:dyDescent="0.25">
      <c r="A41" s="21" t="s">
        <v>10935</v>
      </c>
      <c r="B41" s="22" t="s">
        <v>10936</v>
      </c>
      <c r="C41" s="2">
        <v>20</v>
      </c>
      <c r="D41" s="23">
        <v>24</v>
      </c>
      <c r="E41" s="3">
        <v>480</v>
      </c>
      <c r="F41" s="2" t="s">
        <v>10937</v>
      </c>
      <c r="G41" s="22" t="s">
        <v>19404</v>
      </c>
      <c r="H41" s="24" t="s">
        <v>20159</v>
      </c>
      <c r="I41" s="22" t="s">
        <v>19309</v>
      </c>
      <c r="J41" s="22" t="s">
        <v>19417</v>
      </c>
      <c r="K41" s="22" t="s">
        <v>19854</v>
      </c>
      <c r="L41" s="22"/>
      <c r="M41" s="22"/>
      <c r="N41" s="25" t="str">
        <f>HYPERLINK("http://slimages.macys.com/is/image/MCY/21370054 ")</f>
        <v xml:space="preserve">http://slimages.macys.com/is/image/MCY/21370054 </v>
      </c>
    </row>
    <row r="42" spans="1:14" ht="24.75" x14ac:dyDescent="0.25">
      <c r="A42" s="21" t="s">
        <v>10938</v>
      </c>
      <c r="B42" s="22" t="s">
        <v>10939</v>
      </c>
      <c r="C42" s="2">
        <v>7</v>
      </c>
      <c r="D42" s="23">
        <v>24</v>
      </c>
      <c r="E42" s="3">
        <v>168</v>
      </c>
      <c r="F42" s="2" t="s">
        <v>10940</v>
      </c>
      <c r="G42" s="22" t="s">
        <v>19670</v>
      </c>
      <c r="H42" s="24" t="s">
        <v>20159</v>
      </c>
      <c r="I42" s="22" t="s">
        <v>19309</v>
      </c>
      <c r="J42" s="22" t="s">
        <v>19417</v>
      </c>
      <c r="K42" s="22" t="s">
        <v>19854</v>
      </c>
      <c r="L42" s="22"/>
      <c r="M42" s="22"/>
      <c r="N42" s="25" t="str">
        <f>HYPERLINK("http://slimages.macys.com/is/image/MCY/21363022 ")</f>
        <v xml:space="preserve">http://slimages.macys.com/is/image/MCY/21363022 </v>
      </c>
    </row>
    <row r="43" spans="1:14" ht="24.75" x14ac:dyDescent="0.25">
      <c r="A43" s="21" t="s">
        <v>10941</v>
      </c>
      <c r="B43" s="22" t="s">
        <v>10942</v>
      </c>
      <c r="C43" s="2">
        <v>10</v>
      </c>
      <c r="D43" s="23">
        <v>24</v>
      </c>
      <c r="E43" s="3">
        <v>240</v>
      </c>
      <c r="F43" s="2" t="s">
        <v>10943</v>
      </c>
      <c r="G43" s="22"/>
      <c r="H43" s="24" t="s">
        <v>20159</v>
      </c>
      <c r="I43" s="22" t="s">
        <v>19309</v>
      </c>
      <c r="J43" s="22" t="s">
        <v>19417</v>
      </c>
      <c r="K43" s="22" t="s">
        <v>19854</v>
      </c>
      <c r="L43" s="22"/>
      <c r="M43" s="22"/>
      <c r="N43" s="25" t="str">
        <f>HYPERLINK("http://slimages.macys.com/is/image/MCY/21362959 ")</f>
        <v xml:space="preserve">http://slimages.macys.com/is/image/MCY/21362959 </v>
      </c>
    </row>
    <row r="44" spans="1:14" ht="24.75" x14ac:dyDescent="0.25">
      <c r="A44" s="21" t="s">
        <v>10944</v>
      </c>
      <c r="B44" s="22" t="s">
        <v>10945</v>
      </c>
      <c r="C44" s="2">
        <v>2</v>
      </c>
      <c r="D44" s="23">
        <v>24</v>
      </c>
      <c r="E44" s="3">
        <v>48</v>
      </c>
      <c r="F44" s="2" t="s">
        <v>10946</v>
      </c>
      <c r="G44" s="22" t="s">
        <v>19404</v>
      </c>
      <c r="H44" s="24" t="s">
        <v>19367</v>
      </c>
      <c r="I44" s="22" t="s">
        <v>19309</v>
      </c>
      <c r="J44" s="22" t="s">
        <v>19417</v>
      </c>
      <c r="K44" s="22" t="s">
        <v>19854</v>
      </c>
      <c r="L44" s="22"/>
      <c r="M44" s="22"/>
      <c r="N44" s="25" t="str">
        <f>HYPERLINK("http://slimages.macys.com/is/image/MCY/21362948 ")</f>
        <v xml:space="preserve">http://slimages.macys.com/is/image/MCY/21362948 </v>
      </c>
    </row>
    <row r="45" spans="1:14" ht="24.75" x14ac:dyDescent="0.25">
      <c r="A45" s="21" t="s">
        <v>10947</v>
      </c>
      <c r="B45" s="22" t="s">
        <v>10948</v>
      </c>
      <c r="C45" s="2">
        <v>5</v>
      </c>
      <c r="D45" s="23">
        <v>24</v>
      </c>
      <c r="E45" s="3">
        <v>120</v>
      </c>
      <c r="F45" s="2" t="s">
        <v>10949</v>
      </c>
      <c r="G45" s="22" t="s">
        <v>19351</v>
      </c>
      <c r="H45" s="24" t="s">
        <v>19324</v>
      </c>
      <c r="I45" s="22" t="s">
        <v>19309</v>
      </c>
      <c r="J45" s="22" t="s">
        <v>19417</v>
      </c>
      <c r="K45" s="22" t="s">
        <v>19854</v>
      </c>
      <c r="L45" s="22"/>
      <c r="M45" s="22"/>
      <c r="N45" s="25" t="str">
        <f>HYPERLINK("http://slimages.macys.com/is/image/MCY/21369853 ")</f>
        <v xml:space="preserve">http://slimages.macys.com/is/image/MCY/21369853 </v>
      </c>
    </row>
    <row r="46" spans="1:14" x14ac:dyDescent="0.25">
      <c r="A46" s="21" t="s">
        <v>10950</v>
      </c>
      <c r="B46" s="22" t="s">
        <v>10951</v>
      </c>
      <c r="C46" s="2">
        <v>4</v>
      </c>
      <c r="D46" s="23">
        <v>22.75</v>
      </c>
      <c r="E46" s="3">
        <v>91</v>
      </c>
      <c r="F46" s="2" t="s">
        <v>10952</v>
      </c>
      <c r="G46" s="22"/>
      <c r="H46" s="24" t="s">
        <v>20159</v>
      </c>
      <c r="I46" s="22" t="s">
        <v>19309</v>
      </c>
      <c r="J46" s="22" t="s">
        <v>19708</v>
      </c>
      <c r="K46" s="22" t="s">
        <v>19709</v>
      </c>
      <c r="L46" s="22"/>
      <c r="M46" s="22"/>
      <c r="N46" s="25" t="str">
        <f>HYPERLINK("http://slimages.macys.com/is/image/MCY/21414621 ")</f>
        <v xml:space="preserve">http://slimages.macys.com/is/image/MCY/21414621 </v>
      </c>
    </row>
    <row r="47" spans="1:14" x14ac:dyDescent="0.25">
      <c r="A47" s="21" t="s">
        <v>10953</v>
      </c>
      <c r="B47" s="22" t="s">
        <v>10954</v>
      </c>
      <c r="C47" s="2">
        <v>16</v>
      </c>
      <c r="D47" s="23">
        <v>22.75</v>
      </c>
      <c r="E47" s="3">
        <v>364</v>
      </c>
      <c r="F47" s="2" t="s">
        <v>10955</v>
      </c>
      <c r="G47" s="22" t="s">
        <v>19431</v>
      </c>
      <c r="H47" s="24" t="s">
        <v>20159</v>
      </c>
      <c r="I47" s="22" t="s">
        <v>19309</v>
      </c>
      <c r="J47" s="22" t="s">
        <v>19708</v>
      </c>
      <c r="K47" s="22" t="s">
        <v>19709</v>
      </c>
      <c r="L47" s="22"/>
      <c r="M47" s="22"/>
      <c r="N47" s="25" t="str">
        <f>HYPERLINK("http://slimages.macys.com/is/image/MCY/21726587 ")</f>
        <v xml:space="preserve">http://slimages.macys.com/is/image/MCY/21726587 </v>
      </c>
    </row>
    <row r="48" spans="1:14" x14ac:dyDescent="0.25">
      <c r="A48" s="21" t="s">
        <v>10956</v>
      </c>
      <c r="B48" s="22" t="s">
        <v>10957</v>
      </c>
      <c r="C48" s="2">
        <v>5</v>
      </c>
      <c r="D48" s="23">
        <v>37.5</v>
      </c>
      <c r="E48" s="3">
        <v>187.5</v>
      </c>
      <c r="F48" s="2" t="s">
        <v>10958</v>
      </c>
      <c r="G48" s="22" t="s">
        <v>19351</v>
      </c>
      <c r="H48" s="24" t="s">
        <v>19432</v>
      </c>
      <c r="I48" s="22" t="s">
        <v>19309</v>
      </c>
      <c r="J48" s="22" t="s">
        <v>19688</v>
      </c>
      <c r="K48" s="22" t="s">
        <v>19614</v>
      </c>
      <c r="L48" s="22"/>
      <c r="M48" s="22"/>
      <c r="N48" s="25" t="str">
        <f>HYPERLINK("http://slimages.macys.com/is/image/MCY/20664678 ")</f>
        <v xml:space="preserve">http://slimages.macys.com/is/image/MCY/20664678 </v>
      </c>
    </row>
    <row r="49" spans="1:14" ht="24.75" x14ac:dyDescent="0.25">
      <c r="A49" s="21" t="s">
        <v>10959</v>
      </c>
      <c r="B49" s="22" t="s">
        <v>10960</v>
      </c>
      <c r="C49" s="2">
        <v>1</v>
      </c>
      <c r="D49" s="23">
        <v>15.99</v>
      </c>
      <c r="E49" s="3">
        <v>15.99</v>
      </c>
      <c r="F49" s="2" t="s">
        <v>10961</v>
      </c>
      <c r="G49" s="22" t="s">
        <v>19351</v>
      </c>
      <c r="H49" s="24" t="s">
        <v>19770</v>
      </c>
      <c r="I49" s="22" t="s">
        <v>19309</v>
      </c>
      <c r="J49" s="22" t="s">
        <v>19573</v>
      </c>
      <c r="K49" s="22" t="s">
        <v>19574</v>
      </c>
      <c r="L49" s="22"/>
      <c r="M49" s="22"/>
      <c r="N49" s="25" t="str">
        <f>HYPERLINK("http://slimages.macys.com/is/image/MCY/19511461 ")</f>
        <v xml:space="preserve">http://slimages.macys.com/is/image/MCY/19511461 </v>
      </c>
    </row>
    <row r="50" spans="1:14" ht="24.75" x14ac:dyDescent="0.25">
      <c r="A50" s="21" t="s">
        <v>10962</v>
      </c>
      <c r="B50" s="22" t="s">
        <v>10963</v>
      </c>
      <c r="C50" s="2">
        <v>1</v>
      </c>
      <c r="D50" s="23">
        <v>14.99</v>
      </c>
      <c r="E50" s="3">
        <v>14.99</v>
      </c>
      <c r="F50" s="2" t="s">
        <v>10964</v>
      </c>
      <c r="G50" s="22" t="s">
        <v>19467</v>
      </c>
      <c r="H50" s="24" t="s">
        <v>19364</v>
      </c>
      <c r="I50" s="22" t="s">
        <v>19309</v>
      </c>
      <c r="J50" s="22" t="s">
        <v>19310</v>
      </c>
      <c r="K50" s="22" t="s">
        <v>19873</v>
      </c>
      <c r="L50" s="22"/>
      <c r="M50" s="22"/>
      <c r="N50" s="25" t="str">
        <f>HYPERLINK("http://slimages.macys.com/is/image/MCY/21010106 ")</f>
        <v xml:space="preserve">http://slimages.macys.com/is/image/MCY/21010106 </v>
      </c>
    </row>
    <row r="51" spans="1:14" x14ac:dyDescent="0.25">
      <c r="A51" s="21" t="s">
        <v>10965</v>
      </c>
      <c r="B51" s="22" t="s">
        <v>10966</v>
      </c>
      <c r="C51" s="2">
        <v>13</v>
      </c>
      <c r="D51" s="23">
        <v>18.75</v>
      </c>
      <c r="E51" s="3">
        <v>243.75</v>
      </c>
      <c r="F51" s="2" t="s">
        <v>10967</v>
      </c>
      <c r="G51" s="22" t="s">
        <v>19351</v>
      </c>
      <c r="H51" s="24" t="s">
        <v>19352</v>
      </c>
      <c r="I51" s="22" t="s">
        <v>19309</v>
      </c>
      <c r="J51" s="22" t="s">
        <v>19310</v>
      </c>
      <c r="K51" s="22" t="s">
        <v>19631</v>
      </c>
      <c r="L51" s="22"/>
      <c r="M51" s="22"/>
      <c r="N51" s="25" t="str">
        <f>HYPERLINK("http://slimages.macys.com/is/image/MCY/18529481 ")</f>
        <v xml:space="preserve">http://slimages.macys.com/is/image/MCY/18529481 </v>
      </c>
    </row>
    <row r="52" spans="1:14" ht="24.75" x14ac:dyDescent="0.25">
      <c r="A52" s="21" t="s">
        <v>10968</v>
      </c>
      <c r="B52" s="22" t="s">
        <v>10969</v>
      </c>
      <c r="C52" s="2">
        <v>20</v>
      </c>
      <c r="D52" s="23">
        <v>22.99</v>
      </c>
      <c r="E52" s="3">
        <v>459.8</v>
      </c>
      <c r="F52" s="2" t="s">
        <v>10970</v>
      </c>
      <c r="G52" s="22" t="s">
        <v>19333</v>
      </c>
      <c r="H52" s="24" t="s">
        <v>19361</v>
      </c>
      <c r="I52" s="22" t="s">
        <v>19309</v>
      </c>
      <c r="J52" s="22" t="s">
        <v>19519</v>
      </c>
      <c r="K52" s="22" t="s">
        <v>10971</v>
      </c>
      <c r="L52" s="22"/>
      <c r="M52" s="22"/>
      <c r="N52" s="25" t="str">
        <f>HYPERLINK("http://slimages.macys.com/is/image/MCY/21313701 ")</f>
        <v xml:space="preserve">http://slimages.macys.com/is/image/MCY/21313701 </v>
      </c>
    </row>
    <row r="53" spans="1:14" ht="24.75" x14ac:dyDescent="0.25">
      <c r="A53" s="21" t="s">
        <v>10972</v>
      </c>
      <c r="B53" s="22" t="s">
        <v>10973</v>
      </c>
      <c r="C53" s="2">
        <v>1</v>
      </c>
      <c r="D53" s="23">
        <v>20</v>
      </c>
      <c r="E53" s="3">
        <v>20</v>
      </c>
      <c r="F53" s="2">
        <v>1363383</v>
      </c>
      <c r="G53" s="22" t="s">
        <v>19814</v>
      </c>
      <c r="H53" s="24" t="s">
        <v>19364</v>
      </c>
      <c r="I53" s="22" t="s">
        <v>19309</v>
      </c>
      <c r="J53" s="22" t="s">
        <v>19447</v>
      </c>
      <c r="K53" s="22" t="s">
        <v>17686</v>
      </c>
      <c r="L53" s="22"/>
      <c r="M53" s="22"/>
      <c r="N53" s="25" t="str">
        <f>HYPERLINK("http://slimages.macys.com/is/image/MCY/18802960 ")</f>
        <v xml:space="preserve">http://slimages.macys.com/is/image/MCY/18802960 </v>
      </c>
    </row>
    <row r="54" spans="1:14" x14ac:dyDescent="0.25">
      <c r="A54" s="21" t="s">
        <v>10974</v>
      </c>
      <c r="B54" s="22" t="s">
        <v>10975</v>
      </c>
      <c r="C54" s="2">
        <v>23</v>
      </c>
      <c r="D54" s="23">
        <v>21.61</v>
      </c>
      <c r="E54" s="3">
        <v>497.03</v>
      </c>
      <c r="F54" s="2" t="s">
        <v>10976</v>
      </c>
      <c r="G54" s="22"/>
      <c r="H54" s="24" t="s">
        <v>20159</v>
      </c>
      <c r="I54" s="22" t="s">
        <v>19309</v>
      </c>
      <c r="J54" s="22" t="s">
        <v>19708</v>
      </c>
      <c r="K54" s="22" t="s">
        <v>19709</v>
      </c>
      <c r="L54" s="22"/>
      <c r="M54" s="22"/>
      <c r="N54" s="25" t="str">
        <f>HYPERLINK("http://slimages.macys.com/is/image/MCY/21423053 ")</f>
        <v xml:space="preserve">http://slimages.macys.com/is/image/MCY/21423053 </v>
      </c>
    </row>
    <row r="55" spans="1:14" ht="24.75" x14ac:dyDescent="0.25">
      <c r="A55" s="21" t="s">
        <v>10977</v>
      </c>
      <c r="B55" s="22" t="s">
        <v>10978</v>
      </c>
      <c r="C55" s="2">
        <v>1</v>
      </c>
      <c r="D55" s="23">
        <v>21.99</v>
      </c>
      <c r="E55" s="3">
        <v>21.99</v>
      </c>
      <c r="F55" s="2" t="s">
        <v>10979</v>
      </c>
      <c r="G55" s="22" t="s">
        <v>19342</v>
      </c>
      <c r="H55" s="24"/>
      <c r="I55" s="22" t="s">
        <v>19309</v>
      </c>
      <c r="J55" s="22" t="s">
        <v>19696</v>
      </c>
      <c r="K55" s="22" t="s">
        <v>19965</v>
      </c>
      <c r="L55" s="22"/>
      <c r="M55" s="22"/>
      <c r="N55" s="25" t="str">
        <f>HYPERLINK("http://slimages.macys.com/is/image/MCY/20662595 ")</f>
        <v xml:space="preserve">http://slimages.macys.com/is/image/MCY/20662595 </v>
      </c>
    </row>
    <row r="56" spans="1:14" ht="24.75" x14ac:dyDescent="0.25">
      <c r="A56" s="21" t="s">
        <v>10980</v>
      </c>
      <c r="B56" s="22" t="s">
        <v>10981</v>
      </c>
      <c r="C56" s="2">
        <v>33</v>
      </c>
      <c r="D56" s="23">
        <v>23</v>
      </c>
      <c r="E56" s="3">
        <v>759</v>
      </c>
      <c r="F56" s="2" t="s">
        <v>20031</v>
      </c>
      <c r="G56" s="22" t="s">
        <v>19333</v>
      </c>
      <c r="H56" s="24" t="s">
        <v>19364</v>
      </c>
      <c r="I56" s="22" t="s">
        <v>19309</v>
      </c>
      <c r="J56" s="22" t="s">
        <v>19595</v>
      </c>
      <c r="K56" s="22" t="s">
        <v>19423</v>
      </c>
      <c r="L56" s="22"/>
      <c r="M56" s="22"/>
      <c r="N56" s="25" t="str">
        <f>HYPERLINK("http://slimages.macys.com/is/image/MCY/20917977 ")</f>
        <v xml:space="preserve">http://slimages.macys.com/is/image/MCY/20917977 </v>
      </c>
    </row>
    <row r="57" spans="1:14" ht="24.75" x14ac:dyDescent="0.25">
      <c r="A57" s="21" t="s">
        <v>10982</v>
      </c>
      <c r="B57" s="22" t="s">
        <v>10983</v>
      </c>
      <c r="C57" s="2">
        <v>55</v>
      </c>
      <c r="D57" s="23">
        <v>23</v>
      </c>
      <c r="E57" s="3">
        <v>1265</v>
      </c>
      <c r="F57" s="2" t="s">
        <v>20031</v>
      </c>
      <c r="G57" s="22" t="s">
        <v>19333</v>
      </c>
      <c r="H57" s="24" t="s">
        <v>19339</v>
      </c>
      <c r="I57" s="22" t="s">
        <v>19309</v>
      </c>
      <c r="J57" s="22" t="s">
        <v>19595</v>
      </c>
      <c r="K57" s="22" t="s">
        <v>19423</v>
      </c>
      <c r="L57" s="22"/>
      <c r="M57" s="22"/>
      <c r="N57" s="25" t="str">
        <f>HYPERLINK("http://slimages.macys.com/is/image/MCY/20917977 ")</f>
        <v xml:space="preserve">http://slimages.macys.com/is/image/MCY/20917977 </v>
      </c>
    </row>
    <row r="58" spans="1:14" ht="24.75" x14ac:dyDescent="0.25">
      <c r="A58" s="21" t="s">
        <v>10984</v>
      </c>
      <c r="B58" s="22" t="s">
        <v>10985</v>
      </c>
      <c r="C58" s="2">
        <v>18</v>
      </c>
      <c r="D58" s="23">
        <v>29.5</v>
      </c>
      <c r="E58" s="3">
        <v>531</v>
      </c>
      <c r="F58" s="2" t="s">
        <v>10986</v>
      </c>
      <c r="G58" s="22" t="s">
        <v>19594</v>
      </c>
      <c r="H58" s="24" t="s">
        <v>18139</v>
      </c>
      <c r="I58" s="22" t="s">
        <v>19309</v>
      </c>
      <c r="J58" s="22" t="s">
        <v>20104</v>
      </c>
      <c r="K58" s="22" t="s">
        <v>20105</v>
      </c>
      <c r="L58" s="22"/>
      <c r="M58" s="22"/>
      <c r="N58" s="25" t="str">
        <f>HYPERLINK("http://slimages.macys.com/is/image/MCY/21254194 ")</f>
        <v xml:space="preserve">http://slimages.macys.com/is/image/MCY/21254194 </v>
      </c>
    </row>
    <row r="59" spans="1:14" ht="24.75" x14ac:dyDescent="0.25">
      <c r="A59" s="21" t="s">
        <v>10987</v>
      </c>
      <c r="B59" s="22" t="s">
        <v>10988</v>
      </c>
      <c r="C59" s="2">
        <v>1</v>
      </c>
      <c r="D59" s="23">
        <v>20.99</v>
      </c>
      <c r="E59" s="3">
        <v>20.99</v>
      </c>
      <c r="F59" s="2" t="s">
        <v>10989</v>
      </c>
      <c r="G59" s="22" t="s">
        <v>19315</v>
      </c>
      <c r="H59" s="24" t="s">
        <v>19432</v>
      </c>
      <c r="I59" s="22" t="s">
        <v>19309</v>
      </c>
      <c r="J59" s="22" t="s">
        <v>19447</v>
      </c>
      <c r="K59" s="22" t="s">
        <v>18333</v>
      </c>
      <c r="L59" s="22"/>
      <c r="M59" s="22"/>
      <c r="N59" s="25" t="str">
        <f>HYPERLINK("http://slimages.macys.com/is/image/MCY/21048332 ")</f>
        <v xml:space="preserve">http://slimages.macys.com/is/image/MCY/21048332 </v>
      </c>
    </row>
    <row r="60" spans="1:14" ht="24.75" x14ac:dyDescent="0.25">
      <c r="A60" s="21" t="s">
        <v>10990</v>
      </c>
      <c r="B60" s="22" t="s">
        <v>10991</v>
      </c>
      <c r="C60" s="2">
        <v>1</v>
      </c>
      <c r="D60" s="23">
        <v>36</v>
      </c>
      <c r="E60" s="3">
        <v>36</v>
      </c>
      <c r="F60" s="2" t="s">
        <v>10992</v>
      </c>
      <c r="G60" s="22" t="s">
        <v>19323</v>
      </c>
      <c r="H60" s="24" t="s">
        <v>19330</v>
      </c>
      <c r="I60" s="22" t="s">
        <v>19309</v>
      </c>
      <c r="J60" s="22" t="s">
        <v>19417</v>
      </c>
      <c r="K60" s="22" t="s">
        <v>20110</v>
      </c>
      <c r="L60" s="22"/>
      <c r="M60" s="22"/>
      <c r="N60" s="25" t="str">
        <f>HYPERLINK("http://slimages.macys.com/is/image/MCY/18886440 ")</f>
        <v xml:space="preserve">http://slimages.macys.com/is/image/MCY/18886440 </v>
      </c>
    </row>
    <row r="61" spans="1:14" ht="24.75" x14ac:dyDescent="0.25">
      <c r="A61" s="21" t="s">
        <v>10993</v>
      </c>
      <c r="B61" s="22" t="s">
        <v>10994</v>
      </c>
      <c r="C61" s="2">
        <v>26</v>
      </c>
      <c r="D61" s="23">
        <v>20</v>
      </c>
      <c r="E61" s="3">
        <v>520</v>
      </c>
      <c r="F61" s="2" t="s">
        <v>10995</v>
      </c>
      <c r="G61" s="22" t="s">
        <v>19404</v>
      </c>
      <c r="H61" s="24" t="s">
        <v>20152</v>
      </c>
      <c r="I61" s="22" t="s">
        <v>19309</v>
      </c>
      <c r="J61" s="22" t="s">
        <v>19417</v>
      </c>
      <c r="K61" s="22" t="s">
        <v>19854</v>
      </c>
      <c r="L61" s="22"/>
      <c r="M61" s="22"/>
      <c r="N61" s="25" t="str">
        <f>HYPERLINK("http://slimages.macys.com/is/image/MCY/21370155 ")</f>
        <v xml:space="preserve">http://slimages.macys.com/is/image/MCY/21370155 </v>
      </c>
    </row>
    <row r="62" spans="1:14" ht="24.75" x14ac:dyDescent="0.25">
      <c r="A62" s="21" t="s">
        <v>10996</v>
      </c>
      <c r="B62" s="22" t="s">
        <v>10997</v>
      </c>
      <c r="C62" s="2">
        <v>2</v>
      </c>
      <c r="D62" s="23">
        <v>20</v>
      </c>
      <c r="E62" s="3">
        <v>40</v>
      </c>
      <c r="F62" s="2" t="s">
        <v>10998</v>
      </c>
      <c r="G62" s="22" t="s">
        <v>19404</v>
      </c>
      <c r="H62" s="24" t="s">
        <v>19324</v>
      </c>
      <c r="I62" s="22" t="s">
        <v>19309</v>
      </c>
      <c r="J62" s="22" t="s">
        <v>19417</v>
      </c>
      <c r="K62" s="22" t="s">
        <v>19854</v>
      </c>
      <c r="L62" s="22"/>
      <c r="M62" s="22"/>
      <c r="N62" s="25" t="str">
        <f>HYPERLINK("http://slimages.macys.com/is/image/MCY/21369932 ")</f>
        <v xml:space="preserve">http://slimages.macys.com/is/image/MCY/21369932 </v>
      </c>
    </row>
    <row r="63" spans="1:14" ht="24.75" x14ac:dyDescent="0.25">
      <c r="A63" s="21" t="s">
        <v>10999</v>
      </c>
      <c r="B63" s="22" t="s">
        <v>11000</v>
      </c>
      <c r="C63" s="2">
        <v>2</v>
      </c>
      <c r="D63" s="23">
        <v>12.99</v>
      </c>
      <c r="E63" s="3">
        <v>25.98</v>
      </c>
      <c r="F63" s="2" t="s">
        <v>11001</v>
      </c>
      <c r="G63" s="22" t="s">
        <v>19467</v>
      </c>
      <c r="H63" s="24" t="s">
        <v>19352</v>
      </c>
      <c r="I63" s="22" t="s">
        <v>19309</v>
      </c>
      <c r="J63" s="22" t="s">
        <v>19310</v>
      </c>
      <c r="K63" s="22" t="s">
        <v>19873</v>
      </c>
      <c r="L63" s="22"/>
      <c r="M63" s="22"/>
      <c r="N63" s="25" t="str">
        <f>HYPERLINK("http://slimages.macys.com/is/image/MCY/20004906 ")</f>
        <v xml:space="preserve">http://slimages.macys.com/is/image/MCY/20004906 </v>
      </c>
    </row>
    <row r="64" spans="1:14" ht="24.75" x14ac:dyDescent="0.25">
      <c r="A64" s="21" t="s">
        <v>11002</v>
      </c>
      <c r="B64" s="22" t="s">
        <v>11003</v>
      </c>
      <c r="C64" s="2">
        <v>1</v>
      </c>
      <c r="D64" s="23">
        <v>16.02</v>
      </c>
      <c r="E64" s="3">
        <v>16.02</v>
      </c>
      <c r="F64" s="2" t="s">
        <v>11004</v>
      </c>
      <c r="G64" s="22"/>
      <c r="H64" s="24" t="s">
        <v>19432</v>
      </c>
      <c r="I64" s="22" t="s">
        <v>19309</v>
      </c>
      <c r="J64" s="22" t="s">
        <v>19602</v>
      </c>
      <c r="K64" s="22" t="s">
        <v>19603</v>
      </c>
      <c r="L64" s="22"/>
      <c r="M64" s="22"/>
      <c r="N64" s="25" t="str">
        <f>HYPERLINK("http://slimages.macys.com/is/image/MCY/22157665 ")</f>
        <v xml:space="preserve">http://slimages.macys.com/is/image/MCY/22157665 </v>
      </c>
    </row>
    <row r="65" spans="1:14" ht="24.75" x14ac:dyDescent="0.25">
      <c r="A65" s="21" t="s">
        <v>11005</v>
      </c>
      <c r="B65" s="22" t="s">
        <v>11006</v>
      </c>
      <c r="C65" s="2">
        <v>4</v>
      </c>
      <c r="D65" s="23">
        <v>21.99</v>
      </c>
      <c r="E65" s="3">
        <v>87.96</v>
      </c>
      <c r="F65" s="2" t="s">
        <v>11007</v>
      </c>
      <c r="G65" s="22" t="s">
        <v>19333</v>
      </c>
      <c r="H65" s="24" t="s">
        <v>19797</v>
      </c>
      <c r="I65" s="22" t="s">
        <v>19309</v>
      </c>
      <c r="J65" s="22" t="s">
        <v>19353</v>
      </c>
      <c r="K65" s="22" t="s">
        <v>19524</v>
      </c>
      <c r="L65" s="22"/>
      <c r="M65" s="22"/>
      <c r="N65" s="25" t="str">
        <f>HYPERLINK("http://slimages.macys.com/is/image/MCY/20440803 ")</f>
        <v xml:space="preserve">http://slimages.macys.com/is/image/MCY/20440803 </v>
      </c>
    </row>
    <row r="66" spans="1:14" ht="24.75" x14ac:dyDescent="0.25">
      <c r="A66" s="21" t="s">
        <v>11008</v>
      </c>
      <c r="B66" s="22" t="s">
        <v>11009</v>
      </c>
      <c r="C66" s="2">
        <v>4</v>
      </c>
      <c r="D66" s="23">
        <v>15.99</v>
      </c>
      <c r="E66" s="3">
        <v>63.96</v>
      </c>
      <c r="F66" s="2">
        <v>444241</v>
      </c>
      <c r="G66" s="22" t="s">
        <v>19357</v>
      </c>
      <c r="H66" s="24" t="s">
        <v>18168</v>
      </c>
      <c r="I66" s="22" t="s">
        <v>19309</v>
      </c>
      <c r="J66" s="22" t="s">
        <v>16678</v>
      </c>
      <c r="K66" s="22" t="s">
        <v>10844</v>
      </c>
      <c r="L66" s="22"/>
      <c r="M66" s="22"/>
      <c r="N66" s="25" t="str">
        <f>HYPERLINK("http://slimages.macys.com/is/image/MCY/1687777 ")</f>
        <v xml:space="preserve">http://slimages.macys.com/is/image/MCY/1687777 </v>
      </c>
    </row>
    <row r="67" spans="1:14" x14ac:dyDescent="0.25">
      <c r="A67" s="21" t="s">
        <v>11010</v>
      </c>
      <c r="B67" s="22" t="s">
        <v>11011</v>
      </c>
      <c r="C67" s="2">
        <v>3</v>
      </c>
      <c r="D67" s="23">
        <v>17.989999999999998</v>
      </c>
      <c r="E67" s="3">
        <v>53.97</v>
      </c>
      <c r="F67" s="2" t="s">
        <v>11012</v>
      </c>
      <c r="G67" s="22" t="s">
        <v>19342</v>
      </c>
      <c r="H67" s="24" t="s">
        <v>19345</v>
      </c>
      <c r="I67" s="22" t="s">
        <v>19309</v>
      </c>
      <c r="J67" s="22" t="s">
        <v>19696</v>
      </c>
      <c r="K67" s="22" t="s">
        <v>19697</v>
      </c>
      <c r="L67" s="22"/>
      <c r="M67" s="22"/>
      <c r="N67" s="25" t="str">
        <f>HYPERLINK("http://slimages.macys.com/is/image/MCY/21642765 ")</f>
        <v xml:space="preserve">http://slimages.macys.com/is/image/MCY/21642765 </v>
      </c>
    </row>
    <row r="68" spans="1:14" x14ac:dyDescent="0.25">
      <c r="A68" s="21" t="s">
        <v>11013</v>
      </c>
      <c r="B68" s="22" t="s">
        <v>11014</v>
      </c>
      <c r="C68" s="2">
        <v>2</v>
      </c>
      <c r="D68" s="23">
        <v>17.989999999999998</v>
      </c>
      <c r="E68" s="3">
        <v>35.979999999999997</v>
      </c>
      <c r="F68" s="2" t="s">
        <v>11012</v>
      </c>
      <c r="G68" s="22" t="s">
        <v>19342</v>
      </c>
      <c r="H68" s="24" t="s">
        <v>19334</v>
      </c>
      <c r="I68" s="22" t="s">
        <v>19309</v>
      </c>
      <c r="J68" s="22" t="s">
        <v>19696</v>
      </c>
      <c r="K68" s="22" t="s">
        <v>19697</v>
      </c>
      <c r="L68" s="22"/>
      <c r="M68" s="22"/>
      <c r="N68" s="25" t="str">
        <f>HYPERLINK("http://slimages.macys.com/is/image/MCY/21642765 ")</f>
        <v xml:space="preserve">http://slimages.macys.com/is/image/MCY/21642765 </v>
      </c>
    </row>
    <row r="69" spans="1:14" x14ac:dyDescent="0.25">
      <c r="A69" s="21" t="s">
        <v>11015</v>
      </c>
      <c r="B69" s="22" t="s">
        <v>11016</v>
      </c>
      <c r="C69" s="2">
        <v>2</v>
      </c>
      <c r="D69" s="23">
        <v>17.989999999999998</v>
      </c>
      <c r="E69" s="3">
        <v>35.979999999999997</v>
      </c>
      <c r="F69" s="2" t="s">
        <v>11012</v>
      </c>
      <c r="G69" s="22" t="s">
        <v>19342</v>
      </c>
      <c r="H69" s="24" t="s">
        <v>19392</v>
      </c>
      <c r="I69" s="22" t="s">
        <v>19309</v>
      </c>
      <c r="J69" s="22" t="s">
        <v>19696</v>
      </c>
      <c r="K69" s="22" t="s">
        <v>19697</v>
      </c>
      <c r="L69" s="22"/>
      <c r="M69" s="22"/>
      <c r="N69" s="25" t="str">
        <f>HYPERLINK("http://slimages.macys.com/is/image/MCY/21642765 ")</f>
        <v xml:space="preserve">http://slimages.macys.com/is/image/MCY/21642765 </v>
      </c>
    </row>
    <row r="70" spans="1:14" ht="24.75" x14ac:dyDescent="0.25">
      <c r="A70" s="21" t="s">
        <v>11017</v>
      </c>
      <c r="B70" s="22" t="s">
        <v>11018</v>
      </c>
      <c r="C70" s="2">
        <v>6</v>
      </c>
      <c r="D70" s="23">
        <v>21.99</v>
      </c>
      <c r="E70" s="3">
        <v>131.94</v>
      </c>
      <c r="F70" s="2" t="s">
        <v>11019</v>
      </c>
      <c r="G70" s="22" t="s">
        <v>19342</v>
      </c>
      <c r="H70" s="24" t="s">
        <v>19324</v>
      </c>
      <c r="I70" s="22" t="s">
        <v>19309</v>
      </c>
      <c r="J70" s="22" t="s">
        <v>19491</v>
      </c>
      <c r="K70" s="22" t="s">
        <v>18064</v>
      </c>
      <c r="L70" s="22"/>
      <c r="M70" s="22"/>
      <c r="N70" s="25" t="str">
        <f>HYPERLINK("http://slimages.macys.com/is/image/MCY/21772889 ")</f>
        <v xml:space="preserve">http://slimages.macys.com/is/image/MCY/21772889 </v>
      </c>
    </row>
    <row r="71" spans="1:14" ht="24.75" x14ac:dyDescent="0.25">
      <c r="A71" s="21" t="s">
        <v>11020</v>
      </c>
      <c r="B71" s="22" t="s">
        <v>11021</v>
      </c>
      <c r="C71" s="2">
        <v>2</v>
      </c>
      <c r="D71" s="23">
        <v>13.99</v>
      </c>
      <c r="E71" s="3">
        <v>27.98</v>
      </c>
      <c r="F71" s="2" t="s">
        <v>12156</v>
      </c>
      <c r="G71" s="22" t="s">
        <v>19415</v>
      </c>
      <c r="H71" s="24"/>
      <c r="I71" s="22" t="s">
        <v>19309</v>
      </c>
      <c r="J71" s="22" t="s">
        <v>19573</v>
      </c>
      <c r="K71" s="22" t="s">
        <v>19574</v>
      </c>
      <c r="L71" s="22"/>
      <c r="M71" s="22"/>
      <c r="N71" s="25" t="str">
        <f>HYPERLINK("http://slimages.macys.com/is/image/MCY/1041654 ")</f>
        <v xml:space="preserve">http://slimages.macys.com/is/image/MCY/1041654 </v>
      </c>
    </row>
    <row r="72" spans="1:14" x14ac:dyDescent="0.25">
      <c r="A72" s="21" t="s">
        <v>16103</v>
      </c>
      <c r="B72" s="22" t="s">
        <v>16104</v>
      </c>
      <c r="C72" s="2">
        <v>29</v>
      </c>
      <c r="D72" s="23">
        <v>15.99</v>
      </c>
      <c r="E72" s="3">
        <v>463.71</v>
      </c>
      <c r="F72" s="2" t="s">
        <v>18227</v>
      </c>
      <c r="G72" s="22" t="s">
        <v>19670</v>
      </c>
      <c r="H72" s="24" t="s">
        <v>19339</v>
      </c>
      <c r="I72" s="22" t="s">
        <v>19309</v>
      </c>
      <c r="J72" s="22" t="s">
        <v>19849</v>
      </c>
      <c r="K72" s="22" t="s">
        <v>19850</v>
      </c>
      <c r="L72" s="22"/>
      <c r="M72" s="22"/>
      <c r="N72" s="25" t="str">
        <f>HYPERLINK("http://slimages.macys.com/is/image/MCY/1553370 ")</f>
        <v xml:space="preserve">http://slimages.macys.com/is/image/MCY/1553370 </v>
      </c>
    </row>
    <row r="73" spans="1:14" ht="24.75" x14ac:dyDescent="0.25">
      <c r="A73" s="21" t="s">
        <v>16101</v>
      </c>
      <c r="B73" s="22" t="s">
        <v>16102</v>
      </c>
      <c r="C73" s="2">
        <v>2</v>
      </c>
      <c r="D73" s="23">
        <v>15.99</v>
      </c>
      <c r="E73" s="3">
        <v>31.98</v>
      </c>
      <c r="F73" s="2" t="s">
        <v>18227</v>
      </c>
      <c r="G73" s="22" t="s">
        <v>19670</v>
      </c>
      <c r="H73" s="24" t="s">
        <v>19352</v>
      </c>
      <c r="I73" s="22" t="s">
        <v>19309</v>
      </c>
      <c r="J73" s="22" t="s">
        <v>19849</v>
      </c>
      <c r="K73" s="22" t="s">
        <v>19850</v>
      </c>
      <c r="L73" s="22"/>
      <c r="M73" s="22"/>
      <c r="N73" s="25" t="str">
        <f>HYPERLINK("http://slimages.macys.com/is/image/MCY/1553370 ")</f>
        <v xml:space="preserve">http://slimages.macys.com/is/image/MCY/1553370 </v>
      </c>
    </row>
    <row r="74" spans="1:14" ht="24.75" x14ac:dyDescent="0.25">
      <c r="A74" s="21" t="s">
        <v>11022</v>
      </c>
      <c r="B74" s="22" t="s">
        <v>11023</v>
      </c>
      <c r="C74" s="2">
        <v>2</v>
      </c>
      <c r="D74" s="23">
        <v>15.99</v>
      </c>
      <c r="E74" s="3">
        <v>31.98</v>
      </c>
      <c r="F74" s="2" t="s">
        <v>18227</v>
      </c>
      <c r="G74" s="22" t="s">
        <v>19670</v>
      </c>
      <c r="H74" s="24"/>
      <c r="I74" s="22" t="s">
        <v>19309</v>
      </c>
      <c r="J74" s="22" t="s">
        <v>19849</v>
      </c>
      <c r="K74" s="22" t="s">
        <v>19850</v>
      </c>
      <c r="L74" s="22"/>
      <c r="M74" s="22"/>
      <c r="N74" s="25" t="str">
        <f>HYPERLINK("http://slimages.macys.com/is/image/MCY/21373990 ")</f>
        <v xml:space="preserve">http://slimages.macys.com/is/image/MCY/21373990 </v>
      </c>
    </row>
    <row r="75" spans="1:14" ht="24.75" x14ac:dyDescent="0.25">
      <c r="A75" s="21" t="s">
        <v>11024</v>
      </c>
      <c r="B75" s="22" t="s">
        <v>11025</v>
      </c>
      <c r="C75" s="2">
        <v>61</v>
      </c>
      <c r="D75" s="23">
        <v>32</v>
      </c>
      <c r="E75" s="3">
        <v>1952</v>
      </c>
      <c r="F75" s="2" t="s">
        <v>11026</v>
      </c>
      <c r="G75" s="22" t="s">
        <v>19351</v>
      </c>
      <c r="H75" s="24" t="s">
        <v>19538</v>
      </c>
      <c r="I75" s="22" t="s">
        <v>19309</v>
      </c>
      <c r="J75" s="22" t="s">
        <v>19417</v>
      </c>
      <c r="K75" s="22" t="s">
        <v>20110</v>
      </c>
      <c r="L75" s="22"/>
      <c r="M75" s="22"/>
      <c r="N75" s="25" t="str">
        <f>HYPERLINK("http://slimages.macys.com/is/image/MCY/21400712 ")</f>
        <v xml:space="preserve">http://slimages.macys.com/is/image/MCY/21400712 </v>
      </c>
    </row>
    <row r="76" spans="1:14" ht="24.75" x14ac:dyDescent="0.25">
      <c r="A76" s="21" t="s">
        <v>11027</v>
      </c>
      <c r="B76" s="22" t="s">
        <v>11028</v>
      </c>
      <c r="C76" s="2">
        <v>1</v>
      </c>
      <c r="D76" s="23">
        <v>22.5</v>
      </c>
      <c r="E76" s="3">
        <v>22.5</v>
      </c>
      <c r="F76" s="2" t="s">
        <v>11029</v>
      </c>
      <c r="G76" s="22" t="s">
        <v>19351</v>
      </c>
      <c r="H76" s="24" t="s">
        <v>19334</v>
      </c>
      <c r="I76" s="22" t="s">
        <v>19309</v>
      </c>
      <c r="J76" s="22" t="s">
        <v>19688</v>
      </c>
      <c r="K76" s="22" t="s">
        <v>19614</v>
      </c>
      <c r="L76" s="22"/>
      <c r="M76" s="22"/>
      <c r="N76" s="25" t="str">
        <f>HYPERLINK("http://slimages.macys.com/is/image/MCY/21035766 ")</f>
        <v xml:space="preserve">http://slimages.macys.com/is/image/MCY/21035766 </v>
      </c>
    </row>
    <row r="77" spans="1:14" x14ac:dyDescent="0.25">
      <c r="A77" s="21" t="s">
        <v>11030</v>
      </c>
      <c r="B77" s="22" t="s">
        <v>11031</v>
      </c>
      <c r="C77" s="2">
        <v>20</v>
      </c>
      <c r="D77" s="23">
        <v>26</v>
      </c>
      <c r="E77" s="3">
        <v>520</v>
      </c>
      <c r="F77" s="2" t="s">
        <v>11032</v>
      </c>
      <c r="G77" s="22" t="s">
        <v>19674</v>
      </c>
      <c r="H77" s="24" t="s">
        <v>19770</v>
      </c>
      <c r="I77" s="22" t="s">
        <v>19309</v>
      </c>
      <c r="J77" s="22" t="s">
        <v>19417</v>
      </c>
      <c r="K77" s="22" t="s">
        <v>20110</v>
      </c>
      <c r="L77" s="22"/>
      <c r="M77" s="22"/>
      <c r="N77" s="25" t="str">
        <f>HYPERLINK("http://slimages.macys.com/is/image/MCY/21551760 ")</f>
        <v xml:space="preserve">http://slimages.macys.com/is/image/MCY/21551760 </v>
      </c>
    </row>
    <row r="78" spans="1:14" ht="24.75" x14ac:dyDescent="0.25">
      <c r="A78" s="21" t="s">
        <v>11033</v>
      </c>
      <c r="B78" s="22" t="s">
        <v>11034</v>
      </c>
      <c r="C78" s="2">
        <v>15</v>
      </c>
      <c r="D78" s="23">
        <v>26</v>
      </c>
      <c r="E78" s="3">
        <v>390</v>
      </c>
      <c r="F78" s="2" t="s">
        <v>11032</v>
      </c>
      <c r="G78" s="22" t="s">
        <v>19674</v>
      </c>
      <c r="H78" s="24"/>
      <c r="I78" s="22" t="s">
        <v>19309</v>
      </c>
      <c r="J78" s="22" t="s">
        <v>19417</v>
      </c>
      <c r="K78" s="22" t="s">
        <v>20110</v>
      </c>
      <c r="L78" s="22"/>
      <c r="M78" s="22"/>
      <c r="N78" s="25" t="str">
        <f>HYPERLINK("http://slimages.macys.com/is/image/MCY/21551760 ")</f>
        <v xml:space="preserve">http://slimages.macys.com/is/image/MCY/21551760 </v>
      </c>
    </row>
    <row r="79" spans="1:14" ht="24.75" x14ac:dyDescent="0.25">
      <c r="A79" s="21" t="s">
        <v>11035</v>
      </c>
      <c r="B79" s="22" t="s">
        <v>11036</v>
      </c>
      <c r="C79" s="2">
        <v>13</v>
      </c>
      <c r="D79" s="23">
        <v>26</v>
      </c>
      <c r="E79" s="3">
        <v>338</v>
      </c>
      <c r="F79" s="2" t="s">
        <v>11037</v>
      </c>
      <c r="G79" s="22" t="s">
        <v>19513</v>
      </c>
      <c r="H79" s="24"/>
      <c r="I79" s="22" t="s">
        <v>19309</v>
      </c>
      <c r="J79" s="22" t="s">
        <v>19417</v>
      </c>
      <c r="K79" s="22" t="s">
        <v>20110</v>
      </c>
      <c r="L79" s="22"/>
      <c r="M79" s="22"/>
      <c r="N79" s="25" t="str">
        <f>HYPERLINK("http://slimages.macys.com/is/image/MCY/21551760 ")</f>
        <v xml:space="preserve">http://slimages.macys.com/is/image/MCY/21551760 </v>
      </c>
    </row>
    <row r="80" spans="1:14" ht="24.75" x14ac:dyDescent="0.25">
      <c r="A80" s="21" t="s">
        <v>11038</v>
      </c>
      <c r="B80" s="22" t="s">
        <v>11039</v>
      </c>
      <c r="C80" s="2">
        <v>14</v>
      </c>
      <c r="D80" s="23">
        <v>26</v>
      </c>
      <c r="E80" s="3">
        <v>364</v>
      </c>
      <c r="F80" s="2" t="s">
        <v>11037</v>
      </c>
      <c r="G80" s="22" t="s">
        <v>19513</v>
      </c>
      <c r="H80" s="24" t="s">
        <v>19770</v>
      </c>
      <c r="I80" s="22" t="s">
        <v>19309</v>
      </c>
      <c r="J80" s="22" t="s">
        <v>19417</v>
      </c>
      <c r="K80" s="22" t="s">
        <v>20110</v>
      </c>
      <c r="L80" s="22"/>
      <c r="M80" s="22"/>
      <c r="N80" s="25" t="str">
        <f>HYPERLINK("http://slimages.macys.com/is/image/MCY/21551760 ")</f>
        <v xml:space="preserve">http://slimages.macys.com/is/image/MCY/21551760 </v>
      </c>
    </row>
    <row r="81" spans="1:14" ht="24.75" x14ac:dyDescent="0.25">
      <c r="A81" s="21" t="s">
        <v>11040</v>
      </c>
      <c r="B81" s="22" t="s">
        <v>11041</v>
      </c>
      <c r="C81" s="2">
        <v>2</v>
      </c>
      <c r="D81" s="23">
        <v>26</v>
      </c>
      <c r="E81" s="3">
        <v>52</v>
      </c>
      <c r="F81" s="2" t="s">
        <v>11032</v>
      </c>
      <c r="G81" s="22" t="s">
        <v>19674</v>
      </c>
      <c r="H81" s="24" t="s">
        <v>19384</v>
      </c>
      <c r="I81" s="22" t="s">
        <v>19309</v>
      </c>
      <c r="J81" s="22" t="s">
        <v>19417</v>
      </c>
      <c r="K81" s="22" t="s">
        <v>20110</v>
      </c>
      <c r="L81" s="22"/>
      <c r="M81" s="22"/>
      <c r="N81" s="25" t="str">
        <f>HYPERLINK("http://slimages.macys.com/is/image/MCY/21551760 ")</f>
        <v xml:space="preserve">http://slimages.macys.com/is/image/MCY/21551760 </v>
      </c>
    </row>
    <row r="82" spans="1:14" ht="24.75" x14ac:dyDescent="0.25">
      <c r="A82" s="21" t="s">
        <v>11042</v>
      </c>
      <c r="B82" s="22" t="s">
        <v>11043</v>
      </c>
      <c r="C82" s="2">
        <v>15</v>
      </c>
      <c r="D82" s="23">
        <v>30</v>
      </c>
      <c r="E82" s="3">
        <v>450</v>
      </c>
      <c r="F82" s="2" t="s">
        <v>11044</v>
      </c>
      <c r="G82" s="22" t="s">
        <v>19333</v>
      </c>
      <c r="H82" s="24"/>
      <c r="I82" s="22" t="s">
        <v>19309</v>
      </c>
      <c r="J82" s="22" t="s">
        <v>19417</v>
      </c>
      <c r="K82" s="22" t="s">
        <v>18317</v>
      </c>
      <c r="L82" s="22"/>
      <c r="M82" s="22"/>
      <c r="N82" s="25" t="str">
        <f>HYPERLINK("http://slimages.macys.com/is/image/MCY/22226519 ")</f>
        <v xml:space="preserve">http://slimages.macys.com/is/image/MCY/22226519 </v>
      </c>
    </row>
    <row r="83" spans="1:14" ht="24.75" x14ac:dyDescent="0.25">
      <c r="A83" s="21" t="s">
        <v>11045</v>
      </c>
      <c r="B83" s="22" t="s">
        <v>11046</v>
      </c>
      <c r="C83" s="2">
        <v>48</v>
      </c>
      <c r="D83" s="23">
        <v>30</v>
      </c>
      <c r="E83" s="3">
        <v>1440</v>
      </c>
      <c r="F83" s="2" t="s">
        <v>11047</v>
      </c>
      <c r="G83" s="22" t="s">
        <v>19594</v>
      </c>
      <c r="H83" s="24" t="s">
        <v>19538</v>
      </c>
      <c r="I83" s="22" t="s">
        <v>19309</v>
      </c>
      <c r="J83" s="22" t="s">
        <v>19417</v>
      </c>
      <c r="K83" s="22" t="s">
        <v>18317</v>
      </c>
      <c r="L83" s="22"/>
      <c r="M83" s="22"/>
      <c r="N83" s="25" t="str">
        <f>HYPERLINK("http://slimages.macys.com/is/image/MCY/21615012 ")</f>
        <v xml:space="preserve">http://slimages.macys.com/is/image/MCY/21615012 </v>
      </c>
    </row>
    <row r="84" spans="1:14" ht="24.75" x14ac:dyDescent="0.25">
      <c r="A84" s="21" t="s">
        <v>11048</v>
      </c>
      <c r="B84" s="22" t="s">
        <v>11049</v>
      </c>
      <c r="C84" s="2">
        <v>3</v>
      </c>
      <c r="D84" s="23">
        <v>30</v>
      </c>
      <c r="E84" s="3">
        <v>90</v>
      </c>
      <c r="F84" s="2" t="s">
        <v>11050</v>
      </c>
      <c r="G84" s="22" t="s">
        <v>19333</v>
      </c>
      <c r="H84" s="24" t="s">
        <v>19538</v>
      </c>
      <c r="I84" s="22" t="s">
        <v>19309</v>
      </c>
      <c r="J84" s="22" t="s">
        <v>19417</v>
      </c>
      <c r="K84" s="22" t="s">
        <v>18317</v>
      </c>
      <c r="L84" s="22"/>
      <c r="M84" s="22"/>
      <c r="N84" s="25" t="str">
        <f>HYPERLINK("http://slimages.macys.com/is/image/MCY/22226507 ")</f>
        <v xml:space="preserve">http://slimages.macys.com/is/image/MCY/22226507 </v>
      </c>
    </row>
    <row r="85" spans="1:14" ht="24.75" x14ac:dyDescent="0.25">
      <c r="A85" s="21" t="s">
        <v>11051</v>
      </c>
      <c r="B85" s="22" t="s">
        <v>11052</v>
      </c>
      <c r="C85" s="2">
        <v>1</v>
      </c>
      <c r="D85" s="23">
        <v>30</v>
      </c>
      <c r="E85" s="3">
        <v>30</v>
      </c>
      <c r="F85" s="2" t="s">
        <v>11053</v>
      </c>
      <c r="G85" s="22"/>
      <c r="H85" s="24"/>
      <c r="I85" s="22" t="s">
        <v>19309</v>
      </c>
      <c r="J85" s="22" t="s">
        <v>19417</v>
      </c>
      <c r="K85" s="22" t="s">
        <v>18387</v>
      </c>
      <c r="L85" s="22"/>
      <c r="M85" s="22"/>
      <c r="N85" s="25" t="str">
        <f>HYPERLINK("http://slimages.macys.com/is/image/MCY/18863624 ")</f>
        <v xml:space="preserve">http://slimages.macys.com/is/image/MCY/18863624 </v>
      </c>
    </row>
    <row r="86" spans="1:14" ht="24.75" x14ac:dyDescent="0.25">
      <c r="A86" s="21" t="s">
        <v>11054</v>
      </c>
      <c r="B86" s="22" t="s">
        <v>11055</v>
      </c>
      <c r="C86" s="2">
        <v>1</v>
      </c>
      <c r="D86" s="23">
        <v>24</v>
      </c>
      <c r="E86" s="3">
        <v>24</v>
      </c>
      <c r="F86" s="2" t="s">
        <v>11056</v>
      </c>
      <c r="G86" s="22" t="s">
        <v>18439</v>
      </c>
      <c r="H86" s="24" t="s">
        <v>19384</v>
      </c>
      <c r="I86" s="22" t="s">
        <v>19309</v>
      </c>
      <c r="J86" s="22" t="s">
        <v>19417</v>
      </c>
      <c r="K86" s="22" t="s">
        <v>20110</v>
      </c>
      <c r="L86" s="22"/>
      <c r="M86" s="22"/>
      <c r="N86" s="25" t="str">
        <f>HYPERLINK("http://slimages.macys.com/is/image/MCY/21400727 ")</f>
        <v xml:space="preserve">http://slimages.macys.com/is/image/MCY/21400727 </v>
      </c>
    </row>
    <row r="87" spans="1:14" ht="24.75" x14ac:dyDescent="0.25">
      <c r="A87" s="21" t="s">
        <v>11057</v>
      </c>
      <c r="B87" s="22" t="s">
        <v>11058</v>
      </c>
      <c r="C87" s="2">
        <v>2</v>
      </c>
      <c r="D87" s="23">
        <v>26</v>
      </c>
      <c r="E87" s="3">
        <v>52</v>
      </c>
      <c r="F87" s="2" t="s">
        <v>11037</v>
      </c>
      <c r="G87" s="22" t="s">
        <v>19513</v>
      </c>
      <c r="H87" s="24" t="s">
        <v>19538</v>
      </c>
      <c r="I87" s="22" t="s">
        <v>19309</v>
      </c>
      <c r="J87" s="22" t="s">
        <v>19417</v>
      </c>
      <c r="K87" s="22" t="s">
        <v>20110</v>
      </c>
      <c r="L87" s="22"/>
      <c r="M87" s="22"/>
      <c r="N87" s="25" t="str">
        <f>HYPERLINK("http://slimages.macys.com/is/image/MCY/21551760 ")</f>
        <v xml:space="preserve">http://slimages.macys.com/is/image/MCY/21551760 </v>
      </c>
    </row>
    <row r="88" spans="1:14" ht="24.75" x14ac:dyDescent="0.25">
      <c r="A88" s="21" t="s">
        <v>11059</v>
      </c>
      <c r="B88" s="22" t="s">
        <v>11060</v>
      </c>
      <c r="C88" s="2">
        <v>11</v>
      </c>
      <c r="D88" s="23">
        <v>16.989999999999998</v>
      </c>
      <c r="E88" s="3">
        <v>186.89</v>
      </c>
      <c r="F88" s="2" t="s">
        <v>11061</v>
      </c>
      <c r="G88" s="22" t="s">
        <v>19674</v>
      </c>
      <c r="H88" s="24" t="s">
        <v>19352</v>
      </c>
      <c r="I88" s="22" t="s">
        <v>19309</v>
      </c>
      <c r="J88" s="22" t="s">
        <v>19849</v>
      </c>
      <c r="K88" s="22" t="s">
        <v>19850</v>
      </c>
      <c r="L88" s="22"/>
      <c r="M88" s="22"/>
      <c r="N88" s="25" t="str">
        <f>HYPERLINK("http://slimages.macys.com/is/image/MCY/21250910 ")</f>
        <v xml:space="preserve">http://slimages.macys.com/is/image/MCY/21250910 </v>
      </c>
    </row>
    <row r="89" spans="1:14" x14ac:dyDescent="0.25">
      <c r="A89" s="21" t="s">
        <v>11062</v>
      </c>
      <c r="B89" s="22" t="s">
        <v>11063</v>
      </c>
      <c r="C89" s="2">
        <v>1</v>
      </c>
      <c r="D89" s="23">
        <v>16.989999999999998</v>
      </c>
      <c r="E89" s="3">
        <v>16.989999999999998</v>
      </c>
      <c r="F89" s="2" t="s">
        <v>16141</v>
      </c>
      <c r="G89" s="22" t="s">
        <v>19315</v>
      </c>
      <c r="H89" s="24" t="s">
        <v>19797</v>
      </c>
      <c r="I89" s="22" t="s">
        <v>19309</v>
      </c>
      <c r="J89" s="22" t="s">
        <v>19849</v>
      </c>
      <c r="K89" s="22" t="s">
        <v>19850</v>
      </c>
      <c r="L89" s="22"/>
      <c r="M89" s="22"/>
      <c r="N89" s="25" t="str">
        <f>HYPERLINK("http://slimages.macys.com/is/image/MCY/18685358 ")</f>
        <v xml:space="preserve">http://slimages.macys.com/is/image/MCY/18685358 </v>
      </c>
    </row>
    <row r="90" spans="1:14" ht="24.75" x14ac:dyDescent="0.25">
      <c r="A90" s="21" t="s">
        <v>11064</v>
      </c>
      <c r="B90" s="22" t="s">
        <v>11065</v>
      </c>
      <c r="C90" s="2">
        <v>1</v>
      </c>
      <c r="D90" s="23">
        <v>18</v>
      </c>
      <c r="E90" s="3">
        <v>18</v>
      </c>
      <c r="F90" s="2" t="s">
        <v>11066</v>
      </c>
      <c r="G90" s="22" t="s">
        <v>19351</v>
      </c>
      <c r="H90" s="24" t="s">
        <v>19384</v>
      </c>
      <c r="I90" s="22" t="s">
        <v>19309</v>
      </c>
      <c r="J90" s="22" t="s">
        <v>19385</v>
      </c>
      <c r="K90" s="22" t="s">
        <v>17934</v>
      </c>
      <c r="L90" s="22"/>
      <c r="M90" s="22"/>
      <c r="N90" s="25" t="str">
        <f>HYPERLINK("http://slimages.macys.com/is/image/MCY/20555503 ")</f>
        <v xml:space="preserve">http://slimages.macys.com/is/image/MCY/20555503 </v>
      </c>
    </row>
    <row r="91" spans="1:14" ht="24.75" x14ac:dyDescent="0.25">
      <c r="A91" s="21" t="s">
        <v>11067</v>
      </c>
      <c r="B91" s="22" t="s">
        <v>11068</v>
      </c>
      <c r="C91" s="2">
        <v>4</v>
      </c>
      <c r="D91" s="23">
        <v>24.5</v>
      </c>
      <c r="E91" s="3">
        <v>98</v>
      </c>
      <c r="F91" s="2" t="s">
        <v>11069</v>
      </c>
      <c r="G91" s="22" t="s">
        <v>18764</v>
      </c>
      <c r="H91" s="24" t="s">
        <v>19334</v>
      </c>
      <c r="I91" s="22" t="s">
        <v>19309</v>
      </c>
      <c r="J91" s="22" t="s">
        <v>19688</v>
      </c>
      <c r="K91" s="22" t="s">
        <v>19614</v>
      </c>
      <c r="L91" s="22"/>
      <c r="M91" s="22"/>
      <c r="N91" s="25" t="str">
        <f>HYPERLINK("http://slimages.macys.com/is/image/MCY/21589145 ")</f>
        <v xml:space="preserve">http://slimages.macys.com/is/image/MCY/21589145 </v>
      </c>
    </row>
    <row r="92" spans="1:14" ht="24.75" x14ac:dyDescent="0.25">
      <c r="A92" s="21" t="s">
        <v>11070</v>
      </c>
      <c r="B92" s="22" t="s">
        <v>11071</v>
      </c>
      <c r="C92" s="2">
        <v>19</v>
      </c>
      <c r="D92" s="23">
        <v>14.99</v>
      </c>
      <c r="E92" s="3">
        <v>284.81</v>
      </c>
      <c r="F92" s="2">
        <v>4489</v>
      </c>
      <c r="G92" s="22" t="s">
        <v>19333</v>
      </c>
      <c r="H92" s="24" t="s">
        <v>19352</v>
      </c>
      <c r="I92" s="22" t="s">
        <v>19309</v>
      </c>
      <c r="J92" s="22" t="s">
        <v>20076</v>
      </c>
      <c r="K92" s="22" t="s">
        <v>20077</v>
      </c>
      <c r="L92" s="22"/>
      <c r="M92" s="22"/>
      <c r="N92" s="25" t="str">
        <f>HYPERLINK("http://slimages.macys.com/is/image/MCY/19348139 ")</f>
        <v xml:space="preserve">http://slimages.macys.com/is/image/MCY/19348139 </v>
      </c>
    </row>
    <row r="93" spans="1:14" ht="24.75" x14ac:dyDescent="0.25">
      <c r="A93" s="21" t="s">
        <v>11072</v>
      </c>
      <c r="B93" s="22" t="s">
        <v>11073</v>
      </c>
      <c r="C93" s="2">
        <v>32</v>
      </c>
      <c r="D93" s="23">
        <v>14.99</v>
      </c>
      <c r="E93" s="3">
        <v>479.68</v>
      </c>
      <c r="F93" s="2" t="s">
        <v>18364</v>
      </c>
      <c r="G93" s="22" t="s">
        <v>19431</v>
      </c>
      <c r="H93" s="24" t="s">
        <v>19324</v>
      </c>
      <c r="I93" s="22" t="s">
        <v>19309</v>
      </c>
      <c r="J93" s="22" t="s">
        <v>19573</v>
      </c>
      <c r="K93" s="22" t="s">
        <v>19574</v>
      </c>
      <c r="L93" s="22"/>
      <c r="M93" s="22"/>
      <c r="N93" s="25" t="str">
        <f>HYPERLINK("http://slimages.macys.com/is/image/MCY/2062457 ")</f>
        <v xml:space="preserve">http://slimages.macys.com/is/image/MCY/2062457 </v>
      </c>
    </row>
    <row r="94" spans="1:14" ht="24.75" x14ac:dyDescent="0.25">
      <c r="A94" s="21" t="s">
        <v>11074</v>
      </c>
      <c r="B94" s="22" t="s">
        <v>11075</v>
      </c>
      <c r="C94" s="2">
        <v>14</v>
      </c>
      <c r="D94" s="23">
        <v>14.99</v>
      </c>
      <c r="E94" s="3">
        <v>209.86</v>
      </c>
      <c r="F94" s="2" t="s">
        <v>18364</v>
      </c>
      <c r="G94" s="22" t="s">
        <v>19431</v>
      </c>
      <c r="H94" s="24" t="s">
        <v>19384</v>
      </c>
      <c r="I94" s="22" t="s">
        <v>19309</v>
      </c>
      <c r="J94" s="22" t="s">
        <v>19573</v>
      </c>
      <c r="K94" s="22" t="s">
        <v>19574</v>
      </c>
      <c r="L94" s="22"/>
      <c r="M94" s="22"/>
      <c r="N94" s="25" t="str">
        <f>HYPERLINK("http://slimages.macys.com/is/image/MCY/2062457 ")</f>
        <v xml:space="preserve">http://slimages.macys.com/is/image/MCY/2062457 </v>
      </c>
    </row>
    <row r="95" spans="1:14" ht="24.75" x14ac:dyDescent="0.25">
      <c r="A95" s="21" t="s">
        <v>11076</v>
      </c>
      <c r="B95" s="22" t="s">
        <v>11077</v>
      </c>
      <c r="C95" s="2">
        <v>11</v>
      </c>
      <c r="D95" s="23">
        <v>30</v>
      </c>
      <c r="E95" s="3">
        <v>330</v>
      </c>
      <c r="F95" s="2" t="s">
        <v>11078</v>
      </c>
      <c r="G95" s="22" t="s">
        <v>19333</v>
      </c>
      <c r="H95" s="24" t="s">
        <v>19968</v>
      </c>
      <c r="I95" s="22" t="s">
        <v>19309</v>
      </c>
      <c r="J95" s="22" t="s">
        <v>19417</v>
      </c>
      <c r="K95" s="22" t="s">
        <v>18317</v>
      </c>
      <c r="L95" s="22"/>
      <c r="M95" s="22"/>
      <c r="N95" s="25" t="str">
        <f>HYPERLINK("http://slimages.macys.com/is/image/MCY/21614931 ")</f>
        <v xml:space="preserve">http://slimages.macys.com/is/image/MCY/21614931 </v>
      </c>
    </row>
    <row r="96" spans="1:14" ht="24.75" x14ac:dyDescent="0.25">
      <c r="A96" s="21" t="s">
        <v>13794</v>
      </c>
      <c r="B96" s="22" t="s">
        <v>13795</v>
      </c>
      <c r="C96" s="2">
        <v>17</v>
      </c>
      <c r="D96" s="23">
        <v>22</v>
      </c>
      <c r="E96" s="3">
        <v>374</v>
      </c>
      <c r="F96" s="2" t="s">
        <v>13796</v>
      </c>
      <c r="G96" s="22" t="s">
        <v>18439</v>
      </c>
      <c r="H96" s="24"/>
      <c r="I96" s="22" t="s">
        <v>19309</v>
      </c>
      <c r="J96" s="22" t="s">
        <v>19417</v>
      </c>
      <c r="K96" s="22" t="s">
        <v>20110</v>
      </c>
      <c r="L96" s="22"/>
      <c r="M96" s="22"/>
      <c r="N96" s="25" t="str">
        <f>HYPERLINK("http://slimages.macys.com/is/image/MCY/21551774 ")</f>
        <v xml:space="preserve">http://slimages.macys.com/is/image/MCY/21551774 </v>
      </c>
    </row>
    <row r="97" spans="1:14" ht="24.75" x14ac:dyDescent="0.25">
      <c r="A97" s="21" t="s">
        <v>16173</v>
      </c>
      <c r="B97" s="22" t="s">
        <v>16174</v>
      </c>
      <c r="C97" s="2">
        <v>44</v>
      </c>
      <c r="D97" s="23">
        <v>22</v>
      </c>
      <c r="E97" s="3">
        <v>968</v>
      </c>
      <c r="F97" s="2" t="s">
        <v>16175</v>
      </c>
      <c r="G97" s="22" t="s">
        <v>19404</v>
      </c>
      <c r="H97" s="24" t="s">
        <v>20109</v>
      </c>
      <c r="I97" s="22" t="s">
        <v>19309</v>
      </c>
      <c r="J97" s="22" t="s">
        <v>19417</v>
      </c>
      <c r="K97" s="22" t="s">
        <v>20110</v>
      </c>
      <c r="L97" s="22"/>
      <c r="M97" s="22"/>
      <c r="N97" s="25" t="str">
        <f>HYPERLINK("http://slimages.macys.com/is/image/MCY/21735554 ")</f>
        <v xml:space="preserve">http://slimages.macys.com/is/image/MCY/21735554 </v>
      </c>
    </row>
    <row r="98" spans="1:14" ht="24.75" x14ac:dyDescent="0.25">
      <c r="A98" s="21" t="s">
        <v>11079</v>
      </c>
      <c r="B98" s="22" t="s">
        <v>11080</v>
      </c>
      <c r="C98" s="2">
        <v>32</v>
      </c>
      <c r="D98" s="23">
        <v>22.5</v>
      </c>
      <c r="E98" s="3">
        <v>720</v>
      </c>
      <c r="F98" s="2" t="s">
        <v>11081</v>
      </c>
      <c r="G98" s="22" t="s">
        <v>19618</v>
      </c>
      <c r="H98" s="24" t="s">
        <v>19334</v>
      </c>
      <c r="I98" s="22" t="s">
        <v>19309</v>
      </c>
      <c r="J98" s="22" t="s">
        <v>19688</v>
      </c>
      <c r="K98" s="22" t="s">
        <v>19614</v>
      </c>
      <c r="L98" s="22"/>
      <c r="M98" s="22"/>
      <c r="N98" s="25" t="str">
        <f>HYPERLINK("http://slimages.macys.com/is/image/MCY/21035858 ")</f>
        <v xml:space="preserve">http://slimages.macys.com/is/image/MCY/21035858 </v>
      </c>
    </row>
    <row r="99" spans="1:14" ht="24.75" x14ac:dyDescent="0.25">
      <c r="A99" s="21" t="s">
        <v>11082</v>
      </c>
      <c r="B99" s="22" t="s">
        <v>11083</v>
      </c>
      <c r="C99" s="2">
        <v>11</v>
      </c>
      <c r="D99" s="23">
        <v>22.5</v>
      </c>
      <c r="E99" s="3">
        <v>247.5</v>
      </c>
      <c r="F99" s="2" t="s">
        <v>11084</v>
      </c>
      <c r="G99" s="22" t="s">
        <v>19404</v>
      </c>
      <c r="H99" s="24" t="s">
        <v>19395</v>
      </c>
      <c r="I99" s="22" t="s">
        <v>19309</v>
      </c>
      <c r="J99" s="22" t="s">
        <v>19688</v>
      </c>
      <c r="K99" s="22" t="s">
        <v>19614</v>
      </c>
      <c r="L99" s="22"/>
      <c r="M99" s="22"/>
      <c r="N99" s="25" t="str">
        <f>HYPERLINK("http://slimages.macys.com/is/image/MCY/21726761 ")</f>
        <v xml:space="preserve">http://slimages.macys.com/is/image/MCY/21726761 </v>
      </c>
    </row>
    <row r="100" spans="1:14" ht="24.75" x14ac:dyDescent="0.25">
      <c r="A100" s="21" t="s">
        <v>11085</v>
      </c>
      <c r="B100" s="22" t="s">
        <v>11086</v>
      </c>
      <c r="C100" s="2">
        <v>14</v>
      </c>
      <c r="D100" s="23">
        <v>22.5</v>
      </c>
      <c r="E100" s="3">
        <v>315</v>
      </c>
      <c r="F100" s="2" t="s">
        <v>13234</v>
      </c>
      <c r="G100" s="22" t="s">
        <v>19351</v>
      </c>
      <c r="H100" s="24" t="s">
        <v>19334</v>
      </c>
      <c r="I100" s="22" t="s">
        <v>19309</v>
      </c>
      <c r="J100" s="22" t="s">
        <v>19688</v>
      </c>
      <c r="K100" s="22" t="s">
        <v>19614</v>
      </c>
      <c r="L100" s="22"/>
      <c r="M100" s="22"/>
      <c r="N100" s="25" t="str">
        <f>HYPERLINK("http://slimages.macys.com/is/image/MCY/21035870 ")</f>
        <v xml:space="preserve">http://slimages.macys.com/is/image/MCY/21035870 </v>
      </c>
    </row>
    <row r="101" spans="1:14" ht="24.75" x14ac:dyDescent="0.25">
      <c r="A101" s="21" t="s">
        <v>11087</v>
      </c>
      <c r="B101" s="22" t="s">
        <v>11088</v>
      </c>
      <c r="C101" s="2">
        <v>3</v>
      </c>
      <c r="D101" s="23">
        <v>22.5</v>
      </c>
      <c r="E101" s="3">
        <v>67.5</v>
      </c>
      <c r="F101" s="2" t="s">
        <v>11089</v>
      </c>
      <c r="G101" s="22" t="s">
        <v>19618</v>
      </c>
      <c r="H101" s="24" t="s">
        <v>19334</v>
      </c>
      <c r="I101" s="22" t="s">
        <v>19309</v>
      </c>
      <c r="J101" s="22" t="s">
        <v>19688</v>
      </c>
      <c r="K101" s="22" t="s">
        <v>19614</v>
      </c>
      <c r="L101" s="22"/>
      <c r="M101" s="22"/>
      <c r="N101" s="25" t="str">
        <f>HYPERLINK("http://slimages.macys.com/is/image/MCY/21035878 ")</f>
        <v xml:space="preserve">http://slimages.macys.com/is/image/MCY/21035878 </v>
      </c>
    </row>
    <row r="102" spans="1:14" ht="24.75" x14ac:dyDescent="0.25">
      <c r="A102" s="21" t="s">
        <v>16182</v>
      </c>
      <c r="B102" s="22" t="s">
        <v>16183</v>
      </c>
      <c r="C102" s="2">
        <v>16</v>
      </c>
      <c r="D102" s="23">
        <v>22.5</v>
      </c>
      <c r="E102" s="3">
        <v>360</v>
      </c>
      <c r="F102" s="2" t="s">
        <v>16184</v>
      </c>
      <c r="G102" s="22" t="s">
        <v>19528</v>
      </c>
      <c r="H102" s="24" t="s">
        <v>19334</v>
      </c>
      <c r="I102" s="22" t="s">
        <v>19309</v>
      </c>
      <c r="J102" s="22" t="s">
        <v>19688</v>
      </c>
      <c r="K102" s="22" t="s">
        <v>19614</v>
      </c>
      <c r="L102" s="22"/>
      <c r="M102" s="22"/>
      <c r="N102" s="25" t="str">
        <f>HYPERLINK("http://slimages.macys.com/is/image/MCY/21035884 ")</f>
        <v xml:space="preserve">http://slimages.macys.com/is/image/MCY/21035884 </v>
      </c>
    </row>
    <row r="103" spans="1:14" x14ac:dyDescent="0.25">
      <c r="A103" s="21" t="s">
        <v>11090</v>
      </c>
      <c r="B103" s="22" t="s">
        <v>11091</v>
      </c>
      <c r="C103" s="2">
        <v>8</v>
      </c>
      <c r="D103" s="23">
        <v>15.99</v>
      </c>
      <c r="E103" s="3">
        <v>127.92</v>
      </c>
      <c r="F103" s="2" t="s">
        <v>18462</v>
      </c>
      <c r="G103" s="22" t="s">
        <v>19674</v>
      </c>
      <c r="H103" s="24" t="s">
        <v>19907</v>
      </c>
      <c r="I103" s="22" t="s">
        <v>19309</v>
      </c>
      <c r="J103" s="22" t="s">
        <v>19849</v>
      </c>
      <c r="K103" s="22" t="s">
        <v>19850</v>
      </c>
      <c r="L103" s="22"/>
      <c r="M103" s="22"/>
      <c r="N103" s="25" t="str">
        <f>HYPERLINK("http://slimages.macys.com/is/image/MCY/1159077 ")</f>
        <v xml:space="preserve">http://slimages.macys.com/is/image/MCY/1159077 </v>
      </c>
    </row>
    <row r="104" spans="1:14" ht="24.75" x14ac:dyDescent="0.25">
      <c r="A104" s="21" t="s">
        <v>13826</v>
      </c>
      <c r="B104" s="22" t="s">
        <v>13827</v>
      </c>
      <c r="C104" s="2">
        <v>8</v>
      </c>
      <c r="D104" s="23">
        <v>13.99</v>
      </c>
      <c r="E104" s="3">
        <v>111.92</v>
      </c>
      <c r="F104" s="2" t="s">
        <v>13828</v>
      </c>
      <c r="G104" s="22" t="s">
        <v>19618</v>
      </c>
      <c r="H104" s="24" t="s">
        <v>19538</v>
      </c>
      <c r="I104" s="22" t="s">
        <v>19309</v>
      </c>
      <c r="J104" s="22" t="s">
        <v>19573</v>
      </c>
      <c r="K104" s="22" t="s">
        <v>19574</v>
      </c>
      <c r="L104" s="22"/>
      <c r="M104" s="22"/>
      <c r="N104" s="25" t="str">
        <f>HYPERLINK("http://slimages.macys.com/is/image/MCY/21361742 ")</f>
        <v xml:space="preserve">http://slimages.macys.com/is/image/MCY/21361742 </v>
      </c>
    </row>
    <row r="105" spans="1:14" ht="24.75" x14ac:dyDescent="0.25">
      <c r="A105" s="21" t="s">
        <v>11092</v>
      </c>
      <c r="B105" s="22" t="s">
        <v>11093</v>
      </c>
      <c r="C105" s="2">
        <v>7</v>
      </c>
      <c r="D105" s="23">
        <v>8.99</v>
      </c>
      <c r="E105" s="3">
        <v>62.93</v>
      </c>
      <c r="F105" s="2" t="s">
        <v>11094</v>
      </c>
      <c r="G105" s="22" t="s">
        <v>20145</v>
      </c>
      <c r="H105" s="24" t="s">
        <v>19361</v>
      </c>
      <c r="I105" s="22" t="s">
        <v>19309</v>
      </c>
      <c r="J105" s="22" t="s">
        <v>19447</v>
      </c>
      <c r="K105" s="22" t="s">
        <v>20146</v>
      </c>
      <c r="L105" s="22"/>
      <c r="M105" s="22"/>
      <c r="N105" s="25" t="str">
        <f>HYPERLINK("http://slimages.macys.com/is/image/MCY/21161727 ")</f>
        <v xml:space="preserve">http://slimages.macys.com/is/image/MCY/21161727 </v>
      </c>
    </row>
    <row r="106" spans="1:14" ht="24.75" x14ac:dyDescent="0.25">
      <c r="A106" s="21" t="s">
        <v>11095</v>
      </c>
      <c r="B106" s="22" t="s">
        <v>11096</v>
      </c>
      <c r="C106" s="2">
        <v>13</v>
      </c>
      <c r="D106" s="23">
        <v>8.99</v>
      </c>
      <c r="E106" s="3">
        <v>116.87</v>
      </c>
      <c r="F106" s="2" t="s">
        <v>11094</v>
      </c>
      <c r="G106" s="22" t="s">
        <v>20145</v>
      </c>
      <c r="H106" s="24" t="s">
        <v>19377</v>
      </c>
      <c r="I106" s="22" t="s">
        <v>19309</v>
      </c>
      <c r="J106" s="22" t="s">
        <v>19447</v>
      </c>
      <c r="K106" s="22" t="s">
        <v>20146</v>
      </c>
      <c r="L106" s="22"/>
      <c r="M106" s="22"/>
      <c r="N106" s="25" t="str">
        <f>HYPERLINK("http://slimages.macys.com/is/image/MCY/21161727 ")</f>
        <v xml:space="preserve">http://slimages.macys.com/is/image/MCY/21161727 </v>
      </c>
    </row>
    <row r="107" spans="1:14" ht="24.75" x14ac:dyDescent="0.25">
      <c r="A107" s="21" t="s">
        <v>11097</v>
      </c>
      <c r="B107" s="22" t="s">
        <v>11098</v>
      </c>
      <c r="C107" s="2">
        <v>3</v>
      </c>
      <c r="D107" s="23">
        <v>8.99</v>
      </c>
      <c r="E107" s="3">
        <v>26.97</v>
      </c>
      <c r="F107" s="2" t="s">
        <v>11094</v>
      </c>
      <c r="G107" s="22" t="s">
        <v>20145</v>
      </c>
      <c r="H107" s="24" t="s">
        <v>19542</v>
      </c>
      <c r="I107" s="22" t="s">
        <v>19309</v>
      </c>
      <c r="J107" s="22" t="s">
        <v>19447</v>
      </c>
      <c r="K107" s="22" t="s">
        <v>20146</v>
      </c>
      <c r="L107" s="22"/>
      <c r="M107" s="22"/>
      <c r="N107" s="25" t="str">
        <f>HYPERLINK("http://slimages.macys.com/is/image/MCY/21161727 ")</f>
        <v xml:space="preserve">http://slimages.macys.com/is/image/MCY/21161727 </v>
      </c>
    </row>
    <row r="108" spans="1:14" ht="24.75" x14ac:dyDescent="0.25">
      <c r="A108" s="21" t="s">
        <v>18560</v>
      </c>
      <c r="B108" s="22" t="s">
        <v>18561</v>
      </c>
      <c r="C108" s="2">
        <v>81</v>
      </c>
      <c r="D108" s="23">
        <v>13.99</v>
      </c>
      <c r="E108" s="3">
        <v>1133.19</v>
      </c>
      <c r="F108" s="2" t="s">
        <v>18551</v>
      </c>
      <c r="G108" s="22" t="s">
        <v>19467</v>
      </c>
      <c r="H108" s="24" t="s">
        <v>19538</v>
      </c>
      <c r="I108" s="22" t="s">
        <v>19309</v>
      </c>
      <c r="J108" s="22" t="s">
        <v>19573</v>
      </c>
      <c r="K108" s="22" t="s">
        <v>19574</v>
      </c>
      <c r="L108" s="22"/>
      <c r="M108" s="22"/>
      <c r="N108" s="25" t="str">
        <f>HYPERLINK("http://slimages.macys.com/is/image/MCY/21361645 ")</f>
        <v xml:space="preserve">http://slimages.macys.com/is/image/MCY/21361645 </v>
      </c>
    </row>
    <row r="109" spans="1:14" ht="24.75" x14ac:dyDescent="0.25">
      <c r="A109" s="21" t="s">
        <v>18552</v>
      </c>
      <c r="B109" s="22" t="s">
        <v>18553</v>
      </c>
      <c r="C109" s="2">
        <v>6</v>
      </c>
      <c r="D109" s="23">
        <v>13.99</v>
      </c>
      <c r="E109" s="3">
        <v>83.94</v>
      </c>
      <c r="F109" s="2" t="s">
        <v>18551</v>
      </c>
      <c r="G109" s="22" t="s">
        <v>19467</v>
      </c>
      <c r="H109" s="24" t="s">
        <v>19330</v>
      </c>
      <c r="I109" s="22" t="s">
        <v>19309</v>
      </c>
      <c r="J109" s="22" t="s">
        <v>19573</v>
      </c>
      <c r="K109" s="22" t="s">
        <v>19574</v>
      </c>
      <c r="L109" s="22"/>
      <c r="M109" s="22"/>
      <c r="N109" s="25" t="str">
        <f>HYPERLINK("http://slimages.macys.com/is/image/MCY/21361645 ")</f>
        <v xml:space="preserve">http://slimages.macys.com/is/image/MCY/21361645 </v>
      </c>
    </row>
    <row r="110" spans="1:14" ht="24.75" x14ac:dyDescent="0.25">
      <c r="A110" s="21" t="s">
        <v>16531</v>
      </c>
      <c r="B110" s="22" t="s">
        <v>16532</v>
      </c>
      <c r="C110" s="2">
        <v>5</v>
      </c>
      <c r="D110" s="23">
        <v>13.99</v>
      </c>
      <c r="E110" s="3">
        <v>69.95</v>
      </c>
      <c r="F110" s="2" t="s">
        <v>18551</v>
      </c>
      <c r="G110" s="22" t="s">
        <v>19467</v>
      </c>
      <c r="H110" s="24" t="s">
        <v>19324</v>
      </c>
      <c r="I110" s="22" t="s">
        <v>19309</v>
      </c>
      <c r="J110" s="22" t="s">
        <v>19573</v>
      </c>
      <c r="K110" s="22" t="s">
        <v>19574</v>
      </c>
      <c r="L110" s="22"/>
      <c r="M110" s="22"/>
      <c r="N110" s="25" t="str">
        <f>HYPERLINK("http://slimages.macys.com/is/image/MCY/21361645 ")</f>
        <v xml:space="preserve">http://slimages.macys.com/is/image/MCY/21361645 </v>
      </c>
    </row>
    <row r="111" spans="1:14" ht="24.75" x14ac:dyDescent="0.25">
      <c r="A111" s="21" t="s">
        <v>18549</v>
      </c>
      <c r="B111" s="22" t="s">
        <v>18550</v>
      </c>
      <c r="C111" s="2">
        <v>40</v>
      </c>
      <c r="D111" s="23">
        <v>13.99</v>
      </c>
      <c r="E111" s="3">
        <v>559.6</v>
      </c>
      <c r="F111" s="2" t="s">
        <v>18551</v>
      </c>
      <c r="G111" s="22" t="s">
        <v>19467</v>
      </c>
      <c r="H111" s="24" t="s">
        <v>19384</v>
      </c>
      <c r="I111" s="22" t="s">
        <v>19309</v>
      </c>
      <c r="J111" s="22" t="s">
        <v>19573</v>
      </c>
      <c r="K111" s="22" t="s">
        <v>19574</v>
      </c>
      <c r="L111" s="22"/>
      <c r="M111" s="22"/>
      <c r="N111" s="25" t="str">
        <f>HYPERLINK("http://slimages.macys.com/is/image/MCY/21361645 ")</f>
        <v xml:space="preserve">http://slimages.macys.com/is/image/MCY/21361645 </v>
      </c>
    </row>
    <row r="112" spans="1:14" ht="24.75" x14ac:dyDescent="0.25">
      <c r="A112" s="21" t="s">
        <v>11099</v>
      </c>
      <c r="B112" s="22" t="s">
        <v>11100</v>
      </c>
      <c r="C112" s="2">
        <v>12</v>
      </c>
      <c r="D112" s="23">
        <v>16.989999999999998</v>
      </c>
      <c r="E112" s="3">
        <v>203.88</v>
      </c>
      <c r="F112" s="2" t="s">
        <v>18581</v>
      </c>
      <c r="G112" s="22" t="s">
        <v>19333</v>
      </c>
      <c r="H112" s="24" t="s">
        <v>19542</v>
      </c>
      <c r="I112" s="22" t="s">
        <v>19309</v>
      </c>
      <c r="J112" s="22" t="s">
        <v>19454</v>
      </c>
      <c r="K112" s="22" t="s">
        <v>19524</v>
      </c>
      <c r="L112" s="22"/>
      <c r="M112" s="22"/>
      <c r="N112" s="25" t="str">
        <f>HYPERLINK("http://slimages.macys.com/is/image/MCY/21265927 ")</f>
        <v xml:space="preserve">http://slimages.macys.com/is/image/MCY/21265927 </v>
      </c>
    </row>
    <row r="113" spans="1:14" ht="24.75" x14ac:dyDescent="0.25">
      <c r="A113" s="21" t="s">
        <v>18579</v>
      </c>
      <c r="B113" s="22" t="s">
        <v>18580</v>
      </c>
      <c r="C113" s="2">
        <v>7</v>
      </c>
      <c r="D113" s="23">
        <v>16.989999999999998</v>
      </c>
      <c r="E113" s="3">
        <v>118.93</v>
      </c>
      <c r="F113" s="2" t="s">
        <v>18581</v>
      </c>
      <c r="G113" s="22" t="s">
        <v>19333</v>
      </c>
      <c r="H113" s="24" t="s">
        <v>20135</v>
      </c>
      <c r="I113" s="22" t="s">
        <v>19309</v>
      </c>
      <c r="J113" s="22" t="s">
        <v>19454</v>
      </c>
      <c r="K113" s="22" t="s">
        <v>19524</v>
      </c>
      <c r="L113" s="22"/>
      <c r="M113" s="22"/>
      <c r="N113" s="25" t="str">
        <f>HYPERLINK("http://slimages.macys.com/is/image/MCY/21265927 ")</f>
        <v xml:space="preserve">http://slimages.macys.com/is/image/MCY/21265927 </v>
      </c>
    </row>
    <row r="114" spans="1:14" ht="24.75" x14ac:dyDescent="0.25">
      <c r="A114" s="21" t="s">
        <v>13877</v>
      </c>
      <c r="B114" s="22" t="s">
        <v>13878</v>
      </c>
      <c r="C114" s="2">
        <v>13</v>
      </c>
      <c r="D114" s="23">
        <v>16.989999999999998</v>
      </c>
      <c r="E114" s="3">
        <v>220.87</v>
      </c>
      <c r="F114" s="2" t="s">
        <v>18581</v>
      </c>
      <c r="G114" s="22" t="s">
        <v>19333</v>
      </c>
      <c r="H114" s="24" t="s">
        <v>19361</v>
      </c>
      <c r="I114" s="22" t="s">
        <v>19309</v>
      </c>
      <c r="J114" s="22" t="s">
        <v>19454</v>
      </c>
      <c r="K114" s="22" t="s">
        <v>19524</v>
      </c>
      <c r="L114" s="22"/>
      <c r="M114" s="22"/>
      <c r="N114" s="25" t="str">
        <f>HYPERLINK("http://slimages.macys.com/is/image/MCY/21265927 ")</f>
        <v xml:space="preserve">http://slimages.macys.com/is/image/MCY/21265927 </v>
      </c>
    </row>
    <row r="115" spans="1:14" ht="24.75" x14ac:dyDescent="0.25">
      <c r="A115" s="21" t="s">
        <v>11101</v>
      </c>
      <c r="B115" s="22" t="s">
        <v>11102</v>
      </c>
      <c r="C115" s="2">
        <v>52</v>
      </c>
      <c r="D115" s="23">
        <v>10.91</v>
      </c>
      <c r="E115" s="3">
        <v>567.32000000000005</v>
      </c>
      <c r="F115" s="2" t="s">
        <v>16279</v>
      </c>
      <c r="G115" s="22" t="s">
        <v>19351</v>
      </c>
      <c r="H115" s="24" t="s">
        <v>19392</v>
      </c>
      <c r="I115" s="22" t="s">
        <v>19309</v>
      </c>
      <c r="J115" s="22" t="s">
        <v>19602</v>
      </c>
      <c r="K115" s="22" t="s">
        <v>20041</v>
      </c>
      <c r="L115" s="22"/>
      <c r="M115" s="22"/>
      <c r="N115" s="25" t="str">
        <f>HYPERLINK("http://slimages.macys.com/is/image/MCY/21669854 ")</f>
        <v xml:space="preserve">http://slimages.macys.com/is/image/MCY/21669854 </v>
      </c>
    </row>
    <row r="116" spans="1:14" ht="24.75" x14ac:dyDescent="0.25">
      <c r="A116" s="21" t="s">
        <v>16600</v>
      </c>
      <c r="B116" s="22" t="s">
        <v>16601</v>
      </c>
      <c r="C116" s="2">
        <v>6</v>
      </c>
      <c r="D116" s="23">
        <v>10.91</v>
      </c>
      <c r="E116" s="3">
        <v>65.459999999999994</v>
      </c>
      <c r="F116" s="2" t="s">
        <v>16602</v>
      </c>
      <c r="G116" s="22" t="s">
        <v>19357</v>
      </c>
      <c r="H116" s="24" t="s">
        <v>19334</v>
      </c>
      <c r="I116" s="22" t="s">
        <v>19309</v>
      </c>
      <c r="J116" s="22" t="s">
        <v>19602</v>
      </c>
      <c r="K116" s="22" t="s">
        <v>20041</v>
      </c>
      <c r="L116" s="22"/>
      <c r="M116" s="22"/>
      <c r="N116" s="25" t="str">
        <f>HYPERLINK("http://slimages.macys.com/is/image/MCY/21723141 ")</f>
        <v xml:space="preserve">http://slimages.macys.com/is/image/MCY/21723141 </v>
      </c>
    </row>
    <row r="117" spans="1:14" ht="24.75" x14ac:dyDescent="0.25">
      <c r="A117" s="21" t="s">
        <v>11103</v>
      </c>
      <c r="B117" s="22" t="s">
        <v>11104</v>
      </c>
      <c r="C117" s="2">
        <v>1</v>
      </c>
      <c r="D117" s="23">
        <v>12.99</v>
      </c>
      <c r="E117" s="3">
        <v>12.99</v>
      </c>
      <c r="F117" s="2" t="s">
        <v>12367</v>
      </c>
      <c r="G117" s="22" t="s">
        <v>19477</v>
      </c>
      <c r="H117" s="24" t="s">
        <v>19907</v>
      </c>
      <c r="I117" s="22" t="s">
        <v>19309</v>
      </c>
      <c r="J117" s="22" t="s">
        <v>19908</v>
      </c>
      <c r="K117" s="22" t="s">
        <v>19524</v>
      </c>
      <c r="L117" s="22"/>
      <c r="M117" s="22"/>
      <c r="N117" s="25" t="str">
        <f>HYPERLINK("http://slimages.macys.com/is/image/MCY/1030526 ")</f>
        <v xml:space="preserve">http://slimages.macys.com/is/image/MCY/1030526 </v>
      </c>
    </row>
    <row r="118" spans="1:14" x14ac:dyDescent="0.25">
      <c r="A118" s="21" t="s">
        <v>16631</v>
      </c>
      <c r="B118" s="22" t="s">
        <v>16632</v>
      </c>
      <c r="C118" s="2">
        <v>17</v>
      </c>
      <c r="D118" s="23">
        <v>10.99</v>
      </c>
      <c r="E118" s="3">
        <v>186.83</v>
      </c>
      <c r="F118" s="2" t="s">
        <v>16624</v>
      </c>
      <c r="G118" s="22" t="s">
        <v>19674</v>
      </c>
      <c r="H118" s="24" t="s">
        <v>19364</v>
      </c>
      <c r="I118" s="22" t="s">
        <v>19309</v>
      </c>
      <c r="J118" s="22" t="s">
        <v>19849</v>
      </c>
      <c r="K118" s="22" t="s">
        <v>19850</v>
      </c>
      <c r="L118" s="22"/>
      <c r="M118" s="22"/>
      <c r="N118" s="25" t="str">
        <f>HYPERLINK("http://slimages.macys.com/is/image/MCY/1650136 ")</f>
        <v xml:space="preserve">http://slimages.macys.com/is/image/MCY/1650136 </v>
      </c>
    </row>
    <row r="119" spans="1:14" ht="24.75" x14ac:dyDescent="0.25">
      <c r="A119" s="21" t="s">
        <v>11105</v>
      </c>
      <c r="B119" s="22" t="s">
        <v>11106</v>
      </c>
      <c r="C119" s="2">
        <v>26</v>
      </c>
      <c r="D119" s="23">
        <v>24</v>
      </c>
      <c r="E119" s="3">
        <v>624</v>
      </c>
      <c r="F119" s="2" t="s">
        <v>11107</v>
      </c>
      <c r="G119" s="22" t="s">
        <v>19357</v>
      </c>
      <c r="H119" s="24"/>
      <c r="I119" s="22" t="s">
        <v>19309</v>
      </c>
      <c r="J119" s="22" t="s">
        <v>19417</v>
      </c>
      <c r="K119" s="22" t="s">
        <v>18317</v>
      </c>
      <c r="L119" s="22"/>
      <c r="M119" s="22"/>
      <c r="N119" s="25" t="str">
        <f>HYPERLINK("http://slimages.macys.com/is/image/MCY/21614962 ")</f>
        <v xml:space="preserve">http://slimages.macys.com/is/image/MCY/21614962 </v>
      </c>
    </row>
    <row r="120" spans="1:14" ht="24.75" x14ac:dyDescent="0.25">
      <c r="A120" s="21" t="s">
        <v>16629</v>
      </c>
      <c r="B120" s="22" t="s">
        <v>16630</v>
      </c>
      <c r="C120" s="2">
        <v>1</v>
      </c>
      <c r="D120" s="23">
        <v>10.99</v>
      </c>
      <c r="E120" s="3">
        <v>10.99</v>
      </c>
      <c r="F120" s="2" t="s">
        <v>16624</v>
      </c>
      <c r="G120" s="22" t="s">
        <v>19674</v>
      </c>
      <c r="H120" s="24" t="s">
        <v>19352</v>
      </c>
      <c r="I120" s="22" t="s">
        <v>19309</v>
      </c>
      <c r="J120" s="22" t="s">
        <v>19849</v>
      </c>
      <c r="K120" s="22" t="s">
        <v>19850</v>
      </c>
      <c r="L120" s="22"/>
      <c r="M120" s="22"/>
      <c r="N120" s="25" t="str">
        <f>HYPERLINK("http://slimages.macys.com/is/image/MCY/1650136 ")</f>
        <v xml:space="preserve">http://slimages.macys.com/is/image/MCY/1650136 </v>
      </c>
    </row>
    <row r="121" spans="1:14" x14ac:dyDescent="0.25">
      <c r="A121" s="21" t="s">
        <v>11108</v>
      </c>
      <c r="B121" s="22" t="s">
        <v>11109</v>
      </c>
      <c r="C121" s="2">
        <v>8</v>
      </c>
      <c r="D121" s="23">
        <v>10.99</v>
      </c>
      <c r="E121" s="3">
        <v>87.92</v>
      </c>
      <c r="F121" s="2" t="s">
        <v>16624</v>
      </c>
      <c r="G121" s="22" t="s">
        <v>19674</v>
      </c>
      <c r="H121" s="24" t="s">
        <v>19797</v>
      </c>
      <c r="I121" s="22" t="s">
        <v>19309</v>
      </c>
      <c r="J121" s="22" t="s">
        <v>19849</v>
      </c>
      <c r="K121" s="22" t="s">
        <v>19850</v>
      </c>
      <c r="L121" s="22"/>
      <c r="M121" s="22"/>
      <c r="N121" s="25" t="str">
        <f>HYPERLINK("http://slimages.macys.com/is/image/MCY/1650136 ")</f>
        <v xml:space="preserve">http://slimages.macys.com/is/image/MCY/1650136 </v>
      </c>
    </row>
    <row r="122" spans="1:14" ht="24.75" x14ac:dyDescent="0.25">
      <c r="A122" s="21" t="s">
        <v>11110</v>
      </c>
      <c r="B122" s="22" t="s">
        <v>11111</v>
      </c>
      <c r="C122" s="2">
        <v>1</v>
      </c>
      <c r="D122" s="23">
        <v>22</v>
      </c>
      <c r="E122" s="3">
        <v>22</v>
      </c>
      <c r="F122" s="2" t="s">
        <v>11112</v>
      </c>
      <c r="G122" s="22" t="s">
        <v>19528</v>
      </c>
      <c r="H122" s="24" t="s">
        <v>19770</v>
      </c>
      <c r="I122" s="22" t="s">
        <v>19309</v>
      </c>
      <c r="J122" s="22" t="s">
        <v>19417</v>
      </c>
      <c r="K122" s="22" t="s">
        <v>20110</v>
      </c>
      <c r="L122" s="22"/>
      <c r="M122" s="22"/>
      <c r="N122" s="25" t="str">
        <f>HYPERLINK("http://slimages.macys.com/is/image/MCY/21400762 ")</f>
        <v xml:space="preserve">http://slimages.macys.com/is/image/MCY/21400762 </v>
      </c>
    </row>
    <row r="123" spans="1:14" ht="24.75" x14ac:dyDescent="0.25">
      <c r="A123" s="21" t="s">
        <v>13944</v>
      </c>
      <c r="B123" s="22" t="s">
        <v>13945</v>
      </c>
      <c r="C123" s="2">
        <v>33</v>
      </c>
      <c r="D123" s="23">
        <v>10.99</v>
      </c>
      <c r="E123" s="3">
        <v>362.67</v>
      </c>
      <c r="F123" s="2" t="s">
        <v>13946</v>
      </c>
      <c r="G123" s="22" t="s">
        <v>19674</v>
      </c>
      <c r="H123" s="24" t="s">
        <v>19797</v>
      </c>
      <c r="I123" s="22" t="s">
        <v>19309</v>
      </c>
      <c r="J123" s="22" t="s">
        <v>19353</v>
      </c>
      <c r="K123" s="22" t="s">
        <v>19524</v>
      </c>
      <c r="L123" s="22"/>
      <c r="M123" s="22"/>
      <c r="N123" s="25" t="str">
        <f>HYPERLINK("http://slimages.macys.com/is/image/MCY/21083376 ")</f>
        <v xml:space="preserve">http://slimages.macys.com/is/image/MCY/21083376 </v>
      </c>
    </row>
    <row r="124" spans="1:14" ht="24.75" x14ac:dyDescent="0.25">
      <c r="A124" s="21" t="s">
        <v>11113</v>
      </c>
      <c r="B124" s="22" t="s">
        <v>11114</v>
      </c>
      <c r="C124" s="2">
        <v>9</v>
      </c>
      <c r="D124" s="23">
        <v>8.31</v>
      </c>
      <c r="E124" s="3">
        <v>74.790000000000006</v>
      </c>
      <c r="F124" s="2" t="s">
        <v>11115</v>
      </c>
      <c r="G124" s="22" t="s">
        <v>19431</v>
      </c>
      <c r="H124" s="24" t="s">
        <v>19308</v>
      </c>
      <c r="I124" s="22" t="s">
        <v>19309</v>
      </c>
      <c r="J124" s="22" t="s">
        <v>19565</v>
      </c>
      <c r="K124" s="22" t="s">
        <v>18514</v>
      </c>
      <c r="L124" s="22"/>
      <c r="M124" s="22"/>
      <c r="N124" s="25" t="str">
        <f>HYPERLINK("http://slimages.macys.com/is/image/MCY/21901987 ")</f>
        <v xml:space="preserve">http://slimages.macys.com/is/image/MCY/21901987 </v>
      </c>
    </row>
    <row r="125" spans="1:14" x14ac:dyDescent="0.25">
      <c r="A125" s="21" t="s">
        <v>11116</v>
      </c>
      <c r="B125" s="22" t="s">
        <v>11117</v>
      </c>
      <c r="C125" s="2">
        <v>2</v>
      </c>
      <c r="D125" s="23">
        <v>16</v>
      </c>
      <c r="E125" s="3">
        <v>32</v>
      </c>
      <c r="F125" s="2" t="s">
        <v>11118</v>
      </c>
      <c r="G125" s="22" t="s">
        <v>19794</v>
      </c>
      <c r="H125" s="24" t="s">
        <v>19324</v>
      </c>
      <c r="I125" s="22" t="s">
        <v>19309</v>
      </c>
      <c r="J125" s="22" t="s">
        <v>19708</v>
      </c>
      <c r="K125" s="22" t="s">
        <v>19709</v>
      </c>
      <c r="L125" s="22"/>
      <c r="M125" s="22"/>
      <c r="N125" s="25" t="str">
        <f>HYPERLINK("http://slimages.macys.com/is/image/MCY/21726750 ")</f>
        <v xml:space="preserve">http://slimages.macys.com/is/image/MCY/21726750 </v>
      </c>
    </row>
    <row r="126" spans="1:14" ht="24.75" x14ac:dyDescent="0.25">
      <c r="A126" s="21" t="s">
        <v>14020</v>
      </c>
      <c r="B126" s="22" t="s">
        <v>14011</v>
      </c>
      <c r="C126" s="2">
        <v>23</v>
      </c>
      <c r="D126" s="23">
        <v>7.99</v>
      </c>
      <c r="E126" s="3">
        <v>183.77</v>
      </c>
      <c r="F126" s="2" t="s">
        <v>14012</v>
      </c>
      <c r="G126" s="22" t="s">
        <v>19431</v>
      </c>
      <c r="H126" s="24" t="s">
        <v>19392</v>
      </c>
      <c r="I126" s="22" t="s">
        <v>19309</v>
      </c>
      <c r="J126" s="22" t="s">
        <v>19815</v>
      </c>
      <c r="K126" s="22" t="s">
        <v>19816</v>
      </c>
      <c r="L126" s="22"/>
      <c r="M126" s="22"/>
      <c r="N126" s="25" t="str">
        <f>HYPERLINK("http://slimages.macys.com/is/image/MCY/20752798 ")</f>
        <v xml:space="preserve">http://slimages.macys.com/is/image/MCY/20752798 </v>
      </c>
    </row>
    <row r="127" spans="1:14" ht="24.75" x14ac:dyDescent="0.25">
      <c r="A127" s="21" t="s">
        <v>14029</v>
      </c>
      <c r="B127" s="22" t="s">
        <v>14011</v>
      </c>
      <c r="C127" s="2">
        <v>3</v>
      </c>
      <c r="D127" s="23">
        <v>7.99</v>
      </c>
      <c r="E127" s="3">
        <v>23.97</v>
      </c>
      <c r="F127" s="2" t="s">
        <v>14012</v>
      </c>
      <c r="G127" s="22" t="s">
        <v>19431</v>
      </c>
      <c r="H127" s="24" t="s">
        <v>19907</v>
      </c>
      <c r="I127" s="22" t="s">
        <v>19309</v>
      </c>
      <c r="J127" s="22" t="s">
        <v>19815</v>
      </c>
      <c r="K127" s="22" t="s">
        <v>19816</v>
      </c>
      <c r="L127" s="22"/>
      <c r="M127" s="22"/>
      <c r="N127" s="25" t="str">
        <f>HYPERLINK("http://slimages.macys.com/is/image/MCY/20752798 ")</f>
        <v xml:space="preserve">http://slimages.macys.com/is/image/MCY/20752798 </v>
      </c>
    </row>
    <row r="128" spans="1:14" ht="24.75" x14ac:dyDescent="0.25">
      <c r="A128" s="21" t="s">
        <v>14013</v>
      </c>
      <c r="B128" s="22" t="s">
        <v>14011</v>
      </c>
      <c r="C128" s="2">
        <v>24</v>
      </c>
      <c r="D128" s="23">
        <v>7.99</v>
      </c>
      <c r="E128" s="3">
        <v>191.76</v>
      </c>
      <c r="F128" s="2" t="s">
        <v>14012</v>
      </c>
      <c r="G128" s="22" t="s">
        <v>19431</v>
      </c>
      <c r="H128" s="24" t="s">
        <v>19542</v>
      </c>
      <c r="I128" s="22" t="s">
        <v>19309</v>
      </c>
      <c r="J128" s="22" t="s">
        <v>19815</v>
      </c>
      <c r="K128" s="22" t="s">
        <v>19816</v>
      </c>
      <c r="L128" s="22"/>
      <c r="M128" s="22"/>
      <c r="N128" s="25" t="str">
        <f>HYPERLINK("http://slimages.macys.com/is/image/MCY/20752798 ")</f>
        <v xml:space="preserve">http://slimages.macys.com/is/image/MCY/20752798 </v>
      </c>
    </row>
    <row r="129" spans="1:14" ht="24.75" x14ac:dyDescent="0.25">
      <c r="A129" s="21" t="s">
        <v>11119</v>
      </c>
      <c r="B129" s="22" t="s">
        <v>14011</v>
      </c>
      <c r="C129" s="2">
        <v>23</v>
      </c>
      <c r="D129" s="23">
        <v>7.99</v>
      </c>
      <c r="E129" s="3">
        <v>183.77</v>
      </c>
      <c r="F129" s="2" t="s">
        <v>14012</v>
      </c>
      <c r="G129" s="22" t="s">
        <v>19431</v>
      </c>
      <c r="H129" s="24" t="s">
        <v>19432</v>
      </c>
      <c r="I129" s="22" t="s">
        <v>19309</v>
      </c>
      <c r="J129" s="22" t="s">
        <v>19815</v>
      </c>
      <c r="K129" s="22" t="s">
        <v>19816</v>
      </c>
      <c r="L129" s="22"/>
      <c r="M129" s="22"/>
      <c r="N129" s="25" t="str">
        <f>HYPERLINK("http://slimages.macys.com/is/image/MCY/20752798 ")</f>
        <v xml:space="preserve">http://slimages.macys.com/is/image/MCY/20752798 </v>
      </c>
    </row>
    <row r="130" spans="1:14" x14ac:dyDescent="0.25">
      <c r="A130" s="21" t="s">
        <v>16847</v>
      </c>
      <c r="B130" s="22" t="s">
        <v>16848</v>
      </c>
      <c r="C130" s="2">
        <v>3</v>
      </c>
      <c r="D130" s="23">
        <v>11.99</v>
      </c>
      <c r="E130" s="3">
        <v>35.97</v>
      </c>
      <c r="F130" s="2" t="s">
        <v>16849</v>
      </c>
      <c r="G130" s="22" t="s">
        <v>19674</v>
      </c>
      <c r="H130" s="24" t="s">
        <v>19797</v>
      </c>
      <c r="I130" s="22" t="s">
        <v>19309</v>
      </c>
      <c r="J130" s="22" t="s">
        <v>19849</v>
      </c>
      <c r="K130" s="22" t="s">
        <v>19850</v>
      </c>
      <c r="L130" s="22"/>
      <c r="M130" s="22"/>
      <c r="N130" s="25" t="str">
        <f>HYPERLINK("http://slimages.macys.com/is/image/MCY/1523123 ")</f>
        <v xml:space="preserve">http://slimages.macys.com/is/image/MCY/1523123 </v>
      </c>
    </row>
    <row r="131" spans="1:14" ht="24.75" x14ac:dyDescent="0.25">
      <c r="A131" s="21" t="s">
        <v>11120</v>
      </c>
      <c r="B131" s="22" t="s">
        <v>11121</v>
      </c>
      <c r="C131" s="2">
        <v>96</v>
      </c>
      <c r="D131" s="23">
        <v>7.99</v>
      </c>
      <c r="E131" s="3">
        <v>767.04</v>
      </c>
      <c r="F131" s="2" t="s">
        <v>11122</v>
      </c>
      <c r="G131" s="22"/>
      <c r="H131" s="24"/>
      <c r="I131" s="22" t="s">
        <v>19309</v>
      </c>
      <c r="J131" s="22" t="s">
        <v>20076</v>
      </c>
      <c r="K131" s="22" t="s">
        <v>11123</v>
      </c>
      <c r="L131" s="22" t="s">
        <v>19319</v>
      </c>
      <c r="M131" s="22" t="s">
        <v>19764</v>
      </c>
      <c r="N131" s="25" t="str">
        <f>HYPERLINK("http://slimages.macys.com/is/image/MCY/9998193 ")</f>
        <v xml:space="preserve">http://slimages.macys.com/is/image/MCY/9998193 </v>
      </c>
    </row>
    <row r="132" spans="1:14" x14ac:dyDescent="0.25">
      <c r="A132" s="21" t="s">
        <v>16967</v>
      </c>
      <c r="B132" s="22" t="s">
        <v>16968</v>
      </c>
      <c r="C132" s="2">
        <v>9</v>
      </c>
      <c r="D132" s="23">
        <v>7.99</v>
      </c>
      <c r="E132" s="3">
        <v>71.91</v>
      </c>
      <c r="F132" s="2" t="s">
        <v>16840</v>
      </c>
      <c r="G132" s="22" t="s">
        <v>19467</v>
      </c>
      <c r="H132" s="24" t="s">
        <v>19361</v>
      </c>
      <c r="I132" s="22" t="s">
        <v>19309</v>
      </c>
      <c r="J132" s="22" t="s">
        <v>19849</v>
      </c>
      <c r="K132" s="22" t="s">
        <v>19850</v>
      </c>
      <c r="L132" s="22"/>
      <c r="M132" s="22"/>
      <c r="N132" s="25" t="str">
        <f>HYPERLINK("http://slimages.macys.com/is/image/MCY/19068277 ")</f>
        <v xml:space="preserve">http://slimages.macys.com/is/image/MCY/19068277 </v>
      </c>
    </row>
    <row r="133" spans="1:14" ht="24.75" x14ac:dyDescent="0.25">
      <c r="A133" s="21" t="s">
        <v>11124</v>
      </c>
      <c r="B133" s="22" t="s">
        <v>11125</v>
      </c>
      <c r="C133" s="2">
        <v>1</v>
      </c>
      <c r="D133" s="23">
        <v>7.99</v>
      </c>
      <c r="E133" s="3">
        <v>7.99</v>
      </c>
      <c r="F133" s="2" t="s">
        <v>11126</v>
      </c>
      <c r="G133" s="22" t="s">
        <v>19383</v>
      </c>
      <c r="H133" s="24" t="s">
        <v>19361</v>
      </c>
      <c r="I133" s="22" t="s">
        <v>19309</v>
      </c>
      <c r="J133" s="22" t="s">
        <v>19908</v>
      </c>
      <c r="K133" s="22" t="s">
        <v>19524</v>
      </c>
      <c r="L133" s="22"/>
      <c r="M133" s="22"/>
      <c r="N133" s="25" t="str">
        <f>HYPERLINK("http://slimages.macys.com/is/image/MCY/20819685 ")</f>
        <v xml:space="preserve">http://slimages.macys.com/is/image/MCY/20819685 </v>
      </c>
    </row>
    <row r="134" spans="1:14" ht="24.75" x14ac:dyDescent="0.25">
      <c r="A134" s="21" t="s">
        <v>11127</v>
      </c>
      <c r="B134" s="22" t="s">
        <v>11128</v>
      </c>
      <c r="C134" s="2">
        <v>1</v>
      </c>
      <c r="D134" s="23">
        <v>7.99</v>
      </c>
      <c r="E134" s="3">
        <v>7.99</v>
      </c>
      <c r="F134" s="2" t="s">
        <v>11129</v>
      </c>
      <c r="G134" s="22" t="s">
        <v>19351</v>
      </c>
      <c r="H134" s="24" t="s">
        <v>20135</v>
      </c>
      <c r="I134" s="22" t="s">
        <v>19309</v>
      </c>
      <c r="J134" s="22" t="s">
        <v>19573</v>
      </c>
      <c r="K134" s="22" t="s">
        <v>19574</v>
      </c>
      <c r="L134" s="22"/>
      <c r="M134" s="22"/>
      <c r="N134" s="25" t="str">
        <f>HYPERLINK("http://slimages.macys.com/is/image/MCY/1610409 ")</f>
        <v xml:space="preserve">http://slimages.macys.com/is/image/MCY/1610409 </v>
      </c>
    </row>
    <row r="135" spans="1:14" ht="24.75" x14ac:dyDescent="0.25">
      <c r="A135" s="21" t="s">
        <v>11130</v>
      </c>
      <c r="B135" s="22" t="s">
        <v>11131</v>
      </c>
      <c r="C135" s="2">
        <v>9</v>
      </c>
      <c r="D135" s="23">
        <v>7.99</v>
      </c>
      <c r="E135" s="3">
        <v>71.91</v>
      </c>
      <c r="F135" s="2" t="s">
        <v>11132</v>
      </c>
      <c r="G135" s="22" t="s">
        <v>19618</v>
      </c>
      <c r="H135" s="24" t="s">
        <v>19907</v>
      </c>
      <c r="I135" s="22" t="s">
        <v>19309</v>
      </c>
      <c r="J135" s="22" t="s">
        <v>19573</v>
      </c>
      <c r="K135" s="22" t="s">
        <v>19574</v>
      </c>
      <c r="L135" s="22"/>
      <c r="M135" s="22"/>
      <c r="N135" s="25" t="str">
        <f>HYPERLINK("http://slimages.macys.com/is/image/MCY/1573861 ")</f>
        <v xml:space="preserve">http://slimages.macys.com/is/image/MCY/1573861 </v>
      </c>
    </row>
    <row r="136" spans="1:14" ht="24.75" x14ac:dyDescent="0.25">
      <c r="A136" s="21" t="s">
        <v>14740</v>
      </c>
      <c r="B136" s="22" t="s">
        <v>14741</v>
      </c>
      <c r="C136" s="2">
        <v>1</v>
      </c>
      <c r="D136" s="23">
        <v>7.99</v>
      </c>
      <c r="E136" s="3">
        <v>7.99</v>
      </c>
      <c r="F136" s="2" t="s">
        <v>19040</v>
      </c>
      <c r="G136" s="22" t="s">
        <v>19906</v>
      </c>
      <c r="H136" s="24" t="s">
        <v>20135</v>
      </c>
      <c r="I136" s="22" t="s">
        <v>19309</v>
      </c>
      <c r="J136" s="22" t="s">
        <v>19573</v>
      </c>
      <c r="K136" s="22" t="s">
        <v>19574</v>
      </c>
      <c r="L136" s="22"/>
      <c r="M136" s="22"/>
      <c r="N136" s="25" t="str">
        <f>HYPERLINK("http://slimages.macys.com/is/image/MCY/21209467 ")</f>
        <v xml:space="preserve">http://slimages.macys.com/is/image/MCY/21209467 </v>
      </c>
    </row>
    <row r="137" spans="1:14" ht="24.75" x14ac:dyDescent="0.25">
      <c r="A137" s="21" t="s">
        <v>19038</v>
      </c>
      <c r="B137" s="22" t="s">
        <v>19039</v>
      </c>
      <c r="C137" s="2">
        <v>2</v>
      </c>
      <c r="D137" s="23">
        <v>7.99</v>
      </c>
      <c r="E137" s="3">
        <v>15.98</v>
      </c>
      <c r="F137" s="2" t="s">
        <v>19040</v>
      </c>
      <c r="G137" s="22" t="s">
        <v>19906</v>
      </c>
      <c r="H137" s="24" t="s">
        <v>19907</v>
      </c>
      <c r="I137" s="22" t="s">
        <v>19309</v>
      </c>
      <c r="J137" s="22" t="s">
        <v>19573</v>
      </c>
      <c r="K137" s="22" t="s">
        <v>19574</v>
      </c>
      <c r="L137" s="22"/>
      <c r="M137" s="22"/>
      <c r="N137" s="25" t="str">
        <f>HYPERLINK("http://slimages.macys.com/is/image/MCY/21209467 ")</f>
        <v xml:space="preserve">http://slimages.macys.com/is/image/MCY/21209467 </v>
      </c>
    </row>
    <row r="138" spans="1:14" ht="24.75" x14ac:dyDescent="0.25">
      <c r="A138" s="21" t="s">
        <v>14734</v>
      </c>
      <c r="B138" s="22" t="s">
        <v>14735</v>
      </c>
      <c r="C138" s="2">
        <v>60</v>
      </c>
      <c r="D138" s="23">
        <v>7.99</v>
      </c>
      <c r="E138" s="3">
        <v>479.4</v>
      </c>
      <c r="F138" s="2" t="s">
        <v>19040</v>
      </c>
      <c r="G138" s="22" t="s">
        <v>19906</v>
      </c>
      <c r="H138" s="24" t="s">
        <v>20089</v>
      </c>
      <c r="I138" s="22" t="s">
        <v>19309</v>
      </c>
      <c r="J138" s="22" t="s">
        <v>19573</v>
      </c>
      <c r="K138" s="22" t="s">
        <v>19574</v>
      </c>
      <c r="L138" s="22"/>
      <c r="M138" s="22"/>
      <c r="N138" s="25" t="str">
        <f>HYPERLINK("http://slimages.macys.com/is/image/MCY/21209467 ")</f>
        <v xml:space="preserve">http://slimages.macys.com/is/image/MCY/21209467 </v>
      </c>
    </row>
    <row r="139" spans="1:14" ht="24.75" x14ac:dyDescent="0.25">
      <c r="A139" s="21" t="s">
        <v>11133</v>
      </c>
      <c r="B139" s="22" t="s">
        <v>11134</v>
      </c>
      <c r="C139" s="2">
        <v>118</v>
      </c>
      <c r="D139" s="23">
        <v>7.99</v>
      </c>
      <c r="E139" s="3">
        <v>942.82</v>
      </c>
      <c r="F139" s="2" t="s">
        <v>17068</v>
      </c>
      <c r="G139" s="22" t="s">
        <v>19674</v>
      </c>
      <c r="H139" s="24" t="s">
        <v>20135</v>
      </c>
      <c r="I139" s="22" t="s">
        <v>19309</v>
      </c>
      <c r="J139" s="22" t="s">
        <v>19573</v>
      </c>
      <c r="K139" s="22" t="s">
        <v>19574</v>
      </c>
      <c r="L139" s="22"/>
      <c r="M139" s="22"/>
      <c r="N139" s="25" t="str">
        <f>HYPERLINK("http://slimages.macys.com/is/image/MCY/20757995 ")</f>
        <v xml:space="preserve">http://slimages.macys.com/is/image/MCY/20757995 </v>
      </c>
    </row>
    <row r="140" spans="1:14" ht="24.75" x14ac:dyDescent="0.25">
      <c r="A140" s="21" t="s">
        <v>11135</v>
      </c>
      <c r="B140" s="22" t="s">
        <v>11136</v>
      </c>
      <c r="C140" s="2">
        <v>78</v>
      </c>
      <c r="D140" s="23">
        <v>7.99</v>
      </c>
      <c r="E140" s="3">
        <v>623.22</v>
      </c>
      <c r="F140" s="2" t="s">
        <v>17068</v>
      </c>
      <c r="G140" s="22" t="s">
        <v>19674</v>
      </c>
      <c r="H140" s="24" t="s">
        <v>20089</v>
      </c>
      <c r="I140" s="22" t="s">
        <v>19309</v>
      </c>
      <c r="J140" s="22" t="s">
        <v>19573</v>
      </c>
      <c r="K140" s="22" t="s">
        <v>19574</v>
      </c>
      <c r="L140" s="22"/>
      <c r="M140" s="22"/>
      <c r="N140" s="25" t="str">
        <f>HYPERLINK("http://slimages.macys.com/is/image/MCY/20757995 ")</f>
        <v xml:space="preserve">http://slimages.macys.com/is/image/MCY/20757995 </v>
      </c>
    </row>
    <row r="141" spans="1:14" ht="24.75" x14ac:dyDescent="0.25">
      <c r="A141" s="21" t="s">
        <v>11137</v>
      </c>
      <c r="B141" s="22" t="s">
        <v>11138</v>
      </c>
      <c r="C141" s="2">
        <v>3</v>
      </c>
      <c r="D141" s="23">
        <v>7.99</v>
      </c>
      <c r="E141" s="3">
        <v>23.97</v>
      </c>
      <c r="F141" s="2" t="s">
        <v>17068</v>
      </c>
      <c r="G141" s="22" t="s">
        <v>19462</v>
      </c>
      <c r="H141" s="24" t="s">
        <v>19907</v>
      </c>
      <c r="I141" s="22" t="s">
        <v>19309</v>
      </c>
      <c r="J141" s="22" t="s">
        <v>19573</v>
      </c>
      <c r="K141" s="22" t="s">
        <v>19574</v>
      </c>
      <c r="L141" s="22"/>
      <c r="M141" s="22"/>
      <c r="N141" s="25" t="str">
        <f>HYPERLINK("http://slimages.macys.com/is/image/MCY/20757991 ")</f>
        <v xml:space="preserve">http://slimages.macys.com/is/image/MCY/20757991 </v>
      </c>
    </row>
    <row r="142" spans="1:14" ht="24.75" x14ac:dyDescent="0.25">
      <c r="A142" s="21" t="s">
        <v>11139</v>
      </c>
      <c r="B142" s="22" t="s">
        <v>11140</v>
      </c>
      <c r="C142" s="2">
        <v>44</v>
      </c>
      <c r="D142" s="23">
        <v>7.99</v>
      </c>
      <c r="E142" s="3">
        <v>351.56</v>
      </c>
      <c r="F142" s="2" t="s">
        <v>17068</v>
      </c>
      <c r="G142" s="22" t="s">
        <v>19674</v>
      </c>
      <c r="H142" s="24" t="s">
        <v>19907</v>
      </c>
      <c r="I142" s="22" t="s">
        <v>19309</v>
      </c>
      <c r="J142" s="22" t="s">
        <v>19573</v>
      </c>
      <c r="K142" s="22" t="s">
        <v>19574</v>
      </c>
      <c r="L142" s="22"/>
      <c r="M142" s="22"/>
      <c r="N142" s="25" t="str">
        <f>HYPERLINK("http://slimages.macys.com/is/image/MCY/20757995 ")</f>
        <v xml:space="preserve">http://slimages.macys.com/is/image/MCY/20757995 </v>
      </c>
    </row>
    <row r="143" spans="1:14" ht="24.75" x14ac:dyDescent="0.25">
      <c r="A143" s="21" t="s">
        <v>11141</v>
      </c>
      <c r="B143" s="22" t="s">
        <v>11142</v>
      </c>
      <c r="C143" s="2">
        <v>3</v>
      </c>
      <c r="D143" s="23">
        <v>7.99</v>
      </c>
      <c r="E143" s="3">
        <v>23.97</v>
      </c>
      <c r="F143" s="2" t="s">
        <v>11143</v>
      </c>
      <c r="G143" s="22" t="s">
        <v>19670</v>
      </c>
      <c r="H143" s="24" t="s">
        <v>20135</v>
      </c>
      <c r="I143" s="22" t="s">
        <v>19309</v>
      </c>
      <c r="J143" s="22" t="s">
        <v>19573</v>
      </c>
      <c r="K143" s="22" t="s">
        <v>19574</v>
      </c>
      <c r="L143" s="22"/>
      <c r="M143" s="22"/>
      <c r="N143" s="25" t="str">
        <f>HYPERLINK("http://slimages.macys.com/is/image/MCY/21209533 ")</f>
        <v xml:space="preserve">http://slimages.macys.com/is/image/MCY/21209533 </v>
      </c>
    </row>
    <row r="144" spans="1:14" ht="24.75" x14ac:dyDescent="0.25">
      <c r="A144" s="21" t="s">
        <v>19117</v>
      </c>
      <c r="B144" s="22" t="s">
        <v>19118</v>
      </c>
      <c r="C144" s="2">
        <v>1</v>
      </c>
      <c r="D144" s="23">
        <v>5.99</v>
      </c>
      <c r="E144" s="3">
        <v>5.99</v>
      </c>
      <c r="F144" s="2" t="s">
        <v>19109</v>
      </c>
      <c r="G144" s="22" t="s">
        <v>19670</v>
      </c>
      <c r="H144" s="24" t="s">
        <v>19538</v>
      </c>
      <c r="I144" s="22" t="s">
        <v>19309</v>
      </c>
      <c r="J144" s="22" t="s">
        <v>19573</v>
      </c>
      <c r="K144" s="22" t="s">
        <v>19574</v>
      </c>
      <c r="L144" s="22"/>
      <c r="M144" s="22"/>
      <c r="N144" s="25" t="str">
        <f>HYPERLINK("http://slimages.macys.com/is/image/MCY/21209381 ")</f>
        <v xml:space="preserve">http://slimages.macys.com/is/image/MCY/21209381 </v>
      </c>
    </row>
    <row r="145" spans="1:14" ht="24.75" x14ac:dyDescent="0.25">
      <c r="A145" s="21" t="s">
        <v>11144</v>
      </c>
      <c r="B145" s="22" t="s">
        <v>11145</v>
      </c>
      <c r="C145" s="2">
        <v>38</v>
      </c>
      <c r="D145" s="23">
        <v>7.99</v>
      </c>
      <c r="E145" s="3">
        <v>303.62</v>
      </c>
      <c r="F145" s="2" t="s">
        <v>11146</v>
      </c>
      <c r="G145" s="22" t="s">
        <v>19351</v>
      </c>
      <c r="H145" s="24" t="s">
        <v>20135</v>
      </c>
      <c r="I145" s="22" t="s">
        <v>19309</v>
      </c>
      <c r="J145" s="22" t="s">
        <v>19573</v>
      </c>
      <c r="K145" s="22" t="s">
        <v>19574</v>
      </c>
      <c r="L145" s="22"/>
      <c r="M145" s="22"/>
      <c r="N145" s="25" t="str">
        <f>HYPERLINK("http://slimages.macys.com/is/image/MCY/21209453 ")</f>
        <v xml:space="preserve">http://slimages.macys.com/is/image/MCY/21209453 </v>
      </c>
    </row>
    <row r="146" spans="1:14" ht="24.75" x14ac:dyDescent="0.25">
      <c r="A146" s="21" t="s">
        <v>11147</v>
      </c>
      <c r="B146" s="22" t="s">
        <v>11148</v>
      </c>
      <c r="C146" s="2">
        <v>88</v>
      </c>
      <c r="D146" s="23">
        <v>7.99</v>
      </c>
      <c r="E146" s="3">
        <v>703.12</v>
      </c>
      <c r="F146" s="2" t="s">
        <v>11146</v>
      </c>
      <c r="G146" s="22" t="s">
        <v>19351</v>
      </c>
      <c r="H146" s="24" t="s">
        <v>20089</v>
      </c>
      <c r="I146" s="22" t="s">
        <v>19309</v>
      </c>
      <c r="J146" s="22" t="s">
        <v>19573</v>
      </c>
      <c r="K146" s="22" t="s">
        <v>19574</v>
      </c>
      <c r="L146" s="22"/>
      <c r="M146" s="22"/>
      <c r="N146" s="25" t="str">
        <f>HYPERLINK("http://slimages.macys.com/is/image/MCY/21209453 ")</f>
        <v xml:space="preserve">http://slimages.macys.com/is/image/MCY/21209453 </v>
      </c>
    </row>
    <row r="147" spans="1:14" ht="24.75" x14ac:dyDescent="0.25">
      <c r="A147" s="21" t="s">
        <v>11149</v>
      </c>
      <c r="B147" s="22" t="s">
        <v>11150</v>
      </c>
      <c r="C147" s="2">
        <v>8</v>
      </c>
      <c r="D147" s="23">
        <v>7.99</v>
      </c>
      <c r="E147" s="3">
        <v>63.92</v>
      </c>
      <c r="F147" s="2" t="s">
        <v>11146</v>
      </c>
      <c r="G147" s="22" t="s">
        <v>19351</v>
      </c>
      <c r="H147" s="24" t="s">
        <v>19907</v>
      </c>
      <c r="I147" s="22" t="s">
        <v>19309</v>
      </c>
      <c r="J147" s="22" t="s">
        <v>19573</v>
      </c>
      <c r="K147" s="22" t="s">
        <v>19574</v>
      </c>
      <c r="L147" s="22"/>
      <c r="M147" s="22"/>
      <c r="N147" s="25" t="str">
        <f>HYPERLINK("http://slimages.macys.com/is/image/MCY/21209295 ")</f>
        <v xml:space="preserve">http://slimages.macys.com/is/image/MCY/21209295 </v>
      </c>
    </row>
    <row r="148" spans="1:14" ht="24.75" x14ac:dyDescent="0.25">
      <c r="A148" s="21" t="s">
        <v>11151</v>
      </c>
      <c r="B148" s="22" t="s">
        <v>11152</v>
      </c>
      <c r="C148" s="2">
        <v>1</v>
      </c>
      <c r="D148" s="23">
        <v>7.99</v>
      </c>
      <c r="E148" s="3">
        <v>7.99</v>
      </c>
      <c r="F148" s="2" t="s">
        <v>11153</v>
      </c>
      <c r="G148" s="22" t="s">
        <v>19467</v>
      </c>
      <c r="H148" s="24" t="s">
        <v>20089</v>
      </c>
      <c r="I148" s="22" t="s">
        <v>19309</v>
      </c>
      <c r="J148" s="22" t="s">
        <v>19573</v>
      </c>
      <c r="K148" s="22" t="s">
        <v>19574</v>
      </c>
      <c r="L148" s="22"/>
      <c r="M148" s="22"/>
      <c r="N148" s="25" t="str">
        <f>HYPERLINK("http://slimages.macys.com/is/image/MCY/20757453 ")</f>
        <v xml:space="preserve">http://slimages.macys.com/is/image/MCY/20757453 </v>
      </c>
    </row>
    <row r="149" spans="1:14" ht="24.75" x14ac:dyDescent="0.25">
      <c r="A149" s="21" t="s">
        <v>11154</v>
      </c>
      <c r="B149" s="22" t="s">
        <v>11155</v>
      </c>
      <c r="C149" s="2">
        <v>3</v>
      </c>
      <c r="D149" s="23">
        <v>5.99</v>
      </c>
      <c r="E149" s="3">
        <v>17.97</v>
      </c>
      <c r="F149" s="2" t="s">
        <v>11156</v>
      </c>
      <c r="G149" s="22" t="s">
        <v>19351</v>
      </c>
      <c r="H149" s="24" t="s">
        <v>19384</v>
      </c>
      <c r="I149" s="22" t="s">
        <v>19309</v>
      </c>
      <c r="J149" s="22" t="s">
        <v>19573</v>
      </c>
      <c r="K149" s="22" t="s">
        <v>19574</v>
      </c>
      <c r="L149" s="22"/>
      <c r="M149" s="22"/>
      <c r="N149" s="25" t="str">
        <f>HYPERLINK("http://slimages.macys.com/is/image/MCY/1586539 ")</f>
        <v xml:space="preserve">http://slimages.macys.com/is/image/MCY/1586539 </v>
      </c>
    </row>
    <row r="150" spans="1:14" ht="24.75" x14ac:dyDescent="0.25">
      <c r="A150" s="21" t="s">
        <v>11157</v>
      </c>
      <c r="B150" s="22" t="s">
        <v>11158</v>
      </c>
      <c r="C150" s="2">
        <v>1</v>
      </c>
      <c r="D150" s="23">
        <v>5.99</v>
      </c>
      <c r="E150" s="3">
        <v>5.99</v>
      </c>
      <c r="F150" s="2" t="s">
        <v>11156</v>
      </c>
      <c r="G150" s="22" t="s">
        <v>19351</v>
      </c>
      <c r="H150" s="24" t="s">
        <v>19324</v>
      </c>
      <c r="I150" s="22" t="s">
        <v>19309</v>
      </c>
      <c r="J150" s="22" t="s">
        <v>19573</v>
      </c>
      <c r="K150" s="22" t="s">
        <v>19574</v>
      </c>
      <c r="L150" s="22"/>
      <c r="M150" s="22"/>
      <c r="N150" s="25" t="str">
        <f>HYPERLINK("http://slimages.macys.com/is/image/MCY/1586539 ")</f>
        <v xml:space="preserve">http://slimages.macys.com/is/image/MCY/1586539 </v>
      </c>
    </row>
    <row r="151" spans="1:14" ht="24.75" x14ac:dyDescent="0.25">
      <c r="A151" s="21" t="s">
        <v>12643</v>
      </c>
      <c r="B151" s="22" t="s">
        <v>12644</v>
      </c>
      <c r="C151" s="2">
        <v>44</v>
      </c>
      <c r="D151" s="23">
        <v>5.99</v>
      </c>
      <c r="E151" s="3">
        <v>263.56</v>
      </c>
      <c r="F151" s="2" t="s">
        <v>19170</v>
      </c>
      <c r="G151" s="22" t="s">
        <v>19906</v>
      </c>
      <c r="H151" s="24" t="s">
        <v>19538</v>
      </c>
      <c r="I151" s="22" t="s">
        <v>19309</v>
      </c>
      <c r="J151" s="22" t="s">
        <v>19573</v>
      </c>
      <c r="K151" s="22" t="s">
        <v>19574</v>
      </c>
      <c r="L151" s="22"/>
      <c r="M151" s="22"/>
      <c r="N151" s="25" t="str">
        <f>HYPERLINK("http://slimages.macys.com/is/image/MCY/21361119 ")</f>
        <v xml:space="preserve">http://slimages.macys.com/is/image/MCY/21361119 </v>
      </c>
    </row>
    <row r="152" spans="1:14" ht="24.75" x14ac:dyDescent="0.25">
      <c r="A152" s="21" t="s">
        <v>11159</v>
      </c>
      <c r="B152" s="22" t="s">
        <v>11160</v>
      </c>
      <c r="C152" s="2">
        <v>1</v>
      </c>
      <c r="D152" s="23">
        <v>6.99</v>
      </c>
      <c r="E152" s="3">
        <v>6.99</v>
      </c>
      <c r="F152" s="2" t="s">
        <v>11161</v>
      </c>
      <c r="G152" s="22" t="s">
        <v>19422</v>
      </c>
      <c r="H152" s="24" t="s">
        <v>19538</v>
      </c>
      <c r="I152" s="22" t="s">
        <v>19309</v>
      </c>
      <c r="J152" s="22" t="s">
        <v>19573</v>
      </c>
      <c r="K152" s="22" t="s">
        <v>19574</v>
      </c>
      <c r="L152" s="22"/>
      <c r="M152" s="22"/>
      <c r="N152" s="25" t="str">
        <f>HYPERLINK("http://slimages.macys.com/is/image/MCY/19217593 ")</f>
        <v xml:space="preserve">http://slimages.macys.com/is/image/MCY/19217593 </v>
      </c>
    </row>
    <row r="153" spans="1:14" ht="24.75" x14ac:dyDescent="0.25">
      <c r="A153" s="21" t="s">
        <v>11162</v>
      </c>
      <c r="B153" s="22" t="s">
        <v>11163</v>
      </c>
      <c r="C153" s="2">
        <v>1</v>
      </c>
      <c r="D153" s="23">
        <v>7.99</v>
      </c>
      <c r="E153" s="3">
        <v>7.99</v>
      </c>
      <c r="F153" s="2" t="s">
        <v>11164</v>
      </c>
      <c r="G153" s="22" t="s">
        <v>19467</v>
      </c>
      <c r="H153" s="24" t="s">
        <v>20135</v>
      </c>
      <c r="I153" s="22" t="s">
        <v>19309</v>
      </c>
      <c r="J153" s="22" t="s">
        <v>19573</v>
      </c>
      <c r="K153" s="22" t="s">
        <v>19574</v>
      </c>
      <c r="L153" s="22"/>
      <c r="M153" s="22"/>
      <c r="N153" s="25" t="str">
        <f>HYPERLINK("http://slimages.macys.com/is/image/MCY/21905243 ")</f>
        <v xml:space="preserve">http://slimages.macys.com/is/image/MCY/21905243 </v>
      </c>
    </row>
    <row r="154" spans="1:14" ht="24.75" x14ac:dyDescent="0.25">
      <c r="A154" s="21" t="s">
        <v>14298</v>
      </c>
      <c r="B154" s="22" t="s">
        <v>14299</v>
      </c>
      <c r="C154" s="2">
        <v>21</v>
      </c>
      <c r="D154" s="23">
        <v>5.99</v>
      </c>
      <c r="E154" s="3">
        <v>125.79</v>
      </c>
      <c r="F154" s="2" t="s">
        <v>14911</v>
      </c>
      <c r="G154" s="22" t="s">
        <v>19415</v>
      </c>
      <c r="H154" s="24" t="s">
        <v>19538</v>
      </c>
      <c r="I154" s="22" t="s">
        <v>19309</v>
      </c>
      <c r="J154" s="22" t="s">
        <v>19573</v>
      </c>
      <c r="K154" s="22" t="s">
        <v>19574</v>
      </c>
      <c r="L154" s="22"/>
      <c r="M154" s="22"/>
      <c r="N154" s="25" t="str">
        <f>HYPERLINK("http://slimages.macys.com/is/image/MCY/21371388 ")</f>
        <v xml:space="preserve">http://slimages.macys.com/is/image/MCY/21371388 </v>
      </c>
    </row>
    <row r="155" spans="1:14" ht="24.75" x14ac:dyDescent="0.25">
      <c r="A155" s="21" t="s">
        <v>14303</v>
      </c>
      <c r="B155" s="22" t="s">
        <v>14304</v>
      </c>
      <c r="C155" s="2">
        <v>15</v>
      </c>
      <c r="D155" s="23">
        <v>5.99</v>
      </c>
      <c r="E155" s="3">
        <v>89.85</v>
      </c>
      <c r="F155" s="2" t="s">
        <v>14302</v>
      </c>
      <c r="G155" s="22" t="s">
        <v>19351</v>
      </c>
      <c r="H155" s="24" t="s">
        <v>19330</v>
      </c>
      <c r="I155" s="22" t="s">
        <v>19309</v>
      </c>
      <c r="J155" s="22" t="s">
        <v>19573</v>
      </c>
      <c r="K155" s="22" t="s">
        <v>19574</v>
      </c>
      <c r="L155" s="22"/>
      <c r="M155" s="22"/>
      <c r="N155" s="25" t="str">
        <f>HYPERLINK("http://slimages.macys.com/is/image/MCY/21371433 ")</f>
        <v xml:space="preserve">http://slimages.macys.com/is/image/MCY/21371433 </v>
      </c>
    </row>
    <row r="156" spans="1:14" ht="24.75" x14ac:dyDescent="0.25">
      <c r="A156" s="21" t="s">
        <v>11165</v>
      </c>
      <c r="B156" s="22" t="s">
        <v>11166</v>
      </c>
      <c r="C156" s="2">
        <v>81</v>
      </c>
      <c r="D156" s="23">
        <v>5.99</v>
      </c>
      <c r="E156" s="3">
        <v>485.19</v>
      </c>
      <c r="F156" s="2" t="s">
        <v>14302</v>
      </c>
      <c r="G156" s="22" t="s">
        <v>19351</v>
      </c>
      <c r="H156" s="24" t="s">
        <v>19324</v>
      </c>
      <c r="I156" s="22" t="s">
        <v>19309</v>
      </c>
      <c r="J156" s="22" t="s">
        <v>19573</v>
      </c>
      <c r="K156" s="22" t="s">
        <v>19574</v>
      </c>
      <c r="L156" s="22"/>
      <c r="M156" s="22"/>
      <c r="N156" s="25" t="str">
        <f>HYPERLINK("http://slimages.macys.com/is/image/MCY/21371433 ")</f>
        <v xml:space="preserve">http://slimages.macys.com/is/image/MCY/21371433 </v>
      </c>
    </row>
    <row r="157" spans="1:14" ht="24.75" x14ac:dyDescent="0.25">
      <c r="A157" s="21" t="s">
        <v>14307</v>
      </c>
      <c r="B157" s="22" t="s">
        <v>14308</v>
      </c>
      <c r="C157" s="2">
        <v>8</v>
      </c>
      <c r="D157" s="23">
        <v>5.99</v>
      </c>
      <c r="E157" s="3">
        <v>47.92</v>
      </c>
      <c r="F157" s="2" t="s">
        <v>14911</v>
      </c>
      <c r="G157" s="22" t="s">
        <v>19415</v>
      </c>
      <c r="H157" s="24" t="s">
        <v>19384</v>
      </c>
      <c r="I157" s="22" t="s">
        <v>19309</v>
      </c>
      <c r="J157" s="22" t="s">
        <v>19573</v>
      </c>
      <c r="K157" s="22" t="s">
        <v>19574</v>
      </c>
      <c r="L157" s="22"/>
      <c r="M157" s="22"/>
      <c r="N157" s="25" t="str">
        <f>HYPERLINK("http://slimages.macys.com/is/image/MCY/21371388 ")</f>
        <v xml:space="preserve">http://slimages.macys.com/is/image/MCY/21371388 </v>
      </c>
    </row>
    <row r="158" spans="1:14" ht="24.75" x14ac:dyDescent="0.25">
      <c r="A158" s="21" t="s">
        <v>14309</v>
      </c>
      <c r="B158" s="22" t="s">
        <v>14310</v>
      </c>
      <c r="C158" s="2">
        <v>45</v>
      </c>
      <c r="D158" s="23">
        <v>5.99</v>
      </c>
      <c r="E158" s="3">
        <v>269.55</v>
      </c>
      <c r="F158" s="2" t="s">
        <v>14302</v>
      </c>
      <c r="G158" s="22" t="s">
        <v>19351</v>
      </c>
      <c r="H158" s="24" t="s">
        <v>19384</v>
      </c>
      <c r="I158" s="22" t="s">
        <v>19309</v>
      </c>
      <c r="J158" s="22" t="s">
        <v>19573</v>
      </c>
      <c r="K158" s="22" t="s">
        <v>19574</v>
      </c>
      <c r="L158" s="22"/>
      <c r="M158" s="22"/>
      <c r="N158" s="25" t="str">
        <f>HYPERLINK("http://slimages.macys.com/is/image/MCY/21371433 ")</f>
        <v xml:space="preserve">http://slimages.macys.com/is/image/MCY/21371433 </v>
      </c>
    </row>
    <row r="159" spans="1:14" ht="24.75" x14ac:dyDescent="0.25">
      <c r="A159" s="21" t="s">
        <v>11167</v>
      </c>
      <c r="B159" s="22" t="s">
        <v>11168</v>
      </c>
      <c r="C159" s="2">
        <v>11</v>
      </c>
      <c r="D159" s="23">
        <v>5.99</v>
      </c>
      <c r="E159" s="3">
        <v>65.89</v>
      </c>
      <c r="F159" s="2" t="s">
        <v>14302</v>
      </c>
      <c r="G159" s="22" t="s">
        <v>19351</v>
      </c>
      <c r="H159" s="24" t="s">
        <v>19416</v>
      </c>
      <c r="I159" s="22" t="s">
        <v>19309</v>
      </c>
      <c r="J159" s="22" t="s">
        <v>19573</v>
      </c>
      <c r="K159" s="22" t="s">
        <v>19574</v>
      </c>
      <c r="L159" s="22"/>
      <c r="M159" s="22"/>
      <c r="N159" s="25" t="str">
        <f>HYPERLINK("http://slimages.macys.com/is/image/MCY/21371433 ")</f>
        <v xml:space="preserve">http://slimages.macys.com/is/image/MCY/21371433 </v>
      </c>
    </row>
    <row r="160" spans="1:14" ht="24.75" x14ac:dyDescent="0.25">
      <c r="A160" s="21" t="s">
        <v>11169</v>
      </c>
      <c r="B160" s="22" t="s">
        <v>11170</v>
      </c>
      <c r="C160" s="2">
        <v>19</v>
      </c>
      <c r="D160" s="23">
        <v>5.99</v>
      </c>
      <c r="E160" s="3">
        <v>113.81</v>
      </c>
      <c r="F160" s="2" t="s">
        <v>11171</v>
      </c>
      <c r="G160" s="22" t="s">
        <v>19351</v>
      </c>
      <c r="H160" s="24" t="s">
        <v>19324</v>
      </c>
      <c r="I160" s="22" t="s">
        <v>19309</v>
      </c>
      <c r="J160" s="22" t="s">
        <v>19573</v>
      </c>
      <c r="K160" s="22" t="s">
        <v>19574</v>
      </c>
      <c r="L160" s="22"/>
      <c r="M160" s="22"/>
      <c r="N160" s="25" t="str">
        <f>HYPERLINK("http://slimages.macys.com/is/image/MCY/21371479 ")</f>
        <v xml:space="preserve">http://slimages.macys.com/is/image/MCY/21371479 </v>
      </c>
    </row>
    <row r="161" spans="1:14" ht="24.75" x14ac:dyDescent="0.25">
      <c r="A161" s="21" t="s">
        <v>14328</v>
      </c>
      <c r="B161" s="22" t="s">
        <v>14329</v>
      </c>
      <c r="C161" s="2">
        <v>7</v>
      </c>
      <c r="D161" s="23">
        <v>5.99</v>
      </c>
      <c r="E161" s="3">
        <v>41.93</v>
      </c>
      <c r="F161" s="2" t="s">
        <v>17245</v>
      </c>
      <c r="G161" s="22" t="s">
        <v>19431</v>
      </c>
      <c r="H161" s="24" t="s">
        <v>19538</v>
      </c>
      <c r="I161" s="22" t="s">
        <v>19309</v>
      </c>
      <c r="J161" s="22" t="s">
        <v>19573</v>
      </c>
      <c r="K161" s="22" t="s">
        <v>19574</v>
      </c>
      <c r="L161" s="22"/>
      <c r="M161" s="22"/>
      <c r="N161" s="25" t="str">
        <f>HYPERLINK("http://slimages.macys.com/is/image/MCY/1523158 ")</f>
        <v xml:space="preserve">http://slimages.macys.com/is/image/MCY/1523158 </v>
      </c>
    </row>
    <row r="162" spans="1:14" ht="24.75" x14ac:dyDescent="0.25">
      <c r="A162" s="21" t="s">
        <v>17250</v>
      </c>
      <c r="B162" s="22" t="s">
        <v>17251</v>
      </c>
      <c r="C162" s="2">
        <v>32</v>
      </c>
      <c r="D162" s="23">
        <v>5.99</v>
      </c>
      <c r="E162" s="3">
        <v>191.68</v>
      </c>
      <c r="F162" s="2" t="s">
        <v>17245</v>
      </c>
      <c r="G162" s="22" t="s">
        <v>19670</v>
      </c>
      <c r="H162" s="24" t="s">
        <v>19324</v>
      </c>
      <c r="I162" s="22" t="s">
        <v>19309</v>
      </c>
      <c r="J162" s="22" t="s">
        <v>19573</v>
      </c>
      <c r="K162" s="22" t="s">
        <v>19574</v>
      </c>
      <c r="L162" s="22"/>
      <c r="M162" s="22"/>
      <c r="N162" s="25" t="str">
        <f>HYPERLINK("http://slimages.macys.com/is/image/MCY/21209342 ")</f>
        <v xml:space="preserve">http://slimages.macys.com/is/image/MCY/21209342 </v>
      </c>
    </row>
    <row r="163" spans="1:14" ht="24.75" x14ac:dyDescent="0.25">
      <c r="A163" s="21" t="s">
        <v>11172</v>
      </c>
      <c r="B163" s="22" t="s">
        <v>11173</v>
      </c>
      <c r="C163" s="2">
        <v>11</v>
      </c>
      <c r="D163" s="23">
        <v>5.99</v>
      </c>
      <c r="E163" s="3">
        <v>65.89</v>
      </c>
      <c r="F163" s="2" t="s">
        <v>17245</v>
      </c>
      <c r="G163" s="22" t="s">
        <v>19906</v>
      </c>
      <c r="H163" s="24" t="s">
        <v>19384</v>
      </c>
      <c r="I163" s="22" t="s">
        <v>19309</v>
      </c>
      <c r="J163" s="22" t="s">
        <v>19573</v>
      </c>
      <c r="K163" s="22" t="s">
        <v>19574</v>
      </c>
      <c r="L163" s="22"/>
      <c r="M163" s="22"/>
      <c r="N163" s="25" t="str">
        <f>HYPERLINK("http://slimages.macys.com/is/image/MCY/1520523 ")</f>
        <v xml:space="preserve">http://slimages.macys.com/is/image/MCY/1520523 </v>
      </c>
    </row>
    <row r="164" spans="1:14" ht="24.75" x14ac:dyDescent="0.25">
      <c r="A164" s="21" t="s">
        <v>11174</v>
      </c>
      <c r="B164" s="22" t="s">
        <v>11175</v>
      </c>
      <c r="C164" s="2">
        <v>9</v>
      </c>
      <c r="D164" s="23">
        <v>5.99</v>
      </c>
      <c r="E164" s="3">
        <v>53.91</v>
      </c>
      <c r="F164" s="2" t="s">
        <v>17245</v>
      </c>
      <c r="G164" s="22" t="s">
        <v>19906</v>
      </c>
      <c r="H164" s="24" t="s">
        <v>19538</v>
      </c>
      <c r="I164" s="22" t="s">
        <v>19309</v>
      </c>
      <c r="J164" s="22" t="s">
        <v>19573</v>
      </c>
      <c r="K164" s="22" t="s">
        <v>19574</v>
      </c>
      <c r="L164" s="22"/>
      <c r="M164" s="22"/>
      <c r="N164" s="25" t="str">
        <f>HYPERLINK("http://slimages.macys.com/is/image/MCY/1520523 ")</f>
        <v xml:space="preserve">http://slimages.macys.com/is/image/MCY/1520523 </v>
      </c>
    </row>
    <row r="165" spans="1:14" ht="24.75" x14ac:dyDescent="0.25">
      <c r="A165" s="21" t="s">
        <v>11176</v>
      </c>
      <c r="B165" s="22" t="s">
        <v>11177</v>
      </c>
      <c r="C165" s="2">
        <v>1</v>
      </c>
      <c r="D165" s="23">
        <v>5.99</v>
      </c>
      <c r="E165" s="3">
        <v>5.99</v>
      </c>
      <c r="F165" s="2" t="s">
        <v>17257</v>
      </c>
      <c r="G165" s="22" t="s">
        <v>19431</v>
      </c>
      <c r="H165" s="24" t="s">
        <v>19330</v>
      </c>
      <c r="I165" s="22" t="s">
        <v>19309</v>
      </c>
      <c r="J165" s="22" t="s">
        <v>19573</v>
      </c>
      <c r="K165" s="22" t="s">
        <v>19574</v>
      </c>
      <c r="L165" s="22"/>
      <c r="M165" s="22"/>
      <c r="N165" s="25" t="str">
        <f>HYPERLINK("http://slimages.macys.com/is/image/MCY/21209617 ")</f>
        <v xml:space="preserve">http://slimages.macys.com/is/image/MCY/21209617 </v>
      </c>
    </row>
    <row r="166" spans="1:14" ht="24.75" x14ac:dyDescent="0.25">
      <c r="A166" s="21" t="s">
        <v>17260</v>
      </c>
      <c r="B166" s="22" t="s">
        <v>17261</v>
      </c>
      <c r="C166" s="2">
        <v>30</v>
      </c>
      <c r="D166" s="23">
        <v>5.99</v>
      </c>
      <c r="E166" s="3">
        <v>179.7</v>
      </c>
      <c r="F166" s="2" t="s">
        <v>17262</v>
      </c>
      <c r="G166" s="22" t="s">
        <v>19674</v>
      </c>
      <c r="H166" s="24" t="s">
        <v>19330</v>
      </c>
      <c r="I166" s="22" t="s">
        <v>19309</v>
      </c>
      <c r="J166" s="22" t="s">
        <v>19573</v>
      </c>
      <c r="K166" s="22" t="s">
        <v>19574</v>
      </c>
      <c r="L166" s="22"/>
      <c r="M166" s="22"/>
      <c r="N166" s="25" t="str">
        <f>HYPERLINK("http://slimages.macys.com/is/image/MCY/21361805 ")</f>
        <v xml:space="preserve">http://slimages.macys.com/is/image/MCY/21361805 </v>
      </c>
    </row>
    <row r="167" spans="1:14" ht="24.75" x14ac:dyDescent="0.25">
      <c r="A167" s="21" t="s">
        <v>11178</v>
      </c>
      <c r="B167" s="22" t="s">
        <v>11179</v>
      </c>
      <c r="C167" s="2">
        <v>22</v>
      </c>
      <c r="D167" s="23">
        <v>5.99</v>
      </c>
      <c r="E167" s="3">
        <v>131.78</v>
      </c>
      <c r="F167" s="2" t="s">
        <v>17262</v>
      </c>
      <c r="G167" s="22" t="s">
        <v>19674</v>
      </c>
      <c r="H167" s="24" t="s">
        <v>19384</v>
      </c>
      <c r="I167" s="22" t="s">
        <v>19309</v>
      </c>
      <c r="J167" s="22" t="s">
        <v>19573</v>
      </c>
      <c r="K167" s="22" t="s">
        <v>19574</v>
      </c>
      <c r="L167" s="22"/>
      <c r="M167" s="22"/>
      <c r="N167" s="25" t="str">
        <f>HYPERLINK("http://slimages.macys.com/is/image/MCY/21361805 ")</f>
        <v xml:space="preserve">http://slimages.macys.com/is/image/MCY/21361805 </v>
      </c>
    </row>
    <row r="168" spans="1:14" ht="24.75" x14ac:dyDescent="0.25">
      <c r="A168" s="21" t="s">
        <v>11180</v>
      </c>
      <c r="B168" s="22" t="s">
        <v>11181</v>
      </c>
      <c r="C168" s="2">
        <v>13</v>
      </c>
      <c r="D168" s="23">
        <v>5.99</v>
      </c>
      <c r="E168" s="3">
        <v>77.87</v>
      </c>
      <c r="F168" s="2" t="s">
        <v>17411</v>
      </c>
      <c r="G168" s="22" t="s">
        <v>19351</v>
      </c>
      <c r="H168" s="24" t="s">
        <v>19324</v>
      </c>
      <c r="I168" s="22" t="s">
        <v>19309</v>
      </c>
      <c r="J168" s="22" t="s">
        <v>19573</v>
      </c>
      <c r="K168" s="22" t="s">
        <v>19574</v>
      </c>
      <c r="L168" s="22"/>
      <c r="M168" s="22"/>
      <c r="N168" s="25" t="str">
        <f>HYPERLINK("http://slimages.macys.com/is/image/MCY/1537013 ")</f>
        <v xml:space="preserve">http://slimages.macys.com/is/image/MCY/1537013 </v>
      </c>
    </row>
    <row r="169" spans="1:14" ht="24.75" x14ac:dyDescent="0.25">
      <c r="A169" s="21" t="s">
        <v>17409</v>
      </c>
      <c r="B169" s="22" t="s">
        <v>17410</v>
      </c>
      <c r="C169" s="2">
        <v>11</v>
      </c>
      <c r="D169" s="23">
        <v>5.99</v>
      </c>
      <c r="E169" s="3">
        <v>65.89</v>
      </c>
      <c r="F169" s="2" t="s">
        <v>17411</v>
      </c>
      <c r="G169" s="22" t="s">
        <v>19351</v>
      </c>
      <c r="H169" s="24" t="s">
        <v>19416</v>
      </c>
      <c r="I169" s="22" t="s">
        <v>19309</v>
      </c>
      <c r="J169" s="22" t="s">
        <v>19573</v>
      </c>
      <c r="K169" s="22" t="s">
        <v>19574</v>
      </c>
      <c r="L169" s="22"/>
      <c r="M169" s="22"/>
      <c r="N169" s="25" t="str">
        <f>HYPERLINK("http://slimages.macys.com/is/image/MCY/1537013 ")</f>
        <v xml:space="preserve">http://slimages.macys.com/is/image/MCY/1537013 </v>
      </c>
    </row>
    <row r="170" spans="1:14" ht="24.75" x14ac:dyDescent="0.25">
      <c r="A170" s="21" t="s">
        <v>17436</v>
      </c>
      <c r="B170" s="22" t="s">
        <v>17437</v>
      </c>
      <c r="C170" s="2">
        <v>1</v>
      </c>
      <c r="D170" s="23">
        <v>5.99</v>
      </c>
      <c r="E170" s="3">
        <v>5.99</v>
      </c>
      <c r="F170" s="2" t="s">
        <v>17433</v>
      </c>
      <c r="G170" s="22" t="s">
        <v>19467</v>
      </c>
      <c r="H170" s="24" t="s">
        <v>19330</v>
      </c>
      <c r="I170" s="22" t="s">
        <v>19309</v>
      </c>
      <c r="J170" s="22" t="s">
        <v>19573</v>
      </c>
      <c r="K170" s="22" t="s">
        <v>19574</v>
      </c>
      <c r="L170" s="22"/>
      <c r="M170" s="22"/>
      <c r="N170" s="25" t="str">
        <f>HYPERLINK("http://slimages.macys.com/is/image/MCY/21209307 ")</f>
        <v xml:space="preserve">http://slimages.macys.com/is/image/MCY/21209307 </v>
      </c>
    </row>
    <row r="171" spans="1:14" ht="24.75" x14ac:dyDescent="0.25">
      <c r="A171" s="21" t="s">
        <v>11182</v>
      </c>
      <c r="B171" s="22" t="s">
        <v>11183</v>
      </c>
      <c r="C171" s="2">
        <v>2</v>
      </c>
      <c r="D171" s="23">
        <v>65</v>
      </c>
      <c r="E171" s="3">
        <v>130</v>
      </c>
      <c r="F171" s="2">
        <v>312837245001</v>
      </c>
      <c r="G171" s="22" t="s">
        <v>19351</v>
      </c>
      <c r="H171" s="24" t="s">
        <v>19361</v>
      </c>
      <c r="I171" s="22" t="s">
        <v>19309</v>
      </c>
      <c r="J171" s="22" t="s">
        <v>19389</v>
      </c>
      <c r="K171" s="22" t="s">
        <v>19326</v>
      </c>
      <c r="L171" s="22"/>
      <c r="M171" s="22"/>
      <c r="N171" s="25"/>
    </row>
    <row r="172" spans="1:14" ht="24.75" x14ac:dyDescent="0.25">
      <c r="A172" s="21" t="s">
        <v>11184</v>
      </c>
      <c r="B172" s="22" t="s">
        <v>11185</v>
      </c>
      <c r="C172" s="2">
        <v>8</v>
      </c>
      <c r="D172" s="23">
        <v>36.99</v>
      </c>
      <c r="E172" s="3">
        <v>295.92</v>
      </c>
      <c r="F172" s="2" t="s">
        <v>11186</v>
      </c>
      <c r="G172" s="22" t="s">
        <v>19338</v>
      </c>
      <c r="H172" s="24"/>
      <c r="I172" s="22" t="s">
        <v>19309</v>
      </c>
      <c r="J172" s="22" t="s">
        <v>19310</v>
      </c>
      <c r="K172" s="22" t="s">
        <v>19311</v>
      </c>
      <c r="L172" s="22"/>
      <c r="M172" s="22"/>
      <c r="N172" s="25"/>
    </row>
    <row r="173" spans="1:14" ht="24.75" x14ac:dyDescent="0.25">
      <c r="A173" s="21" t="s">
        <v>11187</v>
      </c>
      <c r="B173" s="22" t="s">
        <v>11188</v>
      </c>
      <c r="C173" s="2">
        <v>2</v>
      </c>
      <c r="D173" s="23">
        <v>36.99</v>
      </c>
      <c r="E173" s="3">
        <v>73.98</v>
      </c>
      <c r="F173" s="2" t="s">
        <v>11186</v>
      </c>
      <c r="G173" s="22" t="s">
        <v>19338</v>
      </c>
      <c r="H173" s="24"/>
      <c r="I173" s="22" t="s">
        <v>19309</v>
      </c>
      <c r="J173" s="22" t="s">
        <v>19310</v>
      </c>
      <c r="K173" s="22" t="s">
        <v>19311</v>
      </c>
      <c r="L173" s="22"/>
      <c r="M173" s="22"/>
      <c r="N173" s="25"/>
    </row>
    <row r="174" spans="1:14" ht="24.75" x14ac:dyDescent="0.25">
      <c r="A174" s="21" t="s">
        <v>11189</v>
      </c>
      <c r="B174" s="22" t="s">
        <v>11190</v>
      </c>
      <c r="C174" s="2">
        <v>14</v>
      </c>
      <c r="D174" s="23">
        <v>35.61</v>
      </c>
      <c r="E174" s="3">
        <v>498.54</v>
      </c>
      <c r="F174" s="2" t="s">
        <v>11191</v>
      </c>
      <c r="G174" s="22"/>
      <c r="H174" s="24" t="s">
        <v>20159</v>
      </c>
      <c r="I174" s="22" t="s">
        <v>19309</v>
      </c>
      <c r="J174" s="22" t="s">
        <v>19708</v>
      </c>
      <c r="K174" s="22" t="s">
        <v>19709</v>
      </c>
      <c r="L174" s="22"/>
      <c r="M174" s="22"/>
      <c r="N174" s="25"/>
    </row>
    <row r="175" spans="1:14" ht="24.75" x14ac:dyDescent="0.25">
      <c r="A175" s="21" t="s">
        <v>11192</v>
      </c>
      <c r="B175" s="22" t="s">
        <v>11193</v>
      </c>
      <c r="C175" s="2">
        <v>17</v>
      </c>
      <c r="D175" s="23">
        <v>32.99</v>
      </c>
      <c r="E175" s="3">
        <v>560.83000000000004</v>
      </c>
      <c r="F175" s="2" t="s">
        <v>11194</v>
      </c>
      <c r="G175" s="22" t="s">
        <v>19415</v>
      </c>
      <c r="H175" s="24" t="s">
        <v>19330</v>
      </c>
      <c r="I175" s="22" t="s">
        <v>19309</v>
      </c>
      <c r="J175" s="22" t="s">
        <v>19385</v>
      </c>
      <c r="K175" s="22" t="s">
        <v>19487</v>
      </c>
      <c r="L175" s="22"/>
      <c r="M175" s="22"/>
      <c r="N175" s="25"/>
    </row>
    <row r="176" spans="1:14" ht="24.75" x14ac:dyDescent="0.25">
      <c r="A176" s="21" t="s">
        <v>17340</v>
      </c>
      <c r="B176" s="22" t="s">
        <v>17341</v>
      </c>
      <c r="C176" s="2">
        <v>1</v>
      </c>
      <c r="D176" s="23">
        <v>30.99</v>
      </c>
      <c r="E176" s="3">
        <v>30.99</v>
      </c>
      <c r="F176" s="2" t="s">
        <v>17342</v>
      </c>
      <c r="G176" s="22" t="s">
        <v>19674</v>
      </c>
      <c r="H176" s="24" t="s">
        <v>19330</v>
      </c>
      <c r="I176" s="22" t="s">
        <v>19309</v>
      </c>
      <c r="J176" s="22" t="s">
        <v>19385</v>
      </c>
      <c r="K176" s="22" t="s">
        <v>19487</v>
      </c>
      <c r="L176" s="22"/>
      <c r="M176" s="22"/>
      <c r="N176" s="25"/>
    </row>
    <row r="177" spans="1:14" ht="24.75" x14ac:dyDescent="0.25">
      <c r="A177" s="21" t="s">
        <v>13550</v>
      </c>
      <c r="B177" s="22" t="s">
        <v>13551</v>
      </c>
      <c r="C177" s="2">
        <v>5</v>
      </c>
      <c r="D177" s="23">
        <v>26.99</v>
      </c>
      <c r="E177" s="3">
        <v>134.94999999999999</v>
      </c>
      <c r="F177" s="2" t="s">
        <v>13552</v>
      </c>
      <c r="G177" s="22" t="s">
        <v>19422</v>
      </c>
      <c r="H177" s="24" t="s">
        <v>19416</v>
      </c>
      <c r="I177" s="22" t="s">
        <v>19309</v>
      </c>
      <c r="J177" s="22" t="s">
        <v>19385</v>
      </c>
      <c r="K177" s="22" t="s">
        <v>19487</v>
      </c>
      <c r="L177" s="22"/>
      <c r="M177" s="22"/>
      <c r="N177" s="25"/>
    </row>
    <row r="178" spans="1:14" ht="24.75" x14ac:dyDescent="0.25">
      <c r="A178" s="21" t="s">
        <v>11195</v>
      </c>
      <c r="B178" s="22" t="s">
        <v>11196</v>
      </c>
      <c r="C178" s="2">
        <v>1</v>
      </c>
      <c r="D178" s="23">
        <v>18.23</v>
      </c>
      <c r="E178" s="3">
        <v>18.23</v>
      </c>
      <c r="F178" s="2" t="s">
        <v>11197</v>
      </c>
      <c r="G178" s="22"/>
      <c r="H178" s="24" t="s">
        <v>19361</v>
      </c>
      <c r="I178" s="22" t="s">
        <v>19309</v>
      </c>
      <c r="J178" s="22" t="s">
        <v>19602</v>
      </c>
      <c r="K178" s="22" t="s">
        <v>19603</v>
      </c>
      <c r="L178" s="22"/>
      <c r="M178" s="22"/>
      <c r="N178" s="25"/>
    </row>
    <row r="179" spans="1:14" ht="24.75" x14ac:dyDescent="0.25">
      <c r="A179" s="21" t="s">
        <v>11198</v>
      </c>
      <c r="B179" s="22" t="s">
        <v>11199</v>
      </c>
      <c r="C179" s="2">
        <v>29</v>
      </c>
      <c r="D179" s="23">
        <v>16.989999999999998</v>
      </c>
      <c r="E179" s="3">
        <v>492.71</v>
      </c>
      <c r="F179" s="2" t="s">
        <v>11200</v>
      </c>
      <c r="G179" s="22" t="s">
        <v>19333</v>
      </c>
      <c r="H179" s="24" t="s">
        <v>19392</v>
      </c>
      <c r="I179" s="22" t="s">
        <v>19309</v>
      </c>
      <c r="J179" s="22" t="s">
        <v>19519</v>
      </c>
      <c r="K179" s="22" t="s">
        <v>11201</v>
      </c>
      <c r="L179" s="22"/>
      <c r="M179" s="22"/>
      <c r="N179" s="25"/>
    </row>
    <row r="180" spans="1:14" ht="24.75" x14ac:dyDescent="0.25">
      <c r="A180" s="21" t="s">
        <v>11202</v>
      </c>
      <c r="B180" s="22" t="s">
        <v>11203</v>
      </c>
      <c r="C180" s="2">
        <v>6</v>
      </c>
      <c r="D180" s="23">
        <v>18.989999999999998</v>
      </c>
      <c r="E180" s="3">
        <v>113.94</v>
      </c>
      <c r="F180" s="2" t="s">
        <v>11204</v>
      </c>
      <c r="G180" s="22" t="s">
        <v>19323</v>
      </c>
      <c r="H180" s="24" t="s">
        <v>12705</v>
      </c>
      <c r="I180" s="22" t="s">
        <v>19309</v>
      </c>
      <c r="J180" s="22" t="s">
        <v>19519</v>
      </c>
      <c r="K180" s="22" t="s">
        <v>11201</v>
      </c>
      <c r="L180" s="22"/>
      <c r="M180" s="22"/>
      <c r="N180" s="25"/>
    </row>
    <row r="181" spans="1:14" ht="24.75" x14ac:dyDescent="0.25">
      <c r="A181" s="21" t="s">
        <v>11205</v>
      </c>
      <c r="B181" s="22" t="s">
        <v>11206</v>
      </c>
      <c r="C181" s="2">
        <v>1</v>
      </c>
      <c r="D181" s="23">
        <v>15.11</v>
      </c>
      <c r="E181" s="3">
        <v>15.11</v>
      </c>
      <c r="F181" s="2" t="s">
        <v>11207</v>
      </c>
      <c r="G181" s="22" t="s">
        <v>19467</v>
      </c>
      <c r="H181" s="24" t="s">
        <v>19542</v>
      </c>
      <c r="I181" s="22" t="s">
        <v>19309</v>
      </c>
      <c r="J181" s="22" t="s">
        <v>19602</v>
      </c>
      <c r="K181" s="22" t="s">
        <v>20041</v>
      </c>
      <c r="L181" s="22"/>
      <c r="M181" s="22"/>
      <c r="N181" s="25"/>
    </row>
    <row r="182" spans="1:14" ht="24.75" x14ac:dyDescent="0.25">
      <c r="A182" s="21" t="s">
        <v>11208</v>
      </c>
      <c r="B182" s="22" t="s">
        <v>11209</v>
      </c>
      <c r="C182" s="2">
        <v>32</v>
      </c>
      <c r="D182" s="23">
        <v>13.88</v>
      </c>
      <c r="E182" s="3">
        <v>444.16</v>
      </c>
      <c r="F182" s="2" t="s">
        <v>11210</v>
      </c>
      <c r="G182" s="22" t="s">
        <v>19415</v>
      </c>
      <c r="H182" s="24" t="s">
        <v>19308</v>
      </c>
      <c r="I182" s="22" t="s">
        <v>19309</v>
      </c>
      <c r="J182" s="22" t="s">
        <v>19565</v>
      </c>
      <c r="K182" s="22" t="s">
        <v>18548</v>
      </c>
      <c r="L182" s="22"/>
      <c r="M182" s="22"/>
      <c r="N182" s="25"/>
    </row>
    <row r="183" spans="1:14" ht="24.75" x14ac:dyDescent="0.25">
      <c r="A183" s="21" t="s">
        <v>17370</v>
      </c>
      <c r="B183" s="22" t="s">
        <v>17371</v>
      </c>
      <c r="C183" s="2">
        <v>22</v>
      </c>
      <c r="D183" s="23">
        <v>11.55</v>
      </c>
      <c r="E183" s="3">
        <v>254.1</v>
      </c>
      <c r="F183" s="2" t="s">
        <v>17372</v>
      </c>
      <c r="G183" s="22" t="s">
        <v>19618</v>
      </c>
      <c r="H183" s="24" t="s">
        <v>19308</v>
      </c>
      <c r="I183" s="22" t="s">
        <v>19309</v>
      </c>
      <c r="J183" s="22" t="s">
        <v>19565</v>
      </c>
      <c r="K183" s="22" t="s">
        <v>18548</v>
      </c>
      <c r="L183" s="22"/>
      <c r="M183" s="22"/>
      <c r="N183" s="25"/>
    </row>
    <row r="184" spans="1:14" ht="24.75" x14ac:dyDescent="0.25">
      <c r="A184" s="21" t="s">
        <v>11211</v>
      </c>
      <c r="B184" s="22" t="s">
        <v>11212</v>
      </c>
      <c r="C184" s="2">
        <v>3</v>
      </c>
      <c r="D184" s="23">
        <v>13.99</v>
      </c>
      <c r="E184" s="3">
        <v>41.97</v>
      </c>
      <c r="F184" s="2" t="s">
        <v>11213</v>
      </c>
      <c r="G184" s="22"/>
      <c r="H184" s="24" t="s">
        <v>19416</v>
      </c>
      <c r="I184" s="22" t="s">
        <v>19309</v>
      </c>
      <c r="J184" s="22" t="s">
        <v>19385</v>
      </c>
      <c r="K184" s="22" t="s">
        <v>11214</v>
      </c>
      <c r="L184" s="22"/>
      <c r="M184" s="22"/>
      <c r="N184" s="25"/>
    </row>
    <row r="185" spans="1:14" x14ac:dyDescent="0.25">
      <c r="A185" s="21" t="s">
        <v>11215</v>
      </c>
      <c r="B185" s="22" t="s">
        <v>11216</v>
      </c>
      <c r="C185" s="2">
        <v>15</v>
      </c>
      <c r="D185" s="23">
        <v>18</v>
      </c>
      <c r="E185" s="3">
        <v>270</v>
      </c>
      <c r="F185" s="2" t="s">
        <v>11217</v>
      </c>
      <c r="G185" s="22" t="s">
        <v>19431</v>
      </c>
      <c r="H185" s="24" t="s">
        <v>19367</v>
      </c>
      <c r="I185" s="22" t="s">
        <v>19309</v>
      </c>
      <c r="J185" s="22" t="s">
        <v>19708</v>
      </c>
      <c r="K185" s="22" t="s">
        <v>19709</v>
      </c>
      <c r="L185" s="22"/>
      <c r="M185" s="22"/>
      <c r="N185" s="25"/>
    </row>
    <row r="186" spans="1:14" x14ac:dyDescent="0.25">
      <c r="A186" s="21" t="s">
        <v>11218</v>
      </c>
      <c r="B186" s="22" t="s">
        <v>11219</v>
      </c>
      <c r="C186" s="2">
        <v>21</v>
      </c>
      <c r="D186" s="23">
        <v>12</v>
      </c>
      <c r="E186" s="3">
        <v>252</v>
      </c>
      <c r="F186" s="2" t="s">
        <v>11220</v>
      </c>
      <c r="G186" s="22"/>
      <c r="H186" s="24" t="s">
        <v>19367</v>
      </c>
      <c r="I186" s="22" t="s">
        <v>19309</v>
      </c>
      <c r="J186" s="22" t="s">
        <v>19708</v>
      </c>
      <c r="K186" s="22" t="s">
        <v>19709</v>
      </c>
      <c r="L186" s="22"/>
      <c r="M186" s="22"/>
      <c r="N186" s="25"/>
    </row>
    <row r="187" spans="1:14" x14ac:dyDescent="0.25">
      <c r="A187" s="21" t="s">
        <v>11221</v>
      </c>
      <c r="B187" s="22" t="s">
        <v>11222</v>
      </c>
      <c r="C187" s="2">
        <v>12</v>
      </c>
      <c r="D187" s="23">
        <v>12</v>
      </c>
      <c r="E187" s="3">
        <v>144</v>
      </c>
      <c r="F187" s="2" t="s">
        <v>11220</v>
      </c>
      <c r="G187" s="22"/>
      <c r="H187" s="24" t="s">
        <v>19324</v>
      </c>
      <c r="I187" s="22" t="s">
        <v>19309</v>
      </c>
      <c r="J187" s="22" t="s">
        <v>19708</v>
      </c>
      <c r="K187" s="22" t="s">
        <v>19709</v>
      </c>
      <c r="L187" s="22"/>
      <c r="M187" s="22"/>
      <c r="N187" s="25"/>
    </row>
  </sheetData>
  <phoneticPr fontId="0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4"/>
  <sheetViews>
    <sheetView workbookViewId="0">
      <selection activeCell="H8" sqref="H8"/>
    </sheetView>
  </sheetViews>
  <sheetFormatPr defaultRowHeight="15" x14ac:dyDescent="0.25"/>
  <cols>
    <col min="1" max="1" width="14.42578125" customWidth="1"/>
    <col min="2" max="2" width="52.5703125" customWidth="1"/>
    <col min="3" max="4" width="15" customWidth="1"/>
    <col min="5" max="5" width="9.5703125" customWidth="1"/>
    <col min="6" max="6" width="17.140625" customWidth="1"/>
    <col min="7" max="8" width="11.42578125" customWidth="1"/>
    <col min="9" max="9" width="10.85546875" customWidth="1"/>
    <col min="10" max="10" width="12.140625" customWidth="1"/>
    <col min="11" max="11" width="36.5703125" bestFit="1" customWidth="1"/>
    <col min="12" max="13" width="20.5703125" customWidth="1"/>
    <col min="14" max="14" width="64.42578125" customWidth="1"/>
  </cols>
  <sheetData>
    <row r="1" spans="1:14" ht="36" x14ac:dyDescent="0.25">
      <c r="A1" s="1" t="s">
        <v>19291</v>
      </c>
      <c r="B1" s="1" t="s">
        <v>19292</v>
      </c>
      <c r="C1" s="1" t="s">
        <v>19293</v>
      </c>
      <c r="D1" s="1" t="s">
        <v>19284</v>
      </c>
      <c r="E1" s="1" t="s">
        <v>19294</v>
      </c>
      <c r="F1" s="1" t="s">
        <v>19295</v>
      </c>
      <c r="G1" s="1" t="s">
        <v>19296</v>
      </c>
      <c r="H1" s="1" t="s">
        <v>19297</v>
      </c>
      <c r="I1" s="1" t="s">
        <v>19298</v>
      </c>
      <c r="J1" s="1" t="s">
        <v>19299</v>
      </c>
      <c r="K1" s="1" t="s">
        <v>19300</v>
      </c>
      <c r="L1" s="1" t="s">
        <v>19301</v>
      </c>
      <c r="M1" s="1" t="s">
        <v>19302</v>
      </c>
      <c r="N1" s="1" t="s">
        <v>19303</v>
      </c>
    </row>
    <row r="2" spans="1:14" ht="36.75" x14ac:dyDescent="0.25">
      <c r="A2" s="21" t="s">
        <v>11223</v>
      </c>
      <c r="B2" s="22" t="s">
        <v>11224</v>
      </c>
      <c r="C2" s="2">
        <v>1</v>
      </c>
      <c r="D2" s="23">
        <v>295</v>
      </c>
      <c r="E2" s="3">
        <v>295</v>
      </c>
      <c r="F2" s="2">
        <v>320851384001</v>
      </c>
      <c r="G2" s="22" t="s">
        <v>19333</v>
      </c>
      <c r="H2" s="24" t="s">
        <v>20159</v>
      </c>
      <c r="I2" s="22" t="s">
        <v>14376</v>
      </c>
      <c r="J2" s="22" t="s">
        <v>19325</v>
      </c>
      <c r="K2" s="22" t="s">
        <v>19326</v>
      </c>
      <c r="L2" s="22" t="s">
        <v>17554</v>
      </c>
      <c r="M2" s="22" t="s">
        <v>11225</v>
      </c>
      <c r="N2" s="25" t="str">
        <f>HYPERLINK("http://images.bloomingdales.com/is/image/BLM/12058973 ")</f>
        <v xml:space="preserve">http://images.bloomingdales.com/is/image/BLM/12058973 </v>
      </c>
    </row>
    <row r="3" spans="1:14" ht="48.75" x14ac:dyDescent="0.25">
      <c r="A3" s="21" t="s">
        <v>11226</v>
      </c>
      <c r="B3" s="22" t="s">
        <v>11227</v>
      </c>
      <c r="C3" s="2">
        <v>1</v>
      </c>
      <c r="D3" s="23">
        <v>290</v>
      </c>
      <c r="E3" s="3">
        <v>290</v>
      </c>
      <c r="F3" s="2">
        <v>8012344</v>
      </c>
      <c r="G3" s="22" t="s">
        <v>11228</v>
      </c>
      <c r="H3" s="24" t="s">
        <v>14375</v>
      </c>
      <c r="I3" s="22" t="s">
        <v>14376</v>
      </c>
      <c r="J3" s="22" t="s">
        <v>19602</v>
      </c>
      <c r="K3" s="22" t="s">
        <v>14377</v>
      </c>
      <c r="L3" s="22" t="s">
        <v>17554</v>
      </c>
      <c r="M3" s="22" t="s">
        <v>11229</v>
      </c>
      <c r="N3" s="25" t="str">
        <f>HYPERLINK("http://images.bloomingdales.com/is/image/BLM/10943127 ")</f>
        <v xml:space="preserve">http://images.bloomingdales.com/is/image/BLM/10943127 </v>
      </c>
    </row>
    <row r="4" spans="1:14" ht="24.75" x14ac:dyDescent="0.25">
      <c r="A4" s="21" t="s">
        <v>11230</v>
      </c>
      <c r="B4" s="22" t="s">
        <v>11231</v>
      </c>
      <c r="C4" s="2">
        <v>1</v>
      </c>
      <c r="D4" s="23">
        <v>18.11</v>
      </c>
      <c r="E4" s="3">
        <v>18.11</v>
      </c>
      <c r="F4" s="2" t="s">
        <v>11232</v>
      </c>
      <c r="G4" s="22"/>
      <c r="H4" s="24"/>
      <c r="I4" s="22" t="s">
        <v>14376</v>
      </c>
      <c r="J4" s="22" t="s">
        <v>19508</v>
      </c>
      <c r="K4" s="22" t="s">
        <v>11233</v>
      </c>
      <c r="L4" s="22"/>
      <c r="M4" s="22"/>
      <c r="N4" s="25" t="str">
        <f>HYPERLINK("http://images.bloomingdales.com/is/image/BLM/12048019 ")</f>
        <v xml:space="preserve">http://images.bloomingdales.com/is/image/BLM/12048019 </v>
      </c>
    </row>
    <row r="5" spans="1:14" ht="24.75" x14ac:dyDescent="0.25">
      <c r="A5" s="21" t="s">
        <v>11234</v>
      </c>
      <c r="B5" s="22" t="s">
        <v>11235</v>
      </c>
      <c r="C5" s="2">
        <v>1</v>
      </c>
      <c r="D5" s="23">
        <v>89.99</v>
      </c>
      <c r="E5" s="3">
        <v>89.99</v>
      </c>
      <c r="F5" s="2">
        <v>1954571</v>
      </c>
      <c r="G5" s="22" t="s">
        <v>19307</v>
      </c>
      <c r="H5" s="24" t="s">
        <v>19364</v>
      </c>
      <c r="I5" s="22" t="s">
        <v>19309</v>
      </c>
      <c r="J5" s="22" t="s">
        <v>15506</v>
      </c>
      <c r="K5" s="22" t="s">
        <v>15507</v>
      </c>
      <c r="L5" s="22"/>
      <c r="M5" s="22"/>
      <c r="N5" s="25" t="str">
        <f>HYPERLINK("http://slimages.macys.com/is/image/MCY/19739268 ")</f>
        <v xml:space="preserve">http://slimages.macys.com/is/image/MCY/19739268 </v>
      </c>
    </row>
    <row r="6" spans="1:14" ht="36.75" x14ac:dyDescent="0.25">
      <c r="A6" s="21" t="s">
        <v>11236</v>
      </c>
      <c r="B6" s="22" t="s">
        <v>11237</v>
      </c>
      <c r="C6" s="2">
        <v>1</v>
      </c>
      <c r="D6" s="23">
        <v>90</v>
      </c>
      <c r="E6" s="3">
        <v>90</v>
      </c>
      <c r="F6" s="2" t="s">
        <v>11238</v>
      </c>
      <c r="G6" s="22" t="s">
        <v>19810</v>
      </c>
      <c r="H6" s="24" t="s">
        <v>11239</v>
      </c>
      <c r="I6" s="22" t="s">
        <v>14376</v>
      </c>
      <c r="J6" s="22" t="s">
        <v>16678</v>
      </c>
      <c r="K6" s="22" t="s">
        <v>11240</v>
      </c>
      <c r="L6" s="22" t="s">
        <v>17554</v>
      </c>
      <c r="M6" s="22" t="s">
        <v>11241</v>
      </c>
      <c r="N6" s="25" t="str">
        <f>HYPERLINK("http://images.bloomingdales.com/is/image/BLM/11673541 ")</f>
        <v xml:space="preserve">http://images.bloomingdales.com/is/image/BLM/11673541 </v>
      </c>
    </row>
    <row r="7" spans="1:14" ht="24.75" x14ac:dyDescent="0.25">
      <c r="A7" s="21" t="s">
        <v>11242</v>
      </c>
      <c r="B7" s="22" t="s">
        <v>11243</v>
      </c>
      <c r="C7" s="2">
        <v>1</v>
      </c>
      <c r="D7" s="23">
        <v>65</v>
      </c>
      <c r="E7" s="3">
        <v>65</v>
      </c>
      <c r="F7" s="2">
        <v>313862054001</v>
      </c>
      <c r="G7" s="22" t="s">
        <v>19528</v>
      </c>
      <c r="H7" s="24" t="s">
        <v>19501</v>
      </c>
      <c r="I7" s="22" t="s">
        <v>14376</v>
      </c>
      <c r="J7" s="22" t="s">
        <v>19508</v>
      </c>
      <c r="K7" s="22" t="s">
        <v>19326</v>
      </c>
      <c r="L7" s="22"/>
      <c r="M7" s="22"/>
      <c r="N7" s="25" t="str">
        <f>HYPERLINK("http://images.bloomingdales.com/is/image/BLM/12316229 ")</f>
        <v xml:space="preserve">http://images.bloomingdales.com/is/image/BLM/12316229 </v>
      </c>
    </row>
    <row r="8" spans="1:14" ht="24.75" x14ac:dyDescent="0.25">
      <c r="A8" s="21" t="s">
        <v>11244</v>
      </c>
      <c r="B8" s="22" t="s">
        <v>14469</v>
      </c>
      <c r="C8" s="2">
        <v>1</v>
      </c>
      <c r="D8" s="23">
        <v>65</v>
      </c>
      <c r="E8" s="3">
        <v>65</v>
      </c>
      <c r="F8" s="2">
        <v>320865751001</v>
      </c>
      <c r="G8" s="22" t="s">
        <v>19351</v>
      </c>
      <c r="H8" s="24" t="s">
        <v>20152</v>
      </c>
      <c r="I8" s="22" t="s">
        <v>14376</v>
      </c>
      <c r="J8" s="22" t="s">
        <v>19325</v>
      </c>
      <c r="K8" s="22" t="s">
        <v>19326</v>
      </c>
      <c r="L8" s="22"/>
      <c r="M8" s="22"/>
      <c r="N8" s="25" t="str">
        <f>HYPERLINK("http://slimages.macys.com/is/image/MCY/21300532 ")</f>
        <v xml:space="preserve">http://slimages.macys.com/is/image/MCY/21300532 </v>
      </c>
    </row>
    <row r="9" spans="1:14" ht="24.75" x14ac:dyDescent="0.25">
      <c r="A9" s="21" t="s">
        <v>11245</v>
      </c>
      <c r="B9" s="22" t="s">
        <v>11246</v>
      </c>
      <c r="C9" s="2">
        <v>1</v>
      </c>
      <c r="D9" s="23">
        <v>65</v>
      </c>
      <c r="E9" s="3">
        <v>65</v>
      </c>
      <c r="F9" s="2">
        <v>320870783001</v>
      </c>
      <c r="G9" s="22" t="s">
        <v>19879</v>
      </c>
      <c r="H9" s="24" t="s">
        <v>19324</v>
      </c>
      <c r="I9" s="22" t="s">
        <v>19309</v>
      </c>
      <c r="J9" s="22" t="s">
        <v>19325</v>
      </c>
      <c r="K9" s="22" t="s">
        <v>19326</v>
      </c>
      <c r="L9" s="22"/>
      <c r="M9" s="22"/>
      <c r="N9" s="25" t="str">
        <f>HYPERLINK("http://slimages.macys.com/is/image/MCY/22118893 ")</f>
        <v xml:space="preserve">http://slimages.macys.com/is/image/MCY/22118893 </v>
      </c>
    </row>
    <row r="10" spans="1:14" ht="24.75" x14ac:dyDescent="0.25">
      <c r="A10" s="21" t="s">
        <v>11247</v>
      </c>
      <c r="B10" s="22" t="s">
        <v>11248</v>
      </c>
      <c r="C10" s="2">
        <v>1</v>
      </c>
      <c r="D10" s="23">
        <v>60</v>
      </c>
      <c r="E10" s="3">
        <v>60</v>
      </c>
      <c r="F10" s="2" t="s">
        <v>11249</v>
      </c>
      <c r="G10" s="22"/>
      <c r="H10" s="24" t="s">
        <v>19501</v>
      </c>
      <c r="I10" s="22" t="s">
        <v>14376</v>
      </c>
      <c r="J10" s="22" t="s">
        <v>19508</v>
      </c>
      <c r="K10" s="22" t="s">
        <v>14475</v>
      </c>
      <c r="L10" s="22" t="s">
        <v>17966</v>
      </c>
      <c r="M10" s="22" t="s">
        <v>11250</v>
      </c>
      <c r="N10" s="25" t="str">
        <f>HYPERLINK("http://images.bloomingdales.com/is/image/BLM/11811354 ")</f>
        <v xml:space="preserve">http://images.bloomingdales.com/is/image/BLM/11811354 </v>
      </c>
    </row>
    <row r="11" spans="1:14" ht="36.75" x14ac:dyDescent="0.25">
      <c r="A11" s="21" t="s">
        <v>11251</v>
      </c>
      <c r="B11" s="22" t="s">
        <v>11252</v>
      </c>
      <c r="C11" s="2">
        <v>1</v>
      </c>
      <c r="D11" s="23">
        <v>59.95</v>
      </c>
      <c r="E11" s="3">
        <v>59.95</v>
      </c>
      <c r="F11" s="2" t="s">
        <v>11253</v>
      </c>
      <c r="G11" s="22" t="s">
        <v>11254</v>
      </c>
      <c r="H11" s="24" t="s">
        <v>11255</v>
      </c>
      <c r="I11" s="22" t="s">
        <v>14376</v>
      </c>
      <c r="J11" s="22" t="s">
        <v>16678</v>
      </c>
      <c r="K11" s="22" t="s">
        <v>11256</v>
      </c>
      <c r="L11" s="22" t="s">
        <v>17530</v>
      </c>
      <c r="M11" s="22" t="s">
        <v>11257</v>
      </c>
      <c r="N11" s="25" t="str">
        <f>HYPERLINK("http://images.bloomingdales.com/is/image/BLM/9793020 ")</f>
        <v xml:space="preserve">http://images.bloomingdales.com/is/image/BLM/9793020 </v>
      </c>
    </row>
    <row r="12" spans="1:14" ht="48.75" x14ac:dyDescent="0.25">
      <c r="A12" s="21" t="s">
        <v>11258</v>
      </c>
      <c r="B12" s="22" t="s">
        <v>11259</v>
      </c>
      <c r="C12" s="2">
        <v>1</v>
      </c>
      <c r="D12" s="23">
        <v>59</v>
      </c>
      <c r="E12" s="3">
        <v>59</v>
      </c>
      <c r="F12" s="2">
        <v>4390</v>
      </c>
      <c r="G12" s="22" t="s">
        <v>19431</v>
      </c>
      <c r="H12" s="24" t="s">
        <v>19399</v>
      </c>
      <c r="I12" s="22" t="s">
        <v>14376</v>
      </c>
      <c r="J12" s="22" t="s">
        <v>19559</v>
      </c>
      <c r="K12" s="22" t="s">
        <v>11260</v>
      </c>
      <c r="L12" s="22" t="s">
        <v>12864</v>
      </c>
      <c r="M12" s="22" t="s">
        <v>11261</v>
      </c>
      <c r="N12" s="25" t="str">
        <f>HYPERLINK("http://images.bloomingdales.com/is/image/BLM/11590844 ")</f>
        <v xml:space="preserve">http://images.bloomingdales.com/is/image/BLM/11590844 </v>
      </c>
    </row>
    <row r="13" spans="1:14" ht="24.75" x14ac:dyDescent="0.25">
      <c r="A13" s="21" t="s">
        <v>11262</v>
      </c>
      <c r="B13" s="22" t="s">
        <v>11263</v>
      </c>
      <c r="C13" s="2">
        <v>1</v>
      </c>
      <c r="D13" s="23">
        <v>59.5</v>
      </c>
      <c r="E13" s="3">
        <v>59.5</v>
      </c>
      <c r="F13" s="2">
        <v>320851027002</v>
      </c>
      <c r="G13" s="22" t="s">
        <v>19338</v>
      </c>
      <c r="H13" s="24" t="s">
        <v>19416</v>
      </c>
      <c r="I13" s="22" t="s">
        <v>14376</v>
      </c>
      <c r="J13" s="22" t="s">
        <v>19325</v>
      </c>
      <c r="K13" s="22" t="s">
        <v>19326</v>
      </c>
      <c r="L13" s="22" t="s">
        <v>19319</v>
      </c>
      <c r="M13" s="22" t="s">
        <v>11264</v>
      </c>
      <c r="N13" s="25" t="str">
        <f>HYPERLINK("http://images.bloomingdales.com/is/image/BLM/11601242 ")</f>
        <v xml:space="preserve">http://images.bloomingdales.com/is/image/BLM/11601242 </v>
      </c>
    </row>
    <row r="14" spans="1:14" ht="24.75" x14ac:dyDescent="0.25">
      <c r="A14" s="21" t="s">
        <v>11265</v>
      </c>
      <c r="B14" s="22" t="s">
        <v>11266</v>
      </c>
      <c r="C14" s="2">
        <v>1</v>
      </c>
      <c r="D14" s="23">
        <v>58.99</v>
      </c>
      <c r="E14" s="3">
        <v>58.99</v>
      </c>
      <c r="F14" s="2" t="s">
        <v>19306</v>
      </c>
      <c r="G14" s="22" t="s">
        <v>19338</v>
      </c>
      <c r="H14" s="24" t="s">
        <v>19308</v>
      </c>
      <c r="I14" s="22" t="s">
        <v>19309</v>
      </c>
      <c r="J14" s="22" t="s">
        <v>19310</v>
      </c>
      <c r="K14" s="22" t="s">
        <v>19311</v>
      </c>
      <c r="L14" s="22"/>
      <c r="M14" s="22"/>
      <c r="N14" s="25" t="str">
        <f>HYPERLINK("http://slimages.macys.com/is/image/MCY/18618521 ")</f>
        <v xml:space="preserve">http://slimages.macys.com/is/image/MCY/18618521 </v>
      </c>
    </row>
    <row r="15" spans="1:14" ht="24.75" x14ac:dyDescent="0.25">
      <c r="A15" s="21" t="s">
        <v>11267</v>
      </c>
      <c r="B15" s="22" t="s">
        <v>11268</v>
      </c>
      <c r="C15" s="2">
        <v>1</v>
      </c>
      <c r="D15" s="23">
        <v>70</v>
      </c>
      <c r="E15" s="3">
        <v>70</v>
      </c>
      <c r="F15" s="2">
        <v>33405</v>
      </c>
      <c r="G15" s="22" t="s">
        <v>19383</v>
      </c>
      <c r="H15" s="24" t="s">
        <v>11269</v>
      </c>
      <c r="I15" s="22" t="s">
        <v>14376</v>
      </c>
      <c r="J15" s="22" t="s">
        <v>16678</v>
      </c>
      <c r="K15" s="22" t="s">
        <v>11270</v>
      </c>
      <c r="L15" s="22" t="s">
        <v>11271</v>
      </c>
      <c r="M15" s="22" t="s">
        <v>11272</v>
      </c>
      <c r="N15" s="25" t="str">
        <f>HYPERLINK("http://images.bloomingdales.com/is/image/BLM/11661926 ")</f>
        <v xml:space="preserve">http://images.bloomingdales.com/is/image/BLM/11661926 </v>
      </c>
    </row>
    <row r="16" spans="1:14" ht="24.75" x14ac:dyDescent="0.25">
      <c r="A16" s="21" t="s">
        <v>11273</v>
      </c>
      <c r="B16" s="22" t="s">
        <v>11274</v>
      </c>
      <c r="C16" s="2">
        <v>1</v>
      </c>
      <c r="D16" s="23">
        <v>55</v>
      </c>
      <c r="E16" s="3">
        <v>55</v>
      </c>
      <c r="F16" s="2">
        <v>4956</v>
      </c>
      <c r="G16" s="22" t="s">
        <v>19431</v>
      </c>
      <c r="H16" s="24" t="s">
        <v>19432</v>
      </c>
      <c r="I16" s="22" t="s">
        <v>14376</v>
      </c>
      <c r="J16" s="22" t="s">
        <v>19559</v>
      </c>
      <c r="K16" s="22" t="s">
        <v>11260</v>
      </c>
      <c r="L16" s="22" t="s">
        <v>12864</v>
      </c>
      <c r="M16" s="22" t="s">
        <v>11275</v>
      </c>
      <c r="N16" s="25" t="str">
        <f>HYPERLINK("http://images.bloomingdales.com/is/image/BLM/12049217 ")</f>
        <v xml:space="preserve">http://images.bloomingdales.com/is/image/BLM/12049217 </v>
      </c>
    </row>
    <row r="17" spans="1:14" ht="24.75" x14ac:dyDescent="0.25">
      <c r="A17" s="21" t="s">
        <v>11276</v>
      </c>
      <c r="B17" s="22" t="s">
        <v>11277</v>
      </c>
      <c r="C17" s="2">
        <v>1</v>
      </c>
      <c r="D17" s="23">
        <v>55</v>
      </c>
      <c r="E17" s="3">
        <v>55</v>
      </c>
      <c r="F17" s="2">
        <v>320850970003</v>
      </c>
      <c r="G17" s="22" t="s">
        <v>19315</v>
      </c>
      <c r="H17" s="24" t="s">
        <v>20152</v>
      </c>
      <c r="I17" s="22" t="s">
        <v>14376</v>
      </c>
      <c r="J17" s="22" t="s">
        <v>19325</v>
      </c>
      <c r="K17" s="22" t="s">
        <v>19326</v>
      </c>
      <c r="L17" s="22"/>
      <c r="M17" s="22"/>
      <c r="N17" s="25" t="str">
        <f>HYPERLINK("http://slimages.macys.com/is/image/MCY/20058070 ")</f>
        <v xml:space="preserve">http://slimages.macys.com/is/image/MCY/20058070 </v>
      </c>
    </row>
    <row r="18" spans="1:14" ht="36.75" x14ac:dyDescent="0.25">
      <c r="A18" s="21" t="s">
        <v>11278</v>
      </c>
      <c r="B18" s="22" t="s">
        <v>11279</v>
      </c>
      <c r="C18" s="2">
        <v>1</v>
      </c>
      <c r="D18" s="23">
        <v>45</v>
      </c>
      <c r="E18" s="3">
        <v>45</v>
      </c>
      <c r="F18" s="2">
        <v>321864092001</v>
      </c>
      <c r="G18" s="22" t="s">
        <v>19351</v>
      </c>
      <c r="H18" s="24" t="s">
        <v>19345</v>
      </c>
      <c r="I18" s="22" t="s">
        <v>19309</v>
      </c>
      <c r="J18" s="22" t="s">
        <v>19335</v>
      </c>
      <c r="K18" s="22" t="s">
        <v>19326</v>
      </c>
      <c r="L18" s="22" t="s">
        <v>19319</v>
      </c>
      <c r="M18" s="22" t="s">
        <v>14512</v>
      </c>
      <c r="N18" s="25" t="str">
        <f>HYPERLINK("http://images.bloomingdales.com/is/image/BLM/12289730 ")</f>
        <v xml:space="preserve">http://images.bloomingdales.com/is/image/BLM/12289730 </v>
      </c>
    </row>
    <row r="19" spans="1:14" ht="24.75" x14ac:dyDescent="0.25">
      <c r="A19" s="21" t="s">
        <v>14519</v>
      </c>
      <c r="B19" s="22" t="s">
        <v>14520</v>
      </c>
      <c r="C19" s="2">
        <v>1</v>
      </c>
      <c r="D19" s="23">
        <v>49.5</v>
      </c>
      <c r="E19" s="3">
        <v>49.5</v>
      </c>
      <c r="F19" s="2">
        <v>323864092001</v>
      </c>
      <c r="G19" s="22" t="s">
        <v>19351</v>
      </c>
      <c r="H19" s="24" t="s">
        <v>19316</v>
      </c>
      <c r="I19" s="22" t="s">
        <v>19309</v>
      </c>
      <c r="J19" s="22" t="s">
        <v>19335</v>
      </c>
      <c r="K19" s="22" t="s">
        <v>19326</v>
      </c>
      <c r="L19" s="22"/>
      <c r="M19" s="22"/>
      <c r="N19" s="25" t="str">
        <f>HYPERLINK("http://slimages.macys.com/is/image/MCY/21850603 ")</f>
        <v xml:space="preserve">http://slimages.macys.com/is/image/MCY/21850603 </v>
      </c>
    </row>
    <row r="20" spans="1:14" ht="48.75" x14ac:dyDescent="0.25">
      <c r="A20" s="21" t="s">
        <v>11280</v>
      </c>
      <c r="B20" s="22" t="s">
        <v>11281</v>
      </c>
      <c r="C20" s="2">
        <v>1</v>
      </c>
      <c r="D20" s="23">
        <v>60</v>
      </c>
      <c r="E20" s="3">
        <v>60</v>
      </c>
      <c r="F20" s="2" t="s">
        <v>11282</v>
      </c>
      <c r="G20" s="22" t="s">
        <v>19333</v>
      </c>
      <c r="H20" s="24" t="s">
        <v>19399</v>
      </c>
      <c r="I20" s="22" t="s">
        <v>14376</v>
      </c>
      <c r="J20" s="22" t="s">
        <v>19508</v>
      </c>
      <c r="K20" s="22" t="s">
        <v>14475</v>
      </c>
      <c r="L20" s="22" t="s">
        <v>17966</v>
      </c>
      <c r="M20" s="22" t="s">
        <v>11283</v>
      </c>
      <c r="N20" s="25" t="str">
        <f>HYPERLINK("http://images.bloomingdales.com/is/image/BLM/11296122 ")</f>
        <v xml:space="preserve">http://images.bloomingdales.com/is/image/BLM/11296122 </v>
      </c>
    </row>
    <row r="21" spans="1:14" ht="24.75" x14ac:dyDescent="0.25">
      <c r="A21" s="21" t="s">
        <v>11284</v>
      </c>
      <c r="B21" s="22" t="s">
        <v>11285</v>
      </c>
      <c r="C21" s="2">
        <v>1</v>
      </c>
      <c r="D21" s="23">
        <v>50</v>
      </c>
      <c r="E21" s="3">
        <v>50</v>
      </c>
      <c r="F21" s="2" t="s">
        <v>11286</v>
      </c>
      <c r="G21" s="22" t="s">
        <v>19618</v>
      </c>
      <c r="H21" s="24" t="s">
        <v>12224</v>
      </c>
      <c r="I21" s="22" t="s">
        <v>14376</v>
      </c>
      <c r="J21" s="22" t="s">
        <v>19325</v>
      </c>
      <c r="K21" s="22" t="s">
        <v>14508</v>
      </c>
      <c r="L21" s="22" t="s">
        <v>17554</v>
      </c>
      <c r="M21" s="22" t="s">
        <v>12740</v>
      </c>
      <c r="N21" s="25" t="str">
        <f>HYPERLINK("http://images.bloomingdales.com/is/image/BLM/12186291 ")</f>
        <v xml:space="preserve">http://images.bloomingdales.com/is/image/BLM/12186291 </v>
      </c>
    </row>
    <row r="22" spans="1:14" x14ac:dyDescent="0.25">
      <c r="A22" s="21" t="s">
        <v>11287</v>
      </c>
      <c r="B22" s="22" t="s">
        <v>11288</v>
      </c>
      <c r="C22" s="2">
        <v>1</v>
      </c>
      <c r="D22" s="23">
        <v>52</v>
      </c>
      <c r="E22" s="3">
        <v>52</v>
      </c>
      <c r="F22" s="2" t="s">
        <v>11289</v>
      </c>
      <c r="G22" s="22" t="s">
        <v>19415</v>
      </c>
      <c r="H22" s="24" t="s">
        <v>19352</v>
      </c>
      <c r="I22" s="22" t="s">
        <v>14376</v>
      </c>
      <c r="J22" s="22" t="s">
        <v>19559</v>
      </c>
      <c r="K22" s="22" t="s">
        <v>11290</v>
      </c>
      <c r="L22" s="22" t="s">
        <v>11291</v>
      </c>
      <c r="M22" s="22" t="s">
        <v>19358</v>
      </c>
      <c r="N22" s="25" t="str">
        <f>HYPERLINK("http://images.bloomingdales.com/is/image/BLM/9193759 ")</f>
        <v xml:space="preserve">http://images.bloomingdales.com/is/image/BLM/9193759 </v>
      </c>
    </row>
    <row r="23" spans="1:14" ht="24.75" x14ac:dyDescent="0.25">
      <c r="A23" s="21" t="s">
        <v>11292</v>
      </c>
      <c r="B23" s="22" t="s">
        <v>11293</v>
      </c>
      <c r="C23" s="2">
        <v>1</v>
      </c>
      <c r="D23" s="23">
        <v>49.5</v>
      </c>
      <c r="E23" s="3">
        <v>49.5</v>
      </c>
      <c r="F23" s="2">
        <v>323870933001</v>
      </c>
      <c r="G23" s="22" t="s">
        <v>19338</v>
      </c>
      <c r="H23" s="24" t="s">
        <v>19308</v>
      </c>
      <c r="I23" s="22" t="s">
        <v>14376</v>
      </c>
      <c r="J23" s="22" t="s">
        <v>19559</v>
      </c>
      <c r="K23" s="22" t="s">
        <v>19326</v>
      </c>
      <c r="L23" s="22"/>
      <c r="M23" s="22"/>
      <c r="N23" s="25" t="str">
        <f>HYPERLINK("http://slimages.macys.com/is/image/MCY/21850639 ")</f>
        <v xml:space="preserve">http://slimages.macys.com/is/image/MCY/21850639 </v>
      </c>
    </row>
    <row r="24" spans="1:14" ht="24.75" x14ac:dyDescent="0.25">
      <c r="A24" s="21" t="s">
        <v>11294</v>
      </c>
      <c r="B24" s="22" t="s">
        <v>11295</v>
      </c>
      <c r="C24" s="2">
        <v>1</v>
      </c>
      <c r="D24" s="23">
        <v>52</v>
      </c>
      <c r="E24" s="3">
        <v>52</v>
      </c>
      <c r="F24" s="2" t="s">
        <v>11296</v>
      </c>
      <c r="G24" s="22" t="s">
        <v>19333</v>
      </c>
      <c r="H24" s="24" t="s">
        <v>14387</v>
      </c>
      <c r="I24" s="22" t="s">
        <v>14376</v>
      </c>
      <c r="J24" s="22" t="s">
        <v>19508</v>
      </c>
      <c r="K24" s="22" t="s">
        <v>11297</v>
      </c>
      <c r="L24" s="22" t="s">
        <v>17554</v>
      </c>
      <c r="M24" s="22" t="s">
        <v>19764</v>
      </c>
      <c r="N24" s="25" t="str">
        <f>HYPERLINK("http://images.bloomingdales.com/is/image/BLM/11725044 ")</f>
        <v xml:space="preserve">http://images.bloomingdales.com/is/image/BLM/11725044 </v>
      </c>
    </row>
    <row r="25" spans="1:14" ht="24.75" x14ac:dyDescent="0.25">
      <c r="A25" s="21" t="s">
        <v>11298</v>
      </c>
      <c r="B25" s="22" t="s">
        <v>11299</v>
      </c>
      <c r="C25" s="2">
        <v>1</v>
      </c>
      <c r="D25" s="23">
        <v>45</v>
      </c>
      <c r="E25" s="3">
        <v>45</v>
      </c>
      <c r="F25" s="2">
        <v>310870514001</v>
      </c>
      <c r="G25" s="22" t="s">
        <v>19323</v>
      </c>
      <c r="H25" s="24" t="s">
        <v>19367</v>
      </c>
      <c r="I25" s="22" t="s">
        <v>19309</v>
      </c>
      <c r="J25" s="22" t="s">
        <v>19325</v>
      </c>
      <c r="K25" s="22" t="s">
        <v>19326</v>
      </c>
      <c r="L25" s="22"/>
      <c r="M25" s="22"/>
      <c r="N25" s="25" t="str">
        <f>HYPERLINK("http://slimages.macys.com/is/image/MCY/21965481 ")</f>
        <v xml:space="preserve">http://slimages.macys.com/is/image/MCY/21965481 </v>
      </c>
    </row>
    <row r="26" spans="1:14" ht="24.75" x14ac:dyDescent="0.25">
      <c r="A26" s="21" t="s">
        <v>11300</v>
      </c>
      <c r="B26" s="22" t="s">
        <v>11301</v>
      </c>
      <c r="C26" s="2">
        <v>1</v>
      </c>
      <c r="D26" s="23">
        <v>45</v>
      </c>
      <c r="E26" s="3">
        <v>45</v>
      </c>
      <c r="F26" s="2">
        <v>323842275003</v>
      </c>
      <c r="G26" s="22" t="s">
        <v>19351</v>
      </c>
      <c r="H26" s="24" t="s">
        <v>19352</v>
      </c>
      <c r="I26" s="22" t="s">
        <v>19309</v>
      </c>
      <c r="J26" s="22" t="s">
        <v>19335</v>
      </c>
      <c r="K26" s="22" t="s">
        <v>19326</v>
      </c>
      <c r="L26" s="22"/>
      <c r="M26" s="22"/>
      <c r="N26" s="25" t="str">
        <f>HYPERLINK("http://slimages.macys.com/is/image/MCY/19469113 ")</f>
        <v xml:space="preserve">http://slimages.macys.com/is/image/MCY/19469113 </v>
      </c>
    </row>
    <row r="27" spans="1:14" ht="24.75" x14ac:dyDescent="0.25">
      <c r="A27" s="21" t="s">
        <v>11302</v>
      </c>
      <c r="B27" s="22" t="s">
        <v>11303</v>
      </c>
      <c r="C27" s="2">
        <v>1</v>
      </c>
      <c r="D27" s="23">
        <v>45</v>
      </c>
      <c r="E27" s="3">
        <v>45</v>
      </c>
      <c r="F27" s="2">
        <v>323842275003</v>
      </c>
      <c r="G27" s="22" t="s">
        <v>19351</v>
      </c>
      <c r="H27" s="24" t="s">
        <v>19339</v>
      </c>
      <c r="I27" s="22" t="s">
        <v>19309</v>
      </c>
      <c r="J27" s="22" t="s">
        <v>19335</v>
      </c>
      <c r="K27" s="22" t="s">
        <v>19326</v>
      </c>
      <c r="L27" s="22"/>
      <c r="M27" s="22"/>
      <c r="N27" s="25" t="str">
        <f>HYPERLINK("http://slimages.macys.com/is/image/MCY/19469113 ")</f>
        <v xml:space="preserve">http://slimages.macys.com/is/image/MCY/19469113 </v>
      </c>
    </row>
    <row r="28" spans="1:14" ht="24.75" x14ac:dyDescent="0.25">
      <c r="A28" s="21" t="s">
        <v>11304</v>
      </c>
      <c r="B28" s="22" t="s">
        <v>11305</v>
      </c>
      <c r="C28" s="2">
        <v>1</v>
      </c>
      <c r="D28" s="23">
        <v>58</v>
      </c>
      <c r="E28" s="3">
        <v>58</v>
      </c>
      <c r="F28" s="2" t="s">
        <v>11306</v>
      </c>
      <c r="G28" s="22" t="s">
        <v>19763</v>
      </c>
      <c r="H28" s="24" t="s">
        <v>19432</v>
      </c>
      <c r="I28" s="22" t="s">
        <v>14376</v>
      </c>
      <c r="J28" s="22" t="s">
        <v>19559</v>
      </c>
      <c r="K28" s="22" t="s">
        <v>11307</v>
      </c>
      <c r="L28" s="22" t="s">
        <v>12864</v>
      </c>
      <c r="M28" s="22" t="s">
        <v>11308</v>
      </c>
      <c r="N28" s="25" t="str">
        <f>HYPERLINK("http://images.bloomingdales.com/is/image/BLM/11604314 ")</f>
        <v xml:space="preserve">http://images.bloomingdales.com/is/image/BLM/11604314 </v>
      </c>
    </row>
    <row r="29" spans="1:14" ht="24.75" x14ac:dyDescent="0.25">
      <c r="A29" s="21" t="s">
        <v>11309</v>
      </c>
      <c r="B29" s="22" t="s">
        <v>11310</v>
      </c>
      <c r="C29" s="2">
        <v>1</v>
      </c>
      <c r="D29" s="23">
        <v>39.5</v>
      </c>
      <c r="E29" s="3">
        <v>39.5</v>
      </c>
      <c r="F29" s="2">
        <v>323861435003</v>
      </c>
      <c r="G29" s="22" t="s">
        <v>19338</v>
      </c>
      <c r="H29" s="24" t="s">
        <v>19364</v>
      </c>
      <c r="I29" s="22" t="s">
        <v>14376</v>
      </c>
      <c r="J29" s="22" t="s">
        <v>19559</v>
      </c>
      <c r="K29" s="22" t="s">
        <v>19326</v>
      </c>
      <c r="L29" s="22"/>
      <c r="M29" s="22"/>
      <c r="N29" s="25" t="str">
        <f>HYPERLINK("http://slimages.macys.com/is/image/MCY/21850596 ")</f>
        <v xml:space="preserve">http://slimages.macys.com/is/image/MCY/21850596 </v>
      </c>
    </row>
    <row r="30" spans="1:14" ht="24.75" x14ac:dyDescent="0.25">
      <c r="A30" s="21" t="s">
        <v>11311</v>
      </c>
      <c r="B30" s="22" t="s">
        <v>11312</v>
      </c>
      <c r="C30" s="2">
        <v>1</v>
      </c>
      <c r="D30" s="23">
        <v>39.5</v>
      </c>
      <c r="E30" s="3">
        <v>39.5</v>
      </c>
      <c r="F30" s="2">
        <v>310873356002</v>
      </c>
      <c r="G30" s="22" t="s">
        <v>19333</v>
      </c>
      <c r="H30" s="24" t="s">
        <v>19324</v>
      </c>
      <c r="I30" s="22" t="s">
        <v>19309</v>
      </c>
      <c r="J30" s="22" t="s">
        <v>19325</v>
      </c>
      <c r="K30" s="22" t="s">
        <v>19326</v>
      </c>
      <c r="L30" s="22"/>
      <c r="M30" s="22"/>
      <c r="N30" s="25" t="str">
        <f>HYPERLINK("http://slimages.macys.com/is/image/MCY/22118864 ")</f>
        <v xml:space="preserve">http://slimages.macys.com/is/image/MCY/22118864 </v>
      </c>
    </row>
    <row r="31" spans="1:14" ht="36.75" x14ac:dyDescent="0.25">
      <c r="A31" s="21" t="s">
        <v>11313</v>
      </c>
      <c r="B31" s="22" t="s">
        <v>11314</v>
      </c>
      <c r="C31" s="2">
        <v>1</v>
      </c>
      <c r="D31" s="23">
        <v>39.5</v>
      </c>
      <c r="E31" s="3">
        <v>39.5</v>
      </c>
      <c r="F31" s="2">
        <v>322861450008</v>
      </c>
      <c r="G31" s="22" t="s">
        <v>19333</v>
      </c>
      <c r="H31" s="24" t="s">
        <v>19432</v>
      </c>
      <c r="I31" s="22" t="s">
        <v>14376</v>
      </c>
      <c r="J31" s="22" t="s">
        <v>19559</v>
      </c>
      <c r="K31" s="22" t="s">
        <v>19326</v>
      </c>
      <c r="L31" s="22" t="s">
        <v>19434</v>
      </c>
      <c r="M31" s="22" t="s">
        <v>11315</v>
      </c>
      <c r="N31" s="25" t="str">
        <f>HYPERLINK("http://images.bloomingdales.com/is/image/BLM/12050275 ")</f>
        <v xml:space="preserve">http://images.bloomingdales.com/is/image/BLM/12050275 </v>
      </c>
    </row>
    <row r="32" spans="1:14" ht="24.75" x14ac:dyDescent="0.25">
      <c r="A32" s="21" t="s">
        <v>11316</v>
      </c>
      <c r="B32" s="22" t="s">
        <v>11317</v>
      </c>
      <c r="C32" s="2">
        <v>1</v>
      </c>
      <c r="D32" s="23">
        <v>39.5</v>
      </c>
      <c r="E32" s="3">
        <v>39.5</v>
      </c>
      <c r="F32" s="2">
        <v>323865660003</v>
      </c>
      <c r="G32" s="22" t="s">
        <v>19333</v>
      </c>
      <c r="H32" s="24" t="s">
        <v>19364</v>
      </c>
      <c r="I32" s="22" t="s">
        <v>14376</v>
      </c>
      <c r="J32" s="22" t="s">
        <v>19559</v>
      </c>
      <c r="K32" s="22" t="s">
        <v>19326</v>
      </c>
      <c r="L32" s="22"/>
      <c r="M32" s="22"/>
      <c r="N32" s="25" t="str">
        <f>HYPERLINK("http://slimages.macys.com/is/image/MCY/21232888 ")</f>
        <v xml:space="preserve">http://slimages.macys.com/is/image/MCY/21232888 </v>
      </c>
    </row>
    <row r="33" spans="1:14" ht="24.75" x14ac:dyDescent="0.25">
      <c r="A33" s="21" t="s">
        <v>11318</v>
      </c>
      <c r="B33" s="22" t="s">
        <v>11317</v>
      </c>
      <c r="C33" s="2">
        <v>1</v>
      </c>
      <c r="D33" s="23">
        <v>39.5</v>
      </c>
      <c r="E33" s="3">
        <v>39.5</v>
      </c>
      <c r="F33" s="2">
        <v>323865660003</v>
      </c>
      <c r="G33" s="22" t="s">
        <v>19333</v>
      </c>
      <c r="H33" s="24" t="s">
        <v>19308</v>
      </c>
      <c r="I33" s="22" t="s">
        <v>14376</v>
      </c>
      <c r="J33" s="22" t="s">
        <v>19559</v>
      </c>
      <c r="K33" s="22" t="s">
        <v>19326</v>
      </c>
      <c r="L33" s="22"/>
      <c r="M33" s="22"/>
      <c r="N33" s="25" t="str">
        <f>HYPERLINK("http://slimages.macys.com/is/image/MCY/21232888 ")</f>
        <v xml:space="preserve">http://slimages.macys.com/is/image/MCY/21232888 </v>
      </c>
    </row>
    <row r="34" spans="1:14" ht="24.75" x14ac:dyDescent="0.25">
      <c r="A34" s="21" t="s">
        <v>12733</v>
      </c>
      <c r="B34" s="22" t="s">
        <v>12734</v>
      </c>
      <c r="C34" s="2">
        <v>1</v>
      </c>
      <c r="D34" s="23">
        <v>39.5</v>
      </c>
      <c r="E34" s="3">
        <v>39.5</v>
      </c>
      <c r="F34" s="2">
        <v>323867158051</v>
      </c>
      <c r="G34" s="22" t="s">
        <v>19338</v>
      </c>
      <c r="H34" s="24" t="s">
        <v>19308</v>
      </c>
      <c r="I34" s="22" t="s">
        <v>19309</v>
      </c>
      <c r="J34" s="22" t="s">
        <v>19335</v>
      </c>
      <c r="K34" s="22" t="s">
        <v>19326</v>
      </c>
      <c r="L34" s="22"/>
      <c r="M34" s="22"/>
      <c r="N34" s="25" t="str">
        <f>HYPERLINK("http://slimages.macys.com/is/image/MCY/21997267 ")</f>
        <v xml:space="preserve">http://slimages.macys.com/is/image/MCY/21997267 </v>
      </c>
    </row>
    <row r="35" spans="1:14" ht="24.75" x14ac:dyDescent="0.25">
      <c r="A35" s="21" t="s">
        <v>11319</v>
      </c>
      <c r="B35" s="22" t="s">
        <v>11320</v>
      </c>
      <c r="C35" s="2">
        <v>1</v>
      </c>
      <c r="D35" s="23">
        <v>39.5</v>
      </c>
      <c r="E35" s="3">
        <v>39.5</v>
      </c>
      <c r="F35" s="2">
        <v>310873356002</v>
      </c>
      <c r="G35" s="22" t="s">
        <v>19333</v>
      </c>
      <c r="H35" s="24" t="s">
        <v>20159</v>
      </c>
      <c r="I35" s="22" t="s">
        <v>19309</v>
      </c>
      <c r="J35" s="22" t="s">
        <v>19325</v>
      </c>
      <c r="K35" s="22" t="s">
        <v>19326</v>
      </c>
      <c r="L35" s="22"/>
      <c r="M35" s="22"/>
      <c r="N35" s="25" t="str">
        <f>HYPERLINK("http://slimages.macys.com/is/image/MCY/22118864 ")</f>
        <v xml:space="preserve">http://slimages.macys.com/is/image/MCY/22118864 </v>
      </c>
    </row>
    <row r="36" spans="1:14" x14ac:dyDescent="0.25">
      <c r="A36" s="21" t="s">
        <v>11321</v>
      </c>
      <c r="B36" s="22" t="s">
        <v>11322</v>
      </c>
      <c r="C36" s="2">
        <v>1</v>
      </c>
      <c r="D36" s="23">
        <v>49</v>
      </c>
      <c r="E36" s="3">
        <v>49</v>
      </c>
      <c r="F36" s="2" t="s">
        <v>12862</v>
      </c>
      <c r="G36" s="22" t="s">
        <v>19415</v>
      </c>
      <c r="H36" s="24" t="s">
        <v>15738</v>
      </c>
      <c r="I36" s="22" t="s">
        <v>14376</v>
      </c>
      <c r="J36" s="22" t="s">
        <v>19559</v>
      </c>
      <c r="K36" s="22" t="s">
        <v>12863</v>
      </c>
      <c r="L36" s="22" t="s">
        <v>12864</v>
      </c>
      <c r="M36" s="22" t="s">
        <v>19689</v>
      </c>
      <c r="N36" s="25" t="str">
        <f>HYPERLINK("http://images.bloomingdales.com/is/image/BLM/11669589 ")</f>
        <v xml:space="preserve">http://images.bloomingdales.com/is/image/BLM/11669589 </v>
      </c>
    </row>
    <row r="37" spans="1:14" ht="24.75" x14ac:dyDescent="0.25">
      <c r="A37" s="21" t="s">
        <v>11323</v>
      </c>
      <c r="B37" s="22" t="s">
        <v>11324</v>
      </c>
      <c r="C37" s="2">
        <v>1</v>
      </c>
      <c r="D37" s="23">
        <v>44.99</v>
      </c>
      <c r="E37" s="3">
        <v>44.99</v>
      </c>
      <c r="F37" s="2" t="s">
        <v>12782</v>
      </c>
      <c r="G37" s="22" t="s">
        <v>19422</v>
      </c>
      <c r="H37" s="24" t="s">
        <v>19330</v>
      </c>
      <c r="I37" s="22" t="s">
        <v>19309</v>
      </c>
      <c r="J37" s="22" t="s">
        <v>19385</v>
      </c>
      <c r="K37" s="22" t="s">
        <v>19386</v>
      </c>
      <c r="L37" s="22"/>
      <c r="M37" s="22"/>
      <c r="N37" s="25" t="str">
        <f>HYPERLINK("http://slimages.macys.com/is/image/MCY/21878268 ")</f>
        <v xml:space="preserve">http://slimages.macys.com/is/image/MCY/21878268 </v>
      </c>
    </row>
    <row r="38" spans="1:14" ht="24.75" x14ac:dyDescent="0.25">
      <c r="A38" s="21" t="s">
        <v>11325</v>
      </c>
      <c r="B38" s="22" t="s">
        <v>11326</v>
      </c>
      <c r="C38" s="2">
        <v>1</v>
      </c>
      <c r="D38" s="23">
        <v>44.99</v>
      </c>
      <c r="E38" s="3">
        <v>44.99</v>
      </c>
      <c r="F38" s="2" t="s">
        <v>11327</v>
      </c>
      <c r="G38" s="22" t="s">
        <v>19383</v>
      </c>
      <c r="H38" s="24" t="s">
        <v>19432</v>
      </c>
      <c r="I38" s="22" t="s">
        <v>19309</v>
      </c>
      <c r="J38" s="22" t="s">
        <v>19400</v>
      </c>
      <c r="K38" s="22" t="s">
        <v>19479</v>
      </c>
      <c r="L38" s="22"/>
      <c r="M38" s="22"/>
      <c r="N38" s="25" t="str">
        <f>HYPERLINK("http://slimages.macys.com/is/image/MCY/21068987 ")</f>
        <v xml:space="preserve">http://slimages.macys.com/is/image/MCY/21068987 </v>
      </c>
    </row>
    <row r="39" spans="1:14" ht="24.75" x14ac:dyDescent="0.25">
      <c r="A39" s="21" t="s">
        <v>11328</v>
      </c>
      <c r="B39" s="22" t="s">
        <v>11329</v>
      </c>
      <c r="C39" s="2">
        <v>1</v>
      </c>
      <c r="D39" s="23">
        <v>35</v>
      </c>
      <c r="E39" s="3">
        <v>35</v>
      </c>
      <c r="F39" s="2">
        <v>321861436001</v>
      </c>
      <c r="G39" s="22" t="s">
        <v>19333</v>
      </c>
      <c r="H39" s="24" t="s">
        <v>19334</v>
      </c>
      <c r="I39" s="22" t="s">
        <v>19309</v>
      </c>
      <c r="J39" s="22" t="s">
        <v>19335</v>
      </c>
      <c r="K39" s="22" t="s">
        <v>19326</v>
      </c>
      <c r="L39" s="22" t="s">
        <v>14488</v>
      </c>
      <c r="M39" s="22" t="s">
        <v>17531</v>
      </c>
      <c r="N39" s="25" t="str">
        <f>HYPERLINK("http://images.bloomingdales.com/is/image/BLM/12075796 ")</f>
        <v xml:space="preserve">http://images.bloomingdales.com/is/image/BLM/12075796 </v>
      </c>
    </row>
    <row r="40" spans="1:14" ht="24.75" x14ac:dyDescent="0.25">
      <c r="A40" s="21" t="s">
        <v>11330</v>
      </c>
      <c r="B40" s="22" t="s">
        <v>11331</v>
      </c>
      <c r="C40" s="2">
        <v>1</v>
      </c>
      <c r="D40" s="23">
        <v>35</v>
      </c>
      <c r="E40" s="3">
        <v>35</v>
      </c>
      <c r="F40" s="2">
        <v>320870790002</v>
      </c>
      <c r="G40" s="22" t="s">
        <v>19351</v>
      </c>
      <c r="H40" s="24" t="s">
        <v>20152</v>
      </c>
      <c r="I40" s="22" t="s">
        <v>19309</v>
      </c>
      <c r="J40" s="22" t="s">
        <v>19325</v>
      </c>
      <c r="K40" s="22" t="s">
        <v>19326</v>
      </c>
      <c r="L40" s="22"/>
      <c r="M40" s="22"/>
      <c r="N40" s="25" t="str">
        <f>HYPERLINK("http://slimages.macys.com/is/image/MCY/21965521 ")</f>
        <v xml:space="preserve">http://slimages.macys.com/is/image/MCY/21965521 </v>
      </c>
    </row>
    <row r="41" spans="1:14" ht="24.75" x14ac:dyDescent="0.25">
      <c r="A41" s="21" t="s">
        <v>11332</v>
      </c>
      <c r="B41" s="22" t="s">
        <v>11333</v>
      </c>
      <c r="C41" s="2">
        <v>1</v>
      </c>
      <c r="D41" s="23">
        <v>35</v>
      </c>
      <c r="E41" s="3">
        <v>35</v>
      </c>
      <c r="F41" s="2">
        <v>322861436001</v>
      </c>
      <c r="G41" s="22" t="s">
        <v>19333</v>
      </c>
      <c r="H41" s="24" t="s">
        <v>19361</v>
      </c>
      <c r="I41" s="22" t="s">
        <v>19309</v>
      </c>
      <c r="J41" s="22" t="s">
        <v>19335</v>
      </c>
      <c r="K41" s="22" t="s">
        <v>19326</v>
      </c>
      <c r="L41" s="22" t="s">
        <v>14488</v>
      </c>
      <c r="M41" s="22" t="s">
        <v>17531</v>
      </c>
      <c r="N41" s="25" t="str">
        <f>HYPERLINK("http://images.bloomingdales.com/is/image/BLM/12075796 ")</f>
        <v xml:space="preserve">http://images.bloomingdales.com/is/image/BLM/12075796 </v>
      </c>
    </row>
    <row r="42" spans="1:14" ht="24.75" x14ac:dyDescent="0.25">
      <c r="A42" s="21" t="s">
        <v>11334</v>
      </c>
      <c r="B42" s="22" t="s">
        <v>11335</v>
      </c>
      <c r="C42" s="2">
        <v>1</v>
      </c>
      <c r="D42" s="23">
        <v>26.99</v>
      </c>
      <c r="E42" s="3">
        <v>26.99</v>
      </c>
      <c r="F42" s="2" t="s">
        <v>11336</v>
      </c>
      <c r="G42" s="22" t="s">
        <v>19431</v>
      </c>
      <c r="H42" s="24" t="s">
        <v>19399</v>
      </c>
      <c r="I42" s="22" t="s">
        <v>19309</v>
      </c>
      <c r="J42" s="22" t="s">
        <v>19508</v>
      </c>
      <c r="K42" s="22" t="s">
        <v>19509</v>
      </c>
      <c r="L42" s="22" t="s">
        <v>19319</v>
      </c>
      <c r="M42" s="22" t="s">
        <v>11337</v>
      </c>
      <c r="N42" s="25" t="str">
        <f>HYPERLINK("http://slimages.macys.com/is/image/MCY/11290583 ")</f>
        <v xml:space="preserve">http://slimages.macys.com/is/image/MCY/11290583 </v>
      </c>
    </row>
    <row r="43" spans="1:14" ht="24.75" x14ac:dyDescent="0.25">
      <c r="A43" s="21" t="s">
        <v>11338</v>
      </c>
      <c r="B43" s="22" t="s">
        <v>11339</v>
      </c>
      <c r="C43" s="2">
        <v>1</v>
      </c>
      <c r="D43" s="23">
        <v>39.99</v>
      </c>
      <c r="E43" s="3">
        <v>39.99</v>
      </c>
      <c r="F43" s="2" t="s">
        <v>11340</v>
      </c>
      <c r="G43" s="22" t="s">
        <v>19594</v>
      </c>
      <c r="H43" s="24" t="s">
        <v>19361</v>
      </c>
      <c r="I43" s="22" t="s">
        <v>19309</v>
      </c>
      <c r="J43" s="22" t="s">
        <v>19378</v>
      </c>
      <c r="K43" s="22" t="s">
        <v>19479</v>
      </c>
      <c r="L43" s="22"/>
      <c r="M43" s="22"/>
      <c r="N43" s="25" t="str">
        <f>HYPERLINK("http://slimages.macys.com/is/image/MCY/21082163 ")</f>
        <v xml:space="preserve">http://slimages.macys.com/is/image/MCY/21082163 </v>
      </c>
    </row>
    <row r="44" spans="1:14" ht="24.75" x14ac:dyDescent="0.25">
      <c r="A44" s="21" t="s">
        <v>11341</v>
      </c>
      <c r="B44" s="22" t="s">
        <v>11342</v>
      </c>
      <c r="C44" s="2">
        <v>1</v>
      </c>
      <c r="D44" s="23">
        <v>39.99</v>
      </c>
      <c r="E44" s="3">
        <v>39.99</v>
      </c>
      <c r="F44" s="2" t="s">
        <v>11340</v>
      </c>
      <c r="G44" s="22" t="s">
        <v>19594</v>
      </c>
      <c r="H44" s="24" t="s">
        <v>19377</v>
      </c>
      <c r="I44" s="22" t="s">
        <v>19309</v>
      </c>
      <c r="J44" s="22" t="s">
        <v>19378</v>
      </c>
      <c r="K44" s="22" t="s">
        <v>19479</v>
      </c>
      <c r="L44" s="22"/>
      <c r="M44" s="22"/>
      <c r="N44" s="25" t="str">
        <f>HYPERLINK("http://slimages.macys.com/is/image/MCY/21082163 ")</f>
        <v xml:space="preserve">http://slimages.macys.com/is/image/MCY/21082163 </v>
      </c>
    </row>
    <row r="45" spans="1:14" x14ac:dyDescent="0.25">
      <c r="A45" s="21" t="s">
        <v>11343</v>
      </c>
      <c r="B45" s="22" t="s">
        <v>11344</v>
      </c>
      <c r="C45" s="2">
        <v>1</v>
      </c>
      <c r="D45" s="23">
        <v>44</v>
      </c>
      <c r="E45" s="3">
        <v>44</v>
      </c>
      <c r="F45" s="2" t="s">
        <v>11345</v>
      </c>
      <c r="G45" s="22" t="s">
        <v>19351</v>
      </c>
      <c r="H45" s="24" t="s">
        <v>20159</v>
      </c>
      <c r="I45" s="22" t="s">
        <v>14376</v>
      </c>
      <c r="J45" s="22" t="s">
        <v>19325</v>
      </c>
      <c r="K45" s="22" t="s">
        <v>19418</v>
      </c>
      <c r="L45" s="22" t="s">
        <v>17554</v>
      </c>
      <c r="M45" s="22" t="s">
        <v>17531</v>
      </c>
      <c r="N45" s="25" t="str">
        <f>HYPERLINK("http://images.bloomingdales.com/is/image/BLM/12002486 ")</f>
        <v xml:space="preserve">http://images.bloomingdales.com/is/image/BLM/12002486 </v>
      </c>
    </row>
    <row r="46" spans="1:14" ht="24.75" x14ac:dyDescent="0.25">
      <c r="A46" s="21" t="s">
        <v>11346</v>
      </c>
      <c r="B46" s="22" t="s">
        <v>11347</v>
      </c>
      <c r="C46" s="2">
        <v>1</v>
      </c>
      <c r="D46" s="23">
        <v>31.15</v>
      </c>
      <c r="E46" s="3">
        <v>31.15</v>
      </c>
      <c r="F46" s="2" t="s">
        <v>11348</v>
      </c>
      <c r="G46" s="22" t="s">
        <v>19351</v>
      </c>
      <c r="H46" s="24" t="s">
        <v>19501</v>
      </c>
      <c r="I46" s="22" t="s">
        <v>19309</v>
      </c>
      <c r="J46" s="22" t="s">
        <v>19317</v>
      </c>
      <c r="K46" s="22" t="s">
        <v>11349</v>
      </c>
      <c r="L46" s="22"/>
      <c r="M46" s="22"/>
      <c r="N46" s="25" t="str">
        <f>HYPERLINK("http://slimages.macys.com/is/image/MCY/21211449 ")</f>
        <v xml:space="preserve">http://slimages.macys.com/is/image/MCY/21211449 </v>
      </c>
    </row>
    <row r="47" spans="1:14" ht="24.75" x14ac:dyDescent="0.25">
      <c r="A47" s="21" t="s">
        <v>15103</v>
      </c>
      <c r="B47" s="22" t="s">
        <v>15104</v>
      </c>
      <c r="C47" s="2">
        <v>1</v>
      </c>
      <c r="D47" s="23">
        <v>29.99</v>
      </c>
      <c r="E47" s="3">
        <v>29.99</v>
      </c>
      <c r="F47" s="2" t="s">
        <v>15105</v>
      </c>
      <c r="G47" s="22" t="s">
        <v>19498</v>
      </c>
      <c r="H47" s="24" t="s">
        <v>19330</v>
      </c>
      <c r="I47" s="22" t="s">
        <v>19309</v>
      </c>
      <c r="J47" s="22" t="s">
        <v>19491</v>
      </c>
      <c r="K47" s="22" t="s">
        <v>15106</v>
      </c>
      <c r="L47" s="22"/>
      <c r="M47" s="22"/>
      <c r="N47" s="25" t="str">
        <f>HYPERLINK("http://slimages.macys.com/is/image/MCY/21653798 ")</f>
        <v xml:space="preserve">http://slimages.macys.com/is/image/MCY/21653798 </v>
      </c>
    </row>
    <row r="48" spans="1:14" ht="24.75" x14ac:dyDescent="0.25">
      <c r="A48" s="21" t="s">
        <v>11350</v>
      </c>
      <c r="B48" s="22" t="s">
        <v>11351</v>
      </c>
      <c r="C48" s="2">
        <v>1</v>
      </c>
      <c r="D48" s="23">
        <v>30.99</v>
      </c>
      <c r="E48" s="3">
        <v>30.99</v>
      </c>
      <c r="F48" s="2" t="s">
        <v>11352</v>
      </c>
      <c r="G48" s="22" t="s">
        <v>19528</v>
      </c>
      <c r="H48" s="24" t="s">
        <v>19334</v>
      </c>
      <c r="I48" s="22" t="s">
        <v>19309</v>
      </c>
      <c r="J48" s="22" t="s">
        <v>19310</v>
      </c>
      <c r="K48" s="22" t="s">
        <v>19433</v>
      </c>
      <c r="L48" s="22"/>
      <c r="M48" s="22"/>
      <c r="N48" s="25" t="str">
        <f>HYPERLINK("http://slimages.macys.com/is/image/MCY/19687768 ")</f>
        <v xml:space="preserve">http://slimages.macys.com/is/image/MCY/19687768 </v>
      </c>
    </row>
    <row r="49" spans="1:14" x14ac:dyDescent="0.25">
      <c r="A49" s="21" t="s">
        <v>11353</v>
      </c>
      <c r="B49" s="22" t="s">
        <v>11354</v>
      </c>
      <c r="C49" s="2">
        <v>1</v>
      </c>
      <c r="D49" s="23">
        <v>30.99</v>
      </c>
      <c r="E49" s="3">
        <v>30.99</v>
      </c>
      <c r="F49" s="2" t="s">
        <v>11355</v>
      </c>
      <c r="G49" s="22" t="s">
        <v>19315</v>
      </c>
      <c r="H49" s="24" t="s">
        <v>19542</v>
      </c>
      <c r="I49" s="22" t="s">
        <v>19309</v>
      </c>
      <c r="J49" s="22" t="s">
        <v>19310</v>
      </c>
      <c r="K49" s="22" t="s">
        <v>19433</v>
      </c>
      <c r="L49" s="22"/>
      <c r="M49" s="22"/>
      <c r="N49" s="25" t="str">
        <f>HYPERLINK("http://slimages.macys.com/is/image/MCY/19689501 ")</f>
        <v xml:space="preserve">http://slimages.macys.com/is/image/MCY/19689501 </v>
      </c>
    </row>
    <row r="50" spans="1:14" x14ac:dyDescent="0.25">
      <c r="A50" s="21" t="s">
        <v>11356</v>
      </c>
      <c r="B50" s="22" t="s">
        <v>11357</v>
      </c>
      <c r="C50" s="2">
        <v>1</v>
      </c>
      <c r="D50" s="23">
        <v>29.99</v>
      </c>
      <c r="E50" s="3">
        <v>29.99</v>
      </c>
      <c r="F50" s="2" t="s">
        <v>11358</v>
      </c>
      <c r="G50" s="22" t="s">
        <v>19351</v>
      </c>
      <c r="H50" s="24" t="s">
        <v>19345</v>
      </c>
      <c r="I50" s="22" t="s">
        <v>19309</v>
      </c>
      <c r="J50" s="22" t="s">
        <v>19310</v>
      </c>
      <c r="K50" s="22" t="s">
        <v>19440</v>
      </c>
      <c r="L50" s="22"/>
      <c r="M50" s="22"/>
      <c r="N50" s="25" t="str">
        <f>HYPERLINK("http://slimages.macys.com/is/image/MCY/21149126 ")</f>
        <v xml:space="preserve">http://slimages.macys.com/is/image/MCY/21149126 </v>
      </c>
    </row>
    <row r="51" spans="1:14" ht="24.75" x14ac:dyDescent="0.25">
      <c r="A51" s="21" t="s">
        <v>12867</v>
      </c>
      <c r="B51" s="22" t="s">
        <v>12868</v>
      </c>
      <c r="C51" s="2">
        <v>2</v>
      </c>
      <c r="D51" s="23">
        <v>33.99</v>
      </c>
      <c r="E51" s="3">
        <v>67.98</v>
      </c>
      <c r="F51" s="2" t="s">
        <v>17592</v>
      </c>
      <c r="G51" s="22" t="s">
        <v>19422</v>
      </c>
      <c r="H51" s="24" t="s">
        <v>19324</v>
      </c>
      <c r="I51" s="22" t="s">
        <v>19309</v>
      </c>
      <c r="J51" s="22" t="s">
        <v>19385</v>
      </c>
      <c r="K51" s="22" t="s">
        <v>19386</v>
      </c>
      <c r="L51" s="22"/>
      <c r="M51" s="22"/>
      <c r="N51" s="25" t="str">
        <f>HYPERLINK("http://slimages.macys.com/is/image/MCY/22175295 ")</f>
        <v xml:space="preserve">http://slimages.macys.com/is/image/MCY/22175295 </v>
      </c>
    </row>
    <row r="52" spans="1:14" ht="24.75" x14ac:dyDescent="0.25">
      <c r="A52" s="21" t="s">
        <v>17593</v>
      </c>
      <c r="B52" s="22" t="s">
        <v>17594</v>
      </c>
      <c r="C52" s="2">
        <v>2</v>
      </c>
      <c r="D52" s="23">
        <v>33.99</v>
      </c>
      <c r="E52" s="3">
        <v>67.98</v>
      </c>
      <c r="F52" s="2" t="s">
        <v>17595</v>
      </c>
      <c r="G52" s="22" t="s">
        <v>19498</v>
      </c>
      <c r="H52" s="24" t="s">
        <v>19330</v>
      </c>
      <c r="I52" s="22" t="s">
        <v>19309</v>
      </c>
      <c r="J52" s="22" t="s">
        <v>19385</v>
      </c>
      <c r="K52" s="22" t="s">
        <v>19386</v>
      </c>
      <c r="L52" s="22"/>
      <c r="M52" s="22"/>
      <c r="N52" s="25" t="str">
        <f>HYPERLINK("http://slimages.macys.com/is/image/MCY/22175293 ")</f>
        <v xml:space="preserve">http://slimages.macys.com/is/image/MCY/22175293 </v>
      </c>
    </row>
    <row r="53" spans="1:14" ht="24.75" x14ac:dyDescent="0.25">
      <c r="A53" s="21" t="s">
        <v>17590</v>
      </c>
      <c r="B53" s="22" t="s">
        <v>17591</v>
      </c>
      <c r="C53" s="2">
        <v>1</v>
      </c>
      <c r="D53" s="23">
        <v>33.99</v>
      </c>
      <c r="E53" s="3">
        <v>33.99</v>
      </c>
      <c r="F53" s="2" t="s">
        <v>17592</v>
      </c>
      <c r="G53" s="22" t="s">
        <v>19422</v>
      </c>
      <c r="H53" s="24" t="s">
        <v>19330</v>
      </c>
      <c r="I53" s="22" t="s">
        <v>19309</v>
      </c>
      <c r="J53" s="22" t="s">
        <v>19385</v>
      </c>
      <c r="K53" s="22" t="s">
        <v>19386</v>
      </c>
      <c r="L53" s="22"/>
      <c r="M53" s="22"/>
      <c r="N53" s="25" t="str">
        <f>HYPERLINK("http://slimages.macys.com/is/image/MCY/22175295 ")</f>
        <v xml:space="preserve">http://slimages.macys.com/is/image/MCY/22175295 </v>
      </c>
    </row>
    <row r="54" spans="1:14" ht="24.75" x14ac:dyDescent="0.25">
      <c r="A54" s="21" t="s">
        <v>11359</v>
      </c>
      <c r="B54" s="22" t="s">
        <v>11360</v>
      </c>
      <c r="C54" s="2">
        <v>1</v>
      </c>
      <c r="D54" s="23">
        <v>29.5</v>
      </c>
      <c r="E54" s="3">
        <v>29.5</v>
      </c>
      <c r="F54" s="2">
        <v>312853364002</v>
      </c>
      <c r="G54" s="22" t="s">
        <v>19351</v>
      </c>
      <c r="H54" s="24" t="s">
        <v>19377</v>
      </c>
      <c r="I54" s="22" t="s">
        <v>19309</v>
      </c>
      <c r="J54" s="22" t="s">
        <v>19389</v>
      </c>
      <c r="K54" s="22" t="s">
        <v>19326</v>
      </c>
      <c r="L54" s="22"/>
      <c r="M54" s="22"/>
      <c r="N54" s="25" t="str">
        <f>HYPERLINK("http://slimages.macys.com/is/image/MCY/20469919 ")</f>
        <v xml:space="preserve">http://slimages.macys.com/is/image/MCY/20469919 </v>
      </c>
    </row>
    <row r="55" spans="1:14" ht="24.75" x14ac:dyDescent="0.25">
      <c r="A55" s="21" t="s">
        <v>11361</v>
      </c>
      <c r="B55" s="22" t="s">
        <v>11362</v>
      </c>
      <c r="C55" s="2">
        <v>1</v>
      </c>
      <c r="D55" s="23">
        <v>25.99</v>
      </c>
      <c r="E55" s="3">
        <v>25.99</v>
      </c>
      <c r="F55" s="2" t="s">
        <v>11363</v>
      </c>
      <c r="G55" s="22" t="s">
        <v>19422</v>
      </c>
      <c r="H55" s="24" t="s">
        <v>19416</v>
      </c>
      <c r="I55" s="22" t="s">
        <v>19309</v>
      </c>
      <c r="J55" s="22" t="s">
        <v>19385</v>
      </c>
      <c r="K55" s="22" t="s">
        <v>19458</v>
      </c>
      <c r="L55" s="22"/>
      <c r="M55" s="22"/>
      <c r="N55" s="25" t="str">
        <f>HYPERLINK("http://slimages.macys.com/is/image/MCY/21183474 ")</f>
        <v xml:space="preserve">http://slimages.macys.com/is/image/MCY/21183474 </v>
      </c>
    </row>
    <row r="56" spans="1:14" ht="24.75" x14ac:dyDescent="0.25">
      <c r="A56" s="21" t="s">
        <v>11364</v>
      </c>
      <c r="B56" s="22" t="s">
        <v>11365</v>
      </c>
      <c r="C56" s="2">
        <v>1</v>
      </c>
      <c r="D56" s="23">
        <v>29.99</v>
      </c>
      <c r="E56" s="3">
        <v>29.99</v>
      </c>
      <c r="F56" s="2" t="s">
        <v>11366</v>
      </c>
      <c r="G56" s="22" t="s">
        <v>19431</v>
      </c>
      <c r="H56" s="24" t="s">
        <v>19364</v>
      </c>
      <c r="I56" s="22" t="s">
        <v>19309</v>
      </c>
      <c r="J56" s="22" t="s">
        <v>19310</v>
      </c>
      <c r="K56" s="22" t="s">
        <v>19932</v>
      </c>
      <c r="L56" s="22"/>
      <c r="M56" s="22"/>
      <c r="N56" s="25" t="str">
        <f>HYPERLINK("http://slimages.macys.com/is/image/MCY/21605124 ")</f>
        <v xml:space="preserve">http://slimages.macys.com/is/image/MCY/21605124 </v>
      </c>
    </row>
    <row r="57" spans="1:14" ht="24.75" x14ac:dyDescent="0.25">
      <c r="A57" s="21" t="s">
        <v>11367</v>
      </c>
      <c r="B57" s="22" t="s">
        <v>11368</v>
      </c>
      <c r="C57" s="2">
        <v>1</v>
      </c>
      <c r="D57" s="23">
        <v>39</v>
      </c>
      <c r="E57" s="3">
        <v>39</v>
      </c>
      <c r="F57" s="2" t="s">
        <v>11369</v>
      </c>
      <c r="G57" s="22" t="s">
        <v>19315</v>
      </c>
      <c r="H57" s="24" t="s">
        <v>19352</v>
      </c>
      <c r="I57" s="22" t="s">
        <v>14376</v>
      </c>
      <c r="J57" s="22" t="s">
        <v>19508</v>
      </c>
      <c r="K57" s="22" t="s">
        <v>11370</v>
      </c>
      <c r="L57" s="22" t="s">
        <v>11371</v>
      </c>
      <c r="M57" s="22" t="s">
        <v>11372</v>
      </c>
      <c r="N57" s="25" t="str">
        <f>HYPERLINK("http://images.bloomingdales.com/is/image/BLM/11691551 ")</f>
        <v xml:space="preserve">http://images.bloomingdales.com/is/image/BLM/11691551 </v>
      </c>
    </row>
    <row r="58" spans="1:14" ht="24.75" x14ac:dyDescent="0.25">
      <c r="A58" s="21" t="s">
        <v>11373</v>
      </c>
      <c r="B58" s="22" t="s">
        <v>11374</v>
      </c>
      <c r="C58" s="2">
        <v>1</v>
      </c>
      <c r="D58" s="23">
        <v>39.99</v>
      </c>
      <c r="E58" s="3">
        <v>39.99</v>
      </c>
      <c r="F58" s="2" t="s">
        <v>11375</v>
      </c>
      <c r="G58" s="22" t="s">
        <v>19518</v>
      </c>
      <c r="H58" s="24" t="s">
        <v>19416</v>
      </c>
      <c r="I58" s="22" t="s">
        <v>19309</v>
      </c>
      <c r="J58" s="22" t="s">
        <v>19573</v>
      </c>
      <c r="K58" s="22" t="s">
        <v>19574</v>
      </c>
      <c r="L58" s="22"/>
      <c r="M58" s="22"/>
      <c r="N58" s="25" t="str">
        <f>HYPERLINK("http://slimages.macys.com/is/image/MCY/19521517 ")</f>
        <v xml:space="preserve">http://slimages.macys.com/is/image/MCY/19521517 </v>
      </c>
    </row>
    <row r="59" spans="1:14" x14ac:dyDescent="0.25">
      <c r="A59" s="21" t="s">
        <v>11376</v>
      </c>
      <c r="B59" s="22" t="s">
        <v>11377</v>
      </c>
      <c r="C59" s="2">
        <v>1</v>
      </c>
      <c r="D59" s="23">
        <v>28.99</v>
      </c>
      <c r="E59" s="3">
        <v>28.99</v>
      </c>
      <c r="F59" s="2" t="s">
        <v>19473</v>
      </c>
      <c r="G59" s="22" t="s">
        <v>19307</v>
      </c>
      <c r="H59" s="24" t="s">
        <v>19334</v>
      </c>
      <c r="I59" s="22" t="s">
        <v>19309</v>
      </c>
      <c r="J59" s="22" t="s">
        <v>19310</v>
      </c>
      <c r="K59" s="22" t="s">
        <v>19433</v>
      </c>
      <c r="L59" s="22"/>
      <c r="M59" s="22"/>
      <c r="N59" s="25" t="str">
        <f>HYPERLINK("http://slimages.macys.com/is/image/MCY/22214395 ")</f>
        <v xml:space="preserve">http://slimages.macys.com/is/image/MCY/22214395 </v>
      </c>
    </row>
    <row r="60" spans="1:14" x14ac:dyDescent="0.25">
      <c r="A60" s="21" t="s">
        <v>15597</v>
      </c>
      <c r="B60" s="22" t="s">
        <v>15598</v>
      </c>
      <c r="C60" s="2">
        <v>1</v>
      </c>
      <c r="D60" s="23">
        <v>28.99</v>
      </c>
      <c r="E60" s="3">
        <v>28.99</v>
      </c>
      <c r="F60" s="2" t="s">
        <v>15596</v>
      </c>
      <c r="G60" s="22" t="s">
        <v>19333</v>
      </c>
      <c r="H60" s="24" t="s">
        <v>19345</v>
      </c>
      <c r="I60" s="22" t="s">
        <v>19309</v>
      </c>
      <c r="J60" s="22" t="s">
        <v>19310</v>
      </c>
      <c r="K60" s="22" t="s">
        <v>19433</v>
      </c>
      <c r="L60" s="22"/>
      <c r="M60" s="22"/>
      <c r="N60" s="25" t="str">
        <f>HYPERLINK("http://slimages.macys.com/is/image/MCY/21677802 ")</f>
        <v xml:space="preserve">http://slimages.macys.com/is/image/MCY/21677802 </v>
      </c>
    </row>
    <row r="61" spans="1:14" ht="24.75" x14ac:dyDescent="0.25">
      <c r="A61" s="21" t="s">
        <v>11378</v>
      </c>
      <c r="B61" s="22" t="s">
        <v>11379</v>
      </c>
      <c r="C61" s="2">
        <v>4</v>
      </c>
      <c r="D61" s="23">
        <v>35</v>
      </c>
      <c r="E61" s="3">
        <v>140</v>
      </c>
      <c r="F61" s="2" t="s">
        <v>11380</v>
      </c>
      <c r="G61" s="22" t="s">
        <v>19333</v>
      </c>
      <c r="H61" s="24"/>
      <c r="I61" s="22" t="s">
        <v>14376</v>
      </c>
      <c r="J61" s="22" t="s">
        <v>19559</v>
      </c>
      <c r="K61" s="22" t="s">
        <v>14557</v>
      </c>
      <c r="L61" s="22" t="s">
        <v>17554</v>
      </c>
      <c r="M61" s="22" t="s">
        <v>11381</v>
      </c>
      <c r="N61" s="25" t="str">
        <f>HYPERLINK("http://images.bloomingdales.com/is/image/BLM/9814517 ")</f>
        <v xml:space="preserve">http://images.bloomingdales.com/is/image/BLM/9814517 </v>
      </c>
    </row>
    <row r="62" spans="1:14" ht="24.75" x14ac:dyDescent="0.25">
      <c r="A62" s="21" t="s">
        <v>17624</v>
      </c>
      <c r="B62" s="22" t="s">
        <v>17625</v>
      </c>
      <c r="C62" s="2">
        <v>2</v>
      </c>
      <c r="D62" s="23">
        <v>29.99</v>
      </c>
      <c r="E62" s="3">
        <v>59.98</v>
      </c>
      <c r="F62" s="2" t="s">
        <v>17626</v>
      </c>
      <c r="G62" s="22" t="s">
        <v>19315</v>
      </c>
      <c r="H62" s="24" t="s">
        <v>19330</v>
      </c>
      <c r="I62" s="22" t="s">
        <v>19309</v>
      </c>
      <c r="J62" s="22" t="s">
        <v>19385</v>
      </c>
      <c r="K62" s="22" t="s">
        <v>19386</v>
      </c>
      <c r="L62" s="22"/>
      <c r="M62" s="22"/>
      <c r="N62" s="25" t="str">
        <f>HYPERLINK("http://slimages.macys.com/is/image/MCY/22297124 ")</f>
        <v xml:space="preserve">http://slimages.macys.com/is/image/MCY/22297124 </v>
      </c>
    </row>
    <row r="63" spans="1:14" ht="24.75" x14ac:dyDescent="0.25">
      <c r="A63" s="21" t="s">
        <v>11382</v>
      </c>
      <c r="B63" s="22" t="s">
        <v>11383</v>
      </c>
      <c r="C63" s="2">
        <v>1</v>
      </c>
      <c r="D63" s="23">
        <v>29.99</v>
      </c>
      <c r="E63" s="3">
        <v>29.99</v>
      </c>
      <c r="F63" s="2" t="s">
        <v>11384</v>
      </c>
      <c r="G63" s="22" t="s">
        <v>19763</v>
      </c>
      <c r="H63" s="24" t="s">
        <v>19538</v>
      </c>
      <c r="I63" s="22" t="s">
        <v>19309</v>
      </c>
      <c r="J63" s="22" t="s">
        <v>19385</v>
      </c>
      <c r="K63" s="22" t="s">
        <v>19386</v>
      </c>
      <c r="L63" s="22"/>
      <c r="M63" s="22"/>
      <c r="N63" s="25" t="str">
        <f>HYPERLINK("http://slimages.macys.com/is/image/MCY/22297120 ")</f>
        <v xml:space="preserve">http://slimages.macys.com/is/image/MCY/22297120 </v>
      </c>
    </row>
    <row r="64" spans="1:14" ht="24.75" x14ac:dyDescent="0.25">
      <c r="A64" s="21" t="s">
        <v>11385</v>
      </c>
      <c r="B64" s="22" t="s">
        <v>11386</v>
      </c>
      <c r="C64" s="2">
        <v>1</v>
      </c>
      <c r="D64" s="23">
        <v>29.99</v>
      </c>
      <c r="E64" s="3">
        <v>29.99</v>
      </c>
      <c r="F64" s="2" t="s">
        <v>17626</v>
      </c>
      <c r="G64" s="22" t="s">
        <v>19315</v>
      </c>
      <c r="H64" s="24" t="s">
        <v>19384</v>
      </c>
      <c r="I64" s="22" t="s">
        <v>19309</v>
      </c>
      <c r="J64" s="22" t="s">
        <v>19385</v>
      </c>
      <c r="K64" s="22" t="s">
        <v>19386</v>
      </c>
      <c r="L64" s="22"/>
      <c r="M64" s="22"/>
      <c r="N64" s="25" t="str">
        <f>HYPERLINK("http://slimages.macys.com/is/image/MCY/22297124 ")</f>
        <v xml:space="preserve">http://slimages.macys.com/is/image/MCY/22297124 </v>
      </c>
    </row>
    <row r="65" spans="1:14" ht="24.75" x14ac:dyDescent="0.25">
      <c r="A65" s="21" t="s">
        <v>11387</v>
      </c>
      <c r="B65" s="22" t="s">
        <v>11388</v>
      </c>
      <c r="C65" s="2">
        <v>2</v>
      </c>
      <c r="D65" s="23">
        <v>29.99</v>
      </c>
      <c r="E65" s="3">
        <v>59.98</v>
      </c>
      <c r="F65" s="2" t="s">
        <v>17626</v>
      </c>
      <c r="G65" s="22" t="s">
        <v>19315</v>
      </c>
      <c r="H65" s="24" t="s">
        <v>19538</v>
      </c>
      <c r="I65" s="22" t="s">
        <v>19309</v>
      </c>
      <c r="J65" s="22" t="s">
        <v>19385</v>
      </c>
      <c r="K65" s="22" t="s">
        <v>19386</v>
      </c>
      <c r="L65" s="22"/>
      <c r="M65" s="22"/>
      <c r="N65" s="25" t="str">
        <f>HYPERLINK("http://slimages.macys.com/is/image/MCY/22297124 ")</f>
        <v xml:space="preserve">http://slimages.macys.com/is/image/MCY/22297124 </v>
      </c>
    </row>
    <row r="66" spans="1:14" ht="24.75" x14ac:dyDescent="0.25">
      <c r="A66" s="21" t="s">
        <v>11389</v>
      </c>
      <c r="B66" s="22" t="s">
        <v>11390</v>
      </c>
      <c r="C66" s="2">
        <v>1</v>
      </c>
      <c r="D66" s="23">
        <v>38</v>
      </c>
      <c r="E66" s="3">
        <v>38</v>
      </c>
      <c r="F66" s="2" t="s">
        <v>11391</v>
      </c>
      <c r="G66" s="22" t="s">
        <v>19660</v>
      </c>
      <c r="H66" s="24" t="s">
        <v>20232</v>
      </c>
      <c r="I66" s="22" t="s">
        <v>14376</v>
      </c>
      <c r="J66" s="22" t="s">
        <v>19559</v>
      </c>
      <c r="K66" s="22" t="s">
        <v>11307</v>
      </c>
      <c r="L66" s="22" t="s">
        <v>12864</v>
      </c>
      <c r="M66" s="22" t="s">
        <v>11308</v>
      </c>
      <c r="N66" s="25" t="str">
        <f>HYPERLINK("http://images.bloomingdales.com/is/image/BLM/11946818 ")</f>
        <v xml:space="preserve">http://images.bloomingdales.com/is/image/BLM/11946818 </v>
      </c>
    </row>
    <row r="67" spans="1:14" ht="24.75" x14ac:dyDescent="0.25">
      <c r="A67" s="21" t="s">
        <v>11392</v>
      </c>
      <c r="B67" s="22" t="s">
        <v>11393</v>
      </c>
      <c r="C67" s="2">
        <v>2</v>
      </c>
      <c r="D67" s="23">
        <v>35</v>
      </c>
      <c r="E67" s="3">
        <v>70</v>
      </c>
      <c r="F67" s="2" t="s">
        <v>11394</v>
      </c>
      <c r="G67" s="22" t="s">
        <v>19794</v>
      </c>
      <c r="H67" s="24"/>
      <c r="I67" s="22" t="s">
        <v>14376</v>
      </c>
      <c r="J67" s="22" t="s">
        <v>19559</v>
      </c>
      <c r="K67" s="22" t="s">
        <v>14557</v>
      </c>
      <c r="L67" s="22" t="s">
        <v>17554</v>
      </c>
      <c r="M67" s="22" t="s">
        <v>11395</v>
      </c>
      <c r="N67" s="25" t="str">
        <f>HYPERLINK("http://images.bloomingdales.com/is/image/BLM/11914905 ")</f>
        <v xml:space="preserve">http://images.bloomingdales.com/is/image/BLM/11914905 </v>
      </c>
    </row>
    <row r="68" spans="1:14" ht="24.75" x14ac:dyDescent="0.25">
      <c r="A68" s="21" t="s">
        <v>11396</v>
      </c>
      <c r="B68" s="22" t="s">
        <v>11397</v>
      </c>
      <c r="C68" s="2">
        <v>1</v>
      </c>
      <c r="D68" s="23">
        <v>34.99</v>
      </c>
      <c r="E68" s="3">
        <v>34.99</v>
      </c>
      <c r="F68" s="2" t="s">
        <v>19494</v>
      </c>
      <c r="G68" s="22" t="s">
        <v>19315</v>
      </c>
      <c r="H68" s="24" t="s">
        <v>19316</v>
      </c>
      <c r="I68" s="22" t="s">
        <v>19309</v>
      </c>
      <c r="J68" s="22" t="s">
        <v>19400</v>
      </c>
      <c r="K68" s="22" t="s">
        <v>19479</v>
      </c>
      <c r="L68" s="22"/>
      <c r="M68" s="22"/>
      <c r="N68" s="25" t="str">
        <f>HYPERLINK("http://slimages.macys.com/is/image/MCY/21683553 ")</f>
        <v xml:space="preserve">http://slimages.macys.com/is/image/MCY/21683553 </v>
      </c>
    </row>
    <row r="69" spans="1:14" ht="24.75" x14ac:dyDescent="0.25">
      <c r="A69" s="21" t="s">
        <v>11398</v>
      </c>
      <c r="B69" s="22" t="s">
        <v>11399</v>
      </c>
      <c r="C69" s="2">
        <v>1</v>
      </c>
      <c r="D69" s="23">
        <v>34.99</v>
      </c>
      <c r="E69" s="3">
        <v>34.99</v>
      </c>
      <c r="F69" s="2" t="s">
        <v>11400</v>
      </c>
      <c r="G69" s="22" t="s">
        <v>19333</v>
      </c>
      <c r="H69" s="24" t="s">
        <v>19316</v>
      </c>
      <c r="I69" s="22" t="s">
        <v>19309</v>
      </c>
      <c r="J69" s="22" t="s">
        <v>19400</v>
      </c>
      <c r="K69" s="22" t="s">
        <v>19479</v>
      </c>
      <c r="L69" s="22"/>
      <c r="M69" s="22"/>
      <c r="N69" s="25" t="str">
        <f>HYPERLINK("http://slimages.macys.com/is/image/MCY/21683529 ")</f>
        <v xml:space="preserve">http://slimages.macys.com/is/image/MCY/21683529 </v>
      </c>
    </row>
    <row r="70" spans="1:14" ht="24.75" x14ac:dyDescent="0.25">
      <c r="A70" s="21" t="s">
        <v>11401</v>
      </c>
      <c r="B70" s="22" t="s">
        <v>11402</v>
      </c>
      <c r="C70" s="2">
        <v>1</v>
      </c>
      <c r="D70" s="23">
        <v>25.99</v>
      </c>
      <c r="E70" s="3">
        <v>25.99</v>
      </c>
      <c r="F70" s="2" t="s">
        <v>11403</v>
      </c>
      <c r="G70" s="22" t="s">
        <v>19618</v>
      </c>
      <c r="H70" s="24" t="s">
        <v>19324</v>
      </c>
      <c r="I70" s="22" t="s">
        <v>19309</v>
      </c>
      <c r="J70" s="22" t="s">
        <v>19491</v>
      </c>
      <c r="K70" s="22" t="s">
        <v>19463</v>
      </c>
      <c r="L70" s="22"/>
      <c r="M70" s="22"/>
      <c r="N70" s="25" t="str">
        <f>HYPERLINK("http://slimages.macys.com/is/image/MCY/19002193 ")</f>
        <v xml:space="preserve">http://slimages.macys.com/is/image/MCY/19002193 </v>
      </c>
    </row>
    <row r="71" spans="1:14" ht="24.75" x14ac:dyDescent="0.25">
      <c r="A71" s="21" t="s">
        <v>17647</v>
      </c>
      <c r="B71" s="22" t="s">
        <v>17648</v>
      </c>
      <c r="C71" s="2">
        <v>2</v>
      </c>
      <c r="D71" s="23">
        <v>25.99</v>
      </c>
      <c r="E71" s="3">
        <v>51.98</v>
      </c>
      <c r="F71" s="2" t="s">
        <v>17649</v>
      </c>
      <c r="G71" s="22" t="s">
        <v>19886</v>
      </c>
      <c r="H71" s="24" t="s">
        <v>19324</v>
      </c>
      <c r="I71" s="22" t="s">
        <v>19309</v>
      </c>
      <c r="J71" s="22" t="s">
        <v>19491</v>
      </c>
      <c r="K71" s="22" t="s">
        <v>19463</v>
      </c>
      <c r="L71" s="22"/>
      <c r="M71" s="22"/>
      <c r="N71" s="25" t="str">
        <f>HYPERLINK("http://slimages.macys.com/is/image/MCY/22035970 ")</f>
        <v xml:space="preserve">http://slimages.macys.com/is/image/MCY/22035970 </v>
      </c>
    </row>
    <row r="72" spans="1:14" ht="24.75" x14ac:dyDescent="0.25">
      <c r="A72" s="21" t="s">
        <v>11404</v>
      </c>
      <c r="B72" s="22" t="s">
        <v>11405</v>
      </c>
      <c r="C72" s="2">
        <v>1</v>
      </c>
      <c r="D72" s="23">
        <v>21.99</v>
      </c>
      <c r="E72" s="3">
        <v>21.99</v>
      </c>
      <c r="F72" s="2" t="s">
        <v>11406</v>
      </c>
      <c r="G72" s="22" t="s">
        <v>19338</v>
      </c>
      <c r="H72" s="24" t="s">
        <v>19308</v>
      </c>
      <c r="I72" s="22" t="s">
        <v>19309</v>
      </c>
      <c r="J72" s="22" t="s">
        <v>19310</v>
      </c>
      <c r="K72" s="22" t="s">
        <v>19873</v>
      </c>
      <c r="L72" s="22"/>
      <c r="M72" s="22"/>
      <c r="N72" s="25" t="str">
        <f>HYPERLINK("http://slimages.macys.com/is/image/MCY/20050461 ")</f>
        <v xml:space="preserve">http://slimages.macys.com/is/image/MCY/20050461 </v>
      </c>
    </row>
    <row r="73" spans="1:14" ht="24.75" x14ac:dyDescent="0.25">
      <c r="A73" s="21" t="s">
        <v>19551</v>
      </c>
      <c r="B73" s="22" t="s">
        <v>19552</v>
      </c>
      <c r="C73" s="2">
        <v>1</v>
      </c>
      <c r="D73" s="23">
        <v>28.99</v>
      </c>
      <c r="E73" s="3">
        <v>28.99</v>
      </c>
      <c r="F73" s="2" t="s">
        <v>19553</v>
      </c>
      <c r="G73" s="22" t="s">
        <v>19342</v>
      </c>
      <c r="H73" s="24" t="s">
        <v>19542</v>
      </c>
      <c r="I73" s="22" t="s">
        <v>19309</v>
      </c>
      <c r="J73" s="22" t="s">
        <v>19550</v>
      </c>
      <c r="K73" s="22" t="s">
        <v>19554</v>
      </c>
      <c r="L73" s="22"/>
      <c r="M73" s="22"/>
      <c r="N73" s="25" t="str">
        <f>HYPERLINK("http://slimages.macys.com/is/image/MCY/21204882 ")</f>
        <v xml:space="preserve">http://slimages.macys.com/is/image/MCY/21204882 </v>
      </c>
    </row>
    <row r="74" spans="1:14" ht="24.75" x14ac:dyDescent="0.25">
      <c r="A74" s="21" t="s">
        <v>11407</v>
      </c>
      <c r="B74" s="22" t="s">
        <v>11408</v>
      </c>
      <c r="C74" s="2">
        <v>1</v>
      </c>
      <c r="D74" s="23">
        <v>28.99</v>
      </c>
      <c r="E74" s="3">
        <v>28.99</v>
      </c>
      <c r="F74" s="2" t="s">
        <v>11409</v>
      </c>
      <c r="G74" s="22" t="s">
        <v>19342</v>
      </c>
      <c r="H74" s="24" t="s">
        <v>19345</v>
      </c>
      <c r="I74" s="22" t="s">
        <v>19309</v>
      </c>
      <c r="J74" s="22" t="s">
        <v>19550</v>
      </c>
      <c r="K74" s="22" t="s">
        <v>19554</v>
      </c>
      <c r="L74" s="22"/>
      <c r="M74" s="22"/>
      <c r="N74" s="25" t="str">
        <f>HYPERLINK("http://slimages.macys.com/is/image/MCY/21204893 ")</f>
        <v xml:space="preserve">http://slimages.macys.com/is/image/MCY/21204893 </v>
      </c>
    </row>
    <row r="75" spans="1:14" ht="24.75" x14ac:dyDescent="0.25">
      <c r="A75" s="21" t="s">
        <v>11410</v>
      </c>
      <c r="B75" s="22" t="s">
        <v>11411</v>
      </c>
      <c r="C75" s="2">
        <v>1</v>
      </c>
      <c r="D75" s="23">
        <v>34.99</v>
      </c>
      <c r="E75" s="3">
        <v>34.99</v>
      </c>
      <c r="F75" s="2" t="s">
        <v>11412</v>
      </c>
      <c r="G75" s="22" t="s">
        <v>19763</v>
      </c>
      <c r="H75" s="24" t="s">
        <v>11751</v>
      </c>
      <c r="I75" s="22" t="s">
        <v>19309</v>
      </c>
      <c r="J75" s="22" t="s">
        <v>19447</v>
      </c>
      <c r="K75" s="22" t="s">
        <v>18333</v>
      </c>
      <c r="L75" s="22"/>
      <c r="M75" s="22"/>
      <c r="N75" s="25" t="str">
        <f>HYPERLINK("http://slimages.macys.com/is/image/MCY/19404737 ")</f>
        <v xml:space="preserve">http://slimages.macys.com/is/image/MCY/19404737 </v>
      </c>
    </row>
    <row r="76" spans="1:14" x14ac:dyDescent="0.25">
      <c r="A76" s="21" t="s">
        <v>17675</v>
      </c>
      <c r="B76" s="22" t="s">
        <v>17676</v>
      </c>
      <c r="C76" s="2">
        <v>1</v>
      </c>
      <c r="D76" s="23">
        <v>25.99</v>
      </c>
      <c r="E76" s="3">
        <v>25.99</v>
      </c>
      <c r="F76" s="2" t="s">
        <v>19569</v>
      </c>
      <c r="G76" s="22" t="s">
        <v>19333</v>
      </c>
      <c r="H76" s="24" t="s">
        <v>19432</v>
      </c>
      <c r="I76" s="22" t="s">
        <v>19309</v>
      </c>
      <c r="J76" s="22" t="s">
        <v>19310</v>
      </c>
      <c r="K76" s="22" t="s">
        <v>19433</v>
      </c>
      <c r="L76" s="22"/>
      <c r="M76" s="22"/>
      <c r="N76" s="25" t="str">
        <f>HYPERLINK("http://slimages.macys.com/is/image/MCY/21964510 ")</f>
        <v xml:space="preserve">http://slimages.macys.com/is/image/MCY/21964510 </v>
      </c>
    </row>
    <row r="77" spans="1:14" ht="24.75" x14ac:dyDescent="0.25">
      <c r="A77" s="21" t="s">
        <v>11413</v>
      </c>
      <c r="B77" s="22" t="s">
        <v>11414</v>
      </c>
      <c r="C77" s="2">
        <v>1</v>
      </c>
      <c r="D77" s="23">
        <v>28.99</v>
      </c>
      <c r="E77" s="3">
        <v>28.99</v>
      </c>
      <c r="F77" s="2" t="s">
        <v>19572</v>
      </c>
      <c r="G77" s="22" t="s">
        <v>19315</v>
      </c>
      <c r="H77" s="24" t="s">
        <v>19384</v>
      </c>
      <c r="I77" s="22" t="s">
        <v>19309</v>
      </c>
      <c r="J77" s="22" t="s">
        <v>19573</v>
      </c>
      <c r="K77" s="22" t="s">
        <v>19574</v>
      </c>
      <c r="L77" s="22"/>
      <c r="M77" s="22"/>
      <c r="N77" s="25" t="str">
        <f>HYPERLINK("http://slimages.macys.com/is/image/MCY/21731366 ")</f>
        <v xml:space="preserve">http://slimages.macys.com/is/image/MCY/21731366 </v>
      </c>
    </row>
    <row r="78" spans="1:14" ht="24.75" x14ac:dyDescent="0.25">
      <c r="A78" s="21" t="s">
        <v>11415</v>
      </c>
      <c r="B78" s="22" t="s">
        <v>11416</v>
      </c>
      <c r="C78" s="2">
        <v>1</v>
      </c>
      <c r="D78" s="23">
        <v>26.99</v>
      </c>
      <c r="E78" s="3">
        <v>26.99</v>
      </c>
      <c r="F78" s="2" t="s">
        <v>12904</v>
      </c>
      <c r="G78" s="22" t="s">
        <v>19801</v>
      </c>
      <c r="H78" s="24" t="s">
        <v>19542</v>
      </c>
      <c r="I78" s="22" t="s">
        <v>19309</v>
      </c>
      <c r="J78" s="22" t="s">
        <v>19595</v>
      </c>
      <c r="K78" s="22" t="s">
        <v>19596</v>
      </c>
      <c r="L78" s="22"/>
      <c r="M78" s="22"/>
      <c r="N78" s="25" t="str">
        <f>HYPERLINK("http://slimages.macys.com/is/image/MCY/21623070 ")</f>
        <v xml:space="preserve">http://slimages.macys.com/is/image/MCY/21623070 </v>
      </c>
    </row>
    <row r="79" spans="1:14" ht="24.75" x14ac:dyDescent="0.25">
      <c r="A79" s="21" t="s">
        <v>11417</v>
      </c>
      <c r="B79" s="22" t="s">
        <v>11418</v>
      </c>
      <c r="C79" s="2">
        <v>1</v>
      </c>
      <c r="D79" s="23">
        <v>28</v>
      </c>
      <c r="E79" s="3">
        <v>28</v>
      </c>
      <c r="F79" s="2" t="s">
        <v>11419</v>
      </c>
      <c r="G79" s="22" t="s">
        <v>19323</v>
      </c>
      <c r="H79" s="24" t="s">
        <v>17505</v>
      </c>
      <c r="I79" s="22" t="s">
        <v>14376</v>
      </c>
      <c r="J79" s="22" t="s">
        <v>15506</v>
      </c>
      <c r="K79" s="22" t="s">
        <v>11420</v>
      </c>
      <c r="L79" s="22" t="s">
        <v>17554</v>
      </c>
      <c r="M79" s="22" t="s">
        <v>11421</v>
      </c>
      <c r="N79" s="25" t="str">
        <f>HYPERLINK("http://images.bloomingdales.com/is/image/BLM/11692283 ")</f>
        <v xml:space="preserve">http://images.bloomingdales.com/is/image/BLM/11692283 </v>
      </c>
    </row>
    <row r="80" spans="1:14" ht="24.75" x14ac:dyDescent="0.25">
      <c r="A80" s="21" t="s">
        <v>11422</v>
      </c>
      <c r="B80" s="22" t="s">
        <v>11423</v>
      </c>
      <c r="C80" s="2">
        <v>1</v>
      </c>
      <c r="D80" s="23">
        <v>26.99</v>
      </c>
      <c r="E80" s="3">
        <v>26.99</v>
      </c>
      <c r="F80" s="2" t="s">
        <v>11424</v>
      </c>
      <c r="G80" s="22" t="s">
        <v>19906</v>
      </c>
      <c r="H80" s="24" t="s">
        <v>19334</v>
      </c>
      <c r="I80" s="22" t="s">
        <v>19309</v>
      </c>
      <c r="J80" s="22" t="s">
        <v>19595</v>
      </c>
      <c r="K80" s="22" t="s">
        <v>19596</v>
      </c>
      <c r="L80" s="22"/>
      <c r="M80" s="22"/>
      <c r="N80" s="25" t="str">
        <f>HYPERLINK("http://slimages.macys.com/is/image/MCY/21622978 ")</f>
        <v xml:space="preserve">http://slimages.macys.com/is/image/MCY/21622978 </v>
      </c>
    </row>
    <row r="81" spans="1:14" ht="24.75" x14ac:dyDescent="0.25">
      <c r="A81" s="21" t="s">
        <v>11425</v>
      </c>
      <c r="B81" s="22" t="s">
        <v>11426</v>
      </c>
      <c r="C81" s="2">
        <v>1</v>
      </c>
      <c r="D81" s="23">
        <v>24.99</v>
      </c>
      <c r="E81" s="3">
        <v>24.99</v>
      </c>
      <c r="F81" s="2" t="s">
        <v>11427</v>
      </c>
      <c r="G81" s="22" t="s">
        <v>19342</v>
      </c>
      <c r="H81" s="24" t="s">
        <v>19538</v>
      </c>
      <c r="I81" s="22" t="s">
        <v>19309</v>
      </c>
      <c r="J81" s="22" t="s">
        <v>19385</v>
      </c>
      <c r="K81" s="22" t="s">
        <v>19729</v>
      </c>
      <c r="L81" s="22"/>
      <c r="M81" s="22"/>
      <c r="N81" s="25" t="str">
        <f>HYPERLINK("http://slimages.macys.com/is/image/MCY/21506860 ")</f>
        <v xml:space="preserve">http://slimages.macys.com/is/image/MCY/21506860 </v>
      </c>
    </row>
    <row r="82" spans="1:14" ht="24.75" x14ac:dyDescent="0.25">
      <c r="A82" s="21" t="s">
        <v>15637</v>
      </c>
      <c r="B82" s="22" t="s">
        <v>15638</v>
      </c>
      <c r="C82" s="2">
        <v>1</v>
      </c>
      <c r="D82" s="23">
        <v>24.99</v>
      </c>
      <c r="E82" s="3">
        <v>24.99</v>
      </c>
      <c r="F82" s="2" t="s">
        <v>15639</v>
      </c>
      <c r="G82" s="22" t="s">
        <v>19342</v>
      </c>
      <c r="H82" s="24" t="s">
        <v>19384</v>
      </c>
      <c r="I82" s="22" t="s">
        <v>19309</v>
      </c>
      <c r="J82" s="22" t="s">
        <v>19491</v>
      </c>
      <c r="K82" s="22" t="s">
        <v>19554</v>
      </c>
      <c r="L82" s="22"/>
      <c r="M82" s="22"/>
      <c r="N82" s="25" t="str">
        <f>HYPERLINK("http://slimages.macys.com/is/image/MCY/21483061 ")</f>
        <v xml:space="preserve">http://slimages.macys.com/is/image/MCY/21483061 </v>
      </c>
    </row>
    <row r="83" spans="1:14" ht="24.75" x14ac:dyDescent="0.25">
      <c r="A83" s="21" t="s">
        <v>15630</v>
      </c>
      <c r="B83" s="22" t="s">
        <v>15631</v>
      </c>
      <c r="C83" s="2">
        <v>3</v>
      </c>
      <c r="D83" s="23">
        <v>24.99</v>
      </c>
      <c r="E83" s="3">
        <v>74.97</v>
      </c>
      <c r="F83" s="2" t="s">
        <v>15632</v>
      </c>
      <c r="G83" s="22" t="s">
        <v>19342</v>
      </c>
      <c r="H83" s="24" t="s">
        <v>19324</v>
      </c>
      <c r="I83" s="22" t="s">
        <v>19309</v>
      </c>
      <c r="J83" s="22" t="s">
        <v>19491</v>
      </c>
      <c r="K83" s="22" t="s">
        <v>19554</v>
      </c>
      <c r="L83" s="22"/>
      <c r="M83" s="22"/>
      <c r="N83" s="25" t="str">
        <f>HYPERLINK("http://slimages.macys.com/is/image/MCY/21779045 ")</f>
        <v xml:space="preserve">http://slimages.macys.com/is/image/MCY/21779045 </v>
      </c>
    </row>
    <row r="84" spans="1:14" ht="24.75" x14ac:dyDescent="0.25">
      <c r="A84" s="21" t="s">
        <v>19607</v>
      </c>
      <c r="B84" s="22" t="s">
        <v>19608</v>
      </c>
      <c r="C84" s="2">
        <v>1</v>
      </c>
      <c r="D84" s="23">
        <v>24.99</v>
      </c>
      <c r="E84" s="3">
        <v>24.99</v>
      </c>
      <c r="F84" s="2" t="s">
        <v>19609</v>
      </c>
      <c r="G84" s="22" t="s">
        <v>19342</v>
      </c>
      <c r="H84" s="24" t="s">
        <v>19416</v>
      </c>
      <c r="I84" s="22" t="s">
        <v>19309</v>
      </c>
      <c r="J84" s="22" t="s">
        <v>19491</v>
      </c>
      <c r="K84" s="22" t="s">
        <v>19554</v>
      </c>
      <c r="L84" s="22"/>
      <c r="M84" s="22"/>
      <c r="N84" s="25" t="str">
        <f>HYPERLINK("http://slimages.macys.com/is/image/MCY/21483061 ")</f>
        <v xml:space="preserve">http://slimages.macys.com/is/image/MCY/21483061 </v>
      </c>
    </row>
    <row r="85" spans="1:14" ht="24.75" x14ac:dyDescent="0.25">
      <c r="A85" s="21" t="s">
        <v>11428</v>
      </c>
      <c r="B85" s="22" t="s">
        <v>11429</v>
      </c>
      <c r="C85" s="2">
        <v>1</v>
      </c>
      <c r="D85" s="23">
        <v>24.99</v>
      </c>
      <c r="E85" s="3">
        <v>24.99</v>
      </c>
      <c r="F85" s="2" t="s">
        <v>11430</v>
      </c>
      <c r="G85" s="22" t="s">
        <v>19342</v>
      </c>
      <c r="H85" s="24" t="s">
        <v>19324</v>
      </c>
      <c r="I85" s="22" t="s">
        <v>19309</v>
      </c>
      <c r="J85" s="22" t="s">
        <v>19491</v>
      </c>
      <c r="K85" s="22" t="s">
        <v>19546</v>
      </c>
      <c r="L85" s="22"/>
      <c r="M85" s="22"/>
      <c r="N85" s="25" t="str">
        <f>HYPERLINK("http://slimages.macys.com/is/image/MCY/21475012 ")</f>
        <v xml:space="preserve">http://slimages.macys.com/is/image/MCY/21475012 </v>
      </c>
    </row>
    <row r="86" spans="1:14" ht="24.75" x14ac:dyDescent="0.25">
      <c r="A86" s="21" t="s">
        <v>11431</v>
      </c>
      <c r="B86" s="22" t="s">
        <v>11432</v>
      </c>
      <c r="C86" s="2">
        <v>1</v>
      </c>
      <c r="D86" s="23">
        <v>34</v>
      </c>
      <c r="E86" s="3">
        <v>34</v>
      </c>
      <c r="F86" s="2" t="s">
        <v>11433</v>
      </c>
      <c r="G86" s="22" t="s">
        <v>19333</v>
      </c>
      <c r="H86" s="24" t="s">
        <v>19361</v>
      </c>
      <c r="I86" s="22" t="s">
        <v>14376</v>
      </c>
      <c r="J86" s="22" t="s">
        <v>19559</v>
      </c>
      <c r="K86" s="22" t="s">
        <v>12948</v>
      </c>
      <c r="L86" s="22" t="s">
        <v>17554</v>
      </c>
      <c r="M86" s="22" t="s">
        <v>11434</v>
      </c>
      <c r="N86" s="25" t="str">
        <f>HYPERLINK("http://images.bloomingdales.com/is/image/BLM/11874211 ")</f>
        <v xml:space="preserve">http://images.bloomingdales.com/is/image/BLM/11874211 </v>
      </c>
    </row>
    <row r="87" spans="1:14" ht="24.75" x14ac:dyDescent="0.25">
      <c r="A87" s="21" t="s">
        <v>11435</v>
      </c>
      <c r="B87" s="22" t="s">
        <v>11436</v>
      </c>
      <c r="C87" s="2">
        <v>1</v>
      </c>
      <c r="D87" s="23">
        <v>28.99</v>
      </c>
      <c r="E87" s="3">
        <v>28.99</v>
      </c>
      <c r="F87" s="2" t="s">
        <v>17714</v>
      </c>
      <c r="G87" s="22" t="s">
        <v>19323</v>
      </c>
      <c r="H87" s="24" t="s">
        <v>19432</v>
      </c>
      <c r="I87" s="22" t="s">
        <v>19309</v>
      </c>
      <c r="J87" s="22" t="s">
        <v>19353</v>
      </c>
      <c r="K87" s="22" t="s">
        <v>19524</v>
      </c>
      <c r="L87" s="22"/>
      <c r="M87" s="22"/>
      <c r="N87" s="25" t="str">
        <f>HYPERLINK("http://slimages.macys.com/is/image/MCY/21083337 ")</f>
        <v xml:space="preserve">http://slimages.macys.com/is/image/MCY/21083337 </v>
      </c>
    </row>
    <row r="88" spans="1:14" ht="24.75" x14ac:dyDescent="0.25">
      <c r="A88" s="21" t="s">
        <v>11437</v>
      </c>
      <c r="B88" s="22" t="s">
        <v>11438</v>
      </c>
      <c r="C88" s="2">
        <v>1</v>
      </c>
      <c r="D88" s="23">
        <v>24.99</v>
      </c>
      <c r="E88" s="3">
        <v>24.99</v>
      </c>
      <c r="F88" s="2" t="s">
        <v>17721</v>
      </c>
      <c r="G88" s="22" t="s">
        <v>19422</v>
      </c>
      <c r="H88" s="24" t="s">
        <v>19384</v>
      </c>
      <c r="I88" s="22" t="s">
        <v>19309</v>
      </c>
      <c r="J88" s="22" t="s">
        <v>19573</v>
      </c>
      <c r="K88" s="22" t="s">
        <v>19574</v>
      </c>
      <c r="L88" s="22"/>
      <c r="M88" s="22"/>
      <c r="N88" s="25" t="str">
        <f>HYPERLINK("http://slimages.macys.com/is/image/MCY/21209500 ")</f>
        <v xml:space="preserve">http://slimages.macys.com/is/image/MCY/21209500 </v>
      </c>
    </row>
    <row r="89" spans="1:14" x14ac:dyDescent="0.25">
      <c r="A89" s="21" t="s">
        <v>11439</v>
      </c>
      <c r="B89" s="22" t="s">
        <v>11440</v>
      </c>
      <c r="C89" s="2">
        <v>1</v>
      </c>
      <c r="D89" s="23">
        <v>23.22</v>
      </c>
      <c r="E89" s="3">
        <v>23.22</v>
      </c>
      <c r="F89" s="2" t="s">
        <v>11441</v>
      </c>
      <c r="G89" s="22" t="s">
        <v>19342</v>
      </c>
      <c r="H89" s="24" t="s">
        <v>19542</v>
      </c>
      <c r="I89" s="22" t="s">
        <v>19309</v>
      </c>
      <c r="J89" s="22" t="s">
        <v>19514</v>
      </c>
      <c r="K89" s="22" t="s">
        <v>19546</v>
      </c>
      <c r="L89" s="22"/>
      <c r="M89" s="22"/>
      <c r="N89" s="25" t="str">
        <f>HYPERLINK("http://slimages.macys.com/is/image/MCY/21642627 ")</f>
        <v xml:space="preserve">http://slimages.macys.com/is/image/MCY/21642627 </v>
      </c>
    </row>
    <row r="90" spans="1:14" x14ac:dyDescent="0.25">
      <c r="A90" s="21" t="s">
        <v>11442</v>
      </c>
      <c r="B90" s="22" t="s">
        <v>11443</v>
      </c>
      <c r="C90" s="2">
        <v>1</v>
      </c>
      <c r="D90" s="23">
        <v>23.22</v>
      </c>
      <c r="E90" s="3">
        <v>23.22</v>
      </c>
      <c r="F90" s="2" t="s">
        <v>11444</v>
      </c>
      <c r="G90" s="22" t="s">
        <v>19342</v>
      </c>
      <c r="H90" s="24" t="s">
        <v>19334</v>
      </c>
      <c r="I90" s="22" t="s">
        <v>19309</v>
      </c>
      <c r="J90" s="22" t="s">
        <v>19514</v>
      </c>
      <c r="K90" s="22" t="s">
        <v>19546</v>
      </c>
      <c r="L90" s="22"/>
      <c r="M90" s="22"/>
      <c r="N90" s="25" t="str">
        <f>HYPERLINK("http://slimages.macys.com/is/image/MCY/21642628 ")</f>
        <v xml:space="preserve">http://slimages.macys.com/is/image/MCY/21642628 </v>
      </c>
    </row>
    <row r="91" spans="1:14" ht="24.75" x14ac:dyDescent="0.25">
      <c r="A91" s="21" t="s">
        <v>11445</v>
      </c>
      <c r="B91" s="22" t="s">
        <v>11446</v>
      </c>
      <c r="C91" s="2">
        <v>1</v>
      </c>
      <c r="D91" s="23">
        <v>23.99</v>
      </c>
      <c r="E91" s="3">
        <v>23.99</v>
      </c>
      <c r="F91" s="2" t="s">
        <v>11447</v>
      </c>
      <c r="G91" s="22" t="s">
        <v>19315</v>
      </c>
      <c r="H91" s="24" t="s">
        <v>20135</v>
      </c>
      <c r="I91" s="22" t="s">
        <v>19309</v>
      </c>
      <c r="J91" s="22" t="s">
        <v>19573</v>
      </c>
      <c r="K91" s="22" t="s">
        <v>19574</v>
      </c>
      <c r="L91" s="22"/>
      <c r="M91" s="22"/>
      <c r="N91" s="25" t="str">
        <f>HYPERLINK("http://slimages.macys.com/is/image/MCY/21209549 ")</f>
        <v xml:space="preserve">http://slimages.macys.com/is/image/MCY/21209549 </v>
      </c>
    </row>
    <row r="92" spans="1:14" ht="24.75" x14ac:dyDescent="0.25">
      <c r="A92" s="21" t="s">
        <v>11448</v>
      </c>
      <c r="B92" s="22" t="s">
        <v>11449</v>
      </c>
      <c r="C92" s="2">
        <v>1</v>
      </c>
      <c r="D92" s="23">
        <v>29</v>
      </c>
      <c r="E92" s="3">
        <v>29</v>
      </c>
      <c r="F92" s="2" t="s">
        <v>11450</v>
      </c>
      <c r="G92" s="22" t="s">
        <v>18439</v>
      </c>
      <c r="H92" s="24" t="s">
        <v>19395</v>
      </c>
      <c r="I92" s="22" t="s">
        <v>14376</v>
      </c>
      <c r="J92" s="22" t="s">
        <v>19508</v>
      </c>
      <c r="K92" s="22" t="s">
        <v>12776</v>
      </c>
      <c r="L92" s="22" t="s">
        <v>17554</v>
      </c>
      <c r="M92" s="22" t="s">
        <v>14570</v>
      </c>
      <c r="N92" s="25" t="str">
        <f>HYPERLINK("http://images.bloomingdales.com/is/image/BLM/12126427 ")</f>
        <v xml:space="preserve">http://images.bloomingdales.com/is/image/BLM/12126427 </v>
      </c>
    </row>
    <row r="93" spans="1:14" ht="24.75" x14ac:dyDescent="0.25">
      <c r="A93" s="21" t="s">
        <v>11451</v>
      </c>
      <c r="B93" s="22" t="s">
        <v>11452</v>
      </c>
      <c r="C93" s="2">
        <v>1</v>
      </c>
      <c r="D93" s="23">
        <v>26.99</v>
      </c>
      <c r="E93" s="3">
        <v>26.99</v>
      </c>
      <c r="F93" s="2" t="s">
        <v>19663</v>
      </c>
      <c r="G93" s="22" t="s">
        <v>19333</v>
      </c>
      <c r="H93" s="24" t="s">
        <v>19324</v>
      </c>
      <c r="I93" s="22" t="s">
        <v>19309</v>
      </c>
      <c r="J93" s="22" t="s">
        <v>19385</v>
      </c>
      <c r="K93" s="22" t="s">
        <v>19487</v>
      </c>
      <c r="L93" s="22"/>
      <c r="M93" s="22"/>
      <c r="N93" s="25" t="str">
        <f>HYPERLINK("http://slimages.macys.com/is/image/MCY/21856819 ")</f>
        <v xml:space="preserve">http://slimages.macys.com/is/image/MCY/21856819 </v>
      </c>
    </row>
    <row r="94" spans="1:14" ht="24.75" x14ac:dyDescent="0.25">
      <c r="A94" s="21" t="s">
        <v>11453</v>
      </c>
      <c r="B94" s="22" t="s">
        <v>11454</v>
      </c>
      <c r="C94" s="2">
        <v>1</v>
      </c>
      <c r="D94" s="23">
        <v>27.99</v>
      </c>
      <c r="E94" s="3">
        <v>27.99</v>
      </c>
      <c r="F94" s="2" t="s">
        <v>11455</v>
      </c>
      <c r="G94" s="22" t="s">
        <v>19333</v>
      </c>
      <c r="H94" s="24" t="s">
        <v>19324</v>
      </c>
      <c r="I94" s="22" t="s">
        <v>19309</v>
      </c>
      <c r="J94" s="22" t="s">
        <v>19385</v>
      </c>
      <c r="K94" s="22" t="s">
        <v>19386</v>
      </c>
      <c r="L94" s="22"/>
      <c r="M94" s="22"/>
      <c r="N94" s="25" t="str">
        <f>HYPERLINK("http://slimages.macys.com/is/image/MCY/20756370 ")</f>
        <v xml:space="preserve">http://slimages.macys.com/is/image/MCY/20756370 </v>
      </c>
    </row>
    <row r="95" spans="1:14" ht="24.75" x14ac:dyDescent="0.25">
      <c r="A95" s="21" t="s">
        <v>11456</v>
      </c>
      <c r="B95" s="22" t="s">
        <v>11457</v>
      </c>
      <c r="C95" s="2">
        <v>1</v>
      </c>
      <c r="D95" s="23">
        <v>27.99</v>
      </c>
      <c r="E95" s="3">
        <v>27.99</v>
      </c>
      <c r="F95" s="2" t="s">
        <v>11455</v>
      </c>
      <c r="G95" s="22" t="s">
        <v>19333</v>
      </c>
      <c r="H95" s="24" t="s">
        <v>19416</v>
      </c>
      <c r="I95" s="22" t="s">
        <v>19309</v>
      </c>
      <c r="J95" s="22" t="s">
        <v>19385</v>
      </c>
      <c r="K95" s="22" t="s">
        <v>19386</v>
      </c>
      <c r="L95" s="22"/>
      <c r="M95" s="22"/>
      <c r="N95" s="25" t="str">
        <f>HYPERLINK("http://slimages.macys.com/is/image/MCY/20756370 ")</f>
        <v xml:space="preserve">http://slimages.macys.com/is/image/MCY/20756370 </v>
      </c>
    </row>
    <row r="96" spans="1:14" x14ac:dyDescent="0.25">
      <c r="A96" s="21" t="s">
        <v>11458</v>
      </c>
      <c r="B96" s="22" t="s">
        <v>11459</v>
      </c>
      <c r="C96" s="2">
        <v>1</v>
      </c>
      <c r="D96" s="23">
        <v>16.989999999999998</v>
      </c>
      <c r="E96" s="3">
        <v>16.989999999999998</v>
      </c>
      <c r="F96" s="2" t="s">
        <v>17768</v>
      </c>
      <c r="G96" s="22" t="s">
        <v>19467</v>
      </c>
      <c r="H96" s="24" t="s">
        <v>19542</v>
      </c>
      <c r="I96" s="22" t="s">
        <v>19309</v>
      </c>
      <c r="J96" s="22" t="s">
        <v>19310</v>
      </c>
      <c r="K96" s="22" t="s">
        <v>19468</v>
      </c>
      <c r="L96" s="22"/>
      <c r="M96" s="22"/>
      <c r="N96" s="25" t="str">
        <f>HYPERLINK("http://slimages.macys.com/is/image/MCY/20663243 ")</f>
        <v xml:space="preserve">http://slimages.macys.com/is/image/MCY/20663243 </v>
      </c>
    </row>
    <row r="97" spans="1:14" x14ac:dyDescent="0.25">
      <c r="A97" s="21" t="s">
        <v>11460</v>
      </c>
      <c r="B97" s="22" t="s">
        <v>11461</v>
      </c>
      <c r="C97" s="2">
        <v>1</v>
      </c>
      <c r="D97" s="23">
        <v>16.989999999999998</v>
      </c>
      <c r="E97" s="3">
        <v>16.989999999999998</v>
      </c>
      <c r="F97" s="2" t="s">
        <v>17768</v>
      </c>
      <c r="G97" s="22" t="s">
        <v>19467</v>
      </c>
      <c r="H97" s="24" t="s">
        <v>19345</v>
      </c>
      <c r="I97" s="22" t="s">
        <v>19309</v>
      </c>
      <c r="J97" s="22" t="s">
        <v>19310</v>
      </c>
      <c r="K97" s="22" t="s">
        <v>19468</v>
      </c>
      <c r="L97" s="22"/>
      <c r="M97" s="22"/>
      <c r="N97" s="25" t="str">
        <f>HYPERLINK("http://slimages.macys.com/is/image/MCY/20663245 ")</f>
        <v xml:space="preserve">http://slimages.macys.com/is/image/MCY/20663245 </v>
      </c>
    </row>
    <row r="98" spans="1:14" x14ac:dyDescent="0.25">
      <c r="A98" s="21" t="s">
        <v>11462</v>
      </c>
      <c r="B98" s="22" t="s">
        <v>11463</v>
      </c>
      <c r="C98" s="2">
        <v>1</v>
      </c>
      <c r="D98" s="23">
        <v>16.989999999999998</v>
      </c>
      <c r="E98" s="3">
        <v>16.989999999999998</v>
      </c>
      <c r="F98" s="2" t="s">
        <v>17768</v>
      </c>
      <c r="G98" s="22" t="s">
        <v>19467</v>
      </c>
      <c r="H98" s="24" t="s">
        <v>19334</v>
      </c>
      <c r="I98" s="22" t="s">
        <v>19309</v>
      </c>
      <c r="J98" s="22" t="s">
        <v>19310</v>
      </c>
      <c r="K98" s="22" t="s">
        <v>19468</v>
      </c>
      <c r="L98" s="22"/>
      <c r="M98" s="22"/>
      <c r="N98" s="25" t="str">
        <f>HYPERLINK("http://slimages.macys.com/is/image/MCY/20663245 ")</f>
        <v xml:space="preserve">http://slimages.macys.com/is/image/MCY/20663245 </v>
      </c>
    </row>
    <row r="99" spans="1:14" ht="24.75" x14ac:dyDescent="0.25">
      <c r="A99" s="21" t="s">
        <v>11464</v>
      </c>
      <c r="B99" s="22" t="s">
        <v>11465</v>
      </c>
      <c r="C99" s="2">
        <v>1</v>
      </c>
      <c r="D99" s="23">
        <v>34.5</v>
      </c>
      <c r="E99" s="3">
        <v>34.5</v>
      </c>
      <c r="F99" s="2" t="s">
        <v>11466</v>
      </c>
      <c r="G99" s="22" t="s">
        <v>19315</v>
      </c>
      <c r="H99" s="24" t="s">
        <v>19345</v>
      </c>
      <c r="I99" s="22" t="s">
        <v>19309</v>
      </c>
      <c r="J99" s="22" t="s">
        <v>19688</v>
      </c>
      <c r="K99" s="22" t="s">
        <v>19614</v>
      </c>
      <c r="L99" s="22"/>
      <c r="M99" s="22"/>
      <c r="N99" s="25" t="str">
        <f>HYPERLINK("http://slimages.macys.com/is/image/MCY/21035762 ")</f>
        <v xml:space="preserve">http://slimages.macys.com/is/image/MCY/21035762 </v>
      </c>
    </row>
    <row r="100" spans="1:14" ht="24.75" x14ac:dyDescent="0.25">
      <c r="A100" s="21" t="s">
        <v>11467</v>
      </c>
      <c r="B100" s="22" t="s">
        <v>11468</v>
      </c>
      <c r="C100" s="2">
        <v>1</v>
      </c>
      <c r="D100" s="23">
        <v>38.5</v>
      </c>
      <c r="E100" s="3">
        <v>38.5</v>
      </c>
      <c r="F100" s="2" t="s">
        <v>11469</v>
      </c>
      <c r="G100" s="22" t="s">
        <v>19618</v>
      </c>
      <c r="H100" s="24" t="s">
        <v>19316</v>
      </c>
      <c r="I100" s="22" t="s">
        <v>19309</v>
      </c>
      <c r="J100" s="22" t="s">
        <v>20104</v>
      </c>
      <c r="K100" s="22" t="s">
        <v>20105</v>
      </c>
      <c r="L100" s="22"/>
      <c r="M100" s="22"/>
      <c r="N100" s="25" t="str">
        <f>HYPERLINK("http://slimages.macys.com/is/image/MCY/21605296 ")</f>
        <v xml:space="preserve">http://slimages.macys.com/is/image/MCY/21605296 </v>
      </c>
    </row>
    <row r="101" spans="1:14" ht="24.75" x14ac:dyDescent="0.25">
      <c r="A101" s="21" t="s">
        <v>11470</v>
      </c>
      <c r="B101" s="22" t="s">
        <v>11471</v>
      </c>
      <c r="C101" s="2">
        <v>1</v>
      </c>
      <c r="D101" s="23">
        <v>25</v>
      </c>
      <c r="E101" s="3">
        <v>25</v>
      </c>
      <c r="F101" s="2">
        <v>100</v>
      </c>
      <c r="G101" s="22" t="s">
        <v>19338</v>
      </c>
      <c r="H101" s="24" t="s">
        <v>18168</v>
      </c>
      <c r="I101" s="22" t="s">
        <v>14376</v>
      </c>
      <c r="J101" s="22" t="s">
        <v>15506</v>
      </c>
      <c r="K101" s="22" t="s">
        <v>11472</v>
      </c>
      <c r="L101" s="22" t="s">
        <v>17554</v>
      </c>
      <c r="M101" s="22" t="s">
        <v>11473</v>
      </c>
      <c r="N101" s="25" t="str">
        <f>HYPERLINK("http://images.bloomingdales.com/is/image/BLM/11141703 ")</f>
        <v xml:space="preserve">http://images.bloomingdales.com/is/image/BLM/11141703 </v>
      </c>
    </row>
    <row r="102" spans="1:14" ht="24.75" x14ac:dyDescent="0.25">
      <c r="A102" s="21" t="s">
        <v>11474</v>
      </c>
      <c r="B102" s="22" t="s">
        <v>11475</v>
      </c>
      <c r="C102" s="2">
        <v>1</v>
      </c>
      <c r="D102" s="23">
        <v>37.5</v>
      </c>
      <c r="E102" s="3">
        <v>37.5</v>
      </c>
      <c r="F102" s="2" t="s">
        <v>11476</v>
      </c>
      <c r="G102" s="22" t="s">
        <v>19618</v>
      </c>
      <c r="H102" s="24" t="s">
        <v>19361</v>
      </c>
      <c r="I102" s="22" t="s">
        <v>19309</v>
      </c>
      <c r="J102" s="22" t="s">
        <v>20104</v>
      </c>
      <c r="K102" s="22" t="s">
        <v>20105</v>
      </c>
      <c r="L102" s="22"/>
      <c r="M102" s="22"/>
      <c r="N102" s="25" t="str">
        <f>HYPERLINK("http://slimages.macys.com/is/image/MCY/20694025 ")</f>
        <v xml:space="preserve">http://slimages.macys.com/is/image/MCY/20694025 </v>
      </c>
    </row>
    <row r="103" spans="1:14" ht="24.75" x14ac:dyDescent="0.25">
      <c r="A103" s="21" t="s">
        <v>11477</v>
      </c>
      <c r="B103" s="22" t="s">
        <v>11478</v>
      </c>
      <c r="C103" s="2">
        <v>1</v>
      </c>
      <c r="D103" s="23">
        <v>22.39</v>
      </c>
      <c r="E103" s="3">
        <v>22.39</v>
      </c>
      <c r="F103" s="2" t="s">
        <v>11479</v>
      </c>
      <c r="G103" s="22"/>
      <c r="H103" s="24" t="s">
        <v>19432</v>
      </c>
      <c r="I103" s="22" t="s">
        <v>19309</v>
      </c>
      <c r="J103" s="22" t="s">
        <v>19602</v>
      </c>
      <c r="K103" s="22" t="s">
        <v>20041</v>
      </c>
      <c r="L103" s="22"/>
      <c r="M103" s="22"/>
      <c r="N103" s="25" t="str">
        <f>HYPERLINK("http://slimages.macys.com/is/image/MCY/22405611 ")</f>
        <v xml:space="preserve">http://slimages.macys.com/is/image/MCY/22405611 </v>
      </c>
    </row>
    <row r="104" spans="1:14" ht="24.75" x14ac:dyDescent="0.25">
      <c r="A104" s="21" t="s">
        <v>11480</v>
      </c>
      <c r="B104" s="22" t="s">
        <v>11481</v>
      </c>
      <c r="C104" s="2">
        <v>1</v>
      </c>
      <c r="D104" s="23">
        <v>23.99</v>
      </c>
      <c r="E104" s="3">
        <v>23.99</v>
      </c>
      <c r="F104" s="2" t="s">
        <v>11482</v>
      </c>
      <c r="G104" s="22"/>
      <c r="H104" s="24" t="s">
        <v>19377</v>
      </c>
      <c r="I104" s="22" t="s">
        <v>19309</v>
      </c>
      <c r="J104" s="22" t="s">
        <v>19908</v>
      </c>
      <c r="K104" s="22" t="s">
        <v>19524</v>
      </c>
      <c r="L104" s="22"/>
      <c r="M104" s="22"/>
      <c r="N104" s="25" t="str">
        <f>HYPERLINK("http://slimages.macys.com/is/image/MCY/21070344 ")</f>
        <v xml:space="preserve">http://slimages.macys.com/is/image/MCY/21070344 </v>
      </c>
    </row>
    <row r="105" spans="1:14" ht="24.75" x14ac:dyDescent="0.25">
      <c r="A105" s="21" t="s">
        <v>17819</v>
      </c>
      <c r="B105" s="22" t="s">
        <v>17820</v>
      </c>
      <c r="C105" s="2">
        <v>1</v>
      </c>
      <c r="D105" s="23">
        <v>24.99</v>
      </c>
      <c r="E105" s="3">
        <v>24.99</v>
      </c>
      <c r="F105" s="2" t="s">
        <v>17821</v>
      </c>
      <c r="G105" s="22" t="s">
        <v>19713</v>
      </c>
      <c r="H105" s="24" t="s">
        <v>19384</v>
      </c>
      <c r="I105" s="22" t="s">
        <v>19309</v>
      </c>
      <c r="J105" s="22" t="s">
        <v>19573</v>
      </c>
      <c r="K105" s="22" t="s">
        <v>19574</v>
      </c>
      <c r="L105" s="22"/>
      <c r="M105" s="22"/>
      <c r="N105" s="25" t="str">
        <f>HYPERLINK("http://slimages.macys.com/is/image/MCY/1679020 ")</f>
        <v xml:space="preserve">http://slimages.macys.com/is/image/MCY/1679020 </v>
      </c>
    </row>
    <row r="106" spans="1:14" ht="24.75" x14ac:dyDescent="0.25">
      <c r="A106" s="21" t="s">
        <v>19723</v>
      </c>
      <c r="B106" s="22" t="s">
        <v>19724</v>
      </c>
      <c r="C106" s="2">
        <v>1</v>
      </c>
      <c r="D106" s="23">
        <v>10.99</v>
      </c>
      <c r="E106" s="3">
        <v>10.99</v>
      </c>
      <c r="F106" s="2" t="s">
        <v>19725</v>
      </c>
      <c r="G106" s="22" t="s">
        <v>19477</v>
      </c>
      <c r="H106" s="24" t="s">
        <v>19364</v>
      </c>
      <c r="I106" s="22" t="s">
        <v>19309</v>
      </c>
      <c r="J106" s="22" t="s">
        <v>19353</v>
      </c>
      <c r="K106" s="22" t="s">
        <v>19354</v>
      </c>
      <c r="L106" s="22"/>
      <c r="M106" s="22"/>
      <c r="N106" s="25" t="str">
        <f>HYPERLINK("http://slimages.macys.com/is/image/MCY/22400839 ")</f>
        <v xml:space="preserve">http://slimages.macys.com/is/image/MCY/22400839 </v>
      </c>
    </row>
    <row r="107" spans="1:14" ht="24.75" x14ac:dyDescent="0.25">
      <c r="A107" s="21" t="s">
        <v>11483</v>
      </c>
      <c r="B107" s="22" t="s">
        <v>11484</v>
      </c>
      <c r="C107" s="2">
        <v>1</v>
      </c>
      <c r="D107" s="23">
        <v>18</v>
      </c>
      <c r="E107" s="3">
        <v>18</v>
      </c>
      <c r="F107" s="2" t="s">
        <v>11485</v>
      </c>
      <c r="G107" s="22" t="s">
        <v>19315</v>
      </c>
      <c r="H107" s="24"/>
      <c r="I107" s="22" t="s">
        <v>19309</v>
      </c>
      <c r="J107" s="22" t="s">
        <v>19317</v>
      </c>
      <c r="K107" s="22" t="s">
        <v>15106</v>
      </c>
      <c r="L107" s="22" t="s">
        <v>19319</v>
      </c>
      <c r="M107" s="22" t="s">
        <v>19764</v>
      </c>
      <c r="N107" s="25" t="str">
        <f>HYPERLINK("http://slimages.macys.com/is/image/MCY/12954513 ")</f>
        <v xml:space="preserve">http://slimages.macys.com/is/image/MCY/12954513 </v>
      </c>
    </row>
    <row r="108" spans="1:14" ht="24.75" x14ac:dyDescent="0.25">
      <c r="A108" s="21" t="s">
        <v>11486</v>
      </c>
      <c r="B108" s="22" t="s">
        <v>11487</v>
      </c>
      <c r="C108" s="2">
        <v>1</v>
      </c>
      <c r="D108" s="23">
        <v>20.99</v>
      </c>
      <c r="E108" s="3">
        <v>20.99</v>
      </c>
      <c r="F108" s="2" t="s">
        <v>11488</v>
      </c>
      <c r="G108" s="22" t="s">
        <v>19879</v>
      </c>
      <c r="H108" s="24" t="s">
        <v>12224</v>
      </c>
      <c r="I108" s="22" t="s">
        <v>19309</v>
      </c>
      <c r="J108" s="22" t="s">
        <v>19417</v>
      </c>
      <c r="K108" s="22" t="s">
        <v>19969</v>
      </c>
      <c r="L108" s="22" t="s">
        <v>19319</v>
      </c>
      <c r="M108" s="22" t="s">
        <v>17531</v>
      </c>
      <c r="N108" s="25" t="str">
        <f>HYPERLINK("http://slimages.macys.com/is/image/MCY/11879209 ")</f>
        <v xml:space="preserve">http://slimages.macys.com/is/image/MCY/11879209 </v>
      </c>
    </row>
    <row r="109" spans="1:14" ht="24.75" x14ac:dyDescent="0.25">
      <c r="A109" s="21" t="s">
        <v>11489</v>
      </c>
      <c r="B109" s="22" t="s">
        <v>11490</v>
      </c>
      <c r="C109" s="2">
        <v>1</v>
      </c>
      <c r="D109" s="23">
        <v>13.99</v>
      </c>
      <c r="E109" s="3">
        <v>13.99</v>
      </c>
      <c r="F109" s="2">
        <v>71600</v>
      </c>
      <c r="G109" s="22" t="s">
        <v>19879</v>
      </c>
      <c r="H109" s="24" t="s">
        <v>20109</v>
      </c>
      <c r="I109" s="22" t="s">
        <v>19309</v>
      </c>
      <c r="J109" s="22" t="s">
        <v>19417</v>
      </c>
      <c r="K109" s="22" t="s">
        <v>19969</v>
      </c>
      <c r="L109" s="22" t="s">
        <v>19319</v>
      </c>
      <c r="M109" s="22" t="s">
        <v>17531</v>
      </c>
      <c r="N109" s="25" t="str">
        <f>HYPERLINK("http://slimages.macys.com/is/image/MCY/11880341 ")</f>
        <v xml:space="preserve">http://slimages.macys.com/is/image/MCY/11880341 </v>
      </c>
    </row>
    <row r="110" spans="1:14" x14ac:dyDescent="0.25">
      <c r="A110" s="21" t="s">
        <v>11491</v>
      </c>
      <c r="B110" s="22" t="s">
        <v>11492</v>
      </c>
      <c r="C110" s="2">
        <v>1</v>
      </c>
      <c r="D110" s="23">
        <v>16.989999999999998</v>
      </c>
      <c r="E110" s="3">
        <v>16.989999999999998</v>
      </c>
      <c r="F110" s="2" t="s">
        <v>11493</v>
      </c>
      <c r="G110" s="22" t="s">
        <v>19315</v>
      </c>
      <c r="H110" s="24" t="s">
        <v>19352</v>
      </c>
      <c r="I110" s="22" t="s">
        <v>19309</v>
      </c>
      <c r="J110" s="22" t="s">
        <v>19310</v>
      </c>
      <c r="K110" s="22" t="s">
        <v>19873</v>
      </c>
      <c r="L110" s="22"/>
      <c r="M110" s="22"/>
      <c r="N110" s="25" t="str">
        <f>HYPERLINK("http://slimages.macys.com/is/image/MCY/19705815 ")</f>
        <v xml:space="preserve">http://slimages.macys.com/is/image/MCY/19705815 </v>
      </c>
    </row>
    <row r="111" spans="1:14" ht="24.75" x14ac:dyDescent="0.25">
      <c r="A111" s="21" t="s">
        <v>11494</v>
      </c>
      <c r="B111" s="22" t="s">
        <v>11495</v>
      </c>
      <c r="C111" s="2">
        <v>1</v>
      </c>
      <c r="D111" s="23">
        <v>16.989999999999998</v>
      </c>
      <c r="E111" s="3">
        <v>16.989999999999998</v>
      </c>
      <c r="F111" s="2" t="s">
        <v>15809</v>
      </c>
      <c r="G111" s="22" t="s">
        <v>19794</v>
      </c>
      <c r="H111" s="24" t="s">
        <v>19308</v>
      </c>
      <c r="I111" s="22" t="s">
        <v>19309</v>
      </c>
      <c r="J111" s="22" t="s">
        <v>19310</v>
      </c>
      <c r="K111" s="22" t="s">
        <v>19873</v>
      </c>
      <c r="L111" s="22"/>
      <c r="M111" s="22"/>
      <c r="N111" s="25" t="str">
        <f>HYPERLINK("http://slimages.macys.com/is/image/MCY/19513585 ")</f>
        <v xml:space="preserve">http://slimages.macys.com/is/image/MCY/19513585 </v>
      </c>
    </row>
    <row r="112" spans="1:14" ht="24.75" x14ac:dyDescent="0.25">
      <c r="A112" s="21" t="s">
        <v>15248</v>
      </c>
      <c r="B112" s="22" t="s">
        <v>15249</v>
      </c>
      <c r="C112" s="2">
        <v>1</v>
      </c>
      <c r="D112" s="23">
        <v>20.99</v>
      </c>
      <c r="E112" s="3">
        <v>20.99</v>
      </c>
      <c r="F112" s="2" t="s">
        <v>15250</v>
      </c>
      <c r="G112" s="22" t="s">
        <v>19674</v>
      </c>
      <c r="H112" s="24" t="s">
        <v>20159</v>
      </c>
      <c r="I112" s="22" t="s">
        <v>19309</v>
      </c>
      <c r="J112" s="22" t="s">
        <v>19385</v>
      </c>
      <c r="K112" s="22" t="s">
        <v>19463</v>
      </c>
      <c r="L112" s="22"/>
      <c r="M112" s="22"/>
      <c r="N112" s="25" t="str">
        <f>HYPERLINK("http://slimages.macys.com/is/image/MCY/21423727 ")</f>
        <v xml:space="preserve">http://slimages.macys.com/is/image/MCY/21423727 </v>
      </c>
    </row>
    <row r="113" spans="1:14" ht="24.75" x14ac:dyDescent="0.25">
      <c r="A113" s="21" t="s">
        <v>19748</v>
      </c>
      <c r="B113" s="22" t="s">
        <v>19749</v>
      </c>
      <c r="C113" s="2">
        <v>2</v>
      </c>
      <c r="D113" s="23">
        <v>21.29</v>
      </c>
      <c r="E113" s="3">
        <v>42.58</v>
      </c>
      <c r="F113" s="2" t="s">
        <v>19750</v>
      </c>
      <c r="G113" s="22"/>
      <c r="H113" s="24" t="s">
        <v>19345</v>
      </c>
      <c r="I113" s="22" t="s">
        <v>19309</v>
      </c>
      <c r="J113" s="22" t="s">
        <v>19602</v>
      </c>
      <c r="K113" s="22" t="s">
        <v>19603</v>
      </c>
      <c r="L113" s="22"/>
      <c r="M113" s="22"/>
      <c r="N113" s="25" t="str">
        <f>HYPERLINK("http://slimages.macys.com/is/image/MCY/22405986 ")</f>
        <v xml:space="preserve">http://slimages.macys.com/is/image/MCY/22405986 </v>
      </c>
    </row>
    <row r="114" spans="1:14" x14ac:dyDescent="0.25">
      <c r="A114" s="21" t="s">
        <v>11496</v>
      </c>
      <c r="B114" s="22" t="s">
        <v>11497</v>
      </c>
      <c r="C114" s="2">
        <v>1</v>
      </c>
      <c r="D114" s="23">
        <v>25.89</v>
      </c>
      <c r="E114" s="3">
        <v>25.89</v>
      </c>
      <c r="F114" s="2" t="s">
        <v>11498</v>
      </c>
      <c r="G114" s="22"/>
      <c r="H114" s="24" t="s">
        <v>19416</v>
      </c>
      <c r="I114" s="22" t="s">
        <v>19309</v>
      </c>
      <c r="J114" s="22" t="s">
        <v>19708</v>
      </c>
      <c r="K114" s="22" t="s">
        <v>19754</v>
      </c>
      <c r="L114" s="22"/>
      <c r="M114" s="22"/>
      <c r="N114" s="25" t="str">
        <f>HYPERLINK("http://slimages.macys.com/is/image/MCY/22595736 ")</f>
        <v xml:space="preserve">http://slimages.macys.com/is/image/MCY/22595736 </v>
      </c>
    </row>
    <row r="115" spans="1:14" x14ac:dyDescent="0.25">
      <c r="A115" s="21" t="s">
        <v>17839</v>
      </c>
      <c r="B115" s="22" t="s">
        <v>17840</v>
      </c>
      <c r="C115" s="2">
        <v>1</v>
      </c>
      <c r="D115" s="23">
        <v>26.05</v>
      </c>
      <c r="E115" s="3">
        <v>26.05</v>
      </c>
      <c r="F115" s="2" t="s">
        <v>19753</v>
      </c>
      <c r="G115" s="22"/>
      <c r="H115" s="24" t="s">
        <v>19330</v>
      </c>
      <c r="I115" s="22" t="s">
        <v>19309</v>
      </c>
      <c r="J115" s="22" t="s">
        <v>19708</v>
      </c>
      <c r="K115" s="22" t="s">
        <v>19754</v>
      </c>
      <c r="L115" s="22"/>
      <c r="M115" s="22"/>
      <c r="N115" s="25" t="str">
        <f>HYPERLINK("http://slimages.macys.com/is/image/MCY/21758335 ")</f>
        <v xml:space="preserve">http://slimages.macys.com/is/image/MCY/21758335 </v>
      </c>
    </row>
    <row r="116" spans="1:14" x14ac:dyDescent="0.25">
      <c r="A116" s="21" t="s">
        <v>15821</v>
      </c>
      <c r="B116" s="22" t="s">
        <v>15822</v>
      </c>
      <c r="C116" s="2">
        <v>1</v>
      </c>
      <c r="D116" s="23">
        <v>26.05</v>
      </c>
      <c r="E116" s="3">
        <v>26.05</v>
      </c>
      <c r="F116" s="2" t="s">
        <v>19753</v>
      </c>
      <c r="G116" s="22"/>
      <c r="H116" s="24" t="s">
        <v>19416</v>
      </c>
      <c r="I116" s="22" t="s">
        <v>19309</v>
      </c>
      <c r="J116" s="22" t="s">
        <v>19708</v>
      </c>
      <c r="K116" s="22" t="s">
        <v>19754</v>
      </c>
      <c r="L116" s="22"/>
      <c r="M116" s="22"/>
      <c r="N116" s="25" t="str">
        <f>HYPERLINK("http://slimages.macys.com/is/image/MCY/21758335 ")</f>
        <v xml:space="preserve">http://slimages.macys.com/is/image/MCY/21758335 </v>
      </c>
    </row>
    <row r="117" spans="1:14" ht="24.75" x14ac:dyDescent="0.25">
      <c r="A117" s="21" t="s">
        <v>11499</v>
      </c>
      <c r="B117" s="22" t="s">
        <v>11500</v>
      </c>
      <c r="C117" s="2">
        <v>1</v>
      </c>
      <c r="D117" s="23">
        <v>21.43</v>
      </c>
      <c r="E117" s="3">
        <v>21.43</v>
      </c>
      <c r="F117" s="2" t="s">
        <v>11501</v>
      </c>
      <c r="G117" s="22"/>
      <c r="H117" s="24"/>
      <c r="I117" s="22" t="s">
        <v>19309</v>
      </c>
      <c r="J117" s="22" t="s">
        <v>19602</v>
      </c>
      <c r="K117" s="22" t="s">
        <v>19603</v>
      </c>
      <c r="L117" s="22"/>
      <c r="M117" s="22"/>
      <c r="N117" s="25" t="str">
        <f>HYPERLINK("http://slimages.macys.com/is/image/MCY/21421363 ")</f>
        <v xml:space="preserve">http://slimages.macys.com/is/image/MCY/21421363 </v>
      </c>
    </row>
    <row r="118" spans="1:14" ht="24.75" x14ac:dyDescent="0.25">
      <c r="A118" s="21" t="s">
        <v>11502</v>
      </c>
      <c r="B118" s="22" t="s">
        <v>11503</v>
      </c>
      <c r="C118" s="2">
        <v>1</v>
      </c>
      <c r="D118" s="23">
        <v>21.43</v>
      </c>
      <c r="E118" s="3">
        <v>21.43</v>
      </c>
      <c r="F118" s="2" t="s">
        <v>17843</v>
      </c>
      <c r="G118" s="22"/>
      <c r="H118" s="24"/>
      <c r="I118" s="22" t="s">
        <v>19309</v>
      </c>
      <c r="J118" s="22" t="s">
        <v>19602</v>
      </c>
      <c r="K118" s="22" t="s">
        <v>19603</v>
      </c>
      <c r="L118" s="22"/>
      <c r="M118" s="22"/>
      <c r="N118" s="25" t="str">
        <f>HYPERLINK("http://slimages.macys.com/is/image/MCY/21421334 ")</f>
        <v xml:space="preserve">http://slimages.macys.com/is/image/MCY/21421334 </v>
      </c>
    </row>
    <row r="119" spans="1:14" ht="24.75" x14ac:dyDescent="0.25">
      <c r="A119" s="21" t="s">
        <v>11504</v>
      </c>
      <c r="B119" s="22" t="s">
        <v>11505</v>
      </c>
      <c r="C119" s="2">
        <v>1</v>
      </c>
      <c r="D119" s="23">
        <v>21.43</v>
      </c>
      <c r="E119" s="3">
        <v>21.43</v>
      </c>
      <c r="F119" s="2" t="s">
        <v>11501</v>
      </c>
      <c r="G119" s="22"/>
      <c r="H119" s="24" t="s">
        <v>19345</v>
      </c>
      <c r="I119" s="22" t="s">
        <v>19309</v>
      </c>
      <c r="J119" s="22" t="s">
        <v>19602</v>
      </c>
      <c r="K119" s="22" t="s">
        <v>19603</v>
      </c>
      <c r="L119" s="22"/>
      <c r="M119" s="22"/>
      <c r="N119" s="25" t="str">
        <f>HYPERLINK("http://slimages.macys.com/is/image/MCY/21421363 ")</f>
        <v xml:space="preserve">http://slimages.macys.com/is/image/MCY/21421363 </v>
      </c>
    </row>
    <row r="120" spans="1:14" ht="24.75" x14ac:dyDescent="0.25">
      <c r="A120" s="21" t="s">
        <v>15259</v>
      </c>
      <c r="B120" s="22" t="s">
        <v>15260</v>
      </c>
      <c r="C120" s="2">
        <v>2</v>
      </c>
      <c r="D120" s="23">
        <v>19.989999999999998</v>
      </c>
      <c r="E120" s="3">
        <v>39.979999999999997</v>
      </c>
      <c r="F120" s="2" t="s">
        <v>19776</v>
      </c>
      <c r="G120" s="22" t="s">
        <v>19315</v>
      </c>
      <c r="H120" s="24" t="s">
        <v>19384</v>
      </c>
      <c r="I120" s="22" t="s">
        <v>19309</v>
      </c>
      <c r="J120" s="22" t="s">
        <v>19573</v>
      </c>
      <c r="K120" s="22" t="s">
        <v>19574</v>
      </c>
      <c r="L120" s="22"/>
      <c r="M120" s="22"/>
      <c r="N120" s="25" t="str">
        <f>HYPERLINK("http://slimages.macys.com/is/image/MCY/1646345 ")</f>
        <v xml:space="preserve">http://slimages.macys.com/is/image/MCY/1646345 </v>
      </c>
    </row>
    <row r="121" spans="1:14" ht="24.75" x14ac:dyDescent="0.25">
      <c r="A121" s="21" t="s">
        <v>19785</v>
      </c>
      <c r="B121" s="22" t="s">
        <v>19786</v>
      </c>
      <c r="C121" s="2">
        <v>1</v>
      </c>
      <c r="D121" s="23">
        <v>19.989999999999998</v>
      </c>
      <c r="E121" s="3">
        <v>19.989999999999998</v>
      </c>
      <c r="F121" s="2" t="s">
        <v>19767</v>
      </c>
      <c r="G121" s="22" t="s">
        <v>19467</v>
      </c>
      <c r="H121" s="24" t="s">
        <v>19324</v>
      </c>
      <c r="I121" s="22" t="s">
        <v>19309</v>
      </c>
      <c r="J121" s="22" t="s">
        <v>19573</v>
      </c>
      <c r="K121" s="22" t="s">
        <v>19574</v>
      </c>
      <c r="L121" s="22"/>
      <c r="M121" s="22"/>
      <c r="N121" s="25" t="str">
        <f>HYPERLINK("http://slimages.macys.com/is/image/MCY/1646350 ")</f>
        <v xml:space="preserve">http://slimages.macys.com/is/image/MCY/1646350 </v>
      </c>
    </row>
    <row r="122" spans="1:14" ht="24.75" x14ac:dyDescent="0.25">
      <c r="A122" s="21" t="s">
        <v>19771</v>
      </c>
      <c r="B122" s="22" t="s">
        <v>19772</v>
      </c>
      <c r="C122" s="2">
        <v>1</v>
      </c>
      <c r="D122" s="23">
        <v>19.989999999999998</v>
      </c>
      <c r="E122" s="3">
        <v>19.989999999999998</v>
      </c>
      <c r="F122" s="2" t="s">
        <v>19773</v>
      </c>
      <c r="G122" s="22" t="s">
        <v>19518</v>
      </c>
      <c r="H122" s="24"/>
      <c r="I122" s="22" t="s">
        <v>19309</v>
      </c>
      <c r="J122" s="22" t="s">
        <v>19573</v>
      </c>
      <c r="K122" s="22" t="s">
        <v>19574</v>
      </c>
      <c r="L122" s="22"/>
      <c r="M122" s="22"/>
      <c r="N122" s="25" t="str">
        <f>HYPERLINK("http://slimages.macys.com/is/image/MCY/1646350 ")</f>
        <v xml:space="preserve">http://slimages.macys.com/is/image/MCY/1646350 </v>
      </c>
    </row>
    <row r="123" spans="1:14" ht="24.75" x14ac:dyDescent="0.25">
      <c r="A123" s="21" t="s">
        <v>19768</v>
      </c>
      <c r="B123" s="22" t="s">
        <v>19769</v>
      </c>
      <c r="C123" s="2">
        <v>1</v>
      </c>
      <c r="D123" s="23">
        <v>19.989999999999998</v>
      </c>
      <c r="E123" s="3">
        <v>19.989999999999998</v>
      </c>
      <c r="F123" s="2" t="s">
        <v>19767</v>
      </c>
      <c r="G123" s="22" t="s">
        <v>19467</v>
      </c>
      <c r="H123" s="24" t="s">
        <v>19770</v>
      </c>
      <c r="I123" s="22" t="s">
        <v>19309</v>
      </c>
      <c r="J123" s="22" t="s">
        <v>19573</v>
      </c>
      <c r="K123" s="22" t="s">
        <v>19574</v>
      </c>
      <c r="L123" s="22"/>
      <c r="M123" s="22"/>
      <c r="N123" s="25" t="str">
        <f>HYPERLINK("http://slimages.macys.com/is/image/MCY/1646350 ")</f>
        <v xml:space="preserve">http://slimages.macys.com/is/image/MCY/1646350 </v>
      </c>
    </row>
    <row r="124" spans="1:14" ht="24.75" x14ac:dyDescent="0.25">
      <c r="A124" s="21" t="s">
        <v>19779</v>
      </c>
      <c r="B124" s="22" t="s">
        <v>19780</v>
      </c>
      <c r="C124" s="2">
        <v>1</v>
      </c>
      <c r="D124" s="23">
        <v>19.989999999999998</v>
      </c>
      <c r="E124" s="3">
        <v>19.989999999999998</v>
      </c>
      <c r="F124" s="2" t="s">
        <v>19773</v>
      </c>
      <c r="G124" s="22" t="s">
        <v>19518</v>
      </c>
      <c r="H124" s="24" t="s">
        <v>19384</v>
      </c>
      <c r="I124" s="22" t="s">
        <v>19309</v>
      </c>
      <c r="J124" s="22" t="s">
        <v>19573</v>
      </c>
      <c r="K124" s="22" t="s">
        <v>19574</v>
      </c>
      <c r="L124" s="22"/>
      <c r="M124" s="22"/>
      <c r="N124" s="25" t="str">
        <f>HYPERLINK("http://slimages.macys.com/is/image/MCY/1646350 ")</f>
        <v xml:space="preserve">http://slimages.macys.com/is/image/MCY/1646350 </v>
      </c>
    </row>
    <row r="125" spans="1:14" ht="24.75" x14ac:dyDescent="0.25">
      <c r="A125" s="21" t="s">
        <v>19774</v>
      </c>
      <c r="B125" s="22" t="s">
        <v>19775</v>
      </c>
      <c r="C125" s="2">
        <v>2</v>
      </c>
      <c r="D125" s="23">
        <v>19.989999999999998</v>
      </c>
      <c r="E125" s="3">
        <v>39.979999999999997</v>
      </c>
      <c r="F125" s="2" t="s">
        <v>19776</v>
      </c>
      <c r="G125" s="22" t="s">
        <v>19315</v>
      </c>
      <c r="H125" s="24"/>
      <c r="I125" s="22" t="s">
        <v>19309</v>
      </c>
      <c r="J125" s="22" t="s">
        <v>19573</v>
      </c>
      <c r="K125" s="22" t="s">
        <v>19574</v>
      </c>
      <c r="L125" s="22"/>
      <c r="M125" s="22"/>
      <c r="N125" s="25" t="str">
        <f>HYPERLINK("http://slimages.macys.com/is/image/MCY/1646345 ")</f>
        <v xml:space="preserve">http://slimages.macys.com/is/image/MCY/1646345 </v>
      </c>
    </row>
    <row r="126" spans="1:14" ht="24.75" x14ac:dyDescent="0.25">
      <c r="A126" s="21" t="s">
        <v>17862</v>
      </c>
      <c r="B126" s="22" t="s">
        <v>17863</v>
      </c>
      <c r="C126" s="2">
        <v>1</v>
      </c>
      <c r="D126" s="23">
        <v>19.989999999999998</v>
      </c>
      <c r="E126" s="3">
        <v>19.989999999999998</v>
      </c>
      <c r="F126" s="2" t="s">
        <v>19767</v>
      </c>
      <c r="G126" s="22" t="s">
        <v>19467</v>
      </c>
      <c r="H126" s="24" t="s">
        <v>19538</v>
      </c>
      <c r="I126" s="22" t="s">
        <v>19309</v>
      </c>
      <c r="J126" s="22" t="s">
        <v>19573</v>
      </c>
      <c r="K126" s="22" t="s">
        <v>19574</v>
      </c>
      <c r="L126" s="22"/>
      <c r="M126" s="22"/>
      <c r="N126" s="25" t="str">
        <f>HYPERLINK("http://slimages.macys.com/is/image/MCY/1646350 ")</f>
        <v xml:space="preserve">http://slimages.macys.com/is/image/MCY/1646350 </v>
      </c>
    </row>
    <row r="127" spans="1:14" ht="24.75" x14ac:dyDescent="0.25">
      <c r="A127" s="21" t="s">
        <v>19765</v>
      </c>
      <c r="B127" s="22" t="s">
        <v>19766</v>
      </c>
      <c r="C127" s="2">
        <v>2</v>
      </c>
      <c r="D127" s="23">
        <v>19.989999999999998</v>
      </c>
      <c r="E127" s="3">
        <v>39.979999999999997</v>
      </c>
      <c r="F127" s="2" t="s">
        <v>19767</v>
      </c>
      <c r="G127" s="22" t="s">
        <v>19467</v>
      </c>
      <c r="H127" s="24"/>
      <c r="I127" s="22" t="s">
        <v>19309</v>
      </c>
      <c r="J127" s="22" t="s">
        <v>19573</v>
      </c>
      <c r="K127" s="22" t="s">
        <v>19574</v>
      </c>
      <c r="L127" s="22"/>
      <c r="M127" s="22"/>
      <c r="N127" s="25" t="str">
        <f>HYPERLINK("http://slimages.macys.com/is/image/MCY/1646345 ")</f>
        <v xml:space="preserve">http://slimages.macys.com/is/image/MCY/1646345 </v>
      </c>
    </row>
    <row r="128" spans="1:14" ht="24.75" x14ac:dyDescent="0.25">
      <c r="A128" s="21" t="s">
        <v>19789</v>
      </c>
      <c r="B128" s="22" t="s">
        <v>19790</v>
      </c>
      <c r="C128" s="2">
        <v>2</v>
      </c>
      <c r="D128" s="23">
        <v>19.989999999999998</v>
      </c>
      <c r="E128" s="3">
        <v>39.979999999999997</v>
      </c>
      <c r="F128" s="2" t="s">
        <v>19776</v>
      </c>
      <c r="G128" s="22" t="s">
        <v>19315</v>
      </c>
      <c r="H128" s="24" t="s">
        <v>19770</v>
      </c>
      <c r="I128" s="22" t="s">
        <v>19309</v>
      </c>
      <c r="J128" s="22" t="s">
        <v>19573</v>
      </c>
      <c r="K128" s="22" t="s">
        <v>19574</v>
      </c>
      <c r="L128" s="22"/>
      <c r="M128" s="22"/>
      <c r="N128" s="25" t="str">
        <f>HYPERLINK("http://slimages.macys.com/is/image/MCY/1646345 ")</f>
        <v xml:space="preserve">http://slimages.macys.com/is/image/MCY/1646345 </v>
      </c>
    </row>
    <row r="129" spans="1:14" ht="24.75" x14ac:dyDescent="0.25">
      <c r="A129" s="21" t="s">
        <v>19777</v>
      </c>
      <c r="B129" s="22" t="s">
        <v>19778</v>
      </c>
      <c r="C129" s="2">
        <v>4</v>
      </c>
      <c r="D129" s="23">
        <v>19.989999999999998</v>
      </c>
      <c r="E129" s="3">
        <v>79.959999999999994</v>
      </c>
      <c r="F129" s="2" t="s">
        <v>19776</v>
      </c>
      <c r="G129" s="22" t="s">
        <v>19315</v>
      </c>
      <c r="H129" s="24" t="s">
        <v>19538</v>
      </c>
      <c r="I129" s="22" t="s">
        <v>19309</v>
      </c>
      <c r="J129" s="22" t="s">
        <v>19573</v>
      </c>
      <c r="K129" s="22" t="s">
        <v>19574</v>
      </c>
      <c r="L129" s="22"/>
      <c r="M129" s="22"/>
      <c r="N129" s="25" t="str">
        <f>HYPERLINK("http://slimages.macys.com/is/image/MCY/1646345 ")</f>
        <v xml:space="preserve">http://slimages.macys.com/is/image/MCY/1646345 </v>
      </c>
    </row>
    <row r="130" spans="1:14" ht="24.75" x14ac:dyDescent="0.25">
      <c r="A130" s="21" t="s">
        <v>19781</v>
      </c>
      <c r="B130" s="22" t="s">
        <v>19782</v>
      </c>
      <c r="C130" s="2">
        <v>2</v>
      </c>
      <c r="D130" s="23">
        <v>19.989999999999998</v>
      </c>
      <c r="E130" s="3">
        <v>39.979999999999997</v>
      </c>
      <c r="F130" s="2" t="s">
        <v>19773</v>
      </c>
      <c r="G130" s="22" t="s">
        <v>19518</v>
      </c>
      <c r="H130" s="24" t="s">
        <v>19770</v>
      </c>
      <c r="I130" s="22" t="s">
        <v>19309</v>
      </c>
      <c r="J130" s="22" t="s">
        <v>19573</v>
      </c>
      <c r="K130" s="22" t="s">
        <v>19574</v>
      </c>
      <c r="L130" s="22"/>
      <c r="M130" s="22"/>
      <c r="N130" s="25" t="str">
        <f>HYPERLINK("http://slimages.macys.com/is/image/MCY/1646350 ")</f>
        <v xml:space="preserve">http://slimages.macys.com/is/image/MCY/1646350 </v>
      </c>
    </row>
    <row r="131" spans="1:14" ht="24.75" x14ac:dyDescent="0.25">
      <c r="A131" s="21" t="s">
        <v>19787</v>
      </c>
      <c r="B131" s="22" t="s">
        <v>19788</v>
      </c>
      <c r="C131" s="2">
        <v>3</v>
      </c>
      <c r="D131" s="23">
        <v>19.989999999999998</v>
      </c>
      <c r="E131" s="3">
        <v>59.97</v>
      </c>
      <c r="F131" s="2" t="s">
        <v>19773</v>
      </c>
      <c r="G131" s="22" t="s">
        <v>19518</v>
      </c>
      <c r="H131" s="24" t="s">
        <v>19538</v>
      </c>
      <c r="I131" s="22" t="s">
        <v>19309</v>
      </c>
      <c r="J131" s="22" t="s">
        <v>19573</v>
      </c>
      <c r="K131" s="22" t="s">
        <v>19574</v>
      </c>
      <c r="L131" s="22"/>
      <c r="M131" s="22"/>
      <c r="N131" s="25" t="str">
        <f>HYPERLINK("http://slimages.macys.com/is/image/MCY/1646350 ")</f>
        <v xml:space="preserve">http://slimages.macys.com/is/image/MCY/1646350 </v>
      </c>
    </row>
    <row r="132" spans="1:14" ht="24.75" x14ac:dyDescent="0.25">
      <c r="A132" s="21" t="s">
        <v>12982</v>
      </c>
      <c r="B132" s="22" t="s">
        <v>12983</v>
      </c>
      <c r="C132" s="2">
        <v>1</v>
      </c>
      <c r="D132" s="23">
        <v>21.99</v>
      </c>
      <c r="E132" s="3">
        <v>21.99</v>
      </c>
      <c r="F132" s="2" t="s">
        <v>19809</v>
      </c>
      <c r="G132" s="22" t="s">
        <v>19810</v>
      </c>
      <c r="H132" s="24" t="s">
        <v>19334</v>
      </c>
      <c r="I132" s="22" t="s">
        <v>19309</v>
      </c>
      <c r="J132" s="22" t="s">
        <v>19595</v>
      </c>
      <c r="K132" s="22" t="s">
        <v>19596</v>
      </c>
      <c r="L132" s="22"/>
      <c r="M132" s="22"/>
      <c r="N132" s="25" t="str">
        <f>HYPERLINK("http://slimages.macys.com/is/image/MCY/21623024 ")</f>
        <v xml:space="preserve">http://slimages.macys.com/is/image/MCY/21623024 </v>
      </c>
    </row>
    <row r="133" spans="1:14" ht="24.75" x14ac:dyDescent="0.25">
      <c r="A133" s="21" t="s">
        <v>11506</v>
      </c>
      <c r="B133" s="22" t="s">
        <v>11507</v>
      </c>
      <c r="C133" s="2">
        <v>1</v>
      </c>
      <c r="D133" s="23">
        <v>15.75</v>
      </c>
      <c r="E133" s="3">
        <v>15.75</v>
      </c>
      <c r="F133" s="2" t="s">
        <v>11508</v>
      </c>
      <c r="G133" s="22" t="s">
        <v>19315</v>
      </c>
      <c r="H133" s="24" t="s">
        <v>19352</v>
      </c>
      <c r="I133" s="22" t="s">
        <v>19309</v>
      </c>
      <c r="J133" s="22" t="s">
        <v>19447</v>
      </c>
      <c r="K133" s="22" t="s">
        <v>19873</v>
      </c>
      <c r="L133" s="22"/>
      <c r="M133" s="22"/>
      <c r="N133" s="25" t="str">
        <f>HYPERLINK("http://slimages.macys.com/is/image/MCY/19945172 ")</f>
        <v xml:space="preserve">http://slimages.macys.com/is/image/MCY/19945172 </v>
      </c>
    </row>
    <row r="134" spans="1:14" x14ac:dyDescent="0.25">
      <c r="A134" s="21" t="s">
        <v>19817</v>
      </c>
      <c r="B134" s="22" t="s">
        <v>19818</v>
      </c>
      <c r="C134" s="2">
        <v>1</v>
      </c>
      <c r="D134" s="23">
        <v>23.29</v>
      </c>
      <c r="E134" s="3">
        <v>23.29</v>
      </c>
      <c r="F134" s="2" t="s">
        <v>19819</v>
      </c>
      <c r="G134" s="22"/>
      <c r="H134" s="24" t="s">
        <v>19416</v>
      </c>
      <c r="I134" s="22" t="s">
        <v>19309</v>
      </c>
      <c r="J134" s="22" t="s">
        <v>19708</v>
      </c>
      <c r="K134" s="22" t="s">
        <v>19709</v>
      </c>
      <c r="L134" s="22"/>
      <c r="M134" s="22"/>
      <c r="N134" s="25" t="str">
        <f>HYPERLINK("http://slimages.macys.com/is/image/MCY/22405494 ")</f>
        <v xml:space="preserve">http://slimages.macys.com/is/image/MCY/22405494 </v>
      </c>
    </row>
    <row r="135" spans="1:14" x14ac:dyDescent="0.25">
      <c r="A135" s="21" t="s">
        <v>11509</v>
      </c>
      <c r="B135" s="22" t="s">
        <v>11510</v>
      </c>
      <c r="C135" s="2">
        <v>1</v>
      </c>
      <c r="D135" s="23">
        <v>23.29</v>
      </c>
      <c r="E135" s="3">
        <v>23.29</v>
      </c>
      <c r="F135" s="2" t="s">
        <v>19819</v>
      </c>
      <c r="G135" s="22"/>
      <c r="H135" s="24" t="s">
        <v>20159</v>
      </c>
      <c r="I135" s="22" t="s">
        <v>19309</v>
      </c>
      <c r="J135" s="22" t="s">
        <v>19708</v>
      </c>
      <c r="K135" s="22" t="s">
        <v>19709</v>
      </c>
      <c r="L135" s="22"/>
      <c r="M135" s="22"/>
      <c r="N135" s="25" t="str">
        <f>HYPERLINK("http://slimages.macys.com/is/image/MCY/22405494 ")</f>
        <v xml:space="preserve">http://slimages.macys.com/is/image/MCY/22405494 </v>
      </c>
    </row>
    <row r="136" spans="1:14" x14ac:dyDescent="0.25">
      <c r="A136" s="21" t="s">
        <v>11511</v>
      </c>
      <c r="B136" s="22" t="s">
        <v>11512</v>
      </c>
      <c r="C136" s="2">
        <v>1</v>
      </c>
      <c r="D136" s="23">
        <v>23.29</v>
      </c>
      <c r="E136" s="3">
        <v>23.29</v>
      </c>
      <c r="F136" s="2" t="s">
        <v>11513</v>
      </c>
      <c r="G136" s="22" t="s">
        <v>19323</v>
      </c>
      <c r="H136" s="24" t="s">
        <v>19770</v>
      </c>
      <c r="I136" s="22" t="s">
        <v>19309</v>
      </c>
      <c r="J136" s="22" t="s">
        <v>19708</v>
      </c>
      <c r="K136" s="22" t="s">
        <v>19709</v>
      </c>
      <c r="L136" s="22"/>
      <c r="M136" s="22"/>
      <c r="N136" s="25" t="str">
        <f>HYPERLINK("http://slimages.macys.com/is/image/MCY/22405507 ")</f>
        <v xml:space="preserve">http://slimages.macys.com/is/image/MCY/22405507 </v>
      </c>
    </row>
    <row r="137" spans="1:14" ht="24.75" x14ac:dyDescent="0.25">
      <c r="A137" s="21" t="s">
        <v>11514</v>
      </c>
      <c r="B137" s="22" t="s">
        <v>11515</v>
      </c>
      <c r="C137" s="2">
        <v>1</v>
      </c>
      <c r="D137" s="23">
        <v>20.62</v>
      </c>
      <c r="E137" s="3">
        <v>20.62</v>
      </c>
      <c r="F137" s="2" t="s">
        <v>11516</v>
      </c>
      <c r="G137" s="22"/>
      <c r="H137" s="24" t="s">
        <v>19334</v>
      </c>
      <c r="I137" s="22" t="s">
        <v>19309</v>
      </c>
      <c r="J137" s="22" t="s">
        <v>19602</v>
      </c>
      <c r="K137" s="22" t="s">
        <v>19603</v>
      </c>
      <c r="L137" s="22"/>
      <c r="M137" s="22"/>
      <c r="N137" s="25" t="str">
        <f>HYPERLINK("http://slimages.macys.com/is/image/MCY/19973423 ")</f>
        <v xml:space="preserve">http://slimages.macys.com/is/image/MCY/19973423 </v>
      </c>
    </row>
    <row r="138" spans="1:14" ht="24.75" x14ac:dyDescent="0.25">
      <c r="A138" s="21" t="s">
        <v>11517</v>
      </c>
      <c r="B138" s="22" t="s">
        <v>11518</v>
      </c>
      <c r="C138" s="2">
        <v>1</v>
      </c>
      <c r="D138" s="23">
        <v>31.99</v>
      </c>
      <c r="E138" s="3">
        <v>31.99</v>
      </c>
      <c r="F138" s="2" t="s">
        <v>11519</v>
      </c>
      <c r="G138" s="22" t="s">
        <v>19518</v>
      </c>
      <c r="H138" s="24" t="s">
        <v>19330</v>
      </c>
      <c r="I138" s="22" t="s">
        <v>19309</v>
      </c>
      <c r="J138" s="22" t="s">
        <v>19573</v>
      </c>
      <c r="K138" s="22" t="s">
        <v>19574</v>
      </c>
      <c r="L138" s="22"/>
      <c r="M138" s="22"/>
      <c r="N138" s="25" t="str">
        <f>HYPERLINK("http://slimages.macys.com/is/image/MCY/19754346 ")</f>
        <v xml:space="preserve">http://slimages.macys.com/is/image/MCY/19754346 </v>
      </c>
    </row>
    <row r="139" spans="1:14" ht="24.75" x14ac:dyDescent="0.25">
      <c r="A139" s="21" t="s">
        <v>15854</v>
      </c>
      <c r="B139" s="22" t="s">
        <v>15855</v>
      </c>
      <c r="C139" s="2">
        <v>1</v>
      </c>
      <c r="D139" s="23">
        <v>24.99</v>
      </c>
      <c r="E139" s="3">
        <v>24.99</v>
      </c>
      <c r="F139" s="2" t="s">
        <v>15856</v>
      </c>
      <c r="G139" s="22"/>
      <c r="H139" s="24" t="s">
        <v>19399</v>
      </c>
      <c r="I139" s="22" t="s">
        <v>19309</v>
      </c>
      <c r="J139" s="22" t="s">
        <v>19519</v>
      </c>
      <c r="K139" s="22" t="s">
        <v>19834</v>
      </c>
      <c r="L139" s="22"/>
      <c r="M139" s="22"/>
      <c r="N139" s="25" t="str">
        <f>HYPERLINK("http://slimages.macys.com/is/image/MCY/21352780 ")</f>
        <v xml:space="preserve">http://slimages.macys.com/is/image/MCY/21352780 </v>
      </c>
    </row>
    <row r="140" spans="1:14" ht="24.75" x14ac:dyDescent="0.25">
      <c r="A140" s="21" t="s">
        <v>11520</v>
      </c>
      <c r="B140" s="22" t="s">
        <v>11521</v>
      </c>
      <c r="C140" s="2">
        <v>1</v>
      </c>
      <c r="D140" s="23">
        <v>22.99</v>
      </c>
      <c r="E140" s="3">
        <v>22.99</v>
      </c>
      <c r="F140" s="2" t="s">
        <v>11522</v>
      </c>
      <c r="G140" s="22" t="s">
        <v>19351</v>
      </c>
      <c r="H140" s="24" t="s">
        <v>19416</v>
      </c>
      <c r="I140" s="22" t="s">
        <v>19309</v>
      </c>
      <c r="J140" s="22" t="s">
        <v>19573</v>
      </c>
      <c r="K140" s="22" t="s">
        <v>19574</v>
      </c>
      <c r="L140" s="22"/>
      <c r="M140" s="22"/>
      <c r="N140" s="25" t="str">
        <f>HYPERLINK("http://slimages.macys.com/is/image/MCY/17709369 ")</f>
        <v xml:space="preserve">http://slimages.macys.com/is/image/MCY/17709369 </v>
      </c>
    </row>
    <row r="141" spans="1:14" ht="24.75" x14ac:dyDescent="0.25">
      <c r="A141" s="21" t="s">
        <v>19890</v>
      </c>
      <c r="B141" s="22" t="s">
        <v>19891</v>
      </c>
      <c r="C141" s="2">
        <v>1</v>
      </c>
      <c r="D141" s="23">
        <v>17.989999999999998</v>
      </c>
      <c r="E141" s="3">
        <v>17.989999999999998</v>
      </c>
      <c r="F141" s="2" t="s">
        <v>19889</v>
      </c>
      <c r="G141" s="22" t="s">
        <v>19351</v>
      </c>
      <c r="H141" s="24" t="s">
        <v>19797</v>
      </c>
      <c r="I141" s="22" t="s">
        <v>19309</v>
      </c>
      <c r="J141" s="22" t="s">
        <v>19447</v>
      </c>
      <c r="K141" s="22" t="s">
        <v>19533</v>
      </c>
      <c r="L141" s="22"/>
      <c r="M141" s="22"/>
      <c r="N141" s="25" t="str">
        <f>HYPERLINK("http://slimages.macys.com/is/image/MCY/21643700 ")</f>
        <v xml:space="preserve">http://slimages.macys.com/is/image/MCY/21643700 </v>
      </c>
    </row>
    <row r="142" spans="1:14" ht="24.75" x14ac:dyDescent="0.25">
      <c r="A142" s="21" t="s">
        <v>11523</v>
      </c>
      <c r="B142" s="22" t="s">
        <v>11524</v>
      </c>
      <c r="C142" s="2">
        <v>1</v>
      </c>
      <c r="D142" s="23">
        <v>32.5</v>
      </c>
      <c r="E142" s="3">
        <v>32.5</v>
      </c>
      <c r="F142" s="2" t="s">
        <v>11525</v>
      </c>
      <c r="G142" s="22" t="s">
        <v>19383</v>
      </c>
      <c r="H142" s="24" t="s">
        <v>19316</v>
      </c>
      <c r="I142" s="22" t="s">
        <v>19309</v>
      </c>
      <c r="J142" s="22" t="s">
        <v>20104</v>
      </c>
      <c r="K142" s="22" t="s">
        <v>20105</v>
      </c>
      <c r="L142" s="22"/>
      <c r="M142" s="22"/>
      <c r="N142" s="25" t="str">
        <f>HYPERLINK("http://slimages.macys.com/is/image/MCY/20694083 ")</f>
        <v xml:space="preserve">http://slimages.macys.com/is/image/MCY/20694083 </v>
      </c>
    </row>
    <row r="143" spans="1:14" x14ac:dyDescent="0.25">
      <c r="A143" s="21" t="s">
        <v>11526</v>
      </c>
      <c r="B143" s="22" t="s">
        <v>11527</v>
      </c>
      <c r="C143" s="2">
        <v>1</v>
      </c>
      <c r="D143" s="23">
        <v>19.989999999999998</v>
      </c>
      <c r="E143" s="3">
        <v>19.989999999999998</v>
      </c>
      <c r="F143" s="2" t="s">
        <v>11946</v>
      </c>
      <c r="G143" s="22" t="s">
        <v>19333</v>
      </c>
      <c r="H143" s="24"/>
      <c r="I143" s="22" t="s">
        <v>19309</v>
      </c>
      <c r="J143" s="22" t="s">
        <v>19696</v>
      </c>
      <c r="K143" s="22" t="s">
        <v>18094</v>
      </c>
      <c r="L143" s="22"/>
      <c r="M143" s="22"/>
      <c r="N143" s="25" t="str">
        <f>HYPERLINK("http://slimages.macys.com/is/image/MCY/21408522 ")</f>
        <v xml:space="preserve">http://slimages.macys.com/is/image/MCY/21408522 </v>
      </c>
    </row>
    <row r="144" spans="1:14" ht="24.75" x14ac:dyDescent="0.25">
      <c r="A144" s="21" t="s">
        <v>11528</v>
      </c>
      <c r="B144" s="22" t="s">
        <v>11529</v>
      </c>
      <c r="C144" s="2">
        <v>1</v>
      </c>
      <c r="D144" s="23">
        <v>19.989999999999998</v>
      </c>
      <c r="E144" s="3">
        <v>19.989999999999998</v>
      </c>
      <c r="F144" s="2" t="s">
        <v>19894</v>
      </c>
      <c r="G144" s="22" t="s">
        <v>19670</v>
      </c>
      <c r="H144" s="24" t="s">
        <v>19538</v>
      </c>
      <c r="I144" s="22" t="s">
        <v>19309</v>
      </c>
      <c r="J144" s="22" t="s">
        <v>19573</v>
      </c>
      <c r="K144" s="22" t="s">
        <v>19574</v>
      </c>
      <c r="L144" s="22"/>
      <c r="M144" s="22"/>
      <c r="N144" s="25" t="str">
        <f>HYPERLINK("http://slimages.macys.com/is/image/MCY/20757824 ")</f>
        <v xml:space="preserve">http://slimages.macys.com/is/image/MCY/20757824 </v>
      </c>
    </row>
    <row r="145" spans="1:14" ht="24.75" x14ac:dyDescent="0.25">
      <c r="A145" s="21" t="s">
        <v>11530</v>
      </c>
      <c r="B145" s="22" t="s">
        <v>11531</v>
      </c>
      <c r="C145" s="2">
        <v>1</v>
      </c>
      <c r="D145" s="23">
        <v>16.989999999999998</v>
      </c>
      <c r="E145" s="3">
        <v>16.989999999999998</v>
      </c>
      <c r="F145" s="2">
        <v>10015239400</v>
      </c>
      <c r="G145" s="22" t="s">
        <v>19351</v>
      </c>
      <c r="H145" s="24"/>
      <c r="I145" s="22" t="s">
        <v>19309</v>
      </c>
      <c r="J145" s="22" t="s">
        <v>19573</v>
      </c>
      <c r="K145" s="22" t="s">
        <v>19574</v>
      </c>
      <c r="L145" s="22"/>
      <c r="M145" s="22"/>
      <c r="N145" s="25" t="str">
        <f>HYPERLINK("http://slimages.macys.com/is/image/MCY/1712799 ")</f>
        <v xml:space="preserve">http://slimages.macys.com/is/image/MCY/1712799 </v>
      </c>
    </row>
    <row r="146" spans="1:14" ht="24.75" x14ac:dyDescent="0.25">
      <c r="A146" s="21" t="s">
        <v>11532</v>
      </c>
      <c r="B146" s="22" t="s">
        <v>11533</v>
      </c>
      <c r="C146" s="2">
        <v>1</v>
      </c>
      <c r="D146" s="23">
        <v>16.989999999999998</v>
      </c>
      <c r="E146" s="3">
        <v>16.989999999999998</v>
      </c>
      <c r="F146" s="2">
        <v>10015239300</v>
      </c>
      <c r="G146" s="22" t="s">
        <v>19315</v>
      </c>
      <c r="H146" s="24"/>
      <c r="I146" s="22" t="s">
        <v>19309</v>
      </c>
      <c r="J146" s="22" t="s">
        <v>19573</v>
      </c>
      <c r="K146" s="22" t="s">
        <v>19574</v>
      </c>
      <c r="L146" s="22"/>
      <c r="M146" s="22"/>
      <c r="N146" s="25" t="str">
        <f>HYPERLINK("http://slimages.macys.com/is/image/MCY/1712799 ")</f>
        <v xml:space="preserve">http://slimages.macys.com/is/image/MCY/1712799 </v>
      </c>
    </row>
    <row r="147" spans="1:14" ht="24.75" x14ac:dyDescent="0.25">
      <c r="A147" s="21" t="s">
        <v>19917</v>
      </c>
      <c r="B147" s="22" t="s">
        <v>19918</v>
      </c>
      <c r="C147" s="2">
        <v>1</v>
      </c>
      <c r="D147" s="23">
        <v>18.989999999999998</v>
      </c>
      <c r="E147" s="3">
        <v>18.989999999999998</v>
      </c>
      <c r="F147" s="2">
        <v>10015242200</v>
      </c>
      <c r="G147" s="22" t="s">
        <v>19315</v>
      </c>
      <c r="H147" s="24"/>
      <c r="I147" s="22" t="s">
        <v>19309</v>
      </c>
      <c r="J147" s="22" t="s">
        <v>19573</v>
      </c>
      <c r="K147" s="22" t="s">
        <v>19574</v>
      </c>
      <c r="L147" s="22"/>
      <c r="M147" s="22"/>
      <c r="N147" s="25" t="str">
        <f t="shared" ref="N147:N156" si="0">HYPERLINK("http://slimages.macys.com/is/image/MCY/1322715 ")</f>
        <v xml:space="preserve">http://slimages.macys.com/is/image/MCY/1322715 </v>
      </c>
    </row>
    <row r="148" spans="1:14" ht="24.75" x14ac:dyDescent="0.25">
      <c r="A148" s="21" t="s">
        <v>19921</v>
      </c>
      <c r="B148" s="22" t="s">
        <v>19922</v>
      </c>
      <c r="C148" s="2">
        <v>3</v>
      </c>
      <c r="D148" s="23">
        <v>18.989999999999998</v>
      </c>
      <c r="E148" s="3">
        <v>56.97</v>
      </c>
      <c r="F148" s="2">
        <v>10015242300</v>
      </c>
      <c r="G148" s="22" t="s">
        <v>19518</v>
      </c>
      <c r="H148" s="24" t="s">
        <v>19538</v>
      </c>
      <c r="I148" s="22" t="s">
        <v>19309</v>
      </c>
      <c r="J148" s="22" t="s">
        <v>19573</v>
      </c>
      <c r="K148" s="22" t="s">
        <v>19574</v>
      </c>
      <c r="L148" s="22"/>
      <c r="M148" s="22"/>
      <c r="N148" s="25" t="str">
        <f t="shared" si="0"/>
        <v xml:space="preserve">http://slimages.macys.com/is/image/MCY/1322715 </v>
      </c>
    </row>
    <row r="149" spans="1:14" ht="24.75" x14ac:dyDescent="0.25">
      <c r="A149" s="21" t="s">
        <v>17969</v>
      </c>
      <c r="B149" s="22" t="s">
        <v>17970</v>
      </c>
      <c r="C149" s="2">
        <v>1</v>
      </c>
      <c r="D149" s="23">
        <v>18.989999999999998</v>
      </c>
      <c r="E149" s="3">
        <v>18.989999999999998</v>
      </c>
      <c r="F149" s="2">
        <v>10015242200</v>
      </c>
      <c r="G149" s="22" t="s">
        <v>19315</v>
      </c>
      <c r="H149" s="24" t="s">
        <v>19538</v>
      </c>
      <c r="I149" s="22" t="s">
        <v>19309</v>
      </c>
      <c r="J149" s="22" t="s">
        <v>19573</v>
      </c>
      <c r="K149" s="22" t="s">
        <v>19574</v>
      </c>
      <c r="L149" s="22"/>
      <c r="M149" s="22"/>
      <c r="N149" s="25" t="str">
        <f t="shared" si="0"/>
        <v xml:space="preserve">http://slimages.macys.com/is/image/MCY/1322715 </v>
      </c>
    </row>
    <row r="150" spans="1:14" ht="24.75" x14ac:dyDescent="0.25">
      <c r="A150" s="21" t="s">
        <v>17967</v>
      </c>
      <c r="B150" s="22" t="s">
        <v>17968</v>
      </c>
      <c r="C150" s="2">
        <v>1</v>
      </c>
      <c r="D150" s="23">
        <v>18.989999999999998</v>
      </c>
      <c r="E150" s="3">
        <v>18.989999999999998</v>
      </c>
      <c r="F150" s="2" t="s">
        <v>19914</v>
      </c>
      <c r="G150" s="22" t="s">
        <v>19713</v>
      </c>
      <c r="H150" s="24" t="s">
        <v>19770</v>
      </c>
      <c r="I150" s="22" t="s">
        <v>19309</v>
      </c>
      <c r="J150" s="22" t="s">
        <v>19573</v>
      </c>
      <c r="K150" s="22" t="s">
        <v>19574</v>
      </c>
      <c r="L150" s="22"/>
      <c r="M150" s="22"/>
      <c r="N150" s="25" t="str">
        <f t="shared" si="0"/>
        <v xml:space="preserve">http://slimages.macys.com/is/image/MCY/1322715 </v>
      </c>
    </row>
    <row r="151" spans="1:14" ht="24.75" x14ac:dyDescent="0.25">
      <c r="A151" s="21" t="s">
        <v>19923</v>
      </c>
      <c r="B151" s="22" t="s">
        <v>19924</v>
      </c>
      <c r="C151" s="2">
        <v>2</v>
      </c>
      <c r="D151" s="23">
        <v>18.989999999999998</v>
      </c>
      <c r="E151" s="3">
        <v>37.979999999999997</v>
      </c>
      <c r="F151" s="2">
        <v>10015242300</v>
      </c>
      <c r="G151" s="22" t="s">
        <v>19518</v>
      </c>
      <c r="H151" s="24" t="s">
        <v>19770</v>
      </c>
      <c r="I151" s="22" t="s">
        <v>19309</v>
      </c>
      <c r="J151" s="22" t="s">
        <v>19573</v>
      </c>
      <c r="K151" s="22" t="s">
        <v>19574</v>
      </c>
      <c r="L151" s="22"/>
      <c r="M151" s="22"/>
      <c r="N151" s="25" t="str">
        <f t="shared" si="0"/>
        <v xml:space="preserve">http://slimages.macys.com/is/image/MCY/1322715 </v>
      </c>
    </row>
    <row r="152" spans="1:14" ht="24.75" x14ac:dyDescent="0.25">
      <c r="A152" s="21" t="s">
        <v>17971</v>
      </c>
      <c r="B152" s="22" t="s">
        <v>17972</v>
      </c>
      <c r="C152" s="2">
        <v>1</v>
      </c>
      <c r="D152" s="23">
        <v>18.989999999999998</v>
      </c>
      <c r="E152" s="3">
        <v>18.989999999999998</v>
      </c>
      <c r="F152" s="2">
        <v>10015242200</v>
      </c>
      <c r="G152" s="22" t="s">
        <v>19315</v>
      </c>
      <c r="H152" s="24" t="s">
        <v>19770</v>
      </c>
      <c r="I152" s="22" t="s">
        <v>19309</v>
      </c>
      <c r="J152" s="22" t="s">
        <v>19573</v>
      </c>
      <c r="K152" s="22" t="s">
        <v>19574</v>
      </c>
      <c r="L152" s="22"/>
      <c r="M152" s="22"/>
      <c r="N152" s="25" t="str">
        <f t="shared" si="0"/>
        <v xml:space="preserve">http://slimages.macys.com/is/image/MCY/1322715 </v>
      </c>
    </row>
    <row r="153" spans="1:14" ht="24.75" x14ac:dyDescent="0.25">
      <c r="A153" s="21" t="s">
        <v>13032</v>
      </c>
      <c r="B153" s="22" t="s">
        <v>13033</v>
      </c>
      <c r="C153" s="2">
        <v>2</v>
      </c>
      <c r="D153" s="23">
        <v>18.989999999999998</v>
      </c>
      <c r="E153" s="3">
        <v>37.979999999999997</v>
      </c>
      <c r="F153" s="2">
        <v>10015242300</v>
      </c>
      <c r="G153" s="22" t="s">
        <v>19518</v>
      </c>
      <c r="H153" s="24" t="s">
        <v>19384</v>
      </c>
      <c r="I153" s="22" t="s">
        <v>19309</v>
      </c>
      <c r="J153" s="22" t="s">
        <v>19573</v>
      </c>
      <c r="K153" s="22" t="s">
        <v>19574</v>
      </c>
      <c r="L153" s="22"/>
      <c r="M153" s="22"/>
      <c r="N153" s="25" t="str">
        <f t="shared" si="0"/>
        <v xml:space="preserve">http://slimages.macys.com/is/image/MCY/1322715 </v>
      </c>
    </row>
    <row r="154" spans="1:14" ht="24.75" x14ac:dyDescent="0.25">
      <c r="A154" s="21" t="s">
        <v>19919</v>
      </c>
      <c r="B154" s="22" t="s">
        <v>19920</v>
      </c>
      <c r="C154" s="2">
        <v>2</v>
      </c>
      <c r="D154" s="23">
        <v>18.989999999999998</v>
      </c>
      <c r="E154" s="3">
        <v>37.979999999999997</v>
      </c>
      <c r="F154" s="2">
        <v>10015242300</v>
      </c>
      <c r="G154" s="22" t="s">
        <v>19518</v>
      </c>
      <c r="H154" s="24"/>
      <c r="I154" s="22" t="s">
        <v>19309</v>
      </c>
      <c r="J154" s="22" t="s">
        <v>19573</v>
      </c>
      <c r="K154" s="22" t="s">
        <v>19574</v>
      </c>
      <c r="L154" s="22"/>
      <c r="M154" s="22"/>
      <c r="N154" s="25" t="str">
        <f t="shared" si="0"/>
        <v xml:space="preserve">http://slimages.macys.com/is/image/MCY/1322715 </v>
      </c>
    </row>
    <row r="155" spans="1:14" ht="24.75" x14ac:dyDescent="0.25">
      <c r="A155" s="21" t="s">
        <v>19915</v>
      </c>
      <c r="B155" s="22" t="s">
        <v>19916</v>
      </c>
      <c r="C155" s="2">
        <v>3</v>
      </c>
      <c r="D155" s="23">
        <v>18.989999999999998</v>
      </c>
      <c r="E155" s="3">
        <v>56.97</v>
      </c>
      <c r="F155" s="2" t="s">
        <v>19914</v>
      </c>
      <c r="G155" s="22" t="s">
        <v>19713</v>
      </c>
      <c r="H155" s="24"/>
      <c r="I155" s="22" t="s">
        <v>19309</v>
      </c>
      <c r="J155" s="22" t="s">
        <v>19573</v>
      </c>
      <c r="K155" s="22" t="s">
        <v>19574</v>
      </c>
      <c r="L155" s="22"/>
      <c r="M155" s="22"/>
      <c r="N155" s="25" t="str">
        <f t="shared" si="0"/>
        <v xml:space="preserve">http://slimages.macys.com/is/image/MCY/1322715 </v>
      </c>
    </row>
    <row r="156" spans="1:14" ht="24.75" x14ac:dyDescent="0.25">
      <c r="A156" s="21" t="s">
        <v>19927</v>
      </c>
      <c r="B156" s="22" t="s">
        <v>19928</v>
      </c>
      <c r="C156" s="2">
        <v>2</v>
      </c>
      <c r="D156" s="23">
        <v>18.989999999999998</v>
      </c>
      <c r="E156" s="3">
        <v>37.979999999999997</v>
      </c>
      <c r="F156" s="2">
        <v>10015242200</v>
      </c>
      <c r="G156" s="22" t="s">
        <v>19315</v>
      </c>
      <c r="H156" s="24" t="s">
        <v>19384</v>
      </c>
      <c r="I156" s="22" t="s">
        <v>19309</v>
      </c>
      <c r="J156" s="22" t="s">
        <v>19573</v>
      </c>
      <c r="K156" s="22" t="s">
        <v>19574</v>
      </c>
      <c r="L156" s="22"/>
      <c r="M156" s="22"/>
      <c r="N156" s="25" t="str">
        <f t="shared" si="0"/>
        <v xml:space="preserve">http://slimages.macys.com/is/image/MCY/1322715 </v>
      </c>
    </row>
    <row r="157" spans="1:14" x14ac:dyDescent="0.25">
      <c r="A157" s="21" t="s">
        <v>11534</v>
      </c>
      <c r="B157" s="22" t="s">
        <v>11535</v>
      </c>
      <c r="C157" s="2">
        <v>1</v>
      </c>
      <c r="D157" s="23">
        <v>17.100000000000001</v>
      </c>
      <c r="E157" s="3">
        <v>17.100000000000001</v>
      </c>
      <c r="F157" s="2" t="s">
        <v>11536</v>
      </c>
      <c r="G157" s="22" t="s">
        <v>19342</v>
      </c>
      <c r="H157" s="24" t="s">
        <v>20152</v>
      </c>
      <c r="I157" s="22" t="s">
        <v>19309</v>
      </c>
      <c r="J157" s="22" t="s">
        <v>19708</v>
      </c>
      <c r="K157" s="22" t="s">
        <v>19709</v>
      </c>
      <c r="L157" s="22"/>
      <c r="M157" s="22"/>
      <c r="N157" s="25" t="str">
        <f>HYPERLINK("http://slimages.macys.com/is/image/MCY/19847234 ")</f>
        <v xml:space="preserve">http://slimages.macys.com/is/image/MCY/19847234 </v>
      </c>
    </row>
    <row r="158" spans="1:14" x14ac:dyDescent="0.25">
      <c r="A158" s="21" t="s">
        <v>11537</v>
      </c>
      <c r="B158" s="22" t="s">
        <v>11538</v>
      </c>
      <c r="C158" s="2">
        <v>1</v>
      </c>
      <c r="D158" s="23">
        <v>17.100000000000001</v>
      </c>
      <c r="E158" s="3">
        <v>17.100000000000001</v>
      </c>
      <c r="F158" s="2" t="s">
        <v>11539</v>
      </c>
      <c r="G158" s="22"/>
      <c r="H158" s="24" t="s">
        <v>13107</v>
      </c>
      <c r="I158" s="22" t="s">
        <v>19309</v>
      </c>
      <c r="J158" s="22" t="s">
        <v>19708</v>
      </c>
      <c r="K158" s="22" t="s">
        <v>19709</v>
      </c>
      <c r="L158" s="22"/>
      <c r="M158" s="22"/>
      <c r="N158" s="25" t="str">
        <f>HYPERLINK("http://slimages.macys.com/is/image/MCY/19487598 ")</f>
        <v xml:space="preserve">http://slimages.macys.com/is/image/MCY/19487598 </v>
      </c>
    </row>
    <row r="159" spans="1:14" x14ac:dyDescent="0.25">
      <c r="A159" s="21" t="s">
        <v>11540</v>
      </c>
      <c r="B159" s="22" t="s">
        <v>11541</v>
      </c>
      <c r="C159" s="2">
        <v>1</v>
      </c>
      <c r="D159" s="23">
        <v>17.100000000000001</v>
      </c>
      <c r="E159" s="3">
        <v>17.100000000000001</v>
      </c>
      <c r="F159" s="2" t="s">
        <v>19945</v>
      </c>
      <c r="G159" s="22" t="s">
        <v>19342</v>
      </c>
      <c r="H159" s="24" t="s">
        <v>19367</v>
      </c>
      <c r="I159" s="22" t="s">
        <v>19309</v>
      </c>
      <c r="J159" s="22" t="s">
        <v>19708</v>
      </c>
      <c r="K159" s="22" t="s">
        <v>19709</v>
      </c>
      <c r="L159" s="22"/>
      <c r="M159" s="22"/>
      <c r="N159" s="25" t="str">
        <f>HYPERLINK("http://slimages.macys.com/is/image/MCY/19847234 ")</f>
        <v xml:space="preserve">http://slimages.macys.com/is/image/MCY/19847234 </v>
      </c>
    </row>
    <row r="160" spans="1:14" x14ac:dyDescent="0.25">
      <c r="A160" s="21" t="s">
        <v>19943</v>
      </c>
      <c r="B160" s="22" t="s">
        <v>19944</v>
      </c>
      <c r="C160" s="2">
        <v>2</v>
      </c>
      <c r="D160" s="23">
        <v>17.100000000000001</v>
      </c>
      <c r="E160" s="3">
        <v>34.200000000000003</v>
      </c>
      <c r="F160" s="2" t="s">
        <v>19945</v>
      </c>
      <c r="G160" s="22" t="s">
        <v>19342</v>
      </c>
      <c r="H160" s="24" t="s">
        <v>19770</v>
      </c>
      <c r="I160" s="22" t="s">
        <v>19309</v>
      </c>
      <c r="J160" s="22" t="s">
        <v>19708</v>
      </c>
      <c r="K160" s="22" t="s">
        <v>19709</v>
      </c>
      <c r="L160" s="22"/>
      <c r="M160" s="22"/>
      <c r="N160" s="25" t="str">
        <f>HYPERLINK("http://slimages.macys.com/is/image/MCY/19847234 ")</f>
        <v xml:space="preserve">http://slimages.macys.com/is/image/MCY/19847234 </v>
      </c>
    </row>
    <row r="161" spans="1:14" x14ac:dyDescent="0.25">
      <c r="A161" s="21" t="s">
        <v>11542</v>
      </c>
      <c r="B161" s="22" t="s">
        <v>11543</v>
      </c>
      <c r="C161" s="2">
        <v>1</v>
      </c>
      <c r="D161" s="23">
        <v>17.100000000000001</v>
      </c>
      <c r="E161" s="3">
        <v>17.100000000000001</v>
      </c>
      <c r="F161" s="2" t="s">
        <v>11544</v>
      </c>
      <c r="G161" s="22"/>
      <c r="H161" s="24" t="s">
        <v>19367</v>
      </c>
      <c r="I161" s="22" t="s">
        <v>19309</v>
      </c>
      <c r="J161" s="22" t="s">
        <v>19708</v>
      </c>
      <c r="K161" s="22" t="s">
        <v>19709</v>
      </c>
      <c r="L161" s="22"/>
      <c r="M161" s="22"/>
      <c r="N161" s="25" t="str">
        <f>HYPERLINK("http://slimages.macys.com/is/image/MCY/19063522 ")</f>
        <v xml:space="preserve">http://slimages.macys.com/is/image/MCY/19063522 </v>
      </c>
    </row>
    <row r="162" spans="1:14" x14ac:dyDescent="0.25">
      <c r="A162" s="21" t="s">
        <v>11545</v>
      </c>
      <c r="B162" s="22" t="s">
        <v>11546</v>
      </c>
      <c r="C162" s="2">
        <v>1</v>
      </c>
      <c r="D162" s="23">
        <v>17.100000000000001</v>
      </c>
      <c r="E162" s="3">
        <v>17.100000000000001</v>
      </c>
      <c r="F162" s="2" t="s">
        <v>11547</v>
      </c>
      <c r="G162" s="22"/>
      <c r="H162" s="24" t="s">
        <v>19416</v>
      </c>
      <c r="I162" s="22" t="s">
        <v>19309</v>
      </c>
      <c r="J162" s="22" t="s">
        <v>19708</v>
      </c>
      <c r="K162" s="22" t="s">
        <v>19709</v>
      </c>
      <c r="L162" s="22"/>
      <c r="M162" s="22"/>
      <c r="N162" s="25" t="str">
        <f>HYPERLINK("http://slimages.macys.com/is/image/MCY/17248523 ")</f>
        <v xml:space="preserve">http://slimages.macys.com/is/image/MCY/17248523 </v>
      </c>
    </row>
    <row r="163" spans="1:14" ht="24.75" x14ac:dyDescent="0.25">
      <c r="A163" s="21" t="s">
        <v>11548</v>
      </c>
      <c r="B163" s="22" t="s">
        <v>11549</v>
      </c>
      <c r="C163" s="2">
        <v>1</v>
      </c>
      <c r="D163" s="23">
        <v>15.99</v>
      </c>
      <c r="E163" s="3">
        <v>15.99</v>
      </c>
      <c r="F163" s="2" t="s">
        <v>18010</v>
      </c>
      <c r="G163" s="22" t="s">
        <v>19477</v>
      </c>
      <c r="H163" s="24"/>
      <c r="I163" s="22" t="s">
        <v>19309</v>
      </c>
      <c r="J163" s="22" t="s">
        <v>19573</v>
      </c>
      <c r="K163" s="22" t="s">
        <v>19574</v>
      </c>
      <c r="L163" s="22"/>
      <c r="M163" s="22"/>
      <c r="N163" s="25" t="str">
        <f>HYPERLINK("http://slimages.macys.com/is/image/MCY/1290284 ")</f>
        <v xml:space="preserve">http://slimages.macys.com/is/image/MCY/1290284 </v>
      </c>
    </row>
    <row r="164" spans="1:14" ht="24.75" x14ac:dyDescent="0.25">
      <c r="A164" s="21" t="s">
        <v>11550</v>
      </c>
      <c r="B164" s="22" t="s">
        <v>11551</v>
      </c>
      <c r="C164" s="2">
        <v>3</v>
      </c>
      <c r="D164" s="23">
        <v>18.61</v>
      </c>
      <c r="E164" s="3">
        <v>55.83</v>
      </c>
      <c r="F164" s="2" t="s">
        <v>15352</v>
      </c>
      <c r="G164" s="22"/>
      <c r="H164" s="24" t="s">
        <v>19345</v>
      </c>
      <c r="I164" s="22" t="s">
        <v>19309</v>
      </c>
      <c r="J164" s="22" t="s">
        <v>19602</v>
      </c>
      <c r="K164" s="22" t="s">
        <v>20041</v>
      </c>
      <c r="L164" s="22"/>
      <c r="M164" s="22"/>
      <c r="N164" s="25" t="str">
        <f>HYPERLINK("http://slimages.macys.com/is/image/MCY/22405615 ")</f>
        <v xml:space="preserve">http://slimages.macys.com/is/image/MCY/22405615 </v>
      </c>
    </row>
    <row r="165" spans="1:14" x14ac:dyDescent="0.25">
      <c r="A165" s="21" t="s">
        <v>15353</v>
      </c>
      <c r="B165" s="22" t="s">
        <v>15354</v>
      </c>
      <c r="C165" s="2">
        <v>1</v>
      </c>
      <c r="D165" s="23">
        <v>21.99</v>
      </c>
      <c r="E165" s="3">
        <v>21.99</v>
      </c>
      <c r="F165" s="2" t="s">
        <v>18024</v>
      </c>
      <c r="G165" s="22" t="s">
        <v>19342</v>
      </c>
      <c r="H165" s="24" t="s">
        <v>19395</v>
      </c>
      <c r="I165" s="22" t="s">
        <v>19309</v>
      </c>
      <c r="J165" s="22" t="s">
        <v>19696</v>
      </c>
      <c r="K165" s="22" t="s">
        <v>19965</v>
      </c>
      <c r="L165" s="22"/>
      <c r="M165" s="22"/>
      <c r="N165" s="25" t="str">
        <f>HYPERLINK("http://slimages.macys.com/is/image/MCY/21708518 ")</f>
        <v xml:space="preserve">http://slimages.macys.com/is/image/MCY/21708518 </v>
      </c>
    </row>
    <row r="166" spans="1:14" ht="24.75" x14ac:dyDescent="0.25">
      <c r="A166" s="21" t="s">
        <v>11552</v>
      </c>
      <c r="B166" s="22" t="s">
        <v>11553</v>
      </c>
      <c r="C166" s="2">
        <v>1</v>
      </c>
      <c r="D166" s="23">
        <v>15.99</v>
      </c>
      <c r="E166" s="3">
        <v>15.99</v>
      </c>
      <c r="F166" s="2">
        <v>10013018300</v>
      </c>
      <c r="G166" s="22" t="s">
        <v>19351</v>
      </c>
      <c r="H166" s="24" t="s">
        <v>19324</v>
      </c>
      <c r="I166" s="22" t="s">
        <v>19309</v>
      </c>
      <c r="J166" s="22" t="s">
        <v>19573</v>
      </c>
      <c r="K166" s="22" t="s">
        <v>19574</v>
      </c>
      <c r="L166" s="22"/>
      <c r="M166" s="22"/>
      <c r="N166" s="25" t="str">
        <f>HYPERLINK("http://slimages.macys.com/is/image/MCY/19511278 ")</f>
        <v xml:space="preserve">http://slimages.macys.com/is/image/MCY/19511278 </v>
      </c>
    </row>
    <row r="167" spans="1:14" ht="24.75" x14ac:dyDescent="0.25">
      <c r="A167" s="21" t="s">
        <v>11554</v>
      </c>
      <c r="B167" s="22" t="s">
        <v>11555</v>
      </c>
      <c r="C167" s="2">
        <v>1</v>
      </c>
      <c r="D167" s="23">
        <v>21.99</v>
      </c>
      <c r="E167" s="3">
        <v>21.99</v>
      </c>
      <c r="F167" s="2" t="s">
        <v>11556</v>
      </c>
      <c r="G167" s="22" t="s">
        <v>19342</v>
      </c>
      <c r="H167" s="24" t="s">
        <v>19334</v>
      </c>
      <c r="I167" s="22" t="s">
        <v>19309</v>
      </c>
      <c r="J167" s="22" t="s">
        <v>19696</v>
      </c>
      <c r="K167" s="22" t="s">
        <v>11557</v>
      </c>
      <c r="L167" s="22"/>
      <c r="M167" s="22"/>
      <c r="N167" s="25" t="str">
        <f>HYPERLINK("http://slimages.macys.com/is/image/MCY/20750311 ")</f>
        <v xml:space="preserve">http://slimages.macys.com/is/image/MCY/20750311 </v>
      </c>
    </row>
    <row r="168" spans="1:14" x14ac:dyDescent="0.25">
      <c r="A168" s="21" t="s">
        <v>19973</v>
      </c>
      <c r="B168" s="22" t="s">
        <v>19974</v>
      </c>
      <c r="C168" s="2">
        <v>1</v>
      </c>
      <c r="D168" s="23">
        <v>16.989999999999998</v>
      </c>
      <c r="E168" s="3">
        <v>16.989999999999998</v>
      </c>
      <c r="F168" s="2" t="s">
        <v>19975</v>
      </c>
      <c r="G168" s="22" t="s">
        <v>19333</v>
      </c>
      <c r="H168" s="24" t="s">
        <v>19395</v>
      </c>
      <c r="I168" s="22" t="s">
        <v>19309</v>
      </c>
      <c r="J168" s="22" t="s">
        <v>19310</v>
      </c>
      <c r="K168" s="22" t="s">
        <v>19440</v>
      </c>
      <c r="L168" s="22"/>
      <c r="M168" s="22"/>
      <c r="N168" s="25" t="str">
        <f>HYPERLINK("http://slimages.macys.com/is/image/MCY/21149135 ")</f>
        <v xml:space="preserve">http://slimages.macys.com/is/image/MCY/21149135 </v>
      </c>
    </row>
    <row r="169" spans="1:14" x14ac:dyDescent="0.25">
      <c r="A169" s="21" t="s">
        <v>11558</v>
      </c>
      <c r="B169" s="22" t="s">
        <v>11559</v>
      </c>
      <c r="C169" s="2">
        <v>1</v>
      </c>
      <c r="D169" s="23">
        <v>18.11</v>
      </c>
      <c r="E169" s="3">
        <v>18.11</v>
      </c>
      <c r="F169" s="2" t="s">
        <v>11560</v>
      </c>
      <c r="G169" s="22" t="s">
        <v>19415</v>
      </c>
      <c r="H169" s="24" t="s">
        <v>19361</v>
      </c>
      <c r="I169" s="22" t="s">
        <v>14376</v>
      </c>
      <c r="J169" s="22" t="s">
        <v>19559</v>
      </c>
      <c r="K169" s="22" t="s">
        <v>13811</v>
      </c>
      <c r="L169" s="22"/>
      <c r="M169" s="22"/>
      <c r="N169" s="25" t="str">
        <f>HYPERLINK("http://slimages.macys.com/is/image/MCY/19684841 ")</f>
        <v xml:space="preserve">http://slimages.macys.com/is/image/MCY/19684841 </v>
      </c>
    </row>
    <row r="170" spans="1:14" ht="24.75" x14ac:dyDescent="0.25">
      <c r="A170" s="21" t="s">
        <v>15361</v>
      </c>
      <c r="B170" s="22" t="s">
        <v>15362</v>
      </c>
      <c r="C170" s="2">
        <v>1</v>
      </c>
      <c r="D170" s="23">
        <v>23.99</v>
      </c>
      <c r="E170" s="3">
        <v>23.99</v>
      </c>
      <c r="F170" s="2" t="s">
        <v>18050</v>
      </c>
      <c r="G170" s="22" t="s">
        <v>19351</v>
      </c>
      <c r="H170" s="24" t="s">
        <v>19330</v>
      </c>
      <c r="I170" s="22" t="s">
        <v>19309</v>
      </c>
      <c r="J170" s="22" t="s">
        <v>19573</v>
      </c>
      <c r="K170" s="22" t="s">
        <v>19574</v>
      </c>
      <c r="L170" s="22"/>
      <c r="M170" s="22"/>
      <c r="N170" s="25" t="str">
        <f>HYPERLINK("http://slimages.macys.com/is/image/MCY/21209532 ")</f>
        <v xml:space="preserve">http://slimages.macys.com/is/image/MCY/21209532 </v>
      </c>
    </row>
    <row r="171" spans="1:14" ht="24.75" x14ac:dyDescent="0.25">
      <c r="A171" s="21" t="s">
        <v>11561</v>
      </c>
      <c r="B171" s="22" t="s">
        <v>11562</v>
      </c>
      <c r="C171" s="2">
        <v>1</v>
      </c>
      <c r="D171" s="23">
        <v>23.99</v>
      </c>
      <c r="E171" s="3">
        <v>23.99</v>
      </c>
      <c r="F171" s="2" t="s">
        <v>19991</v>
      </c>
      <c r="G171" s="22" t="s">
        <v>19315</v>
      </c>
      <c r="H171" s="24" t="s">
        <v>19538</v>
      </c>
      <c r="I171" s="22" t="s">
        <v>19309</v>
      </c>
      <c r="J171" s="22" t="s">
        <v>19573</v>
      </c>
      <c r="K171" s="22" t="s">
        <v>19574</v>
      </c>
      <c r="L171" s="22"/>
      <c r="M171" s="22"/>
      <c r="N171" s="25" t="str">
        <f>HYPERLINK("http://slimages.macys.com/is/image/MCY/21209525 ")</f>
        <v xml:space="preserve">http://slimages.macys.com/is/image/MCY/21209525 </v>
      </c>
    </row>
    <row r="172" spans="1:14" ht="36.75" x14ac:dyDescent="0.25">
      <c r="A172" s="21" t="s">
        <v>11563</v>
      </c>
      <c r="B172" s="22" t="s">
        <v>11564</v>
      </c>
      <c r="C172" s="2">
        <v>1</v>
      </c>
      <c r="D172" s="23">
        <v>30</v>
      </c>
      <c r="E172" s="3">
        <v>30</v>
      </c>
      <c r="F172" s="2" t="s">
        <v>11565</v>
      </c>
      <c r="G172" s="22" t="s">
        <v>19315</v>
      </c>
      <c r="H172" s="24" t="s">
        <v>20159</v>
      </c>
      <c r="I172" s="22" t="s">
        <v>14376</v>
      </c>
      <c r="J172" s="22" t="s">
        <v>19325</v>
      </c>
      <c r="K172" s="22" t="s">
        <v>12948</v>
      </c>
      <c r="L172" s="22" t="s">
        <v>17554</v>
      </c>
      <c r="M172" s="22" t="s">
        <v>11566</v>
      </c>
      <c r="N172" s="25" t="str">
        <f>HYPERLINK("http://images.bloomingdales.com/is/image/BLM/11445628 ")</f>
        <v xml:space="preserve">http://images.bloomingdales.com/is/image/BLM/11445628 </v>
      </c>
    </row>
    <row r="173" spans="1:14" x14ac:dyDescent="0.25">
      <c r="A173" s="21" t="s">
        <v>11567</v>
      </c>
      <c r="B173" s="22" t="s">
        <v>11568</v>
      </c>
      <c r="C173" s="2">
        <v>1</v>
      </c>
      <c r="D173" s="23">
        <v>24</v>
      </c>
      <c r="E173" s="3">
        <v>24</v>
      </c>
      <c r="F173" s="2" t="s">
        <v>11569</v>
      </c>
      <c r="G173" s="22" t="s">
        <v>19674</v>
      </c>
      <c r="H173" s="24"/>
      <c r="I173" s="22" t="s">
        <v>19309</v>
      </c>
      <c r="J173" s="22" t="s">
        <v>19417</v>
      </c>
      <c r="K173" s="22" t="s">
        <v>20110</v>
      </c>
      <c r="L173" s="22"/>
      <c r="M173" s="22"/>
      <c r="N173" s="25" t="str">
        <f>HYPERLINK("http://slimages.macys.com/is/image/MCY/22296729 ")</f>
        <v xml:space="preserve">http://slimages.macys.com/is/image/MCY/22296729 </v>
      </c>
    </row>
    <row r="174" spans="1:14" ht="24.75" x14ac:dyDescent="0.25">
      <c r="A174" s="21" t="s">
        <v>11570</v>
      </c>
      <c r="B174" s="22" t="s">
        <v>11571</v>
      </c>
      <c r="C174" s="2">
        <v>1</v>
      </c>
      <c r="D174" s="23">
        <v>18.989999999999998</v>
      </c>
      <c r="E174" s="3">
        <v>18.989999999999998</v>
      </c>
      <c r="F174" s="2" t="s">
        <v>15974</v>
      </c>
      <c r="G174" s="22" t="s">
        <v>19585</v>
      </c>
      <c r="H174" s="24" t="s">
        <v>19324</v>
      </c>
      <c r="I174" s="22" t="s">
        <v>19309</v>
      </c>
      <c r="J174" s="22" t="s">
        <v>19573</v>
      </c>
      <c r="K174" s="22" t="s">
        <v>19574</v>
      </c>
      <c r="L174" s="22"/>
      <c r="M174" s="22"/>
      <c r="N174" s="25" t="str">
        <f>HYPERLINK("http://slimages.macys.com/is/image/MCY/20757691 ")</f>
        <v xml:space="preserve">http://slimages.macys.com/is/image/MCY/20757691 </v>
      </c>
    </row>
    <row r="175" spans="1:14" x14ac:dyDescent="0.25">
      <c r="A175" s="21" t="s">
        <v>11572</v>
      </c>
      <c r="B175" s="22" t="s">
        <v>11573</v>
      </c>
      <c r="C175" s="2">
        <v>1</v>
      </c>
      <c r="D175" s="23">
        <v>18.989999999999998</v>
      </c>
      <c r="E175" s="3">
        <v>18.989999999999998</v>
      </c>
      <c r="F175" s="2" t="s">
        <v>11574</v>
      </c>
      <c r="G175" s="22" t="s">
        <v>19333</v>
      </c>
      <c r="H175" s="24"/>
      <c r="I175" s="22" t="s">
        <v>19309</v>
      </c>
      <c r="J175" s="22" t="s">
        <v>19696</v>
      </c>
      <c r="K175" s="22" t="s">
        <v>15978</v>
      </c>
      <c r="L175" s="22"/>
      <c r="M175" s="22"/>
      <c r="N175" s="25" t="str">
        <f>HYPERLINK("http://slimages.macys.com/is/image/MCY/21408728 ")</f>
        <v xml:space="preserve">http://slimages.macys.com/is/image/MCY/21408728 </v>
      </c>
    </row>
    <row r="176" spans="1:14" ht="24.75" x14ac:dyDescent="0.25">
      <c r="A176" s="21" t="s">
        <v>11575</v>
      </c>
      <c r="B176" s="22" t="s">
        <v>11576</v>
      </c>
      <c r="C176" s="2">
        <v>1</v>
      </c>
      <c r="D176" s="23">
        <v>15.84</v>
      </c>
      <c r="E176" s="3">
        <v>15.84</v>
      </c>
      <c r="F176" s="2" t="s">
        <v>13067</v>
      </c>
      <c r="G176" s="22"/>
      <c r="H176" s="24" t="s">
        <v>19330</v>
      </c>
      <c r="I176" s="22" t="s">
        <v>19309</v>
      </c>
      <c r="J176" s="22" t="s">
        <v>19708</v>
      </c>
      <c r="K176" s="22" t="s">
        <v>19709</v>
      </c>
      <c r="L176" s="22"/>
      <c r="M176" s="22"/>
      <c r="N176" s="25" t="str">
        <f>HYPERLINK("http://slimages.macys.com/is/image/MCY/19066992 ")</f>
        <v xml:space="preserve">http://slimages.macys.com/is/image/MCY/19066992 </v>
      </c>
    </row>
    <row r="177" spans="1:14" x14ac:dyDescent="0.25">
      <c r="A177" s="21" t="s">
        <v>11577</v>
      </c>
      <c r="B177" s="22" t="s">
        <v>11578</v>
      </c>
      <c r="C177" s="2">
        <v>1</v>
      </c>
      <c r="D177" s="23">
        <v>16.22</v>
      </c>
      <c r="E177" s="3">
        <v>16.22</v>
      </c>
      <c r="F177" s="2" t="s">
        <v>18115</v>
      </c>
      <c r="G177" s="22" t="s">
        <v>19342</v>
      </c>
      <c r="H177" s="24" t="s">
        <v>19345</v>
      </c>
      <c r="I177" s="22" t="s">
        <v>19309</v>
      </c>
      <c r="J177" s="22" t="s">
        <v>19514</v>
      </c>
      <c r="K177" s="22" t="s">
        <v>17948</v>
      </c>
      <c r="L177" s="22"/>
      <c r="M177" s="22"/>
      <c r="N177" s="25" t="str">
        <f>HYPERLINK("http://slimages.macys.com/is/image/MCY/21701108 ")</f>
        <v xml:space="preserve">http://slimages.macys.com/is/image/MCY/21701108 </v>
      </c>
    </row>
    <row r="178" spans="1:14" x14ac:dyDescent="0.25">
      <c r="A178" s="21" t="s">
        <v>11579</v>
      </c>
      <c r="B178" s="22" t="s">
        <v>11580</v>
      </c>
      <c r="C178" s="2">
        <v>1</v>
      </c>
      <c r="D178" s="23">
        <v>24.99</v>
      </c>
      <c r="E178" s="3">
        <v>24.99</v>
      </c>
      <c r="F178" s="2" t="s">
        <v>11581</v>
      </c>
      <c r="G178" s="22" t="s">
        <v>19431</v>
      </c>
      <c r="H178" s="24" t="s">
        <v>19797</v>
      </c>
      <c r="I178" s="22" t="s">
        <v>19309</v>
      </c>
      <c r="J178" s="22" t="s">
        <v>19849</v>
      </c>
      <c r="K178" s="22" t="s">
        <v>19850</v>
      </c>
      <c r="L178" s="22"/>
      <c r="M178" s="22"/>
      <c r="N178" s="25" t="str">
        <f>HYPERLINK("http://slimages.macys.com/is/image/MCY/20786236 ")</f>
        <v xml:space="preserve">http://slimages.macys.com/is/image/MCY/20786236 </v>
      </c>
    </row>
    <row r="179" spans="1:14" ht="24.75" x14ac:dyDescent="0.25">
      <c r="A179" s="21" t="s">
        <v>15424</v>
      </c>
      <c r="B179" s="22" t="s">
        <v>15425</v>
      </c>
      <c r="C179" s="2">
        <v>1</v>
      </c>
      <c r="D179" s="23">
        <v>23.99</v>
      </c>
      <c r="E179" s="3">
        <v>23.99</v>
      </c>
      <c r="F179" s="2" t="s">
        <v>20055</v>
      </c>
      <c r="G179" s="22" t="s">
        <v>19431</v>
      </c>
      <c r="H179" s="24" t="s">
        <v>19384</v>
      </c>
      <c r="I179" s="22" t="s">
        <v>19309</v>
      </c>
      <c r="J179" s="22" t="s">
        <v>19573</v>
      </c>
      <c r="K179" s="22" t="s">
        <v>19574</v>
      </c>
      <c r="L179" s="22"/>
      <c r="M179" s="22"/>
      <c r="N179" s="25" t="str">
        <f>HYPERLINK("http://slimages.macys.com/is/image/MCY/1485261 ")</f>
        <v xml:space="preserve">http://slimages.macys.com/is/image/MCY/1485261 </v>
      </c>
    </row>
    <row r="180" spans="1:14" ht="24.75" x14ac:dyDescent="0.25">
      <c r="A180" s="21" t="s">
        <v>11582</v>
      </c>
      <c r="B180" s="22" t="s">
        <v>11583</v>
      </c>
      <c r="C180" s="2">
        <v>3</v>
      </c>
      <c r="D180" s="23">
        <v>23.99</v>
      </c>
      <c r="E180" s="3">
        <v>71.97</v>
      </c>
      <c r="F180" s="2" t="s">
        <v>20055</v>
      </c>
      <c r="G180" s="22" t="s">
        <v>19431</v>
      </c>
      <c r="H180" s="24" t="s">
        <v>19538</v>
      </c>
      <c r="I180" s="22" t="s">
        <v>19309</v>
      </c>
      <c r="J180" s="22" t="s">
        <v>19573</v>
      </c>
      <c r="K180" s="22" t="s">
        <v>19574</v>
      </c>
      <c r="L180" s="22"/>
      <c r="M180" s="22"/>
      <c r="N180" s="25" t="str">
        <f>HYPERLINK("http://slimages.macys.com/is/image/MCY/1485261 ")</f>
        <v xml:space="preserve">http://slimages.macys.com/is/image/MCY/1485261 </v>
      </c>
    </row>
    <row r="181" spans="1:14" ht="24.75" x14ac:dyDescent="0.25">
      <c r="A181" s="21" t="s">
        <v>20053</v>
      </c>
      <c r="B181" s="22" t="s">
        <v>20054</v>
      </c>
      <c r="C181" s="2">
        <v>1</v>
      </c>
      <c r="D181" s="23">
        <v>23.99</v>
      </c>
      <c r="E181" s="3">
        <v>23.99</v>
      </c>
      <c r="F181" s="2" t="s">
        <v>20055</v>
      </c>
      <c r="G181" s="22" t="s">
        <v>19431</v>
      </c>
      <c r="H181" s="24" t="s">
        <v>19416</v>
      </c>
      <c r="I181" s="22" t="s">
        <v>19309</v>
      </c>
      <c r="J181" s="22" t="s">
        <v>19573</v>
      </c>
      <c r="K181" s="22" t="s">
        <v>19574</v>
      </c>
      <c r="L181" s="22"/>
      <c r="M181" s="22"/>
      <c r="N181" s="25" t="str">
        <f>HYPERLINK("http://slimages.macys.com/is/image/MCY/21907735 ")</f>
        <v xml:space="preserve">http://slimages.macys.com/is/image/MCY/21907735 </v>
      </c>
    </row>
    <row r="182" spans="1:14" ht="24.75" x14ac:dyDescent="0.25">
      <c r="A182" s="21" t="s">
        <v>20056</v>
      </c>
      <c r="B182" s="22" t="s">
        <v>20057</v>
      </c>
      <c r="C182" s="2">
        <v>1</v>
      </c>
      <c r="D182" s="23">
        <v>23.99</v>
      </c>
      <c r="E182" s="3">
        <v>23.99</v>
      </c>
      <c r="F182" s="2" t="s">
        <v>20055</v>
      </c>
      <c r="G182" s="22" t="s">
        <v>19431</v>
      </c>
      <c r="H182" s="24"/>
      <c r="I182" s="22" t="s">
        <v>19309</v>
      </c>
      <c r="J182" s="22" t="s">
        <v>19573</v>
      </c>
      <c r="K182" s="22" t="s">
        <v>19574</v>
      </c>
      <c r="L182" s="22"/>
      <c r="M182" s="22"/>
      <c r="N182" s="25" t="str">
        <f>HYPERLINK("http://slimages.macys.com/is/image/MCY/21907735 ")</f>
        <v xml:space="preserve">http://slimages.macys.com/is/image/MCY/21907735 </v>
      </c>
    </row>
    <row r="183" spans="1:14" x14ac:dyDescent="0.25">
      <c r="A183" s="21" t="s">
        <v>11584</v>
      </c>
      <c r="B183" s="22" t="s">
        <v>11585</v>
      </c>
      <c r="C183" s="2">
        <v>3</v>
      </c>
      <c r="D183" s="23">
        <v>15.99</v>
      </c>
      <c r="E183" s="3">
        <v>47.97</v>
      </c>
      <c r="F183" s="2" t="s">
        <v>11586</v>
      </c>
      <c r="G183" s="22" t="s">
        <v>19338</v>
      </c>
      <c r="H183" s="24" t="s">
        <v>19432</v>
      </c>
      <c r="I183" s="22" t="s">
        <v>19309</v>
      </c>
      <c r="J183" s="22" t="s">
        <v>19310</v>
      </c>
      <c r="K183" s="22" t="s">
        <v>19440</v>
      </c>
      <c r="L183" s="22"/>
      <c r="M183" s="22"/>
      <c r="N183" s="25" t="str">
        <f>HYPERLINK("http://slimages.macys.com/is/image/MCY/21149110 ")</f>
        <v xml:space="preserve">http://slimages.macys.com/is/image/MCY/21149110 </v>
      </c>
    </row>
    <row r="184" spans="1:14" ht="24.75" x14ac:dyDescent="0.25">
      <c r="A184" s="21" t="s">
        <v>11587</v>
      </c>
      <c r="B184" s="22" t="s">
        <v>11588</v>
      </c>
      <c r="C184" s="2">
        <v>1</v>
      </c>
      <c r="D184" s="23">
        <v>15.99</v>
      </c>
      <c r="E184" s="3">
        <v>15.99</v>
      </c>
      <c r="F184" s="2" t="s">
        <v>18120</v>
      </c>
      <c r="G184" s="22" t="s">
        <v>19338</v>
      </c>
      <c r="H184" s="24" t="s">
        <v>19395</v>
      </c>
      <c r="I184" s="22" t="s">
        <v>19309</v>
      </c>
      <c r="J184" s="22" t="s">
        <v>19310</v>
      </c>
      <c r="K184" s="22" t="s">
        <v>19440</v>
      </c>
      <c r="L184" s="22"/>
      <c r="M184" s="22"/>
      <c r="N184" s="25" t="str">
        <f>HYPERLINK("http://slimages.macys.com/is/image/MCY/20918922 ")</f>
        <v xml:space="preserve">http://slimages.macys.com/is/image/MCY/20918922 </v>
      </c>
    </row>
    <row r="185" spans="1:14" x14ac:dyDescent="0.25">
      <c r="A185" s="21" t="s">
        <v>11589</v>
      </c>
      <c r="B185" s="22" t="s">
        <v>11590</v>
      </c>
      <c r="C185" s="2">
        <v>1</v>
      </c>
      <c r="D185" s="23">
        <v>15.99</v>
      </c>
      <c r="E185" s="3">
        <v>15.99</v>
      </c>
      <c r="F185" s="2" t="s">
        <v>11586</v>
      </c>
      <c r="G185" s="22" t="s">
        <v>19338</v>
      </c>
      <c r="H185" s="24" t="s">
        <v>19542</v>
      </c>
      <c r="I185" s="22" t="s">
        <v>19309</v>
      </c>
      <c r="J185" s="22" t="s">
        <v>19310</v>
      </c>
      <c r="K185" s="22" t="s">
        <v>19440</v>
      </c>
      <c r="L185" s="22"/>
      <c r="M185" s="22"/>
      <c r="N185" s="25" t="str">
        <f>HYPERLINK("http://slimages.macys.com/is/image/MCY/21149110 ")</f>
        <v xml:space="preserve">http://slimages.macys.com/is/image/MCY/21149110 </v>
      </c>
    </row>
    <row r="186" spans="1:14" ht="24.75" x14ac:dyDescent="0.25">
      <c r="A186" s="21" t="s">
        <v>11591</v>
      </c>
      <c r="B186" s="22" t="s">
        <v>11592</v>
      </c>
      <c r="C186" s="2">
        <v>1</v>
      </c>
      <c r="D186" s="23">
        <v>15.99</v>
      </c>
      <c r="E186" s="3">
        <v>15.99</v>
      </c>
      <c r="F186" s="2" t="s">
        <v>18120</v>
      </c>
      <c r="G186" s="22" t="s">
        <v>19338</v>
      </c>
      <c r="H186" s="24" t="s">
        <v>19345</v>
      </c>
      <c r="I186" s="22" t="s">
        <v>19309</v>
      </c>
      <c r="J186" s="22" t="s">
        <v>19310</v>
      </c>
      <c r="K186" s="22" t="s">
        <v>19440</v>
      </c>
      <c r="L186" s="22"/>
      <c r="M186" s="22"/>
      <c r="N186" s="25" t="str">
        <f>HYPERLINK("http://slimages.macys.com/is/image/MCY/20918922 ")</f>
        <v xml:space="preserve">http://slimages.macys.com/is/image/MCY/20918922 </v>
      </c>
    </row>
    <row r="187" spans="1:14" x14ac:dyDescent="0.25">
      <c r="A187" s="21" t="s">
        <v>11593</v>
      </c>
      <c r="B187" s="22" t="s">
        <v>11594</v>
      </c>
      <c r="C187" s="2">
        <v>1</v>
      </c>
      <c r="D187" s="23">
        <v>19.989999999999998</v>
      </c>
      <c r="E187" s="3">
        <v>19.989999999999998</v>
      </c>
      <c r="F187" s="2" t="s">
        <v>11595</v>
      </c>
      <c r="G187" s="22" t="s">
        <v>19342</v>
      </c>
      <c r="H187" s="24" t="s">
        <v>19395</v>
      </c>
      <c r="I187" s="22" t="s">
        <v>19309</v>
      </c>
      <c r="J187" s="22" t="s">
        <v>19696</v>
      </c>
      <c r="K187" s="22" t="s">
        <v>19965</v>
      </c>
      <c r="L187" s="22"/>
      <c r="M187" s="22"/>
      <c r="N187" s="25" t="str">
        <f>HYPERLINK("http://slimages.macys.com/is/image/MCY/20583423 ")</f>
        <v xml:space="preserve">http://slimages.macys.com/is/image/MCY/20583423 </v>
      </c>
    </row>
    <row r="188" spans="1:14" ht="24.75" x14ac:dyDescent="0.25">
      <c r="A188" s="21" t="s">
        <v>11596</v>
      </c>
      <c r="B188" s="22" t="s">
        <v>11597</v>
      </c>
      <c r="C188" s="2">
        <v>1</v>
      </c>
      <c r="D188" s="23">
        <v>15.3</v>
      </c>
      <c r="E188" s="3">
        <v>15.3</v>
      </c>
      <c r="F188" s="2" t="s">
        <v>11598</v>
      </c>
      <c r="G188" s="22"/>
      <c r="H188" s="24" t="s">
        <v>19345</v>
      </c>
      <c r="I188" s="22" t="s">
        <v>19309</v>
      </c>
      <c r="J188" s="22" t="s">
        <v>19602</v>
      </c>
      <c r="K188" s="22" t="s">
        <v>19603</v>
      </c>
      <c r="L188" s="22"/>
      <c r="M188" s="22"/>
      <c r="N188" s="25" t="str">
        <f>HYPERLINK("http://slimages.macys.com/is/image/MCY/19944535 ")</f>
        <v xml:space="preserve">http://slimages.macys.com/is/image/MCY/19944535 </v>
      </c>
    </row>
    <row r="189" spans="1:14" x14ac:dyDescent="0.25">
      <c r="A189" s="21" t="s">
        <v>11599</v>
      </c>
      <c r="B189" s="22" t="s">
        <v>11600</v>
      </c>
      <c r="C189" s="2">
        <v>1</v>
      </c>
      <c r="D189" s="23">
        <v>16.989999999999998</v>
      </c>
      <c r="E189" s="3">
        <v>16.989999999999998</v>
      </c>
      <c r="F189" s="2" t="s">
        <v>11601</v>
      </c>
      <c r="G189" s="22" t="s">
        <v>19307</v>
      </c>
      <c r="H189" s="24" t="s">
        <v>19392</v>
      </c>
      <c r="I189" s="22" t="s">
        <v>19309</v>
      </c>
      <c r="J189" s="22" t="s">
        <v>19310</v>
      </c>
      <c r="K189" s="22" t="s">
        <v>19433</v>
      </c>
      <c r="L189" s="22"/>
      <c r="M189" s="22"/>
      <c r="N189" s="25" t="str">
        <f>HYPERLINK("http://slimages.macys.com/is/image/MCY/21964412 ")</f>
        <v xml:space="preserve">http://slimages.macys.com/is/image/MCY/21964412 </v>
      </c>
    </row>
    <row r="190" spans="1:14" ht="24.75" x14ac:dyDescent="0.25">
      <c r="A190" s="21" t="s">
        <v>11602</v>
      </c>
      <c r="B190" s="22" t="s">
        <v>11603</v>
      </c>
      <c r="C190" s="2">
        <v>1</v>
      </c>
      <c r="D190" s="23">
        <v>14</v>
      </c>
      <c r="E190" s="3">
        <v>14</v>
      </c>
      <c r="F190" s="2" t="s">
        <v>11604</v>
      </c>
      <c r="G190" s="22" t="s">
        <v>19351</v>
      </c>
      <c r="H190" s="24" t="s">
        <v>11605</v>
      </c>
      <c r="I190" s="22" t="s">
        <v>19309</v>
      </c>
      <c r="J190" s="22" t="s">
        <v>19317</v>
      </c>
      <c r="K190" s="22" t="s">
        <v>16124</v>
      </c>
      <c r="L190" s="22" t="s">
        <v>19319</v>
      </c>
      <c r="M190" s="22" t="s">
        <v>19320</v>
      </c>
      <c r="N190" s="25" t="str">
        <f>HYPERLINK("http://slimages.macys.com/is/image/MCY/13914363 ")</f>
        <v xml:space="preserve">http://slimages.macys.com/is/image/MCY/13914363 </v>
      </c>
    </row>
    <row r="191" spans="1:14" x14ac:dyDescent="0.25">
      <c r="A191" s="21" t="s">
        <v>11606</v>
      </c>
      <c r="B191" s="22" t="s">
        <v>11607</v>
      </c>
      <c r="C191" s="2">
        <v>1</v>
      </c>
      <c r="D191" s="23">
        <v>24</v>
      </c>
      <c r="E191" s="3">
        <v>24</v>
      </c>
      <c r="F191" s="2" t="s">
        <v>11608</v>
      </c>
      <c r="G191" s="22" t="s">
        <v>19674</v>
      </c>
      <c r="H191" s="24" t="s">
        <v>19770</v>
      </c>
      <c r="I191" s="22" t="s">
        <v>19309</v>
      </c>
      <c r="J191" s="22" t="s">
        <v>19417</v>
      </c>
      <c r="K191" s="22" t="s">
        <v>20110</v>
      </c>
      <c r="L191" s="22"/>
      <c r="M191" s="22"/>
      <c r="N191" s="25" t="str">
        <f>HYPERLINK("http://slimages.macys.com/is/image/MCY/22527679 ")</f>
        <v xml:space="preserve">http://slimages.macys.com/is/image/MCY/22527679 </v>
      </c>
    </row>
    <row r="192" spans="1:14" x14ac:dyDescent="0.25">
      <c r="A192" s="21" t="s">
        <v>11609</v>
      </c>
      <c r="B192" s="22" t="s">
        <v>11610</v>
      </c>
      <c r="C192" s="2">
        <v>1</v>
      </c>
      <c r="D192" s="23">
        <v>24</v>
      </c>
      <c r="E192" s="3">
        <v>24</v>
      </c>
      <c r="F192" s="2" t="s">
        <v>11611</v>
      </c>
      <c r="G192" s="22" t="s">
        <v>19351</v>
      </c>
      <c r="H192" s="24" t="s">
        <v>19770</v>
      </c>
      <c r="I192" s="22" t="s">
        <v>19309</v>
      </c>
      <c r="J192" s="22" t="s">
        <v>19417</v>
      </c>
      <c r="K192" s="22" t="s">
        <v>20110</v>
      </c>
      <c r="L192" s="22"/>
      <c r="M192" s="22"/>
      <c r="N192" s="25" t="str">
        <f>HYPERLINK("http://slimages.macys.com/is/image/MCY/22527606 ")</f>
        <v xml:space="preserve">http://slimages.macys.com/is/image/MCY/22527606 </v>
      </c>
    </row>
    <row r="193" spans="1:14" ht="24.75" x14ac:dyDescent="0.25">
      <c r="A193" s="21" t="s">
        <v>11612</v>
      </c>
      <c r="B193" s="22" t="s">
        <v>11613</v>
      </c>
      <c r="C193" s="2">
        <v>1</v>
      </c>
      <c r="D193" s="23">
        <v>42.5</v>
      </c>
      <c r="E193" s="3">
        <v>42.5</v>
      </c>
      <c r="F193" s="2" t="s">
        <v>20103</v>
      </c>
      <c r="G193" s="22" t="s">
        <v>19618</v>
      </c>
      <c r="H193" s="24" t="s">
        <v>11751</v>
      </c>
      <c r="I193" s="22" t="s">
        <v>19309</v>
      </c>
      <c r="J193" s="22" t="s">
        <v>20104</v>
      </c>
      <c r="K193" s="22" t="s">
        <v>20105</v>
      </c>
      <c r="L193" s="22"/>
      <c r="M193" s="22"/>
      <c r="N193" s="25" t="str">
        <f>HYPERLINK("http://slimages.macys.com/is/image/MCY/22159222 ")</f>
        <v xml:space="preserve">http://slimages.macys.com/is/image/MCY/22159222 </v>
      </c>
    </row>
    <row r="194" spans="1:14" x14ac:dyDescent="0.25">
      <c r="A194" s="21" t="s">
        <v>11614</v>
      </c>
      <c r="B194" s="22" t="s">
        <v>11615</v>
      </c>
      <c r="C194" s="2">
        <v>1</v>
      </c>
      <c r="D194" s="23">
        <v>19</v>
      </c>
      <c r="E194" s="3">
        <v>19</v>
      </c>
      <c r="F194" s="2" t="s">
        <v>11616</v>
      </c>
      <c r="G194" s="22" t="s">
        <v>19357</v>
      </c>
      <c r="H194" s="24" t="s">
        <v>19367</v>
      </c>
      <c r="I194" s="22" t="s">
        <v>19309</v>
      </c>
      <c r="J194" s="22" t="s">
        <v>19708</v>
      </c>
      <c r="K194" s="22" t="s">
        <v>19709</v>
      </c>
      <c r="L194" s="22"/>
      <c r="M194" s="22"/>
      <c r="N194" s="25" t="str">
        <f>HYPERLINK("http://slimages.macys.com/is/image/MCY/21726281 ")</f>
        <v xml:space="preserve">http://slimages.macys.com/is/image/MCY/21726281 </v>
      </c>
    </row>
    <row r="195" spans="1:14" ht="24.75" x14ac:dyDescent="0.25">
      <c r="A195" s="21" t="s">
        <v>11617</v>
      </c>
      <c r="B195" s="22" t="s">
        <v>11618</v>
      </c>
      <c r="C195" s="2">
        <v>1</v>
      </c>
      <c r="D195" s="23">
        <v>14.99</v>
      </c>
      <c r="E195" s="3">
        <v>14.99</v>
      </c>
      <c r="F195" s="2">
        <v>1989701</v>
      </c>
      <c r="G195" s="22" t="s">
        <v>19404</v>
      </c>
      <c r="H195" s="24" t="s">
        <v>19339</v>
      </c>
      <c r="I195" s="22" t="s">
        <v>19309</v>
      </c>
      <c r="J195" s="22" t="s">
        <v>15506</v>
      </c>
      <c r="K195" s="22" t="s">
        <v>15507</v>
      </c>
      <c r="L195" s="22"/>
      <c r="M195" s="22"/>
      <c r="N195" s="25" t="str">
        <f>HYPERLINK("http://slimages.macys.com/is/image/MCY/21316791 ")</f>
        <v xml:space="preserve">http://slimages.macys.com/is/image/MCY/21316791 </v>
      </c>
    </row>
    <row r="196" spans="1:14" x14ac:dyDescent="0.25">
      <c r="A196" s="21" t="s">
        <v>15450</v>
      </c>
      <c r="B196" s="22" t="s">
        <v>15451</v>
      </c>
      <c r="C196" s="2">
        <v>1</v>
      </c>
      <c r="D196" s="23">
        <v>18.77</v>
      </c>
      <c r="E196" s="3">
        <v>18.77</v>
      </c>
      <c r="F196" s="2" t="s">
        <v>20119</v>
      </c>
      <c r="G196" s="22"/>
      <c r="H196" s="24" t="s">
        <v>20159</v>
      </c>
      <c r="I196" s="22" t="s">
        <v>19309</v>
      </c>
      <c r="J196" s="22" t="s">
        <v>19708</v>
      </c>
      <c r="K196" s="22" t="s">
        <v>19709</v>
      </c>
      <c r="L196" s="22"/>
      <c r="M196" s="22"/>
      <c r="N196" s="25" t="str">
        <f>HYPERLINK("http://slimages.macys.com/is/image/MCY/22405750 ")</f>
        <v xml:space="preserve">http://slimages.macys.com/is/image/MCY/22405750 </v>
      </c>
    </row>
    <row r="197" spans="1:14" x14ac:dyDescent="0.25">
      <c r="A197" s="21" t="s">
        <v>11619</v>
      </c>
      <c r="B197" s="22" t="s">
        <v>11620</v>
      </c>
      <c r="C197" s="2">
        <v>1</v>
      </c>
      <c r="D197" s="23">
        <v>18.77</v>
      </c>
      <c r="E197" s="3">
        <v>18.77</v>
      </c>
      <c r="F197" s="2" t="s">
        <v>18156</v>
      </c>
      <c r="G197" s="22"/>
      <c r="H197" s="24" t="s">
        <v>20159</v>
      </c>
      <c r="I197" s="22" t="s">
        <v>19309</v>
      </c>
      <c r="J197" s="22" t="s">
        <v>19708</v>
      </c>
      <c r="K197" s="22" t="s">
        <v>19709</v>
      </c>
      <c r="L197" s="22"/>
      <c r="M197" s="22"/>
      <c r="N197" s="25" t="str">
        <f>HYPERLINK("http://slimages.macys.com/is/image/MCY/22596095 ")</f>
        <v xml:space="preserve">http://slimages.macys.com/is/image/MCY/22596095 </v>
      </c>
    </row>
    <row r="198" spans="1:14" x14ac:dyDescent="0.25">
      <c r="A198" s="21" t="s">
        <v>11621</v>
      </c>
      <c r="B198" s="22" t="s">
        <v>11622</v>
      </c>
      <c r="C198" s="2">
        <v>1</v>
      </c>
      <c r="D198" s="23">
        <v>18.77</v>
      </c>
      <c r="E198" s="3">
        <v>18.77</v>
      </c>
      <c r="F198" s="2" t="s">
        <v>18156</v>
      </c>
      <c r="G198" s="22"/>
      <c r="H198" s="24" t="s">
        <v>19770</v>
      </c>
      <c r="I198" s="22" t="s">
        <v>19309</v>
      </c>
      <c r="J198" s="22" t="s">
        <v>19708</v>
      </c>
      <c r="K198" s="22" t="s">
        <v>19709</v>
      </c>
      <c r="L198" s="22"/>
      <c r="M198" s="22"/>
      <c r="N198" s="25" t="str">
        <f>HYPERLINK("http://slimages.macys.com/is/image/MCY/22596095 ")</f>
        <v xml:space="preserve">http://slimages.macys.com/is/image/MCY/22596095 </v>
      </c>
    </row>
    <row r="199" spans="1:14" x14ac:dyDescent="0.25">
      <c r="A199" s="21" t="s">
        <v>11623</v>
      </c>
      <c r="B199" s="22" t="s">
        <v>11624</v>
      </c>
      <c r="C199" s="2">
        <v>1</v>
      </c>
      <c r="D199" s="23">
        <v>18.77</v>
      </c>
      <c r="E199" s="3">
        <v>18.77</v>
      </c>
      <c r="F199" s="2" t="s">
        <v>18156</v>
      </c>
      <c r="G199" s="22"/>
      <c r="H199" s="24" t="s">
        <v>19416</v>
      </c>
      <c r="I199" s="22" t="s">
        <v>19309</v>
      </c>
      <c r="J199" s="22" t="s">
        <v>19708</v>
      </c>
      <c r="K199" s="22" t="s">
        <v>19709</v>
      </c>
      <c r="L199" s="22"/>
      <c r="M199" s="22"/>
      <c r="N199" s="25" t="str">
        <f>HYPERLINK("http://slimages.macys.com/is/image/MCY/22596095 ")</f>
        <v xml:space="preserve">http://slimages.macys.com/is/image/MCY/22596095 </v>
      </c>
    </row>
    <row r="200" spans="1:14" x14ac:dyDescent="0.25">
      <c r="A200" s="21" t="s">
        <v>18154</v>
      </c>
      <c r="B200" s="22" t="s">
        <v>18155</v>
      </c>
      <c r="C200" s="2">
        <v>2</v>
      </c>
      <c r="D200" s="23">
        <v>18.77</v>
      </c>
      <c r="E200" s="3">
        <v>37.54</v>
      </c>
      <c r="F200" s="2" t="s">
        <v>18156</v>
      </c>
      <c r="G200" s="22"/>
      <c r="H200" s="24" t="s">
        <v>19330</v>
      </c>
      <c r="I200" s="22" t="s">
        <v>19309</v>
      </c>
      <c r="J200" s="22" t="s">
        <v>19708</v>
      </c>
      <c r="K200" s="22" t="s">
        <v>19709</v>
      </c>
      <c r="L200" s="22"/>
      <c r="M200" s="22"/>
      <c r="N200" s="25" t="str">
        <f>HYPERLINK("http://slimages.macys.com/is/image/MCY/22596095 ")</f>
        <v xml:space="preserve">http://slimages.macys.com/is/image/MCY/22596095 </v>
      </c>
    </row>
    <row r="201" spans="1:14" x14ac:dyDescent="0.25">
      <c r="A201" s="21" t="s">
        <v>13086</v>
      </c>
      <c r="B201" s="22" t="s">
        <v>13087</v>
      </c>
      <c r="C201" s="2">
        <v>1</v>
      </c>
      <c r="D201" s="23">
        <v>18.77</v>
      </c>
      <c r="E201" s="3">
        <v>18.77</v>
      </c>
      <c r="F201" s="2" t="s">
        <v>20119</v>
      </c>
      <c r="G201" s="22"/>
      <c r="H201" s="24" t="s">
        <v>19367</v>
      </c>
      <c r="I201" s="22" t="s">
        <v>19309</v>
      </c>
      <c r="J201" s="22" t="s">
        <v>19708</v>
      </c>
      <c r="K201" s="22" t="s">
        <v>19709</v>
      </c>
      <c r="L201" s="22"/>
      <c r="M201" s="22"/>
      <c r="N201" s="25" t="str">
        <f>HYPERLINK("http://slimages.macys.com/is/image/MCY/22405750 ")</f>
        <v xml:space="preserve">http://slimages.macys.com/is/image/MCY/22405750 </v>
      </c>
    </row>
    <row r="202" spans="1:14" x14ac:dyDescent="0.25">
      <c r="A202" s="21" t="s">
        <v>11625</v>
      </c>
      <c r="B202" s="22" t="s">
        <v>11626</v>
      </c>
      <c r="C202" s="2">
        <v>1</v>
      </c>
      <c r="D202" s="23">
        <v>18.77</v>
      </c>
      <c r="E202" s="3">
        <v>18.77</v>
      </c>
      <c r="F202" s="2" t="s">
        <v>20119</v>
      </c>
      <c r="G202" s="22"/>
      <c r="H202" s="24" t="s">
        <v>20152</v>
      </c>
      <c r="I202" s="22" t="s">
        <v>19309</v>
      </c>
      <c r="J202" s="22" t="s">
        <v>19708</v>
      </c>
      <c r="K202" s="22" t="s">
        <v>19709</v>
      </c>
      <c r="L202" s="22"/>
      <c r="M202" s="22"/>
      <c r="N202" s="25" t="str">
        <f>HYPERLINK("http://slimages.macys.com/is/image/MCY/22405750 ")</f>
        <v xml:space="preserve">http://slimages.macys.com/is/image/MCY/22405750 </v>
      </c>
    </row>
    <row r="203" spans="1:14" x14ac:dyDescent="0.25">
      <c r="A203" s="21" t="s">
        <v>11627</v>
      </c>
      <c r="B203" s="22" t="s">
        <v>11628</v>
      </c>
      <c r="C203" s="2">
        <v>1</v>
      </c>
      <c r="D203" s="23">
        <v>18.77</v>
      </c>
      <c r="E203" s="3">
        <v>18.77</v>
      </c>
      <c r="F203" s="2" t="s">
        <v>20116</v>
      </c>
      <c r="G203" s="22"/>
      <c r="H203" s="24" t="s">
        <v>19367</v>
      </c>
      <c r="I203" s="22" t="s">
        <v>19309</v>
      </c>
      <c r="J203" s="22" t="s">
        <v>19708</v>
      </c>
      <c r="K203" s="22" t="s">
        <v>19709</v>
      </c>
      <c r="L203" s="22"/>
      <c r="M203" s="22"/>
      <c r="N203" s="25" t="str">
        <f>HYPERLINK("http://slimages.macys.com/is/image/MCY/22405951 ")</f>
        <v xml:space="preserve">http://slimages.macys.com/is/image/MCY/22405951 </v>
      </c>
    </row>
    <row r="204" spans="1:14" x14ac:dyDescent="0.25">
      <c r="A204" s="21" t="s">
        <v>11629</v>
      </c>
      <c r="B204" s="22" t="s">
        <v>11630</v>
      </c>
      <c r="C204" s="2">
        <v>2</v>
      </c>
      <c r="D204" s="23">
        <v>18.77</v>
      </c>
      <c r="E204" s="3">
        <v>37.54</v>
      </c>
      <c r="F204" s="2" t="s">
        <v>18156</v>
      </c>
      <c r="G204" s="22"/>
      <c r="H204" s="24" t="s">
        <v>20152</v>
      </c>
      <c r="I204" s="22" t="s">
        <v>19309</v>
      </c>
      <c r="J204" s="22" t="s">
        <v>19708</v>
      </c>
      <c r="K204" s="22" t="s">
        <v>19709</v>
      </c>
      <c r="L204" s="22"/>
      <c r="M204" s="22"/>
      <c r="N204" s="25" t="str">
        <f>HYPERLINK("http://slimages.macys.com/is/image/MCY/22596095 ")</f>
        <v xml:space="preserve">http://slimages.macys.com/is/image/MCY/22596095 </v>
      </c>
    </row>
    <row r="205" spans="1:14" x14ac:dyDescent="0.25">
      <c r="A205" s="21" t="s">
        <v>11631</v>
      </c>
      <c r="B205" s="22" t="s">
        <v>11632</v>
      </c>
      <c r="C205" s="2">
        <v>1</v>
      </c>
      <c r="D205" s="23">
        <v>24.99</v>
      </c>
      <c r="E205" s="3">
        <v>24.99</v>
      </c>
      <c r="F205" s="2" t="s">
        <v>11633</v>
      </c>
      <c r="G205" s="22" t="s">
        <v>19674</v>
      </c>
      <c r="H205" s="24" t="s">
        <v>19364</v>
      </c>
      <c r="I205" s="22" t="s">
        <v>19309</v>
      </c>
      <c r="J205" s="22" t="s">
        <v>19849</v>
      </c>
      <c r="K205" s="22" t="s">
        <v>19850</v>
      </c>
      <c r="L205" s="22"/>
      <c r="M205" s="22"/>
      <c r="N205" s="25" t="str">
        <f>HYPERLINK("http://slimages.macys.com/is/image/MCY/20549494 ")</f>
        <v xml:space="preserve">http://slimages.macys.com/is/image/MCY/20549494 </v>
      </c>
    </row>
    <row r="206" spans="1:14" ht="24.75" x14ac:dyDescent="0.25">
      <c r="A206" s="21" t="s">
        <v>11634</v>
      </c>
      <c r="B206" s="22" t="s">
        <v>11635</v>
      </c>
      <c r="C206" s="2">
        <v>1</v>
      </c>
      <c r="D206" s="23">
        <v>16.989999999999998</v>
      </c>
      <c r="E206" s="3">
        <v>16.989999999999998</v>
      </c>
      <c r="F206" s="2" t="s">
        <v>20138</v>
      </c>
      <c r="G206" s="22" t="s">
        <v>19323</v>
      </c>
      <c r="H206" s="24" t="s">
        <v>20135</v>
      </c>
      <c r="I206" s="22" t="s">
        <v>19309</v>
      </c>
      <c r="J206" s="22" t="s">
        <v>19908</v>
      </c>
      <c r="K206" s="22" t="s">
        <v>19524</v>
      </c>
      <c r="L206" s="22"/>
      <c r="M206" s="22"/>
      <c r="N206" s="25" t="str">
        <f>HYPERLINK("http://slimages.macys.com/is/image/MCY/21070306 ")</f>
        <v xml:space="preserve">http://slimages.macys.com/is/image/MCY/21070306 </v>
      </c>
    </row>
    <row r="207" spans="1:14" x14ac:dyDescent="0.25">
      <c r="A207" s="21" t="s">
        <v>11636</v>
      </c>
      <c r="B207" s="22" t="s">
        <v>11637</v>
      </c>
      <c r="C207" s="2">
        <v>1</v>
      </c>
      <c r="D207" s="23">
        <v>18.66</v>
      </c>
      <c r="E207" s="3">
        <v>18.66</v>
      </c>
      <c r="F207" s="2" t="s">
        <v>11638</v>
      </c>
      <c r="G207" s="22" t="s">
        <v>19431</v>
      </c>
      <c r="H207" s="24" t="s">
        <v>20159</v>
      </c>
      <c r="I207" s="22" t="s">
        <v>19309</v>
      </c>
      <c r="J207" s="22" t="s">
        <v>19708</v>
      </c>
      <c r="K207" s="22" t="s">
        <v>19709</v>
      </c>
      <c r="L207" s="22"/>
      <c r="M207" s="22"/>
      <c r="N207" s="25" t="str">
        <f>HYPERLINK("http://slimages.macys.com/is/image/MCY/21414177 ")</f>
        <v xml:space="preserve">http://slimages.macys.com/is/image/MCY/21414177 </v>
      </c>
    </row>
    <row r="208" spans="1:14" x14ac:dyDescent="0.25">
      <c r="A208" s="21" t="s">
        <v>11639</v>
      </c>
      <c r="B208" s="22" t="s">
        <v>11640</v>
      </c>
      <c r="C208" s="2">
        <v>1</v>
      </c>
      <c r="D208" s="23">
        <v>18.66</v>
      </c>
      <c r="E208" s="3">
        <v>18.66</v>
      </c>
      <c r="F208" s="2" t="s">
        <v>11641</v>
      </c>
      <c r="G208" s="22" t="s">
        <v>19357</v>
      </c>
      <c r="H208" s="24" t="s">
        <v>19416</v>
      </c>
      <c r="I208" s="22" t="s">
        <v>19309</v>
      </c>
      <c r="J208" s="22" t="s">
        <v>19708</v>
      </c>
      <c r="K208" s="22" t="s">
        <v>19709</v>
      </c>
      <c r="L208" s="22"/>
      <c r="M208" s="22"/>
      <c r="N208" s="25" t="str">
        <f>HYPERLINK("http://slimages.macys.com/is/image/MCY/21410898 ")</f>
        <v xml:space="preserve">http://slimages.macys.com/is/image/MCY/21410898 </v>
      </c>
    </row>
    <row r="209" spans="1:14" x14ac:dyDescent="0.25">
      <c r="A209" s="21" t="s">
        <v>11642</v>
      </c>
      <c r="B209" s="22" t="s">
        <v>11643</v>
      </c>
      <c r="C209" s="2">
        <v>1</v>
      </c>
      <c r="D209" s="23">
        <v>14.67</v>
      </c>
      <c r="E209" s="3">
        <v>14.67</v>
      </c>
      <c r="F209" s="2" t="s">
        <v>11644</v>
      </c>
      <c r="G209" s="22" t="s">
        <v>19431</v>
      </c>
      <c r="H209" s="24" t="s">
        <v>20152</v>
      </c>
      <c r="I209" s="22" t="s">
        <v>19309</v>
      </c>
      <c r="J209" s="22" t="s">
        <v>19708</v>
      </c>
      <c r="K209" s="22" t="s">
        <v>19709</v>
      </c>
      <c r="L209" s="22"/>
      <c r="M209" s="22"/>
      <c r="N209" s="25" t="str">
        <f>HYPERLINK("http://slimages.macys.com/is/image/MCY/19060484 ")</f>
        <v xml:space="preserve">http://slimages.macys.com/is/image/MCY/19060484 </v>
      </c>
    </row>
    <row r="210" spans="1:14" x14ac:dyDescent="0.25">
      <c r="A210" s="21" t="s">
        <v>11645</v>
      </c>
      <c r="B210" s="22" t="s">
        <v>11646</v>
      </c>
      <c r="C210" s="2">
        <v>1</v>
      </c>
      <c r="D210" s="23">
        <v>14.67</v>
      </c>
      <c r="E210" s="3">
        <v>14.67</v>
      </c>
      <c r="F210" s="2" t="s">
        <v>11647</v>
      </c>
      <c r="G210" s="22" t="s">
        <v>19323</v>
      </c>
      <c r="H210" s="24" t="s">
        <v>19770</v>
      </c>
      <c r="I210" s="22" t="s">
        <v>19309</v>
      </c>
      <c r="J210" s="22" t="s">
        <v>19708</v>
      </c>
      <c r="K210" s="22" t="s">
        <v>19709</v>
      </c>
      <c r="L210" s="22"/>
      <c r="M210" s="22"/>
      <c r="N210" s="25" t="str">
        <f>HYPERLINK("http://slimages.macys.com/is/image/MCY/19066933 ")</f>
        <v xml:space="preserve">http://slimages.macys.com/is/image/MCY/19066933 </v>
      </c>
    </row>
    <row r="211" spans="1:14" ht="24.75" x14ac:dyDescent="0.25">
      <c r="A211" s="21" t="s">
        <v>11648</v>
      </c>
      <c r="B211" s="22" t="s">
        <v>11649</v>
      </c>
      <c r="C211" s="2">
        <v>1</v>
      </c>
      <c r="D211" s="23">
        <v>16.21</v>
      </c>
      <c r="E211" s="3">
        <v>16.21</v>
      </c>
      <c r="F211" s="2" t="s">
        <v>13114</v>
      </c>
      <c r="G211" s="22"/>
      <c r="H211" s="24" t="s">
        <v>19392</v>
      </c>
      <c r="I211" s="22" t="s">
        <v>19309</v>
      </c>
      <c r="J211" s="22" t="s">
        <v>19602</v>
      </c>
      <c r="K211" s="22" t="s">
        <v>20041</v>
      </c>
      <c r="L211" s="22"/>
      <c r="M211" s="22"/>
      <c r="N211" s="25" t="str">
        <f>HYPERLINK("http://slimages.macys.com/is/image/MCY/21728915 ")</f>
        <v xml:space="preserve">http://slimages.macys.com/is/image/MCY/21728915 </v>
      </c>
    </row>
    <row r="212" spans="1:14" ht="24.75" x14ac:dyDescent="0.25">
      <c r="A212" s="21" t="s">
        <v>11650</v>
      </c>
      <c r="B212" s="22" t="s">
        <v>11651</v>
      </c>
      <c r="C212" s="2">
        <v>1</v>
      </c>
      <c r="D212" s="23">
        <v>16.21</v>
      </c>
      <c r="E212" s="3">
        <v>16.21</v>
      </c>
      <c r="F212" s="2" t="s">
        <v>16057</v>
      </c>
      <c r="G212" s="22"/>
      <c r="H212" s="24" t="s">
        <v>19392</v>
      </c>
      <c r="I212" s="22" t="s">
        <v>19309</v>
      </c>
      <c r="J212" s="22" t="s">
        <v>19602</v>
      </c>
      <c r="K212" s="22" t="s">
        <v>20041</v>
      </c>
      <c r="L212" s="22"/>
      <c r="M212" s="22"/>
      <c r="N212" s="25" t="str">
        <f>HYPERLINK("http://slimages.macys.com/is/image/MCY/21728915 ")</f>
        <v xml:space="preserve">http://slimages.macys.com/is/image/MCY/21728915 </v>
      </c>
    </row>
    <row r="213" spans="1:14" x14ac:dyDescent="0.25">
      <c r="A213" s="21" t="s">
        <v>11652</v>
      </c>
      <c r="B213" s="22" t="s">
        <v>11653</v>
      </c>
      <c r="C213" s="2">
        <v>1</v>
      </c>
      <c r="D213" s="23">
        <v>13.99</v>
      </c>
      <c r="E213" s="3">
        <v>13.99</v>
      </c>
      <c r="F213" s="2" t="s">
        <v>11654</v>
      </c>
      <c r="G213" s="22" t="s">
        <v>19477</v>
      </c>
      <c r="H213" s="24" t="s">
        <v>19352</v>
      </c>
      <c r="I213" s="22" t="s">
        <v>19309</v>
      </c>
      <c r="J213" s="22" t="s">
        <v>19849</v>
      </c>
      <c r="K213" s="22" t="s">
        <v>19850</v>
      </c>
      <c r="L213" s="22"/>
      <c r="M213" s="22"/>
      <c r="N213" s="25" t="str">
        <f>HYPERLINK("http://slimages.macys.com/is/image/MCY/20940440 ")</f>
        <v xml:space="preserve">http://slimages.macys.com/is/image/MCY/20940440 </v>
      </c>
    </row>
    <row r="214" spans="1:14" x14ac:dyDescent="0.25">
      <c r="A214" s="21" t="s">
        <v>20169</v>
      </c>
      <c r="B214" s="22" t="s">
        <v>20170</v>
      </c>
      <c r="C214" s="2">
        <v>1</v>
      </c>
      <c r="D214" s="23">
        <v>16.989999999999998</v>
      </c>
      <c r="E214" s="3">
        <v>16.989999999999998</v>
      </c>
      <c r="F214" s="2" t="s">
        <v>20168</v>
      </c>
      <c r="G214" s="22" t="s">
        <v>19618</v>
      </c>
      <c r="H214" s="24" t="s">
        <v>19364</v>
      </c>
      <c r="I214" s="22" t="s">
        <v>19309</v>
      </c>
      <c r="J214" s="22" t="s">
        <v>19849</v>
      </c>
      <c r="K214" s="22" t="s">
        <v>19850</v>
      </c>
      <c r="L214" s="22"/>
      <c r="M214" s="22"/>
      <c r="N214" s="25" t="str">
        <f>HYPERLINK("http://slimages.macys.com/is/image/MCY/20752002 ")</f>
        <v xml:space="preserve">http://slimages.macys.com/is/image/MCY/20752002 </v>
      </c>
    </row>
    <row r="215" spans="1:14" x14ac:dyDescent="0.25">
      <c r="A215" s="21" t="s">
        <v>15469</v>
      </c>
      <c r="B215" s="22" t="s">
        <v>15470</v>
      </c>
      <c r="C215" s="2">
        <v>1</v>
      </c>
      <c r="D215" s="23">
        <v>16.989999999999998</v>
      </c>
      <c r="E215" s="3">
        <v>16.989999999999998</v>
      </c>
      <c r="F215" s="2" t="s">
        <v>20168</v>
      </c>
      <c r="G215" s="22" t="s">
        <v>19618</v>
      </c>
      <c r="H215" s="24" t="s">
        <v>19339</v>
      </c>
      <c r="I215" s="22" t="s">
        <v>19309</v>
      </c>
      <c r="J215" s="22" t="s">
        <v>19849</v>
      </c>
      <c r="K215" s="22" t="s">
        <v>19850</v>
      </c>
      <c r="L215" s="22"/>
      <c r="M215" s="22"/>
      <c r="N215" s="25" t="str">
        <f>HYPERLINK("http://slimages.macys.com/is/image/MCY/20752002 ")</f>
        <v xml:space="preserve">http://slimages.macys.com/is/image/MCY/20752002 </v>
      </c>
    </row>
    <row r="216" spans="1:14" x14ac:dyDescent="0.25">
      <c r="A216" s="21" t="s">
        <v>11655</v>
      </c>
      <c r="B216" s="22" t="s">
        <v>11656</v>
      </c>
      <c r="C216" s="2">
        <v>2</v>
      </c>
      <c r="D216" s="23">
        <v>16.989999999999998</v>
      </c>
      <c r="E216" s="3">
        <v>33.979999999999997</v>
      </c>
      <c r="F216" s="2" t="s">
        <v>20168</v>
      </c>
      <c r="G216" s="22" t="s">
        <v>19618</v>
      </c>
      <c r="H216" s="24" t="s">
        <v>19797</v>
      </c>
      <c r="I216" s="22" t="s">
        <v>19309</v>
      </c>
      <c r="J216" s="22" t="s">
        <v>19849</v>
      </c>
      <c r="K216" s="22" t="s">
        <v>19850</v>
      </c>
      <c r="L216" s="22"/>
      <c r="M216" s="22"/>
      <c r="N216" s="25" t="str">
        <f>HYPERLINK("http://slimages.macys.com/is/image/MCY/20752002 ")</f>
        <v xml:space="preserve">http://slimages.macys.com/is/image/MCY/20752002 </v>
      </c>
    </row>
    <row r="217" spans="1:14" x14ac:dyDescent="0.25">
      <c r="A217" s="21" t="s">
        <v>20166</v>
      </c>
      <c r="B217" s="22" t="s">
        <v>20167</v>
      </c>
      <c r="C217" s="2">
        <v>1</v>
      </c>
      <c r="D217" s="23">
        <v>16.989999999999998</v>
      </c>
      <c r="E217" s="3">
        <v>16.989999999999998</v>
      </c>
      <c r="F217" s="2" t="s">
        <v>20168</v>
      </c>
      <c r="G217" s="22" t="s">
        <v>19618</v>
      </c>
      <c r="H217" s="24" t="s">
        <v>19352</v>
      </c>
      <c r="I217" s="22" t="s">
        <v>19309</v>
      </c>
      <c r="J217" s="22" t="s">
        <v>19849</v>
      </c>
      <c r="K217" s="22" t="s">
        <v>19850</v>
      </c>
      <c r="L217" s="22"/>
      <c r="M217" s="22"/>
      <c r="N217" s="25" t="str">
        <f>HYPERLINK("http://slimages.macys.com/is/image/MCY/20752002 ")</f>
        <v xml:space="preserve">http://slimages.macys.com/is/image/MCY/20752002 </v>
      </c>
    </row>
    <row r="218" spans="1:14" x14ac:dyDescent="0.25">
      <c r="A218" s="21" t="s">
        <v>12104</v>
      </c>
      <c r="B218" s="22" t="s">
        <v>20186</v>
      </c>
      <c r="C218" s="2">
        <v>1</v>
      </c>
      <c r="D218" s="23">
        <v>17.87</v>
      </c>
      <c r="E218" s="3">
        <v>17.87</v>
      </c>
      <c r="F218" s="2" t="s">
        <v>12105</v>
      </c>
      <c r="G218" s="22"/>
      <c r="H218" s="24" t="s">
        <v>19367</v>
      </c>
      <c r="I218" s="22" t="s">
        <v>19309</v>
      </c>
      <c r="J218" s="22" t="s">
        <v>19708</v>
      </c>
      <c r="K218" s="22" t="s">
        <v>19709</v>
      </c>
      <c r="L218" s="22"/>
      <c r="M218" s="22"/>
      <c r="N218" s="25" t="str">
        <f>HYPERLINK("http://slimages.macys.com/is/image/MCY/22405692 ")</f>
        <v xml:space="preserve">http://slimages.macys.com/is/image/MCY/22405692 </v>
      </c>
    </row>
    <row r="219" spans="1:14" x14ac:dyDescent="0.25">
      <c r="A219" s="21" t="s">
        <v>20171</v>
      </c>
      <c r="B219" s="22" t="s">
        <v>20172</v>
      </c>
      <c r="C219" s="2">
        <v>1</v>
      </c>
      <c r="D219" s="23">
        <v>17.87</v>
      </c>
      <c r="E219" s="3">
        <v>17.87</v>
      </c>
      <c r="F219" s="2" t="s">
        <v>20173</v>
      </c>
      <c r="G219" s="22"/>
      <c r="H219" s="24" t="s">
        <v>19770</v>
      </c>
      <c r="I219" s="22" t="s">
        <v>19309</v>
      </c>
      <c r="J219" s="22" t="s">
        <v>19708</v>
      </c>
      <c r="K219" s="22" t="s">
        <v>19709</v>
      </c>
      <c r="L219" s="22"/>
      <c r="M219" s="22"/>
      <c r="N219" s="25" t="str">
        <f>HYPERLINK("http://slimages.macys.com/is/image/MCY/22405672 ")</f>
        <v xml:space="preserve">http://slimages.macys.com/is/image/MCY/22405672 </v>
      </c>
    </row>
    <row r="220" spans="1:14" x14ac:dyDescent="0.25">
      <c r="A220" s="21" t="s">
        <v>13133</v>
      </c>
      <c r="B220" s="22" t="s">
        <v>13134</v>
      </c>
      <c r="C220" s="2">
        <v>2</v>
      </c>
      <c r="D220" s="23">
        <v>17.87</v>
      </c>
      <c r="E220" s="3">
        <v>35.74</v>
      </c>
      <c r="F220" s="2" t="s">
        <v>18184</v>
      </c>
      <c r="G220" s="22"/>
      <c r="H220" s="24" t="s">
        <v>19770</v>
      </c>
      <c r="I220" s="22" t="s">
        <v>19309</v>
      </c>
      <c r="J220" s="22" t="s">
        <v>19708</v>
      </c>
      <c r="K220" s="22" t="s">
        <v>19709</v>
      </c>
      <c r="L220" s="22"/>
      <c r="M220" s="22"/>
      <c r="N220" s="25" t="str">
        <f>HYPERLINK("http://slimages.macys.com/is/image/MCY/22595811 ")</f>
        <v xml:space="preserve">http://slimages.macys.com/is/image/MCY/22595811 </v>
      </c>
    </row>
    <row r="221" spans="1:14" x14ac:dyDescent="0.25">
      <c r="A221" s="21" t="s">
        <v>13129</v>
      </c>
      <c r="B221" s="22" t="s">
        <v>13130</v>
      </c>
      <c r="C221" s="2">
        <v>1</v>
      </c>
      <c r="D221" s="23">
        <v>17.87</v>
      </c>
      <c r="E221" s="3">
        <v>17.87</v>
      </c>
      <c r="F221" s="2" t="s">
        <v>20182</v>
      </c>
      <c r="G221" s="22"/>
      <c r="H221" s="24" t="s">
        <v>20152</v>
      </c>
      <c r="I221" s="22" t="s">
        <v>19309</v>
      </c>
      <c r="J221" s="22" t="s">
        <v>19708</v>
      </c>
      <c r="K221" s="22" t="s">
        <v>19709</v>
      </c>
      <c r="L221" s="22"/>
      <c r="M221" s="22"/>
      <c r="N221" s="25" t="str">
        <f>HYPERLINK("http://slimages.macys.com/is/image/MCY/22405971 ")</f>
        <v xml:space="preserve">http://slimages.macys.com/is/image/MCY/22405971 </v>
      </c>
    </row>
    <row r="222" spans="1:14" x14ac:dyDescent="0.25">
      <c r="A222" s="21" t="s">
        <v>11657</v>
      </c>
      <c r="B222" s="22" t="s">
        <v>11658</v>
      </c>
      <c r="C222" s="2">
        <v>1</v>
      </c>
      <c r="D222" s="23">
        <v>15</v>
      </c>
      <c r="E222" s="3">
        <v>15</v>
      </c>
      <c r="F222" s="2" t="s">
        <v>11659</v>
      </c>
      <c r="G222" s="22" t="s">
        <v>19622</v>
      </c>
      <c r="H222" s="24" t="s">
        <v>19432</v>
      </c>
      <c r="I222" s="22" t="s">
        <v>19309</v>
      </c>
      <c r="J222" s="22" t="s">
        <v>19310</v>
      </c>
      <c r="K222" s="22" t="s">
        <v>19433</v>
      </c>
      <c r="L222" s="22"/>
      <c r="M222" s="22"/>
      <c r="N222" s="25" t="str">
        <f>HYPERLINK("http://slimages.macys.com/is/image/MCY/20988705 ")</f>
        <v xml:space="preserve">http://slimages.macys.com/is/image/MCY/20988705 </v>
      </c>
    </row>
    <row r="223" spans="1:14" x14ac:dyDescent="0.25">
      <c r="A223" s="21" t="s">
        <v>11660</v>
      </c>
      <c r="B223" s="22" t="s">
        <v>11661</v>
      </c>
      <c r="C223" s="2">
        <v>1</v>
      </c>
      <c r="D223" s="23">
        <v>13.99</v>
      </c>
      <c r="E223" s="3">
        <v>13.99</v>
      </c>
      <c r="F223" s="2" t="s">
        <v>11662</v>
      </c>
      <c r="G223" s="22" t="s">
        <v>19467</v>
      </c>
      <c r="H223" s="24" t="s">
        <v>19361</v>
      </c>
      <c r="I223" s="22" t="s">
        <v>19309</v>
      </c>
      <c r="J223" s="22" t="s">
        <v>19310</v>
      </c>
      <c r="K223" s="22" t="s">
        <v>19468</v>
      </c>
      <c r="L223" s="22"/>
      <c r="M223" s="22"/>
      <c r="N223" s="25" t="str">
        <f>HYPERLINK("http://slimages.macys.com/is/image/MCY/19764485 ")</f>
        <v xml:space="preserve">http://slimages.macys.com/is/image/MCY/19764485 </v>
      </c>
    </row>
    <row r="224" spans="1:14" ht="24.75" x14ac:dyDescent="0.25">
      <c r="A224" s="21" t="s">
        <v>11663</v>
      </c>
      <c r="B224" s="22" t="s">
        <v>11664</v>
      </c>
      <c r="C224" s="2">
        <v>1</v>
      </c>
      <c r="D224" s="23">
        <v>17.989999999999998</v>
      </c>
      <c r="E224" s="3">
        <v>17.989999999999998</v>
      </c>
      <c r="F224" s="2" t="s">
        <v>11665</v>
      </c>
      <c r="G224" s="22" t="s">
        <v>15032</v>
      </c>
      <c r="H224" s="24"/>
      <c r="I224" s="22" t="s">
        <v>19309</v>
      </c>
      <c r="J224" s="22" t="s">
        <v>19519</v>
      </c>
      <c r="K224" s="22" t="s">
        <v>17794</v>
      </c>
      <c r="L224" s="22"/>
      <c r="M224" s="22"/>
      <c r="N224" s="25" t="str">
        <f>HYPERLINK("http://slimages.macys.com/is/image/MCY/21264413 ")</f>
        <v xml:space="preserve">http://slimages.macys.com/is/image/MCY/21264413 </v>
      </c>
    </row>
    <row r="225" spans="1:14" ht="24.75" x14ac:dyDescent="0.25">
      <c r="A225" s="21" t="s">
        <v>11666</v>
      </c>
      <c r="B225" s="22" t="s">
        <v>11667</v>
      </c>
      <c r="C225" s="2">
        <v>1</v>
      </c>
      <c r="D225" s="23">
        <v>15.99</v>
      </c>
      <c r="E225" s="3">
        <v>15.99</v>
      </c>
      <c r="F225" s="2" t="s">
        <v>11668</v>
      </c>
      <c r="G225" s="22" t="s">
        <v>19323</v>
      </c>
      <c r="H225" s="24" t="s">
        <v>19324</v>
      </c>
      <c r="I225" s="22" t="s">
        <v>19309</v>
      </c>
      <c r="J225" s="22" t="s">
        <v>19385</v>
      </c>
      <c r="K225" s="22" t="s">
        <v>18197</v>
      </c>
      <c r="L225" s="22"/>
      <c r="M225" s="22"/>
      <c r="N225" s="25" t="str">
        <f>HYPERLINK("http://slimages.macys.com/is/image/MCY/21541853 ")</f>
        <v xml:space="preserve">http://slimages.macys.com/is/image/MCY/21541853 </v>
      </c>
    </row>
    <row r="226" spans="1:14" ht="24.75" x14ac:dyDescent="0.25">
      <c r="A226" s="21" t="s">
        <v>11669</v>
      </c>
      <c r="B226" s="22" t="s">
        <v>11670</v>
      </c>
      <c r="C226" s="2">
        <v>1</v>
      </c>
      <c r="D226" s="23">
        <v>15.99</v>
      </c>
      <c r="E226" s="3">
        <v>15.99</v>
      </c>
      <c r="F226" s="2" t="s">
        <v>18196</v>
      </c>
      <c r="G226" s="22" t="s">
        <v>19333</v>
      </c>
      <c r="H226" s="24" t="s">
        <v>19416</v>
      </c>
      <c r="I226" s="22" t="s">
        <v>19309</v>
      </c>
      <c r="J226" s="22" t="s">
        <v>19491</v>
      </c>
      <c r="K226" s="22" t="s">
        <v>18197</v>
      </c>
      <c r="L226" s="22"/>
      <c r="M226" s="22"/>
      <c r="N226" s="25" t="str">
        <f>HYPERLINK("http://slimages.macys.com/is/image/MCY/21541845 ")</f>
        <v xml:space="preserve">http://slimages.macys.com/is/image/MCY/21541845 </v>
      </c>
    </row>
    <row r="227" spans="1:14" ht="24.75" x14ac:dyDescent="0.25">
      <c r="A227" s="21" t="s">
        <v>11671</v>
      </c>
      <c r="B227" s="22" t="s">
        <v>11672</v>
      </c>
      <c r="C227" s="2">
        <v>1</v>
      </c>
      <c r="D227" s="23">
        <v>15.99</v>
      </c>
      <c r="E227" s="3">
        <v>15.99</v>
      </c>
      <c r="F227" s="2" t="s">
        <v>12131</v>
      </c>
      <c r="G227" s="22" t="s">
        <v>19879</v>
      </c>
      <c r="H227" s="24" t="s">
        <v>19324</v>
      </c>
      <c r="I227" s="22" t="s">
        <v>19309</v>
      </c>
      <c r="J227" s="22" t="s">
        <v>19491</v>
      </c>
      <c r="K227" s="22" t="s">
        <v>18197</v>
      </c>
      <c r="L227" s="22"/>
      <c r="M227" s="22"/>
      <c r="N227" s="25" t="str">
        <f>HYPERLINK("http://slimages.macys.com/is/image/MCY/21541845 ")</f>
        <v xml:space="preserve">http://slimages.macys.com/is/image/MCY/21541845 </v>
      </c>
    </row>
    <row r="228" spans="1:14" ht="24.75" x14ac:dyDescent="0.25">
      <c r="A228" s="21" t="s">
        <v>11673</v>
      </c>
      <c r="B228" s="22" t="s">
        <v>11674</v>
      </c>
      <c r="C228" s="2">
        <v>1</v>
      </c>
      <c r="D228" s="23">
        <v>15.99</v>
      </c>
      <c r="E228" s="3">
        <v>15.99</v>
      </c>
      <c r="F228" s="2" t="s">
        <v>18196</v>
      </c>
      <c r="G228" s="22" t="s">
        <v>19333</v>
      </c>
      <c r="H228" s="24" t="s">
        <v>19334</v>
      </c>
      <c r="I228" s="22" t="s">
        <v>19309</v>
      </c>
      <c r="J228" s="22" t="s">
        <v>19491</v>
      </c>
      <c r="K228" s="22" t="s">
        <v>18197</v>
      </c>
      <c r="L228" s="22"/>
      <c r="M228" s="22"/>
      <c r="N228" s="25" t="str">
        <f>HYPERLINK("http://slimages.macys.com/is/image/MCY/21541845 ")</f>
        <v xml:space="preserve">http://slimages.macys.com/is/image/MCY/21541845 </v>
      </c>
    </row>
    <row r="229" spans="1:14" x14ac:dyDescent="0.25">
      <c r="A229" s="21" t="s">
        <v>13153</v>
      </c>
      <c r="B229" s="22" t="s">
        <v>13154</v>
      </c>
      <c r="C229" s="2">
        <v>1</v>
      </c>
      <c r="D229" s="23">
        <v>13.77</v>
      </c>
      <c r="E229" s="3">
        <v>13.77</v>
      </c>
      <c r="F229" s="2" t="s">
        <v>13150</v>
      </c>
      <c r="G229" s="22"/>
      <c r="H229" s="24" t="s">
        <v>19770</v>
      </c>
      <c r="I229" s="22" t="s">
        <v>19309</v>
      </c>
      <c r="J229" s="22" t="s">
        <v>19708</v>
      </c>
      <c r="K229" s="22" t="s">
        <v>19709</v>
      </c>
      <c r="L229" s="22"/>
      <c r="M229" s="22"/>
      <c r="N229" s="25" t="str">
        <f>HYPERLINK("http://slimages.macys.com/is/image/MCY/19067056 ")</f>
        <v xml:space="preserve">http://slimages.macys.com/is/image/MCY/19067056 </v>
      </c>
    </row>
    <row r="230" spans="1:14" ht="24.75" x14ac:dyDescent="0.25">
      <c r="A230" s="21" t="s">
        <v>11675</v>
      </c>
      <c r="B230" s="22" t="s">
        <v>11676</v>
      </c>
      <c r="C230" s="2">
        <v>1</v>
      </c>
      <c r="D230" s="23">
        <v>18.989999999999998</v>
      </c>
      <c r="E230" s="3">
        <v>18.989999999999998</v>
      </c>
      <c r="F230" s="2" t="s">
        <v>18212</v>
      </c>
      <c r="G230" s="22" t="s">
        <v>19594</v>
      </c>
      <c r="H230" s="24" t="s">
        <v>19361</v>
      </c>
      <c r="I230" s="22" t="s">
        <v>19309</v>
      </c>
      <c r="J230" s="22" t="s">
        <v>19908</v>
      </c>
      <c r="K230" s="22" t="s">
        <v>19524</v>
      </c>
      <c r="L230" s="22"/>
      <c r="M230" s="22"/>
      <c r="N230" s="25" t="str">
        <f>HYPERLINK("http://slimages.macys.com/is/image/MCY/21569911 ")</f>
        <v xml:space="preserve">http://slimages.macys.com/is/image/MCY/21569911 </v>
      </c>
    </row>
    <row r="231" spans="1:14" x14ac:dyDescent="0.25">
      <c r="A231" s="21" t="s">
        <v>13168</v>
      </c>
      <c r="B231" s="22" t="s">
        <v>13169</v>
      </c>
      <c r="C231" s="2">
        <v>8</v>
      </c>
      <c r="D231" s="23">
        <v>30</v>
      </c>
      <c r="E231" s="3">
        <v>240</v>
      </c>
      <c r="F231" s="2" t="s">
        <v>13170</v>
      </c>
      <c r="G231" s="22" t="s">
        <v>19333</v>
      </c>
      <c r="H231" s="24"/>
      <c r="I231" s="22" t="s">
        <v>19309</v>
      </c>
      <c r="J231" s="22" t="s">
        <v>19417</v>
      </c>
      <c r="K231" s="22" t="s">
        <v>20110</v>
      </c>
      <c r="L231" s="22"/>
      <c r="M231" s="22"/>
      <c r="N231" s="25" t="str">
        <f>HYPERLINK("http://slimages.macys.com/is/image/MCY/21400780 ")</f>
        <v xml:space="preserve">http://slimages.macys.com/is/image/MCY/21400780 </v>
      </c>
    </row>
    <row r="232" spans="1:14" ht="24.75" x14ac:dyDescent="0.25">
      <c r="A232" s="21" t="s">
        <v>11677</v>
      </c>
      <c r="B232" s="22" t="s">
        <v>11678</v>
      </c>
      <c r="C232" s="2">
        <v>1</v>
      </c>
      <c r="D232" s="23">
        <v>14.99</v>
      </c>
      <c r="E232" s="3">
        <v>14.99</v>
      </c>
      <c r="F232" s="2" t="s">
        <v>11679</v>
      </c>
      <c r="G232" s="22" t="s">
        <v>19955</v>
      </c>
      <c r="H232" s="24" t="s">
        <v>19339</v>
      </c>
      <c r="I232" s="22" t="s">
        <v>19309</v>
      </c>
      <c r="J232" s="22" t="s">
        <v>19849</v>
      </c>
      <c r="K232" s="22" t="s">
        <v>19850</v>
      </c>
      <c r="L232" s="22"/>
      <c r="M232" s="22"/>
      <c r="N232" s="25" t="str">
        <f>HYPERLINK("http://slimages.macys.com/is/image/MCY/1087069 ")</f>
        <v xml:space="preserve">http://slimages.macys.com/is/image/MCY/1087069 </v>
      </c>
    </row>
    <row r="233" spans="1:14" ht="24.75" x14ac:dyDescent="0.25">
      <c r="A233" s="21" t="s">
        <v>11680</v>
      </c>
      <c r="B233" s="22" t="s">
        <v>11681</v>
      </c>
      <c r="C233" s="2">
        <v>1</v>
      </c>
      <c r="D233" s="23">
        <v>16.989999999999998</v>
      </c>
      <c r="E233" s="3">
        <v>16.989999999999998</v>
      </c>
      <c r="F233" s="2" t="s">
        <v>20238</v>
      </c>
      <c r="G233" s="22" t="s">
        <v>19431</v>
      </c>
      <c r="H233" s="24"/>
      <c r="I233" s="22" t="s">
        <v>19309</v>
      </c>
      <c r="J233" s="22" t="s">
        <v>19573</v>
      </c>
      <c r="K233" s="22" t="s">
        <v>19574</v>
      </c>
      <c r="L233" s="22"/>
      <c r="M233" s="22"/>
      <c r="N233" s="25" t="str">
        <f>HYPERLINK("http://slimages.macys.com/is/image/MCY/1806359 ")</f>
        <v xml:space="preserve">http://slimages.macys.com/is/image/MCY/1806359 </v>
      </c>
    </row>
    <row r="234" spans="1:14" x14ac:dyDescent="0.25">
      <c r="A234" s="21" t="s">
        <v>11682</v>
      </c>
      <c r="B234" s="22" t="s">
        <v>11683</v>
      </c>
      <c r="C234" s="2">
        <v>1</v>
      </c>
      <c r="D234" s="23">
        <v>16.72</v>
      </c>
      <c r="E234" s="3">
        <v>16.72</v>
      </c>
      <c r="F234" s="2" t="s">
        <v>11684</v>
      </c>
      <c r="G234" s="22"/>
      <c r="H234" s="24" t="s">
        <v>19770</v>
      </c>
      <c r="I234" s="22" t="s">
        <v>19309</v>
      </c>
      <c r="J234" s="22" t="s">
        <v>19708</v>
      </c>
      <c r="K234" s="22" t="s">
        <v>19709</v>
      </c>
      <c r="L234" s="22"/>
      <c r="M234" s="22"/>
      <c r="N234" s="25" t="str">
        <f>HYPERLINK("http://slimages.macys.com/is/image/MCY/21409224 ")</f>
        <v xml:space="preserve">http://slimages.macys.com/is/image/MCY/21409224 </v>
      </c>
    </row>
    <row r="235" spans="1:14" x14ac:dyDescent="0.25">
      <c r="A235" s="21" t="s">
        <v>11685</v>
      </c>
      <c r="B235" s="22" t="s">
        <v>11686</v>
      </c>
      <c r="C235" s="2">
        <v>1</v>
      </c>
      <c r="D235" s="23">
        <v>16.72</v>
      </c>
      <c r="E235" s="3">
        <v>16.72</v>
      </c>
      <c r="F235" s="2" t="s">
        <v>11687</v>
      </c>
      <c r="G235" s="22"/>
      <c r="H235" s="24" t="s">
        <v>19770</v>
      </c>
      <c r="I235" s="22" t="s">
        <v>19309</v>
      </c>
      <c r="J235" s="22" t="s">
        <v>19708</v>
      </c>
      <c r="K235" s="22" t="s">
        <v>19709</v>
      </c>
      <c r="L235" s="22"/>
      <c r="M235" s="22"/>
      <c r="N235" s="25" t="str">
        <f>HYPERLINK("http://slimages.macys.com/is/image/MCY/21409286 ")</f>
        <v xml:space="preserve">http://slimages.macys.com/is/image/MCY/21409286 </v>
      </c>
    </row>
    <row r="236" spans="1:14" ht="24.75" x14ac:dyDescent="0.25">
      <c r="A236" s="21" t="s">
        <v>11688</v>
      </c>
      <c r="B236" s="22" t="s">
        <v>11689</v>
      </c>
      <c r="C236" s="2">
        <v>1</v>
      </c>
      <c r="D236" s="23">
        <v>18.989999999999998</v>
      </c>
      <c r="E236" s="3">
        <v>18.989999999999998</v>
      </c>
      <c r="F236" s="2" t="s">
        <v>18234</v>
      </c>
      <c r="G236" s="22" t="s">
        <v>19333</v>
      </c>
      <c r="H236" s="24" t="s">
        <v>20135</v>
      </c>
      <c r="I236" s="22" t="s">
        <v>19309</v>
      </c>
      <c r="J236" s="22" t="s">
        <v>19908</v>
      </c>
      <c r="K236" s="22" t="s">
        <v>19524</v>
      </c>
      <c r="L236" s="22"/>
      <c r="M236" s="22"/>
      <c r="N236" s="25" t="str">
        <f>HYPERLINK("http://slimages.macys.com/is/image/MCY/21570026 ")</f>
        <v xml:space="preserve">http://slimages.macys.com/is/image/MCY/21570026 </v>
      </c>
    </row>
    <row r="237" spans="1:14" ht="24.75" x14ac:dyDescent="0.25">
      <c r="A237" s="21" t="s">
        <v>12162</v>
      </c>
      <c r="B237" s="22" t="s">
        <v>12163</v>
      </c>
      <c r="C237" s="2">
        <v>1</v>
      </c>
      <c r="D237" s="23">
        <v>18.989999999999998</v>
      </c>
      <c r="E237" s="3">
        <v>18.989999999999998</v>
      </c>
      <c r="F237" s="2" t="s">
        <v>20244</v>
      </c>
      <c r="G237" s="22" t="s">
        <v>19323</v>
      </c>
      <c r="H237" s="24" t="s">
        <v>19907</v>
      </c>
      <c r="I237" s="22" t="s">
        <v>19309</v>
      </c>
      <c r="J237" s="22" t="s">
        <v>19908</v>
      </c>
      <c r="K237" s="22" t="s">
        <v>19524</v>
      </c>
      <c r="L237" s="22"/>
      <c r="M237" s="22"/>
      <c r="N237" s="25" t="str">
        <f>HYPERLINK("http://slimages.macys.com/is/image/MCY/21570033 ")</f>
        <v xml:space="preserve">http://slimages.macys.com/is/image/MCY/21570033 </v>
      </c>
    </row>
    <row r="238" spans="1:14" x14ac:dyDescent="0.25">
      <c r="A238" s="21" t="s">
        <v>11690</v>
      </c>
      <c r="B238" s="22" t="s">
        <v>11691</v>
      </c>
      <c r="C238" s="2">
        <v>1</v>
      </c>
      <c r="D238" s="23">
        <v>14.99</v>
      </c>
      <c r="E238" s="3">
        <v>14.99</v>
      </c>
      <c r="F238" s="2" t="s">
        <v>11692</v>
      </c>
      <c r="G238" s="22" t="s">
        <v>19513</v>
      </c>
      <c r="H238" s="24" t="s">
        <v>19339</v>
      </c>
      <c r="I238" s="22" t="s">
        <v>19309</v>
      </c>
      <c r="J238" s="22" t="s">
        <v>19849</v>
      </c>
      <c r="K238" s="22" t="s">
        <v>19850</v>
      </c>
      <c r="L238" s="22"/>
      <c r="M238" s="22"/>
      <c r="N238" s="25" t="str">
        <f>HYPERLINK("http://slimages.macys.com/is/image/MCY/19505448 ")</f>
        <v xml:space="preserve">http://slimages.macys.com/is/image/MCY/19505448 </v>
      </c>
    </row>
    <row r="239" spans="1:14" ht="24.75" x14ac:dyDescent="0.25">
      <c r="A239" s="21" t="s">
        <v>11693</v>
      </c>
      <c r="B239" s="22" t="s">
        <v>11694</v>
      </c>
      <c r="C239" s="2">
        <v>1</v>
      </c>
      <c r="D239" s="23">
        <v>14.62</v>
      </c>
      <c r="E239" s="3">
        <v>14.62</v>
      </c>
      <c r="F239" s="2" t="s">
        <v>11695</v>
      </c>
      <c r="G239" s="22" t="s">
        <v>19357</v>
      </c>
      <c r="H239" s="24" t="s">
        <v>19478</v>
      </c>
      <c r="I239" s="22" t="s">
        <v>19309</v>
      </c>
      <c r="J239" s="22" t="s">
        <v>19602</v>
      </c>
      <c r="K239" s="22" t="s">
        <v>20041</v>
      </c>
      <c r="L239" s="22"/>
      <c r="M239" s="22"/>
      <c r="N239" s="25" t="str">
        <f>HYPERLINK("http://slimages.macys.com/is/image/MCY/21422068 ")</f>
        <v xml:space="preserve">http://slimages.macys.com/is/image/MCY/21422068 </v>
      </c>
    </row>
    <row r="240" spans="1:14" ht="24.75" x14ac:dyDescent="0.25">
      <c r="A240" s="21" t="s">
        <v>11696</v>
      </c>
      <c r="B240" s="22" t="s">
        <v>11697</v>
      </c>
      <c r="C240" s="2">
        <v>1</v>
      </c>
      <c r="D240" s="23">
        <v>11.99</v>
      </c>
      <c r="E240" s="3">
        <v>11.99</v>
      </c>
      <c r="F240" s="2" t="s">
        <v>18248</v>
      </c>
      <c r="G240" s="22" t="s">
        <v>19357</v>
      </c>
      <c r="H240" s="24" t="s">
        <v>19538</v>
      </c>
      <c r="I240" s="22" t="s">
        <v>19309</v>
      </c>
      <c r="J240" s="22" t="s">
        <v>19573</v>
      </c>
      <c r="K240" s="22" t="s">
        <v>20256</v>
      </c>
      <c r="L240" s="22" t="s">
        <v>19319</v>
      </c>
      <c r="M240" s="22" t="s">
        <v>19358</v>
      </c>
      <c r="N240" s="25" t="str">
        <f>HYPERLINK("http://slimages.macys.com/is/image/MCY/10227910 ")</f>
        <v xml:space="preserve">http://slimages.macys.com/is/image/MCY/10227910 </v>
      </c>
    </row>
    <row r="241" spans="1:14" ht="24.75" x14ac:dyDescent="0.25">
      <c r="A241" s="21" t="s">
        <v>11698</v>
      </c>
      <c r="B241" s="22" t="s">
        <v>11699</v>
      </c>
      <c r="C241" s="2">
        <v>1</v>
      </c>
      <c r="D241" s="23">
        <v>27.5</v>
      </c>
      <c r="E241" s="3">
        <v>27.5</v>
      </c>
      <c r="F241" s="2" t="s">
        <v>11700</v>
      </c>
      <c r="G241" s="22" t="s">
        <v>19351</v>
      </c>
      <c r="H241" s="24" t="s">
        <v>19330</v>
      </c>
      <c r="I241" s="22" t="s">
        <v>19309</v>
      </c>
      <c r="J241" s="22" t="s">
        <v>19491</v>
      </c>
      <c r="K241" s="22" t="s">
        <v>17812</v>
      </c>
      <c r="L241" s="22" t="s">
        <v>19319</v>
      </c>
      <c r="M241" s="22" t="s">
        <v>19358</v>
      </c>
      <c r="N241" s="25" t="str">
        <f>HYPERLINK("http://slimages.macys.com/is/image/MCY/9937811 ")</f>
        <v xml:space="preserve">http://slimages.macys.com/is/image/MCY/9937811 </v>
      </c>
    </row>
    <row r="242" spans="1:14" ht="24.75" x14ac:dyDescent="0.25">
      <c r="A242" s="21" t="s">
        <v>11701</v>
      </c>
      <c r="B242" s="22" t="s">
        <v>11702</v>
      </c>
      <c r="C242" s="2">
        <v>1</v>
      </c>
      <c r="D242" s="23">
        <v>26</v>
      </c>
      <c r="E242" s="3">
        <v>26</v>
      </c>
      <c r="F242" s="2" t="s">
        <v>11703</v>
      </c>
      <c r="G242" s="22" t="s">
        <v>19333</v>
      </c>
      <c r="H242" s="24" t="s">
        <v>17505</v>
      </c>
      <c r="I242" s="22" t="s">
        <v>14376</v>
      </c>
      <c r="J242" s="22" t="s">
        <v>15506</v>
      </c>
      <c r="K242" s="22" t="s">
        <v>11704</v>
      </c>
      <c r="L242" s="22" t="s">
        <v>17554</v>
      </c>
      <c r="M242" s="22" t="s">
        <v>11705</v>
      </c>
      <c r="N242" s="25" t="str">
        <f>HYPERLINK("http://images.bloomingdales.com/is/image/BLM/10760178 ")</f>
        <v xml:space="preserve">http://images.bloomingdales.com/is/image/BLM/10760178 </v>
      </c>
    </row>
    <row r="243" spans="1:14" ht="24.75" x14ac:dyDescent="0.25">
      <c r="A243" s="21" t="s">
        <v>11706</v>
      </c>
      <c r="B243" s="22" t="s">
        <v>11707</v>
      </c>
      <c r="C243" s="2">
        <v>1</v>
      </c>
      <c r="D243" s="23">
        <v>15</v>
      </c>
      <c r="E243" s="3">
        <v>15</v>
      </c>
      <c r="F243" s="2" t="s">
        <v>11708</v>
      </c>
      <c r="G243" s="22" t="s">
        <v>19315</v>
      </c>
      <c r="H243" s="24" t="s">
        <v>16005</v>
      </c>
      <c r="I243" s="22" t="s">
        <v>14376</v>
      </c>
      <c r="J243" s="22" t="s">
        <v>19508</v>
      </c>
      <c r="K243" s="22" t="s">
        <v>11709</v>
      </c>
      <c r="L243" s="22" t="s">
        <v>17966</v>
      </c>
      <c r="M243" s="22" t="s">
        <v>17531</v>
      </c>
      <c r="N243" s="25" t="str">
        <f>HYPERLINK("http://images.bloomingdales.com/is/image/BLM/11005750 ")</f>
        <v xml:space="preserve">http://images.bloomingdales.com/is/image/BLM/11005750 </v>
      </c>
    </row>
    <row r="244" spans="1:14" x14ac:dyDescent="0.25">
      <c r="A244" s="21" t="s">
        <v>11710</v>
      </c>
      <c r="B244" s="22" t="s">
        <v>11711</v>
      </c>
      <c r="C244" s="2">
        <v>1</v>
      </c>
      <c r="D244" s="23">
        <v>16.989999999999998</v>
      </c>
      <c r="E244" s="3">
        <v>16.989999999999998</v>
      </c>
      <c r="F244" s="2" t="s">
        <v>11061</v>
      </c>
      <c r="G244" s="22" t="s">
        <v>19462</v>
      </c>
      <c r="H244" s="24" t="s">
        <v>19339</v>
      </c>
      <c r="I244" s="22" t="s">
        <v>19309</v>
      </c>
      <c r="J244" s="22" t="s">
        <v>19849</v>
      </c>
      <c r="K244" s="22" t="s">
        <v>19850</v>
      </c>
      <c r="L244" s="22"/>
      <c r="M244" s="22"/>
      <c r="N244" s="25" t="str">
        <f>HYPERLINK("http://slimages.macys.com/is/image/MCY/1553435 ")</f>
        <v xml:space="preserve">http://slimages.macys.com/is/image/MCY/1553435 </v>
      </c>
    </row>
    <row r="245" spans="1:14" ht="24.75" x14ac:dyDescent="0.25">
      <c r="A245" s="21" t="s">
        <v>11712</v>
      </c>
      <c r="B245" s="22" t="s">
        <v>11713</v>
      </c>
      <c r="C245" s="2">
        <v>1</v>
      </c>
      <c r="D245" s="23">
        <v>10.99</v>
      </c>
      <c r="E245" s="3">
        <v>10.99</v>
      </c>
      <c r="F245" s="2" t="s">
        <v>11714</v>
      </c>
      <c r="G245" s="22" t="s">
        <v>19323</v>
      </c>
      <c r="H245" s="24" t="s">
        <v>19377</v>
      </c>
      <c r="I245" s="22" t="s">
        <v>19309</v>
      </c>
      <c r="J245" s="22" t="s">
        <v>19447</v>
      </c>
      <c r="K245" s="22" t="s">
        <v>20146</v>
      </c>
      <c r="L245" s="22"/>
      <c r="M245" s="22"/>
      <c r="N245" s="25" t="str">
        <f>HYPERLINK("http://slimages.macys.com/is/image/MCY/20676945 ")</f>
        <v xml:space="preserve">http://slimages.macys.com/is/image/MCY/20676945 </v>
      </c>
    </row>
    <row r="246" spans="1:14" x14ac:dyDescent="0.25">
      <c r="A246" s="21" t="s">
        <v>11715</v>
      </c>
      <c r="B246" s="22" t="s">
        <v>11716</v>
      </c>
      <c r="C246" s="2">
        <v>2</v>
      </c>
      <c r="D246" s="23">
        <v>12.78</v>
      </c>
      <c r="E246" s="3">
        <v>25.56</v>
      </c>
      <c r="F246" s="2" t="s">
        <v>11717</v>
      </c>
      <c r="G246" s="22" t="s">
        <v>19323</v>
      </c>
      <c r="H246" s="24" t="s">
        <v>18168</v>
      </c>
      <c r="I246" s="22" t="s">
        <v>19309</v>
      </c>
      <c r="J246" s="22" t="s">
        <v>19708</v>
      </c>
      <c r="K246" s="22" t="s">
        <v>19709</v>
      </c>
      <c r="L246" s="22"/>
      <c r="M246" s="22"/>
      <c r="N246" s="25" t="str">
        <f>HYPERLINK("http://slimages.macys.com/is/image/MCY/16974317 ")</f>
        <v xml:space="preserve">http://slimages.macys.com/is/image/MCY/16974317 </v>
      </c>
    </row>
    <row r="247" spans="1:14" ht="24.75" x14ac:dyDescent="0.25">
      <c r="A247" s="21" t="s">
        <v>13178</v>
      </c>
      <c r="B247" s="22" t="s">
        <v>13179</v>
      </c>
      <c r="C247" s="2">
        <v>10</v>
      </c>
      <c r="D247" s="23">
        <v>11.99</v>
      </c>
      <c r="E247" s="3">
        <v>119.9</v>
      </c>
      <c r="F247" s="2" t="s">
        <v>20291</v>
      </c>
      <c r="G247" s="22" t="s">
        <v>19357</v>
      </c>
      <c r="H247" s="24" t="s">
        <v>19770</v>
      </c>
      <c r="I247" s="22" t="s">
        <v>19309</v>
      </c>
      <c r="J247" s="22" t="s">
        <v>19573</v>
      </c>
      <c r="K247" s="22" t="s">
        <v>20256</v>
      </c>
      <c r="L247" s="22" t="s">
        <v>19319</v>
      </c>
      <c r="M247" s="22" t="s">
        <v>19358</v>
      </c>
      <c r="N247" s="25" t="str">
        <f>HYPERLINK("http://slimages.macys.com/is/image/MCY/8018016 ")</f>
        <v xml:space="preserve">http://slimages.macys.com/is/image/MCY/8018016 </v>
      </c>
    </row>
    <row r="248" spans="1:14" x14ac:dyDescent="0.25">
      <c r="A248" s="21" t="s">
        <v>11718</v>
      </c>
      <c r="B248" s="22" t="s">
        <v>11719</v>
      </c>
      <c r="C248" s="2">
        <v>1</v>
      </c>
      <c r="D248" s="23">
        <v>15.94</v>
      </c>
      <c r="E248" s="3">
        <v>15.94</v>
      </c>
      <c r="F248" s="2" t="s">
        <v>11720</v>
      </c>
      <c r="G248" s="22" t="s">
        <v>19351</v>
      </c>
      <c r="H248" s="24" t="s">
        <v>19416</v>
      </c>
      <c r="I248" s="22" t="s">
        <v>19309</v>
      </c>
      <c r="J248" s="22" t="s">
        <v>19708</v>
      </c>
      <c r="K248" s="22" t="s">
        <v>19709</v>
      </c>
      <c r="L248" s="22"/>
      <c r="M248" s="22"/>
      <c r="N248" s="25" t="str">
        <f>HYPERLINK("http://slimages.macys.com/is/image/MCY/22296907 ")</f>
        <v xml:space="preserve">http://slimages.macys.com/is/image/MCY/22296907 </v>
      </c>
    </row>
    <row r="249" spans="1:14" x14ac:dyDescent="0.25">
      <c r="A249" s="21" t="s">
        <v>11721</v>
      </c>
      <c r="B249" s="22" t="s">
        <v>11722</v>
      </c>
      <c r="C249" s="2">
        <v>1</v>
      </c>
      <c r="D249" s="23">
        <v>15.94</v>
      </c>
      <c r="E249" s="3">
        <v>15.94</v>
      </c>
      <c r="F249" s="2" t="s">
        <v>18269</v>
      </c>
      <c r="G249" s="22" t="s">
        <v>19635</v>
      </c>
      <c r="H249" s="24" t="s">
        <v>20159</v>
      </c>
      <c r="I249" s="22" t="s">
        <v>19309</v>
      </c>
      <c r="J249" s="22" t="s">
        <v>19708</v>
      </c>
      <c r="K249" s="22" t="s">
        <v>19709</v>
      </c>
      <c r="L249" s="22"/>
      <c r="M249" s="22"/>
      <c r="N249" s="25" t="str">
        <f>HYPERLINK("http://slimages.macys.com/is/image/MCY/22296994 ")</f>
        <v xml:space="preserve">http://slimages.macys.com/is/image/MCY/22296994 </v>
      </c>
    </row>
    <row r="250" spans="1:14" x14ac:dyDescent="0.25">
      <c r="A250" s="21" t="s">
        <v>11723</v>
      </c>
      <c r="B250" s="22" t="s">
        <v>11724</v>
      </c>
      <c r="C250" s="2">
        <v>1</v>
      </c>
      <c r="D250" s="23">
        <v>15.94</v>
      </c>
      <c r="E250" s="3">
        <v>15.94</v>
      </c>
      <c r="F250" s="2" t="s">
        <v>18269</v>
      </c>
      <c r="G250" s="22" t="s">
        <v>19635</v>
      </c>
      <c r="H250" s="24" t="s">
        <v>19770</v>
      </c>
      <c r="I250" s="22" t="s">
        <v>19309</v>
      </c>
      <c r="J250" s="22" t="s">
        <v>19708</v>
      </c>
      <c r="K250" s="22" t="s">
        <v>19709</v>
      </c>
      <c r="L250" s="22"/>
      <c r="M250" s="22"/>
      <c r="N250" s="25" t="str">
        <f>HYPERLINK("http://slimages.macys.com/is/image/MCY/22296994 ")</f>
        <v xml:space="preserve">http://slimages.macys.com/is/image/MCY/22296994 </v>
      </c>
    </row>
    <row r="251" spans="1:14" ht="24.75" x14ac:dyDescent="0.25">
      <c r="A251" s="21" t="s">
        <v>18275</v>
      </c>
      <c r="B251" s="22" t="s">
        <v>19926</v>
      </c>
      <c r="C251" s="2">
        <v>2</v>
      </c>
      <c r="D251" s="23">
        <v>16.989999999999998</v>
      </c>
      <c r="E251" s="3">
        <v>33.979999999999997</v>
      </c>
      <c r="F251" s="2" t="s">
        <v>20311</v>
      </c>
      <c r="G251" s="22" t="s">
        <v>19713</v>
      </c>
      <c r="H251" s="24" t="s">
        <v>19538</v>
      </c>
      <c r="I251" s="22" t="s">
        <v>19309</v>
      </c>
      <c r="J251" s="22" t="s">
        <v>19573</v>
      </c>
      <c r="K251" s="22" t="s">
        <v>19574</v>
      </c>
      <c r="L251" s="22"/>
      <c r="M251" s="22"/>
      <c r="N251" s="25" t="str">
        <f>HYPERLINK("http://slimages.macys.com/is/image/MCY/1597998 ")</f>
        <v xml:space="preserve">http://slimages.macys.com/is/image/MCY/1597998 </v>
      </c>
    </row>
    <row r="252" spans="1:14" ht="24.75" x14ac:dyDescent="0.25">
      <c r="A252" s="21" t="s">
        <v>20312</v>
      </c>
      <c r="B252" s="22" t="s">
        <v>19916</v>
      </c>
      <c r="C252" s="2">
        <v>2</v>
      </c>
      <c r="D252" s="23">
        <v>16.989999999999998</v>
      </c>
      <c r="E252" s="3">
        <v>33.979999999999997</v>
      </c>
      <c r="F252" s="2" t="s">
        <v>20311</v>
      </c>
      <c r="G252" s="22" t="s">
        <v>19713</v>
      </c>
      <c r="H252" s="24"/>
      <c r="I252" s="22" t="s">
        <v>19309</v>
      </c>
      <c r="J252" s="22" t="s">
        <v>19573</v>
      </c>
      <c r="K252" s="22" t="s">
        <v>19574</v>
      </c>
      <c r="L252" s="22"/>
      <c r="M252" s="22"/>
      <c r="N252" s="25" t="str">
        <f>HYPERLINK("http://slimages.macys.com/is/image/MCY/1597998 ")</f>
        <v xml:space="preserve">http://slimages.macys.com/is/image/MCY/1597998 </v>
      </c>
    </row>
    <row r="253" spans="1:14" ht="24.75" x14ac:dyDescent="0.25">
      <c r="A253" s="21" t="s">
        <v>11725</v>
      </c>
      <c r="B253" s="22" t="s">
        <v>11726</v>
      </c>
      <c r="C253" s="2">
        <v>1</v>
      </c>
      <c r="D253" s="23">
        <v>14.99</v>
      </c>
      <c r="E253" s="3">
        <v>14.99</v>
      </c>
      <c r="F253" s="2" t="s">
        <v>11727</v>
      </c>
      <c r="G253" s="22" t="s">
        <v>19315</v>
      </c>
      <c r="H253" s="24" t="s">
        <v>19907</v>
      </c>
      <c r="I253" s="22" t="s">
        <v>19309</v>
      </c>
      <c r="J253" s="22" t="s">
        <v>19815</v>
      </c>
      <c r="K253" s="22" t="s">
        <v>19816</v>
      </c>
      <c r="L253" s="22"/>
      <c r="M253" s="22"/>
      <c r="N253" s="25" t="str">
        <f>HYPERLINK("http://slimages.macys.com/is/image/MCY/1107146 ")</f>
        <v xml:space="preserve">http://slimages.macys.com/is/image/MCY/1107146 </v>
      </c>
    </row>
    <row r="254" spans="1:14" ht="24.75" x14ac:dyDescent="0.25">
      <c r="A254" s="21" t="s">
        <v>11728</v>
      </c>
      <c r="B254" s="22" t="s">
        <v>11729</v>
      </c>
      <c r="C254" s="2">
        <v>1</v>
      </c>
      <c r="D254" s="23">
        <v>13.62</v>
      </c>
      <c r="E254" s="3">
        <v>13.62</v>
      </c>
      <c r="F254" s="2" t="s">
        <v>11730</v>
      </c>
      <c r="G254" s="22"/>
      <c r="H254" s="24" t="s">
        <v>19334</v>
      </c>
      <c r="I254" s="22" t="s">
        <v>19309</v>
      </c>
      <c r="J254" s="22" t="s">
        <v>19602</v>
      </c>
      <c r="K254" s="22" t="s">
        <v>20041</v>
      </c>
      <c r="L254" s="22"/>
      <c r="M254" s="22"/>
      <c r="N254" s="25" t="str">
        <f>HYPERLINK("http://slimages.macys.com/is/image/MCY/19974204 ")</f>
        <v xml:space="preserve">http://slimages.macys.com/is/image/MCY/19974204 </v>
      </c>
    </row>
    <row r="255" spans="1:14" ht="24.75" x14ac:dyDescent="0.25">
      <c r="A255" s="21" t="s">
        <v>11731</v>
      </c>
      <c r="B255" s="22" t="s">
        <v>9826</v>
      </c>
      <c r="C255" s="2">
        <v>1</v>
      </c>
      <c r="D255" s="23">
        <v>15.99</v>
      </c>
      <c r="E255" s="3">
        <v>15.99</v>
      </c>
      <c r="F255" s="2" t="s">
        <v>13784</v>
      </c>
      <c r="G255" s="22" t="s">
        <v>19467</v>
      </c>
      <c r="H255" s="24" t="s">
        <v>20089</v>
      </c>
      <c r="I255" s="22" t="s">
        <v>19309</v>
      </c>
      <c r="J255" s="22" t="s">
        <v>19573</v>
      </c>
      <c r="K255" s="22" t="s">
        <v>19574</v>
      </c>
      <c r="L255" s="22"/>
      <c r="M255" s="22"/>
      <c r="N255" s="25" t="str">
        <f>HYPERLINK("http://slimages.macys.com/is/image/MCY/1554883 ")</f>
        <v xml:space="preserve">http://slimages.macys.com/is/image/MCY/1554883 </v>
      </c>
    </row>
    <row r="256" spans="1:14" x14ac:dyDescent="0.25">
      <c r="A256" s="21" t="s">
        <v>9827</v>
      </c>
      <c r="B256" s="22" t="s">
        <v>9828</v>
      </c>
      <c r="C256" s="2">
        <v>2</v>
      </c>
      <c r="D256" s="23">
        <v>15.13</v>
      </c>
      <c r="E256" s="3">
        <v>30.26</v>
      </c>
      <c r="F256" s="2" t="s">
        <v>18305</v>
      </c>
      <c r="G256" s="22" t="s">
        <v>19333</v>
      </c>
      <c r="H256" s="24" t="s">
        <v>20159</v>
      </c>
      <c r="I256" s="22" t="s">
        <v>19309</v>
      </c>
      <c r="J256" s="22" t="s">
        <v>19708</v>
      </c>
      <c r="K256" s="22" t="s">
        <v>19709</v>
      </c>
      <c r="L256" s="22"/>
      <c r="M256" s="22"/>
      <c r="N256" s="25" t="str">
        <f>HYPERLINK("http://slimages.macys.com/is/image/MCY/21752166 ")</f>
        <v xml:space="preserve">http://slimages.macys.com/is/image/MCY/21752166 </v>
      </c>
    </row>
    <row r="257" spans="1:14" x14ac:dyDescent="0.25">
      <c r="A257" s="21" t="s">
        <v>13194</v>
      </c>
      <c r="B257" s="22" t="s">
        <v>13195</v>
      </c>
      <c r="C257" s="2">
        <v>1</v>
      </c>
      <c r="D257" s="23">
        <v>15.13</v>
      </c>
      <c r="E257" s="3">
        <v>15.13</v>
      </c>
      <c r="F257" s="2" t="s">
        <v>18360</v>
      </c>
      <c r="G257" s="22" t="s">
        <v>18361</v>
      </c>
      <c r="H257" s="24" t="s">
        <v>19367</v>
      </c>
      <c r="I257" s="22" t="s">
        <v>19309</v>
      </c>
      <c r="J257" s="22" t="s">
        <v>19708</v>
      </c>
      <c r="K257" s="22" t="s">
        <v>19709</v>
      </c>
      <c r="L257" s="22"/>
      <c r="M257" s="22"/>
      <c r="N257" s="25" t="str">
        <f>HYPERLINK("http://slimages.macys.com/is/image/MCY/21758813 ")</f>
        <v xml:space="preserve">http://slimages.macys.com/is/image/MCY/21758813 </v>
      </c>
    </row>
    <row r="258" spans="1:14" x14ac:dyDescent="0.25">
      <c r="A258" s="21" t="s">
        <v>9829</v>
      </c>
      <c r="B258" s="22" t="s">
        <v>9830</v>
      </c>
      <c r="C258" s="2">
        <v>1</v>
      </c>
      <c r="D258" s="23">
        <v>14.93</v>
      </c>
      <c r="E258" s="3">
        <v>14.93</v>
      </c>
      <c r="F258" s="2" t="s">
        <v>13210</v>
      </c>
      <c r="G258" s="22" t="s">
        <v>18361</v>
      </c>
      <c r="H258" s="24" t="s">
        <v>19324</v>
      </c>
      <c r="I258" s="22" t="s">
        <v>19309</v>
      </c>
      <c r="J258" s="22" t="s">
        <v>19708</v>
      </c>
      <c r="K258" s="22" t="s">
        <v>19709</v>
      </c>
      <c r="L258" s="22"/>
      <c r="M258" s="22"/>
      <c r="N258" s="25" t="str">
        <f>HYPERLINK("http://slimages.macys.com/is/image/MCY/22596280 ")</f>
        <v xml:space="preserve">http://slimages.macys.com/is/image/MCY/22596280 </v>
      </c>
    </row>
    <row r="259" spans="1:14" ht="84.75" x14ac:dyDescent="0.25">
      <c r="A259" s="21" t="s">
        <v>9831</v>
      </c>
      <c r="B259" s="22" t="s">
        <v>9832</v>
      </c>
      <c r="C259" s="2">
        <v>1</v>
      </c>
      <c r="D259" s="23">
        <v>22</v>
      </c>
      <c r="E259" s="3">
        <v>22</v>
      </c>
      <c r="F259" s="2" t="s">
        <v>9833</v>
      </c>
      <c r="G259" s="22" t="s">
        <v>19315</v>
      </c>
      <c r="H259" s="24"/>
      <c r="I259" s="22" t="s">
        <v>14376</v>
      </c>
      <c r="J259" s="22" t="s">
        <v>15506</v>
      </c>
      <c r="K259" s="22" t="s">
        <v>9834</v>
      </c>
      <c r="L259" s="22" t="s">
        <v>17554</v>
      </c>
      <c r="M259" s="22" t="s">
        <v>9835</v>
      </c>
      <c r="N259" s="25" t="str">
        <f>HYPERLINK("http://images.bloomingdales.com/is/image/BLM/11138974 ")</f>
        <v xml:space="preserve">http://images.bloomingdales.com/is/image/BLM/11138974 </v>
      </c>
    </row>
    <row r="260" spans="1:14" ht="24.75" x14ac:dyDescent="0.25">
      <c r="A260" s="21" t="s">
        <v>9836</v>
      </c>
      <c r="B260" s="22" t="s">
        <v>9837</v>
      </c>
      <c r="C260" s="2">
        <v>1</v>
      </c>
      <c r="D260" s="23">
        <v>22</v>
      </c>
      <c r="E260" s="3">
        <v>22</v>
      </c>
      <c r="F260" s="2" t="s">
        <v>9838</v>
      </c>
      <c r="G260" s="22" t="s">
        <v>19351</v>
      </c>
      <c r="H260" s="24" t="s">
        <v>19416</v>
      </c>
      <c r="I260" s="22" t="s">
        <v>14376</v>
      </c>
      <c r="J260" s="22" t="s">
        <v>19325</v>
      </c>
      <c r="K260" s="22" t="s">
        <v>12948</v>
      </c>
      <c r="L260" s="22" t="s">
        <v>17554</v>
      </c>
      <c r="M260" s="22" t="s">
        <v>11434</v>
      </c>
      <c r="N260" s="25" t="str">
        <f>HYPERLINK("http://images.bloomingdales.com/is/image/BLM/11106462 ")</f>
        <v xml:space="preserve">http://images.bloomingdales.com/is/image/BLM/11106462 </v>
      </c>
    </row>
    <row r="261" spans="1:14" ht="24.75" x14ac:dyDescent="0.25">
      <c r="A261" s="21" t="s">
        <v>12232</v>
      </c>
      <c r="B261" s="22" t="s">
        <v>12233</v>
      </c>
      <c r="C261" s="2">
        <v>1</v>
      </c>
      <c r="D261" s="23">
        <v>13.12</v>
      </c>
      <c r="E261" s="3">
        <v>13.12</v>
      </c>
      <c r="F261" s="2" t="s">
        <v>18399</v>
      </c>
      <c r="G261" s="22" t="s">
        <v>19431</v>
      </c>
      <c r="H261" s="24"/>
      <c r="I261" s="22" t="s">
        <v>19309</v>
      </c>
      <c r="J261" s="22" t="s">
        <v>19602</v>
      </c>
      <c r="K261" s="22" t="s">
        <v>20041</v>
      </c>
      <c r="L261" s="22"/>
      <c r="M261" s="22"/>
      <c r="N261" s="25" t="str">
        <f>HYPERLINK("http://slimages.macys.com/is/image/MCY/21728927 ")</f>
        <v xml:space="preserve">http://slimages.macys.com/is/image/MCY/21728927 </v>
      </c>
    </row>
    <row r="262" spans="1:14" ht="24.75" x14ac:dyDescent="0.25">
      <c r="A262" s="21" t="s">
        <v>18397</v>
      </c>
      <c r="B262" s="22" t="s">
        <v>18398</v>
      </c>
      <c r="C262" s="2">
        <v>1</v>
      </c>
      <c r="D262" s="23">
        <v>13.12</v>
      </c>
      <c r="E262" s="3">
        <v>13.12</v>
      </c>
      <c r="F262" s="2" t="s">
        <v>18399</v>
      </c>
      <c r="G262" s="22" t="s">
        <v>19431</v>
      </c>
      <c r="H262" s="24" t="s">
        <v>19345</v>
      </c>
      <c r="I262" s="22" t="s">
        <v>19309</v>
      </c>
      <c r="J262" s="22" t="s">
        <v>19602</v>
      </c>
      <c r="K262" s="22" t="s">
        <v>20041</v>
      </c>
      <c r="L262" s="22"/>
      <c r="M262" s="22"/>
      <c r="N262" s="25" t="str">
        <f>HYPERLINK("http://slimages.macys.com/is/image/MCY/21728927 ")</f>
        <v xml:space="preserve">http://slimages.macys.com/is/image/MCY/21728927 </v>
      </c>
    </row>
    <row r="263" spans="1:14" ht="24.75" x14ac:dyDescent="0.25">
      <c r="A263" s="21" t="s">
        <v>12254</v>
      </c>
      <c r="B263" s="22" t="s">
        <v>12255</v>
      </c>
      <c r="C263" s="2">
        <v>1</v>
      </c>
      <c r="D263" s="23">
        <v>13.99</v>
      </c>
      <c r="E263" s="3">
        <v>13.99</v>
      </c>
      <c r="F263" s="2" t="s">
        <v>18412</v>
      </c>
      <c r="G263" s="22" t="s">
        <v>19674</v>
      </c>
      <c r="H263" s="24" t="s">
        <v>19384</v>
      </c>
      <c r="I263" s="22" t="s">
        <v>19309</v>
      </c>
      <c r="J263" s="22" t="s">
        <v>19573</v>
      </c>
      <c r="K263" s="22" t="s">
        <v>19574</v>
      </c>
      <c r="L263" s="22"/>
      <c r="M263" s="22"/>
      <c r="N263" s="25" t="str">
        <f>HYPERLINK("http://slimages.macys.com/is/image/MCY/21907847 ")</f>
        <v xml:space="preserve">http://slimages.macys.com/is/image/MCY/21907847 </v>
      </c>
    </row>
    <row r="264" spans="1:14" x14ac:dyDescent="0.25">
      <c r="A264" s="21" t="s">
        <v>9839</v>
      </c>
      <c r="B264" s="22" t="s">
        <v>9840</v>
      </c>
      <c r="C264" s="2">
        <v>1</v>
      </c>
      <c r="D264" s="23">
        <v>22</v>
      </c>
      <c r="E264" s="3">
        <v>22</v>
      </c>
      <c r="F264" s="2" t="s">
        <v>9841</v>
      </c>
      <c r="G264" s="22" t="s">
        <v>19357</v>
      </c>
      <c r="H264" s="24" t="s">
        <v>19324</v>
      </c>
      <c r="I264" s="22" t="s">
        <v>19309</v>
      </c>
      <c r="J264" s="22" t="s">
        <v>19708</v>
      </c>
      <c r="K264" s="22" t="s">
        <v>19709</v>
      </c>
      <c r="L264" s="22"/>
      <c r="M264" s="22"/>
      <c r="N264" s="25" t="str">
        <f>HYPERLINK("http://slimages.macys.com/is/image/MCY/21726112 ")</f>
        <v xml:space="preserve">http://slimages.macys.com/is/image/MCY/21726112 </v>
      </c>
    </row>
    <row r="265" spans="1:14" ht="24.75" x14ac:dyDescent="0.25">
      <c r="A265" s="21" t="s">
        <v>9842</v>
      </c>
      <c r="B265" s="22" t="s">
        <v>9843</v>
      </c>
      <c r="C265" s="2">
        <v>1</v>
      </c>
      <c r="D265" s="23">
        <v>8.99</v>
      </c>
      <c r="E265" s="3">
        <v>8.99</v>
      </c>
      <c r="F265" s="2" t="s">
        <v>9844</v>
      </c>
      <c r="G265" s="22" t="s">
        <v>19404</v>
      </c>
      <c r="H265" s="24" t="s">
        <v>19308</v>
      </c>
      <c r="I265" s="22" t="s">
        <v>19309</v>
      </c>
      <c r="J265" s="22" t="s">
        <v>19310</v>
      </c>
      <c r="K265" s="22" t="s">
        <v>19873</v>
      </c>
      <c r="L265" s="22"/>
      <c r="M265" s="22"/>
      <c r="N265" s="25" t="str">
        <f>HYPERLINK("http://slimages.macys.com/is/image/MCY/21176779 ")</f>
        <v xml:space="preserve">http://slimages.macys.com/is/image/MCY/21176779 </v>
      </c>
    </row>
    <row r="266" spans="1:14" x14ac:dyDescent="0.25">
      <c r="A266" s="21" t="s">
        <v>9845</v>
      </c>
      <c r="B266" s="22" t="s">
        <v>9846</v>
      </c>
      <c r="C266" s="2">
        <v>2</v>
      </c>
      <c r="D266" s="23">
        <v>13.99</v>
      </c>
      <c r="E266" s="3">
        <v>27.98</v>
      </c>
      <c r="F266" s="2" t="s">
        <v>9847</v>
      </c>
      <c r="G266" s="22" t="s">
        <v>19477</v>
      </c>
      <c r="H266" s="24" t="s">
        <v>20089</v>
      </c>
      <c r="I266" s="22" t="s">
        <v>19309</v>
      </c>
      <c r="J266" s="22" t="s">
        <v>19849</v>
      </c>
      <c r="K266" s="22" t="s">
        <v>19850</v>
      </c>
      <c r="L266" s="22"/>
      <c r="M266" s="22"/>
      <c r="N266" s="25" t="str">
        <f>HYPERLINK("http://slimages.macys.com/is/image/MCY/21270228 ")</f>
        <v xml:space="preserve">http://slimages.macys.com/is/image/MCY/21270228 </v>
      </c>
    </row>
    <row r="267" spans="1:14" x14ac:dyDescent="0.25">
      <c r="A267" s="21" t="s">
        <v>9848</v>
      </c>
      <c r="B267" s="22" t="s">
        <v>9849</v>
      </c>
      <c r="C267" s="2">
        <v>1</v>
      </c>
      <c r="D267" s="23">
        <v>14.99</v>
      </c>
      <c r="E267" s="3">
        <v>14.99</v>
      </c>
      <c r="F267" s="2" t="s">
        <v>13820</v>
      </c>
      <c r="G267" s="22" t="s">
        <v>19477</v>
      </c>
      <c r="H267" s="24" t="s">
        <v>20089</v>
      </c>
      <c r="I267" s="22" t="s">
        <v>19309</v>
      </c>
      <c r="J267" s="22" t="s">
        <v>19849</v>
      </c>
      <c r="K267" s="22" t="s">
        <v>19850</v>
      </c>
      <c r="L267" s="22"/>
      <c r="M267" s="22"/>
      <c r="N267" s="25" t="str">
        <f>HYPERLINK("http://slimages.macys.com/is/image/MCY/20549564 ")</f>
        <v xml:space="preserve">http://slimages.macys.com/is/image/MCY/20549564 </v>
      </c>
    </row>
    <row r="268" spans="1:14" x14ac:dyDescent="0.25">
      <c r="A268" s="21" t="s">
        <v>18460</v>
      </c>
      <c r="B268" s="22" t="s">
        <v>18461</v>
      </c>
      <c r="C268" s="2">
        <v>1</v>
      </c>
      <c r="D268" s="23">
        <v>15.99</v>
      </c>
      <c r="E268" s="3">
        <v>15.99</v>
      </c>
      <c r="F268" s="2" t="s">
        <v>18462</v>
      </c>
      <c r="G268" s="22" t="s">
        <v>19674</v>
      </c>
      <c r="H268" s="24" t="s">
        <v>20135</v>
      </c>
      <c r="I268" s="22" t="s">
        <v>19309</v>
      </c>
      <c r="J268" s="22" t="s">
        <v>19849</v>
      </c>
      <c r="K268" s="22" t="s">
        <v>19850</v>
      </c>
      <c r="L268" s="22"/>
      <c r="M268" s="22"/>
      <c r="N268" s="25" t="str">
        <f>HYPERLINK("http://slimages.macys.com/is/image/MCY/20549437 ")</f>
        <v xml:space="preserve">http://slimages.macys.com/is/image/MCY/20549437 </v>
      </c>
    </row>
    <row r="269" spans="1:14" x14ac:dyDescent="0.25">
      <c r="A269" s="21" t="s">
        <v>9850</v>
      </c>
      <c r="B269" s="22" t="s">
        <v>9851</v>
      </c>
      <c r="C269" s="2">
        <v>2</v>
      </c>
      <c r="D269" s="23">
        <v>13.99</v>
      </c>
      <c r="E269" s="3">
        <v>27.98</v>
      </c>
      <c r="F269" s="2" t="s">
        <v>12290</v>
      </c>
      <c r="G269" s="22" t="s">
        <v>19618</v>
      </c>
      <c r="H269" s="24" t="s">
        <v>19352</v>
      </c>
      <c r="I269" s="22" t="s">
        <v>19309</v>
      </c>
      <c r="J269" s="22" t="s">
        <v>19849</v>
      </c>
      <c r="K269" s="22" t="s">
        <v>19850</v>
      </c>
      <c r="L269" s="22"/>
      <c r="M269" s="22"/>
      <c r="N269" s="25" t="str">
        <f>HYPERLINK("http://slimages.macys.com/is/image/MCY/20751929 ")</f>
        <v xml:space="preserve">http://slimages.macys.com/is/image/MCY/20751929 </v>
      </c>
    </row>
    <row r="270" spans="1:14" ht="24.75" x14ac:dyDescent="0.25">
      <c r="A270" s="21" t="s">
        <v>9852</v>
      </c>
      <c r="B270" s="22" t="s">
        <v>9853</v>
      </c>
      <c r="C270" s="2">
        <v>1</v>
      </c>
      <c r="D270" s="23">
        <v>13.99</v>
      </c>
      <c r="E270" s="3">
        <v>13.99</v>
      </c>
      <c r="F270" s="2" t="s">
        <v>12287</v>
      </c>
      <c r="G270" s="22" t="s">
        <v>19670</v>
      </c>
      <c r="H270" s="24" t="s">
        <v>19797</v>
      </c>
      <c r="I270" s="22" t="s">
        <v>19309</v>
      </c>
      <c r="J270" s="22" t="s">
        <v>19849</v>
      </c>
      <c r="K270" s="22" t="s">
        <v>19850</v>
      </c>
      <c r="L270" s="22"/>
      <c r="M270" s="22"/>
      <c r="N270" s="25" t="str">
        <f>HYPERLINK("http://slimages.macys.com/is/image/MCY/20752050 ")</f>
        <v xml:space="preserve">http://slimages.macys.com/is/image/MCY/20752050 </v>
      </c>
    </row>
    <row r="271" spans="1:14" x14ac:dyDescent="0.25">
      <c r="A271" s="21" t="s">
        <v>12288</v>
      </c>
      <c r="B271" s="22" t="s">
        <v>12289</v>
      </c>
      <c r="C271" s="2">
        <v>2</v>
      </c>
      <c r="D271" s="23">
        <v>13.99</v>
      </c>
      <c r="E271" s="3">
        <v>27.98</v>
      </c>
      <c r="F271" s="2" t="s">
        <v>12290</v>
      </c>
      <c r="G271" s="22" t="s">
        <v>19618</v>
      </c>
      <c r="H271" s="24" t="s">
        <v>19339</v>
      </c>
      <c r="I271" s="22" t="s">
        <v>19309</v>
      </c>
      <c r="J271" s="22" t="s">
        <v>19849</v>
      </c>
      <c r="K271" s="22" t="s">
        <v>19850</v>
      </c>
      <c r="L271" s="22"/>
      <c r="M271" s="22"/>
      <c r="N271" s="25" t="str">
        <f>HYPERLINK("http://slimages.macys.com/is/image/MCY/20751929 ")</f>
        <v xml:space="preserve">http://slimages.macys.com/is/image/MCY/20751929 </v>
      </c>
    </row>
    <row r="272" spans="1:14" x14ac:dyDescent="0.25">
      <c r="A272" s="21" t="s">
        <v>9854</v>
      </c>
      <c r="B272" s="22" t="s">
        <v>9855</v>
      </c>
      <c r="C272" s="2">
        <v>2</v>
      </c>
      <c r="D272" s="23">
        <v>13.99</v>
      </c>
      <c r="E272" s="3">
        <v>27.98</v>
      </c>
      <c r="F272" s="2" t="s">
        <v>12287</v>
      </c>
      <c r="G272" s="22" t="s">
        <v>19670</v>
      </c>
      <c r="H272" s="24" t="s">
        <v>19364</v>
      </c>
      <c r="I272" s="22" t="s">
        <v>19309</v>
      </c>
      <c r="J272" s="22" t="s">
        <v>19849</v>
      </c>
      <c r="K272" s="22" t="s">
        <v>19850</v>
      </c>
      <c r="L272" s="22"/>
      <c r="M272" s="22"/>
      <c r="N272" s="25" t="str">
        <f>HYPERLINK("http://slimages.macys.com/is/image/MCY/20752050 ")</f>
        <v xml:space="preserve">http://slimages.macys.com/is/image/MCY/20752050 </v>
      </c>
    </row>
    <row r="273" spans="1:14" x14ac:dyDescent="0.25">
      <c r="A273" s="21" t="s">
        <v>12285</v>
      </c>
      <c r="B273" s="22" t="s">
        <v>12286</v>
      </c>
      <c r="C273" s="2">
        <v>1</v>
      </c>
      <c r="D273" s="23">
        <v>13.99</v>
      </c>
      <c r="E273" s="3">
        <v>13.99</v>
      </c>
      <c r="F273" s="2" t="s">
        <v>12287</v>
      </c>
      <c r="G273" s="22" t="s">
        <v>19670</v>
      </c>
      <c r="H273" s="24" t="s">
        <v>19339</v>
      </c>
      <c r="I273" s="22" t="s">
        <v>19309</v>
      </c>
      <c r="J273" s="22" t="s">
        <v>19849</v>
      </c>
      <c r="K273" s="22" t="s">
        <v>19850</v>
      </c>
      <c r="L273" s="22"/>
      <c r="M273" s="22"/>
      <c r="N273" s="25" t="str">
        <f>HYPERLINK("http://slimages.macys.com/is/image/MCY/20752050 ")</f>
        <v xml:space="preserve">http://slimages.macys.com/is/image/MCY/20752050 </v>
      </c>
    </row>
    <row r="274" spans="1:14" ht="24.75" x14ac:dyDescent="0.25">
      <c r="A274" s="21" t="s">
        <v>9856</v>
      </c>
      <c r="B274" s="22" t="s">
        <v>9857</v>
      </c>
      <c r="C274" s="2">
        <v>1</v>
      </c>
      <c r="D274" s="23">
        <v>18.11</v>
      </c>
      <c r="E274" s="3">
        <v>18.11</v>
      </c>
      <c r="F274" s="2" t="s">
        <v>12287</v>
      </c>
      <c r="G274" s="22" t="s">
        <v>19670</v>
      </c>
      <c r="H274" s="24" t="s">
        <v>19352</v>
      </c>
      <c r="I274" s="22" t="s">
        <v>19309</v>
      </c>
      <c r="J274" s="22" t="s">
        <v>19849</v>
      </c>
      <c r="K274" s="22" t="s">
        <v>19850</v>
      </c>
      <c r="L274" s="22"/>
      <c r="M274" s="22"/>
      <c r="N274" s="25" t="str">
        <f>HYPERLINK("http://slimages.macys.com/is/image/MCY/20752050 ")</f>
        <v xml:space="preserve">http://slimages.macys.com/is/image/MCY/20752050 </v>
      </c>
    </row>
    <row r="275" spans="1:14" ht="84.75" x14ac:dyDescent="0.25">
      <c r="A275" s="21" t="s">
        <v>9858</v>
      </c>
      <c r="B275" s="22" t="s">
        <v>9859</v>
      </c>
      <c r="C275" s="2">
        <v>1</v>
      </c>
      <c r="D275" s="23">
        <v>22</v>
      </c>
      <c r="E275" s="3">
        <v>22</v>
      </c>
      <c r="F275" s="2" t="s">
        <v>9860</v>
      </c>
      <c r="G275" s="22" t="s">
        <v>19467</v>
      </c>
      <c r="H275" s="24" t="s">
        <v>9861</v>
      </c>
      <c r="I275" s="22" t="s">
        <v>14376</v>
      </c>
      <c r="J275" s="22" t="s">
        <v>15506</v>
      </c>
      <c r="K275" s="22" t="s">
        <v>9834</v>
      </c>
      <c r="L275" s="22" t="s">
        <v>17554</v>
      </c>
      <c r="M275" s="22" t="s">
        <v>9835</v>
      </c>
      <c r="N275" s="25" t="str">
        <f>HYPERLINK("http://images.bloomingdales.com/is/image/BLM/11138974 ")</f>
        <v xml:space="preserve">http://images.bloomingdales.com/is/image/BLM/11138974 </v>
      </c>
    </row>
    <row r="276" spans="1:14" x14ac:dyDescent="0.25">
      <c r="A276" s="21" t="s">
        <v>9862</v>
      </c>
      <c r="B276" s="22" t="s">
        <v>9863</v>
      </c>
      <c r="C276" s="2">
        <v>1</v>
      </c>
      <c r="D276" s="23">
        <v>16.989999999999998</v>
      </c>
      <c r="E276" s="3">
        <v>16.989999999999998</v>
      </c>
      <c r="F276" s="2" t="s">
        <v>9864</v>
      </c>
      <c r="G276" s="22" t="s">
        <v>19670</v>
      </c>
      <c r="H276" s="24" t="s">
        <v>20089</v>
      </c>
      <c r="I276" s="22" t="s">
        <v>19309</v>
      </c>
      <c r="J276" s="22" t="s">
        <v>19849</v>
      </c>
      <c r="K276" s="22" t="s">
        <v>19850</v>
      </c>
      <c r="L276" s="22"/>
      <c r="M276" s="22"/>
      <c r="N276" s="25" t="str">
        <f>HYPERLINK("http://slimages.macys.com/is/image/MCY/21270746 ")</f>
        <v xml:space="preserve">http://slimages.macys.com/is/image/MCY/21270746 </v>
      </c>
    </row>
    <row r="277" spans="1:14" x14ac:dyDescent="0.25">
      <c r="A277" s="21" t="s">
        <v>9865</v>
      </c>
      <c r="B277" s="22" t="s">
        <v>9866</v>
      </c>
      <c r="C277" s="2">
        <v>1</v>
      </c>
      <c r="D277" s="23">
        <v>13.77</v>
      </c>
      <c r="E277" s="3">
        <v>13.77</v>
      </c>
      <c r="F277" s="2" t="s">
        <v>16507</v>
      </c>
      <c r="G277" s="22" t="s">
        <v>19323</v>
      </c>
      <c r="H277" s="24" t="s">
        <v>19367</v>
      </c>
      <c r="I277" s="22" t="s">
        <v>19309</v>
      </c>
      <c r="J277" s="22" t="s">
        <v>19708</v>
      </c>
      <c r="K277" s="22" t="s">
        <v>19709</v>
      </c>
      <c r="L277" s="22"/>
      <c r="M277" s="22"/>
      <c r="N277" s="25" t="str">
        <f>HYPERLINK("http://slimages.macys.com/is/image/MCY/21758683 ")</f>
        <v xml:space="preserve">http://slimages.macys.com/is/image/MCY/21758683 </v>
      </c>
    </row>
    <row r="278" spans="1:14" x14ac:dyDescent="0.25">
      <c r="A278" s="21" t="s">
        <v>9867</v>
      </c>
      <c r="B278" s="22" t="s">
        <v>9868</v>
      </c>
      <c r="C278" s="2">
        <v>1</v>
      </c>
      <c r="D278" s="23">
        <v>13.77</v>
      </c>
      <c r="E278" s="3">
        <v>13.77</v>
      </c>
      <c r="F278" s="2" t="s">
        <v>16507</v>
      </c>
      <c r="G278" s="22" t="s">
        <v>19323</v>
      </c>
      <c r="H278" s="24" t="s">
        <v>19416</v>
      </c>
      <c r="I278" s="22" t="s">
        <v>19309</v>
      </c>
      <c r="J278" s="22" t="s">
        <v>19708</v>
      </c>
      <c r="K278" s="22" t="s">
        <v>19709</v>
      </c>
      <c r="L278" s="22"/>
      <c r="M278" s="22"/>
      <c r="N278" s="25" t="str">
        <f>HYPERLINK("http://slimages.macys.com/is/image/MCY/21758683 ")</f>
        <v xml:space="preserve">http://slimages.macys.com/is/image/MCY/21758683 </v>
      </c>
    </row>
    <row r="279" spans="1:14" x14ac:dyDescent="0.25">
      <c r="A279" s="21" t="s">
        <v>18480</v>
      </c>
      <c r="B279" s="22" t="s">
        <v>18481</v>
      </c>
      <c r="C279" s="2">
        <v>1</v>
      </c>
      <c r="D279" s="23">
        <v>13.77</v>
      </c>
      <c r="E279" s="3">
        <v>13.77</v>
      </c>
      <c r="F279" s="2" t="s">
        <v>18476</v>
      </c>
      <c r="G279" s="22"/>
      <c r="H279" s="24" t="s">
        <v>19416</v>
      </c>
      <c r="I279" s="22" t="s">
        <v>19309</v>
      </c>
      <c r="J279" s="22" t="s">
        <v>19708</v>
      </c>
      <c r="K279" s="22" t="s">
        <v>19709</v>
      </c>
      <c r="L279" s="22"/>
      <c r="M279" s="22"/>
      <c r="N279" s="25" t="str">
        <f t="shared" ref="N279:N284" si="1">HYPERLINK("http://slimages.macys.com/is/image/MCY/21758809 ")</f>
        <v xml:space="preserve">http://slimages.macys.com/is/image/MCY/21758809 </v>
      </c>
    </row>
    <row r="280" spans="1:14" x14ac:dyDescent="0.25">
      <c r="A280" s="21" t="s">
        <v>9869</v>
      </c>
      <c r="B280" s="22" t="s">
        <v>9870</v>
      </c>
      <c r="C280" s="2">
        <v>2</v>
      </c>
      <c r="D280" s="23">
        <v>13.77</v>
      </c>
      <c r="E280" s="3">
        <v>27.54</v>
      </c>
      <c r="F280" s="2" t="s">
        <v>18476</v>
      </c>
      <c r="G280" s="22"/>
      <c r="H280" s="24" t="s">
        <v>19770</v>
      </c>
      <c r="I280" s="22" t="s">
        <v>19309</v>
      </c>
      <c r="J280" s="22" t="s">
        <v>19708</v>
      </c>
      <c r="K280" s="22" t="s">
        <v>19709</v>
      </c>
      <c r="L280" s="22"/>
      <c r="M280" s="22"/>
      <c r="N280" s="25" t="str">
        <f t="shared" si="1"/>
        <v xml:space="preserve">http://slimages.macys.com/is/image/MCY/21758809 </v>
      </c>
    </row>
    <row r="281" spans="1:14" x14ac:dyDescent="0.25">
      <c r="A281" s="21" t="s">
        <v>18486</v>
      </c>
      <c r="B281" s="22" t="s">
        <v>18487</v>
      </c>
      <c r="C281" s="2">
        <v>2</v>
      </c>
      <c r="D281" s="23">
        <v>13.77</v>
      </c>
      <c r="E281" s="3">
        <v>27.54</v>
      </c>
      <c r="F281" s="2" t="s">
        <v>18476</v>
      </c>
      <c r="G281" s="22"/>
      <c r="H281" s="24" t="s">
        <v>19367</v>
      </c>
      <c r="I281" s="22" t="s">
        <v>19309</v>
      </c>
      <c r="J281" s="22" t="s">
        <v>19708</v>
      </c>
      <c r="K281" s="22" t="s">
        <v>19709</v>
      </c>
      <c r="L281" s="22"/>
      <c r="M281" s="22"/>
      <c r="N281" s="25" t="str">
        <f t="shared" si="1"/>
        <v xml:space="preserve">http://slimages.macys.com/is/image/MCY/21758809 </v>
      </c>
    </row>
    <row r="282" spans="1:14" x14ac:dyDescent="0.25">
      <c r="A282" s="21" t="s">
        <v>18484</v>
      </c>
      <c r="B282" s="22" t="s">
        <v>18485</v>
      </c>
      <c r="C282" s="2">
        <v>1</v>
      </c>
      <c r="D282" s="23">
        <v>13.77</v>
      </c>
      <c r="E282" s="3">
        <v>13.77</v>
      </c>
      <c r="F282" s="2" t="s">
        <v>18476</v>
      </c>
      <c r="G282" s="22"/>
      <c r="H282" s="24" t="s">
        <v>20159</v>
      </c>
      <c r="I282" s="22" t="s">
        <v>19309</v>
      </c>
      <c r="J282" s="22" t="s">
        <v>19708</v>
      </c>
      <c r="K282" s="22" t="s">
        <v>19709</v>
      </c>
      <c r="L282" s="22"/>
      <c r="M282" s="22"/>
      <c r="N282" s="25" t="str">
        <f t="shared" si="1"/>
        <v xml:space="preserve">http://slimages.macys.com/is/image/MCY/21758809 </v>
      </c>
    </row>
    <row r="283" spans="1:14" x14ac:dyDescent="0.25">
      <c r="A283" s="21" t="s">
        <v>9871</v>
      </c>
      <c r="B283" s="22" t="s">
        <v>9872</v>
      </c>
      <c r="C283" s="2">
        <v>1</v>
      </c>
      <c r="D283" s="23">
        <v>13.77</v>
      </c>
      <c r="E283" s="3">
        <v>13.77</v>
      </c>
      <c r="F283" s="2" t="s">
        <v>18476</v>
      </c>
      <c r="G283" s="22"/>
      <c r="H283" s="24" t="s">
        <v>20152</v>
      </c>
      <c r="I283" s="22" t="s">
        <v>19309</v>
      </c>
      <c r="J283" s="22" t="s">
        <v>19708</v>
      </c>
      <c r="K283" s="22" t="s">
        <v>19709</v>
      </c>
      <c r="L283" s="22"/>
      <c r="M283" s="22"/>
      <c r="N283" s="25" t="str">
        <f t="shared" si="1"/>
        <v xml:space="preserve">http://slimages.macys.com/is/image/MCY/21758809 </v>
      </c>
    </row>
    <row r="284" spans="1:14" x14ac:dyDescent="0.25">
      <c r="A284" s="21" t="s">
        <v>18482</v>
      </c>
      <c r="B284" s="22" t="s">
        <v>18483</v>
      </c>
      <c r="C284" s="2">
        <v>1</v>
      </c>
      <c r="D284" s="23">
        <v>13.77</v>
      </c>
      <c r="E284" s="3">
        <v>13.77</v>
      </c>
      <c r="F284" s="2" t="s">
        <v>18476</v>
      </c>
      <c r="G284" s="22"/>
      <c r="H284" s="24" t="s">
        <v>19330</v>
      </c>
      <c r="I284" s="22" t="s">
        <v>19309</v>
      </c>
      <c r="J284" s="22" t="s">
        <v>19708</v>
      </c>
      <c r="K284" s="22" t="s">
        <v>19709</v>
      </c>
      <c r="L284" s="22"/>
      <c r="M284" s="22"/>
      <c r="N284" s="25" t="str">
        <f t="shared" si="1"/>
        <v xml:space="preserve">http://slimages.macys.com/is/image/MCY/21758809 </v>
      </c>
    </row>
    <row r="285" spans="1:14" x14ac:dyDescent="0.25">
      <c r="A285" s="21" t="s">
        <v>16218</v>
      </c>
      <c r="B285" s="22" t="s">
        <v>16219</v>
      </c>
      <c r="C285" s="2">
        <v>1</v>
      </c>
      <c r="D285" s="23">
        <v>13.77</v>
      </c>
      <c r="E285" s="3">
        <v>13.77</v>
      </c>
      <c r="F285" s="2" t="s">
        <v>16507</v>
      </c>
      <c r="G285" s="22" t="s">
        <v>19323</v>
      </c>
      <c r="H285" s="24" t="s">
        <v>19770</v>
      </c>
      <c r="I285" s="22" t="s">
        <v>19309</v>
      </c>
      <c r="J285" s="22" t="s">
        <v>19708</v>
      </c>
      <c r="K285" s="22" t="s">
        <v>19709</v>
      </c>
      <c r="L285" s="22"/>
      <c r="M285" s="22"/>
      <c r="N285" s="25" t="str">
        <f>HYPERLINK("http://slimages.macys.com/is/image/MCY/21758683 ")</f>
        <v xml:space="preserve">http://slimages.macys.com/is/image/MCY/21758683 </v>
      </c>
    </row>
    <row r="286" spans="1:14" x14ac:dyDescent="0.25">
      <c r="A286" s="21" t="s">
        <v>9873</v>
      </c>
      <c r="B286" s="22" t="s">
        <v>9874</v>
      </c>
      <c r="C286" s="2">
        <v>1</v>
      </c>
      <c r="D286" s="23">
        <v>13.99</v>
      </c>
      <c r="E286" s="3">
        <v>13.99</v>
      </c>
      <c r="F286" s="2" t="s">
        <v>16222</v>
      </c>
      <c r="G286" s="22" t="s">
        <v>19670</v>
      </c>
      <c r="H286" s="24" t="s">
        <v>19352</v>
      </c>
      <c r="I286" s="22" t="s">
        <v>19309</v>
      </c>
      <c r="J286" s="22" t="s">
        <v>19849</v>
      </c>
      <c r="K286" s="22" t="s">
        <v>19850</v>
      </c>
      <c r="L286" s="22"/>
      <c r="M286" s="22"/>
      <c r="N286" s="25" t="str">
        <f>HYPERLINK("http://slimages.macys.com/is/image/MCY/21270377 ")</f>
        <v xml:space="preserve">http://slimages.macys.com/is/image/MCY/21270377 </v>
      </c>
    </row>
    <row r="287" spans="1:14" x14ac:dyDescent="0.25">
      <c r="A287" s="21" t="s">
        <v>9875</v>
      </c>
      <c r="B287" s="22" t="s">
        <v>9876</v>
      </c>
      <c r="C287" s="2">
        <v>1</v>
      </c>
      <c r="D287" s="23">
        <v>13.99</v>
      </c>
      <c r="E287" s="3">
        <v>13.99</v>
      </c>
      <c r="F287" s="2" t="s">
        <v>16222</v>
      </c>
      <c r="G287" s="22" t="s">
        <v>19670</v>
      </c>
      <c r="H287" s="24" t="s">
        <v>19797</v>
      </c>
      <c r="I287" s="22" t="s">
        <v>19309</v>
      </c>
      <c r="J287" s="22" t="s">
        <v>19849</v>
      </c>
      <c r="K287" s="22" t="s">
        <v>19850</v>
      </c>
      <c r="L287" s="22"/>
      <c r="M287" s="22"/>
      <c r="N287" s="25" t="str">
        <f>HYPERLINK("http://slimages.macys.com/is/image/MCY/21270377 ")</f>
        <v xml:space="preserve">http://slimages.macys.com/is/image/MCY/21270377 </v>
      </c>
    </row>
    <row r="288" spans="1:14" x14ac:dyDescent="0.25">
      <c r="A288" s="21" t="s">
        <v>9877</v>
      </c>
      <c r="B288" s="22" t="s">
        <v>9878</v>
      </c>
      <c r="C288" s="2">
        <v>2</v>
      </c>
      <c r="D288" s="23">
        <v>13.99</v>
      </c>
      <c r="E288" s="3">
        <v>27.98</v>
      </c>
      <c r="F288" s="2" t="s">
        <v>16222</v>
      </c>
      <c r="G288" s="22" t="s">
        <v>19670</v>
      </c>
      <c r="H288" s="24" t="s">
        <v>19364</v>
      </c>
      <c r="I288" s="22" t="s">
        <v>19309</v>
      </c>
      <c r="J288" s="22" t="s">
        <v>19849</v>
      </c>
      <c r="K288" s="22" t="s">
        <v>19850</v>
      </c>
      <c r="L288" s="22"/>
      <c r="M288" s="22"/>
      <c r="N288" s="25" t="str">
        <f>HYPERLINK("http://slimages.macys.com/is/image/MCY/21270377 ")</f>
        <v xml:space="preserve">http://slimages.macys.com/is/image/MCY/21270377 </v>
      </c>
    </row>
    <row r="289" spans="1:14" x14ac:dyDescent="0.25">
      <c r="A289" s="21" t="s">
        <v>9879</v>
      </c>
      <c r="B289" s="22" t="s">
        <v>9880</v>
      </c>
      <c r="C289" s="2">
        <v>2</v>
      </c>
      <c r="D289" s="23">
        <v>10.82</v>
      </c>
      <c r="E289" s="3">
        <v>21.64</v>
      </c>
      <c r="F289" s="2" t="s">
        <v>9881</v>
      </c>
      <c r="G289" s="22" t="s">
        <v>19594</v>
      </c>
      <c r="H289" s="24" t="s">
        <v>19367</v>
      </c>
      <c r="I289" s="22" t="s">
        <v>19309</v>
      </c>
      <c r="J289" s="22" t="s">
        <v>19708</v>
      </c>
      <c r="K289" s="22" t="s">
        <v>19709</v>
      </c>
      <c r="L289" s="22"/>
      <c r="M289" s="22"/>
      <c r="N289" s="25" t="str">
        <f>HYPERLINK("http://slimages.macys.com/is/image/MCY/22596472 ")</f>
        <v xml:space="preserve">http://slimages.macys.com/is/image/MCY/22596472 </v>
      </c>
    </row>
    <row r="290" spans="1:14" x14ac:dyDescent="0.25">
      <c r="A290" s="21" t="s">
        <v>16511</v>
      </c>
      <c r="B290" s="22" t="s">
        <v>16512</v>
      </c>
      <c r="C290" s="2">
        <v>1</v>
      </c>
      <c r="D290" s="23">
        <v>13.77</v>
      </c>
      <c r="E290" s="3">
        <v>13.77</v>
      </c>
      <c r="F290" s="2" t="s">
        <v>16513</v>
      </c>
      <c r="G290" s="22" t="s">
        <v>19670</v>
      </c>
      <c r="H290" s="24" t="s">
        <v>19416</v>
      </c>
      <c r="I290" s="22" t="s">
        <v>19309</v>
      </c>
      <c r="J290" s="22" t="s">
        <v>19708</v>
      </c>
      <c r="K290" s="22" t="s">
        <v>19709</v>
      </c>
      <c r="L290" s="22"/>
      <c r="M290" s="22"/>
      <c r="N290" s="25" t="str">
        <f>HYPERLINK("http://slimages.macys.com/is/image/MCY/21414216 ")</f>
        <v xml:space="preserve">http://slimages.macys.com/is/image/MCY/21414216 </v>
      </c>
    </row>
    <row r="291" spans="1:14" ht="24.75" x14ac:dyDescent="0.25">
      <c r="A291" s="21" t="s">
        <v>13249</v>
      </c>
      <c r="B291" s="22" t="s">
        <v>13250</v>
      </c>
      <c r="C291" s="2">
        <v>1</v>
      </c>
      <c r="D291" s="23">
        <v>14.99</v>
      </c>
      <c r="E291" s="3">
        <v>14.99</v>
      </c>
      <c r="F291" s="2" t="s">
        <v>18501</v>
      </c>
      <c r="G291" s="22" t="s">
        <v>19431</v>
      </c>
      <c r="H291" s="24" t="s">
        <v>18507</v>
      </c>
      <c r="I291" s="22" t="s">
        <v>19309</v>
      </c>
      <c r="J291" s="22" t="s">
        <v>19595</v>
      </c>
      <c r="K291" s="22" t="s">
        <v>18498</v>
      </c>
      <c r="L291" s="22"/>
      <c r="M291" s="22"/>
      <c r="N291" s="25" t="str">
        <f>HYPERLINK("http://slimages.macys.com/is/image/MCY/21365889 ")</f>
        <v xml:space="preserve">http://slimages.macys.com/is/image/MCY/21365889 </v>
      </c>
    </row>
    <row r="292" spans="1:14" x14ac:dyDescent="0.25">
      <c r="A292" s="21" t="s">
        <v>13854</v>
      </c>
      <c r="B292" s="22" t="s">
        <v>13855</v>
      </c>
      <c r="C292" s="2">
        <v>2</v>
      </c>
      <c r="D292" s="23">
        <v>11.99</v>
      </c>
      <c r="E292" s="3">
        <v>23.98</v>
      </c>
      <c r="F292" s="2" t="s">
        <v>13856</v>
      </c>
      <c r="G292" s="22" t="s">
        <v>19618</v>
      </c>
      <c r="H292" s="24" t="s">
        <v>19352</v>
      </c>
      <c r="I292" s="22" t="s">
        <v>19309</v>
      </c>
      <c r="J292" s="22" t="s">
        <v>19849</v>
      </c>
      <c r="K292" s="22" t="s">
        <v>19850</v>
      </c>
      <c r="L292" s="22"/>
      <c r="M292" s="22"/>
      <c r="N292" s="25" t="str">
        <f>HYPERLINK("http://slimages.macys.com/is/image/MCY/20751956 ")</f>
        <v xml:space="preserve">http://slimages.macys.com/is/image/MCY/20751956 </v>
      </c>
    </row>
    <row r="293" spans="1:14" ht="24.75" x14ac:dyDescent="0.25">
      <c r="A293" s="21" t="s">
        <v>18503</v>
      </c>
      <c r="B293" s="22" t="s">
        <v>18504</v>
      </c>
      <c r="C293" s="2">
        <v>2</v>
      </c>
      <c r="D293" s="23">
        <v>14.99</v>
      </c>
      <c r="E293" s="3">
        <v>29.98</v>
      </c>
      <c r="F293" s="2" t="s">
        <v>18501</v>
      </c>
      <c r="G293" s="22" t="s">
        <v>19323</v>
      </c>
      <c r="H293" s="24" t="s">
        <v>18502</v>
      </c>
      <c r="I293" s="22" t="s">
        <v>19309</v>
      </c>
      <c r="J293" s="22" t="s">
        <v>19595</v>
      </c>
      <c r="K293" s="22" t="s">
        <v>18498</v>
      </c>
      <c r="L293" s="22"/>
      <c r="M293" s="22"/>
      <c r="N293" s="25" t="str">
        <f>HYPERLINK("http://slimages.macys.com/is/image/MCY/21365889 ")</f>
        <v xml:space="preserve">http://slimages.macys.com/is/image/MCY/21365889 </v>
      </c>
    </row>
    <row r="294" spans="1:14" ht="24.75" x14ac:dyDescent="0.25">
      <c r="A294" s="21" t="s">
        <v>9882</v>
      </c>
      <c r="B294" s="22" t="s">
        <v>9883</v>
      </c>
      <c r="C294" s="2">
        <v>1</v>
      </c>
      <c r="D294" s="23">
        <v>14.99</v>
      </c>
      <c r="E294" s="3">
        <v>14.99</v>
      </c>
      <c r="F294" s="2" t="s">
        <v>18501</v>
      </c>
      <c r="G294" s="22" t="s">
        <v>19431</v>
      </c>
      <c r="H294" s="24" t="s">
        <v>19797</v>
      </c>
      <c r="I294" s="22" t="s">
        <v>19309</v>
      </c>
      <c r="J294" s="22" t="s">
        <v>19595</v>
      </c>
      <c r="K294" s="22" t="s">
        <v>18498</v>
      </c>
      <c r="L294" s="22"/>
      <c r="M294" s="22"/>
      <c r="N294" s="25" t="str">
        <f>HYPERLINK("http://slimages.macys.com/is/image/MCY/21365889 ")</f>
        <v xml:space="preserve">http://slimages.macys.com/is/image/MCY/21365889 </v>
      </c>
    </row>
    <row r="295" spans="1:14" ht="24.75" x14ac:dyDescent="0.25">
      <c r="A295" s="21" t="s">
        <v>13849</v>
      </c>
      <c r="B295" s="22" t="s">
        <v>13850</v>
      </c>
      <c r="C295" s="2">
        <v>1</v>
      </c>
      <c r="D295" s="23">
        <v>14.99</v>
      </c>
      <c r="E295" s="3">
        <v>14.99</v>
      </c>
      <c r="F295" s="2" t="s">
        <v>18501</v>
      </c>
      <c r="G295" s="22" t="s">
        <v>19323</v>
      </c>
      <c r="H295" s="24" t="s">
        <v>19797</v>
      </c>
      <c r="I295" s="22" t="s">
        <v>19309</v>
      </c>
      <c r="J295" s="22" t="s">
        <v>19595</v>
      </c>
      <c r="K295" s="22" t="s">
        <v>18498</v>
      </c>
      <c r="L295" s="22"/>
      <c r="M295" s="22"/>
      <c r="N295" s="25" t="str">
        <f>HYPERLINK("http://slimages.macys.com/is/image/MCY/21365889 ")</f>
        <v xml:space="preserve">http://slimages.macys.com/is/image/MCY/21365889 </v>
      </c>
    </row>
    <row r="296" spans="1:14" ht="24.75" x14ac:dyDescent="0.25">
      <c r="A296" s="21" t="s">
        <v>18508</v>
      </c>
      <c r="B296" s="22" t="s">
        <v>18495</v>
      </c>
      <c r="C296" s="2">
        <v>2</v>
      </c>
      <c r="D296" s="23">
        <v>14.99</v>
      </c>
      <c r="E296" s="3">
        <v>29.98</v>
      </c>
      <c r="F296" s="2" t="s">
        <v>18501</v>
      </c>
      <c r="G296" s="22" t="s">
        <v>19323</v>
      </c>
      <c r="H296" s="24" t="s">
        <v>18497</v>
      </c>
      <c r="I296" s="22" t="s">
        <v>19309</v>
      </c>
      <c r="J296" s="22" t="s">
        <v>19595</v>
      </c>
      <c r="K296" s="22" t="s">
        <v>18498</v>
      </c>
      <c r="L296" s="22"/>
      <c r="M296" s="22"/>
      <c r="N296" s="25" t="str">
        <f>HYPERLINK("http://slimages.macys.com/is/image/MCY/21365889 ")</f>
        <v xml:space="preserve">http://slimages.macys.com/is/image/MCY/21365889 </v>
      </c>
    </row>
    <row r="297" spans="1:14" x14ac:dyDescent="0.25">
      <c r="A297" s="21" t="s">
        <v>13857</v>
      </c>
      <c r="B297" s="22" t="s">
        <v>13858</v>
      </c>
      <c r="C297" s="2">
        <v>1</v>
      </c>
      <c r="D297" s="23">
        <v>11.99</v>
      </c>
      <c r="E297" s="3">
        <v>11.99</v>
      </c>
      <c r="F297" s="2" t="s">
        <v>13856</v>
      </c>
      <c r="G297" s="22" t="s">
        <v>19618</v>
      </c>
      <c r="H297" s="24" t="s">
        <v>19339</v>
      </c>
      <c r="I297" s="22" t="s">
        <v>19309</v>
      </c>
      <c r="J297" s="22" t="s">
        <v>19849</v>
      </c>
      <c r="K297" s="22" t="s">
        <v>19850</v>
      </c>
      <c r="L297" s="22"/>
      <c r="M297" s="22"/>
      <c r="N297" s="25" t="str">
        <f>HYPERLINK("http://slimages.macys.com/is/image/MCY/20751956 ")</f>
        <v xml:space="preserve">http://slimages.macys.com/is/image/MCY/20751956 </v>
      </c>
    </row>
    <row r="298" spans="1:14" ht="24.75" x14ac:dyDescent="0.25">
      <c r="A298" s="21" t="s">
        <v>9884</v>
      </c>
      <c r="B298" s="22" t="s">
        <v>9885</v>
      </c>
      <c r="C298" s="2">
        <v>1</v>
      </c>
      <c r="D298" s="23">
        <v>13.99</v>
      </c>
      <c r="E298" s="3">
        <v>13.99</v>
      </c>
      <c r="F298" s="2" t="s">
        <v>9886</v>
      </c>
      <c r="G298" s="22" t="s">
        <v>19513</v>
      </c>
      <c r="H298" s="24" t="s">
        <v>19542</v>
      </c>
      <c r="I298" s="22" t="s">
        <v>19309</v>
      </c>
      <c r="J298" s="22" t="s">
        <v>19595</v>
      </c>
      <c r="K298" s="22" t="s">
        <v>19596</v>
      </c>
      <c r="L298" s="22"/>
      <c r="M298" s="22"/>
      <c r="N298" s="25" t="str">
        <f>HYPERLINK("http://slimages.macys.com/is/image/MCY/21623058 ")</f>
        <v xml:space="preserve">http://slimages.macys.com/is/image/MCY/21623058 </v>
      </c>
    </row>
    <row r="299" spans="1:14" ht="24.75" x14ac:dyDescent="0.25">
      <c r="A299" s="21" t="s">
        <v>13254</v>
      </c>
      <c r="B299" s="22" t="s">
        <v>13255</v>
      </c>
      <c r="C299" s="2">
        <v>1</v>
      </c>
      <c r="D299" s="23">
        <v>11.91</v>
      </c>
      <c r="E299" s="3">
        <v>11.91</v>
      </c>
      <c r="F299" s="2" t="s">
        <v>18524</v>
      </c>
      <c r="G299" s="22"/>
      <c r="H299" s="24" t="s">
        <v>19345</v>
      </c>
      <c r="I299" s="22" t="s">
        <v>19309</v>
      </c>
      <c r="J299" s="22" t="s">
        <v>19602</v>
      </c>
      <c r="K299" s="22" t="s">
        <v>20041</v>
      </c>
      <c r="L299" s="22"/>
      <c r="M299" s="22"/>
      <c r="N299" s="25" t="str">
        <f>HYPERLINK("http://slimages.macys.com/is/image/MCY/21420574 ")</f>
        <v xml:space="preserve">http://slimages.macys.com/is/image/MCY/21420574 </v>
      </c>
    </row>
    <row r="300" spans="1:14" ht="24.75" x14ac:dyDescent="0.25">
      <c r="A300" s="21" t="s">
        <v>9887</v>
      </c>
      <c r="B300" s="22" t="s">
        <v>9888</v>
      </c>
      <c r="C300" s="2">
        <v>1</v>
      </c>
      <c r="D300" s="23">
        <v>11.92</v>
      </c>
      <c r="E300" s="3">
        <v>11.92</v>
      </c>
      <c r="F300" s="2" t="s">
        <v>16233</v>
      </c>
      <c r="G300" s="22" t="s">
        <v>19357</v>
      </c>
      <c r="H300" s="24" t="s">
        <v>19334</v>
      </c>
      <c r="I300" s="22" t="s">
        <v>19309</v>
      </c>
      <c r="J300" s="22" t="s">
        <v>19602</v>
      </c>
      <c r="K300" s="22" t="s">
        <v>20041</v>
      </c>
      <c r="L300" s="22"/>
      <c r="M300" s="22"/>
      <c r="N300" s="25" t="str">
        <f>HYPERLINK("http://slimages.macys.com/is/image/MCY/21728874 ")</f>
        <v xml:space="preserve">http://slimages.macys.com/is/image/MCY/21728874 </v>
      </c>
    </row>
    <row r="301" spans="1:14" ht="24.75" x14ac:dyDescent="0.25">
      <c r="A301" s="21" t="s">
        <v>9889</v>
      </c>
      <c r="B301" s="22" t="s">
        <v>9890</v>
      </c>
      <c r="C301" s="2">
        <v>1</v>
      </c>
      <c r="D301" s="23">
        <v>14.99</v>
      </c>
      <c r="E301" s="3">
        <v>14.99</v>
      </c>
      <c r="F301" s="2" t="s">
        <v>9891</v>
      </c>
      <c r="G301" s="22" t="s">
        <v>19594</v>
      </c>
      <c r="H301" s="24" t="s">
        <v>19352</v>
      </c>
      <c r="I301" s="22" t="s">
        <v>19309</v>
      </c>
      <c r="J301" s="22" t="s">
        <v>19353</v>
      </c>
      <c r="K301" s="22" t="s">
        <v>19524</v>
      </c>
      <c r="L301" s="22"/>
      <c r="M301" s="22"/>
      <c r="N301" s="25" t="str">
        <f>HYPERLINK("http://slimages.macys.com/is/image/MCY/19932860 ")</f>
        <v xml:space="preserve">http://slimages.macys.com/is/image/MCY/19932860 </v>
      </c>
    </row>
    <row r="302" spans="1:14" ht="24.75" x14ac:dyDescent="0.25">
      <c r="A302" s="21" t="s">
        <v>9892</v>
      </c>
      <c r="B302" s="22" t="s">
        <v>9893</v>
      </c>
      <c r="C302" s="2">
        <v>1</v>
      </c>
      <c r="D302" s="23">
        <v>13.99</v>
      </c>
      <c r="E302" s="3">
        <v>13.99</v>
      </c>
      <c r="F302" s="2" t="s">
        <v>16245</v>
      </c>
      <c r="G302" s="22" t="s">
        <v>19351</v>
      </c>
      <c r="H302" s="24" t="s">
        <v>19330</v>
      </c>
      <c r="I302" s="22" t="s">
        <v>19309</v>
      </c>
      <c r="J302" s="22" t="s">
        <v>19573</v>
      </c>
      <c r="K302" s="22" t="s">
        <v>19574</v>
      </c>
      <c r="L302" s="22"/>
      <c r="M302" s="22"/>
      <c r="N302" s="25" t="str">
        <f>HYPERLINK("http://slimages.macys.com/is/image/MCY/1554881 ")</f>
        <v xml:space="preserve">http://slimages.macys.com/is/image/MCY/1554881 </v>
      </c>
    </row>
    <row r="303" spans="1:14" ht="24.75" x14ac:dyDescent="0.25">
      <c r="A303" s="21" t="s">
        <v>16241</v>
      </c>
      <c r="B303" s="22" t="s">
        <v>16242</v>
      </c>
      <c r="C303" s="2">
        <v>1</v>
      </c>
      <c r="D303" s="23">
        <v>13.99</v>
      </c>
      <c r="E303" s="3">
        <v>13.99</v>
      </c>
      <c r="F303" s="2" t="s">
        <v>18536</v>
      </c>
      <c r="G303" s="22" t="s">
        <v>19674</v>
      </c>
      <c r="H303" s="24" t="s">
        <v>19416</v>
      </c>
      <c r="I303" s="22" t="s">
        <v>19309</v>
      </c>
      <c r="J303" s="22" t="s">
        <v>19573</v>
      </c>
      <c r="K303" s="22" t="s">
        <v>19574</v>
      </c>
      <c r="L303" s="22"/>
      <c r="M303" s="22"/>
      <c r="N303" s="25" t="str">
        <f>HYPERLINK("http://slimages.macys.com/is/image/MCY/22037419 ")</f>
        <v xml:space="preserve">http://slimages.macys.com/is/image/MCY/22037419 </v>
      </c>
    </row>
    <row r="304" spans="1:14" ht="24.75" x14ac:dyDescent="0.25">
      <c r="A304" s="21" t="s">
        <v>9894</v>
      </c>
      <c r="B304" s="22" t="s">
        <v>9895</v>
      </c>
      <c r="C304" s="2">
        <v>1</v>
      </c>
      <c r="D304" s="23">
        <v>13.99</v>
      </c>
      <c r="E304" s="3">
        <v>13.99</v>
      </c>
      <c r="F304" s="2" t="s">
        <v>18536</v>
      </c>
      <c r="G304" s="22" t="s">
        <v>19674</v>
      </c>
      <c r="H304" s="24" t="s">
        <v>19324</v>
      </c>
      <c r="I304" s="22" t="s">
        <v>19309</v>
      </c>
      <c r="J304" s="22" t="s">
        <v>19573</v>
      </c>
      <c r="K304" s="22" t="s">
        <v>19574</v>
      </c>
      <c r="L304" s="22"/>
      <c r="M304" s="22"/>
      <c r="N304" s="25" t="str">
        <f>HYPERLINK("http://slimages.macys.com/is/image/MCY/22037419 ")</f>
        <v xml:space="preserve">http://slimages.macys.com/is/image/MCY/22037419 </v>
      </c>
    </row>
    <row r="305" spans="1:14" x14ac:dyDescent="0.25">
      <c r="A305" s="21" t="s">
        <v>13261</v>
      </c>
      <c r="B305" s="22" t="s">
        <v>20084</v>
      </c>
      <c r="C305" s="2">
        <v>1</v>
      </c>
      <c r="D305" s="23">
        <v>19.989999999999998</v>
      </c>
      <c r="E305" s="3">
        <v>19.989999999999998</v>
      </c>
      <c r="F305" s="2" t="s">
        <v>18541</v>
      </c>
      <c r="G305" s="22" t="s">
        <v>19674</v>
      </c>
      <c r="H305" s="24" t="s">
        <v>19907</v>
      </c>
      <c r="I305" s="22" t="s">
        <v>19309</v>
      </c>
      <c r="J305" s="22" t="s">
        <v>19849</v>
      </c>
      <c r="K305" s="22" t="s">
        <v>19850</v>
      </c>
      <c r="L305" s="22"/>
      <c r="M305" s="22"/>
      <c r="N305" s="25" t="str">
        <f>HYPERLINK("http://slimages.macys.com/is/image/MCY/21349887 ")</f>
        <v xml:space="preserve">http://slimages.macys.com/is/image/MCY/21349887 </v>
      </c>
    </row>
    <row r="306" spans="1:14" x14ac:dyDescent="0.25">
      <c r="A306" s="21" t="s">
        <v>9896</v>
      </c>
      <c r="B306" s="22" t="s">
        <v>9897</v>
      </c>
      <c r="C306" s="2">
        <v>1</v>
      </c>
      <c r="D306" s="23">
        <v>16.989999999999998</v>
      </c>
      <c r="E306" s="3">
        <v>16.989999999999998</v>
      </c>
      <c r="F306" s="2" t="s">
        <v>16527</v>
      </c>
      <c r="G306" s="22" t="s">
        <v>19674</v>
      </c>
      <c r="H306" s="24" t="s">
        <v>19377</v>
      </c>
      <c r="I306" s="22" t="s">
        <v>19309</v>
      </c>
      <c r="J306" s="22" t="s">
        <v>19849</v>
      </c>
      <c r="K306" s="22" t="s">
        <v>19850</v>
      </c>
      <c r="L306" s="22"/>
      <c r="M306" s="22"/>
      <c r="N306" s="25" t="str">
        <f>HYPERLINK("http://slimages.macys.com/is/image/MCY/1504995 ")</f>
        <v xml:space="preserve">http://slimages.macys.com/is/image/MCY/1504995 </v>
      </c>
    </row>
    <row r="307" spans="1:14" x14ac:dyDescent="0.25">
      <c r="A307" s="21" t="s">
        <v>9898</v>
      </c>
      <c r="B307" s="22" t="s">
        <v>9899</v>
      </c>
      <c r="C307" s="2">
        <v>2</v>
      </c>
      <c r="D307" s="23">
        <v>19.989999999999998</v>
      </c>
      <c r="E307" s="3">
        <v>39.979999999999997</v>
      </c>
      <c r="F307" s="2" t="s">
        <v>18541</v>
      </c>
      <c r="G307" s="22" t="s">
        <v>19674</v>
      </c>
      <c r="H307" s="24" t="s">
        <v>19377</v>
      </c>
      <c r="I307" s="22" t="s">
        <v>19309</v>
      </c>
      <c r="J307" s="22" t="s">
        <v>19849</v>
      </c>
      <c r="K307" s="22" t="s">
        <v>19850</v>
      </c>
      <c r="L307" s="22"/>
      <c r="M307" s="22"/>
      <c r="N307" s="25" t="str">
        <f>HYPERLINK("http://slimages.macys.com/is/image/MCY/21349887 ")</f>
        <v xml:space="preserve">http://slimages.macys.com/is/image/MCY/21349887 </v>
      </c>
    </row>
    <row r="308" spans="1:14" x14ac:dyDescent="0.25">
      <c r="A308" s="21" t="s">
        <v>9900</v>
      </c>
      <c r="B308" s="22" t="s">
        <v>9901</v>
      </c>
      <c r="C308" s="2">
        <v>1</v>
      </c>
      <c r="D308" s="23">
        <v>9.99</v>
      </c>
      <c r="E308" s="3">
        <v>9.99</v>
      </c>
      <c r="F308" s="2" t="s">
        <v>16524</v>
      </c>
      <c r="G308" s="22" t="s">
        <v>19477</v>
      </c>
      <c r="H308" s="24" t="s">
        <v>19377</v>
      </c>
      <c r="I308" s="22" t="s">
        <v>19309</v>
      </c>
      <c r="J308" s="22" t="s">
        <v>19849</v>
      </c>
      <c r="K308" s="22" t="s">
        <v>19850</v>
      </c>
      <c r="L308" s="22"/>
      <c r="M308" s="22"/>
      <c r="N308" s="25" t="str">
        <f>HYPERLINK("http://slimages.macys.com/is/image/MCY/1275421 ")</f>
        <v xml:space="preserve">http://slimages.macys.com/is/image/MCY/1275421 </v>
      </c>
    </row>
    <row r="309" spans="1:14" x14ac:dyDescent="0.25">
      <c r="A309" s="21" t="s">
        <v>18577</v>
      </c>
      <c r="B309" s="22" t="s">
        <v>18578</v>
      </c>
      <c r="C309" s="2">
        <v>2</v>
      </c>
      <c r="D309" s="23">
        <v>7.99</v>
      </c>
      <c r="E309" s="3">
        <v>15.98</v>
      </c>
      <c r="F309" s="2" t="s">
        <v>18564</v>
      </c>
      <c r="G309" s="22" t="s">
        <v>18439</v>
      </c>
      <c r="H309" s="24" t="s">
        <v>19395</v>
      </c>
      <c r="I309" s="22" t="s">
        <v>19309</v>
      </c>
      <c r="J309" s="22" t="s">
        <v>19310</v>
      </c>
      <c r="K309" s="22" t="s">
        <v>19468</v>
      </c>
      <c r="L309" s="22"/>
      <c r="M309" s="22"/>
      <c r="N309" s="25" t="str">
        <f>HYPERLINK("http://slimages.macys.com/is/image/MCY/21256938 ")</f>
        <v xml:space="preserve">http://slimages.macys.com/is/image/MCY/21256938 </v>
      </c>
    </row>
    <row r="310" spans="1:14" x14ac:dyDescent="0.25">
      <c r="A310" s="21" t="s">
        <v>18567</v>
      </c>
      <c r="B310" s="22" t="s">
        <v>18568</v>
      </c>
      <c r="C310" s="2">
        <v>1</v>
      </c>
      <c r="D310" s="23">
        <v>7.99</v>
      </c>
      <c r="E310" s="3">
        <v>7.99</v>
      </c>
      <c r="F310" s="2" t="s">
        <v>18569</v>
      </c>
      <c r="G310" s="22" t="s">
        <v>19404</v>
      </c>
      <c r="H310" s="24" t="s">
        <v>19345</v>
      </c>
      <c r="I310" s="22" t="s">
        <v>19309</v>
      </c>
      <c r="J310" s="22" t="s">
        <v>19310</v>
      </c>
      <c r="K310" s="22" t="s">
        <v>19468</v>
      </c>
      <c r="L310" s="22"/>
      <c r="M310" s="22"/>
      <c r="N310" s="25" t="str">
        <f>HYPERLINK("http://slimages.macys.com/is/image/MCY/21184208 ")</f>
        <v xml:space="preserve">http://slimages.macys.com/is/image/MCY/21184208 </v>
      </c>
    </row>
    <row r="311" spans="1:14" x14ac:dyDescent="0.25">
      <c r="A311" s="21" t="s">
        <v>18562</v>
      </c>
      <c r="B311" s="22" t="s">
        <v>18563</v>
      </c>
      <c r="C311" s="2">
        <v>1</v>
      </c>
      <c r="D311" s="23">
        <v>7.99</v>
      </c>
      <c r="E311" s="3">
        <v>7.99</v>
      </c>
      <c r="F311" s="2" t="s">
        <v>18564</v>
      </c>
      <c r="G311" s="22" t="s">
        <v>18439</v>
      </c>
      <c r="H311" s="24" t="s">
        <v>19345</v>
      </c>
      <c r="I311" s="22" t="s">
        <v>19309</v>
      </c>
      <c r="J311" s="22" t="s">
        <v>19310</v>
      </c>
      <c r="K311" s="22" t="s">
        <v>19468</v>
      </c>
      <c r="L311" s="22"/>
      <c r="M311" s="22"/>
      <c r="N311" s="25" t="str">
        <f>HYPERLINK("http://slimages.macys.com/is/image/MCY/21256939 ")</f>
        <v xml:space="preserve">http://slimages.macys.com/is/image/MCY/21256939 </v>
      </c>
    </row>
    <row r="312" spans="1:14" ht="24.75" x14ac:dyDescent="0.25">
      <c r="A312" s="21" t="s">
        <v>9902</v>
      </c>
      <c r="B312" s="22" t="s">
        <v>9903</v>
      </c>
      <c r="C312" s="2">
        <v>1</v>
      </c>
      <c r="D312" s="23">
        <v>12</v>
      </c>
      <c r="E312" s="3">
        <v>12</v>
      </c>
      <c r="F312" s="2" t="s">
        <v>9904</v>
      </c>
      <c r="G312" s="22"/>
      <c r="H312" s="24" t="s">
        <v>19330</v>
      </c>
      <c r="I312" s="22" t="s">
        <v>19309</v>
      </c>
      <c r="J312" s="22" t="s">
        <v>19491</v>
      </c>
      <c r="K312" s="22" t="s">
        <v>18197</v>
      </c>
      <c r="L312" s="22"/>
      <c r="M312" s="22"/>
      <c r="N312" s="25" t="str">
        <f>HYPERLINK("http://slimages.macys.com/is/image/MCY/20284245 ")</f>
        <v xml:space="preserve">http://slimages.macys.com/is/image/MCY/20284245 </v>
      </c>
    </row>
    <row r="313" spans="1:14" ht="24.75" x14ac:dyDescent="0.25">
      <c r="A313" s="21" t="s">
        <v>18585</v>
      </c>
      <c r="B313" s="22" t="s">
        <v>18586</v>
      </c>
      <c r="C313" s="2">
        <v>2</v>
      </c>
      <c r="D313" s="23">
        <v>11.35</v>
      </c>
      <c r="E313" s="3">
        <v>22.7</v>
      </c>
      <c r="F313" s="2" t="s">
        <v>18587</v>
      </c>
      <c r="G313" s="22"/>
      <c r="H313" s="24" t="s">
        <v>19392</v>
      </c>
      <c r="I313" s="22" t="s">
        <v>19309</v>
      </c>
      <c r="J313" s="22" t="s">
        <v>19602</v>
      </c>
      <c r="K313" s="22" t="s">
        <v>20041</v>
      </c>
      <c r="L313" s="22"/>
      <c r="M313" s="22"/>
      <c r="N313" s="25" t="str">
        <f>HYPERLINK("http://slimages.macys.com/is/image/MCY/22406119 ")</f>
        <v xml:space="preserve">http://slimages.macys.com/is/image/MCY/22406119 </v>
      </c>
    </row>
    <row r="314" spans="1:14" ht="24.75" x14ac:dyDescent="0.25">
      <c r="A314" s="21" t="s">
        <v>9905</v>
      </c>
      <c r="B314" s="22" t="s">
        <v>9906</v>
      </c>
      <c r="C314" s="2">
        <v>2</v>
      </c>
      <c r="D314" s="23">
        <v>8.99</v>
      </c>
      <c r="E314" s="3">
        <v>17.98</v>
      </c>
      <c r="F314" s="2" t="s">
        <v>9907</v>
      </c>
      <c r="G314" s="22" t="s">
        <v>20145</v>
      </c>
      <c r="H314" s="24" t="s">
        <v>19364</v>
      </c>
      <c r="I314" s="22" t="s">
        <v>19309</v>
      </c>
      <c r="J314" s="22" t="s">
        <v>19310</v>
      </c>
      <c r="K314" s="22" t="s">
        <v>19873</v>
      </c>
      <c r="L314" s="22"/>
      <c r="M314" s="22"/>
      <c r="N314" s="25" t="str">
        <f>HYPERLINK("http://slimages.macys.com/is/image/MCY/20670332 ")</f>
        <v xml:space="preserve">http://slimages.macys.com/is/image/MCY/20670332 </v>
      </c>
    </row>
    <row r="315" spans="1:14" ht="24.75" x14ac:dyDescent="0.25">
      <c r="A315" s="21" t="s">
        <v>9908</v>
      </c>
      <c r="B315" s="22" t="s">
        <v>9909</v>
      </c>
      <c r="C315" s="2">
        <v>1</v>
      </c>
      <c r="D315" s="23">
        <v>7.99</v>
      </c>
      <c r="E315" s="3">
        <v>7.99</v>
      </c>
      <c r="F315" s="2" t="s">
        <v>16559</v>
      </c>
      <c r="G315" s="22" t="s">
        <v>19351</v>
      </c>
      <c r="H315" s="24" t="s">
        <v>19308</v>
      </c>
      <c r="I315" s="22" t="s">
        <v>19309</v>
      </c>
      <c r="J315" s="22" t="s">
        <v>19310</v>
      </c>
      <c r="K315" s="22" t="s">
        <v>19873</v>
      </c>
      <c r="L315" s="22"/>
      <c r="M315" s="22"/>
      <c r="N315" s="25" t="str">
        <f>HYPERLINK("http://slimages.macys.com/is/image/MCY/21551570 ")</f>
        <v xml:space="preserve">http://slimages.macys.com/is/image/MCY/21551570 </v>
      </c>
    </row>
    <row r="316" spans="1:14" ht="24.75" x14ac:dyDescent="0.25">
      <c r="A316" s="21" t="s">
        <v>9910</v>
      </c>
      <c r="B316" s="22" t="s">
        <v>9911</v>
      </c>
      <c r="C316" s="2">
        <v>1</v>
      </c>
      <c r="D316" s="23">
        <v>7.99</v>
      </c>
      <c r="E316" s="3">
        <v>7.99</v>
      </c>
      <c r="F316" s="2" t="s">
        <v>9912</v>
      </c>
      <c r="G316" s="22" t="s">
        <v>19801</v>
      </c>
      <c r="H316" s="24" t="s">
        <v>19339</v>
      </c>
      <c r="I316" s="22" t="s">
        <v>19309</v>
      </c>
      <c r="J316" s="22" t="s">
        <v>19310</v>
      </c>
      <c r="K316" s="22" t="s">
        <v>19873</v>
      </c>
      <c r="L316" s="22"/>
      <c r="M316" s="22"/>
      <c r="N316" s="25" t="str">
        <f>HYPERLINK("http://slimages.macys.com/is/image/MCY/21176781 ")</f>
        <v xml:space="preserve">http://slimages.macys.com/is/image/MCY/21176781 </v>
      </c>
    </row>
    <row r="317" spans="1:14" x14ac:dyDescent="0.25">
      <c r="A317" s="21" t="s">
        <v>9913</v>
      </c>
      <c r="B317" s="22" t="s">
        <v>9914</v>
      </c>
      <c r="C317" s="2">
        <v>1</v>
      </c>
      <c r="D317" s="23">
        <v>11.99</v>
      </c>
      <c r="E317" s="3">
        <v>11.99</v>
      </c>
      <c r="F317" s="2" t="s">
        <v>16562</v>
      </c>
      <c r="G317" s="22" t="s">
        <v>19351</v>
      </c>
      <c r="H317" s="24" t="s">
        <v>19364</v>
      </c>
      <c r="I317" s="22" t="s">
        <v>19309</v>
      </c>
      <c r="J317" s="22" t="s">
        <v>19849</v>
      </c>
      <c r="K317" s="22" t="s">
        <v>19850</v>
      </c>
      <c r="L317" s="22"/>
      <c r="M317" s="22"/>
      <c r="N317" s="25" t="str">
        <f>HYPERLINK("http://slimages.macys.com/is/image/MCY/20530994 ")</f>
        <v xml:space="preserve">http://slimages.macys.com/is/image/MCY/20530994 </v>
      </c>
    </row>
    <row r="318" spans="1:14" ht="24.75" x14ac:dyDescent="0.25">
      <c r="A318" s="21" t="s">
        <v>9915</v>
      </c>
      <c r="B318" s="22" t="s">
        <v>9916</v>
      </c>
      <c r="C318" s="2">
        <v>1</v>
      </c>
      <c r="D318" s="23">
        <v>8.99</v>
      </c>
      <c r="E318" s="3">
        <v>8.99</v>
      </c>
      <c r="F318" s="2" t="s">
        <v>9917</v>
      </c>
      <c r="G318" s="22" t="s">
        <v>19801</v>
      </c>
      <c r="H318" s="24" t="s">
        <v>19308</v>
      </c>
      <c r="I318" s="22" t="s">
        <v>19309</v>
      </c>
      <c r="J318" s="22" t="s">
        <v>19310</v>
      </c>
      <c r="K318" s="22" t="s">
        <v>19873</v>
      </c>
      <c r="L318" s="22"/>
      <c r="M318" s="22"/>
      <c r="N318" s="25" t="str">
        <f>HYPERLINK("http://slimages.macys.com/is/image/MCY/21551321 ")</f>
        <v xml:space="preserve">http://slimages.macys.com/is/image/MCY/21551321 </v>
      </c>
    </row>
    <row r="319" spans="1:14" x14ac:dyDescent="0.25">
      <c r="A319" s="21" t="s">
        <v>9918</v>
      </c>
      <c r="B319" s="22" t="s">
        <v>9919</v>
      </c>
      <c r="C319" s="2">
        <v>1</v>
      </c>
      <c r="D319" s="23">
        <v>11.99</v>
      </c>
      <c r="E319" s="3">
        <v>11.99</v>
      </c>
      <c r="F319" s="2" t="s">
        <v>16562</v>
      </c>
      <c r="G319" s="22" t="s">
        <v>19351</v>
      </c>
      <c r="H319" s="24" t="s">
        <v>19352</v>
      </c>
      <c r="I319" s="22" t="s">
        <v>19309</v>
      </c>
      <c r="J319" s="22" t="s">
        <v>19849</v>
      </c>
      <c r="K319" s="22" t="s">
        <v>19850</v>
      </c>
      <c r="L319" s="22"/>
      <c r="M319" s="22"/>
      <c r="N319" s="25" t="str">
        <f>HYPERLINK("http://slimages.macys.com/is/image/MCY/20530994 ")</f>
        <v xml:space="preserve">http://slimages.macys.com/is/image/MCY/20530994 </v>
      </c>
    </row>
    <row r="320" spans="1:14" x14ac:dyDescent="0.25">
      <c r="A320" s="21" t="s">
        <v>16550</v>
      </c>
      <c r="B320" s="22" t="s">
        <v>16551</v>
      </c>
      <c r="C320" s="2">
        <v>1</v>
      </c>
      <c r="D320" s="23">
        <v>7.99</v>
      </c>
      <c r="E320" s="3">
        <v>7.99</v>
      </c>
      <c r="F320" s="2" t="s">
        <v>16552</v>
      </c>
      <c r="G320" s="22" t="s">
        <v>19333</v>
      </c>
      <c r="H320" s="24" t="s">
        <v>19339</v>
      </c>
      <c r="I320" s="22" t="s">
        <v>19309</v>
      </c>
      <c r="J320" s="22" t="s">
        <v>19310</v>
      </c>
      <c r="K320" s="22" t="s">
        <v>19873</v>
      </c>
      <c r="L320" s="22"/>
      <c r="M320" s="22"/>
      <c r="N320" s="25" t="str">
        <f>HYPERLINK("http://slimages.macys.com/is/image/MCY/20390271 ")</f>
        <v xml:space="preserve">http://slimages.macys.com/is/image/MCY/20390271 </v>
      </c>
    </row>
    <row r="321" spans="1:14" ht="24.75" x14ac:dyDescent="0.25">
      <c r="A321" s="21" t="s">
        <v>9920</v>
      </c>
      <c r="B321" s="22" t="s">
        <v>9921</v>
      </c>
      <c r="C321" s="2">
        <v>2</v>
      </c>
      <c r="D321" s="23">
        <v>13.27</v>
      </c>
      <c r="E321" s="3">
        <v>26.54</v>
      </c>
      <c r="F321" s="2" t="s">
        <v>12358</v>
      </c>
      <c r="G321" s="22"/>
      <c r="H321" s="24" t="s">
        <v>19324</v>
      </c>
      <c r="I321" s="22" t="s">
        <v>19309</v>
      </c>
      <c r="J321" s="22" t="s">
        <v>19708</v>
      </c>
      <c r="K321" s="22" t="s">
        <v>19754</v>
      </c>
      <c r="L321" s="22"/>
      <c r="M321" s="22"/>
      <c r="N321" s="25" t="str">
        <f>HYPERLINK("http://slimages.macys.com/is/image/MCY/21758696 ")</f>
        <v xml:space="preserve">http://slimages.macys.com/is/image/MCY/21758696 </v>
      </c>
    </row>
    <row r="322" spans="1:14" x14ac:dyDescent="0.25">
      <c r="A322" s="21" t="s">
        <v>16297</v>
      </c>
      <c r="B322" s="22" t="s">
        <v>16298</v>
      </c>
      <c r="C322" s="2">
        <v>4</v>
      </c>
      <c r="D322" s="23">
        <v>13.27</v>
      </c>
      <c r="E322" s="3">
        <v>53.08</v>
      </c>
      <c r="F322" s="2" t="s">
        <v>16292</v>
      </c>
      <c r="G322" s="22"/>
      <c r="H322" s="24" t="s">
        <v>19324</v>
      </c>
      <c r="I322" s="22" t="s">
        <v>19309</v>
      </c>
      <c r="J322" s="22" t="s">
        <v>19708</v>
      </c>
      <c r="K322" s="22" t="s">
        <v>19754</v>
      </c>
      <c r="L322" s="22"/>
      <c r="M322" s="22"/>
      <c r="N322" s="25" t="str">
        <f>HYPERLINK("http://slimages.macys.com/is/image/MCY/21758168 ")</f>
        <v xml:space="preserve">http://slimages.macys.com/is/image/MCY/21758168 </v>
      </c>
    </row>
    <row r="323" spans="1:14" x14ac:dyDescent="0.25">
      <c r="A323" s="21" t="s">
        <v>16290</v>
      </c>
      <c r="B323" s="22" t="s">
        <v>16291</v>
      </c>
      <c r="C323" s="2">
        <v>1</v>
      </c>
      <c r="D323" s="23">
        <v>13.27</v>
      </c>
      <c r="E323" s="3">
        <v>13.27</v>
      </c>
      <c r="F323" s="2" t="s">
        <v>16292</v>
      </c>
      <c r="G323" s="22"/>
      <c r="H323" s="24" t="s">
        <v>19416</v>
      </c>
      <c r="I323" s="22" t="s">
        <v>19309</v>
      </c>
      <c r="J323" s="22" t="s">
        <v>19708</v>
      </c>
      <c r="K323" s="22" t="s">
        <v>19754</v>
      </c>
      <c r="L323" s="22"/>
      <c r="M323" s="22"/>
      <c r="N323" s="25" t="str">
        <f>HYPERLINK("http://slimages.macys.com/is/image/MCY/21758168 ")</f>
        <v xml:space="preserve">http://slimages.macys.com/is/image/MCY/21758168 </v>
      </c>
    </row>
    <row r="324" spans="1:14" ht="24.75" x14ac:dyDescent="0.25">
      <c r="A324" s="21" t="s">
        <v>16284</v>
      </c>
      <c r="B324" s="22" t="s">
        <v>16285</v>
      </c>
      <c r="C324" s="2">
        <v>1</v>
      </c>
      <c r="D324" s="23">
        <v>10.91</v>
      </c>
      <c r="E324" s="3">
        <v>10.91</v>
      </c>
      <c r="F324" s="2" t="s">
        <v>18643</v>
      </c>
      <c r="G324" s="22" t="s">
        <v>18644</v>
      </c>
      <c r="H324" s="24" t="s">
        <v>19345</v>
      </c>
      <c r="I324" s="22" t="s">
        <v>19309</v>
      </c>
      <c r="J324" s="22" t="s">
        <v>19602</v>
      </c>
      <c r="K324" s="22" t="s">
        <v>20041</v>
      </c>
      <c r="L324" s="22"/>
      <c r="M324" s="22"/>
      <c r="N324" s="25" t="str">
        <f>HYPERLINK("http://slimages.macys.com/is/image/MCY/21723141 ")</f>
        <v xml:space="preserve">http://slimages.macys.com/is/image/MCY/21723141 </v>
      </c>
    </row>
    <row r="325" spans="1:14" ht="24.75" x14ac:dyDescent="0.25">
      <c r="A325" s="21" t="s">
        <v>9922</v>
      </c>
      <c r="B325" s="22" t="s">
        <v>9923</v>
      </c>
      <c r="C325" s="2">
        <v>1</v>
      </c>
      <c r="D325" s="23">
        <v>10.91</v>
      </c>
      <c r="E325" s="3">
        <v>10.91</v>
      </c>
      <c r="F325" s="2" t="s">
        <v>18650</v>
      </c>
      <c r="G325" s="22"/>
      <c r="H325" s="24" t="s">
        <v>19392</v>
      </c>
      <c r="I325" s="22" t="s">
        <v>19309</v>
      </c>
      <c r="J325" s="22" t="s">
        <v>19602</v>
      </c>
      <c r="K325" s="22" t="s">
        <v>19603</v>
      </c>
      <c r="L325" s="22"/>
      <c r="M325" s="22"/>
      <c r="N325" s="25" t="str">
        <f>HYPERLINK("http://slimages.macys.com/is/image/MCY/21420990 ")</f>
        <v xml:space="preserve">http://slimages.macys.com/is/image/MCY/21420990 </v>
      </c>
    </row>
    <row r="326" spans="1:14" ht="24.75" x14ac:dyDescent="0.25">
      <c r="A326" s="21" t="s">
        <v>16280</v>
      </c>
      <c r="B326" s="22" t="s">
        <v>16281</v>
      </c>
      <c r="C326" s="2">
        <v>2</v>
      </c>
      <c r="D326" s="23">
        <v>10.91</v>
      </c>
      <c r="E326" s="3">
        <v>21.82</v>
      </c>
      <c r="F326" s="2" t="s">
        <v>16602</v>
      </c>
      <c r="G326" s="22" t="s">
        <v>19357</v>
      </c>
      <c r="H326" s="24" t="s">
        <v>19392</v>
      </c>
      <c r="I326" s="22" t="s">
        <v>19309</v>
      </c>
      <c r="J326" s="22" t="s">
        <v>19602</v>
      </c>
      <c r="K326" s="22" t="s">
        <v>20041</v>
      </c>
      <c r="L326" s="22"/>
      <c r="M326" s="22"/>
      <c r="N326" s="25" t="str">
        <f>HYPERLINK("http://slimages.macys.com/is/image/MCY/21723141 ")</f>
        <v xml:space="preserve">http://slimages.macys.com/is/image/MCY/21723141 </v>
      </c>
    </row>
    <row r="327" spans="1:14" ht="24.75" x14ac:dyDescent="0.25">
      <c r="A327" s="21" t="s">
        <v>9924</v>
      </c>
      <c r="B327" s="22" t="s">
        <v>9925</v>
      </c>
      <c r="C327" s="2">
        <v>1</v>
      </c>
      <c r="D327" s="23">
        <v>10.91</v>
      </c>
      <c r="E327" s="3">
        <v>10.91</v>
      </c>
      <c r="F327" s="2" t="s">
        <v>18643</v>
      </c>
      <c r="G327" s="22" t="s">
        <v>18644</v>
      </c>
      <c r="H327" s="24" t="s">
        <v>19392</v>
      </c>
      <c r="I327" s="22" t="s">
        <v>19309</v>
      </c>
      <c r="J327" s="22" t="s">
        <v>19602</v>
      </c>
      <c r="K327" s="22" t="s">
        <v>20041</v>
      </c>
      <c r="L327" s="22"/>
      <c r="M327" s="22"/>
      <c r="N327" s="25" t="str">
        <f>HYPERLINK("http://slimages.macys.com/is/image/MCY/21723141 ")</f>
        <v xml:space="preserve">http://slimages.macys.com/is/image/MCY/21723141 </v>
      </c>
    </row>
    <row r="328" spans="1:14" ht="24.75" x14ac:dyDescent="0.25">
      <c r="A328" s="21" t="s">
        <v>9926</v>
      </c>
      <c r="B328" s="22" t="s">
        <v>9927</v>
      </c>
      <c r="C328" s="2">
        <v>1</v>
      </c>
      <c r="D328" s="23">
        <v>13.27</v>
      </c>
      <c r="E328" s="3">
        <v>13.27</v>
      </c>
      <c r="F328" s="2" t="s">
        <v>9928</v>
      </c>
      <c r="G328" s="22"/>
      <c r="H328" s="24" t="s">
        <v>19324</v>
      </c>
      <c r="I328" s="22" t="s">
        <v>19309</v>
      </c>
      <c r="J328" s="22" t="s">
        <v>19708</v>
      </c>
      <c r="K328" s="22" t="s">
        <v>19754</v>
      </c>
      <c r="L328" s="22"/>
      <c r="M328" s="22"/>
      <c r="N328" s="25" t="str">
        <f>HYPERLINK("http://slimages.macys.com/is/image/MCY/21414782 ")</f>
        <v xml:space="preserve">http://slimages.macys.com/is/image/MCY/21414782 </v>
      </c>
    </row>
    <row r="329" spans="1:14" x14ac:dyDescent="0.25">
      <c r="A329" s="21" t="s">
        <v>9929</v>
      </c>
      <c r="B329" s="22" t="s">
        <v>9930</v>
      </c>
      <c r="C329" s="2">
        <v>1</v>
      </c>
      <c r="D329" s="23">
        <v>12.4</v>
      </c>
      <c r="E329" s="3">
        <v>12.4</v>
      </c>
      <c r="F329" s="2" t="s">
        <v>18637</v>
      </c>
      <c r="G329" s="22" t="s">
        <v>19315</v>
      </c>
      <c r="H329" s="24" t="s">
        <v>19367</v>
      </c>
      <c r="I329" s="22" t="s">
        <v>19309</v>
      </c>
      <c r="J329" s="22" t="s">
        <v>19708</v>
      </c>
      <c r="K329" s="22" t="s">
        <v>19709</v>
      </c>
      <c r="L329" s="22"/>
      <c r="M329" s="22"/>
      <c r="N329" s="25" t="str">
        <f>HYPERLINK("http://slimages.macys.com/is/image/MCY/22296880 ")</f>
        <v xml:space="preserve">http://slimages.macys.com/is/image/MCY/22296880 </v>
      </c>
    </row>
    <row r="330" spans="1:14" x14ac:dyDescent="0.25">
      <c r="A330" s="21" t="s">
        <v>9931</v>
      </c>
      <c r="B330" s="22" t="s">
        <v>18636</v>
      </c>
      <c r="C330" s="2">
        <v>1</v>
      </c>
      <c r="D330" s="23">
        <v>12.4</v>
      </c>
      <c r="E330" s="3">
        <v>12.4</v>
      </c>
      <c r="F330" s="2" t="s">
        <v>9932</v>
      </c>
      <c r="G330" s="22" t="s">
        <v>19315</v>
      </c>
      <c r="H330" s="24" t="s">
        <v>20152</v>
      </c>
      <c r="I330" s="22" t="s">
        <v>19309</v>
      </c>
      <c r="J330" s="22" t="s">
        <v>19708</v>
      </c>
      <c r="K330" s="22" t="s">
        <v>19709</v>
      </c>
      <c r="L330" s="22"/>
      <c r="M330" s="22"/>
      <c r="N330" s="25" t="str">
        <f>HYPERLINK("http://slimages.macys.com/is/image/MCY/22296850 ")</f>
        <v xml:space="preserve">http://slimages.macys.com/is/image/MCY/22296850 </v>
      </c>
    </row>
    <row r="331" spans="1:14" x14ac:dyDescent="0.25">
      <c r="A331" s="21" t="s">
        <v>9933</v>
      </c>
      <c r="B331" s="22" t="s">
        <v>9934</v>
      </c>
      <c r="C331" s="2">
        <v>1</v>
      </c>
      <c r="D331" s="23">
        <v>12.4</v>
      </c>
      <c r="E331" s="3">
        <v>12.4</v>
      </c>
      <c r="F331" s="2" t="s">
        <v>18640</v>
      </c>
      <c r="G331" s="22" t="s">
        <v>19351</v>
      </c>
      <c r="H331" s="24" t="s">
        <v>20152</v>
      </c>
      <c r="I331" s="22" t="s">
        <v>19309</v>
      </c>
      <c r="J331" s="22" t="s">
        <v>19708</v>
      </c>
      <c r="K331" s="22" t="s">
        <v>19709</v>
      </c>
      <c r="L331" s="22"/>
      <c r="M331" s="22"/>
      <c r="N331" s="25" t="str">
        <f>HYPERLINK("http://slimages.macys.com/is/image/MCY/22296874 ")</f>
        <v xml:space="preserve">http://slimages.macys.com/is/image/MCY/22296874 </v>
      </c>
    </row>
    <row r="332" spans="1:14" x14ac:dyDescent="0.25">
      <c r="A332" s="21" t="s">
        <v>18629</v>
      </c>
      <c r="B332" s="22" t="s">
        <v>18630</v>
      </c>
      <c r="C332" s="2">
        <v>1</v>
      </c>
      <c r="D332" s="23">
        <v>13.27</v>
      </c>
      <c r="E332" s="3">
        <v>13.27</v>
      </c>
      <c r="F332" s="2" t="s">
        <v>18631</v>
      </c>
      <c r="G332" s="22"/>
      <c r="H332" s="24" t="s">
        <v>19416</v>
      </c>
      <c r="I332" s="22" t="s">
        <v>19309</v>
      </c>
      <c r="J332" s="22" t="s">
        <v>19708</v>
      </c>
      <c r="K332" s="22" t="s">
        <v>19754</v>
      </c>
      <c r="L332" s="22"/>
      <c r="M332" s="22"/>
      <c r="N332" s="25" t="str">
        <f>HYPERLINK("http://slimages.macys.com/is/image/MCY/21414701 ")</f>
        <v xml:space="preserve">http://slimages.macys.com/is/image/MCY/21414701 </v>
      </c>
    </row>
    <row r="333" spans="1:14" x14ac:dyDescent="0.25">
      <c r="A333" s="21" t="s">
        <v>16612</v>
      </c>
      <c r="B333" s="22" t="s">
        <v>16613</v>
      </c>
      <c r="C333" s="2">
        <v>1</v>
      </c>
      <c r="D333" s="23">
        <v>13.27</v>
      </c>
      <c r="E333" s="3">
        <v>13.27</v>
      </c>
      <c r="F333" s="2" t="s">
        <v>16614</v>
      </c>
      <c r="G333" s="22"/>
      <c r="H333" s="24" t="s">
        <v>19416</v>
      </c>
      <c r="I333" s="22" t="s">
        <v>19309</v>
      </c>
      <c r="J333" s="22" t="s">
        <v>19708</v>
      </c>
      <c r="K333" s="22" t="s">
        <v>19754</v>
      </c>
      <c r="L333" s="22"/>
      <c r="M333" s="22"/>
      <c r="N333" s="25" t="str">
        <f>HYPERLINK("http://slimages.macys.com/is/image/MCY/21758696 ")</f>
        <v xml:space="preserve">http://slimages.macys.com/is/image/MCY/21758696 </v>
      </c>
    </row>
    <row r="334" spans="1:14" ht="24.75" x14ac:dyDescent="0.25">
      <c r="A334" s="21" t="s">
        <v>9935</v>
      </c>
      <c r="B334" s="22" t="s">
        <v>9936</v>
      </c>
      <c r="C334" s="2">
        <v>1</v>
      </c>
      <c r="D334" s="23">
        <v>13.27</v>
      </c>
      <c r="E334" s="3">
        <v>13.27</v>
      </c>
      <c r="F334" s="2" t="s">
        <v>12358</v>
      </c>
      <c r="G334" s="22"/>
      <c r="H334" s="24" t="s">
        <v>19330</v>
      </c>
      <c r="I334" s="22" t="s">
        <v>19309</v>
      </c>
      <c r="J334" s="22" t="s">
        <v>19708</v>
      </c>
      <c r="K334" s="22" t="s">
        <v>19754</v>
      </c>
      <c r="L334" s="22"/>
      <c r="M334" s="22"/>
      <c r="N334" s="25" t="str">
        <f>HYPERLINK("http://slimages.macys.com/is/image/MCY/21758696 ")</f>
        <v xml:space="preserve">http://slimages.macys.com/is/image/MCY/21758696 </v>
      </c>
    </row>
    <row r="335" spans="1:14" x14ac:dyDescent="0.25">
      <c r="A335" s="21" t="s">
        <v>18638</v>
      </c>
      <c r="B335" s="22" t="s">
        <v>18639</v>
      </c>
      <c r="C335" s="2">
        <v>1</v>
      </c>
      <c r="D335" s="23">
        <v>12.4</v>
      </c>
      <c r="E335" s="3">
        <v>12.4</v>
      </c>
      <c r="F335" s="2" t="s">
        <v>18640</v>
      </c>
      <c r="G335" s="22" t="s">
        <v>19351</v>
      </c>
      <c r="H335" s="24" t="s">
        <v>19367</v>
      </c>
      <c r="I335" s="22" t="s">
        <v>19309</v>
      </c>
      <c r="J335" s="22" t="s">
        <v>19708</v>
      </c>
      <c r="K335" s="22" t="s">
        <v>19709</v>
      </c>
      <c r="L335" s="22"/>
      <c r="M335" s="22"/>
      <c r="N335" s="25" t="str">
        <f>HYPERLINK("http://slimages.macys.com/is/image/MCY/22296874 ")</f>
        <v xml:space="preserve">http://slimages.macys.com/is/image/MCY/22296874 </v>
      </c>
    </row>
    <row r="336" spans="1:14" x14ac:dyDescent="0.25">
      <c r="A336" s="21" t="s">
        <v>16304</v>
      </c>
      <c r="B336" s="22" t="s">
        <v>16305</v>
      </c>
      <c r="C336" s="2">
        <v>1</v>
      </c>
      <c r="D336" s="23">
        <v>13.27</v>
      </c>
      <c r="E336" s="3">
        <v>13.27</v>
      </c>
      <c r="F336" s="2" t="s">
        <v>18631</v>
      </c>
      <c r="G336" s="22"/>
      <c r="H336" s="24" t="s">
        <v>19330</v>
      </c>
      <c r="I336" s="22" t="s">
        <v>19309</v>
      </c>
      <c r="J336" s="22" t="s">
        <v>19708</v>
      </c>
      <c r="K336" s="22" t="s">
        <v>19754</v>
      </c>
      <c r="L336" s="22"/>
      <c r="M336" s="22"/>
      <c r="N336" s="25" t="str">
        <f>HYPERLINK("http://slimages.macys.com/is/image/MCY/21414701 ")</f>
        <v xml:space="preserve">http://slimages.macys.com/is/image/MCY/21414701 </v>
      </c>
    </row>
    <row r="337" spans="1:14" ht="24.75" x14ac:dyDescent="0.25">
      <c r="A337" s="21" t="s">
        <v>12356</v>
      </c>
      <c r="B337" s="22" t="s">
        <v>12357</v>
      </c>
      <c r="C337" s="2">
        <v>2</v>
      </c>
      <c r="D337" s="23">
        <v>13.27</v>
      </c>
      <c r="E337" s="3">
        <v>26.54</v>
      </c>
      <c r="F337" s="2" t="s">
        <v>12358</v>
      </c>
      <c r="G337" s="22"/>
      <c r="H337" s="24" t="s">
        <v>19416</v>
      </c>
      <c r="I337" s="22" t="s">
        <v>19309</v>
      </c>
      <c r="J337" s="22" t="s">
        <v>19708</v>
      </c>
      <c r="K337" s="22" t="s">
        <v>19754</v>
      </c>
      <c r="L337" s="22"/>
      <c r="M337" s="22"/>
      <c r="N337" s="25" t="str">
        <f>HYPERLINK("http://slimages.macys.com/is/image/MCY/21758696 ")</f>
        <v xml:space="preserve">http://slimages.macys.com/is/image/MCY/21758696 </v>
      </c>
    </row>
    <row r="338" spans="1:14" ht="24.75" x14ac:dyDescent="0.25">
      <c r="A338" s="21" t="s">
        <v>9937</v>
      </c>
      <c r="B338" s="22" t="s">
        <v>9938</v>
      </c>
      <c r="C338" s="2">
        <v>4</v>
      </c>
      <c r="D338" s="23">
        <v>9.99</v>
      </c>
      <c r="E338" s="3">
        <v>39.96</v>
      </c>
      <c r="F338" s="2" t="s">
        <v>16621</v>
      </c>
      <c r="G338" s="22" t="s">
        <v>19906</v>
      </c>
      <c r="H338" s="24" t="s">
        <v>19377</v>
      </c>
      <c r="I338" s="22" t="s">
        <v>19309</v>
      </c>
      <c r="J338" s="22" t="s">
        <v>19908</v>
      </c>
      <c r="K338" s="22" t="s">
        <v>19524</v>
      </c>
      <c r="L338" s="22"/>
      <c r="M338" s="22"/>
      <c r="N338" s="25" t="str">
        <f>HYPERLINK("http://slimages.macys.com/is/image/MCY/21727213 ")</f>
        <v xml:space="preserve">http://slimages.macys.com/is/image/MCY/21727213 </v>
      </c>
    </row>
    <row r="339" spans="1:14" ht="24.75" x14ac:dyDescent="0.25">
      <c r="A339" s="21" t="s">
        <v>9939</v>
      </c>
      <c r="B339" s="22" t="s">
        <v>9940</v>
      </c>
      <c r="C339" s="2">
        <v>2</v>
      </c>
      <c r="D339" s="23">
        <v>9.99</v>
      </c>
      <c r="E339" s="3">
        <v>19.98</v>
      </c>
      <c r="F339" s="2" t="s">
        <v>16621</v>
      </c>
      <c r="G339" s="22" t="s">
        <v>19906</v>
      </c>
      <c r="H339" s="24" t="s">
        <v>19542</v>
      </c>
      <c r="I339" s="22" t="s">
        <v>19309</v>
      </c>
      <c r="J339" s="22" t="s">
        <v>19908</v>
      </c>
      <c r="K339" s="22" t="s">
        <v>19524</v>
      </c>
      <c r="L339" s="22"/>
      <c r="M339" s="22"/>
      <c r="N339" s="25" t="str">
        <f>HYPERLINK("http://slimages.macys.com/is/image/MCY/21727213 ")</f>
        <v xml:space="preserve">http://slimages.macys.com/is/image/MCY/21727213 </v>
      </c>
    </row>
    <row r="340" spans="1:14" ht="24.75" x14ac:dyDescent="0.25">
      <c r="A340" s="21" t="s">
        <v>9941</v>
      </c>
      <c r="B340" s="22" t="s">
        <v>9942</v>
      </c>
      <c r="C340" s="2">
        <v>1</v>
      </c>
      <c r="D340" s="23">
        <v>9.99</v>
      </c>
      <c r="E340" s="3">
        <v>9.99</v>
      </c>
      <c r="F340" s="2" t="s">
        <v>16621</v>
      </c>
      <c r="G340" s="22" t="s">
        <v>19906</v>
      </c>
      <c r="H340" s="24" t="s">
        <v>20089</v>
      </c>
      <c r="I340" s="22" t="s">
        <v>19309</v>
      </c>
      <c r="J340" s="22" t="s">
        <v>19908</v>
      </c>
      <c r="K340" s="22" t="s">
        <v>19524</v>
      </c>
      <c r="L340" s="22"/>
      <c r="M340" s="22"/>
      <c r="N340" s="25" t="str">
        <f>HYPERLINK("http://slimages.macys.com/is/image/MCY/21727213 ")</f>
        <v xml:space="preserve">http://slimages.macys.com/is/image/MCY/21727213 </v>
      </c>
    </row>
    <row r="341" spans="1:14" ht="24.75" x14ac:dyDescent="0.25">
      <c r="A341" s="21" t="s">
        <v>9943</v>
      </c>
      <c r="B341" s="22" t="s">
        <v>9944</v>
      </c>
      <c r="C341" s="2">
        <v>5</v>
      </c>
      <c r="D341" s="23">
        <v>9.99</v>
      </c>
      <c r="E341" s="3">
        <v>49.95</v>
      </c>
      <c r="F341" s="2" t="s">
        <v>16621</v>
      </c>
      <c r="G341" s="22" t="s">
        <v>19906</v>
      </c>
      <c r="H341" s="24" t="s">
        <v>19361</v>
      </c>
      <c r="I341" s="22" t="s">
        <v>19309</v>
      </c>
      <c r="J341" s="22" t="s">
        <v>19908</v>
      </c>
      <c r="K341" s="22" t="s">
        <v>19524</v>
      </c>
      <c r="L341" s="22"/>
      <c r="M341" s="22"/>
      <c r="N341" s="25" t="str">
        <f>HYPERLINK("http://slimages.macys.com/is/image/MCY/21727213 ")</f>
        <v xml:space="preserve">http://slimages.macys.com/is/image/MCY/21727213 </v>
      </c>
    </row>
    <row r="342" spans="1:14" ht="24.75" x14ac:dyDescent="0.25">
      <c r="A342" s="21" t="s">
        <v>16619</v>
      </c>
      <c r="B342" s="22" t="s">
        <v>16620</v>
      </c>
      <c r="C342" s="2">
        <v>1</v>
      </c>
      <c r="D342" s="23">
        <v>9.99</v>
      </c>
      <c r="E342" s="3">
        <v>9.99</v>
      </c>
      <c r="F342" s="2" t="s">
        <v>16621</v>
      </c>
      <c r="G342" s="22" t="s">
        <v>19906</v>
      </c>
      <c r="H342" s="24" t="s">
        <v>19907</v>
      </c>
      <c r="I342" s="22" t="s">
        <v>19309</v>
      </c>
      <c r="J342" s="22" t="s">
        <v>19908</v>
      </c>
      <c r="K342" s="22" t="s">
        <v>19524</v>
      </c>
      <c r="L342" s="22"/>
      <c r="M342" s="22"/>
      <c r="N342" s="25" t="str">
        <f>HYPERLINK("http://slimages.macys.com/is/image/MCY/21727213 ")</f>
        <v xml:space="preserve">http://slimages.macys.com/is/image/MCY/21727213 </v>
      </c>
    </row>
    <row r="343" spans="1:14" x14ac:dyDescent="0.25">
      <c r="A343" s="21" t="s">
        <v>9945</v>
      </c>
      <c r="B343" s="22" t="s">
        <v>9946</v>
      </c>
      <c r="C343" s="2">
        <v>1</v>
      </c>
      <c r="D343" s="23">
        <v>11.99</v>
      </c>
      <c r="E343" s="3">
        <v>11.99</v>
      </c>
      <c r="F343" s="2" t="s">
        <v>18663</v>
      </c>
      <c r="G343" s="22" t="s">
        <v>19585</v>
      </c>
      <c r="H343" s="24" t="s">
        <v>19339</v>
      </c>
      <c r="I343" s="22" t="s">
        <v>19309</v>
      </c>
      <c r="J343" s="22" t="s">
        <v>19849</v>
      </c>
      <c r="K343" s="22" t="s">
        <v>19850</v>
      </c>
      <c r="L343" s="22"/>
      <c r="M343" s="22"/>
      <c r="N343" s="25" t="str">
        <f>HYPERLINK("http://slimages.macys.com/is/image/MCY/20752422 ")</f>
        <v xml:space="preserve">http://slimages.macys.com/is/image/MCY/20752422 </v>
      </c>
    </row>
    <row r="344" spans="1:14" ht="72.75" x14ac:dyDescent="0.25">
      <c r="A344" s="21" t="s">
        <v>9947</v>
      </c>
      <c r="B344" s="22" t="s">
        <v>9948</v>
      </c>
      <c r="C344" s="2">
        <v>1</v>
      </c>
      <c r="D344" s="23">
        <v>22</v>
      </c>
      <c r="E344" s="3">
        <v>22</v>
      </c>
      <c r="F344" s="2" t="s">
        <v>9949</v>
      </c>
      <c r="G344" s="22" t="s">
        <v>19351</v>
      </c>
      <c r="H344" s="24" t="s">
        <v>17505</v>
      </c>
      <c r="I344" s="22" t="s">
        <v>14376</v>
      </c>
      <c r="J344" s="22" t="s">
        <v>15506</v>
      </c>
      <c r="K344" s="22" t="s">
        <v>9834</v>
      </c>
      <c r="L344" s="22" t="s">
        <v>17554</v>
      </c>
      <c r="M344" s="22" t="s">
        <v>9950</v>
      </c>
      <c r="N344" s="25" t="str">
        <f>HYPERLINK("http://images.bloomingdales.com/is/image/BLM/11138968 ")</f>
        <v xml:space="preserve">http://images.bloomingdales.com/is/image/BLM/11138968 </v>
      </c>
    </row>
    <row r="345" spans="1:14" x14ac:dyDescent="0.25">
      <c r="A345" s="21" t="s">
        <v>18664</v>
      </c>
      <c r="B345" s="22" t="s">
        <v>18665</v>
      </c>
      <c r="C345" s="2">
        <v>3</v>
      </c>
      <c r="D345" s="23">
        <v>16.989999999999998</v>
      </c>
      <c r="E345" s="3">
        <v>50.97</v>
      </c>
      <c r="F345" s="2" t="s">
        <v>18666</v>
      </c>
      <c r="G345" s="22" t="s">
        <v>19477</v>
      </c>
      <c r="H345" s="24" t="s">
        <v>19352</v>
      </c>
      <c r="I345" s="22" t="s">
        <v>19309</v>
      </c>
      <c r="J345" s="22" t="s">
        <v>19849</v>
      </c>
      <c r="K345" s="22" t="s">
        <v>19850</v>
      </c>
      <c r="L345" s="22"/>
      <c r="M345" s="22"/>
      <c r="N345" s="25" t="str">
        <f>HYPERLINK("http://slimages.macys.com/is/image/MCY/20549559 ")</f>
        <v xml:space="preserve">http://slimages.macys.com/is/image/MCY/20549559 </v>
      </c>
    </row>
    <row r="346" spans="1:14" x14ac:dyDescent="0.25">
      <c r="A346" s="21" t="s">
        <v>16627</v>
      </c>
      <c r="B346" s="22" t="s">
        <v>16628</v>
      </c>
      <c r="C346" s="2">
        <v>1</v>
      </c>
      <c r="D346" s="23">
        <v>16.989999999999998</v>
      </c>
      <c r="E346" s="3">
        <v>16.989999999999998</v>
      </c>
      <c r="F346" s="2" t="s">
        <v>18666</v>
      </c>
      <c r="G346" s="22" t="s">
        <v>19477</v>
      </c>
      <c r="H346" s="24" t="s">
        <v>19339</v>
      </c>
      <c r="I346" s="22" t="s">
        <v>19309</v>
      </c>
      <c r="J346" s="22" t="s">
        <v>19849</v>
      </c>
      <c r="K346" s="22" t="s">
        <v>19850</v>
      </c>
      <c r="L346" s="22"/>
      <c r="M346" s="22"/>
      <c r="N346" s="25" t="str">
        <f>HYPERLINK("http://slimages.macys.com/is/image/MCY/20549559 ")</f>
        <v xml:space="preserve">http://slimages.macys.com/is/image/MCY/20549559 </v>
      </c>
    </row>
    <row r="347" spans="1:14" x14ac:dyDescent="0.25">
      <c r="A347" s="21" t="s">
        <v>16633</v>
      </c>
      <c r="B347" s="22" t="s">
        <v>16634</v>
      </c>
      <c r="C347" s="2">
        <v>2</v>
      </c>
      <c r="D347" s="23">
        <v>16.989999999999998</v>
      </c>
      <c r="E347" s="3">
        <v>33.979999999999997</v>
      </c>
      <c r="F347" s="2" t="s">
        <v>18666</v>
      </c>
      <c r="G347" s="22" t="s">
        <v>19477</v>
      </c>
      <c r="H347" s="24" t="s">
        <v>19797</v>
      </c>
      <c r="I347" s="22" t="s">
        <v>19309</v>
      </c>
      <c r="J347" s="22" t="s">
        <v>19849</v>
      </c>
      <c r="K347" s="22" t="s">
        <v>19850</v>
      </c>
      <c r="L347" s="22"/>
      <c r="M347" s="22"/>
      <c r="N347" s="25" t="str">
        <f>HYPERLINK("http://slimages.macys.com/is/image/MCY/20549559 ")</f>
        <v xml:space="preserve">http://slimages.macys.com/is/image/MCY/20549559 </v>
      </c>
    </row>
    <row r="348" spans="1:14" x14ac:dyDescent="0.25">
      <c r="A348" s="21" t="s">
        <v>9951</v>
      </c>
      <c r="B348" s="22" t="s">
        <v>9952</v>
      </c>
      <c r="C348" s="2">
        <v>1</v>
      </c>
      <c r="D348" s="23">
        <v>11.99</v>
      </c>
      <c r="E348" s="3">
        <v>11.99</v>
      </c>
      <c r="F348" s="2" t="s">
        <v>16330</v>
      </c>
      <c r="G348" s="22" t="s">
        <v>19315</v>
      </c>
      <c r="H348" s="24" t="s">
        <v>19542</v>
      </c>
      <c r="I348" s="22" t="s">
        <v>19309</v>
      </c>
      <c r="J348" s="22" t="s">
        <v>19849</v>
      </c>
      <c r="K348" s="22" t="s">
        <v>19850</v>
      </c>
      <c r="L348" s="22"/>
      <c r="M348" s="22"/>
      <c r="N348" s="25" t="str">
        <f>HYPERLINK("http://slimages.macys.com/is/image/MCY/21251264 ")</f>
        <v xml:space="preserve">http://slimages.macys.com/is/image/MCY/21251264 </v>
      </c>
    </row>
    <row r="349" spans="1:14" ht="24.75" x14ac:dyDescent="0.25">
      <c r="A349" s="21" t="s">
        <v>9953</v>
      </c>
      <c r="B349" s="22" t="s">
        <v>9954</v>
      </c>
      <c r="C349" s="2">
        <v>1</v>
      </c>
      <c r="D349" s="23">
        <v>8.99</v>
      </c>
      <c r="E349" s="3">
        <v>8.99</v>
      </c>
      <c r="F349" s="2" t="s">
        <v>18622</v>
      </c>
      <c r="G349" s="22" t="s">
        <v>19518</v>
      </c>
      <c r="H349" s="24" t="s">
        <v>19907</v>
      </c>
      <c r="I349" s="22" t="s">
        <v>19309</v>
      </c>
      <c r="J349" s="22" t="s">
        <v>19815</v>
      </c>
      <c r="K349" s="22" t="s">
        <v>19816</v>
      </c>
      <c r="L349" s="22"/>
      <c r="M349" s="22"/>
      <c r="N349" s="25" t="str">
        <f>HYPERLINK("http://slimages.macys.com/is/image/MCY/20531081 ")</f>
        <v xml:space="preserve">http://slimages.macys.com/is/image/MCY/20531081 </v>
      </c>
    </row>
    <row r="350" spans="1:14" ht="24.75" x14ac:dyDescent="0.25">
      <c r="A350" s="21" t="s">
        <v>18690</v>
      </c>
      <c r="B350" s="22" t="s">
        <v>18691</v>
      </c>
      <c r="C350" s="2">
        <v>2</v>
      </c>
      <c r="D350" s="23">
        <v>9.99</v>
      </c>
      <c r="E350" s="3">
        <v>19.98</v>
      </c>
      <c r="F350" s="2" t="s">
        <v>18689</v>
      </c>
      <c r="G350" s="22" t="s">
        <v>19351</v>
      </c>
      <c r="H350" s="24" t="s">
        <v>19770</v>
      </c>
      <c r="I350" s="22" t="s">
        <v>19309</v>
      </c>
      <c r="J350" s="22" t="s">
        <v>19573</v>
      </c>
      <c r="K350" s="22" t="s">
        <v>19574</v>
      </c>
      <c r="L350" s="22"/>
      <c r="M350" s="22"/>
      <c r="N350" s="25" t="str">
        <f>HYPERLINK("http://slimages.macys.com/is/image/MCY/1679025 ")</f>
        <v xml:space="preserve">http://slimages.macys.com/is/image/MCY/1679025 </v>
      </c>
    </row>
    <row r="351" spans="1:14" ht="24.75" x14ac:dyDescent="0.25">
      <c r="A351" s="21" t="s">
        <v>12380</v>
      </c>
      <c r="B351" s="22" t="s">
        <v>12381</v>
      </c>
      <c r="C351" s="2">
        <v>2</v>
      </c>
      <c r="D351" s="23">
        <v>9.99</v>
      </c>
      <c r="E351" s="3">
        <v>19.98</v>
      </c>
      <c r="F351" s="2">
        <v>10015240800</v>
      </c>
      <c r="G351" s="22" t="s">
        <v>19351</v>
      </c>
      <c r="H351" s="24" t="s">
        <v>19538</v>
      </c>
      <c r="I351" s="22" t="s">
        <v>19309</v>
      </c>
      <c r="J351" s="22" t="s">
        <v>19573</v>
      </c>
      <c r="K351" s="22" t="s">
        <v>19574</v>
      </c>
      <c r="L351" s="22"/>
      <c r="M351" s="22"/>
      <c r="N351" s="25" t="str">
        <f>HYPERLINK("http://slimages.macys.com/is/image/MCY/2023449 ")</f>
        <v xml:space="preserve">http://slimages.macys.com/is/image/MCY/2023449 </v>
      </c>
    </row>
    <row r="352" spans="1:14" ht="24.75" x14ac:dyDescent="0.25">
      <c r="A352" s="21" t="s">
        <v>18681</v>
      </c>
      <c r="B352" s="22" t="s">
        <v>18682</v>
      </c>
      <c r="C352" s="2">
        <v>2</v>
      </c>
      <c r="D352" s="23">
        <v>9.99</v>
      </c>
      <c r="E352" s="3">
        <v>19.98</v>
      </c>
      <c r="F352" s="2">
        <v>10015240700</v>
      </c>
      <c r="G352" s="22" t="s">
        <v>19315</v>
      </c>
      <c r="H352" s="24" t="s">
        <v>19770</v>
      </c>
      <c r="I352" s="22" t="s">
        <v>19309</v>
      </c>
      <c r="J352" s="22" t="s">
        <v>19573</v>
      </c>
      <c r="K352" s="22" t="s">
        <v>19574</v>
      </c>
      <c r="L352" s="22"/>
      <c r="M352" s="22"/>
      <c r="N352" s="25" t="str">
        <f>HYPERLINK("http://slimages.macys.com/is/image/MCY/1712799 ")</f>
        <v xml:space="preserve">http://slimages.macys.com/is/image/MCY/1712799 </v>
      </c>
    </row>
    <row r="353" spans="1:14" ht="24.75" x14ac:dyDescent="0.25">
      <c r="A353" s="21" t="s">
        <v>18687</v>
      </c>
      <c r="B353" s="22" t="s">
        <v>18688</v>
      </c>
      <c r="C353" s="2">
        <v>3</v>
      </c>
      <c r="D353" s="23">
        <v>9.99</v>
      </c>
      <c r="E353" s="3">
        <v>29.97</v>
      </c>
      <c r="F353" s="2" t="s">
        <v>18689</v>
      </c>
      <c r="G353" s="22" t="s">
        <v>19351</v>
      </c>
      <c r="H353" s="24"/>
      <c r="I353" s="22" t="s">
        <v>19309</v>
      </c>
      <c r="J353" s="22" t="s">
        <v>19573</v>
      </c>
      <c r="K353" s="22" t="s">
        <v>19574</v>
      </c>
      <c r="L353" s="22"/>
      <c r="M353" s="22"/>
      <c r="N353" s="25" t="str">
        <f>HYPERLINK("http://slimages.macys.com/is/image/MCY/1699968 ")</f>
        <v xml:space="preserve">http://slimages.macys.com/is/image/MCY/1699968 </v>
      </c>
    </row>
    <row r="354" spans="1:14" ht="24.75" x14ac:dyDescent="0.25">
      <c r="A354" s="21" t="s">
        <v>18692</v>
      </c>
      <c r="B354" s="22" t="s">
        <v>18693</v>
      </c>
      <c r="C354" s="2">
        <v>1</v>
      </c>
      <c r="D354" s="23">
        <v>9.99</v>
      </c>
      <c r="E354" s="3">
        <v>9.99</v>
      </c>
      <c r="F354" s="2" t="s">
        <v>18689</v>
      </c>
      <c r="G354" s="22" t="s">
        <v>19351</v>
      </c>
      <c r="H354" s="24" t="s">
        <v>19538</v>
      </c>
      <c r="I354" s="22" t="s">
        <v>19309</v>
      </c>
      <c r="J354" s="22" t="s">
        <v>19573</v>
      </c>
      <c r="K354" s="22" t="s">
        <v>19574</v>
      </c>
      <c r="L354" s="22"/>
      <c r="M354" s="22"/>
      <c r="N354" s="25" t="str">
        <f>HYPERLINK("http://slimages.macys.com/is/image/MCY/1679025 ")</f>
        <v xml:space="preserve">http://slimages.macys.com/is/image/MCY/1679025 </v>
      </c>
    </row>
    <row r="355" spans="1:14" ht="24.75" x14ac:dyDescent="0.25">
      <c r="A355" s="21" t="s">
        <v>18677</v>
      </c>
      <c r="B355" s="22" t="s">
        <v>18678</v>
      </c>
      <c r="C355" s="2">
        <v>4</v>
      </c>
      <c r="D355" s="23">
        <v>9.99</v>
      </c>
      <c r="E355" s="3">
        <v>39.96</v>
      </c>
      <c r="F355" s="2">
        <v>10015240800</v>
      </c>
      <c r="G355" s="22" t="s">
        <v>19351</v>
      </c>
      <c r="H355" s="24" t="s">
        <v>19770</v>
      </c>
      <c r="I355" s="22" t="s">
        <v>19309</v>
      </c>
      <c r="J355" s="22" t="s">
        <v>19573</v>
      </c>
      <c r="K355" s="22" t="s">
        <v>19574</v>
      </c>
      <c r="L355" s="22"/>
      <c r="M355" s="22"/>
      <c r="N355" s="25" t="str">
        <f>HYPERLINK("http://slimages.macys.com/is/image/MCY/2023449 ")</f>
        <v xml:space="preserve">http://slimages.macys.com/is/image/MCY/2023449 </v>
      </c>
    </row>
    <row r="356" spans="1:14" ht="24.75" x14ac:dyDescent="0.25">
      <c r="A356" s="21" t="s">
        <v>18685</v>
      </c>
      <c r="B356" s="22" t="s">
        <v>18686</v>
      </c>
      <c r="C356" s="2">
        <v>4</v>
      </c>
      <c r="D356" s="23">
        <v>9.99</v>
      </c>
      <c r="E356" s="3">
        <v>39.96</v>
      </c>
      <c r="F356" s="2">
        <v>10015240700</v>
      </c>
      <c r="G356" s="22" t="s">
        <v>19315</v>
      </c>
      <c r="H356" s="24" t="s">
        <v>19538</v>
      </c>
      <c r="I356" s="22" t="s">
        <v>19309</v>
      </c>
      <c r="J356" s="22" t="s">
        <v>19573</v>
      </c>
      <c r="K356" s="22" t="s">
        <v>19574</v>
      </c>
      <c r="L356" s="22"/>
      <c r="M356" s="22"/>
      <c r="N356" s="25" t="str">
        <f>HYPERLINK("http://slimages.macys.com/is/image/MCY/2023449 ")</f>
        <v xml:space="preserve">http://slimages.macys.com/is/image/MCY/2023449 </v>
      </c>
    </row>
    <row r="357" spans="1:14" ht="24.75" x14ac:dyDescent="0.25">
      <c r="A357" s="21" t="s">
        <v>18675</v>
      </c>
      <c r="B357" s="22" t="s">
        <v>18676</v>
      </c>
      <c r="C357" s="2">
        <v>2</v>
      </c>
      <c r="D357" s="23">
        <v>9.99</v>
      </c>
      <c r="E357" s="3">
        <v>19.98</v>
      </c>
      <c r="F357" s="2">
        <v>10015240800</v>
      </c>
      <c r="G357" s="22" t="s">
        <v>19351</v>
      </c>
      <c r="H357" s="24"/>
      <c r="I357" s="22" t="s">
        <v>19309</v>
      </c>
      <c r="J357" s="22" t="s">
        <v>19573</v>
      </c>
      <c r="K357" s="22" t="s">
        <v>19574</v>
      </c>
      <c r="L357" s="22"/>
      <c r="M357" s="22"/>
      <c r="N357" s="25" t="str">
        <f>HYPERLINK("http://slimages.macys.com/is/image/MCY/2023449 ")</f>
        <v xml:space="preserve">http://slimages.macys.com/is/image/MCY/2023449 </v>
      </c>
    </row>
    <row r="358" spans="1:14" x14ac:dyDescent="0.25">
      <c r="A358" s="21" t="s">
        <v>9955</v>
      </c>
      <c r="B358" s="22" t="s">
        <v>9956</v>
      </c>
      <c r="C358" s="2">
        <v>1</v>
      </c>
      <c r="D358" s="23">
        <v>11.93</v>
      </c>
      <c r="E358" s="3">
        <v>11.93</v>
      </c>
      <c r="F358" s="2" t="s">
        <v>9957</v>
      </c>
      <c r="G358" s="22"/>
      <c r="H358" s="24" t="s">
        <v>19330</v>
      </c>
      <c r="I358" s="22" t="s">
        <v>19309</v>
      </c>
      <c r="J358" s="22" t="s">
        <v>19708</v>
      </c>
      <c r="K358" s="22" t="s">
        <v>19709</v>
      </c>
      <c r="L358" s="22"/>
      <c r="M358" s="22"/>
      <c r="N358" s="25" t="str">
        <f>HYPERLINK("http://slimages.macys.com/is/image/MCY/21726524 ")</f>
        <v xml:space="preserve">http://slimages.macys.com/is/image/MCY/21726524 </v>
      </c>
    </row>
    <row r="359" spans="1:14" x14ac:dyDescent="0.25">
      <c r="A359" s="21" t="s">
        <v>9958</v>
      </c>
      <c r="B359" s="22" t="s">
        <v>9959</v>
      </c>
      <c r="C359" s="2">
        <v>1</v>
      </c>
      <c r="D359" s="23">
        <v>8.99</v>
      </c>
      <c r="E359" s="3">
        <v>8.99</v>
      </c>
      <c r="F359" s="2" t="s">
        <v>9960</v>
      </c>
      <c r="G359" s="22" t="s">
        <v>19477</v>
      </c>
      <c r="H359" s="24" t="s">
        <v>19339</v>
      </c>
      <c r="I359" s="22" t="s">
        <v>19309</v>
      </c>
      <c r="J359" s="22" t="s">
        <v>19849</v>
      </c>
      <c r="K359" s="22" t="s">
        <v>19850</v>
      </c>
      <c r="L359" s="22"/>
      <c r="M359" s="22"/>
      <c r="N359" s="25" t="str">
        <f>HYPERLINK("http://slimages.macys.com/is/image/MCY/19965838 ")</f>
        <v xml:space="preserve">http://slimages.macys.com/is/image/MCY/19965838 </v>
      </c>
    </row>
    <row r="360" spans="1:14" x14ac:dyDescent="0.25">
      <c r="A360" s="21" t="s">
        <v>16672</v>
      </c>
      <c r="B360" s="22" t="s">
        <v>16673</v>
      </c>
      <c r="C360" s="2">
        <v>2</v>
      </c>
      <c r="D360" s="23">
        <v>13.99</v>
      </c>
      <c r="E360" s="3">
        <v>27.98</v>
      </c>
      <c r="F360" s="2" t="s">
        <v>16674</v>
      </c>
      <c r="G360" s="22" t="s">
        <v>19670</v>
      </c>
      <c r="H360" s="24" t="s">
        <v>19339</v>
      </c>
      <c r="I360" s="22" t="s">
        <v>19309</v>
      </c>
      <c r="J360" s="22" t="s">
        <v>19849</v>
      </c>
      <c r="K360" s="22" t="s">
        <v>19850</v>
      </c>
      <c r="L360" s="22"/>
      <c r="M360" s="22"/>
      <c r="N360" s="25" t="str">
        <f>HYPERLINK("http://slimages.macys.com/is/image/MCY/21270406 ")</f>
        <v xml:space="preserve">http://slimages.macys.com/is/image/MCY/21270406 </v>
      </c>
    </row>
    <row r="361" spans="1:14" x14ac:dyDescent="0.25">
      <c r="A361" s="21" t="s">
        <v>9961</v>
      </c>
      <c r="B361" s="22" t="s">
        <v>9962</v>
      </c>
      <c r="C361" s="2">
        <v>1</v>
      </c>
      <c r="D361" s="23">
        <v>13.99</v>
      </c>
      <c r="E361" s="3">
        <v>13.99</v>
      </c>
      <c r="F361" s="2" t="s">
        <v>16674</v>
      </c>
      <c r="G361" s="22" t="s">
        <v>19670</v>
      </c>
      <c r="H361" s="24" t="s">
        <v>19352</v>
      </c>
      <c r="I361" s="22" t="s">
        <v>19309</v>
      </c>
      <c r="J361" s="22" t="s">
        <v>19849</v>
      </c>
      <c r="K361" s="22" t="s">
        <v>19850</v>
      </c>
      <c r="L361" s="22"/>
      <c r="M361" s="22"/>
      <c r="N361" s="25" t="str">
        <f>HYPERLINK("http://slimages.macys.com/is/image/MCY/21270406 ")</f>
        <v xml:space="preserve">http://slimages.macys.com/is/image/MCY/21270406 </v>
      </c>
    </row>
    <row r="362" spans="1:14" ht="24.75" x14ac:dyDescent="0.25">
      <c r="A362" s="21" t="s">
        <v>9963</v>
      </c>
      <c r="B362" s="22" t="s">
        <v>9964</v>
      </c>
      <c r="C362" s="2">
        <v>1</v>
      </c>
      <c r="D362" s="23">
        <v>11.99</v>
      </c>
      <c r="E362" s="3">
        <v>11.99</v>
      </c>
      <c r="F362" s="2" t="s">
        <v>9965</v>
      </c>
      <c r="G362" s="22" t="s">
        <v>19351</v>
      </c>
      <c r="H362" s="24" t="s">
        <v>19339</v>
      </c>
      <c r="I362" s="22" t="s">
        <v>19309</v>
      </c>
      <c r="J362" s="22" t="s">
        <v>20076</v>
      </c>
      <c r="K362" s="22" t="s">
        <v>20077</v>
      </c>
      <c r="L362" s="22" t="s">
        <v>19319</v>
      </c>
      <c r="M362" s="22" t="s">
        <v>19209</v>
      </c>
      <c r="N362" s="25" t="str">
        <f>HYPERLINK("http://slimages.macys.com/is/image/MCY/8349880 ")</f>
        <v xml:space="preserve">http://slimages.macys.com/is/image/MCY/8349880 </v>
      </c>
    </row>
    <row r="363" spans="1:14" ht="24.75" x14ac:dyDescent="0.25">
      <c r="A363" s="21" t="s">
        <v>16686</v>
      </c>
      <c r="B363" s="22" t="s">
        <v>16687</v>
      </c>
      <c r="C363" s="2">
        <v>1</v>
      </c>
      <c r="D363" s="23">
        <v>13.99</v>
      </c>
      <c r="E363" s="3">
        <v>13.99</v>
      </c>
      <c r="F363" s="2" t="s">
        <v>16688</v>
      </c>
      <c r="G363" s="22" t="s">
        <v>19518</v>
      </c>
      <c r="H363" s="24" t="s">
        <v>19384</v>
      </c>
      <c r="I363" s="22" t="s">
        <v>19309</v>
      </c>
      <c r="J363" s="22" t="s">
        <v>19573</v>
      </c>
      <c r="K363" s="22" t="s">
        <v>19574</v>
      </c>
      <c r="L363" s="22"/>
      <c r="M363" s="22"/>
      <c r="N363" s="25" t="str">
        <f>HYPERLINK("http://slimages.macys.com/is/image/MCY/21361108 ")</f>
        <v xml:space="preserve">http://slimages.macys.com/is/image/MCY/21361108 </v>
      </c>
    </row>
    <row r="364" spans="1:14" x14ac:dyDescent="0.25">
      <c r="A364" s="21" t="s">
        <v>16397</v>
      </c>
      <c r="B364" s="22" t="s">
        <v>16398</v>
      </c>
      <c r="C364" s="2">
        <v>1</v>
      </c>
      <c r="D364" s="23">
        <v>8.99</v>
      </c>
      <c r="E364" s="3">
        <v>8.99</v>
      </c>
      <c r="F364" s="2" t="s">
        <v>16396</v>
      </c>
      <c r="G364" s="22" t="s">
        <v>19618</v>
      </c>
      <c r="H364" s="24" t="s">
        <v>19542</v>
      </c>
      <c r="I364" s="22" t="s">
        <v>19309</v>
      </c>
      <c r="J364" s="22" t="s">
        <v>19849</v>
      </c>
      <c r="K364" s="22" t="s">
        <v>19850</v>
      </c>
      <c r="L364" s="22"/>
      <c r="M364" s="22"/>
      <c r="N364" s="25" t="str">
        <f>HYPERLINK("http://slimages.macys.com/is/image/MCY/19068331 ")</f>
        <v xml:space="preserve">http://slimages.macys.com/is/image/MCY/19068331 </v>
      </c>
    </row>
    <row r="365" spans="1:14" ht="24.75" x14ac:dyDescent="0.25">
      <c r="A365" s="21" t="s">
        <v>9966</v>
      </c>
      <c r="B365" s="22" t="s">
        <v>9967</v>
      </c>
      <c r="C365" s="2">
        <v>1</v>
      </c>
      <c r="D365" s="23">
        <v>8.99</v>
      </c>
      <c r="E365" s="3">
        <v>8.99</v>
      </c>
      <c r="F365" s="2" t="s">
        <v>16396</v>
      </c>
      <c r="G365" s="22" t="s">
        <v>19955</v>
      </c>
      <c r="H365" s="24" t="s">
        <v>19542</v>
      </c>
      <c r="I365" s="22" t="s">
        <v>19309</v>
      </c>
      <c r="J365" s="22" t="s">
        <v>19849</v>
      </c>
      <c r="K365" s="22" t="s">
        <v>19850</v>
      </c>
      <c r="L365" s="22"/>
      <c r="M365" s="22"/>
      <c r="N365" s="25" t="str">
        <f>HYPERLINK("http://slimages.macys.com/is/image/MCY/19068331 ")</f>
        <v xml:space="preserve">http://slimages.macys.com/is/image/MCY/19068331 </v>
      </c>
    </row>
    <row r="366" spans="1:14" x14ac:dyDescent="0.25">
      <c r="A366" s="21" t="s">
        <v>9968</v>
      </c>
      <c r="B366" s="22" t="s">
        <v>9969</v>
      </c>
      <c r="C366" s="2">
        <v>1</v>
      </c>
      <c r="D366" s="23">
        <v>6.99</v>
      </c>
      <c r="E366" s="3">
        <v>6.99</v>
      </c>
      <c r="F366" s="2" t="s">
        <v>9970</v>
      </c>
      <c r="G366" s="22" t="s">
        <v>19801</v>
      </c>
      <c r="H366" s="24" t="s">
        <v>19334</v>
      </c>
      <c r="I366" s="22" t="s">
        <v>19309</v>
      </c>
      <c r="J366" s="22" t="s">
        <v>19310</v>
      </c>
      <c r="K366" s="22" t="s">
        <v>19468</v>
      </c>
      <c r="L366" s="22"/>
      <c r="M366" s="22"/>
      <c r="N366" s="25" t="str">
        <f>HYPERLINK("http://slimages.macys.com/is/image/MCY/21184212 ")</f>
        <v xml:space="preserve">http://slimages.macys.com/is/image/MCY/21184212 </v>
      </c>
    </row>
    <row r="367" spans="1:14" ht="24.75" x14ac:dyDescent="0.25">
      <c r="A367" s="21" t="s">
        <v>16344</v>
      </c>
      <c r="B367" s="22" t="s">
        <v>16345</v>
      </c>
      <c r="C367" s="2">
        <v>2</v>
      </c>
      <c r="D367" s="23">
        <v>7.99</v>
      </c>
      <c r="E367" s="3">
        <v>15.98</v>
      </c>
      <c r="F367" s="2" t="s">
        <v>18714</v>
      </c>
      <c r="G367" s="22" t="s">
        <v>20145</v>
      </c>
      <c r="H367" s="24" t="s">
        <v>19345</v>
      </c>
      <c r="I367" s="22" t="s">
        <v>19309</v>
      </c>
      <c r="J367" s="22" t="s">
        <v>19310</v>
      </c>
      <c r="K367" s="22" t="s">
        <v>19468</v>
      </c>
      <c r="L367" s="22"/>
      <c r="M367" s="22"/>
      <c r="N367" s="25" t="str">
        <f>HYPERLINK("http://slimages.macys.com/is/image/MCY/21616102 ")</f>
        <v xml:space="preserve">http://slimages.macys.com/is/image/MCY/21616102 </v>
      </c>
    </row>
    <row r="368" spans="1:14" x14ac:dyDescent="0.25">
      <c r="A368" s="21" t="s">
        <v>16357</v>
      </c>
      <c r="B368" s="22" t="s">
        <v>16358</v>
      </c>
      <c r="C368" s="2">
        <v>1</v>
      </c>
      <c r="D368" s="23">
        <v>9.99</v>
      </c>
      <c r="E368" s="3">
        <v>9.99</v>
      </c>
      <c r="F368" s="2" t="s">
        <v>16356</v>
      </c>
      <c r="G368" s="22" t="s">
        <v>19351</v>
      </c>
      <c r="H368" s="24" t="s">
        <v>19361</v>
      </c>
      <c r="I368" s="22" t="s">
        <v>19309</v>
      </c>
      <c r="J368" s="22" t="s">
        <v>19849</v>
      </c>
      <c r="K368" s="22" t="s">
        <v>19850</v>
      </c>
      <c r="L368" s="22"/>
      <c r="M368" s="22"/>
      <c r="N368" s="25" t="str">
        <f>HYPERLINK("http://slimages.macys.com/is/image/MCY/1249852 ")</f>
        <v xml:space="preserve">http://slimages.macys.com/is/image/MCY/1249852 </v>
      </c>
    </row>
    <row r="369" spans="1:14" x14ac:dyDescent="0.25">
      <c r="A369" s="21" t="s">
        <v>12405</v>
      </c>
      <c r="B369" s="22" t="s">
        <v>12406</v>
      </c>
      <c r="C369" s="2">
        <v>1</v>
      </c>
      <c r="D369" s="23">
        <v>9.99</v>
      </c>
      <c r="E369" s="3">
        <v>9.99</v>
      </c>
      <c r="F369" s="2" t="s">
        <v>16356</v>
      </c>
      <c r="G369" s="22" t="s">
        <v>19351</v>
      </c>
      <c r="H369" s="24" t="s">
        <v>19377</v>
      </c>
      <c r="I369" s="22" t="s">
        <v>19309</v>
      </c>
      <c r="J369" s="22" t="s">
        <v>19849</v>
      </c>
      <c r="K369" s="22" t="s">
        <v>19850</v>
      </c>
      <c r="L369" s="22"/>
      <c r="M369" s="22"/>
      <c r="N369" s="25" t="str">
        <f>HYPERLINK("http://slimages.macys.com/is/image/MCY/20752010 ")</f>
        <v xml:space="preserve">http://slimages.macys.com/is/image/MCY/20752010 </v>
      </c>
    </row>
    <row r="370" spans="1:14" ht="24.75" x14ac:dyDescent="0.25">
      <c r="A370" s="21" t="s">
        <v>9971</v>
      </c>
      <c r="B370" s="22" t="s">
        <v>9972</v>
      </c>
      <c r="C370" s="2">
        <v>1</v>
      </c>
      <c r="D370" s="23">
        <v>9.99</v>
      </c>
      <c r="E370" s="3">
        <v>9.99</v>
      </c>
      <c r="F370" s="2" t="s">
        <v>18735</v>
      </c>
      <c r="G370" s="22" t="s">
        <v>19431</v>
      </c>
      <c r="H370" s="24" t="s">
        <v>19339</v>
      </c>
      <c r="I370" s="22" t="s">
        <v>19309</v>
      </c>
      <c r="J370" s="22" t="s">
        <v>19815</v>
      </c>
      <c r="K370" s="22" t="s">
        <v>19816</v>
      </c>
      <c r="L370" s="22"/>
      <c r="M370" s="22"/>
      <c r="N370" s="25" t="str">
        <f>HYPERLINK("http://slimages.macys.com/is/image/MCY/21769961 ")</f>
        <v xml:space="preserve">http://slimages.macys.com/is/image/MCY/21769961 </v>
      </c>
    </row>
    <row r="371" spans="1:14" ht="24.75" x14ac:dyDescent="0.25">
      <c r="A371" s="21" t="s">
        <v>9973</v>
      </c>
      <c r="B371" s="22" t="s">
        <v>9974</v>
      </c>
      <c r="C371" s="2">
        <v>1</v>
      </c>
      <c r="D371" s="23">
        <v>10.99</v>
      </c>
      <c r="E371" s="3">
        <v>10.99</v>
      </c>
      <c r="F371" s="2" t="s">
        <v>18732</v>
      </c>
      <c r="G371" s="22" t="s">
        <v>18439</v>
      </c>
      <c r="H371" s="24" t="s">
        <v>19364</v>
      </c>
      <c r="I371" s="22" t="s">
        <v>19309</v>
      </c>
      <c r="J371" s="22" t="s">
        <v>19353</v>
      </c>
      <c r="K371" s="22" t="s">
        <v>19524</v>
      </c>
      <c r="L371" s="22"/>
      <c r="M371" s="22"/>
      <c r="N371" s="25" t="str">
        <f>HYPERLINK("http://slimages.macys.com/is/image/MCY/1472546 ")</f>
        <v xml:space="preserve">http://slimages.macys.com/is/image/MCY/1472546 </v>
      </c>
    </row>
    <row r="372" spans="1:14" ht="24.75" x14ac:dyDescent="0.25">
      <c r="A372" s="21" t="s">
        <v>18733</v>
      </c>
      <c r="B372" s="22" t="s">
        <v>18734</v>
      </c>
      <c r="C372" s="2">
        <v>1</v>
      </c>
      <c r="D372" s="23">
        <v>9.99</v>
      </c>
      <c r="E372" s="3">
        <v>9.99</v>
      </c>
      <c r="F372" s="2" t="s">
        <v>18735</v>
      </c>
      <c r="G372" s="22" t="s">
        <v>19431</v>
      </c>
      <c r="H372" s="24" t="s">
        <v>19364</v>
      </c>
      <c r="I372" s="22" t="s">
        <v>19309</v>
      </c>
      <c r="J372" s="22" t="s">
        <v>19815</v>
      </c>
      <c r="K372" s="22" t="s">
        <v>19816</v>
      </c>
      <c r="L372" s="22"/>
      <c r="M372" s="22"/>
      <c r="N372" s="25" t="str">
        <f>HYPERLINK("http://slimages.macys.com/is/image/MCY/1968633 ")</f>
        <v xml:space="preserve">http://slimages.macys.com/is/image/MCY/1968633 </v>
      </c>
    </row>
    <row r="373" spans="1:14" ht="24.75" x14ac:dyDescent="0.25">
      <c r="A373" s="21" t="s">
        <v>9975</v>
      </c>
      <c r="B373" s="22" t="s">
        <v>9976</v>
      </c>
      <c r="C373" s="2">
        <v>1</v>
      </c>
      <c r="D373" s="23">
        <v>10.99</v>
      </c>
      <c r="E373" s="3">
        <v>10.99</v>
      </c>
      <c r="F373" s="2" t="s">
        <v>18732</v>
      </c>
      <c r="G373" s="22" t="s">
        <v>18439</v>
      </c>
      <c r="H373" s="24" t="s">
        <v>19797</v>
      </c>
      <c r="I373" s="22" t="s">
        <v>19309</v>
      </c>
      <c r="J373" s="22" t="s">
        <v>19353</v>
      </c>
      <c r="K373" s="22" t="s">
        <v>19524</v>
      </c>
      <c r="L373" s="22"/>
      <c r="M373" s="22"/>
      <c r="N373" s="25" t="str">
        <f>HYPERLINK("http://slimages.macys.com/is/image/MCY/1472546 ")</f>
        <v xml:space="preserve">http://slimages.macys.com/is/image/MCY/1472546 </v>
      </c>
    </row>
    <row r="374" spans="1:14" x14ac:dyDescent="0.25">
      <c r="A374" s="21" t="s">
        <v>9977</v>
      </c>
      <c r="B374" s="22" t="s">
        <v>9978</v>
      </c>
      <c r="C374" s="2">
        <v>1</v>
      </c>
      <c r="D374" s="23">
        <v>11.38</v>
      </c>
      <c r="E374" s="3">
        <v>11.38</v>
      </c>
      <c r="F374" s="2" t="s">
        <v>18749</v>
      </c>
      <c r="G374" s="22"/>
      <c r="H374" s="24" t="s">
        <v>19324</v>
      </c>
      <c r="I374" s="22" t="s">
        <v>19309</v>
      </c>
      <c r="J374" s="22" t="s">
        <v>19708</v>
      </c>
      <c r="K374" s="22" t="s">
        <v>19709</v>
      </c>
      <c r="L374" s="22"/>
      <c r="M374" s="22"/>
      <c r="N374" s="25" t="str">
        <f>HYPERLINK("http://slimages.macys.com/is/image/MCY/21414119 ")</f>
        <v xml:space="preserve">http://slimages.macys.com/is/image/MCY/21414119 </v>
      </c>
    </row>
    <row r="375" spans="1:14" x14ac:dyDescent="0.25">
      <c r="A375" s="21" t="s">
        <v>13326</v>
      </c>
      <c r="B375" s="22" t="s">
        <v>13327</v>
      </c>
      <c r="C375" s="2">
        <v>1</v>
      </c>
      <c r="D375" s="23">
        <v>11.38</v>
      </c>
      <c r="E375" s="3">
        <v>11.38</v>
      </c>
      <c r="F375" s="2" t="s">
        <v>16739</v>
      </c>
      <c r="G375" s="22" t="s">
        <v>19594</v>
      </c>
      <c r="H375" s="24" t="s">
        <v>19770</v>
      </c>
      <c r="I375" s="22" t="s">
        <v>19309</v>
      </c>
      <c r="J375" s="22" t="s">
        <v>19708</v>
      </c>
      <c r="K375" s="22" t="s">
        <v>19709</v>
      </c>
      <c r="L375" s="22"/>
      <c r="M375" s="22"/>
      <c r="N375" s="25" t="str">
        <f>HYPERLINK("http://slimages.macys.com/is/image/MCY/21414308 ")</f>
        <v xml:space="preserve">http://slimages.macys.com/is/image/MCY/21414308 </v>
      </c>
    </row>
    <row r="376" spans="1:14" ht="24.75" x14ac:dyDescent="0.25">
      <c r="A376" s="21" t="s">
        <v>9979</v>
      </c>
      <c r="B376" s="22" t="s">
        <v>9980</v>
      </c>
      <c r="C376" s="2">
        <v>1</v>
      </c>
      <c r="D376" s="23">
        <v>11.99</v>
      </c>
      <c r="E376" s="3">
        <v>11.99</v>
      </c>
      <c r="F376" s="2" t="s">
        <v>9981</v>
      </c>
      <c r="G376" s="22" t="s">
        <v>19670</v>
      </c>
      <c r="H376" s="24" t="s">
        <v>19538</v>
      </c>
      <c r="I376" s="22" t="s">
        <v>19309</v>
      </c>
      <c r="J376" s="22" t="s">
        <v>19573</v>
      </c>
      <c r="K376" s="22" t="s">
        <v>19574</v>
      </c>
      <c r="L376" s="22"/>
      <c r="M376" s="22"/>
      <c r="N376" s="25" t="str">
        <f>HYPERLINK("http://slimages.macys.com/is/image/MCY/1439033 ")</f>
        <v xml:space="preserve">http://slimages.macys.com/is/image/MCY/1439033 </v>
      </c>
    </row>
    <row r="377" spans="1:14" x14ac:dyDescent="0.25">
      <c r="A377" s="21" t="s">
        <v>9982</v>
      </c>
      <c r="B377" s="22" t="s">
        <v>9983</v>
      </c>
      <c r="C377" s="2">
        <v>1</v>
      </c>
      <c r="D377" s="23">
        <v>9.99</v>
      </c>
      <c r="E377" s="3">
        <v>9.99</v>
      </c>
      <c r="F377" s="2" t="s">
        <v>12417</v>
      </c>
      <c r="G377" s="22" t="s">
        <v>19674</v>
      </c>
      <c r="H377" s="24" t="s">
        <v>19361</v>
      </c>
      <c r="I377" s="22" t="s">
        <v>19309</v>
      </c>
      <c r="J377" s="22" t="s">
        <v>19849</v>
      </c>
      <c r="K377" s="22" t="s">
        <v>19850</v>
      </c>
      <c r="L377" s="22"/>
      <c r="M377" s="22"/>
      <c r="N377" s="25" t="str">
        <f>HYPERLINK("http://slimages.macys.com/is/image/MCY/1249852 ")</f>
        <v xml:space="preserve">http://slimages.macys.com/is/image/MCY/1249852 </v>
      </c>
    </row>
    <row r="378" spans="1:14" ht="24.75" x14ac:dyDescent="0.25">
      <c r="A378" s="21" t="s">
        <v>9984</v>
      </c>
      <c r="B378" s="22" t="s">
        <v>9985</v>
      </c>
      <c r="C378" s="2">
        <v>1</v>
      </c>
      <c r="D378" s="23">
        <v>10.99</v>
      </c>
      <c r="E378" s="3">
        <v>10.99</v>
      </c>
      <c r="F378" s="2" t="s">
        <v>9986</v>
      </c>
      <c r="G378" s="22" t="s">
        <v>19323</v>
      </c>
      <c r="H378" s="24" t="s">
        <v>19352</v>
      </c>
      <c r="I378" s="22" t="s">
        <v>19309</v>
      </c>
      <c r="J378" s="22" t="s">
        <v>19353</v>
      </c>
      <c r="K378" s="22" t="s">
        <v>19524</v>
      </c>
      <c r="L378" s="22"/>
      <c r="M378" s="22"/>
      <c r="N378" s="25" t="str">
        <f>HYPERLINK("http://slimages.macys.com/is/image/MCY/20440807 ")</f>
        <v xml:space="preserve">http://slimages.macys.com/is/image/MCY/20440807 </v>
      </c>
    </row>
    <row r="379" spans="1:14" ht="24.75" x14ac:dyDescent="0.25">
      <c r="A379" s="21" t="s">
        <v>9987</v>
      </c>
      <c r="B379" s="22" t="s">
        <v>9988</v>
      </c>
      <c r="C379" s="2">
        <v>1</v>
      </c>
      <c r="D379" s="23">
        <v>10.99</v>
      </c>
      <c r="E379" s="3">
        <v>10.99</v>
      </c>
      <c r="F379" s="2" t="s">
        <v>9986</v>
      </c>
      <c r="G379" s="22" t="s">
        <v>19323</v>
      </c>
      <c r="H379" s="24" t="s">
        <v>19364</v>
      </c>
      <c r="I379" s="22" t="s">
        <v>19309</v>
      </c>
      <c r="J379" s="22" t="s">
        <v>19353</v>
      </c>
      <c r="K379" s="22" t="s">
        <v>19524</v>
      </c>
      <c r="L379" s="22"/>
      <c r="M379" s="22"/>
      <c r="N379" s="25" t="str">
        <f>HYPERLINK("http://slimages.macys.com/is/image/MCY/20440807 ")</f>
        <v xml:space="preserve">http://slimages.macys.com/is/image/MCY/20440807 </v>
      </c>
    </row>
    <row r="380" spans="1:14" ht="24.75" x14ac:dyDescent="0.25">
      <c r="A380" s="21" t="s">
        <v>9989</v>
      </c>
      <c r="B380" s="22" t="s">
        <v>9990</v>
      </c>
      <c r="C380" s="2">
        <v>1</v>
      </c>
      <c r="D380" s="23">
        <v>10.99</v>
      </c>
      <c r="E380" s="3">
        <v>10.99</v>
      </c>
      <c r="F380" s="2" t="s">
        <v>9991</v>
      </c>
      <c r="G380" s="22" t="s">
        <v>18439</v>
      </c>
      <c r="H380" s="24" t="s">
        <v>19364</v>
      </c>
      <c r="I380" s="22" t="s">
        <v>19309</v>
      </c>
      <c r="J380" s="22" t="s">
        <v>19353</v>
      </c>
      <c r="K380" s="22" t="s">
        <v>19524</v>
      </c>
      <c r="L380" s="22"/>
      <c r="M380" s="22"/>
      <c r="N380" s="25" t="str">
        <f>HYPERLINK("http://slimages.macys.com/is/image/MCY/21694527 ")</f>
        <v xml:space="preserve">http://slimages.macys.com/is/image/MCY/21694527 </v>
      </c>
    </row>
    <row r="381" spans="1:14" ht="24.75" x14ac:dyDescent="0.25">
      <c r="A381" s="21" t="s">
        <v>18774</v>
      </c>
      <c r="B381" s="22" t="s">
        <v>18775</v>
      </c>
      <c r="C381" s="2">
        <v>1</v>
      </c>
      <c r="D381" s="23">
        <v>9.99</v>
      </c>
      <c r="E381" s="3">
        <v>9.99</v>
      </c>
      <c r="F381" s="2" t="s">
        <v>18773</v>
      </c>
      <c r="G381" s="22" t="s">
        <v>19422</v>
      </c>
      <c r="H381" s="24" t="s">
        <v>19770</v>
      </c>
      <c r="I381" s="22" t="s">
        <v>19309</v>
      </c>
      <c r="J381" s="22" t="s">
        <v>19573</v>
      </c>
      <c r="K381" s="22" t="s">
        <v>19574</v>
      </c>
      <c r="L381" s="22"/>
      <c r="M381" s="22"/>
      <c r="N381" s="25" t="str">
        <f>HYPERLINK("http://slimages.macys.com/is/image/MCY/1646328 ")</f>
        <v xml:space="preserve">http://slimages.macys.com/is/image/MCY/1646328 </v>
      </c>
    </row>
    <row r="382" spans="1:14" ht="24.75" x14ac:dyDescent="0.25">
      <c r="A382" s="21" t="s">
        <v>9992</v>
      </c>
      <c r="B382" s="22" t="s">
        <v>9993</v>
      </c>
      <c r="C382" s="2">
        <v>1</v>
      </c>
      <c r="D382" s="23">
        <v>9.81</v>
      </c>
      <c r="E382" s="3">
        <v>9.81</v>
      </c>
      <c r="F382" s="2" t="s">
        <v>13338</v>
      </c>
      <c r="G382" s="22" t="s">
        <v>19879</v>
      </c>
      <c r="H382" s="24" t="s">
        <v>19345</v>
      </c>
      <c r="I382" s="22" t="s">
        <v>19309</v>
      </c>
      <c r="J382" s="22" t="s">
        <v>19602</v>
      </c>
      <c r="K382" s="22" t="s">
        <v>20041</v>
      </c>
      <c r="L382" s="22"/>
      <c r="M382" s="22"/>
      <c r="N382" s="25" t="str">
        <f>HYPERLINK("http://slimages.macys.com/is/image/MCY/21728867 ")</f>
        <v xml:space="preserve">http://slimages.macys.com/is/image/MCY/21728867 </v>
      </c>
    </row>
    <row r="383" spans="1:14" ht="24.75" x14ac:dyDescent="0.25">
      <c r="A383" s="21" t="s">
        <v>18776</v>
      </c>
      <c r="B383" s="22" t="s">
        <v>18777</v>
      </c>
      <c r="C383" s="2">
        <v>1</v>
      </c>
      <c r="D383" s="23">
        <v>9.99</v>
      </c>
      <c r="E383" s="3">
        <v>9.99</v>
      </c>
      <c r="F383" s="2" t="s">
        <v>18773</v>
      </c>
      <c r="G383" s="22" t="s">
        <v>19422</v>
      </c>
      <c r="H383" s="24"/>
      <c r="I383" s="22" t="s">
        <v>19309</v>
      </c>
      <c r="J383" s="22" t="s">
        <v>19573</v>
      </c>
      <c r="K383" s="22" t="s">
        <v>19574</v>
      </c>
      <c r="L383" s="22"/>
      <c r="M383" s="22"/>
      <c r="N383" s="25" t="str">
        <f>HYPERLINK("http://slimages.macys.com/is/image/MCY/1322715 ")</f>
        <v xml:space="preserve">http://slimages.macys.com/is/image/MCY/1322715 </v>
      </c>
    </row>
    <row r="384" spans="1:14" ht="24.75" x14ac:dyDescent="0.25">
      <c r="A384" s="21" t="s">
        <v>9994</v>
      </c>
      <c r="B384" s="22" t="s">
        <v>9995</v>
      </c>
      <c r="C384" s="2">
        <v>1</v>
      </c>
      <c r="D384" s="23">
        <v>10.99</v>
      </c>
      <c r="E384" s="3">
        <v>10.99</v>
      </c>
      <c r="F384" s="2" t="s">
        <v>13979</v>
      </c>
      <c r="G384" s="22" t="s">
        <v>19477</v>
      </c>
      <c r="H384" s="24"/>
      <c r="I384" s="22" t="s">
        <v>19309</v>
      </c>
      <c r="J384" s="22" t="s">
        <v>19573</v>
      </c>
      <c r="K384" s="22" t="s">
        <v>19574</v>
      </c>
      <c r="L384" s="22"/>
      <c r="M384" s="22"/>
      <c r="N384" s="25" t="str">
        <f>HYPERLINK("http://slimages.macys.com/is/image/MCY/20757944 ")</f>
        <v xml:space="preserve">http://slimages.macys.com/is/image/MCY/20757944 </v>
      </c>
    </row>
    <row r="385" spans="1:14" x14ac:dyDescent="0.25">
      <c r="A385" s="21" t="s">
        <v>12441</v>
      </c>
      <c r="B385" s="22" t="s">
        <v>12442</v>
      </c>
      <c r="C385" s="2">
        <v>1</v>
      </c>
      <c r="D385" s="23">
        <v>13.99</v>
      </c>
      <c r="E385" s="3">
        <v>13.99</v>
      </c>
      <c r="F385" s="2" t="s">
        <v>12440</v>
      </c>
      <c r="G385" s="22" t="s">
        <v>19431</v>
      </c>
      <c r="H385" s="24" t="s">
        <v>19361</v>
      </c>
      <c r="I385" s="22" t="s">
        <v>19309</v>
      </c>
      <c r="J385" s="22" t="s">
        <v>19849</v>
      </c>
      <c r="K385" s="22" t="s">
        <v>19850</v>
      </c>
      <c r="L385" s="22"/>
      <c r="M385" s="22"/>
      <c r="N385" s="25" t="str">
        <f>HYPERLINK("http://slimages.macys.com/is/image/MCY/21270308 ")</f>
        <v xml:space="preserve">http://slimages.macys.com/is/image/MCY/21270308 </v>
      </c>
    </row>
    <row r="386" spans="1:14" x14ac:dyDescent="0.25">
      <c r="A386" s="21" t="s">
        <v>9996</v>
      </c>
      <c r="B386" s="22" t="s">
        <v>18467</v>
      </c>
      <c r="C386" s="2">
        <v>2</v>
      </c>
      <c r="D386" s="23">
        <v>13.99</v>
      </c>
      <c r="E386" s="3">
        <v>27.98</v>
      </c>
      <c r="F386" s="2" t="s">
        <v>12440</v>
      </c>
      <c r="G386" s="22" t="s">
        <v>19431</v>
      </c>
      <c r="H386" s="24" t="s">
        <v>20089</v>
      </c>
      <c r="I386" s="22" t="s">
        <v>19309</v>
      </c>
      <c r="J386" s="22" t="s">
        <v>19849</v>
      </c>
      <c r="K386" s="22" t="s">
        <v>19850</v>
      </c>
      <c r="L386" s="22"/>
      <c r="M386" s="22"/>
      <c r="N386" s="25" t="str">
        <f>HYPERLINK("http://slimages.macys.com/is/image/MCY/21270308 ")</f>
        <v xml:space="preserve">http://slimages.macys.com/is/image/MCY/21270308 </v>
      </c>
    </row>
    <row r="387" spans="1:14" x14ac:dyDescent="0.25">
      <c r="A387" s="21" t="s">
        <v>9997</v>
      </c>
      <c r="B387" s="22" t="s">
        <v>13825</v>
      </c>
      <c r="C387" s="2">
        <v>1</v>
      </c>
      <c r="D387" s="23">
        <v>13.99</v>
      </c>
      <c r="E387" s="3">
        <v>13.99</v>
      </c>
      <c r="F387" s="2" t="s">
        <v>12440</v>
      </c>
      <c r="G387" s="22" t="s">
        <v>19431</v>
      </c>
      <c r="H387" s="24" t="s">
        <v>20135</v>
      </c>
      <c r="I387" s="22" t="s">
        <v>19309</v>
      </c>
      <c r="J387" s="22" t="s">
        <v>19849</v>
      </c>
      <c r="K387" s="22" t="s">
        <v>19850</v>
      </c>
      <c r="L387" s="22"/>
      <c r="M387" s="22"/>
      <c r="N387" s="25" t="str">
        <f>HYPERLINK("http://slimages.macys.com/is/image/MCY/21270308 ")</f>
        <v xml:space="preserve">http://slimages.macys.com/is/image/MCY/21270308 </v>
      </c>
    </row>
    <row r="388" spans="1:14" ht="24.75" x14ac:dyDescent="0.25">
      <c r="A388" s="21" t="s">
        <v>9998</v>
      </c>
      <c r="B388" s="22" t="s">
        <v>9999</v>
      </c>
      <c r="C388" s="2">
        <v>1</v>
      </c>
      <c r="D388" s="23">
        <v>10.99</v>
      </c>
      <c r="E388" s="3">
        <v>10.99</v>
      </c>
      <c r="F388" s="2" t="s">
        <v>16765</v>
      </c>
      <c r="G388" s="22" t="s">
        <v>19351</v>
      </c>
      <c r="H388" s="24"/>
      <c r="I388" s="22" t="s">
        <v>19309</v>
      </c>
      <c r="J388" s="22" t="s">
        <v>19573</v>
      </c>
      <c r="K388" s="22" t="s">
        <v>19574</v>
      </c>
      <c r="L388" s="22"/>
      <c r="M388" s="22"/>
      <c r="N388" s="25" t="str">
        <f>HYPERLINK("http://slimages.macys.com/is/image/MCY/20757944 ")</f>
        <v xml:space="preserve">http://slimages.macys.com/is/image/MCY/20757944 </v>
      </c>
    </row>
    <row r="389" spans="1:14" x14ac:dyDescent="0.25">
      <c r="A389" s="21" t="s">
        <v>12438</v>
      </c>
      <c r="B389" s="22" t="s">
        <v>12439</v>
      </c>
      <c r="C389" s="2">
        <v>1</v>
      </c>
      <c r="D389" s="23">
        <v>13.99</v>
      </c>
      <c r="E389" s="3">
        <v>13.99</v>
      </c>
      <c r="F389" s="2" t="s">
        <v>12440</v>
      </c>
      <c r="G389" s="22" t="s">
        <v>19431</v>
      </c>
      <c r="H389" s="24" t="s">
        <v>19377</v>
      </c>
      <c r="I389" s="22" t="s">
        <v>19309</v>
      </c>
      <c r="J389" s="22" t="s">
        <v>19849</v>
      </c>
      <c r="K389" s="22" t="s">
        <v>19850</v>
      </c>
      <c r="L389" s="22"/>
      <c r="M389" s="22"/>
      <c r="N389" s="25" t="str">
        <f>HYPERLINK("http://slimages.macys.com/is/image/MCY/21270308 ")</f>
        <v xml:space="preserve">http://slimages.macys.com/is/image/MCY/21270308 </v>
      </c>
    </row>
    <row r="390" spans="1:14" x14ac:dyDescent="0.25">
      <c r="A390" s="21" t="s">
        <v>10000</v>
      </c>
      <c r="B390" s="22" t="s">
        <v>10001</v>
      </c>
      <c r="C390" s="2">
        <v>1</v>
      </c>
      <c r="D390" s="23">
        <v>8.64</v>
      </c>
      <c r="E390" s="3">
        <v>8.64</v>
      </c>
      <c r="F390" s="2" t="s">
        <v>10002</v>
      </c>
      <c r="G390" s="22" t="s">
        <v>19431</v>
      </c>
      <c r="H390" s="24" t="s">
        <v>19367</v>
      </c>
      <c r="I390" s="22" t="s">
        <v>19309</v>
      </c>
      <c r="J390" s="22" t="s">
        <v>19708</v>
      </c>
      <c r="K390" s="22" t="s">
        <v>19709</v>
      </c>
      <c r="L390" s="22"/>
      <c r="M390" s="22"/>
      <c r="N390" s="25" t="str">
        <f>HYPERLINK("http://slimages.macys.com/is/image/MCY/19146278 ")</f>
        <v xml:space="preserve">http://slimages.macys.com/is/image/MCY/19146278 </v>
      </c>
    </row>
    <row r="391" spans="1:14" x14ac:dyDescent="0.25">
      <c r="A391" s="21" t="s">
        <v>10003</v>
      </c>
      <c r="B391" s="22" t="s">
        <v>10004</v>
      </c>
      <c r="C391" s="2">
        <v>1</v>
      </c>
      <c r="D391" s="23">
        <v>8.64</v>
      </c>
      <c r="E391" s="3">
        <v>8.64</v>
      </c>
      <c r="F391" s="2" t="s">
        <v>10005</v>
      </c>
      <c r="G391" s="22" t="s">
        <v>19333</v>
      </c>
      <c r="H391" s="24" t="s">
        <v>19770</v>
      </c>
      <c r="I391" s="22" t="s">
        <v>19309</v>
      </c>
      <c r="J391" s="22" t="s">
        <v>19708</v>
      </c>
      <c r="K391" s="22" t="s">
        <v>19709</v>
      </c>
      <c r="L391" s="22"/>
      <c r="M391" s="22"/>
      <c r="N391" s="25" t="str">
        <f>HYPERLINK("http://slimages.macys.com/is/image/MCY/19146234 ")</f>
        <v xml:space="preserve">http://slimages.macys.com/is/image/MCY/19146234 </v>
      </c>
    </row>
    <row r="392" spans="1:14" x14ac:dyDescent="0.25">
      <c r="A392" s="21" t="s">
        <v>10006</v>
      </c>
      <c r="B392" s="22" t="s">
        <v>10007</v>
      </c>
      <c r="C392" s="2">
        <v>1</v>
      </c>
      <c r="D392" s="23">
        <v>8.64</v>
      </c>
      <c r="E392" s="3">
        <v>8.64</v>
      </c>
      <c r="F392" s="2" t="s">
        <v>10005</v>
      </c>
      <c r="G392" s="22" t="s">
        <v>19333</v>
      </c>
      <c r="H392" s="24" t="s">
        <v>20152</v>
      </c>
      <c r="I392" s="22" t="s">
        <v>19309</v>
      </c>
      <c r="J392" s="22" t="s">
        <v>19708</v>
      </c>
      <c r="K392" s="22" t="s">
        <v>19709</v>
      </c>
      <c r="L392" s="22"/>
      <c r="M392" s="22"/>
      <c r="N392" s="25" t="str">
        <f>HYPERLINK("http://slimages.macys.com/is/image/MCY/19146234 ")</f>
        <v xml:space="preserve">http://slimages.macys.com/is/image/MCY/19146234 </v>
      </c>
    </row>
    <row r="393" spans="1:14" ht="24.75" x14ac:dyDescent="0.25">
      <c r="A393" s="21" t="s">
        <v>10008</v>
      </c>
      <c r="B393" s="22" t="s">
        <v>10009</v>
      </c>
      <c r="C393" s="2">
        <v>1</v>
      </c>
      <c r="D393" s="23">
        <v>8.89</v>
      </c>
      <c r="E393" s="3">
        <v>8.89</v>
      </c>
      <c r="F393" s="2" t="s">
        <v>10010</v>
      </c>
      <c r="G393" s="22" t="s">
        <v>19618</v>
      </c>
      <c r="H393" s="24" t="s">
        <v>19364</v>
      </c>
      <c r="I393" s="22" t="s">
        <v>19309</v>
      </c>
      <c r="J393" s="22" t="s">
        <v>19565</v>
      </c>
      <c r="K393" s="22" t="s">
        <v>18514</v>
      </c>
      <c r="L393" s="22"/>
      <c r="M393" s="22"/>
      <c r="N393" s="25" t="str">
        <f>HYPERLINK("http://slimages.macys.com/is/image/MCY/21365987 ")</f>
        <v xml:space="preserve">http://slimages.macys.com/is/image/MCY/21365987 </v>
      </c>
    </row>
    <row r="394" spans="1:14" x14ac:dyDescent="0.25">
      <c r="A394" s="21" t="s">
        <v>10011</v>
      </c>
      <c r="B394" s="22" t="s">
        <v>10012</v>
      </c>
      <c r="C394" s="2">
        <v>1</v>
      </c>
      <c r="D394" s="23">
        <v>9.99</v>
      </c>
      <c r="E394" s="3">
        <v>9.99</v>
      </c>
      <c r="F394" s="2" t="s">
        <v>16396</v>
      </c>
      <c r="G394" s="22" t="s">
        <v>19431</v>
      </c>
      <c r="H394" s="24" t="s">
        <v>20135</v>
      </c>
      <c r="I394" s="22" t="s">
        <v>19309</v>
      </c>
      <c r="J394" s="22" t="s">
        <v>19849</v>
      </c>
      <c r="K394" s="22" t="s">
        <v>19850</v>
      </c>
      <c r="L394" s="22"/>
      <c r="M394" s="22"/>
      <c r="N394" s="25" t="str">
        <f>HYPERLINK("http://slimages.macys.com/is/image/MCY/19068331 ")</f>
        <v xml:space="preserve">http://slimages.macys.com/is/image/MCY/19068331 </v>
      </c>
    </row>
    <row r="395" spans="1:14" ht="24.75" x14ac:dyDescent="0.25">
      <c r="A395" s="21" t="s">
        <v>18806</v>
      </c>
      <c r="B395" s="22" t="s">
        <v>18807</v>
      </c>
      <c r="C395" s="2">
        <v>1</v>
      </c>
      <c r="D395" s="23">
        <v>10.99</v>
      </c>
      <c r="E395" s="3">
        <v>10.99</v>
      </c>
      <c r="F395" s="2" t="s">
        <v>18808</v>
      </c>
      <c r="G395" s="22" t="s">
        <v>19906</v>
      </c>
      <c r="H395" s="24" t="s">
        <v>19364</v>
      </c>
      <c r="I395" s="22" t="s">
        <v>19309</v>
      </c>
      <c r="J395" s="22" t="s">
        <v>19353</v>
      </c>
      <c r="K395" s="22" t="s">
        <v>19524</v>
      </c>
      <c r="L395" s="22"/>
      <c r="M395" s="22"/>
      <c r="N395" s="25" t="str">
        <f>HYPERLINK("http://slimages.macys.com/is/image/MCY/21733981 ")</f>
        <v xml:space="preserve">http://slimages.macys.com/is/image/MCY/21733981 </v>
      </c>
    </row>
    <row r="396" spans="1:14" ht="24.75" x14ac:dyDescent="0.25">
      <c r="A396" s="21" t="s">
        <v>16796</v>
      </c>
      <c r="B396" s="22" t="s">
        <v>16797</v>
      </c>
      <c r="C396" s="2">
        <v>1</v>
      </c>
      <c r="D396" s="23">
        <v>10.99</v>
      </c>
      <c r="E396" s="3">
        <v>10.99</v>
      </c>
      <c r="F396" s="2" t="s">
        <v>18808</v>
      </c>
      <c r="G396" s="22" t="s">
        <v>19906</v>
      </c>
      <c r="H396" s="24" t="s">
        <v>19339</v>
      </c>
      <c r="I396" s="22" t="s">
        <v>19309</v>
      </c>
      <c r="J396" s="22" t="s">
        <v>19353</v>
      </c>
      <c r="K396" s="22" t="s">
        <v>19524</v>
      </c>
      <c r="L396" s="22"/>
      <c r="M396" s="22"/>
      <c r="N396" s="25" t="str">
        <f>HYPERLINK("http://slimages.macys.com/is/image/MCY/21733981 ")</f>
        <v xml:space="preserve">http://slimages.macys.com/is/image/MCY/21733981 </v>
      </c>
    </row>
    <row r="397" spans="1:14" x14ac:dyDescent="0.25">
      <c r="A397" s="21" t="s">
        <v>16401</v>
      </c>
      <c r="B397" s="22" t="s">
        <v>16402</v>
      </c>
      <c r="C397" s="2">
        <v>1</v>
      </c>
      <c r="D397" s="23">
        <v>9.99</v>
      </c>
      <c r="E397" s="3">
        <v>9.99</v>
      </c>
      <c r="F397" s="2" t="s">
        <v>16800</v>
      </c>
      <c r="G397" s="22" t="s">
        <v>19670</v>
      </c>
      <c r="H397" s="24" t="s">
        <v>19377</v>
      </c>
      <c r="I397" s="22" t="s">
        <v>19309</v>
      </c>
      <c r="J397" s="22" t="s">
        <v>19849</v>
      </c>
      <c r="K397" s="22" t="s">
        <v>19850</v>
      </c>
      <c r="L397" s="22"/>
      <c r="M397" s="22"/>
      <c r="N397" s="25" t="str">
        <f>HYPERLINK("http://slimages.macys.com/is/image/MCY/20949718 ")</f>
        <v xml:space="preserve">http://slimages.macys.com/is/image/MCY/20949718 </v>
      </c>
    </row>
    <row r="398" spans="1:14" x14ac:dyDescent="0.25">
      <c r="A398" s="21" t="s">
        <v>16804</v>
      </c>
      <c r="B398" s="22" t="s">
        <v>16805</v>
      </c>
      <c r="C398" s="2">
        <v>1</v>
      </c>
      <c r="D398" s="23">
        <v>11.99</v>
      </c>
      <c r="E398" s="3">
        <v>11.99</v>
      </c>
      <c r="F398" s="2" t="s">
        <v>16803</v>
      </c>
      <c r="G398" s="22" t="s">
        <v>19431</v>
      </c>
      <c r="H398" s="24" t="s">
        <v>19339</v>
      </c>
      <c r="I398" s="22" t="s">
        <v>19309</v>
      </c>
      <c r="J398" s="22" t="s">
        <v>19849</v>
      </c>
      <c r="K398" s="22" t="s">
        <v>19850</v>
      </c>
      <c r="L398" s="22"/>
      <c r="M398" s="22"/>
      <c r="N398" s="25" t="str">
        <f>HYPERLINK("http://slimages.macys.com/is/image/MCY/20752030 ")</f>
        <v xml:space="preserve">http://slimages.macys.com/is/image/MCY/20752030 </v>
      </c>
    </row>
    <row r="399" spans="1:14" x14ac:dyDescent="0.25">
      <c r="A399" s="21" t="s">
        <v>16810</v>
      </c>
      <c r="B399" s="22" t="s">
        <v>16811</v>
      </c>
      <c r="C399" s="2">
        <v>4</v>
      </c>
      <c r="D399" s="23">
        <v>11.99</v>
      </c>
      <c r="E399" s="3">
        <v>47.96</v>
      </c>
      <c r="F399" s="2" t="s">
        <v>16803</v>
      </c>
      <c r="G399" s="22" t="s">
        <v>19431</v>
      </c>
      <c r="H399" s="24" t="s">
        <v>19352</v>
      </c>
      <c r="I399" s="22" t="s">
        <v>19309</v>
      </c>
      <c r="J399" s="22" t="s">
        <v>19849</v>
      </c>
      <c r="K399" s="22" t="s">
        <v>19850</v>
      </c>
      <c r="L399" s="22"/>
      <c r="M399" s="22"/>
      <c r="N399" s="25" t="str">
        <f>HYPERLINK("http://slimages.macys.com/is/image/MCY/20752030 ")</f>
        <v xml:space="preserve">http://slimages.macys.com/is/image/MCY/20752030 </v>
      </c>
    </row>
    <row r="400" spans="1:14" ht="24.75" x14ac:dyDescent="0.25">
      <c r="A400" s="21" t="s">
        <v>10013</v>
      </c>
      <c r="B400" s="22" t="s">
        <v>10014</v>
      </c>
      <c r="C400" s="2">
        <v>1</v>
      </c>
      <c r="D400" s="23">
        <v>10.99</v>
      </c>
      <c r="E400" s="3">
        <v>10.99</v>
      </c>
      <c r="F400" s="2" t="s">
        <v>10015</v>
      </c>
      <c r="G400" s="22" t="s">
        <v>19906</v>
      </c>
      <c r="H400" s="24" t="s">
        <v>19538</v>
      </c>
      <c r="I400" s="22" t="s">
        <v>19309</v>
      </c>
      <c r="J400" s="22" t="s">
        <v>19573</v>
      </c>
      <c r="K400" s="22" t="s">
        <v>19574</v>
      </c>
      <c r="L400" s="22"/>
      <c r="M400" s="22"/>
      <c r="N400" s="25" t="str">
        <f>HYPERLINK("http://slimages.macys.com/is/image/MCY/20757880 ")</f>
        <v xml:space="preserve">http://slimages.macys.com/is/image/MCY/20757880 </v>
      </c>
    </row>
    <row r="401" spans="1:14" x14ac:dyDescent="0.25">
      <c r="A401" s="21" t="s">
        <v>10016</v>
      </c>
      <c r="B401" s="22" t="s">
        <v>10017</v>
      </c>
      <c r="C401" s="2">
        <v>2</v>
      </c>
      <c r="D401" s="23">
        <v>11.99</v>
      </c>
      <c r="E401" s="3">
        <v>23.98</v>
      </c>
      <c r="F401" s="2" t="s">
        <v>18817</v>
      </c>
      <c r="G401" s="22" t="s">
        <v>19467</v>
      </c>
      <c r="H401" s="24" t="s">
        <v>19352</v>
      </c>
      <c r="I401" s="22" t="s">
        <v>19309</v>
      </c>
      <c r="J401" s="22" t="s">
        <v>19849</v>
      </c>
      <c r="K401" s="22" t="s">
        <v>19850</v>
      </c>
      <c r="L401" s="22"/>
      <c r="M401" s="22"/>
      <c r="N401" s="25" t="str">
        <f>HYPERLINK("http://slimages.macys.com/is/image/MCY/21080469 ")</f>
        <v xml:space="preserve">http://slimages.macys.com/is/image/MCY/21080469 </v>
      </c>
    </row>
    <row r="402" spans="1:14" x14ac:dyDescent="0.25">
      <c r="A402" s="21" t="s">
        <v>10018</v>
      </c>
      <c r="B402" s="22" t="s">
        <v>10019</v>
      </c>
      <c r="C402" s="2">
        <v>1</v>
      </c>
      <c r="D402" s="23">
        <v>8.99</v>
      </c>
      <c r="E402" s="3">
        <v>8.99</v>
      </c>
      <c r="F402" s="2" t="s">
        <v>10020</v>
      </c>
      <c r="G402" s="22" t="s">
        <v>19618</v>
      </c>
      <c r="H402" s="24" t="s">
        <v>19352</v>
      </c>
      <c r="I402" s="22" t="s">
        <v>19309</v>
      </c>
      <c r="J402" s="22" t="s">
        <v>19849</v>
      </c>
      <c r="K402" s="22" t="s">
        <v>19850</v>
      </c>
      <c r="L402" s="22"/>
      <c r="M402" s="22"/>
      <c r="N402" s="25" t="str">
        <f>HYPERLINK("http://slimages.macys.com/is/image/MCY/19973404 ")</f>
        <v xml:space="preserve">http://slimages.macys.com/is/image/MCY/19973404 </v>
      </c>
    </row>
    <row r="403" spans="1:14" x14ac:dyDescent="0.25">
      <c r="A403" s="21" t="s">
        <v>10021</v>
      </c>
      <c r="B403" s="22" t="s">
        <v>10022</v>
      </c>
      <c r="C403" s="2">
        <v>1</v>
      </c>
      <c r="D403" s="23">
        <v>11.99</v>
      </c>
      <c r="E403" s="3">
        <v>11.99</v>
      </c>
      <c r="F403" s="2" t="s">
        <v>18817</v>
      </c>
      <c r="G403" s="22" t="s">
        <v>19467</v>
      </c>
      <c r="H403" s="24" t="s">
        <v>19364</v>
      </c>
      <c r="I403" s="22" t="s">
        <v>19309</v>
      </c>
      <c r="J403" s="22" t="s">
        <v>19849</v>
      </c>
      <c r="K403" s="22" t="s">
        <v>19850</v>
      </c>
      <c r="L403" s="22"/>
      <c r="M403" s="22"/>
      <c r="N403" s="25" t="str">
        <f>HYPERLINK("http://slimages.macys.com/is/image/MCY/21080469 ")</f>
        <v xml:space="preserve">http://slimages.macys.com/is/image/MCY/21080469 </v>
      </c>
    </row>
    <row r="404" spans="1:14" x14ac:dyDescent="0.25">
      <c r="A404" s="21" t="s">
        <v>10023</v>
      </c>
      <c r="B404" s="22" t="s">
        <v>10024</v>
      </c>
      <c r="C404" s="2">
        <v>3</v>
      </c>
      <c r="D404" s="23">
        <v>8.99</v>
      </c>
      <c r="E404" s="3">
        <v>26.97</v>
      </c>
      <c r="F404" s="2" t="s">
        <v>10020</v>
      </c>
      <c r="G404" s="22" t="s">
        <v>19618</v>
      </c>
      <c r="H404" s="24" t="s">
        <v>19364</v>
      </c>
      <c r="I404" s="22" t="s">
        <v>19309</v>
      </c>
      <c r="J404" s="22" t="s">
        <v>19849</v>
      </c>
      <c r="K404" s="22" t="s">
        <v>19850</v>
      </c>
      <c r="L404" s="22"/>
      <c r="M404" s="22"/>
      <c r="N404" s="25" t="str">
        <f>HYPERLINK("http://slimages.macys.com/is/image/MCY/21924103 ")</f>
        <v xml:space="preserve">http://slimages.macys.com/is/image/MCY/21924103 </v>
      </c>
    </row>
    <row r="405" spans="1:14" x14ac:dyDescent="0.25">
      <c r="A405" s="21" t="s">
        <v>10025</v>
      </c>
      <c r="B405" s="22" t="s">
        <v>10026</v>
      </c>
      <c r="C405" s="2">
        <v>1</v>
      </c>
      <c r="D405" s="23">
        <v>8.99</v>
      </c>
      <c r="E405" s="3">
        <v>8.99</v>
      </c>
      <c r="F405" s="2" t="s">
        <v>10020</v>
      </c>
      <c r="G405" s="22" t="s">
        <v>19431</v>
      </c>
      <c r="H405" s="24" t="s">
        <v>19364</v>
      </c>
      <c r="I405" s="22" t="s">
        <v>19309</v>
      </c>
      <c r="J405" s="22" t="s">
        <v>19849</v>
      </c>
      <c r="K405" s="22" t="s">
        <v>19850</v>
      </c>
      <c r="L405" s="22"/>
      <c r="M405" s="22"/>
      <c r="N405" s="25" t="str">
        <f>HYPERLINK("http://slimages.macys.com/is/image/MCY/21924103 ")</f>
        <v xml:space="preserve">http://slimages.macys.com/is/image/MCY/21924103 </v>
      </c>
    </row>
    <row r="406" spans="1:14" x14ac:dyDescent="0.25">
      <c r="A406" s="21" t="s">
        <v>10027</v>
      </c>
      <c r="B406" s="22" t="s">
        <v>10028</v>
      </c>
      <c r="C406" s="2">
        <v>2</v>
      </c>
      <c r="D406" s="23">
        <v>11.99</v>
      </c>
      <c r="E406" s="3">
        <v>23.98</v>
      </c>
      <c r="F406" s="2" t="s">
        <v>10029</v>
      </c>
      <c r="G406" s="22" t="s">
        <v>19670</v>
      </c>
      <c r="H406" s="24" t="s">
        <v>19361</v>
      </c>
      <c r="I406" s="22" t="s">
        <v>19309</v>
      </c>
      <c r="J406" s="22" t="s">
        <v>19849</v>
      </c>
      <c r="K406" s="22" t="s">
        <v>19850</v>
      </c>
      <c r="L406" s="22"/>
      <c r="M406" s="22"/>
      <c r="N406" s="25" t="str">
        <f>HYPERLINK("http://slimages.macys.com/is/image/MCY/21270338 ")</f>
        <v xml:space="preserve">http://slimages.macys.com/is/image/MCY/21270338 </v>
      </c>
    </row>
    <row r="407" spans="1:14" x14ac:dyDescent="0.25">
      <c r="A407" s="21" t="s">
        <v>10030</v>
      </c>
      <c r="B407" s="22" t="s">
        <v>10031</v>
      </c>
      <c r="C407" s="2">
        <v>1</v>
      </c>
      <c r="D407" s="23">
        <v>10.47</v>
      </c>
      <c r="E407" s="3">
        <v>10.47</v>
      </c>
      <c r="F407" s="2" t="s">
        <v>16828</v>
      </c>
      <c r="G407" s="22" t="s">
        <v>19357</v>
      </c>
      <c r="H407" s="24" t="s">
        <v>20159</v>
      </c>
      <c r="I407" s="22" t="s">
        <v>19309</v>
      </c>
      <c r="J407" s="22" t="s">
        <v>19708</v>
      </c>
      <c r="K407" s="22" t="s">
        <v>19709</v>
      </c>
      <c r="L407" s="22"/>
      <c r="M407" s="22"/>
      <c r="N407" s="25" t="str">
        <f>HYPERLINK("http://slimages.macys.com/is/image/MCY/21410534 ")</f>
        <v xml:space="preserve">http://slimages.macys.com/is/image/MCY/21410534 </v>
      </c>
    </row>
    <row r="408" spans="1:14" x14ac:dyDescent="0.25">
      <c r="A408" s="21" t="s">
        <v>10032</v>
      </c>
      <c r="B408" s="22" t="s">
        <v>10033</v>
      </c>
      <c r="C408" s="2">
        <v>1</v>
      </c>
      <c r="D408" s="23">
        <v>7.99</v>
      </c>
      <c r="E408" s="3">
        <v>7.99</v>
      </c>
      <c r="F408" s="2" t="s">
        <v>16840</v>
      </c>
      <c r="G408" s="22" t="s">
        <v>19431</v>
      </c>
      <c r="H408" s="24" t="s">
        <v>19377</v>
      </c>
      <c r="I408" s="22" t="s">
        <v>19309</v>
      </c>
      <c r="J408" s="22" t="s">
        <v>19849</v>
      </c>
      <c r="K408" s="22" t="s">
        <v>19850</v>
      </c>
      <c r="L408" s="22"/>
      <c r="M408" s="22"/>
      <c r="N408" s="25" t="str">
        <f>HYPERLINK("http://slimages.macys.com/is/image/MCY/19068277 ")</f>
        <v xml:space="preserve">http://slimages.macys.com/is/image/MCY/19068277 </v>
      </c>
    </row>
    <row r="409" spans="1:14" x14ac:dyDescent="0.25">
      <c r="A409" s="21" t="s">
        <v>14037</v>
      </c>
      <c r="B409" s="22" t="s">
        <v>14038</v>
      </c>
      <c r="C409" s="2">
        <v>1</v>
      </c>
      <c r="D409" s="23">
        <v>7.99</v>
      </c>
      <c r="E409" s="3">
        <v>7.99</v>
      </c>
      <c r="F409" s="2" t="s">
        <v>16840</v>
      </c>
      <c r="G409" s="22" t="s">
        <v>19674</v>
      </c>
      <c r="H409" s="24" t="s">
        <v>19907</v>
      </c>
      <c r="I409" s="22" t="s">
        <v>19309</v>
      </c>
      <c r="J409" s="22" t="s">
        <v>19849</v>
      </c>
      <c r="K409" s="22" t="s">
        <v>19850</v>
      </c>
      <c r="L409" s="22"/>
      <c r="M409" s="22"/>
      <c r="N409" s="25" t="str">
        <f>HYPERLINK("http://slimages.macys.com/is/image/MCY/1622118 ")</f>
        <v xml:space="preserve">http://slimages.macys.com/is/image/MCY/1622118 </v>
      </c>
    </row>
    <row r="410" spans="1:14" x14ac:dyDescent="0.25">
      <c r="A410" s="21" t="s">
        <v>10034</v>
      </c>
      <c r="B410" s="22" t="s">
        <v>10035</v>
      </c>
      <c r="C410" s="2">
        <v>1</v>
      </c>
      <c r="D410" s="23">
        <v>6.99</v>
      </c>
      <c r="E410" s="3">
        <v>6.99</v>
      </c>
      <c r="F410" s="2" t="s">
        <v>18841</v>
      </c>
      <c r="G410" s="22" t="s">
        <v>19467</v>
      </c>
      <c r="H410" s="24" t="s">
        <v>19339</v>
      </c>
      <c r="I410" s="22" t="s">
        <v>19309</v>
      </c>
      <c r="J410" s="22" t="s">
        <v>19849</v>
      </c>
      <c r="K410" s="22" t="s">
        <v>19850</v>
      </c>
      <c r="L410" s="22"/>
      <c r="M410" s="22"/>
      <c r="N410" s="25" t="str">
        <f>HYPERLINK("http://slimages.macys.com/is/image/MCY/19965819 ")</f>
        <v xml:space="preserve">http://slimages.macys.com/is/image/MCY/19965819 </v>
      </c>
    </row>
    <row r="411" spans="1:14" x14ac:dyDescent="0.25">
      <c r="A411" s="21" t="s">
        <v>18839</v>
      </c>
      <c r="B411" s="22" t="s">
        <v>18840</v>
      </c>
      <c r="C411" s="2">
        <v>2</v>
      </c>
      <c r="D411" s="23">
        <v>6.99</v>
      </c>
      <c r="E411" s="3">
        <v>13.98</v>
      </c>
      <c r="F411" s="2" t="s">
        <v>18841</v>
      </c>
      <c r="G411" s="22" t="s">
        <v>19467</v>
      </c>
      <c r="H411" s="24" t="s">
        <v>19352</v>
      </c>
      <c r="I411" s="22" t="s">
        <v>19309</v>
      </c>
      <c r="J411" s="22" t="s">
        <v>19849</v>
      </c>
      <c r="K411" s="22" t="s">
        <v>19850</v>
      </c>
      <c r="L411" s="22"/>
      <c r="M411" s="22"/>
      <c r="N411" s="25" t="str">
        <f>HYPERLINK("http://slimages.macys.com/is/image/MCY/19965819 ")</f>
        <v xml:space="preserve">http://slimages.macys.com/is/image/MCY/19965819 </v>
      </c>
    </row>
    <row r="412" spans="1:14" ht="24.75" x14ac:dyDescent="0.25">
      <c r="A412" s="21" t="s">
        <v>10036</v>
      </c>
      <c r="B412" s="22" t="s">
        <v>10037</v>
      </c>
      <c r="C412" s="2">
        <v>1</v>
      </c>
      <c r="D412" s="23">
        <v>8.99</v>
      </c>
      <c r="E412" s="3">
        <v>8.99</v>
      </c>
      <c r="F412" s="2">
        <v>10015096700</v>
      </c>
      <c r="G412" s="22" t="s">
        <v>19906</v>
      </c>
      <c r="H412" s="24" t="s">
        <v>19770</v>
      </c>
      <c r="I412" s="22" t="s">
        <v>19309</v>
      </c>
      <c r="J412" s="22" t="s">
        <v>19573</v>
      </c>
      <c r="K412" s="22" t="s">
        <v>19574</v>
      </c>
      <c r="L412" s="22"/>
      <c r="M412" s="22"/>
      <c r="N412" s="25" t="str">
        <f>HYPERLINK("http://slimages.macys.com/is/image/MCY/1439038 ")</f>
        <v xml:space="preserve">http://slimages.macys.com/is/image/MCY/1439038 </v>
      </c>
    </row>
    <row r="413" spans="1:14" x14ac:dyDescent="0.25">
      <c r="A413" s="21" t="s">
        <v>13375</v>
      </c>
      <c r="B413" s="22" t="s">
        <v>13376</v>
      </c>
      <c r="C413" s="2">
        <v>1</v>
      </c>
      <c r="D413" s="23">
        <v>9.99</v>
      </c>
      <c r="E413" s="3">
        <v>9.99</v>
      </c>
      <c r="F413" s="2" t="s">
        <v>16855</v>
      </c>
      <c r="G413" s="22" t="s">
        <v>19674</v>
      </c>
      <c r="H413" s="24" t="s">
        <v>19542</v>
      </c>
      <c r="I413" s="22" t="s">
        <v>19309</v>
      </c>
      <c r="J413" s="22" t="s">
        <v>19849</v>
      </c>
      <c r="K413" s="22" t="s">
        <v>19850</v>
      </c>
      <c r="L413" s="22"/>
      <c r="M413" s="22"/>
      <c r="N413" s="25" t="str">
        <f>HYPERLINK("http://slimages.macys.com/is/image/MCY/20549003 ")</f>
        <v xml:space="preserve">http://slimages.macys.com/is/image/MCY/20549003 </v>
      </c>
    </row>
    <row r="414" spans="1:14" x14ac:dyDescent="0.25">
      <c r="A414" s="21" t="s">
        <v>10038</v>
      </c>
      <c r="B414" s="22" t="s">
        <v>10039</v>
      </c>
      <c r="C414" s="2">
        <v>1</v>
      </c>
      <c r="D414" s="23">
        <v>9.99</v>
      </c>
      <c r="E414" s="3">
        <v>9.99</v>
      </c>
      <c r="F414" s="2" t="s">
        <v>10040</v>
      </c>
      <c r="G414" s="22" t="s">
        <v>19351</v>
      </c>
      <c r="H414" s="24" t="s">
        <v>20089</v>
      </c>
      <c r="I414" s="22" t="s">
        <v>19309</v>
      </c>
      <c r="J414" s="22" t="s">
        <v>19849</v>
      </c>
      <c r="K414" s="22" t="s">
        <v>19850</v>
      </c>
      <c r="L414" s="22"/>
      <c r="M414" s="22"/>
      <c r="N414" s="25" t="str">
        <f>HYPERLINK("http://slimages.macys.com/is/image/MCY/20530718 ")</f>
        <v xml:space="preserve">http://slimages.macys.com/is/image/MCY/20530718 </v>
      </c>
    </row>
    <row r="415" spans="1:14" ht="24.75" x14ac:dyDescent="0.25">
      <c r="A415" s="21" t="s">
        <v>10041</v>
      </c>
      <c r="B415" s="22" t="s">
        <v>10042</v>
      </c>
      <c r="C415" s="2">
        <v>1</v>
      </c>
      <c r="D415" s="23">
        <v>11.99</v>
      </c>
      <c r="E415" s="3">
        <v>11.99</v>
      </c>
      <c r="F415" s="2" t="s">
        <v>16453</v>
      </c>
      <c r="G415" s="22" t="s">
        <v>19674</v>
      </c>
      <c r="H415" s="24" t="s">
        <v>19324</v>
      </c>
      <c r="I415" s="22" t="s">
        <v>19309</v>
      </c>
      <c r="J415" s="22" t="s">
        <v>19573</v>
      </c>
      <c r="K415" s="22" t="s">
        <v>19574</v>
      </c>
      <c r="L415" s="22"/>
      <c r="M415" s="22"/>
      <c r="N415" s="25" t="str">
        <f>HYPERLINK("http://slimages.macys.com/is/image/MCY/1427605 ")</f>
        <v xml:space="preserve">http://slimages.macys.com/is/image/MCY/1427605 </v>
      </c>
    </row>
    <row r="416" spans="1:14" x14ac:dyDescent="0.25">
      <c r="A416" s="21" t="s">
        <v>10043</v>
      </c>
      <c r="B416" s="22" t="s">
        <v>10044</v>
      </c>
      <c r="C416" s="2">
        <v>1</v>
      </c>
      <c r="D416" s="23">
        <v>9.99</v>
      </c>
      <c r="E416" s="3">
        <v>9.99</v>
      </c>
      <c r="F416" s="2" t="s">
        <v>18869</v>
      </c>
      <c r="G416" s="22" t="s">
        <v>19351</v>
      </c>
      <c r="H416" s="24" t="s">
        <v>19377</v>
      </c>
      <c r="I416" s="22" t="s">
        <v>19309</v>
      </c>
      <c r="J416" s="22" t="s">
        <v>19849</v>
      </c>
      <c r="K416" s="22" t="s">
        <v>19850</v>
      </c>
      <c r="L416" s="22"/>
      <c r="M416" s="22"/>
      <c r="N416" s="25" t="str">
        <f>HYPERLINK("http://slimages.macys.com/is/image/MCY/21351556 ")</f>
        <v xml:space="preserve">http://slimages.macys.com/is/image/MCY/21351556 </v>
      </c>
    </row>
    <row r="417" spans="1:14" x14ac:dyDescent="0.25">
      <c r="A417" s="21" t="s">
        <v>10045</v>
      </c>
      <c r="B417" s="22" t="s">
        <v>10046</v>
      </c>
      <c r="C417" s="2">
        <v>1</v>
      </c>
      <c r="D417" s="23">
        <v>9.99</v>
      </c>
      <c r="E417" s="3">
        <v>9.99</v>
      </c>
      <c r="F417" s="2" t="s">
        <v>18869</v>
      </c>
      <c r="G417" s="22" t="s">
        <v>19351</v>
      </c>
      <c r="H417" s="24" t="s">
        <v>19361</v>
      </c>
      <c r="I417" s="22" t="s">
        <v>19309</v>
      </c>
      <c r="J417" s="22" t="s">
        <v>19849</v>
      </c>
      <c r="K417" s="22" t="s">
        <v>19850</v>
      </c>
      <c r="L417" s="22"/>
      <c r="M417" s="22"/>
      <c r="N417" s="25" t="str">
        <f>HYPERLINK("http://slimages.macys.com/is/image/MCY/21351556 ")</f>
        <v xml:space="preserve">http://slimages.macys.com/is/image/MCY/21351556 </v>
      </c>
    </row>
    <row r="418" spans="1:14" x14ac:dyDescent="0.25">
      <c r="A418" s="21" t="s">
        <v>10047</v>
      </c>
      <c r="B418" s="22" t="s">
        <v>10048</v>
      </c>
      <c r="C418" s="2">
        <v>1</v>
      </c>
      <c r="D418" s="23">
        <v>9.99</v>
      </c>
      <c r="E418" s="3">
        <v>9.99</v>
      </c>
      <c r="F418" s="2" t="s">
        <v>18869</v>
      </c>
      <c r="G418" s="22" t="s">
        <v>19351</v>
      </c>
      <c r="H418" s="24" t="s">
        <v>20135</v>
      </c>
      <c r="I418" s="22" t="s">
        <v>19309</v>
      </c>
      <c r="J418" s="22" t="s">
        <v>19849</v>
      </c>
      <c r="K418" s="22" t="s">
        <v>19850</v>
      </c>
      <c r="L418" s="22"/>
      <c r="M418" s="22"/>
      <c r="N418" s="25" t="str">
        <f>HYPERLINK("http://slimages.macys.com/is/image/MCY/21351556 ")</f>
        <v xml:space="preserve">http://slimages.macys.com/is/image/MCY/21351556 </v>
      </c>
    </row>
    <row r="419" spans="1:14" ht="24.75" x14ac:dyDescent="0.25">
      <c r="A419" s="21" t="s">
        <v>10049</v>
      </c>
      <c r="B419" s="22" t="s">
        <v>10050</v>
      </c>
      <c r="C419" s="2">
        <v>1</v>
      </c>
      <c r="D419" s="23">
        <v>8.99</v>
      </c>
      <c r="E419" s="3">
        <v>8.99</v>
      </c>
      <c r="F419" s="2" t="s">
        <v>18886</v>
      </c>
      <c r="G419" s="22" t="s">
        <v>19415</v>
      </c>
      <c r="H419" s="24" t="s">
        <v>20089</v>
      </c>
      <c r="I419" s="22" t="s">
        <v>19309</v>
      </c>
      <c r="J419" s="22" t="s">
        <v>19573</v>
      </c>
      <c r="K419" s="22" t="s">
        <v>19574</v>
      </c>
      <c r="L419" s="22"/>
      <c r="M419" s="22"/>
      <c r="N419" s="25" t="str">
        <f>HYPERLINK("http://slimages.macys.com/is/image/MCY/1571210 ")</f>
        <v xml:space="preserve">http://slimages.macys.com/is/image/MCY/1571210 </v>
      </c>
    </row>
    <row r="420" spans="1:14" ht="24.75" x14ac:dyDescent="0.25">
      <c r="A420" s="21" t="s">
        <v>14089</v>
      </c>
      <c r="B420" s="22" t="s">
        <v>14090</v>
      </c>
      <c r="C420" s="2">
        <v>1</v>
      </c>
      <c r="D420" s="23">
        <v>8.42</v>
      </c>
      <c r="E420" s="3">
        <v>8.42</v>
      </c>
      <c r="F420" s="2" t="s">
        <v>16463</v>
      </c>
      <c r="G420" s="22"/>
      <c r="H420" s="24" t="s">
        <v>19392</v>
      </c>
      <c r="I420" s="22" t="s">
        <v>19309</v>
      </c>
      <c r="J420" s="22" t="s">
        <v>19602</v>
      </c>
      <c r="K420" s="22" t="s">
        <v>20041</v>
      </c>
      <c r="L420" s="22"/>
      <c r="M420" s="22"/>
      <c r="N420" s="25" t="str">
        <f>HYPERLINK("http://slimages.macys.com/is/image/MCY/21722988 ")</f>
        <v xml:space="preserve">http://slimages.macys.com/is/image/MCY/21722988 </v>
      </c>
    </row>
    <row r="421" spans="1:14" ht="24.75" x14ac:dyDescent="0.25">
      <c r="A421" s="21" t="s">
        <v>10051</v>
      </c>
      <c r="B421" s="22" t="s">
        <v>10052</v>
      </c>
      <c r="C421" s="2">
        <v>1</v>
      </c>
      <c r="D421" s="23">
        <v>8.42</v>
      </c>
      <c r="E421" s="3">
        <v>8.42</v>
      </c>
      <c r="F421" s="2" t="s">
        <v>16463</v>
      </c>
      <c r="G421" s="22"/>
      <c r="H421" s="24" t="s">
        <v>19345</v>
      </c>
      <c r="I421" s="22" t="s">
        <v>19309</v>
      </c>
      <c r="J421" s="22" t="s">
        <v>19602</v>
      </c>
      <c r="K421" s="22" t="s">
        <v>20041</v>
      </c>
      <c r="L421" s="22"/>
      <c r="M421" s="22"/>
      <c r="N421" s="25" t="str">
        <f>HYPERLINK("http://slimages.macys.com/is/image/MCY/21722988 ")</f>
        <v xml:space="preserve">http://slimages.macys.com/is/image/MCY/21722988 </v>
      </c>
    </row>
    <row r="422" spans="1:14" ht="24.75" x14ac:dyDescent="0.25">
      <c r="A422" s="21" t="s">
        <v>16458</v>
      </c>
      <c r="B422" s="22" t="s">
        <v>16459</v>
      </c>
      <c r="C422" s="2">
        <v>1</v>
      </c>
      <c r="D422" s="23">
        <v>8.42</v>
      </c>
      <c r="E422" s="3">
        <v>8.42</v>
      </c>
      <c r="F422" s="2" t="s">
        <v>16460</v>
      </c>
      <c r="G422" s="22"/>
      <c r="H422" s="24"/>
      <c r="I422" s="22" t="s">
        <v>19309</v>
      </c>
      <c r="J422" s="22" t="s">
        <v>19602</v>
      </c>
      <c r="K422" s="22" t="s">
        <v>20041</v>
      </c>
      <c r="L422" s="22"/>
      <c r="M422" s="22"/>
      <c r="N422" s="25" t="str">
        <f>HYPERLINK("http://slimages.macys.com/is/image/MCY/21722988 ")</f>
        <v xml:space="preserve">http://slimages.macys.com/is/image/MCY/21722988 </v>
      </c>
    </row>
    <row r="423" spans="1:14" ht="24.75" x14ac:dyDescent="0.25">
      <c r="A423" s="21" t="s">
        <v>14083</v>
      </c>
      <c r="B423" s="22" t="s">
        <v>14084</v>
      </c>
      <c r="C423" s="2">
        <v>1</v>
      </c>
      <c r="D423" s="23">
        <v>8.42</v>
      </c>
      <c r="E423" s="3">
        <v>8.42</v>
      </c>
      <c r="F423" s="2" t="s">
        <v>16460</v>
      </c>
      <c r="G423" s="22"/>
      <c r="H423" s="24" t="s">
        <v>19345</v>
      </c>
      <c r="I423" s="22" t="s">
        <v>19309</v>
      </c>
      <c r="J423" s="22" t="s">
        <v>19602</v>
      </c>
      <c r="K423" s="22" t="s">
        <v>20041</v>
      </c>
      <c r="L423" s="22"/>
      <c r="M423" s="22"/>
      <c r="N423" s="25" t="str">
        <f>HYPERLINK("http://slimages.macys.com/is/image/MCY/21722988 ")</f>
        <v xml:space="preserve">http://slimages.macys.com/is/image/MCY/21722988 </v>
      </c>
    </row>
    <row r="424" spans="1:14" ht="24.75" x14ac:dyDescent="0.25">
      <c r="A424" s="21" t="s">
        <v>10053</v>
      </c>
      <c r="B424" s="22" t="s">
        <v>10054</v>
      </c>
      <c r="C424" s="2">
        <v>2</v>
      </c>
      <c r="D424" s="23">
        <v>8.42</v>
      </c>
      <c r="E424" s="3">
        <v>16.84</v>
      </c>
      <c r="F424" s="2" t="s">
        <v>16460</v>
      </c>
      <c r="G424" s="22"/>
      <c r="H424" s="24" t="s">
        <v>19392</v>
      </c>
      <c r="I424" s="22" t="s">
        <v>19309</v>
      </c>
      <c r="J424" s="22" t="s">
        <v>19602</v>
      </c>
      <c r="K424" s="22" t="s">
        <v>20041</v>
      </c>
      <c r="L424" s="22"/>
      <c r="M424" s="22"/>
      <c r="N424" s="25" t="str">
        <f>HYPERLINK("http://slimages.macys.com/is/image/MCY/21722988 ")</f>
        <v xml:space="preserve">http://slimages.macys.com/is/image/MCY/21722988 </v>
      </c>
    </row>
    <row r="425" spans="1:14" x14ac:dyDescent="0.25">
      <c r="A425" s="21" t="s">
        <v>14623</v>
      </c>
      <c r="B425" s="22" t="s">
        <v>14624</v>
      </c>
      <c r="C425" s="2">
        <v>1</v>
      </c>
      <c r="D425" s="23">
        <v>9.99</v>
      </c>
      <c r="E425" s="3">
        <v>9.99</v>
      </c>
      <c r="F425" s="2" t="s">
        <v>16466</v>
      </c>
      <c r="G425" s="22" t="s">
        <v>19674</v>
      </c>
      <c r="H425" s="24" t="s">
        <v>20089</v>
      </c>
      <c r="I425" s="22" t="s">
        <v>19309</v>
      </c>
      <c r="J425" s="22" t="s">
        <v>19849</v>
      </c>
      <c r="K425" s="22" t="s">
        <v>19850</v>
      </c>
      <c r="L425" s="22"/>
      <c r="M425" s="22"/>
      <c r="N425" s="25" t="str">
        <f>HYPERLINK("http://slimages.macys.com/is/image/MCY/1521210 ")</f>
        <v xml:space="preserve">http://slimages.macys.com/is/image/MCY/1521210 </v>
      </c>
    </row>
    <row r="426" spans="1:14" x14ac:dyDescent="0.25">
      <c r="A426" s="21" t="s">
        <v>16464</v>
      </c>
      <c r="B426" s="22" t="s">
        <v>16465</v>
      </c>
      <c r="C426" s="2">
        <v>2</v>
      </c>
      <c r="D426" s="23">
        <v>9.99</v>
      </c>
      <c r="E426" s="3">
        <v>19.98</v>
      </c>
      <c r="F426" s="2" t="s">
        <v>16466</v>
      </c>
      <c r="G426" s="22" t="s">
        <v>19674</v>
      </c>
      <c r="H426" s="24" t="s">
        <v>20135</v>
      </c>
      <c r="I426" s="22" t="s">
        <v>19309</v>
      </c>
      <c r="J426" s="22" t="s">
        <v>19849</v>
      </c>
      <c r="K426" s="22" t="s">
        <v>19850</v>
      </c>
      <c r="L426" s="22"/>
      <c r="M426" s="22"/>
      <c r="N426" s="25" t="str">
        <f>HYPERLINK("http://slimages.macys.com/is/image/MCY/21351561 ")</f>
        <v xml:space="preserve">http://slimages.macys.com/is/image/MCY/21351561 </v>
      </c>
    </row>
    <row r="427" spans="1:14" ht="24.75" x14ac:dyDescent="0.25">
      <c r="A427" s="21" t="s">
        <v>10055</v>
      </c>
      <c r="B427" s="22" t="s">
        <v>10056</v>
      </c>
      <c r="C427" s="2">
        <v>1</v>
      </c>
      <c r="D427" s="23">
        <v>7.99</v>
      </c>
      <c r="E427" s="3">
        <v>7.99</v>
      </c>
      <c r="F427" s="2" t="s">
        <v>18889</v>
      </c>
      <c r="G427" s="22" t="s">
        <v>19333</v>
      </c>
      <c r="H427" s="24" t="s">
        <v>20135</v>
      </c>
      <c r="I427" s="22" t="s">
        <v>19309</v>
      </c>
      <c r="J427" s="22" t="s">
        <v>19908</v>
      </c>
      <c r="K427" s="22" t="s">
        <v>19524</v>
      </c>
      <c r="L427" s="22"/>
      <c r="M427" s="22"/>
      <c r="N427" s="25" t="str">
        <f>HYPERLINK("http://slimages.macys.com/is/image/MCY/1414234 ")</f>
        <v xml:space="preserve">http://slimages.macys.com/is/image/MCY/1414234 </v>
      </c>
    </row>
    <row r="428" spans="1:14" ht="24.75" x14ac:dyDescent="0.25">
      <c r="A428" s="21" t="s">
        <v>10057</v>
      </c>
      <c r="B428" s="22" t="s">
        <v>10058</v>
      </c>
      <c r="C428" s="2">
        <v>1</v>
      </c>
      <c r="D428" s="23">
        <v>7.99</v>
      </c>
      <c r="E428" s="3">
        <v>7.99</v>
      </c>
      <c r="F428" s="2" t="s">
        <v>16901</v>
      </c>
      <c r="G428" s="22" t="s">
        <v>18439</v>
      </c>
      <c r="H428" s="24" t="s">
        <v>19361</v>
      </c>
      <c r="I428" s="22" t="s">
        <v>19309</v>
      </c>
      <c r="J428" s="22" t="s">
        <v>19908</v>
      </c>
      <c r="K428" s="22" t="s">
        <v>19524</v>
      </c>
      <c r="L428" s="22"/>
      <c r="M428" s="22"/>
      <c r="N428" s="25" t="str">
        <f>HYPERLINK("http://slimages.macys.com/is/image/MCY/21727277 ")</f>
        <v xml:space="preserve">http://slimages.macys.com/is/image/MCY/21727277 </v>
      </c>
    </row>
    <row r="429" spans="1:14" ht="24.75" x14ac:dyDescent="0.25">
      <c r="A429" s="21" t="s">
        <v>10059</v>
      </c>
      <c r="B429" s="22" t="s">
        <v>10060</v>
      </c>
      <c r="C429" s="2">
        <v>1</v>
      </c>
      <c r="D429" s="23">
        <v>7.99</v>
      </c>
      <c r="E429" s="3">
        <v>7.99</v>
      </c>
      <c r="F429" s="2" t="s">
        <v>18889</v>
      </c>
      <c r="G429" s="22" t="s">
        <v>19333</v>
      </c>
      <c r="H429" s="24" t="s">
        <v>19361</v>
      </c>
      <c r="I429" s="22" t="s">
        <v>19309</v>
      </c>
      <c r="J429" s="22" t="s">
        <v>19908</v>
      </c>
      <c r="K429" s="22" t="s">
        <v>19524</v>
      </c>
      <c r="L429" s="22"/>
      <c r="M429" s="22"/>
      <c r="N429" s="25" t="str">
        <f>HYPERLINK("http://slimages.macys.com/is/image/MCY/1414223 ")</f>
        <v xml:space="preserve">http://slimages.macys.com/is/image/MCY/1414223 </v>
      </c>
    </row>
    <row r="430" spans="1:14" x14ac:dyDescent="0.25">
      <c r="A430" s="21" t="s">
        <v>14646</v>
      </c>
      <c r="B430" s="22" t="s">
        <v>14647</v>
      </c>
      <c r="C430" s="2">
        <v>2</v>
      </c>
      <c r="D430" s="23">
        <v>11.99</v>
      </c>
      <c r="E430" s="3">
        <v>23.98</v>
      </c>
      <c r="F430" s="2" t="s">
        <v>14643</v>
      </c>
      <c r="G430" s="22" t="s">
        <v>19513</v>
      </c>
      <c r="H430" s="24" t="s">
        <v>19797</v>
      </c>
      <c r="I430" s="22" t="s">
        <v>19309</v>
      </c>
      <c r="J430" s="22" t="s">
        <v>19849</v>
      </c>
      <c r="K430" s="22" t="s">
        <v>19850</v>
      </c>
      <c r="L430" s="22"/>
      <c r="M430" s="22"/>
      <c r="N430" s="25" t="str">
        <f>HYPERLINK("http://slimages.macys.com/is/image/MCY/21278245 ")</f>
        <v xml:space="preserve">http://slimages.macys.com/is/image/MCY/21278245 </v>
      </c>
    </row>
    <row r="431" spans="1:14" x14ac:dyDescent="0.25">
      <c r="A431" s="21" t="s">
        <v>14648</v>
      </c>
      <c r="B431" s="22" t="s">
        <v>14649</v>
      </c>
      <c r="C431" s="2">
        <v>5</v>
      </c>
      <c r="D431" s="23">
        <v>11.99</v>
      </c>
      <c r="E431" s="3">
        <v>59.95</v>
      </c>
      <c r="F431" s="2" t="s">
        <v>14643</v>
      </c>
      <c r="G431" s="22" t="s">
        <v>19513</v>
      </c>
      <c r="H431" s="24" t="s">
        <v>19339</v>
      </c>
      <c r="I431" s="22" t="s">
        <v>19309</v>
      </c>
      <c r="J431" s="22" t="s">
        <v>19849</v>
      </c>
      <c r="K431" s="22" t="s">
        <v>19850</v>
      </c>
      <c r="L431" s="22"/>
      <c r="M431" s="22"/>
      <c r="N431" s="25" t="str">
        <f>HYPERLINK("http://slimages.macys.com/is/image/MCY/21278245 ")</f>
        <v xml:space="preserve">http://slimages.macys.com/is/image/MCY/21278245 </v>
      </c>
    </row>
    <row r="432" spans="1:14" x14ac:dyDescent="0.25">
      <c r="A432" s="21" t="s">
        <v>14641</v>
      </c>
      <c r="B432" s="22" t="s">
        <v>14642</v>
      </c>
      <c r="C432" s="2">
        <v>5</v>
      </c>
      <c r="D432" s="23">
        <v>11.99</v>
      </c>
      <c r="E432" s="3">
        <v>59.95</v>
      </c>
      <c r="F432" s="2" t="s">
        <v>14643</v>
      </c>
      <c r="G432" s="22" t="s">
        <v>19513</v>
      </c>
      <c r="H432" s="24" t="s">
        <v>19352</v>
      </c>
      <c r="I432" s="22" t="s">
        <v>19309</v>
      </c>
      <c r="J432" s="22" t="s">
        <v>19849</v>
      </c>
      <c r="K432" s="22" t="s">
        <v>19850</v>
      </c>
      <c r="L432" s="22"/>
      <c r="M432" s="22"/>
      <c r="N432" s="25" t="str">
        <f>HYPERLINK("http://slimages.macys.com/is/image/MCY/21278245 ")</f>
        <v xml:space="preserve">http://slimages.macys.com/is/image/MCY/21278245 </v>
      </c>
    </row>
    <row r="433" spans="1:14" x14ac:dyDescent="0.25">
      <c r="A433" s="21" t="s">
        <v>14644</v>
      </c>
      <c r="B433" s="22" t="s">
        <v>14645</v>
      </c>
      <c r="C433" s="2">
        <v>7</v>
      </c>
      <c r="D433" s="23">
        <v>11.99</v>
      </c>
      <c r="E433" s="3">
        <v>83.93</v>
      </c>
      <c r="F433" s="2" t="s">
        <v>14643</v>
      </c>
      <c r="G433" s="22" t="s">
        <v>19513</v>
      </c>
      <c r="H433" s="24" t="s">
        <v>19364</v>
      </c>
      <c r="I433" s="22" t="s">
        <v>19309</v>
      </c>
      <c r="J433" s="22" t="s">
        <v>19849</v>
      </c>
      <c r="K433" s="22" t="s">
        <v>19850</v>
      </c>
      <c r="L433" s="22"/>
      <c r="M433" s="22"/>
      <c r="N433" s="25" t="str">
        <f>HYPERLINK("http://slimages.macys.com/is/image/MCY/21278245 ")</f>
        <v xml:space="preserve">http://slimages.macys.com/is/image/MCY/21278245 </v>
      </c>
    </row>
    <row r="434" spans="1:14" ht="24.75" x14ac:dyDescent="0.25">
      <c r="A434" s="21" t="s">
        <v>10061</v>
      </c>
      <c r="B434" s="22" t="s">
        <v>10062</v>
      </c>
      <c r="C434" s="2">
        <v>1</v>
      </c>
      <c r="D434" s="23">
        <v>7.99</v>
      </c>
      <c r="E434" s="3">
        <v>7.99</v>
      </c>
      <c r="F434" s="2" t="s">
        <v>10063</v>
      </c>
      <c r="G434" s="22" t="s">
        <v>19338</v>
      </c>
      <c r="H434" s="24" t="s">
        <v>19361</v>
      </c>
      <c r="I434" s="22" t="s">
        <v>19309</v>
      </c>
      <c r="J434" s="22" t="s">
        <v>19908</v>
      </c>
      <c r="K434" s="22" t="s">
        <v>19524</v>
      </c>
      <c r="L434" s="22"/>
      <c r="M434" s="22"/>
      <c r="N434" s="25" t="str">
        <f>HYPERLINK("http://slimages.macys.com/is/image/MCY/1389784 ")</f>
        <v xml:space="preserve">http://slimages.macys.com/is/image/MCY/1389784 </v>
      </c>
    </row>
    <row r="435" spans="1:14" ht="24.75" x14ac:dyDescent="0.25">
      <c r="A435" s="21" t="s">
        <v>18917</v>
      </c>
      <c r="B435" s="22" t="s">
        <v>18918</v>
      </c>
      <c r="C435" s="2">
        <v>3</v>
      </c>
      <c r="D435" s="23">
        <v>7.99</v>
      </c>
      <c r="E435" s="3">
        <v>23.97</v>
      </c>
      <c r="F435" s="2" t="s">
        <v>18914</v>
      </c>
      <c r="G435" s="22" t="s">
        <v>19431</v>
      </c>
      <c r="H435" s="24" t="s">
        <v>19907</v>
      </c>
      <c r="I435" s="22" t="s">
        <v>19309</v>
      </c>
      <c r="J435" s="22" t="s">
        <v>19573</v>
      </c>
      <c r="K435" s="22" t="s">
        <v>19574</v>
      </c>
      <c r="L435" s="22"/>
      <c r="M435" s="22"/>
      <c r="N435" s="25" t="str">
        <f>HYPERLINK("http://slimages.macys.com/is/image/MCY/21209393 ")</f>
        <v xml:space="preserve">http://slimages.macys.com/is/image/MCY/21209393 </v>
      </c>
    </row>
    <row r="436" spans="1:14" x14ac:dyDescent="0.25">
      <c r="A436" s="21" t="s">
        <v>12507</v>
      </c>
      <c r="B436" s="22" t="s">
        <v>12508</v>
      </c>
      <c r="C436" s="2">
        <v>2</v>
      </c>
      <c r="D436" s="23">
        <v>5.99</v>
      </c>
      <c r="E436" s="3">
        <v>11.98</v>
      </c>
      <c r="F436" s="2" t="s">
        <v>18921</v>
      </c>
      <c r="G436" s="22" t="s">
        <v>19315</v>
      </c>
      <c r="H436" s="24" t="s">
        <v>20135</v>
      </c>
      <c r="I436" s="22" t="s">
        <v>19309</v>
      </c>
      <c r="J436" s="22" t="s">
        <v>19849</v>
      </c>
      <c r="K436" s="22" t="s">
        <v>19850</v>
      </c>
      <c r="L436" s="22"/>
      <c r="M436" s="22"/>
      <c r="N436" s="25" t="str">
        <f>HYPERLINK("http://slimages.macys.com/is/image/MCY/19068346 ")</f>
        <v xml:space="preserve">http://slimages.macys.com/is/image/MCY/19068346 </v>
      </c>
    </row>
    <row r="437" spans="1:14" ht="24.75" x14ac:dyDescent="0.25">
      <c r="A437" s="21" t="s">
        <v>10064</v>
      </c>
      <c r="B437" s="22" t="s">
        <v>10065</v>
      </c>
      <c r="C437" s="2">
        <v>1</v>
      </c>
      <c r="D437" s="23">
        <v>7.99</v>
      </c>
      <c r="E437" s="3">
        <v>7.99</v>
      </c>
      <c r="F437" s="2" t="s">
        <v>14661</v>
      </c>
      <c r="G437" s="22" t="s">
        <v>19794</v>
      </c>
      <c r="H437" s="24" t="s">
        <v>20089</v>
      </c>
      <c r="I437" s="22" t="s">
        <v>19309</v>
      </c>
      <c r="J437" s="22" t="s">
        <v>19573</v>
      </c>
      <c r="K437" s="22" t="s">
        <v>19574</v>
      </c>
      <c r="L437" s="22"/>
      <c r="M437" s="22"/>
      <c r="N437" s="25" t="str">
        <f>HYPERLINK("http://slimages.macys.com/is/image/MCY/21209113 ")</f>
        <v xml:space="preserve">http://slimages.macys.com/is/image/MCY/21209113 </v>
      </c>
    </row>
    <row r="438" spans="1:14" x14ac:dyDescent="0.25">
      <c r="A438" s="21" t="s">
        <v>10066</v>
      </c>
      <c r="B438" s="22" t="s">
        <v>10067</v>
      </c>
      <c r="C438" s="2">
        <v>2</v>
      </c>
      <c r="D438" s="23">
        <v>5.99</v>
      </c>
      <c r="E438" s="3">
        <v>11.98</v>
      </c>
      <c r="F438" s="2" t="s">
        <v>18921</v>
      </c>
      <c r="G438" s="22" t="s">
        <v>19315</v>
      </c>
      <c r="H438" s="24" t="s">
        <v>19377</v>
      </c>
      <c r="I438" s="22" t="s">
        <v>19309</v>
      </c>
      <c r="J438" s="22" t="s">
        <v>19849</v>
      </c>
      <c r="K438" s="22" t="s">
        <v>19850</v>
      </c>
      <c r="L438" s="22"/>
      <c r="M438" s="22"/>
      <c r="N438" s="25" t="str">
        <f>HYPERLINK("http://slimages.macys.com/is/image/MCY/1099306 ")</f>
        <v xml:space="preserve">http://slimages.macys.com/is/image/MCY/1099306 </v>
      </c>
    </row>
    <row r="439" spans="1:14" x14ac:dyDescent="0.25">
      <c r="A439" s="21" t="s">
        <v>10068</v>
      </c>
      <c r="B439" s="22" t="s">
        <v>10069</v>
      </c>
      <c r="C439" s="2">
        <v>1</v>
      </c>
      <c r="D439" s="23">
        <v>5.99</v>
      </c>
      <c r="E439" s="3">
        <v>5.99</v>
      </c>
      <c r="F439" s="2" t="s">
        <v>18921</v>
      </c>
      <c r="G439" s="22" t="s">
        <v>19315</v>
      </c>
      <c r="H439" s="24" t="s">
        <v>19907</v>
      </c>
      <c r="I439" s="22" t="s">
        <v>19309</v>
      </c>
      <c r="J439" s="22" t="s">
        <v>19849</v>
      </c>
      <c r="K439" s="22" t="s">
        <v>19850</v>
      </c>
      <c r="L439" s="22"/>
      <c r="M439" s="22"/>
      <c r="N439" s="25" t="str">
        <f>HYPERLINK("http://slimages.macys.com/is/image/MCY/1099306 ")</f>
        <v xml:space="preserve">http://slimages.macys.com/is/image/MCY/1099306 </v>
      </c>
    </row>
    <row r="440" spans="1:14" x14ac:dyDescent="0.25">
      <c r="A440" s="21" t="s">
        <v>18919</v>
      </c>
      <c r="B440" s="22" t="s">
        <v>18920</v>
      </c>
      <c r="C440" s="2">
        <v>1</v>
      </c>
      <c r="D440" s="23">
        <v>5.99</v>
      </c>
      <c r="E440" s="3">
        <v>5.99</v>
      </c>
      <c r="F440" s="2" t="s">
        <v>18921</v>
      </c>
      <c r="G440" s="22" t="s">
        <v>19315</v>
      </c>
      <c r="H440" s="24" t="s">
        <v>20089</v>
      </c>
      <c r="I440" s="22" t="s">
        <v>19309</v>
      </c>
      <c r="J440" s="22" t="s">
        <v>19849</v>
      </c>
      <c r="K440" s="22" t="s">
        <v>19850</v>
      </c>
      <c r="L440" s="22"/>
      <c r="M440" s="22"/>
      <c r="N440" s="25" t="str">
        <f>HYPERLINK("http://slimages.macys.com/is/image/MCY/1099306 ")</f>
        <v xml:space="preserve">http://slimages.macys.com/is/image/MCY/1099306 </v>
      </c>
    </row>
    <row r="441" spans="1:14" x14ac:dyDescent="0.25">
      <c r="A441" s="21" t="s">
        <v>14104</v>
      </c>
      <c r="B441" s="22" t="s">
        <v>14105</v>
      </c>
      <c r="C441" s="2">
        <v>1</v>
      </c>
      <c r="D441" s="23">
        <v>7.99</v>
      </c>
      <c r="E441" s="3">
        <v>7.99</v>
      </c>
      <c r="F441" s="2" t="s">
        <v>16840</v>
      </c>
      <c r="G441" s="22" t="s">
        <v>19467</v>
      </c>
      <c r="H441" s="24" t="s">
        <v>19542</v>
      </c>
      <c r="I441" s="22" t="s">
        <v>19309</v>
      </c>
      <c r="J441" s="22" t="s">
        <v>19849</v>
      </c>
      <c r="K441" s="22" t="s">
        <v>19850</v>
      </c>
      <c r="L441" s="22"/>
      <c r="M441" s="22"/>
      <c r="N441" s="25" t="str">
        <f t="shared" ref="N441:N446" si="2">HYPERLINK("http://slimages.macys.com/is/image/MCY/19068277 ")</f>
        <v xml:space="preserve">http://slimages.macys.com/is/image/MCY/19068277 </v>
      </c>
    </row>
    <row r="442" spans="1:14" x14ac:dyDescent="0.25">
      <c r="A442" s="21" t="s">
        <v>16965</v>
      </c>
      <c r="B442" s="22" t="s">
        <v>16966</v>
      </c>
      <c r="C442" s="2">
        <v>1</v>
      </c>
      <c r="D442" s="23">
        <v>7.99</v>
      </c>
      <c r="E442" s="3">
        <v>7.99</v>
      </c>
      <c r="F442" s="2" t="s">
        <v>16840</v>
      </c>
      <c r="G442" s="22" t="s">
        <v>19467</v>
      </c>
      <c r="H442" s="24" t="s">
        <v>19907</v>
      </c>
      <c r="I442" s="22" t="s">
        <v>19309</v>
      </c>
      <c r="J442" s="22" t="s">
        <v>19849</v>
      </c>
      <c r="K442" s="22" t="s">
        <v>19850</v>
      </c>
      <c r="L442" s="22"/>
      <c r="M442" s="22"/>
      <c r="N442" s="25" t="str">
        <f t="shared" si="2"/>
        <v xml:space="preserve">http://slimages.macys.com/is/image/MCY/19068277 </v>
      </c>
    </row>
    <row r="443" spans="1:14" x14ac:dyDescent="0.25">
      <c r="A443" s="21" t="s">
        <v>10070</v>
      </c>
      <c r="B443" s="22" t="s">
        <v>10071</v>
      </c>
      <c r="C443" s="2">
        <v>2</v>
      </c>
      <c r="D443" s="23">
        <v>7.99</v>
      </c>
      <c r="E443" s="3">
        <v>15.98</v>
      </c>
      <c r="F443" s="2" t="s">
        <v>16840</v>
      </c>
      <c r="G443" s="22" t="s">
        <v>19467</v>
      </c>
      <c r="H443" s="24" t="s">
        <v>20089</v>
      </c>
      <c r="I443" s="22" t="s">
        <v>19309</v>
      </c>
      <c r="J443" s="22" t="s">
        <v>19849</v>
      </c>
      <c r="K443" s="22" t="s">
        <v>19850</v>
      </c>
      <c r="L443" s="22"/>
      <c r="M443" s="22"/>
      <c r="N443" s="25" t="str">
        <f t="shared" si="2"/>
        <v xml:space="preserve">http://slimages.macys.com/is/image/MCY/19068277 </v>
      </c>
    </row>
    <row r="444" spans="1:14" x14ac:dyDescent="0.25">
      <c r="A444" s="21" t="s">
        <v>10072</v>
      </c>
      <c r="B444" s="22" t="s">
        <v>10073</v>
      </c>
      <c r="C444" s="2">
        <v>1</v>
      </c>
      <c r="D444" s="23">
        <v>7.99</v>
      </c>
      <c r="E444" s="3">
        <v>7.99</v>
      </c>
      <c r="F444" s="2" t="s">
        <v>16840</v>
      </c>
      <c r="G444" s="22" t="s">
        <v>19467</v>
      </c>
      <c r="H444" s="24" t="s">
        <v>19377</v>
      </c>
      <c r="I444" s="22" t="s">
        <v>19309</v>
      </c>
      <c r="J444" s="22" t="s">
        <v>19849</v>
      </c>
      <c r="K444" s="22" t="s">
        <v>19850</v>
      </c>
      <c r="L444" s="22"/>
      <c r="M444" s="22"/>
      <c r="N444" s="25" t="str">
        <f t="shared" si="2"/>
        <v xml:space="preserve">http://slimages.macys.com/is/image/MCY/19068277 </v>
      </c>
    </row>
    <row r="445" spans="1:14" x14ac:dyDescent="0.25">
      <c r="A445" s="21" t="s">
        <v>10074</v>
      </c>
      <c r="B445" s="22" t="s">
        <v>10075</v>
      </c>
      <c r="C445" s="2">
        <v>1</v>
      </c>
      <c r="D445" s="23">
        <v>7.99</v>
      </c>
      <c r="E445" s="3">
        <v>7.99</v>
      </c>
      <c r="F445" s="2" t="s">
        <v>16840</v>
      </c>
      <c r="G445" s="22" t="s">
        <v>19674</v>
      </c>
      <c r="H445" s="24" t="s">
        <v>19377</v>
      </c>
      <c r="I445" s="22" t="s">
        <v>19309</v>
      </c>
      <c r="J445" s="22" t="s">
        <v>19849</v>
      </c>
      <c r="K445" s="22" t="s">
        <v>19850</v>
      </c>
      <c r="L445" s="22"/>
      <c r="M445" s="22"/>
      <c r="N445" s="25" t="str">
        <f t="shared" si="2"/>
        <v xml:space="preserve">http://slimages.macys.com/is/image/MCY/19068277 </v>
      </c>
    </row>
    <row r="446" spans="1:14" x14ac:dyDescent="0.25">
      <c r="A446" s="21" t="s">
        <v>16969</v>
      </c>
      <c r="B446" s="22" t="s">
        <v>16970</v>
      </c>
      <c r="C446" s="2">
        <v>1</v>
      </c>
      <c r="D446" s="23">
        <v>7.99</v>
      </c>
      <c r="E446" s="3">
        <v>7.99</v>
      </c>
      <c r="F446" s="2" t="s">
        <v>16840</v>
      </c>
      <c r="G446" s="22" t="s">
        <v>19467</v>
      </c>
      <c r="H446" s="24" t="s">
        <v>20135</v>
      </c>
      <c r="I446" s="22" t="s">
        <v>19309</v>
      </c>
      <c r="J446" s="22" t="s">
        <v>19849</v>
      </c>
      <c r="K446" s="22" t="s">
        <v>19850</v>
      </c>
      <c r="L446" s="22"/>
      <c r="M446" s="22"/>
      <c r="N446" s="25" t="str">
        <f t="shared" si="2"/>
        <v xml:space="preserve">http://slimages.macys.com/is/image/MCY/19068277 </v>
      </c>
    </row>
    <row r="447" spans="1:14" ht="24.75" x14ac:dyDescent="0.25">
      <c r="A447" s="21" t="s">
        <v>18979</v>
      </c>
      <c r="B447" s="22" t="s">
        <v>18980</v>
      </c>
      <c r="C447" s="2">
        <v>1</v>
      </c>
      <c r="D447" s="23">
        <v>8.99</v>
      </c>
      <c r="E447" s="3">
        <v>8.99</v>
      </c>
      <c r="F447" s="2" t="s">
        <v>18981</v>
      </c>
      <c r="G447" s="22" t="s">
        <v>19422</v>
      </c>
      <c r="H447" s="24"/>
      <c r="I447" s="22" t="s">
        <v>19309</v>
      </c>
      <c r="J447" s="22" t="s">
        <v>19573</v>
      </c>
      <c r="K447" s="22" t="s">
        <v>19574</v>
      </c>
      <c r="L447" s="22"/>
      <c r="M447" s="22"/>
      <c r="N447" s="25" t="str">
        <f>HYPERLINK("http://slimages.macys.com/is/image/MCY/1537013 ")</f>
        <v xml:space="preserve">http://slimages.macys.com/is/image/MCY/1537013 </v>
      </c>
    </row>
    <row r="448" spans="1:14" ht="24.75" x14ac:dyDescent="0.25">
      <c r="A448" s="21" t="s">
        <v>14140</v>
      </c>
      <c r="B448" s="22" t="s">
        <v>14141</v>
      </c>
      <c r="C448" s="2">
        <v>1</v>
      </c>
      <c r="D448" s="23">
        <v>6.99</v>
      </c>
      <c r="E448" s="3">
        <v>6.99</v>
      </c>
      <c r="F448" s="2" t="s">
        <v>14137</v>
      </c>
      <c r="G448" s="22" t="s">
        <v>19906</v>
      </c>
      <c r="H448" s="24" t="s">
        <v>19324</v>
      </c>
      <c r="I448" s="22" t="s">
        <v>19309</v>
      </c>
      <c r="J448" s="22" t="s">
        <v>19573</v>
      </c>
      <c r="K448" s="22" t="s">
        <v>19574</v>
      </c>
      <c r="L448" s="22"/>
      <c r="M448" s="22"/>
      <c r="N448" s="25" t="str">
        <f>HYPERLINK("http://slimages.macys.com/is/image/MCY/21361653 ")</f>
        <v xml:space="preserve">http://slimages.macys.com/is/image/MCY/21361653 </v>
      </c>
    </row>
    <row r="449" spans="1:14" ht="24.75" x14ac:dyDescent="0.25">
      <c r="A449" s="21" t="s">
        <v>14713</v>
      </c>
      <c r="B449" s="22" t="s">
        <v>14714</v>
      </c>
      <c r="C449" s="2">
        <v>1</v>
      </c>
      <c r="D449" s="23">
        <v>7.99</v>
      </c>
      <c r="E449" s="3">
        <v>7.99</v>
      </c>
      <c r="F449" s="2" t="s">
        <v>14712</v>
      </c>
      <c r="G449" s="22" t="s">
        <v>19467</v>
      </c>
      <c r="H449" s="24" t="s">
        <v>20135</v>
      </c>
      <c r="I449" s="22" t="s">
        <v>19309</v>
      </c>
      <c r="J449" s="22" t="s">
        <v>19573</v>
      </c>
      <c r="K449" s="22" t="s">
        <v>19574</v>
      </c>
      <c r="L449" s="22"/>
      <c r="M449" s="22"/>
      <c r="N449" s="25" t="str">
        <f>HYPERLINK("http://slimages.macys.com/is/image/MCY/22290702 ")</f>
        <v xml:space="preserve">http://slimages.macys.com/is/image/MCY/22290702 </v>
      </c>
    </row>
    <row r="450" spans="1:14" ht="24.75" x14ac:dyDescent="0.25">
      <c r="A450" s="21" t="s">
        <v>13439</v>
      </c>
      <c r="B450" s="22" t="s">
        <v>13440</v>
      </c>
      <c r="C450" s="2">
        <v>1</v>
      </c>
      <c r="D450" s="23">
        <v>7.99</v>
      </c>
      <c r="E450" s="3">
        <v>7.99</v>
      </c>
      <c r="F450" s="2" t="s">
        <v>14712</v>
      </c>
      <c r="G450" s="22" t="s">
        <v>19467</v>
      </c>
      <c r="H450" s="24" t="s">
        <v>20089</v>
      </c>
      <c r="I450" s="22" t="s">
        <v>19309</v>
      </c>
      <c r="J450" s="22" t="s">
        <v>19573</v>
      </c>
      <c r="K450" s="22" t="s">
        <v>19574</v>
      </c>
      <c r="L450" s="22"/>
      <c r="M450" s="22"/>
      <c r="N450" s="25" t="str">
        <f>HYPERLINK("http://slimages.macys.com/is/image/MCY/22290702 ")</f>
        <v xml:space="preserve">http://slimages.macys.com/is/image/MCY/22290702 </v>
      </c>
    </row>
    <row r="451" spans="1:14" ht="24.75" x14ac:dyDescent="0.25">
      <c r="A451" s="21" t="s">
        <v>10076</v>
      </c>
      <c r="B451" s="22" t="s">
        <v>10077</v>
      </c>
      <c r="C451" s="2">
        <v>1</v>
      </c>
      <c r="D451" s="23">
        <v>7.99</v>
      </c>
      <c r="E451" s="3">
        <v>7.99</v>
      </c>
      <c r="F451" s="2" t="s">
        <v>10078</v>
      </c>
      <c r="G451" s="22" t="s">
        <v>19315</v>
      </c>
      <c r="H451" s="24" t="s">
        <v>20135</v>
      </c>
      <c r="I451" s="22" t="s">
        <v>19309</v>
      </c>
      <c r="J451" s="22" t="s">
        <v>19573</v>
      </c>
      <c r="K451" s="22" t="s">
        <v>19574</v>
      </c>
      <c r="L451" s="22"/>
      <c r="M451" s="22"/>
      <c r="N451" s="25" t="str">
        <f>HYPERLINK("http://slimages.macys.com/is/image/MCY/21209570 ")</f>
        <v xml:space="preserve">http://slimages.macys.com/is/image/MCY/21209570 </v>
      </c>
    </row>
    <row r="452" spans="1:14" ht="24.75" x14ac:dyDescent="0.25">
      <c r="A452" s="21" t="s">
        <v>10079</v>
      </c>
      <c r="B452" s="22" t="s">
        <v>10080</v>
      </c>
      <c r="C452" s="2">
        <v>1</v>
      </c>
      <c r="D452" s="23">
        <v>7.99</v>
      </c>
      <c r="E452" s="3">
        <v>7.99</v>
      </c>
      <c r="F452" s="2" t="s">
        <v>10081</v>
      </c>
      <c r="G452" s="22" t="s">
        <v>19431</v>
      </c>
      <c r="H452" s="24" t="s">
        <v>19907</v>
      </c>
      <c r="I452" s="22" t="s">
        <v>19309</v>
      </c>
      <c r="J452" s="22" t="s">
        <v>19573</v>
      </c>
      <c r="K452" s="22" t="s">
        <v>19574</v>
      </c>
      <c r="L452" s="22"/>
      <c r="M452" s="22"/>
      <c r="N452" s="25" t="str">
        <f>HYPERLINK("http://slimages.macys.com/is/image/MCY/21209149 ")</f>
        <v xml:space="preserve">http://slimages.macys.com/is/image/MCY/21209149 </v>
      </c>
    </row>
    <row r="453" spans="1:14" ht="24.75" x14ac:dyDescent="0.25">
      <c r="A453" s="21" t="s">
        <v>10082</v>
      </c>
      <c r="B453" s="22" t="s">
        <v>10083</v>
      </c>
      <c r="C453" s="2">
        <v>2</v>
      </c>
      <c r="D453" s="23">
        <v>6.99</v>
      </c>
      <c r="E453" s="3">
        <v>13.98</v>
      </c>
      <c r="F453" s="2" t="s">
        <v>14146</v>
      </c>
      <c r="G453" s="22" t="s">
        <v>19713</v>
      </c>
      <c r="H453" s="24" t="s">
        <v>19352</v>
      </c>
      <c r="I453" s="22" t="s">
        <v>19309</v>
      </c>
      <c r="J453" s="22" t="s">
        <v>19353</v>
      </c>
      <c r="K453" s="22" t="s">
        <v>19354</v>
      </c>
      <c r="L453" s="22"/>
      <c r="M453" s="22"/>
      <c r="N453" s="25" t="str">
        <f>HYPERLINK("http://slimages.macys.com/is/image/MCY/1528079 ")</f>
        <v xml:space="preserve">http://slimages.macys.com/is/image/MCY/1528079 </v>
      </c>
    </row>
    <row r="454" spans="1:14" ht="24.75" x14ac:dyDescent="0.25">
      <c r="A454" s="21" t="s">
        <v>10084</v>
      </c>
      <c r="B454" s="22" t="s">
        <v>10085</v>
      </c>
      <c r="C454" s="2">
        <v>1</v>
      </c>
      <c r="D454" s="23">
        <v>7.99</v>
      </c>
      <c r="E454" s="3">
        <v>7.99</v>
      </c>
      <c r="F454" s="2" t="s">
        <v>10086</v>
      </c>
      <c r="G454" s="22" t="s">
        <v>19415</v>
      </c>
      <c r="H454" s="24" t="s">
        <v>20089</v>
      </c>
      <c r="I454" s="22" t="s">
        <v>19309</v>
      </c>
      <c r="J454" s="22" t="s">
        <v>19573</v>
      </c>
      <c r="K454" s="22" t="s">
        <v>19574</v>
      </c>
      <c r="L454" s="22"/>
      <c r="M454" s="22"/>
      <c r="N454" s="25" t="str">
        <f>HYPERLINK("http://slimages.macys.com/is/image/MCY/1610409 ")</f>
        <v xml:space="preserve">http://slimages.macys.com/is/image/MCY/1610409 </v>
      </c>
    </row>
    <row r="455" spans="1:14" ht="24.75" x14ac:dyDescent="0.25">
      <c r="A455" s="21" t="s">
        <v>10087</v>
      </c>
      <c r="B455" s="22" t="s">
        <v>10088</v>
      </c>
      <c r="C455" s="2">
        <v>1</v>
      </c>
      <c r="D455" s="23">
        <v>5.99</v>
      </c>
      <c r="E455" s="3">
        <v>5.99</v>
      </c>
      <c r="F455" s="2" t="s">
        <v>19020</v>
      </c>
      <c r="G455" s="22" t="s">
        <v>19618</v>
      </c>
      <c r="H455" s="24" t="s">
        <v>19416</v>
      </c>
      <c r="I455" s="22" t="s">
        <v>19309</v>
      </c>
      <c r="J455" s="22" t="s">
        <v>19573</v>
      </c>
      <c r="K455" s="22" t="s">
        <v>19574</v>
      </c>
      <c r="L455" s="22"/>
      <c r="M455" s="22"/>
      <c r="N455" s="25" t="str">
        <f>HYPERLINK("http://slimages.macys.com/is/image/MCY/1554928 ")</f>
        <v xml:space="preserve">http://slimages.macys.com/is/image/MCY/1554928 </v>
      </c>
    </row>
    <row r="456" spans="1:14" ht="24.75" x14ac:dyDescent="0.25">
      <c r="A456" s="21" t="s">
        <v>10089</v>
      </c>
      <c r="B456" s="22" t="s">
        <v>10090</v>
      </c>
      <c r="C456" s="2">
        <v>1</v>
      </c>
      <c r="D456" s="23">
        <v>7.99</v>
      </c>
      <c r="E456" s="3">
        <v>7.99</v>
      </c>
      <c r="F456" s="2" t="s">
        <v>14157</v>
      </c>
      <c r="G456" s="22" t="s">
        <v>19477</v>
      </c>
      <c r="H456" s="24" t="s">
        <v>20135</v>
      </c>
      <c r="I456" s="22" t="s">
        <v>19309</v>
      </c>
      <c r="J456" s="22" t="s">
        <v>19573</v>
      </c>
      <c r="K456" s="22" t="s">
        <v>19574</v>
      </c>
      <c r="L456" s="22"/>
      <c r="M456" s="22"/>
      <c r="N456" s="25" t="str">
        <f>HYPERLINK("http://slimages.macys.com/is/image/MCY/21209257 ")</f>
        <v xml:space="preserve">http://slimages.macys.com/is/image/MCY/21209257 </v>
      </c>
    </row>
    <row r="457" spans="1:14" ht="24.75" x14ac:dyDescent="0.25">
      <c r="A457" s="21" t="s">
        <v>13444</v>
      </c>
      <c r="B457" s="22" t="s">
        <v>13445</v>
      </c>
      <c r="C457" s="2">
        <v>1</v>
      </c>
      <c r="D457" s="23">
        <v>6.99</v>
      </c>
      <c r="E457" s="3">
        <v>6.99</v>
      </c>
      <c r="F457" s="2" t="s">
        <v>13446</v>
      </c>
      <c r="G457" s="22" t="s">
        <v>19513</v>
      </c>
      <c r="H457" s="24" t="s">
        <v>19538</v>
      </c>
      <c r="I457" s="22" t="s">
        <v>19309</v>
      </c>
      <c r="J457" s="22" t="s">
        <v>19573</v>
      </c>
      <c r="K457" s="22" t="s">
        <v>19574</v>
      </c>
      <c r="L457" s="22"/>
      <c r="M457" s="22"/>
      <c r="N457" s="25" t="str">
        <f>HYPERLINK("http://slimages.macys.com/is/image/MCY/13531635 ")</f>
        <v xml:space="preserve">http://slimages.macys.com/is/image/MCY/13531635 </v>
      </c>
    </row>
    <row r="458" spans="1:14" ht="24.75" x14ac:dyDescent="0.25">
      <c r="A458" s="21" t="s">
        <v>10091</v>
      </c>
      <c r="B458" s="22" t="s">
        <v>10092</v>
      </c>
      <c r="C458" s="2">
        <v>1</v>
      </c>
      <c r="D458" s="23">
        <v>7.99</v>
      </c>
      <c r="E458" s="3">
        <v>7.99</v>
      </c>
      <c r="F458" s="2" t="s">
        <v>19029</v>
      </c>
      <c r="G458" s="22" t="s">
        <v>19674</v>
      </c>
      <c r="H458" s="24" t="s">
        <v>20135</v>
      </c>
      <c r="I458" s="22" t="s">
        <v>19309</v>
      </c>
      <c r="J458" s="22" t="s">
        <v>19573</v>
      </c>
      <c r="K458" s="22" t="s">
        <v>19574</v>
      </c>
      <c r="L458" s="22"/>
      <c r="M458" s="22"/>
      <c r="N458" s="25" t="str">
        <f>HYPERLINK("http://slimages.macys.com/is/image/MCY/21905243 ")</f>
        <v xml:space="preserve">http://slimages.macys.com/is/image/MCY/21905243 </v>
      </c>
    </row>
    <row r="459" spans="1:14" ht="24.75" x14ac:dyDescent="0.25">
      <c r="A459" s="21" t="s">
        <v>13447</v>
      </c>
      <c r="B459" s="22" t="s">
        <v>13448</v>
      </c>
      <c r="C459" s="2">
        <v>1</v>
      </c>
      <c r="D459" s="23">
        <v>7.99</v>
      </c>
      <c r="E459" s="3">
        <v>7.99</v>
      </c>
      <c r="F459" s="2" t="s">
        <v>13449</v>
      </c>
      <c r="G459" s="22" t="s">
        <v>19431</v>
      </c>
      <c r="H459" s="24" t="s">
        <v>20089</v>
      </c>
      <c r="I459" s="22" t="s">
        <v>19309</v>
      </c>
      <c r="J459" s="22" t="s">
        <v>19573</v>
      </c>
      <c r="K459" s="22" t="s">
        <v>19574</v>
      </c>
      <c r="L459" s="22"/>
      <c r="M459" s="22"/>
      <c r="N459" s="25" t="str">
        <f>HYPERLINK("http://slimages.macys.com/is/image/MCY/21209169 ")</f>
        <v xml:space="preserve">http://slimages.macys.com/is/image/MCY/21209169 </v>
      </c>
    </row>
    <row r="460" spans="1:14" x14ac:dyDescent="0.25">
      <c r="A460" s="21" t="s">
        <v>17069</v>
      </c>
      <c r="B460" s="22" t="s">
        <v>17070</v>
      </c>
      <c r="C460" s="2">
        <v>2</v>
      </c>
      <c r="D460" s="23">
        <v>6.99</v>
      </c>
      <c r="E460" s="3">
        <v>13.98</v>
      </c>
      <c r="F460" s="2" t="s">
        <v>19035</v>
      </c>
      <c r="G460" s="22" t="s">
        <v>19351</v>
      </c>
      <c r="H460" s="24" t="s">
        <v>19364</v>
      </c>
      <c r="I460" s="22" t="s">
        <v>19309</v>
      </c>
      <c r="J460" s="22" t="s">
        <v>19849</v>
      </c>
      <c r="K460" s="22" t="s">
        <v>19850</v>
      </c>
      <c r="L460" s="22"/>
      <c r="M460" s="22"/>
      <c r="N460" s="25" t="str">
        <f>HYPERLINK("http://slimages.macys.com/is/image/MCY/19068309 ")</f>
        <v xml:space="preserve">http://slimages.macys.com/is/image/MCY/19068309 </v>
      </c>
    </row>
    <row r="461" spans="1:14" ht="24.75" x14ac:dyDescent="0.25">
      <c r="A461" s="21" t="s">
        <v>17074</v>
      </c>
      <c r="B461" s="22" t="s">
        <v>17075</v>
      </c>
      <c r="C461" s="2">
        <v>1</v>
      </c>
      <c r="D461" s="23">
        <v>7.99</v>
      </c>
      <c r="E461" s="3">
        <v>7.99</v>
      </c>
      <c r="F461" s="2">
        <v>10015096500</v>
      </c>
      <c r="G461" s="22" t="s">
        <v>19713</v>
      </c>
      <c r="H461" s="24" t="s">
        <v>19770</v>
      </c>
      <c r="I461" s="22" t="s">
        <v>19309</v>
      </c>
      <c r="J461" s="22" t="s">
        <v>19573</v>
      </c>
      <c r="K461" s="22" t="s">
        <v>19574</v>
      </c>
      <c r="L461" s="22"/>
      <c r="M461" s="22"/>
      <c r="N461" s="25" t="str">
        <f>HYPERLINK("http://slimages.macys.com/is/image/MCY/1439034 ")</f>
        <v xml:space="preserve">http://slimages.macys.com/is/image/MCY/1439034 </v>
      </c>
    </row>
    <row r="462" spans="1:14" ht="24.75" x14ac:dyDescent="0.25">
      <c r="A462" s="21" t="s">
        <v>14728</v>
      </c>
      <c r="B462" s="22" t="s">
        <v>14729</v>
      </c>
      <c r="C462" s="2">
        <v>1</v>
      </c>
      <c r="D462" s="23">
        <v>7.99</v>
      </c>
      <c r="E462" s="3">
        <v>7.99</v>
      </c>
      <c r="F462" s="2">
        <v>10015096500</v>
      </c>
      <c r="G462" s="22" t="s">
        <v>19713</v>
      </c>
      <c r="H462" s="24" t="s">
        <v>19324</v>
      </c>
      <c r="I462" s="22" t="s">
        <v>19309</v>
      </c>
      <c r="J462" s="22" t="s">
        <v>19573</v>
      </c>
      <c r="K462" s="22" t="s">
        <v>19574</v>
      </c>
      <c r="L462" s="22"/>
      <c r="M462" s="22"/>
      <c r="N462" s="25" t="str">
        <f>HYPERLINK("http://slimages.macys.com/is/image/MCY/1439034 ")</f>
        <v xml:space="preserve">http://slimages.macys.com/is/image/MCY/1439034 </v>
      </c>
    </row>
    <row r="463" spans="1:14" ht="24.75" x14ac:dyDescent="0.25">
      <c r="A463" s="21" t="s">
        <v>14732</v>
      </c>
      <c r="B463" s="22" t="s">
        <v>14733</v>
      </c>
      <c r="C463" s="2">
        <v>3</v>
      </c>
      <c r="D463" s="23">
        <v>7.99</v>
      </c>
      <c r="E463" s="3">
        <v>23.97</v>
      </c>
      <c r="F463" s="2">
        <v>10015096500</v>
      </c>
      <c r="G463" s="22" t="s">
        <v>19713</v>
      </c>
      <c r="H463" s="24" t="s">
        <v>19538</v>
      </c>
      <c r="I463" s="22" t="s">
        <v>19309</v>
      </c>
      <c r="J463" s="22" t="s">
        <v>19573</v>
      </c>
      <c r="K463" s="22" t="s">
        <v>19574</v>
      </c>
      <c r="L463" s="22"/>
      <c r="M463" s="22"/>
      <c r="N463" s="25" t="str">
        <f>HYPERLINK("http://slimages.macys.com/is/image/MCY/1439034 ")</f>
        <v xml:space="preserve">http://slimages.macys.com/is/image/MCY/1439034 </v>
      </c>
    </row>
    <row r="464" spans="1:14" ht="24.75" x14ac:dyDescent="0.25">
      <c r="A464" s="21" t="s">
        <v>19041</v>
      </c>
      <c r="B464" s="22" t="s">
        <v>19042</v>
      </c>
      <c r="C464" s="2">
        <v>1</v>
      </c>
      <c r="D464" s="23">
        <v>5.99</v>
      </c>
      <c r="E464" s="3">
        <v>5.99</v>
      </c>
      <c r="F464" s="2" t="s">
        <v>19043</v>
      </c>
      <c r="G464" s="22" t="s">
        <v>19415</v>
      </c>
      <c r="H464" s="24" t="s">
        <v>19538</v>
      </c>
      <c r="I464" s="22" t="s">
        <v>19309</v>
      </c>
      <c r="J464" s="22" t="s">
        <v>19573</v>
      </c>
      <c r="K464" s="22" t="s">
        <v>19574</v>
      </c>
      <c r="L464" s="22"/>
      <c r="M464" s="22"/>
      <c r="N464" s="25" t="str">
        <f>HYPERLINK("http://slimages.macys.com/is/image/MCY/21209612 ")</f>
        <v xml:space="preserve">http://slimages.macys.com/is/image/MCY/21209612 </v>
      </c>
    </row>
    <row r="465" spans="1:14" ht="24.75" x14ac:dyDescent="0.25">
      <c r="A465" s="21" t="s">
        <v>17081</v>
      </c>
      <c r="B465" s="22" t="s">
        <v>17082</v>
      </c>
      <c r="C465" s="2">
        <v>1</v>
      </c>
      <c r="D465" s="23">
        <v>7.99</v>
      </c>
      <c r="E465" s="3">
        <v>7.99</v>
      </c>
      <c r="F465" s="2" t="s">
        <v>19051</v>
      </c>
      <c r="G465" s="22" t="s">
        <v>18821</v>
      </c>
      <c r="H465" s="24" t="s">
        <v>20135</v>
      </c>
      <c r="I465" s="22" t="s">
        <v>19309</v>
      </c>
      <c r="J465" s="22" t="s">
        <v>19573</v>
      </c>
      <c r="K465" s="22" t="s">
        <v>19574</v>
      </c>
      <c r="L465" s="22"/>
      <c r="M465" s="22"/>
      <c r="N465" s="25" t="str">
        <f>HYPERLINK("http://slimages.macys.com/is/image/MCY/21905243 ")</f>
        <v xml:space="preserve">http://slimages.macys.com/is/image/MCY/21905243 </v>
      </c>
    </row>
    <row r="466" spans="1:14" ht="24.75" x14ac:dyDescent="0.25">
      <c r="A466" s="21" t="s">
        <v>10093</v>
      </c>
      <c r="B466" s="22" t="s">
        <v>10094</v>
      </c>
      <c r="C466" s="2">
        <v>1</v>
      </c>
      <c r="D466" s="23">
        <v>7.99</v>
      </c>
      <c r="E466" s="3">
        <v>7.99</v>
      </c>
      <c r="F466" s="2" t="s">
        <v>10095</v>
      </c>
      <c r="G466" s="22" t="s">
        <v>19467</v>
      </c>
      <c r="H466" s="24" t="s">
        <v>20135</v>
      </c>
      <c r="I466" s="22" t="s">
        <v>19309</v>
      </c>
      <c r="J466" s="22" t="s">
        <v>19573</v>
      </c>
      <c r="K466" s="22" t="s">
        <v>19574</v>
      </c>
      <c r="L466" s="22"/>
      <c r="M466" s="22"/>
      <c r="N466" s="25" t="str">
        <f>HYPERLINK("http://slimages.macys.com/is/image/MCY/21209066 ")</f>
        <v xml:space="preserve">http://slimages.macys.com/is/image/MCY/21209066 </v>
      </c>
    </row>
    <row r="467" spans="1:14" ht="24.75" x14ac:dyDescent="0.25">
      <c r="A467" s="21" t="s">
        <v>10096</v>
      </c>
      <c r="B467" s="22" t="s">
        <v>10097</v>
      </c>
      <c r="C467" s="2">
        <v>1</v>
      </c>
      <c r="D467" s="23">
        <v>5.99</v>
      </c>
      <c r="E467" s="3">
        <v>5.99</v>
      </c>
      <c r="F467" s="2" t="s">
        <v>14752</v>
      </c>
      <c r="G467" s="22" t="s">
        <v>19713</v>
      </c>
      <c r="H467" s="24" t="s">
        <v>19324</v>
      </c>
      <c r="I467" s="22" t="s">
        <v>19309</v>
      </c>
      <c r="J467" s="22" t="s">
        <v>19573</v>
      </c>
      <c r="K467" s="22" t="s">
        <v>19574</v>
      </c>
      <c r="L467" s="22"/>
      <c r="M467" s="22"/>
      <c r="N467" s="25" t="str">
        <f>HYPERLINK("http://slimages.macys.com/is/image/MCY/1644588 ")</f>
        <v xml:space="preserve">http://slimages.macys.com/is/image/MCY/1644588 </v>
      </c>
    </row>
    <row r="468" spans="1:14" ht="24.75" x14ac:dyDescent="0.25">
      <c r="A468" s="21" t="s">
        <v>14750</v>
      </c>
      <c r="B468" s="22" t="s">
        <v>14751</v>
      </c>
      <c r="C468" s="2">
        <v>1</v>
      </c>
      <c r="D468" s="23">
        <v>5.99</v>
      </c>
      <c r="E468" s="3">
        <v>5.99</v>
      </c>
      <c r="F468" s="2" t="s">
        <v>14752</v>
      </c>
      <c r="G468" s="22" t="s">
        <v>19713</v>
      </c>
      <c r="H468" s="24" t="s">
        <v>19384</v>
      </c>
      <c r="I468" s="22" t="s">
        <v>19309</v>
      </c>
      <c r="J468" s="22" t="s">
        <v>19573</v>
      </c>
      <c r="K468" s="22" t="s">
        <v>19574</v>
      </c>
      <c r="L468" s="22"/>
      <c r="M468" s="22"/>
      <c r="N468" s="25" t="str">
        <f>HYPERLINK("http://slimages.macys.com/is/image/MCY/21730849 ")</f>
        <v xml:space="preserve">http://slimages.macys.com/is/image/MCY/21730849 </v>
      </c>
    </row>
    <row r="469" spans="1:14" ht="24.75" x14ac:dyDescent="0.25">
      <c r="A469" s="21" t="s">
        <v>10098</v>
      </c>
      <c r="B469" s="22" t="s">
        <v>10099</v>
      </c>
      <c r="C469" s="2">
        <v>1</v>
      </c>
      <c r="D469" s="23">
        <v>7.99</v>
      </c>
      <c r="E469" s="3">
        <v>7.99</v>
      </c>
      <c r="F469" s="2" t="s">
        <v>12584</v>
      </c>
      <c r="G469" s="22" t="s">
        <v>19467</v>
      </c>
      <c r="H469" s="24" t="s">
        <v>19907</v>
      </c>
      <c r="I469" s="22" t="s">
        <v>19309</v>
      </c>
      <c r="J469" s="22" t="s">
        <v>19573</v>
      </c>
      <c r="K469" s="22" t="s">
        <v>19574</v>
      </c>
      <c r="L469" s="22"/>
      <c r="M469" s="22"/>
      <c r="N469" s="25" t="str">
        <f>HYPERLINK("http://slimages.macys.com/is/image/MCY/21209505 ")</f>
        <v xml:space="preserve">http://slimages.macys.com/is/image/MCY/21209505 </v>
      </c>
    </row>
    <row r="470" spans="1:14" ht="24.75" x14ac:dyDescent="0.25">
      <c r="A470" s="21" t="s">
        <v>12582</v>
      </c>
      <c r="B470" s="22" t="s">
        <v>12583</v>
      </c>
      <c r="C470" s="2">
        <v>1</v>
      </c>
      <c r="D470" s="23">
        <v>7.99</v>
      </c>
      <c r="E470" s="3">
        <v>7.99</v>
      </c>
      <c r="F470" s="2" t="s">
        <v>12584</v>
      </c>
      <c r="G470" s="22" t="s">
        <v>19467</v>
      </c>
      <c r="H470" s="24" t="s">
        <v>20135</v>
      </c>
      <c r="I470" s="22" t="s">
        <v>19309</v>
      </c>
      <c r="J470" s="22" t="s">
        <v>19573</v>
      </c>
      <c r="K470" s="22" t="s">
        <v>19574</v>
      </c>
      <c r="L470" s="22"/>
      <c r="M470" s="22"/>
      <c r="N470" s="25" t="str">
        <f>HYPERLINK("http://slimages.macys.com/is/image/MCY/21209505 ")</f>
        <v xml:space="preserve">http://slimages.macys.com/is/image/MCY/21209505 </v>
      </c>
    </row>
    <row r="471" spans="1:14" ht="24.75" x14ac:dyDescent="0.25">
      <c r="A471" s="21" t="s">
        <v>13452</v>
      </c>
      <c r="B471" s="22" t="s">
        <v>13453</v>
      </c>
      <c r="C471" s="2">
        <v>1</v>
      </c>
      <c r="D471" s="23">
        <v>7.99</v>
      </c>
      <c r="E471" s="3">
        <v>7.99</v>
      </c>
      <c r="F471" s="2" t="s">
        <v>17100</v>
      </c>
      <c r="G471" s="22" t="s">
        <v>19351</v>
      </c>
      <c r="H471" s="24" t="s">
        <v>20135</v>
      </c>
      <c r="I471" s="22" t="s">
        <v>19309</v>
      </c>
      <c r="J471" s="22" t="s">
        <v>19815</v>
      </c>
      <c r="K471" s="22" t="s">
        <v>19816</v>
      </c>
      <c r="L471" s="22"/>
      <c r="M471" s="22"/>
      <c r="N471" s="25" t="str">
        <f>HYPERLINK("http://slimages.macys.com/is/image/MCY/21188057 ")</f>
        <v xml:space="preserve">http://slimages.macys.com/is/image/MCY/21188057 </v>
      </c>
    </row>
    <row r="472" spans="1:14" ht="24.75" x14ac:dyDescent="0.25">
      <c r="A472" s="21" t="s">
        <v>17098</v>
      </c>
      <c r="B472" s="22" t="s">
        <v>17099</v>
      </c>
      <c r="C472" s="2">
        <v>1</v>
      </c>
      <c r="D472" s="23">
        <v>7.99</v>
      </c>
      <c r="E472" s="3">
        <v>7.99</v>
      </c>
      <c r="F472" s="2" t="s">
        <v>17100</v>
      </c>
      <c r="G472" s="22" t="s">
        <v>19351</v>
      </c>
      <c r="H472" s="24" t="s">
        <v>19907</v>
      </c>
      <c r="I472" s="22" t="s">
        <v>19309</v>
      </c>
      <c r="J472" s="22" t="s">
        <v>19815</v>
      </c>
      <c r="K472" s="22" t="s">
        <v>19816</v>
      </c>
      <c r="L472" s="22"/>
      <c r="M472" s="22"/>
      <c r="N472" s="25" t="str">
        <f>HYPERLINK("http://slimages.macys.com/is/image/MCY/21188057 ")</f>
        <v xml:space="preserve">http://slimages.macys.com/is/image/MCY/21188057 </v>
      </c>
    </row>
    <row r="473" spans="1:14" ht="24.75" x14ac:dyDescent="0.25">
      <c r="A473" s="21" t="s">
        <v>13456</v>
      </c>
      <c r="B473" s="22" t="s">
        <v>13457</v>
      </c>
      <c r="C473" s="2">
        <v>1</v>
      </c>
      <c r="D473" s="23">
        <v>7.99</v>
      </c>
      <c r="E473" s="3">
        <v>7.99</v>
      </c>
      <c r="F473" s="2" t="s">
        <v>17100</v>
      </c>
      <c r="G473" s="22" t="s">
        <v>19351</v>
      </c>
      <c r="H473" s="24" t="s">
        <v>19542</v>
      </c>
      <c r="I473" s="22" t="s">
        <v>19309</v>
      </c>
      <c r="J473" s="22" t="s">
        <v>19815</v>
      </c>
      <c r="K473" s="22" t="s">
        <v>19816</v>
      </c>
      <c r="L473" s="22"/>
      <c r="M473" s="22"/>
      <c r="N473" s="25" t="str">
        <f>HYPERLINK("http://slimages.macys.com/is/image/MCY/21188057 ")</f>
        <v xml:space="preserve">http://slimages.macys.com/is/image/MCY/21188057 </v>
      </c>
    </row>
    <row r="474" spans="1:14" ht="24.75" x14ac:dyDescent="0.25">
      <c r="A474" s="21" t="s">
        <v>13454</v>
      </c>
      <c r="B474" s="22" t="s">
        <v>13455</v>
      </c>
      <c r="C474" s="2">
        <v>1</v>
      </c>
      <c r="D474" s="23">
        <v>7.99</v>
      </c>
      <c r="E474" s="3">
        <v>7.99</v>
      </c>
      <c r="F474" s="2" t="s">
        <v>17100</v>
      </c>
      <c r="G474" s="22" t="s">
        <v>19351</v>
      </c>
      <c r="H474" s="24" t="s">
        <v>19432</v>
      </c>
      <c r="I474" s="22" t="s">
        <v>19309</v>
      </c>
      <c r="J474" s="22" t="s">
        <v>19815</v>
      </c>
      <c r="K474" s="22" t="s">
        <v>19816</v>
      </c>
      <c r="L474" s="22"/>
      <c r="M474" s="22"/>
      <c r="N474" s="25" t="str">
        <f>HYPERLINK("http://slimages.macys.com/is/image/MCY/21188057 ")</f>
        <v xml:space="preserve">http://slimages.macys.com/is/image/MCY/21188057 </v>
      </c>
    </row>
    <row r="475" spans="1:14" ht="24.75" x14ac:dyDescent="0.25">
      <c r="A475" s="21" t="s">
        <v>10100</v>
      </c>
      <c r="B475" s="22" t="s">
        <v>10101</v>
      </c>
      <c r="C475" s="2">
        <v>1</v>
      </c>
      <c r="D475" s="23">
        <v>7.99</v>
      </c>
      <c r="E475" s="3">
        <v>7.99</v>
      </c>
      <c r="F475" s="2" t="s">
        <v>17100</v>
      </c>
      <c r="G475" s="22" t="s">
        <v>19351</v>
      </c>
      <c r="H475" s="24" t="s">
        <v>19392</v>
      </c>
      <c r="I475" s="22" t="s">
        <v>19309</v>
      </c>
      <c r="J475" s="22" t="s">
        <v>19815</v>
      </c>
      <c r="K475" s="22" t="s">
        <v>19816</v>
      </c>
      <c r="L475" s="22"/>
      <c r="M475" s="22"/>
      <c r="N475" s="25" t="str">
        <f>HYPERLINK("http://slimages.macys.com/is/image/MCY/21188057 ")</f>
        <v xml:space="preserve">http://slimages.macys.com/is/image/MCY/21188057 </v>
      </c>
    </row>
    <row r="476" spans="1:14" ht="24.75" x14ac:dyDescent="0.25">
      <c r="A476" s="21" t="s">
        <v>10102</v>
      </c>
      <c r="B476" s="22" t="s">
        <v>10103</v>
      </c>
      <c r="C476" s="2">
        <v>1</v>
      </c>
      <c r="D476" s="23">
        <v>5.99</v>
      </c>
      <c r="E476" s="3">
        <v>5.99</v>
      </c>
      <c r="F476" s="2" t="s">
        <v>14758</v>
      </c>
      <c r="G476" s="22" t="s">
        <v>19351</v>
      </c>
      <c r="H476" s="24" t="s">
        <v>19324</v>
      </c>
      <c r="I476" s="22" t="s">
        <v>19309</v>
      </c>
      <c r="J476" s="22" t="s">
        <v>19573</v>
      </c>
      <c r="K476" s="22" t="s">
        <v>19574</v>
      </c>
      <c r="L476" s="22"/>
      <c r="M476" s="22"/>
      <c r="N476" s="25" t="str">
        <f>HYPERLINK("http://slimages.macys.com/is/image/MCY/1537013 ")</f>
        <v xml:space="preserve">http://slimages.macys.com/is/image/MCY/1537013 </v>
      </c>
    </row>
    <row r="477" spans="1:14" ht="24.75" x14ac:dyDescent="0.25">
      <c r="A477" s="21" t="s">
        <v>14769</v>
      </c>
      <c r="B477" s="22" t="s">
        <v>14770</v>
      </c>
      <c r="C477" s="2">
        <v>1</v>
      </c>
      <c r="D477" s="23">
        <v>5.99</v>
      </c>
      <c r="E477" s="3">
        <v>5.99</v>
      </c>
      <c r="F477" s="2" t="s">
        <v>14771</v>
      </c>
      <c r="G477" s="22" t="s">
        <v>19431</v>
      </c>
      <c r="H477" s="24" t="s">
        <v>19384</v>
      </c>
      <c r="I477" s="22" t="s">
        <v>19309</v>
      </c>
      <c r="J477" s="22" t="s">
        <v>19573</v>
      </c>
      <c r="K477" s="22" t="s">
        <v>19574</v>
      </c>
      <c r="L477" s="22"/>
      <c r="M477" s="22"/>
      <c r="N477" s="25" t="str">
        <f>HYPERLINK("http://slimages.macys.com/is/image/MCY/21209283 ")</f>
        <v xml:space="preserve">http://slimages.macys.com/is/image/MCY/21209283 </v>
      </c>
    </row>
    <row r="478" spans="1:14" ht="24.75" x14ac:dyDescent="0.25">
      <c r="A478" s="21" t="s">
        <v>17111</v>
      </c>
      <c r="B478" s="22" t="s">
        <v>17112</v>
      </c>
      <c r="C478" s="2">
        <v>1</v>
      </c>
      <c r="D478" s="23">
        <v>5.99</v>
      </c>
      <c r="E478" s="3">
        <v>5.99</v>
      </c>
      <c r="F478" s="2" t="s">
        <v>17113</v>
      </c>
      <c r="G478" s="22" t="s">
        <v>19618</v>
      </c>
      <c r="H478" s="24" t="s">
        <v>19384</v>
      </c>
      <c r="I478" s="22" t="s">
        <v>19309</v>
      </c>
      <c r="J478" s="22" t="s">
        <v>19573</v>
      </c>
      <c r="K478" s="22" t="s">
        <v>19574</v>
      </c>
      <c r="L478" s="22"/>
      <c r="M478" s="22"/>
      <c r="N478" s="25" t="str">
        <f>HYPERLINK("http://slimages.macys.com/is/image/MCY/21209585 ")</f>
        <v xml:space="preserve">http://slimages.macys.com/is/image/MCY/21209585 </v>
      </c>
    </row>
    <row r="479" spans="1:14" ht="24.75" x14ac:dyDescent="0.25">
      <c r="A479" s="21" t="s">
        <v>14763</v>
      </c>
      <c r="B479" s="22" t="s">
        <v>14764</v>
      </c>
      <c r="C479" s="2">
        <v>1</v>
      </c>
      <c r="D479" s="23">
        <v>5.99</v>
      </c>
      <c r="E479" s="3">
        <v>5.99</v>
      </c>
      <c r="F479" s="2" t="s">
        <v>19084</v>
      </c>
      <c r="G479" s="22" t="s">
        <v>19518</v>
      </c>
      <c r="H479" s="24" t="s">
        <v>19538</v>
      </c>
      <c r="I479" s="22" t="s">
        <v>19309</v>
      </c>
      <c r="J479" s="22" t="s">
        <v>19573</v>
      </c>
      <c r="K479" s="22" t="s">
        <v>19574</v>
      </c>
      <c r="L479" s="22"/>
      <c r="M479" s="22"/>
      <c r="N479" s="25" t="str">
        <f>HYPERLINK("http://slimages.macys.com/is/image/MCY/21209585 ")</f>
        <v xml:space="preserve">http://slimages.macys.com/is/image/MCY/21209585 </v>
      </c>
    </row>
    <row r="480" spans="1:14" ht="24.75" x14ac:dyDescent="0.25">
      <c r="A480" s="21" t="s">
        <v>10104</v>
      </c>
      <c r="B480" s="22" t="s">
        <v>10105</v>
      </c>
      <c r="C480" s="2">
        <v>1</v>
      </c>
      <c r="D480" s="23">
        <v>7.99</v>
      </c>
      <c r="E480" s="3">
        <v>7.99</v>
      </c>
      <c r="F480" s="2" t="s">
        <v>14779</v>
      </c>
      <c r="G480" s="22" t="s">
        <v>19351</v>
      </c>
      <c r="H480" s="24" t="s">
        <v>19770</v>
      </c>
      <c r="I480" s="22" t="s">
        <v>19309</v>
      </c>
      <c r="J480" s="22" t="s">
        <v>19573</v>
      </c>
      <c r="K480" s="22" t="s">
        <v>19574</v>
      </c>
      <c r="L480" s="22"/>
      <c r="M480" s="22"/>
      <c r="N480" s="25" t="str">
        <f>HYPERLINK("http://slimages.macys.com/is/image/MCY/1439034 ")</f>
        <v xml:space="preserve">http://slimages.macys.com/is/image/MCY/1439034 </v>
      </c>
    </row>
    <row r="481" spans="1:14" ht="24.75" x14ac:dyDescent="0.25">
      <c r="A481" s="21" t="s">
        <v>10106</v>
      </c>
      <c r="B481" s="22" t="s">
        <v>10107</v>
      </c>
      <c r="C481" s="2">
        <v>3</v>
      </c>
      <c r="D481" s="23">
        <v>7.99</v>
      </c>
      <c r="E481" s="3">
        <v>23.97</v>
      </c>
      <c r="F481" s="2" t="s">
        <v>14779</v>
      </c>
      <c r="G481" s="22" t="s">
        <v>19351</v>
      </c>
      <c r="H481" s="24"/>
      <c r="I481" s="22" t="s">
        <v>19309</v>
      </c>
      <c r="J481" s="22" t="s">
        <v>19573</v>
      </c>
      <c r="K481" s="22" t="s">
        <v>19574</v>
      </c>
      <c r="L481" s="22"/>
      <c r="M481" s="22"/>
      <c r="N481" s="25" t="str">
        <f>HYPERLINK("http://slimages.macys.com/is/image/MCY/1439034 ")</f>
        <v xml:space="preserve">http://slimages.macys.com/is/image/MCY/1439034 </v>
      </c>
    </row>
    <row r="482" spans="1:14" ht="24.75" x14ac:dyDescent="0.25">
      <c r="A482" s="21" t="s">
        <v>10108</v>
      </c>
      <c r="B482" s="22" t="s">
        <v>10109</v>
      </c>
      <c r="C482" s="2">
        <v>1</v>
      </c>
      <c r="D482" s="23">
        <v>7.99</v>
      </c>
      <c r="E482" s="3">
        <v>7.99</v>
      </c>
      <c r="F482" s="2" t="s">
        <v>14779</v>
      </c>
      <c r="G482" s="22" t="s">
        <v>19351</v>
      </c>
      <c r="H482" s="24" t="s">
        <v>19324</v>
      </c>
      <c r="I482" s="22" t="s">
        <v>19309</v>
      </c>
      <c r="J482" s="22" t="s">
        <v>19573</v>
      </c>
      <c r="K482" s="22" t="s">
        <v>19574</v>
      </c>
      <c r="L482" s="22"/>
      <c r="M482" s="22"/>
      <c r="N482" s="25" t="str">
        <f>HYPERLINK("http://slimages.macys.com/is/image/MCY/1439034 ")</f>
        <v xml:space="preserve">http://slimages.macys.com/is/image/MCY/1439034 </v>
      </c>
    </row>
    <row r="483" spans="1:14" ht="24.75" x14ac:dyDescent="0.25">
      <c r="A483" s="21" t="s">
        <v>19107</v>
      </c>
      <c r="B483" s="22" t="s">
        <v>19108</v>
      </c>
      <c r="C483" s="2">
        <v>1</v>
      </c>
      <c r="D483" s="23">
        <v>5.99</v>
      </c>
      <c r="E483" s="3">
        <v>5.99</v>
      </c>
      <c r="F483" s="2" t="s">
        <v>19109</v>
      </c>
      <c r="G483" s="22" t="s">
        <v>19670</v>
      </c>
      <c r="H483" s="24" t="s">
        <v>19384</v>
      </c>
      <c r="I483" s="22" t="s">
        <v>19309</v>
      </c>
      <c r="J483" s="22" t="s">
        <v>19573</v>
      </c>
      <c r="K483" s="22" t="s">
        <v>19574</v>
      </c>
      <c r="L483" s="22"/>
      <c r="M483" s="22"/>
      <c r="N483" s="25" t="str">
        <f>HYPERLINK("http://slimages.macys.com/is/image/MCY/1734374 ")</f>
        <v xml:space="preserve">http://slimages.macys.com/is/image/MCY/1734374 </v>
      </c>
    </row>
    <row r="484" spans="1:14" ht="24.75" x14ac:dyDescent="0.25">
      <c r="A484" s="21" t="s">
        <v>19117</v>
      </c>
      <c r="B484" s="22" t="s">
        <v>19118</v>
      </c>
      <c r="C484" s="2">
        <v>1</v>
      </c>
      <c r="D484" s="23">
        <v>5.99</v>
      </c>
      <c r="E484" s="3">
        <v>5.99</v>
      </c>
      <c r="F484" s="2" t="s">
        <v>19109</v>
      </c>
      <c r="G484" s="22" t="s">
        <v>19670</v>
      </c>
      <c r="H484" s="24" t="s">
        <v>19538</v>
      </c>
      <c r="I484" s="22" t="s">
        <v>19309</v>
      </c>
      <c r="J484" s="22" t="s">
        <v>19573</v>
      </c>
      <c r="K484" s="22" t="s">
        <v>19574</v>
      </c>
      <c r="L484" s="22"/>
      <c r="M484" s="22"/>
      <c r="N484" s="25" t="str">
        <f>HYPERLINK("http://slimages.macys.com/is/image/MCY/21209381 ")</f>
        <v xml:space="preserve">http://slimages.macys.com/is/image/MCY/21209381 </v>
      </c>
    </row>
    <row r="485" spans="1:14" ht="24.75" x14ac:dyDescent="0.25">
      <c r="A485" s="21" t="s">
        <v>19125</v>
      </c>
      <c r="B485" s="22" t="s">
        <v>19126</v>
      </c>
      <c r="C485" s="2">
        <v>1</v>
      </c>
      <c r="D485" s="23">
        <v>5.99</v>
      </c>
      <c r="E485" s="3">
        <v>5.99</v>
      </c>
      <c r="F485" s="2" t="s">
        <v>19109</v>
      </c>
      <c r="G485" s="22" t="s">
        <v>19674</v>
      </c>
      <c r="H485" s="24" t="s">
        <v>19384</v>
      </c>
      <c r="I485" s="22" t="s">
        <v>19309</v>
      </c>
      <c r="J485" s="22" t="s">
        <v>19573</v>
      </c>
      <c r="K485" s="22" t="s">
        <v>19574</v>
      </c>
      <c r="L485" s="22"/>
      <c r="M485" s="22"/>
      <c r="N485" s="25" t="str">
        <f>HYPERLINK("http://slimages.macys.com/is/image/MCY/21209382 ")</f>
        <v xml:space="preserve">http://slimages.macys.com/is/image/MCY/21209382 </v>
      </c>
    </row>
    <row r="486" spans="1:14" ht="24.75" x14ac:dyDescent="0.25">
      <c r="A486" s="21" t="s">
        <v>19110</v>
      </c>
      <c r="B486" s="22" t="s">
        <v>19111</v>
      </c>
      <c r="C486" s="2">
        <v>2</v>
      </c>
      <c r="D486" s="23">
        <v>5.99</v>
      </c>
      <c r="E486" s="3">
        <v>11.98</v>
      </c>
      <c r="F486" s="2" t="s">
        <v>19109</v>
      </c>
      <c r="G486" s="22" t="s">
        <v>19674</v>
      </c>
      <c r="H486" s="24" t="s">
        <v>19538</v>
      </c>
      <c r="I486" s="22" t="s">
        <v>19309</v>
      </c>
      <c r="J486" s="22" t="s">
        <v>19573</v>
      </c>
      <c r="K486" s="22" t="s">
        <v>19574</v>
      </c>
      <c r="L486" s="22"/>
      <c r="M486" s="22"/>
      <c r="N486" s="25" t="str">
        <f>HYPERLINK("http://slimages.macys.com/is/image/MCY/1734374 ")</f>
        <v xml:space="preserve">http://slimages.macys.com/is/image/MCY/1734374 </v>
      </c>
    </row>
    <row r="487" spans="1:14" ht="24.75" x14ac:dyDescent="0.25">
      <c r="A487" s="21" t="s">
        <v>19127</v>
      </c>
      <c r="B487" s="22" t="s">
        <v>19128</v>
      </c>
      <c r="C487" s="2">
        <v>1</v>
      </c>
      <c r="D487" s="23">
        <v>5.99</v>
      </c>
      <c r="E487" s="3">
        <v>5.99</v>
      </c>
      <c r="F487" s="2" t="s">
        <v>19129</v>
      </c>
      <c r="G487" s="22" t="s">
        <v>19467</v>
      </c>
      <c r="H487" s="24" t="s">
        <v>19538</v>
      </c>
      <c r="I487" s="22" t="s">
        <v>19309</v>
      </c>
      <c r="J487" s="22" t="s">
        <v>19573</v>
      </c>
      <c r="K487" s="22" t="s">
        <v>19574</v>
      </c>
      <c r="L487" s="22"/>
      <c r="M487" s="22"/>
      <c r="N487" s="25" t="str">
        <f>HYPERLINK("http://slimages.macys.com/is/image/MCY/1905756 ")</f>
        <v xml:space="preserve">http://slimages.macys.com/is/image/MCY/1905756 </v>
      </c>
    </row>
    <row r="488" spans="1:14" ht="24.75" x14ac:dyDescent="0.25">
      <c r="A488" s="21" t="s">
        <v>10110</v>
      </c>
      <c r="B488" s="22" t="s">
        <v>10111</v>
      </c>
      <c r="C488" s="2">
        <v>1</v>
      </c>
      <c r="D488" s="23">
        <v>5.99</v>
      </c>
      <c r="E488" s="3">
        <v>5.99</v>
      </c>
      <c r="F488" s="2" t="s">
        <v>19129</v>
      </c>
      <c r="G488" s="22" t="s">
        <v>19467</v>
      </c>
      <c r="H488" s="24" t="s">
        <v>19330</v>
      </c>
      <c r="I488" s="22" t="s">
        <v>19309</v>
      </c>
      <c r="J488" s="22" t="s">
        <v>19573</v>
      </c>
      <c r="K488" s="22" t="s">
        <v>19574</v>
      </c>
      <c r="L488" s="22"/>
      <c r="M488" s="22"/>
      <c r="N488" s="25" t="str">
        <f>HYPERLINK("http://slimages.macys.com/is/image/MCY/1905756 ")</f>
        <v xml:space="preserve">http://slimages.macys.com/is/image/MCY/1905756 </v>
      </c>
    </row>
    <row r="489" spans="1:14" ht="24.75" x14ac:dyDescent="0.25">
      <c r="A489" s="21" t="s">
        <v>10112</v>
      </c>
      <c r="B489" s="22" t="s">
        <v>10113</v>
      </c>
      <c r="C489" s="2">
        <v>1</v>
      </c>
      <c r="D489" s="23">
        <v>7.99</v>
      </c>
      <c r="E489" s="3">
        <v>7.99</v>
      </c>
      <c r="F489" s="2" t="s">
        <v>10114</v>
      </c>
      <c r="G489" s="22" t="s">
        <v>19351</v>
      </c>
      <c r="H489" s="24" t="s">
        <v>20089</v>
      </c>
      <c r="I489" s="22" t="s">
        <v>19309</v>
      </c>
      <c r="J489" s="22" t="s">
        <v>19573</v>
      </c>
      <c r="K489" s="22" t="s">
        <v>19574</v>
      </c>
      <c r="L489" s="22"/>
      <c r="M489" s="22"/>
      <c r="N489" s="25" t="str">
        <f>HYPERLINK("http://slimages.macys.com/is/image/MCY/21970228 ")</f>
        <v xml:space="preserve">http://slimages.macys.com/is/image/MCY/21970228 </v>
      </c>
    </row>
    <row r="490" spans="1:14" ht="24.75" x14ac:dyDescent="0.25">
      <c r="A490" s="21" t="s">
        <v>14793</v>
      </c>
      <c r="B490" s="22" t="s">
        <v>14794</v>
      </c>
      <c r="C490" s="2">
        <v>1</v>
      </c>
      <c r="D490" s="23">
        <v>5.99</v>
      </c>
      <c r="E490" s="3">
        <v>5.99</v>
      </c>
      <c r="F490" s="2" t="s">
        <v>19129</v>
      </c>
      <c r="G490" s="22" t="s">
        <v>19467</v>
      </c>
      <c r="H490" s="24" t="s">
        <v>19324</v>
      </c>
      <c r="I490" s="22" t="s">
        <v>19309</v>
      </c>
      <c r="J490" s="22" t="s">
        <v>19573</v>
      </c>
      <c r="K490" s="22" t="s">
        <v>19574</v>
      </c>
      <c r="L490" s="22"/>
      <c r="M490" s="22"/>
      <c r="N490" s="25" t="str">
        <f>HYPERLINK("http://slimages.macys.com/is/image/MCY/1905756 ")</f>
        <v xml:space="preserve">http://slimages.macys.com/is/image/MCY/1905756 </v>
      </c>
    </row>
    <row r="491" spans="1:14" ht="24.75" x14ac:dyDescent="0.25">
      <c r="A491" s="21" t="s">
        <v>17151</v>
      </c>
      <c r="B491" s="22" t="s">
        <v>17152</v>
      </c>
      <c r="C491" s="2">
        <v>1</v>
      </c>
      <c r="D491" s="23">
        <v>5.99</v>
      </c>
      <c r="E491" s="3">
        <v>5.99</v>
      </c>
      <c r="F491" s="2" t="s">
        <v>17147</v>
      </c>
      <c r="G491" s="22" t="s">
        <v>19431</v>
      </c>
      <c r="H491" s="24" t="s">
        <v>19384</v>
      </c>
      <c r="I491" s="22" t="s">
        <v>19309</v>
      </c>
      <c r="J491" s="22" t="s">
        <v>19573</v>
      </c>
      <c r="K491" s="22" t="s">
        <v>19574</v>
      </c>
      <c r="L491" s="22"/>
      <c r="M491" s="22"/>
      <c r="N491" s="25" t="str">
        <f>HYPERLINK("http://slimages.macys.com/is/image/MCY/21209149 ")</f>
        <v xml:space="preserve">http://slimages.macys.com/is/image/MCY/21209149 </v>
      </c>
    </row>
    <row r="492" spans="1:14" ht="24.75" x14ac:dyDescent="0.25">
      <c r="A492" s="21" t="s">
        <v>14824</v>
      </c>
      <c r="B492" s="22" t="s">
        <v>14825</v>
      </c>
      <c r="C492" s="2">
        <v>1</v>
      </c>
      <c r="D492" s="23">
        <v>7.99</v>
      </c>
      <c r="E492" s="3">
        <v>7.99</v>
      </c>
      <c r="F492" s="2" t="s">
        <v>14826</v>
      </c>
      <c r="G492" s="22" t="s">
        <v>19415</v>
      </c>
      <c r="H492" s="24" t="s">
        <v>19384</v>
      </c>
      <c r="I492" s="22" t="s">
        <v>19309</v>
      </c>
      <c r="J492" s="22" t="s">
        <v>19573</v>
      </c>
      <c r="K492" s="22" t="s">
        <v>19574</v>
      </c>
      <c r="L492" s="22"/>
      <c r="M492" s="22"/>
      <c r="N492" s="25" t="str">
        <f>HYPERLINK("http://slimages.macys.com/is/image/MCY/21209212 ")</f>
        <v xml:space="preserve">http://slimages.macys.com/is/image/MCY/21209212 </v>
      </c>
    </row>
    <row r="493" spans="1:14" ht="24.75" x14ac:dyDescent="0.25">
      <c r="A493" s="21" t="s">
        <v>10115</v>
      </c>
      <c r="B493" s="22" t="s">
        <v>10116</v>
      </c>
      <c r="C493" s="2">
        <v>1</v>
      </c>
      <c r="D493" s="23">
        <v>7.99</v>
      </c>
      <c r="E493" s="3">
        <v>7.99</v>
      </c>
      <c r="F493" s="2" t="s">
        <v>14826</v>
      </c>
      <c r="G493" s="22" t="s">
        <v>19415</v>
      </c>
      <c r="H493" s="24"/>
      <c r="I493" s="22" t="s">
        <v>19309</v>
      </c>
      <c r="J493" s="22" t="s">
        <v>19573</v>
      </c>
      <c r="K493" s="22" t="s">
        <v>19574</v>
      </c>
      <c r="L493" s="22"/>
      <c r="M493" s="22"/>
      <c r="N493" s="25" t="str">
        <f>HYPERLINK("http://slimages.macys.com/is/image/MCY/21209212 ")</f>
        <v xml:space="preserve">http://slimages.macys.com/is/image/MCY/21209212 </v>
      </c>
    </row>
    <row r="494" spans="1:14" ht="24.75" x14ac:dyDescent="0.25">
      <c r="A494" s="21" t="s">
        <v>10117</v>
      </c>
      <c r="B494" s="22" t="s">
        <v>10118</v>
      </c>
      <c r="C494" s="2">
        <v>4</v>
      </c>
      <c r="D494" s="23">
        <v>6.99</v>
      </c>
      <c r="E494" s="3">
        <v>27.96</v>
      </c>
      <c r="F494" s="2" t="s">
        <v>17158</v>
      </c>
      <c r="G494" s="22" t="s">
        <v>19431</v>
      </c>
      <c r="H494" s="24" t="s">
        <v>19538</v>
      </c>
      <c r="I494" s="22" t="s">
        <v>19309</v>
      </c>
      <c r="J494" s="22" t="s">
        <v>19573</v>
      </c>
      <c r="K494" s="22" t="s">
        <v>19574</v>
      </c>
      <c r="L494" s="22"/>
      <c r="M494" s="22"/>
      <c r="N494" s="25" t="str">
        <f>HYPERLINK("http://slimages.macys.com/is/image/MCY/19746542 ")</f>
        <v xml:space="preserve">http://slimages.macys.com/is/image/MCY/19746542 </v>
      </c>
    </row>
    <row r="495" spans="1:14" ht="24.75" x14ac:dyDescent="0.25">
      <c r="A495" s="21" t="s">
        <v>17156</v>
      </c>
      <c r="B495" s="22" t="s">
        <v>17157</v>
      </c>
      <c r="C495" s="2">
        <v>4</v>
      </c>
      <c r="D495" s="23">
        <v>6.99</v>
      </c>
      <c r="E495" s="3">
        <v>27.96</v>
      </c>
      <c r="F495" s="2" t="s">
        <v>17158</v>
      </c>
      <c r="G495" s="22" t="s">
        <v>19431</v>
      </c>
      <c r="H495" s="24" t="s">
        <v>19384</v>
      </c>
      <c r="I495" s="22" t="s">
        <v>19309</v>
      </c>
      <c r="J495" s="22" t="s">
        <v>19573</v>
      </c>
      <c r="K495" s="22" t="s">
        <v>19574</v>
      </c>
      <c r="L495" s="22"/>
      <c r="M495" s="22"/>
      <c r="N495" s="25" t="str">
        <f>HYPERLINK("http://slimages.macys.com/is/image/MCY/19746542 ")</f>
        <v xml:space="preserve">http://slimages.macys.com/is/image/MCY/19746542 </v>
      </c>
    </row>
    <row r="496" spans="1:14" ht="24.75" x14ac:dyDescent="0.25">
      <c r="A496" s="21" t="s">
        <v>13474</v>
      </c>
      <c r="B496" s="22" t="s">
        <v>13475</v>
      </c>
      <c r="C496" s="2">
        <v>1</v>
      </c>
      <c r="D496" s="23">
        <v>6.99</v>
      </c>
      <c r="E496" s="3">
        <v>6.99</v>
      </c>
      <c r="F496" s="2" t="s">
        <v>17158</v>
      </c>
      <c r="G496" s="22" t="s">
        <v>19431</v>
      </c>
      <c r="H496" s="24" t="s">
        <v>19330</v>
      </c>
      <c r="I496" s="22" t="s">
        <v>19309</v>
      </c>
      <c r="J496" s="22" t="s">
        <v>19573</v>
      </c>
      <c r="K496" s="22" t="s">
        <v>19574</v>
      </c>
      <c r="L496" s="22"/>
      <c r="M496" s="22"/>
      <c r="N496" s="25" t="str">
        <f>HYPERLINK("http://slimages.macys.com/is/image/MCY/19746542 ")</f>
        <v xml:space="preserve">http://slimages.macys.com/is/image/MCY/19746542 </v>
      </c>
    </row>
    <row r="497" spans="1:14" ht="24.75" x14ac:dyDescent="0.25">
      <c r="A497" s="21" t="s">
        <v>13472</v>
      </c>
      <c r="B497" s="22" t="s">
        <v>13473</v>
      </c>
      <c r="C497" s="2">
        <v>2</v>
      </c>
      <c r="D497" s="23">
        <v>6.99</v>
      </c>
      <c r="E497" s="3">
        <v>13.98</v>
      </c>
      <c r="F497" s="2" t="s">
        <v>17158</v>
      </c>
      <c r="G497" s="22" t="s">
        <v>19431</v>
      </c>
      <c r="H497" s="24" t="s">
        <v>19324</v>
      </c>
      <c r="I497" s="22" t="s">
        <v>19309</v>
      </c>
      <c r="J497" s="22" t="s">
        <v>19573</v>
      </c>
      <c r="K497" s="22" t="s">
        <v>19574</v>
      </c>
      <c r="L497" s="22"/>
      <c r="M497" s="22"/>
      <c r="N497" s="25" t="str">
        <f>HYPERLINK("http://slimages.macys.com/is/image/MCY/19746542 ")</f>
        <v xml:space="preserve">http://slimages.macys.com/is/image/MCY/19746542 </v>
      </c>
    </row>
    <row r="498" spans="1:14" ht="24.75" x14ac:dyDescent="0.25">
      <c r="A498" s="21" t="s">
        <v>14833</v>
      </c>
      <c r="B498" s="22" t="s">
        <v>14834</v>
      </c>
      <c r="C498" s="2">
        <v>1</v>
      </c>
      <c r="D498" s="23">
        <v>5.99</v>
      </c>
      <c r="E498" s="3">
        <v>5.99</v>
      </c>
      <c r="F498" s="2" t="s">
        <v>19145</v>
      </c>
      <c r="G498" s="22" t="s">
        <v>19618</v>
      </c>
      <c r="H498" s="24" t="s">
        <v>19324</v>
      </c>
      <c r="I498" s="22" t="s">
        <v>19309</v>
      </c>
      <c r="J498" s="22" t="s">
        <v>19573</v>
      </c>
      <c r="K498" s="22" t="s">
        <v>19574</v>
      </c>
      <c r="L498" s="22"/>
      <c r="M498" s="22"/>
      <c r="N498" s="25" t="str">
        <f>HYPERLINK("http://slimages.macys.com/is/image/MCY/21970089 ")</f>
        <v xml:space="preserve">http://slimages.macys.com/is/image/MCY/21970089 </v>
      </c>
    </row>
    <row r="499" spans="1:14" ht="24.75" x14ac:dyDescent="0.25">
      <c r="A499" s="21" t="s">
        <v>17169</v>
      </c>
      <c r="B499" s="22" t="s">
        <v>17170</v>
      </c>
      <c r="C499" s="2">
        <v>1</v>
      </c>
      <c r="D499" s="23">
        <v>7.99</v>
      </c>
      <c r="E499" s="3">
        <v>7.99</v>
      </c>
      <c r="F499" s="2" t="s">
        <v>17171</v>
      </c>
      <c r="G499" s="22" t="s">
        <v>19670</v>
      </c>
      <c r="H499" s="24" t="s">
        <v>20089</v>
      </c>
      <c r="I499" s="22" t="s">
        <v>19309</v>
      </c>
      <c r="J499" s="22" t="s">
        <v>19573</v>
      </c>
      <c r="K499" s="22" t="s">
        <v>19574</v>
      </c>
      <c r="L499" s="22"/>
      <c r="M499" s="22"/>
      <c r="N499" s="25" t="str">
        <f>HYPERLINK("http://slimages.macys.com/is/image/MCY/21209595 ")</f>
        <v xml:space="preserve">http://slimages.macys.com/is/image/MCY/21209595 </v>
      </c>
    </row>
    <row r="500" spans="1:14" ht="24.75" x14ac:dyDescent="0.25">
      <c r="A500" s="21" t="s">
        <v>10119</v>
      </c>
      <c r="B500" s="22" t="s">
        <v>10120</v>
      </c>
      <c r="C500" s="2">
        <v>1</v>
      </c>
      <c r="D500" s="23">
        <v>7.99</v>
      </c>
      <c r="E500" s="3">
        <v>7.99</v>
      </c>
      <c r="F500" s="2" t="s">
        <v>10121</v>
      </c>
      <c r="G500" s="22" t="s">
        <v>19351</v>
      </c>
      <c r="H500" s="24"/>
      <c r="I500" s="22" t="s">
        <v>19309</v>
      </c>
      <c r="J500" s="22" t="s">
        <v>19573</v>
      </c>
      <c r="K500" s="22" t="s">
        <v>19574</v>
      </c>
      <c r="L500" s="22"/>
      <c r="M500" s="22"/>
      <c r="N500" s="25" t="str">
        <f>HYPERLINK("http://slimages.macys.com/is/image/MCY/1439034 ")</f>
        <v xml:space="preserve">http://slimages.macys.com/is/image/MCY/1439034 </v>
      </c>
    </row>
    <row r="501" spans="1:14" ht="24.75" x14ac:dyDescent="0.25">
      <c r="A501" s="21" t="s">
        <v>10122</v>
      </c>
      <c r="B501" s="22" t="s">
        <v>10123</v>
      </c>
      <c r="C501" s="2">
        <v>1</v>
      </c>
      <c r="D501" s="23">
        <v>5.99</v>
      </c>
      <c r="E501" s="3">
        <v>5.99</v>
      </c>
      <c r="F501" s="2" t="s">
        <v>10124</v>
      </c>
      <c r="G501" s="22" t="s">
        <v>19674</v>
      </c>
      <c r="H501" s="24" t="s">
        <v>19330</v>
      </c>
      <c r="I501" s="22" t="s">
        <v>19309</v>
      </c>
      <c r="J501" s="22" t="s">
        <v>19573</v>
      </c>
      <c r="K501" s="22" t="s">
        <v>19574</v>
      </c>
      <c r="L501" s="22"/>
      <c r="M501" s="22"/>
      <c r="N501" s="25" t="str">
        <f>HYPERLINK("http://slimages.macys.com/is/image/MCY/19977823 ")</f>
        <v xml:space="preserve">http://slimages.macys.com/is/image/MCY/19977823 </v>
      </c>
    </row>
    <row r="502" spans="1:14" ht="24.75" x14ac:dyDescent="0.25">
      <c r="A502" s="21" t="s">
        <v>13481</v>
      </c>
      <c r="B502" s="22" t="s">
        <v>13482</v>
      </c>
      <c r="C502" s="2">
        <v>1</v>
      </c>
      <c r="D502" s="23">
        <v>7.99</v>
      </c>
      <c r="E502" s="3">
        <v>7.99</v>
      </c>
      <c r="F502" s="2" t="s">
        <v>13483</v>
      </c>
      <c r="G502" s="22" t="s">
        <v>19415</v>
      </c>
      <c r="H502" s="24" t="s">
        <v>20089</v>
      </c>
      <c r="I502" s="22" t="s">
        <v>19309</v>
      </c>
      <c r="J502" s="22" t="s">
        <v>19573</v>
      </c>
      <c r="K502" s="22" t="s">
        <v>19574</v>
      </c>
      <c r="L502" s="22"/>
      <c r="M502" s="22"/>
      <c r="N502" s="25" t="str">
        <f>HYPERLINK("http://slimages.macys.com/is/image/MCY/22078179 ")</f>
        <v xml:space="preserve">http://slimages.macys.com/is/image/MCY/22078179 </v>
      </c>
    </row>
    <row r="503" spans="1:14" ht="24.75" x14ac:dyDescent="0.25">
      <c r="A503" s="21" t="s">
        <v>12633</v>
      </c>
      <c r="B503" s="22" t="s">
        <v>12634</v>
      </c>
      <c r="C503" s="2">
        <v>7</v>
      </c>
      <c r="D503" s="23">
        <v>7.99</v>
      </c>
      <c r="E503" s="3">
        <v>55.93</v>
      </c>
      <c r="F503" s="2" t="s">
        <v>13483</v>
      </c>
      <c r="G503" s="22" t="s">
        <v>19415</v>
      </c>
      <c r="H503" s="24" t="s">
        <v>19907</v>
      </c>
      <c r="I503" s="22" t="s">
        <v>19309</v>
      </c>
      <c r="J503" s="22" t="s">
        <v>19573</v>
      </c>
      <c r="K503" s="22" t="s">
        <v>19574</v>
      </c>
      <c r="L503" s="22"/>
      <c r="M503" s="22"/>
      <c r="N503" s="25" t="str">
        <f>HYPERLINK("http://slimages.macys.com/is/image/MCY/22078179 ")</f>
        <v xml:space="preserve">http://slimages.macys.com/is/image/MCY/22078179 </v>
      </c>
    </row>
    <row r="504" spans="1:14" ht="24.75" x14ac:dyDescent="0.25">
      <c r="A504" s="21" t="s">
        <v>19165</v>
      </c>
      <c r="B504" s="22" t="s">
        <v>19166</v>
      </c>
      <c r="C504" s="2">
        <v>1</v>
      </c>
      <c r="D504" s="23">
        <v>5.99</v>
      </c>
      <c r="E504" s="3">
        <v>5.99</v>
      </c>
      <c r="F504" s="2" t="s">
        <v>19167</v>
      </c>
      <c r="G504" s="22" t="s">
        <v>19618</v>
      </c>
      <c r="H504" s="24" t="s">
        <v>19538</v>
      </c>
      <c r="I504" s="22" t="s">
        <v>19309</v>
      </c>
      <c r="J504" s="22" t="s">
        <v>19573</v>
      </c>
      <c r="K504" s="22" t="s">
        <v>19574</v>
      </c>
      <c r="L504" s="22"/>
      <c r="M504" s="22"/>
      <c r="N504" s="25" t="str">
        <f>HYPERLINK("http://slimages.macys.com/is/image/MCY/20736377 ")</f>
        <v xml:space="preserve">http://slimages.macys.com/is/image/MCY/20736377 </v>
      </c>
    </row>
    <row r="505" spans="1:14" ht="24.75" x14ac:dyDescent="0.25">
      <c r="A505" s="21" t="s">
        <v>10125</v>
      </c>
      <c r="B505" s="22" t="s">
        <v>10126</v>
      </c>
      <c r="C505" s="2">
        <v>1</v>
      </c>
      <c r="D505" s="23">
        <v>7.99</v>
      </c>
      <c r="E505" s="3">
        <v>7.99</v>
      </c>
      <c r="F505" s="2" t="s">
        <v>19189</v>
      </c>
      <c r="G505" s="22" t="s">
        <v>19351</v>
      </c>
      <c r="H505" s="24" t="s">
        <v>19384</v>
      </c>
      <c r="I505" s="22" t="s">
        <v>19309</v>
      </c>
      <c r="J505" s="22" t="s">
        <v>19573</v>
      </c>
      <c r="K505" s="22" t="s">
        <v>19574</v>
      </c>
      <c r="L505" s="22"/>
      <c r="M505" s="22"/>
      <c r="N505" s="25" t="str">
        <f>HYPERLINK("http://slimages.macys.com/is/image/MCY/1439035 ")</f>
        <v xml:space="preserve">http://slimages.macys.com/is/image/MCY/1439035 </v>
      </c>
    </row>
    <row r="506" spans="1:14" ht="24.75" x14ac:dyDescent="0.25">
      <c r="A506" s="21" t="s">
        <v>14869</v>
      </c>
      <c r="B506" s="22" t="s">
        <v>14870</v>
      </c>
      <c r="C506" s="2">
        <v>1</v>
      </c>
      <c r="D506" s="23">
        <v>7.99</v>
      </c>
      <c r="E506" s="3">
        <v>7.99</v>
      </c>
      <c r="F506" s="2">
        <v>10015096400</v>
      </c>
      <c r="G506" s="22" t="s">
        <v>19906</v>
      </c>
      <c r="H506" s="24" t="s">
        <v>19538</v>
      </c>
      <c r="I506" s="22" t="s">
        <v>19309</v>
      </c>
      <c r="J506" s="22" t="s">
        <v>19573</v>
      </c>
      <c r="K506" s="22" t="s">
        <v>19574</v>
      </c>
      <c r="L506" s="22"/>
      <c r="M506" s="22"/>
      <c r="N506" s="25" t="str">
        <f>HYPERLINK("http://slimages.macys.com/is/image/MCY/1439034 ")</f>
        <v xml:space="preserve">http://slimages.macys.com/is/image/MCY/1439034 </v>
      </c>
    </row>
    <row r="507" spans="1:14" ht="24.75" x14ac:dyDescent="0.25">
      <c r="A507" s="21" t="s">
        <v>19187</v>
      </c>
      <c r="B507" s="22" t="s">
        <v>19188</v>
      </c>
      <c r="C507" s="2">
        <v>2</v>
      </c>
      <c r="D507" s="23">
        <v>7.99</v>
      </c>
      <c r="E507" s="3">
        <v>15.98</v>
      </c>
      <c r="F507" s="2" t="s">
        <v>19189</v>
      </c>
      <c r="G507" s="22" t="s">
        <v>19351</v>
      </c>
      <c r="H507" s="24" t="s">
        <v>19538</v>
      </c>
      <c r="I507" s="22" t="s">
        <v>19309</v>
      </c>
      <c r="J507" s="22" t="s">
        <v>19573</v>
      </c>
      <c r="K507" s="22" t="s">
        <v>19574</v>
      </c>
      <c r="L507" s="22"/>
      <c r="M507" s="22"/>
      <c r="N507" s="25" t="str">
        <f>HYPERLINK("http://slimages.macys.com/is/image/MCY/21209224 ")</f>
        <v xml:space="preserve">http://slimages.macys.com/is/image/MCY/21209224 </v>
      </c>
    </row>
    <row r="508" spans="1:14" ht="24.75" x14ac:dyDescent="0.25">
      <c r="A508" s="21" t="s">
        <v>19183</v>
      </c>
      <c r="B508" s="22" t="s">
        <v>19184</v>
      </c>
      <c r="C508" s="2">
        <v>1</v>
      </c>
      <c r="D508" s="23">
        <v>5.99</v>
      </c>
      <c r="E508" s="3">
        <v>5.99</v>
      </c>
      <c r="F508" s="2" t="s">
        <v>19180</v>
      </c>
      <c r="G508" s="22" t="s">
        <v>19477</v>
      </c>
      <c r="H508" s="24" t="s">
        <v>19324</v>
      </c>
      <c r="I508" s="22" t="s">
        <v>19309</v>
      </c>
      <c r="J508" s="22" t="s">
        <v>19573</v>
      </c>
      <c r="K508" s="22" t="s">
        <v>19574</v>
      </c>
      <c r="L508" s="22"/>
      <c r="M508" s="22"/>
      <c r="N508" s="25" t="str">
        <f>HYPERLINK("http://slimages.macys.com/is/image/MCY/1521974 ")</f>
        <v xml:space="preserve">http://slimages.macys.com/is/image/MCY/1521974 </v>
      </c>
    </row>
    <row r="509" spans="1:14" ht="24.75" x14ac:dyDescent="0.25">
      <c r="A509" s="21" t="s">
        <v>10127</v>
      </c>
      <c r="B509" s="22" t="s">
        <v>10128</v>
      </c>
      <c r="C509" s="2">
        <v>1</v>
      </c>
      <c r="D509" s="23">
        <v>6.99</v>
      </c>
      <c r="E509" s="3">
        <v>6.99</v>
      </c>
      <c r="F509" s="2" t="s">
        <v>17155</v>
      </c>
      <c r="G509" s="22" t="s">
        <v>19618</v>
      </c>
      <c r="H509" s="24" t="s">
        <v>19384</v>
      </c>
      <c r="I509" s="22" t="s">
        <v>19309</v>
      </c>
      <c r="J509" s="22" t="s">
        <v>19573</v>
      </c>
      <c r="K509" s="22" t="s">
        <v>19574</v>
      </c>
      <c r="L509" s="22"/>
      <c r="M509" s="22"/>
      <c r="N509" s="25" t="str">
        <f>HYPERLINK("http://slimages.macys.com/is/image/MCY/19762874 ")</f>
        <v xml:space="preserve">http://slimages.macys.com/is/image/MCY/19762874 </v>
      </c>
    </row>
    <row r="510" spans="1:14" ht="24.75" x14ac:dyDescent="0.25">
      <c r="A510" s="21" t="s">
        <v>10129</v>
      </c>
      <c r="B510" s="22" t="s">
        <v>10130</v>
      </c>
      <c r="C510" s="2">
        <v>1</v>
      </c>
      <c r="D510" s="23">
        <v>7.99</v>
      </c>
      <c r="E510" s="3">
        <v>7.99</v>
      </c>
      <c r="F510" s="2" t="s">
        <v>19189</v>
      </c>
      <c r="G510" s="22" t="s">
        <v>19351</v>
      </c>
      <c r="H510" s="24" t="s">
        <v>19770</v>
      </c>
      <c r="I510" s="22" t="s">
        <v>19309</v>
      </c>
      <c r="J510" s="22" t="s">
        <v>19573</v>
      </c>
      <c r="K510" s="22" t="s">
        <v>19574</v>
      </c>
      <c r="L510" s="22"/>
      <c r="M510" s="22"/>
      <c r="N510" s="25" t="str">
        <f>HYPERLINK("http://slimages.macys.com/is/image/MCY/1450776 ")</f>
        <v xml:space="preserve">http://slimages.macys.com/is/image/MCY/1450776 </v>
      </c>
    </row>
    <row r="511" spans="1:14" ht="24.75" x14ac:dyDescent="0.25">
      <c r="A511" s="21" t="s">
        <v>10131</v>
      </c>
      <c r="B511" s="22" t="s">
        <v>10132</v>
      </c>
      <c r="C511" s="2">
        <v>2</v>
      </c>
      <c r="D511" s="23">
        <v>7.99</v>
      </c>
      <c r="E511" s="3">
        <v>15.98</v>
      </c>
      <c r="F511" s="2" t="s">
        <v>19189</v>
      </c>
      <c r="G511" s="22" t="s">
        <v>19351</v>
      </c>
      <c r="H511" s="24"/>
      <c r="I511" s="22" t="s">
        <v>19309</v>
      </c>
      <c r="J511" s="22" t="s">
        <v>19573</v>
      </c>
      <c r="K511" s="22" t="s">
        <v>19574</v>
      </c>
      <c r="L511" s="22"/>
      <c r="M511" s="22"/>
      <c r="N511" s="25" t="str">
        <f>HYPERLINK("http://slimages.macys.com/is/image/MCY/1439035 ")</f>
        <v xml:space="preserve">http://slimages.macys.com/is/image/MCY/1439035 </v>
      </c>
    </row>
    <row r="512" spans="1:14" ht="24.75" x14ac:dyDescent="0.25">
      <c r="A512" s="21" t="s">
        <v>10133</v>
      </c>
      <c r="B512" s="22" t="s">
        <v>10134</v>
      </c>
      <c r="C512" s="2">
        <v>1</v>
      </c>
      <c r="D512" s="23">
        <v>7.99</v>
      </c>
      <c r="E512" s="3">
        <v>7.99</v>
      </c>
      <c r="F512" s="2" t="s">
        <v>12647</v>
      </c>
      <c r="G512" s="22" t="s">
        <v>19415</v>
      </c>
      <c r="H512" s="24" t="s">
        <v>20135</v>
      </c>
      <c r="I512" s="22" t="s">
        <v>19309</v>
      </c>
      <c r="J512" s="22" t="s">
        <v>19573</v>
      </c>
      <c r="K512" s="22" t="s">
        <v>19574</v>
      </c>
      <c r="L512" s="22"/>
      <c r="M512" s="22"/>
      <c r="N512" s="25" t="str">
        <f>HYPERLINK("http://slimages.macys.com/is/image/MCY/21209295 ")</f>
        <v xml:space="preserve">http://slimages.macys.com/is/image/MCY/21209295 </v>
      </c>
    </row>
    <row r="513" spans="1:14" ht="24.75" x14ac:dyDescent="0.25">
      <c r="A513" s="21" t="s">
        <v>14873</v>
      </c>
      <c r="B513" s="22" t="s">
        <v>14874</v>
      </c>
      <c r="C513" s="2">
        <v>1</v>
      </c>
      <c r="D513" s="23">
        <v>5.99</v>
      </c>
      <c r="E513" s="3">
        <v>5.99</v>
      </c>
      <c r="F513" s="2" t="s">
        <v>19195</v>
      </c>
      <c r="G513" s="22" t="s">
        <v>19351</v>
      </c>
      <c r="H513" s="24" t="s">
        <v>19538</v>
      </c>
      <c r="I513" s="22" t="s">
        <v>19309</v>
      </c>
      <c r="J513" s="22" t="s">
        <v>19573</v>
      </c>
      <c r="K513" s="22" t="s">
        <v>19574</v>
      </c>
      <c r="L513" s="22"/>
      <c r="M513" s="22"/>
      <c r="N513" s="25" t="str">
        <f>HYPERLINK("http://slimages.macys.com/is/image/MCY/21905250 ")</f>
        <v xml:space="preserve">http://slimages.macys.com/is/image/MCY/21905250 </v>
      </c>
    </row>
    <row r="514" spans="1:14" ht="24.75" x14ac:dyDescent="0.25">
      <c r="A514" s="21" t="s">
        <v>10135</v>
      </c>
      <c r="B514" s="22" t="s">
        <v>10136</v>
      </c>
      <c r="C514" s="2">
        <v>2</v>
      </c>
      <c r="D514" s="23">
        <v>7.99</v>
      </c>
      <c r="E514" s="3">
        <v>15.98</v>
      </c>
      <c r="F514" s="2" t="s">
        <v>10137</v>
      </c>
      <c r="G514" s="22" t="s">
        <v>19713</v>
      </c>
      <c r="H514" s="24"/>
      <c r="I514" s="22" t="s">
        <v>19309</v>
      </c>
      <c r="J514" s="22" t="s">
        <v>19573</v>
      </c>
      <c r="K514" s="22" t="s">
        <v>19574</v>
      </c>
      <c r="L514" s="22"/>
      <c r="M514" s="22"/>
      <c r="N514" s="25" t="str">
        <f>HYPERLINK("http://slimages.macys.com/is/image/MCY/21209389 ")</f>
        <v xml:space="preserve">http://slimages.macys.com/is/image/MCY/21209389 </v>
      </c>
    </row>
    <row r="515" spans="1:14" ht="24.75" x14ac:dyDescent="0.25">
      <c r="A515" s="21" t="s">
        <v>19205</v>
      </c>
      <c r="B515" s="22" t="s">
        <v>19206</v>
      </c>
      <c r="C515" s="2">
        <v>2</v>
      </c>
      <c r="D515" s="23">
        <v>5.99</v>
      </c>
      <c r="E515" s="3">
        <v>11.98</v>
      </c>
      <c r="F515" s="2" t="s">
        <v>19204</v>
      </c>
      <c r="G515" s="22" t="s">
        <v>19431</v>
      </c>
      <c r="H515" s="24" t="s">
        <v>19538</v>
      </c>
      <c r="I515" s="22" t="s">
        <v>19309</v>
      </c>
      <c r="J515" s="22" t="s">
        <v>19573</v>
      </c>
      <c r="K515" s="22" t="s">
        <v>19574</v>
      </c>
      <c r="L515" s="22"/>
      <c r="M515" s="22"/>
      <c r="N515" s="25" t="str">
        <f>HYPERLINK("http://slimages.macys.com/is/image/MCY/1537013 ")</f>
        <v xml:space="preserve">http://slimages.macys.com/is/image/MCY/1537013 </v>
      </c>
    </row>
    <row r="516" spans="1:14" ht="24.75" x14ac:dyDescent="0.25">
      <c r="A516" s="21" t="s">
        <v>10138</v>
      </c>
      <c r="B516" s="22" t="s">
        <v>10139</v>
      </c>
      <c r="C516" s="2">
        <v>2</v>
      </c>
      <c r="D516" s="23">
        <v>7.99</v>
      </c>
      <c r="E516" s="3">
        <v>15.98</v>
      </c>
      <c r="F516" s="2" t="s">
        <v>10137</v>
      </c>
      <c r="G516" s="22" t="s">
        <v>19713</v>
      </c>
      <c r="H516" s="24" t="s">
        <v>19384</v>
      </c>
      <c r="I516" s="22" t="s">
        <v>19309</v>
      </c>
      <c r="J516" s="22" t="s">
        <v>19573</v>
      </c>
      <c r="K516" s="22" t="s">
        <v>19574</v>
      </c>
      <c r="L516" s="22"/>
      <c r="M516" s="22"/>
      <c r="N516" s="25" t="str">
        <f>HYPERLINK("http://slimages.macys.com/is/image/MCY/1439038 ")</f>
        <v xml:space="preserve">http://slimages.macys.com/is/image/MCY/1439038 </v>
      </c>
    </row>
    <row r="517" spans="1:14" ht="24.75" x14ac:dyDescent="0.25">
      <c r="A517" s="21" t="s">
        <v>10140</v>
      </c>
      <c r="B517" s="22" t="s">
        <v>10141</v>
      </c>
      <c r="C517" s="2">
        <v>1</v>
      </c>
      <c r="D517" s="23">
        <v>7.99</v>
      </c>
      <c r="E517" s="3">
        <v>7.99</v>
      </c>
      <c r="F517" s="2" t="s">
        <v>10137</v>
      </c>
      <c r="G517" s="22" t="s">
        <v>19713</v>
      </c>
      <c r="H517" s="24" t="s">
        <v>19770</v>
      </c>
      <c r="I517" s="22" t="s">
        <v>19309</v>
      </c>
      <c r="J517" s="22" t="s">
        <v>19573</v>
      </c>
      <c r="K517" s="22" t="s">
        <v>19574</v>
      </c>
      <c r="L517" s="22"/>
      <c r="M517" s="22"/>
      <c r="N517" s="25" t="str">
        <f>HYPERLINK("http://slimages.macys.com/is/image/MCY/1439038 ")</f>
        <v xml:space="preserve">http://slimages.macys.com/is/image/MCY/1439038 </v>
      </c>
    </row>
    <row r="518" spans="1:14" ht="24.75" x14ac:dyDescent="0.25">
      <c r="A518" s="21" t="s">
        <v>19202</v>
      </c>
      <c r="B518" s="22" t="s">
        <v>19203</v>
      </c>
      <c r="C518" s="2">
        <v>1</v>
      </c>
      <c r="D518" s="23">
        <v>5.99</v>
      </c>
      <c r="E518" s="3">
        <v>5.99</v>
      </c>
      <c r="F518" s="2" t="s">
        <v>19204</v>
      </c>
      <c r="G518" s="22" t="s">
        <v>19431</v>
      </c>
      <c r="H518" s="24" t="s">
        <v>19384</v>
      </c>
      <c r="I518" s="22" t="s">
        <v>19309</v>
      </c>
      <c r="J518" s="22" t="s">
        <v>19573</v>
      </c>
      <c r="K518" s="22" t="s">
        <v>19574</v>
      </c>
      <c r="L518" s="22"/>
      <c r="M518" s="22"/>
      <c r="N518" s="25" t="str">
        <f>HYPERLINK("http://slimages.macys.com/is/image/MCY/1537013 ")</f>
        <v xml:space="preserve">http://slimages.macys.com/is/image/MCY/1537013 </v>
      </c>
    </row>
    <row r="519" spans="1:14" ht="24.75" x14ac:dyDescent="0.25">
      <c r="A519" s="21" t="s">
        <v>10142</v>
      </c>
      <c r="B519" s="22" t="s">
        <v>10143</v>
      </c>
      <c r="C519" s="2">
        <v>2</v>
      </c>
      <c r="D519" s="23">
        <v>7.99</v>
      </c>
      <c r="E519" s="3">
        <v>15.98</v>
      </c>
      <c r="F519" s="2" t="s">
        <v>11164</v>
      </c>
      <c r="G519" s="22" t="s">
        <v>19467</v>
      </c>
      <c r="H519" s="24" t="s">
        <v>19907</v>
      </c>
      <c r="I519" s="22" t="s">
        <v>19309</v>
      </c>
      <c r="J519" s="22" t="s">
        <v>19573</v>
      </c>
      <c r="K519" s="22" t="s">
        <v>19574</v>
      </c>
      <c r="L519" s="22"/>
      <c r="M519" s="22"/>
      <c r="N519" s="25" t="str">
        <f>HYPERLINK("http://slimages.macys.com/is/image/MCY/21209018 ")</f>
        <v xml:space="preserve">http://slimages.macys.com/is/image/MCY/21209018 </v>
      </c>
    </row>
    <row r="520" spans="1:14" ht="24.75" x14ac:dyDescent="0.25">
      <c r="A520" s="21" t="s">
        <v>10144</v>
      </c>
      <c r="B520" s="22" t="s">
        <v>10145</v>
      </c>
      <c r="C520" s="2">
        <v>1</v>
      </c>
      <c r="D520" s="23">
        <v>7.99</v>
      </c>
      <c r="E520" s="3">
        <v>7.99</v>
      </c>
      <c r="F520" s="2" t="s">
        <v>10137</v>
      </c>
      <c r="G520" s="22" t="s">
        <v>19713</v>
      </c>
      <c r="H520" s="24" t="s">
        <v>19538</v>
      </c>
      <c r="I520" s="22" t="s">
        <v>19309</v>
      </c>
      <c r="J520" s="22" t="s">
        <v>19573</v>
      </c>
      <c r="K520" s="22" t="s">
        <v>19574</v>
      </c>
      <c r="L520" s="22"/>
      <c r="M520" s="22"/>
      <c r="N520" s="25" t="str">
        <f>HYPERLINK("http://slimages.macys.com/is/image/MCY/1439038 ")</f>
        <v xml:space="preserve">http://slimages.macys.com/is/image/MCY/1439038 </v>
      </c>
    </row>
    <row r="521" spans="1:14" ht="24.75" x14ac:dyDescent="0.25">
      <c r="A521" s="21" t="s">
        <v>17188</v>
      </c>
      <c r="B521" s="22" t="s">
        <v>17189</v>
      </c>
      <c r="C521" s="2">
        <v>1</v>
      </c>
      <c r="D521" s="23">
        <v>5.99</v>
      </c>
      <c r="E521" s="3">
        <v>5.99</v>
      </c>
      <c r="F521" s="2" t="s">
        <v>17190</v>
      </c>
      <c r="G521" s="22" t="s">
        <v>19674</v>
      </c>
      <c r="H521" s="24" t="s">
        <v>19538</v>
      </c>
      <c r="I521" s="22" t="s">
        <v>19309</v>
      </c>
      <c r="J521" s="22" t="s">
        <v>19573</v>
      </c>
      <c r="K521" s="22" t="s">
        <v>19574</v>
      </c>
      <c r="L521" s="22"/>
      <c r="M521" s="22"/>
      <c r="N521" s="25" t="str">
        <f>HYPERLINK("http://slimages.macys.com/is/image/MCY/21209566 ")</f>
        <v xml:space="preserve">http://slimages.macys.com/is/image/MCY/21209566 </v>
      </c>
    </row>
    <row r="522" spans="1:14" ht="24.75" x14ac:dyDescent="0.25">
      <c r="A522" s="21" t="s">
        <v>10146</v>
      </c>
      <c r="B522" s="22" t="s">
        <v>10147</v>
      </c>
      <c r="C522" s="2">
        <v>1</v>
      </c>
      <c r="D522" s="23">
        <v>7.99</v>
      </c>
      <c r="E522" s="3">
        <v>7.99</v>
      </c>
      <c r="F522" s="2" t="s">
        <v>12655</v>
      </c>
      <c r="G522" s="22" t="s">
        <v>19351</v>
      </c>
      <c r="H522" s="24" t="s">
        <v>20135</v>
      </c>
      <c r="I522" s="22" t="s">
        <v>19309</v>
      </c>
      <c r="J522" s="22" t="s">
        <v>19573</v>
      </c>
      <c r="K522" s="22" t="s">
        <v>19574</v>
      </c>
      <c r="L522" s="22"/>
      <c r="M522" s="22"/>
      <c r="N522" s="25" t="str">
        <f>HYPERLINK("http://slimages.macys.com/is/image/MCY/20839696 ")</f>
        <v xml:space="preserve">http://slimages.macys.com/is/image/MCY/20839696 </v>
      </c>
    </row>
    <row r="523" spans="1:14" ht="24.75" x14ac:dyDescent="0.25">
      <c r="A523" s="21" t="s">
        <v>10148</v>
      </c>
      <c r="B523" s="22" t="s">
        <v>10149</v>
      </c>
      <c r="C523" s="2">
        <v>1</v>
      </c>
      <c r="D523" s="23">
        <v>7.99</v>
      </c>
      <c r="E523" s="3">
        <v>7.99</v>
      </c>
      <c r="F523" s="2" t="s">
        <v>12655</v>
      </c>
      <c r="G523" s="22" t="s">
        <v>19351</v>
      </c>
      <c r="H523" s="24" t="s">
        <v>19907</v>
      </c>
      <c r="I523" s="22" t="s">
        <v>19309</v>
      </c>
      <c r="J523" s="22" t="s">
        <v>19573</v>
      </c>
      <c r="K523" s="22" t="s">
        <v>19574</v>
      </c>
      <c r="L523" s="22"/>
      <c r="M523" s="22"/>
      <c r="N523" s="25" t="str">
        <f>HYPERLINK("http://slimages.macys.com/is/image/MCY/20839696 ")</f>
        <v xml:space="preserve">http://slimages.macys.com/is/image/MCY/20839696 </v>
      </c>
    </row>
    <row r="524" spans="1:14" ht="24.75" x14ac:dyDescent="0.25">
      <c r="A524" s="21" t="s">
        <v>14899</v>
      </c>
      <c r="B524" s="22" t="s">
        <v>14900</v>
      </c>
      <c r="C524" s="2">
        <v>2</v>
      </c>
      <c r="D524" s="23">
        <v>5.99</v>
      </c>
      <c r="E524" s="3">
        <v>11.98</v>
      </c>
      <c r="F524" s="2" t="s">
        <v>19214</v>
      </c>
      <c r="G524" s="22" t="s">
        <v>19674</v>
      </c>
      <c r="H524" s="24" t="s">
        <v>19324</v>
      </c>
      <c r="I524" s="22" t="s">
        <v>19309</v>
      </c>
      <c r="J524" s="22" t="s">
        <v>19573</v>
      </c>
      <c r="K524" s="22" t="s">
        <v>19574</v>
      </c>
      <c r="L524" s="22"/>
      <c r="M524" s="22"/>
      <c r="N524" s="25" t="str">
        <f>HYPERLINK("http://slimages.macys.com/is/image/MCY/1570641 ")</f>
        <v xml:space="preserve">http://slimages.macys.com/is/image/MCY/1570641 </v>
      </c>
    </row>
    <row r="525" spans="1:14" ht="24.75" x14ac:dyDescent="0.25">
      <c r="A525" s="21" t="s">
        <v>10150</v>
      </c>
      <c r="B525" s="22" t="s">
        <v>10151</v>
      </c>
      <c r="C525" s="2">
        <v>1</v>
      </c>
      <c r="D525" s="23">
        <v>5.99</v>
      </c>
      <c r="E525" s="3">
        <v>5.99</v>
      </c>
      <c r="F525" s="2" t="s">
        <v>19214</v>
      </c>
      <c r="G525" s="22" t="s">
        <v>19674</v>
      </c>
      <c r="H525" s="24" t="s">
        <v>19384</v>
      </c>
      <c r="I525" s="22" t="s">
        <v>19309</v>
      </c>
      <c r="J525" s="22" t="s">
        <v>19573</v>
      </c>
      <c r="K525" s="22" t="s">
        <v>19574</v>
      </c>
      <c r="L525" s="22"/>
      <c r="M525" s="22"/>
      <c r="N525" s="25" t="str">
        <f>HYPERLINK("http://slimages.macys.com/is/image/MCY/1570641 ")</f>
        <v xml:space="preserve">http://slimages.macys.com/is/image/MCY/1570641 </v>
      </c>
    </row>
    <row r="526" spans="1:14" ht="24.75" x14ac:dyDescent="0.25">
      <c r="A526" s="21" t="s">
        <v>14895</v>
      </c>
      <c r="B526" s="22" t="s">
        <v>14896</v>
      </c>
      <c r="C526" s="2">
        <v>1</v>
      </c>
      <c r="D526" s="23">
        <v>5.99</v>
      </c>
      <c r="E526" s="3">
        <v>5.99</v>
      </c>
      <c r="F526" s="2" t="s">
        <v>17198</v>
      </c>
      <c r="G526" s="22" t="s">
        <v>19467</v>
      </c>
      <c r="H526" s="24" t="s">
        <v>19538</v>
      </c>
      <c r="I526" s="22" t="s">
        <v>19309</v>
      </c>
      <c r="J526" s="22" t="s">
        <v>19573</v>
      </c>
      <c r="K526" s="22" t="s">
        <v>19574</v>
      </c>
      <c r="L526" s="22"/>
      <c r="M526" s="22"/>
      <c r="N526" s="25" t="str">
        <f>HYPERLINK("http://slimages.macys.com/is/image/MCY/21209066 ")</f>
        <v xml:space="preserve">http://slimages.macys.com/is/image/MCY/21209066 </v>
      </c>
    </row>
    <row r="527" spans="1:14" ht="24.75" x14ac:dyDescent="0.25">
      <c r="A527" s="21" t="s">
        <v>10152</v>
      </c>
      <c r="B527" s="22" t="s">
        <v>10153</v>
      </c>
      <c r="C527" s="2">
        <v>1</v>
      </c>
      <c r="D527" s="23">
        <v>7.99</v>
      </c>
      <c r="E527" s="3">
        <v>7.99</v>
      </c>
      <c r="F527" s="2" t="s">
        <v>10727</v>
      </c>
      <c r="G527" s="22" t="s">
        <v>19674</v>
      </c>
      <c r="H527" s="24" t="s">
        <v>20089</v>
      </c>
      <c r="I527" s="22" t="s">
        <v>19309</v>
      </c>
      <c r="J527" s="22" t="s">
        <v>19573</v>
      </c>
      <c r="K527" s="22" t="s">
        <v>19574</v>
      </c>
      <c r="L527" s="22"/>
      <c r="M527" s="22"/>
      <c r="N527" s="25" t="str">
        <f>HYPERLINK("http://slimages.macys.com/is/image/MCY/20757965 ")</f>
        <v xml:space="preserve">http://slimages.macys.com/is/image/MCY/20757965 </v>
      </c>
    </row>
    <row r="528" spans="1:14" ht="24.75" x14ac:dyDescent="0.25">
      <c r="A528" s="21" t="s">
        <v>14903</v>
      </c>
      <c r="B528" s="22" t="s">
        <v>14904</v>
      </c>
      <c r="C528" s="2">
        <v>2</v>
      </c>
      <c r="D528" s="23">
        <v>7.99</v>
      </c>
      <c r="E528" s="3">
        <v>15.98</v>
      </c>
      <c r="F528" s="2">
        <v>10015096600</v>
      </c>
      <c r="G528" s="22" t="s">
        <v>19906</v>
      </c>
      <c r="H528" s="24"/>
      <c r="I528" s="22" t="s">
        <v>19309</v>
      </c>
      <c r="J528" s="22" t="s">
        <v>19573</v>
      </c>
      <c r="K528" s="22" t="s">
        <v>19574</v>
      </c>
      <c r="L528" s="22"/>
      <c r="M528" s="22"/>
      <c r="N528" s="25" t="str">
        <f>HYPERLINK("http://slimages.macys.com/is/image/MCY/1439038 ")</f>
        <v xml:space="preserve">http://slimages.macys.com/is/image/MCY/1439038 </v>
      </c>
    </row>
    <row r="529" spans="1:14" ht="24.75" x14ac:dyDescent="0.25">
      <c r="A529" s="21" t="s">
        <v>10154</v>
      </c>
      <c r="B529" s="22" t="s">
        <v>10155</v>
      </c>
      <c r="C529" s="2">
        <v>6</v>
      </c>
      <c r="D529" s="23">
        <v>5.99</v>
      </c>
      <c r="E529" s="3">
        <v>35.94</v>
      </c>
      <c r="F529" s="2" t="s">
        <v>10156</v>
      </c>
      <c r="G529" s="22" t="s">
        <v>19357</v>
      </c>
      <c r="H529" s="24" t="s">
        <v>20135</v>
      </c>
      <c r="I529" s="22" t="s">
        <v>19309</v>
      </c>
      <c r="J529" s="22" t="s">
        <v>19908</v>
      </c>
      <c r="K529" s="22" t="s">
        <v>19524</v>
      </c>
      <c r="L529" s="22"/>
      <c r="M529" s="22"/>
      <c r="N529" s="25" t="str">
        <f>HYPERLINK("http://slimages.macys.com/is/image/MCY/19263806 ")</f>
        <v xml:space="preserve">http://slimages.macys.com/is/image/MCY/19263806 </v>
      </c>
    </row>
    <row r="530" spans="1:14" ht="24.75" x14ac:dyDescent="0.25">
      <c r="A530" s="21" t="s">
        <v>10157</v>
      </c>
      <c r="B530" s="22" t="s">
        <v>10158</v>
      </c>
      <c r="C530" s="2">
        <v>3</v>
      </c>
      <c r="D530" s="23">
        <v>5.99</v>
      </c>
      <c r="E530" s="3">
        <v>17.97</v>
      </c>
      <c r="F530" s="2" t="s">
        <v>10156</v>
      </c>
      <c r="G530" s="22" t="s">
        <v>19357</v>
      </c>
      <c r="H530" s="24" t="s">
        <v>20089</v>
      </c>
      <c r="I530" s="22" t="s">
        <v>19309</v>
      </c>
      <c r="J530" s="22" t="s">
        <v>19908</v>
      </c>
      <c r="K530" s="22" t="s">
        <v>19524</v>
      </c>
      <c r="L530" s="22"/>
      <c r="M530" s="22"/>
      <c r="N530" s="25" t="str">
        <f>HYPERLINK("http://slimages.macys.com/is/image/MCY/19263806 ")</f>
        <v xml:space="preserve">http://slimages.macys.com/is/image/MCY/19263806 </v>
      </c>
    </row>
    <row r="531" spans="1:14" ht="24.75" x14ac:dyDescent="0.25">
      <c r="A531" s="21" t="s">
        <v>10159</v>
      </c>
      <c r="B531" s="22" t="s">
        <v>10160</v>
      </c>
      <c r="C531" s="2">
        <v>4</v>
      </c>
      <c r="D531" s="23">
        <v>5.99</v>
      </c>
      <c r="E531" s="3">
        <v>23.96</v>
      </c>
      <c r="F531" s="2" t="s">
        <v>10156</v>
      </c>
      <c r="G531" s="22" t="s">
        <v>19357</v>
      </c>
      <c r="H531" s="24" t="s">
        <v>19542</v>
      </c>
      <c r="I531" s="22" t="s">
        <v>19309</v>
      </c>
      <c r="J531" s="22" t="s">
        <v>19908</v>
      </c>
      <c r="K531" s="22" t="s">
        <v>19524</v>
      </c>
      <c r="L531" s="22"/>
      <c r="M531" s="22"/>
      <c r="N531" s="25" t="str">
        <f>HYPERLINK("http://slimages.macys.com/is/image/MCY/19263806 ")</f>
        <v xml:space="preserve">http://slimages.macys.com/is/image/MCY/19263806 </v>
      </c>
    </row>
    <row r="532" spans="1:14" ht="24.75" x14ac:dyDescent="0.25">
      <c r="A532" s="21" t="s">
        <v>10161</v>
      </c>
      <c r="B532" s="22" t="s">
        <v>10162</v>
      </c>
      <c r="C532" s="2">
        <v>1</v>
      </c>
      <c r="D532" s="23">
        <v>7.99</v>
      </c>
      <c r="E532" s="3">
        <v>7.99</v>
      </c>
      <c r="F532" s="2">
        <v>10015096600</v>
      </c>
      <c r="G532" s="22" t="s">
        <v>19906</v>
      </c>
      <c r="H532" s="24" t="s">
        <v>19538</v>
      </c>
      <c r="I532" s="22" t="s">
        <v>19309</v>
      </c>
      <c r="J532" s="22" t="s">
        <v>19573</v>
      </c>
      <c r="K532" s="22" t="s">
        <v>19574</v>
      </c>
      <c r="L532" s="22"/>
      <c r="M532" s="22"/>
      <c r="N532" s="25" t="str">
        <f>HYPERLINK("http://slimages.macys.com/is/image/MCY/1439034 ")</f>
        <v xml:space="preserve">http://slimages.macys.com/is/image/MCY/1439034 </v>
      </c>
    </row>
    <row r="533" spans="1:14" ht="24.75" x14ac:dyDescent="0.25">
      <c r="A533" s="21" t="s">
        <v>10163</v>
      </c>
      <c r="B533" s="22" t="s">
        <v>10164</v>
      </c>
      <c r="C533" s="2">
        <v>2</v>
      </c>
      <c r="D533" s="23">
        <v>5.99</v>
      </c>
      <c r="E533" s="3">
        <v>11.98</v>
      </c>
      <c r="F533" s="2" t="s">
        <v>10156</v>
      </c>
      <c r="G533" s="22" t="s">
        <v>19357</v>
      </c>
      <c r="H533" s="24" t="s">
        <v>19907</v>
      </c>
      <c r="I533" s="22" t="s">
        <v>19309</v>
      </c>
      <c r="J533" s="22" t="s">
        <v>19908</v>
      </c>
      <c r="K533" s="22" t="s">
        <v>19524</v>
      </c>
      <c r="L533" s="22"/>
      <c r="M533" s="22"/>
      <c r="N533" s="25" t="str">
        <f>HYPERLINK("http://slimages.macys.com/is/image/MCY/19263806 ")</f>
        <v xml:space="preserve">http://slimages.macys.com/is/image/MCY/19263806 </v>
      </c>
    </row>
    <row r="534" spans="1:14" ht="24.75" x14ac:dyDescent="0.25">
      <c r="A534" s="21" t="s">
        <v>10165</v>
      </c>
      <c r="B534" s="22" t="s">
        <v>10166</v>
      </c>
      <c r="C534" s="2">
        <v>2</v>
      </c>
      <c r="D534" s="23">
        <v>5.99</v>
      </c>
      <c r="E534" s="3">
        <v>11.98</v>
      </c>
      <c r="F534" s="2" t="s">
        <v>10156</v>
      </c>
      <c r="G534" s="22" t="s">
        <v>19357</v>
      </c>
      <c r="H534" s="24" t="s">
        <v>19361</v>
      </c>
      <c r="I534" s="22" t="s">
        <v>19309</v>
      </c>
      <c r="J534" s="22" t="s">
        <v>19908</v>
      </c>
      <c r="K534" s="22" t="s">
        <v>19524</v>
      </c>
      <c r="L534" s="22"/>
      <c r="M534" s="22"/>
      <c r="N534" s="25" t="str">
        <f>HYPERLINK("http://slimages.macys.com/is/image/MCY/19263806 ")</f>
        <v xml:space="preserve">http://slimages.macys.com/is/image/MCY/19263806 </v>
      </c>
    </row>
    <row r="535" spans="1:14" ht="24.75" x14ac:dyDescent="0.25">
      <c r="A535" s="21" t="s">
        <v>10167</v>
      </c>
      <c r="B535" s="22" t="s">
        <v>10168</v>
      </c>
      <c r="C535" s="2">
        <v>1</v>
      </c>
      <c r="D535" s="23">
        <v>5.99</v>
      </c>
      <c r="E535" s="3">
        <v>5.99</v>
      </c>
      <c r="F535" s="2" t="s">
        <v>10169</v>
      </c>
      <c r="G535" s="22" t="s">
        <v>19906</v>
      </c>
      <c r="H535" s="24" t="s">
        <v>19330</v>
      </c>
      <c r="I535" s="22" t="s">
        <v>19309</v>
      </c>
      <c r="J535" s="22" t="s">
        <v>19573</v>
      </c>
      <c r="K535" s="22" t="s">
        <v>19574</v>
      </c>
      <c r="L535" s="22"/>
      <c r="M535" s="22"/>
      <c r="N535" s="25" t="str">
        <f>HYPERLINK("http://slimages.macys.com/is/image/MCY/21209412 ")</f>
        <v xml:space="preserve">http://slimages.macys.com/is/image/MCY/21209412 </v>
      </c>
    </row>
    <row r="536" spans="1:14" ht="24.75" x14ac:dyDescent="0.25">
      <c r="A536" s="21" t="s">
        <v>17208</v>
      </c>
      <c r="B536" s="22" t="s">
        <v>17209</v>
      </c>
      <c r="C536" s="2">
        <v>1</v>
      </c>
      <c r="D536" s="23">
        <v>6.99</v>
      </c>
      <c r="E536" s="3">
        <v>6.99</v>
      </c>
      <c r="F536" s="2" t="s">
        <v>19229</v>
      </c>
      <c r="G536" s="22" t="s">
        <v>19585</v>
      </c>
      <c r="H536" s="24" t="s">
        <v>19907</v>
      </c>
      <c r="I536" s="22" t="s">
        <v>19309</v>
      </c>
      <c r="J536" s="22" t="s">
        <v>19908</v>
      </c>
      <c r="K536" s="22" t="s">
        <v>19354</v>
      </c>
      <c r="L536" s="22"/>
      <c r="M536" s="22"/>
      <c r="N536" s="25" t="str">
        <f>HYPERLINK("http://slimages.macys.com/is/image/MCY/20708622 ")</f>
        <v xml:space="preserve">http://slimages.macys.com/is/image/MCY/20708622 </v>
      </c>
    </row>
    <row r="537" spans="1:14" ht="24.75" x14ac:dyDescent="0.25">
      <c r="A537" s="21" t="s">
        <v>19242</v>
      </c>
      <c r="B537" s="22" t="s">
        <v>19243</v>
      </c>
      <c r="C537" s="2">
        <v>2</v>
      </c>
      <c r="D537" s="23">
        <v>5.99</v>
      </c>
      <c r="E537" s="3">
        <v>11.98</v>
      </c>
      <c r="F537" s="2" t="s">
        <v>19232</v>
      </c>
      <c r="G537" s="22" t="s">
        <v>19467</v>
      </c>
      <c r="H537" s="24" t="s">
        <v>19538</v>
      </c>
      <c r="I537" s="22" t="s">
        <v>19309</v>
      </c>
      <c r="J537" s="22" t="s">
        <v>19573</v>
      </c>
      <c r="K537" s="22" t="s">
        <v>19574</v>
      </c>
      <c r="L537" s="22"/>
      <c r="M537" s="22"/>
      <c r="N537" s="25" t="str">
        <f>HYPERLINK("http://slimages.macys.com/is/image/MCY/21209505 ")</f>
        <v xml:space="preserve">http://slimages.macys.com/is/image/MCY/21209505 </v>
      </c>
    </row>
    <row r="538" spans="1:14" ht="24.75" x14ac:dyDescent="0.25">
      <c r="A538" s="21" t="s">
        <v>19230</v>
      </c>
      <c r="B538" s="22" t="s">
        <v>19231</v>
      </c>
      <c r="C538" s="2">
        <v>2</v>
      </c>
      <c r="D538" s="23">
        <v>5.99</v>
      </c>
      <c r="E538" s="3">
        <v>11.98</v>
      </c>
      <c r="F538" s="2" t="s">
        <v>19232</v>
      </c>
      <c r="G538" s="22" t="s">
        <v>19467</v>
      </c>
      <c r="H538" s="24" t="s">
        <v>19416</v>
      </c>
      <c r="I538" s="22" t="s">
        <v>19309</v>
      </c>
      <c r="J538" s="22" t="s">
        <v>19573</v>
      </c>
      <c r="K538" s="22" t="s">
        <v>19574</v>
      </c>
      <c r="L538" s="22"/>
      <c r="M538" s="22"/>
      <c r="N538" s="25" t="str">
        <f>HYPERLINK("http://slimages.macys.com/is/image/MCY/21209505 ")</f>
        <v xml:space="preserve">http://slimages.macys.com/is/image/MCY/21209505 </v>
      </c>
    </row>
    <row r="539" spans="1:14" ht="24.75" x14ac:dyDescent="0.25">
      <c r="A539" s="21" t="s">
        <v>10170</v>
      </c>
      <c r="B539" s="22" t="s">
        <v>10171</v>
      </c>
      <c r="C539" s="2">
        <v>1</v>
      </c>
      <c r="D539" s="23">
        <v>5.99</v>
      </c>
      <c r="E539" s="3">
        <v>5.99</v>
      </c>
      <c r="F539" s="2" t="s">
        <v>10172</v>
      </c>
      <c r="G539" s="22" t="s">
        <v>19462</v>
      </c>
      <c r="H539" s="24" t="s">
        <v>19324</v>
      </c>
      <c r="I539" s="22" t="s">
        <v>19309</v>
      </c>
      <c r="J539" s="22" t="s">
        <v>19573</v>
      </c>
      <c r="K539" s="22" t="s">
        <v>19574</v>
      </c>
      <c r="L539" s="22"/>
      <c r="M539" s="22"/>
      <c r="N539" s="25" t="str">
        <f>HYPERLINK("http://slimages.macys.com/is/image/MCY/1504319 ")</f>
        <v xml:space="preserve">http://slimages.macys.com/is/image/MCY/1504319 </v>
      </c>
    </row>
    <row r="540" spans="1:14" ht="24.75" x14ac:dyDescent="0.25">
      <c r="A540" s="21" t="s">
        <v>19255</v>
      </c>
      <c r="B540" s="22" t="s">
        <v>19256</v>
      </c>
      <c r="C540" s="2">
        <v>1</v>
      </c>
      <c r="D540" s="23">
        <v>5.99</v>
      </c>
      <c r="E540" s="3">
        <v>5.99</v>
      </c>
      <c r="F540" s="2" t="s">
        <v>19254</v>
      </c>
      <c r="G540" s="22" t="s">
        <v>19431</v>
      </c>
      <c r="H540" s="24" t="s">
        <v>19330</v>
      </c>
      <c r="I540" s="22" t="s">
        <v>19309</v>
      </c>
      <c r="J540" s="22" t="s">
        <v>19573</v>
      </c>
      <c r="K540" s="22" t="s">
        <v>19574</v>
      </c>
      <c r="L540" s="22"/>
      <c r="M540" s="22"/>
      <c r="N540" s="25" t="str">
        <f>HYPERLINK("http://slimages.macys.com/is/image/MCY/21209124 ")</f>
        <v xml:space="preserve">http://slimages.macys.com/is/image/MCY/21209124 </v>
      </c>
    </row>
    <row r="541" spans="1:14" ht="24.75" x14ac:dyDescent="0.25">
      <c r="A541" s="21" t="s">
        <v>10173</v>
      </c>
      <c r="B541" s="22" t="s">
        <v>10174</v>
      </c>
      <c r="C541" s="2">
        <v>1</v>
      </c>
      <c r="D541" s="23">
        <v>5.99</v>
      </c>
      <c r="E541" s="3">
        <v>5.99</v>
      </c>
      <c r="F541" s="2" t="s">
        <v>19251</v>
      </c>
      <c r="G541" s="22" t="s">
        <v>19351</v>
      </c>
      <c r="H541" s="24" t="s">
        <v>19324</v>
      </c>
      <c r="I541" s="22" t="s">
        <v>19309</v>
      </c>
      <c r="J541" s="22" t="s">
        <v>19573</v>
      </c>
      <c r="K541" s="22" t="s">
        <v>19574</v>
      </c>
      <c r="L541" s="22"/>
      <c r="M541" s="22"/>
      <c r="N541" s="25" t="str">
        <f>HYPERLINK("http://slimages.macys.com/is/image/MCY/21088503 ")</f>
        <v xml:space="preserve">http://slimages.macys.com/is/image/MCY/21088503 </v>
      </c>
    </row>
    <row r="542" spans="1:14" ht="24.75" x14ac:dyDescent="0.25">
      <c r="A542" s="21" t="s">
        <v>10175</v>
      </c>
      <c r="B542" s="22" t="s">
        <v>10176</v>
      </c>
      <c r="C542" s="2">
        <v>1</v>
      </c>
      <c r="D542" s="23">
        <v>5.99</v>
      </c>
      <c r="E542" s="3">
        <v>5.99</v>
      </c>
      <c r="F542" s="2" t="s">
        <v>10172</v>
      </c>
      <c r="G542" s="22" t="s">
        <v>19462</v>
      </c>
      <c r="H542" s="24" t="s">
        <v>19384</v>
      </c>
      <c r="I542" s="22" t="s">
        <v>19309</v>
      </c>
      <c r="J542" s="22" t="s">
        <v>19573</v>
      </c>
      <c r="K542" s="22" t="s">
        <v>19574</v>
      </c>
      <c r="L542" s="22"/>
      <c r="M542" s="22"/>
      <c r="N542" s="25" t="str">
        <f>HYPERLINK("http://slimages.macys.com/is/image/MCY/1504319 ")</f>
        <v xml:space="preserve">http://slimages.macys.com/is/image/MCY/1504319 </v>
      </c>
    </row>
    <row r="543" spans="1:14" ht="24.75" x14ac:dyDescent="0.25">
      <c r="A543" s="21" t="s">
        <v>10177</v>
      </c>
      <c r="B543" s="22" t="s">
        <v>10178</v>
      </c>
      <c r="C543" s="2">
        <v>1</v>
      </c>
      <c r="D543" s="23">
        <v>5.99</v>
      </c>
      <c r="E543" s="3">
        <v>5.99</v>
      </c>
      <c r="F543" s="2" t="s">
        <v>10179</v>
      </c>
      <c r="G543" s="22" t="s">
        <v>19801</v>
      </c>
      <c r="H543" s="24" t="s">
        <v>20135</v>
      </c>
      <c r="I543" s="22" t="s">
        <v>19309</v>
      </c>
      <c r="J543" s="22" t="s">
        <v>19908</v>
      </c>
      <c r="K543" s="22" t="s">
        <v>19524</v>
      </c>
      <c r="L543" s="22"/>
      <c r="M543" s="22"/>
      <c r="N543" s="25" t="str">
        <f>HYPERLINK("http://slimages.macys.com/is/image/MCY/17716850 ")</f>
        <v xml:space="preserve">http://slimages.macys.com/is/image/MCY/17716850 </v>
      </c>
    </row>
    <row r="544" spans="1:14" ht="24.75" x14ac:dyDescent="0.25">
      <c r="A544" s="21" t="s">
        <v>10180</v>
      </c>
      <c r="B544" s="22" t="s">
        <v>10181</v>
      </c>
      <c r="C544" s="2">
        <v>1</v>
      </c>
      <c r="D544" s="23">
        <v>5.99</v>
      </c>
      <c r="E544" s="3">
        <v>5.99</v>
      </c>
      <c r="F544" s="2" t="s">
        <v>10179</v>
      </c>
      <c r="G544" s="22" t="s">
        <v>19801</v>
      </c>
      <c r="H544" s="24" t="s">
        <v>19907</v>
      </c>
      <c r="I544" s="22" t="s">
        <v>19309</v>
      </c>
      <c r="J544" s="22" t="s">
        <v>19908</v>
      </c>
      <c r="K544" s="22" t="s">
        <v>19524</v>
      </c>
      <c r="L544" s="22"/>
      <c r="M544" s="22"/>
      <c r="N544" s="25" t="str">
        <f>HYPERLINK("http://slimages.macys.com/is/image/MCY/17716850 ")</f>
        <v xml:space="preserve">http://slimages.macys.com/is/image/MCY/17716850 </v>
      </c>
    </row>
    <row r="545" spans="1:14" ht="24.75" x14ac:dyDescent="0.25">
      <c r="A545" s="21" t="s">
        <v>10182</v>
      </c>
      <c r="B545" s="22" t="s">
        <v>10183</v>
      </c>
      <c r="C545" s="2">
        <v>1</v>
      </c>
      <c r="D545" s="23">
        <v>7.99</v>
      </c>
      <c r="E545" s="3">
        <v>7.99</v>
      </c>
      <c r="F545" s="2" t="s">
        <v>10744</v>
      </c>
      <c r="G545" s="22" t="s">
        <v>19431</v>
      </c>
      <c r="H545" s="24" t="s">
        <v>19907</v>
      </c>
      <c r="I545" s="22" t="s">
        <v>19309</v>
      </c>
      <c r="J545" s="22" t="s">
        <v>19573</v>
      </c>
      <c r="K545" s="22" t="s">
        <v>19574</v>
      </c>
      <c r="L545" s="22"/>
      <c r="M545" s="22"/>
      <c r="N545" s="25" t="str">
        <f>HYPERLINK("http://slimages.macys.com/is/image/MCY/21209287 ")</f>
        <v xml:space="preserve">http://slimages.macys.com/is/image/MCY/21209287 </v>
      </c>
    </row>
    <row r="546" spans="1:14" ht="24.75" x14ac:dyDescent="0.25">
      <c r="A546" s="21" t="s">
        <v>19262</v>
      </c>
      <c r="B546" s="22" t="s">
        <v>19263</v>
      </c>
      <c r="C546" s="2">
        <v>1</v>
      </c>
      <c r="D546" s="23">
        <v>5.99</v>
      </c>
      <c r="E546" s="3">
        <v>5.99</v>
      </c>
      <c r="F546" s="2" t="s">
        <v>19261</v>
      </c>
      <c r="G546" s="22" t="s">
        <v>19674</v>
      </c>
      <c r="H546" s="24" t="s">
        <v>19384</v>
      </c>
      <c r="I546" s="22" t="s">
        <v>19309</v>
      </c>
      <c r="J546" s="22" t="s">
        <v>19573</v>
      </c>
      <c r="K546" s="22" t="s">
        <v>19574</v>
      </c>
      <c r="L546" s="22"/>
      <c r="M546" s="22"/>
      <c r="N546" s="25" t="str">
        <f>HYPERLINK("http://slimages.macys.com/is/image/MCY/21209261 ")</f>
        <v xml:space="preserve">http://slimages.macys.com/is/image/MCY/21209261 </v>
      </c>
    </row>
    <row r="547" spans="1:14" ht="24.75" x14ac:dyDescent="0.25">
      <c r="A547" s="21" t="s">
        <v>19264</v>
      </c>
      <c r="B547" s="22" t="s">
        <v>19265</v>
      </c>
      <c r="C547" s="2">
        <v>1</v>
      </c>
      <c r="D547" s="23">
        <v>5.99</v>
      </c>
      <c r="E547" s="3">
        <v>5.99</v>
      </c>
      <c r="F547" s="2" t="s">
        <v>19261</v>
      </c>
      <c r="G547" s="22" t="s">
        <v>19674</v>
      </c>
      <c r="H547" s="24" t="s">
        <v>19538</v>
      </c>
      <c r="I547" s="22" t="s">
        <v>19309</v>
      </c>
      <c r="J547" s="22" t="s">
        <v>19573</v>
      </c>
      <c r="K547" s="22" t="s">
        <v>19574</v>
      </c>
      <c r="L547" s="22"/>
      <c r="M547" s="22"/>
      <c r="N547" s="25" t="str">
        <f>HYPERLINK("http://slimages.macys.com/is/image/MCY/21209261 ")</f>
        <v xml:space="preserve">http://slimages.macys.com/is/image/MCY/21209261 </v>
      </c>
    </row>
    <row r="548" spans="1:14" ht="24.75" x14ac:dyDescent="0.25">
      <c r="A548" s="21" t="s">
        <v>19259</v>
      </c>
      <c r="B548" s="22" t="s">
        <v>19260</v>
      </c>
      <c r="C548" s="2">
        <v>1</v>
      </c>
      <c r="D548" s="23">
        <v>5.99</v>
      </c>
      <c r="E548" s="3">
        <v>5.99</v>
      </c>
      <c r="F548" s="2" t="s">
        <v>19261</v>
      </c>
      <c r="G548" s="22" t="s">
        <v>19674</v>
      </c>
      <c r="H548" s="24" t="s">
        <v>19324</v>
      </c>
      <c r="I548" s="22" t="s">
        <v>19309</v>
      </c>
      <c r="J548" s="22" t="s">
        <v>19573</v>
      </c>
      <c r="K548" s="22" t="s">
        <v>19574</v>
      </c>
      <c r="L548" s="22"/>
      <c r="M548" s="22"/>
      <c r="N548" s="25" t="str">
        <f>HYPERLINK("http://slimages.macys.com/is/image/MCY/21209261 ")</f>
        <v xml:space="preserve">http://slimages.macys.com/is/image/MCY/21209261 </v>
      </c>
    </row>
    <row r="549" spans="1:14" ht="24.75" x14ac:dyDescent="0.25">
      <c r="A549" s="21" t="s">
        <v>14934</v>
      </c>
      <c r="B549" s="22" t="s">
        <v>14935</v>
      </c>
      <c r="C549" s="2">
        <v>1</v>
      </c>
      <c r="D549" s="23">
        <v>5.99</v>
      </c>
      <c r="E549" s="3">
        <v>5.99</v>
      </c>
      <c r="F549" s="2" t="s">
        <v>17229</v>
      </c>
      <c r="G549" s="22" t="s">
        <v>19351</v>
      </c>
      <c r="H549" s="24" t="s">
        <v>19384</v>
      </c>
      <c r="I549" s="22" t="s">
        <v>19309</v>
      </c>
      <c r="J549" s="22" t="s">
        <v>19573</v>
      </c>
      <c r="K549" s="22" t="s">
        <v>19574</v>
      </c>
      <c r="L549" s="22"/>
      <c r="M549" s="22"/>
      <c r="N549" s="25" t="str">
        <f>HYPERLINK("http://slimages.macys.com/is/image/MCY/21361199 ")</f>
        <v xml:space="preserve">http://slimages.macys.com/is/image/MCY/21361199 </v>
      </c>
    </row>
    <row r="550" spans="1:14" ht="24.75" x14ac:dyDescent="0.25">
      <c r="A550" s="21" t="s">
        <v>10184</v>
      </c>
      <c r="B550" s="22" t="s">
        <v>10185</v>
      </c>
      <c r="C550" s="2">
        <v>1</v>
      </c>
      <c r="D550" s="23">
        <v>5.99</v>
      </c>
      <c r="E550" s="3">
        <v>5.99</v>
      </c>
      <c r="F550" s="2" t="s">
        <v>17229</v>
      </c>
      <c r="G550" s="22" t="s">
        <v>19351</v>
      </c>
      <c r="H550" s="24" t="s">
        <v>19330</v>
      </c>
      <c r="I550" s="22" t="s">
        <v>19309</v>
      </c>
      <c r="J550" s="22" t="s">
        <v>19573</v>
      </c>
      <c r="K550" s="22" t="s">
        <v>19574</v>
      </c>
      <c r="L550" s="22"/>
      <c r="M550" s="22"/>
      <c r="N550" s="25" t="str">
        <f>HYPERLINK("http://slimages.macys.com/is/image/MCY/21361199 ")</f>
        <v xml:space="preserve">http://slimages.macys.com/is/image/MCY/21361199 </v>
      </c>
    </row>
    <row r="551" spans="1:14" ht="24.75" x14ac:dyDescent="0.25">
      <c r="A551" s="21" t="s">
        <v>17241</v>
      </c>
      <c r="B551" s="22" t="s">
        <v>17242</v>
      </c>
      <c r="C551" s="2">
        <v>1</v>
      </c>
      <c r="D551" s="23">
        <v>5.99</v>
      </c>
      <c r="E551" s="3">
        <v>5.99</v>
      </c>
      <c r="F551" s="2" t="s">
        <v>17240</v>
      </c>
      <c r="G551" s="22" t="s">
        <v>19315</v>
      </c>
      <c r="H551" s="24" t="s">
        <v>19416</v>
      </c>
      <c r="I551" s="22" t="s">
        <v>19309</v>
      </c>
      <c r="J551" s="22" t="s">
        <v>19573</v>
      </c>
      <c r="K551" s="22" t="s">
        <v>19574</v>
      </c>
      <c r="L551" s="22"/>
      <c r="M551" s="22"/>
      <c r="N551" s="25" t="str">
        <f>HYPERLINK("http://slimages.macys.com/is/image/MCY/21209554 ")</f>
        <v xml:space="preserve">http://slimages.macys.com/is/image/MCY/21209554 </v>
      </c>
    </row>
    <row r="552" spans="1:14" ht="24.75" x14ac:dyDescent="0.25">
      <c r="A552" s="21" t="s">
        <v>10186</v>
      </c>
      <c r="B552" s="22" t="s">
        <v>10187</v>
      </c>
      <c r="C552" s="2">
        <v>1</v>
      </c>
      <c r="D552" s="23">
        <v>5.99</v>
      </c>
      <c r="E552" s="3">
        <v>5.99</v>
      </c>
      <c r="F552" s="2" t="s">
        <v>10188</v>
      </c>
      <c r="G552" s="22" t="s">
        <v>18439</v>
      </c>
      <c r="H552" s="24" t="s">
        <v>19538</v>
      </c>
      <c r="I552" s="22" t="s">
        <v>19309</v>
      </c>
      <c r="J552" s="22" t="s">
        <v>19573</v>
      </c>
      <c r="K552" s="22" t="s">
        <v>19574</v>
      </c>
      <c r="L552" s="22"/>
      <c r="M552" s="22"/>
      <c r="N552" s="25" t="str">
        <f>HYPERLINK("http://slimages.macys.com/is/image/MCY/20555212 ")</f>
        <v xml:space="preserve">http://slimages.macys.com/is/image/MCY/20555212 </v>
      </c>
    </row>
    <row r="553" spans="1:14" ht="24.75" x14ac:dyDescent="0.25">
      <c r="A553" s="21" t="s">
        <v>14974</v>
      </c>
      <c r="B553" s="22" t="s">
        <v>14975</v>
      </c>
      <c r="C553" s="2">
        <v>1</v>
      </c>
      <c r="D553" s="23">
        <v>5.99</v>
      </c>
      <c r="E553" s="3">
        <v>5.99</v>
      </c>
      <c r="F553" s="2" t="s">
        <v>19273</v>
      </c>
      <c r="G553" s="22" t="s">
        <v>19794</v>
      </c>
      <c r="H553" s="24" t="s">
        <v>19384</v>
      </c>
      <c r="I553" s="22" t="s">
        <v>19309</v>
      </c>
      <c r="J553" s="22" t="s">
        <v>19573</v>
      </c>
      <c r="K553" s="22" t="s">
        <v>19574</v>
      </c>
      <c r="L553" s="22"/>
      <c r="M553" s="22"/>
      <c r="N553" s="25" t="str">
        <f>HYPERLINK("http://slimages.macys.com/is/image/MCY/21209112 ")</f>
        <v xml:space="preserve">http://slimages.macys.com/is/image/MCY/21209112 </v>
      </c>
    </row>
    <row r="554" spans="1:14" ht="24.75" x14ac:dyDescent="0.25">
      <c r="A554" s="21" t="s">
        <v>19271</v>
      </c>
      <c r="B554" s="22" t="s">
        <v>19272</v>
      </c>
      <c r="C554" s="2">
        <v>1</v>
      </c>
      <c r="D554" s="23">
        <v>5.99</v>
      </c>
      <c r="E554" s="3">
        <v>5.99</v>
      </c>
      <c r="F554" s="2" t="s">
        <v>19273</v>
      </c>
      <c r="G554" s="22" t="s">
        <v>19794</v>
      </c>
      <c r="H554" s="24" t="s">
        <v>19538</v>
      </c>
      <c r="I554" s="22" t="s">
        <v>19309</v>
      </c>
      <c r="J554" s="22" t="s">
        <v>19573</v>
      </c>
      <c r="K554" s="22" t="s">
        <v>19574</v>
      </c>
      <c r="L554" s="22"/>
      <c r="M554" s="22"/>
      <c r="N554" s="25" t="str">
        <f>HYPERLINK("http://slimages.macys.com/is/image/MCY/21209112 ")</f>
        <v xml:space="preserve">http://slimages.macys.com/is/image/MCY/21209112 </v>
      </c>
    </row>
    <row r="555" spans="1:14" ht="24.75" x14ac:dyDescent="0.25">
      <c r="A555" s="21" t="s">
        <v>17387</v>
      </c>
      <c r="B555" s="22" t="s">
        <v>17388</v>
      </c>
      <c r="C555" s="2">
        <v>2</v>
      </c>
      <c r="D555" s="23">
        <v>5.99</v>
      </c>
      <c r="E555" s="3">
        <v>11.98</v>
      </c>
      <c r="F555" s="2" t="s">
        <v>17384</v>
      </c>
      <c r="G555" s="22" t="s">
        <v>18439</v>
      </c>
      <c r="H555" s="24" t="s">
        <v>19538</v>
      </c>
      <c r="I555" s="22" t="s">
        <v>19309</v>
      </c>
      <c r="J555" s="22" t="s">
        <v>19573</v>
      </c>
      <c r="K555" s="22" t="s">
        <v>19574</v>
      </c>
      <c r="L555" s="22"/>
      <c r="M555" s="22"/>
      <c r="N555" s="25" t="str">
        <f>HYPERLINK("http://slimages.macys.com/is/image/MCY/1905756 ")</f>
        <v xml:space="preserve">http://slimages.macys.com/is/image/MCY/1905756 </v>
      </c>
    </row>
    <row r="556" spans="1:14" ht="24.75" x14ac:dyDescent="0.25">
      <c r="A556" s="21" t="s">
        <v>17385</v>
      </c>
      <c r="B556" s="22" t="s">
        <v>17386</v>
      </c>
      <c r="C556" s="2">
        <v>4</v>
      </c>
      <c r="D556" s="23">
        <v>5.99</v>
      </c>
      <c r="E556" s="3">
        <v>23.96</v>
      </c>
      <c r="F556" s="2" t="s">
        <v>17384</v>
      </c>
      <c r="G556" s="22" t="s">
        <v>18439</v>
      </c>
      <c r="H556" s="24" t="s">
        <v>19330</v>
      </c>
      <c r="I556" s="22" t="s">
        <v>19309</v>
      </c>
      <c r="J556" s="22" t="s">
        <v>19573</v>
      </c>
      <c r="K556" s="22" t="s">
        <v>19574</v>
      </c>
      <c r="L556" s="22"/>
      <c r="M556" s="22"/>
      <c r="N556" s="25" t="str">
        <f>HYPERLINK("http://slimages.macys.com/is/image/MCY/1905756 ")</f>
        <v xml:space="preserve">http://slimages.macys.com/is/image/MCY/1905756 </v>
      </c>
    </row>
    <row r="557" spans="1:14" ht="24.75" x14ac:dyDescent="0.25">
      <c r="A557" s="21" t="s">
        <v>17391</v>
      </c>
      <c r="B557" s="22" t="s">
        <v>17392</v>
      </c>
      <c r="C557" s="2">
        <v>3</v>
      </c>
      <c r="D557" s="23">
        <v>5.99</v>
      </c>
      <c r="E557" s="3">
        <v>17.97</v>
      </c>
      <c r="F557" s="2" t="s">
        <v>17384</v>
      </c>
      <c r="G557" s="22" t="s">
        <v>18439</v>
      </c>
      <c r="H557" s="24" t="s">
        <v>19324</v>
      </c>
      <c r="I557" s="22" t="s">
        <v>19309</v>
      </c>
      <c r="J557" s="22" t="s">
        <v>19573</v>
      </c>
      <c r="K557" s="22" t="s">
        <v>19574</v>
      </c>
      <c r="L557" s="22"/>
      <c r="M557" s="22"/>
      <c r="N557" s="25" t="str">
        <f>HYPERLINK("http://slimages.macys.com/is/image/MCY/1905756 ")</f>
        <v xml:space="preserve">http://slimages.macys.com/is/image/MCY/1905756 </v>
      </c>
    </row>
    <row r="558" spans="1:14" ht="24.75" x14ac:dyDescent="0.25">
      <c r="A558" s="21" t="s">
        <v>19279</v>
      </c>
      <c r="B558" s="22" t="s">
        <v>17383</v>
      </c>
      <c r="C558" s="2">
        <v>2</v>
      </c>
      <c r="D558" s="23">
        <v>5.99</v>
      </c>
      <c r="E558" s="3">
        <v>11.98</v>
      </c>
      <c r="F558" s="2" t="s">
        <v>17384</v>
      </c>
      <c r="G558" s="22" t="s">
        <v>18439</v>
      </c>
      <c r="H558" s="24" t="s">
        <v>19416</v>
      </c>
      <c r="I558" s="22" t="s">
        <v>19309</v>
      </c>
      <c r="J558" s="22" t="s">
        <v>19573</v>
      </c>
      <c r="K558" s="22" t="s">
        <v>19574</v>
      </c>
      <c r="L558" s="22"/>
      <c r="M558" s="22"/>
      <c r="N558" s="25" t="str">
        <f>HYPERLINK("http://slimages.macys.com/is/image/MCY/1905756 ")</f>
        <v xml:space="preserve">http://slimages.macys.com/is/image/MCY/1905756 </v>
      </c>
    </row>
    <row r="559" spans="1:14" ht="24.75" x14ac:dyDescent="0.25">
      <c r="A559" s="21" t="s">
        <v>17389</v>
      </c>
      <c r="B559" s="22" t="s">
        <v>17390</v>
      </c>
      <c r="C559" s="2">
        <v>3</v>
      </c>
      <c r="D559" s="23">
        <v>5.99</v>
      </c>
      <c r="E559" s="3">
        <v>17.97</v>
      </c>
      <c r="F559" s="2" t="s">
        <v>17384</v>
      </c>
      <c r="G559" s="22" t="s">
        <v>18439</v>
      </c>
      <c r="H559" s="24" t="s">
        <v>19384</v>
      </c>
      <c r="I559" s="22" t="s">
        <v>19309</v>
      </c>
      <c r="J559" s="22" t="s">
        <v>19573</v>
      </c>
      <c r="K559" s="22" t="s">
        <v>19574</v>
      </c>
      <c r="L559" s="22"/>
      <c r="M559" s="22"/>
      <c r="N559" s="25" t="str">
        <f>HYPERLINK("http://slimages.macys.com/is/image/MCY/1905756 ")</f>
        <v xml:space="preserve">http://slimages.macys.com/is/image/MCY/1905756 </v>
      </c>
    </row>
    <row r="560" spans="1:14" ht="24.75" x14ac:dyDescent="0.25">
      <c r="A560" s="21" t="s">
        <v>17398</v>
      </c>
      <c r="B560" s="22" t="s">
        <v>17399</v>
      </c>
      <c r="C560" s="2">
        <v>1</v>
      </c>
      <c r="D560" s="23">
        <v>5.99</v>
      </c>
      <c r="E560" s="3">
        <v>5.99</v>
      </c>
      <c r="F560" s="2" t="s">
        <v>17395</v>
      </c>
      <c r="G560" s="22" t="s">
        <v>19670</v>
      </c>
      <c r="H560" s="24" t="s">
        <v>19324</v>
      </c>
      <c r="I560" s="22" t="s">
        <v>19309</v>
      </c>
      <c r="J560" s="22" t="s">
        <v>19573</v>
      </c>
      <c r="K560" s="22" t="s">
        <v>19574</v>
      </c>
      <c r="L560" s="22"/>
      <c r="M560" s="22"/>
      <c r="N560" s="25" t="str">
        <f>HYPERLINK("http://slimages.macys.com/is/image/MCY/21905204 ")</f>
        <v xml:space="preserve">http://slimages.macys.com/is/image/MCY/21905204 </v>
      </c>
    </row>
    <row r="561" spans="1:14" ht="24.75" x14ac:dyDescent="0.25">
      <c r="A561" s="21" t="s">
        <v>17406</v>
      </c>
      <c r="B561" s="22" t="s">
        <v>17407</v>
      </c>
      <c r="C561" s="2">
        <v>1</v>
      </c>
      <c r="D561" s="23">
        <v>5.99</v>
      </c>
      <c r="E561" s="3">
        <v>5.99</v>
      </c>
      <c r="F561" s="2" t="s">
        <v>17408</v>
      </c>
      <c r="G561" s="22" t="s">
        <v>19467</v>
      </c>
      <c r="H561" s="24" t="s">
        <v>19538</v>
      </c>
      <c r="I561" s="22" t="s">
        <v>19309</v>
      </c>
      <c r="J561" s="22" t="s">
        <v>19573</v>
      </c>
      <c r="K561" s="22" t="s">
        <v>19574</v>
      </c>
      <c r="L561" s="22"/>
      <c r="M561" s="22"/>
      <c r="N561" s="25" t="str">
        <f>HYPERLINK("http://slimages.macys.com/is/image/MCY/21970244 ")</f>
        <v xml:space="preserve">http://slimages.macys.com/is/image/MCY/21970244 </v>
      </c>
    </row>
    <row r="562" spans="1:14" ht="24.75" x14ac:dyDescent="0.25">
      <c r="A562" s="21" t="s">
        <v>17271</v>
      </c>
      <c r="B562" s="22" t="s">
        <v>17272</v>
      </c>
      <c r="C562" s="2">
        <v>1</v>
      </c>
      <c r="D562" s="23">
        <v>5.99</v>
      </c>
      <c r="E562" s="3">
        <v>5.99</v>
      </c>
      <c r="F562" s="2" t="s">
        <v>17408</v>
      </c>
      <c r="G562" s="22" t="s">
        <v>19467</v>
      </c>
      <c r="H562" s="24" t="s">
        <v>19384</v>
      </c>
      <c r="I562" s="22" t="s">
        <v>19309</v>
      </c>
      <c r="J562" s="22" t="s">
        <v>19573</v>
      </c>
      <c r="K562" s="22" t="s">
        <v>19574</v>
      </c>
      <c r="L562" s="22"/>
      <c r="M562" s="22"/>
      <c r="N562" s="25" t="str">
        <f>HYPERLINK("http://slimages.macys.com/is/image/MCY/21970244 ")</f>
        <v xml:space="preserve">http://slimages.macys.com/is/image/MCY/21970244 </v>
      </c>
    </row>
    <row r="563" spans="1:14" ht="24.75" x14ac:dyDescent="0.25">
      <c r="A563" s="21" t="s">
        <v>17403</v>
      </c>
      <c r="B563" s="22" t="s">
        <v>17404</v>
      </c>
      <c r="C563" s="2">
        <v>2</v>
      </c>
      <c r="D563" s="23">
        <v>5.99</v>
      </c>
      <c r="E563" s="3">
        <v>11.98</v>
      </c>
      <c r="F563" s="2" t="s">
        <v>17405</v>
      </c>
      <c r="G563" s="22" t="s">
        <v>19351</v>
      </c>
      <c r="H563" s="24" t="s">
        <v>19538</v>
      </c>
      <c r="I563" s="22" t="s">
        <v>19309</v>
      </c>
      <c r="J563" s="22" t="s">
        <v>19573</v>
      </c>
      <c r="K563" s="22" t="s">
        <v>19574</v>
      </c>
      <c r="L563" s="22"/>
      <c r="M563" s="22"/>
      <c r="N563" s="25" t="str">
        <f>HYPERLINK("http://slimages.macys.com/is/image/MCY/21970228 ")</f>
        <v xml:space="preserve">http://slimages.macys.com/is/image/MCY/21970228 </v>
      </c>
    </row>
    <row r="564" spans="1:14" ht="24.75" x14ac:dyDescent="0.25">
      <c r="A564" s="21" t="s">
        <v>10189</v>
      </c>
      <c r="B564" s="22" t="s">
        <v>10190</v>
      </c>
      <c r="C564" s="2">
        <v>1</v>
      </c>
      <c r="D564" s="23">
        <v>5.99</v>
      </c>
      <c r="E564" s="3">
        <v>5.99</v>
      </c>
      <c r="F564" s="2" t="s">
        <v>17411</v>
      </c>
      <c r="G564" s="22" t="s">
        <v>19351</v>
      </c>
      <c r="H564" s="24" t="s">
        <v>19538</v>
      </c>
      <c r="I564" s="22" t="s">
        <v>19309</v>
      </c>
      <c r="J564" s="22" t="s">
        <v>19573</v>
      </c>
      <c r="K564" s="22" t="s">
        <v>19574</v>
      </c>
      <c r="L564" s="22"/>
      <c r="M564" s="22"/>
      <c r="N564" s="25" t="str">
        <f>HYPERLINK("http://slimages.macys.com/is/image/MCY/1537013 ")</f>
        <v xml:space="preserve">http://slimages.macys.com/is/image/MCY/1537013 </v>
      </c>
    </row>
    <row r="565" spans="1:14" ht="24.75" x14ac:dyDescent="0.25">
      <c r="A565" s="21" t="s">
        <v>10191</v>
      </c>
      <c r="B565" s="22" t="s">
        <v>10192</v>
      </c>
      <c r="C565" s="2">
        <v>1</v>
      </c>
      <c r="D565" s="23">
        <v>5.99</v>
      </c>
      <c r="E565" s="3">
        <v>5.99</v>
      </c>
      <c r="F565" s="2" t="s">
        <v>14999</v>
      </c>
      <c r="G565" s="22" t="s">
        <v>19794</v>
      </c>
      <c r="H565" s="24" t="s">
        <v>19538</v>
      </c>
      <c r="I565" s="22" t="s">
        <v>19309</v>
      </c>
      <c r="J565" s="22" t="s">
        <v>19573</v>
      </c>
      <c r="K565" s="22" t="s">
        <v>19574</v>
      </c>
      <c r="L565" s="22"/>
      <c r="M565" s="22"/>
      <c r="N565" s="25" t="str">
        <f>HYPERLINK("http://slimages.macys.com/is/image/MCY/1522322 ")</f>
        <v xml:space="preserve">http://slimages.macys.com/is/image/MCY/1522322 </v>
      </c>
    </row>
    <row r="566" spans="1:14" ht="24.75" x14ac:dyDescent="0.25">
      <c r="A566" s="21" t="s">
        <v>17290</v>
      </c>
      <c r="B566" s="22" t="s">
        <v>17291</v>
      </c>
      <c r="C566" s="2">
        <v>2</v>
      </c>
      <c r="D566" s="23">
        <v>5.99</v>
      </c>
      <c r="E566" s="3">
        <v>11.98</v>
      </c>
      <c r="F566" s="2" t="s">
        <v>17440</v>
      </c>
      <c r="G566" s="22" t="s">
        <v>19415</v>
      </c>
      <c r="H566" s="24" t="s">
        <v>19416</v>
      </c>
      <c r="I566" s="22" t="s">
        <v>19309</v>
      </c>
      <c r="J566" s="22" t="s">
        <v>19573</v>
      </c>
      <c r="K566" s="22" t="s">
        <v>19574</v>
      </c>
      <c r="L566" s="22"/>
      <c r="M566" s="22"/>
      <c r="N566" s="25" t="str">
        <f>HYPERLINK("http://slimages.macys.com/is/image/MCY/21209026 ")</f>
        <v xml:space="preserve">http://slimages.macys.com/is/image/MCY/21209026 </v>
      </c>
    </row>
    <row r="567" spans="1:14" ht="24.75" x14ac:dyDescent="0.25">
      <c r="A567" s="21" t="s">
        <v>17441</v>
      </c>
      <c r="B567" s="22" t="s">
        <v>17442</v>
      </c>
      <c r="C567" s="2">
        <v>1</v>
      </c>
      <c r="D567" s="23">
        <v>5.99</v>
      </c>
      <c r="E567" s="3">
        <v>5.99</v>
      </c>
      <c r="F567" s="2" t="s">
        <v>17440</v>
      </c>
      <c r="G567" s="22" t="s">
        <v>19415</v>
      </c>
      <c r="H567" s="24" t="s">
        <v>19384</v>
      </c>
      <c r="I567" s="22" t="s">
        <v>19309</v>
      </c>
      <c r="J567" s="22" t="s">
        <v>19573</v>
      </c>
      <c r="K567" s="22" t="s">
        <v>19574</v>
      </c>
      <c r="L567" s="22"/>
      <c r="M567" s="22"/>
      <c r="N567" s="25" t="str">
        <f>HYPERLINK("http://slimages.macys.com/is/image/MCY/21209026 ")</f>
        <v xml:space="preserve">http://slimages.macys.com/is/image/MCY/21209026 </v>
      </c>
    </row>
    <row r="568" spans="1:14" ht="24.75" x14ac:dyDescent="0.25">
      <c r="A568" s="21" t="s">
        <v>17438</v>
      </c>
      <c r="B568" s="22" t="s">
        <v>17439</v>
      </c>
      <c r="C568" s="2">
        <v>1</v>
      </c>
      <c r="D568" s="23">
        <v>5.99</v>
      </c>
      <c r="E568" s="3">
        <v>5.99</v>
      </c>
      <c r="F568" s="2" t="s">
        <v>17440</v>
      </c>
      <c r="G568" s="22" t="s">
        <v>19415</v>
      </c>
      <c r="H568" s="24" t="s">
        <v>19538</v>
      </c>
      <c r="I568" s="22" t="s">
        <v>19309</v>
      </c>
      <c r="J568" s="22" t="s">
        <v>19573</v>
      </c>
      <c r="K568" s="22" t="s">
        <v>19574</v>
      </c>
      <c r="L568" s="22"/>
      <c r="M568" s="22"/>
      <c r="N568" s="25" t="str">
        <f>HYPERLINK("http://slimages.macys.com/is/image/MCY/21209026 ")</f>
        <v xml:space="preserve">http://slimages.macys.com/is/image/MCY/21209026 </v>
      </c>
    </row>
    <row r="569" spans="1:14" ht="24.75" x14ac:dyDescent="0.25">
      <c r="A569" s="21" t="s">
        <v>15009</v>
      </c>
      <c r="B569" s="22" t="s">
        <v>15010</v>
      </c>
      <c r="C569" s="2">
        <v>1</v>
      </c>
      <c r="D569" s="23">
        <v>5.99</v>
      </c>
      <c r="E569" s="3">
        <v>5.99</v>
      </c>
      <c r="F569" s="2" t="s">
        <v>17440</v>
      </c>
      <c r="G569" s="22" t="s">
        <v>19415</v>
      </c>
      <c r="H569" s="24" t="s">
        <v>19330</v>
      </c>
      <c r="I569" s="22" t="s">
        <v>19309</v>
      </c>
      <c r="J569" s="22" t="s">
        <v>19573</v>
      </c>
      <c r="K569" s="22" t="s">
        <v>19574</v>
      </c>
      <c r="L569" s="22"/>
      <c r="M569" s="22"/>
      <c r="N569" s="25" t="str">
        <f>HYPERLINK("http://slimages.macys.com/is/image/MCY/21209026 ")</f>
        <v xml:space="preserve">http://slimages.macys.com/is/image/MCY/21209026 </v>
      </c>
    </row>
    <row r="570" spans="1:14" ht="24.75" x14ac:dyDescent="0.25">
      <c r="A570" s="21" t="s">
        <v>17288</v>
      </c>
      <c r="B570" s="22" t="s">
        <v>17289</v>
      </c>
      <c r="C570" s="2">
        <v>2</v>
      </c>
      <c r="D570" s="23">
        <v>5.99</v>
      </c>
      <c r="E570" s="3">
        <v>11.98</v>
      </c>
      <c r="F570" s="2" t="s">
        <v>17440</v>
      </c>
      <c r="G570" s="22" t="s">
        <v>19415</v>
      </c>
      <c r="H570" s="24" t="s">
        <v>19324</v>
      </c>
      <c r="I570" s="22" t="s">
        <v>19309</v>
      </c>
      <c r="J570" s="22" t="s">
        <v>19573</v>
      </c>
      <c r="K570" s="22" t="s">
        <v>19574</v>
      </c>
      <c r="L570" s="22"/>
      <c r="M570" s="22"/>
      <c r="N570" s="25" t="str">
        <f>HYPERLINK("http://slimages.macys.com/is/image/MCY/21209026 ")</f>
        <v xml:space="preserve">http://slimages.macys.com/is/image/MCY/21209026 </v>
      </c>
    </row>
    <row r="571" spans="1:14" ht="24.75" x14ac:dyDescent="0.25">
      <c r="A571" s="21" t="s">
        <v>15013</v>
      </c>
      <c r="B571" s="22" t="s">
        <v>15014</v>
      </c>
      <c r="C571" s="2">
        <v>1</v>
      </c>
      <c r="D571" s="23">
        <v>5.99</v>
      </c>
      <c r="E571" s="3">
        <v>5.99</v>
      </c>
      <c r="F571" s="2" t="s">
        <v>17449</v>
      </c>
      <c r="G571" s="22" t="s">
        <v>19415</v>
      </c>
      <c r="H571" s="24" t="s">
        <v>19416</v>
      </c>
      <c r="I571" s="22" t="s">
        <v>19309</v>
      </c>
      <c r="J571" s="22" t="s">
        <v>19573</v>
      </c>
      <c r="K571" s="22" t="s">
        <v>19574</v>
      </c>
      <c r="L571" s="22"/>
      <c r="M571" s="22"/>
      <c r="N571" s="25" t="str">
        <f>HYPERLINK("http://slimages.macys.com/is/image/MCY/21209295 ")</f>
        <v xml:space="preserve">http://slimages.macys.com/is/image/MCY/21209295 </v>
      </c>
    </row>
    <row r="572" spans="1:14" ht="24.75" x14ac:dyDescent="0.25">
      <c r="A572" s="21" t="s">
        <v>17447</v>
      </c>
      <c r="B572" s="22" t="s">
        <v>17448</v>
      </c>
      <c r="C572" s="2">
        <v>1</v>
      </c>
      <c r="D572" s="23">
        <v>5.99</v>
      </c>
      <c r="E572" s="3">
        <v>5.99</v>
      </c>
      <c r="F572" s="2" t="s">
        <v>17449</v>
      </c>
      <c r="G572" s="22" t="s">
        <v>19415</v>
      </c>
      <c r="H572" s="24" t="s">
        <v>19324</v>
      </c>
      <c r="I572" s="22" t="s">
        <v>19309</v>
      </c>
      <c r="J572" s="22" t="s">
        <v>19573</v>
      </c>
      <c r="K572" s="22" t="s">
        <v>19574</v>
      </c>
      <c r="L572" s="22"/>
      <c r="M572" s="22"/>
      <c r="N572" s="25" t="str">
        <f>HYPERLINK("http://slimages.macys.com/is/image/MCY/21209295 ")</f>
        <v xml:space="preserve">http://slimages.macys.com/is/image/MCY/21209295 </v>
      </c>
    </row>
    <row r="573" spans="1:14" ht="24.75" x14ac:dyDescent="0.25">
      <c r="A573" s="21" t="s">
        <v>14352</v>
      </c>
      <c r="B573" s="22" t="s">
        <v>14353</v>
      </c>
      <c r="C573" s="2">
        <v>1</v>
      </c>
      <c r="D573" s="23">
        <v>5.99</v>
      </c>
      <c r="E573" s="3">
        <v>5.99</v>
      </c>
      <c r="F573" s="2" t="s">
        <v>17304</v>
      </c>
      <c r="G573" s="22" t="s">
        <v>19518</v>
      </c>
      <c r="H573" s="24" t="s">
        <v>19538</v>
      </c>
      <c r="I573" s="22" t="s">
        <v>19309</v>
      </c>
      <c r="J573" s="22" t="s">
        <v>19573</v>
      </c>
      <c r="K573" s="22" t="s">
        <v>19574</v>
      </c>
      <c r="L573" s="22"/>
      <c r="M573" s="22"/>
      <c r="N573" s="25" t="str">
        <f>HYPERLINK("http://slimages.macys.com/is/image/MCY/20839692 ")</f>
        <v xml:space="preserve">http://slimages.macys.com/is/image/MCY/20839692 </v>
      </c>
    </row>
    <row r="574" spans="1:14" ht="24.75" x14ac:dyDescent="0.25">
      <c r="A574" s="21" t="s">
        <v>14354</v>
      </c>
      <c r="B574" s="22" t="s">
        <v>14355</v>
      </c>
      <c r="C574" s="2">
        <v>1</v>
      </c>
      <c r="D574" s="23">
        <v>5.99</v>
      </c>
      <c r="E574" s="3">
        <v>5.99</v>
      </c>
      <c r="F574" s="2" t="s">
        <v>17304</v>
      </c>
      <c r="G574" s="22" t="s">
        <v>19518</v>
      </c>
      <c r="H574" s="24" t="s">
        <v>19384</v>
      </c>
      <c r="I574" s="22" t="s">
        <v>19309</v>
      </c>
      <c r="J574" s="22" t="s">
        <v>19573</v>
      </c>
      <c r="K574" s="22" t="s">
        <v>19574</v>
      </c>
      <c r="L574" s="22"/>
      <c r="M574" s="22"/>
      <c r="N574" s="25" t="str">
        <f>HYPERLINK("http://slimages.macys.com/is/image/MCY/21089247 ")</f>
        <v xml:space="preserve">http://slimages.macys.com/is/image/MCY/21089247 </v>
      </c>
    </row>
    <row r="575" spans="1:14" ht="24.75" x14ac:dyDescent="0.25">
      <c r="A575" s="21" t="s">
        <v>17459</v>
      </c>
      <c r="B575" s="22" t="s">
        <v>17460</v>
      </c>
      <c r="C575" s="2">
        <v>1</v>
      </c>
      <c r="D575" s="23">
        <v>5.99</v>
      </c>
      <c r="E575" s="3">
        <v>5.99</v>
      </c>
      <c r="F575" s="2" t="s">
        <v>17455</v>
      </c>
      <c r="G575" s="22" t="s">
        <v>19431</v>
      </c>
      <c r="H575" s="24" t="s">
        <v>19324</v>
      </c>
      <c r="I575" s="22" t="s">
        <v>19309</v>
      </c>
      <c r="J575" s="22" t="s">
        <v>19573</v>
      </c>
      <c r="K575" s="22" t="s">
        <v>19574</v>
      </c>
      <c r="L575" s="22"/>
      <c r="M575" s="22"/>
      <c r="N575" s="25" t="str">
        <f>HYPERLINK("http://slimages.macys.com/is/image/MCY/21089250 ")</f>
        <v xml:space="preserve">http://slimages.macys.com/is/image/MCY/21089250 </v>
      </c>
    </row>
    <row r="576" spans="1:14" ht="24.75" x14ac:dyDescent="0.25">
      <c r="A576" s="21" t="s">
        <v>17300</v>
      </c>
      <c r="B576" s="22" t="s">
        <v>17301</v>
      </c>
      <c r="C576" s="2">
        <v>1</v>
      </c>
      <c r="D576" s="23">
        <v>5.99</v>
      </c>
      <c r="E576" s="3">
        <v>5.99</v>
      </c>
      <c r="F576" s="2" t="s">
        <v>17452</v>
      </c>
      <c r="G576" s="22" t="s">
        <v>19467</v>
      </c>
      <c r="H576" s="24" t="s">
        <v>19416</v>
      </c>
      <c r="I576" s="22" t="s">
        <v>19309</v>
      </c>
      <c r="J576" s="22" t="s">
        <v>19573</v>
      </c>
      <c r="K576" s="22" t="s">
        <v>19574</v>
      </c>
      <c r="L576" s="22"/>
      <c r="M576" s="22"/>
      <c r="N576" s="25" t="str">
        <f>HYPERLINK("http://slimages.macys.com/is/image/MCY/21209018 ")</f>
        <v xml:space="preserve">http://slimages.macys.com/is/image/MCY/21209018 </v>
      </c>
    </row>
    <row r="577" spans="1:14" ht="24.75" x14ac:dyDescent="0.25">
      <c r="A577" s="21" t="s">
        <v>10193</v>
      </c>
      <c r="B577" s="22" t="s">
        <v>10194</v>
      </c>
      <c r="C577" s="2">
        <v>1</v>
      </c>
      <c r="D577" s="23">
        <v>6.99</v>
      </c>
      <c r="E577" s="3">
        <v>6.99</v>
      </c>
      <c r="F577" s="2" t="s">
        <v>10195</v>
      </c>
      <c r="G577" s="22" t="s">
        <v>19518</v>
      </c>
      <c r="H577" s="24" t="s">
        <v>19324</v>
      </c>
      <c r="I577" s="22" t="s">
        <v>19309</v>
      </c>
      <c r="J577" s="22" t="s">
        <v>19573</v>
      </c>
      <c r="K577" s="22" t="s">
        <v>19574</v>
      </c>
      <c r="L577" s="22"/>
      <c r="M577" s="22"/>
      <c r="N577" s="25" t="str">
        <f>HYPERLINK("http://slimages.macys.com/is/image/MCY/17656375 ")</f>
        <v xml:space="preserve">http://slimages.macys.com/is/image/MCY/17656375 </v>
      </c>
    </row>
    <row r="578" spans="1:14" ht="24.75" x14ac:dyDescent="0.25">
      <c r="A578" s="21" t="s">
        <v>10196</v>
      </c>
      <c r="B578" s="22" t="s">
        <v>10197</v>
      </c>
      <c r="C578" s="2">
        <v>1</v>
      </c>
      <c r="D578" s="23">
        <v>5.99</v>
      </c>
      <c r="E578" s="3">
        <v>5.99</v>
      </c>
      <c r="F578" s="2" t="s">
        <v>10198</v>
      </c>
      <c r="G578" s="22" t="s">
        <v>19431</v>
      </c>
      <c r="H578" s="24" t="s">
        <v>19538</v>
      </c>
      <c r="I578" s="22" t="s">
        <v>19309</v>
      </c>
      <c r="J578" s="22" t="s">
        <v>19573</v>
      </c>
      <c r="K578" s="22" t="s">
        <v>19574</v>
      </c>
      <c r="L578" s="22"/>
      <c r="M578" s="22"/>
      <c r="N578" s="25" t="str">
        <f>HYPERLINK("http://slimages.macys.com/is/image/MCY/1537013 ")</f>
        <v xml:space="preserve">http://slimages.macys.com/is/image/MCY/1537013 </v>
      </c>
    </row>
    <row r="579" spans="1:14" x14ac:dyDescent="0.25">
      <c r="A579" s="21" t="s">
        <v>10199</v>
      </c>
      <c r="B579" s="22" t="s">
        <v>10200</v>
      </c>
      <c r="C579" s="2">
        <v>1</v>
      </c>
      <c r="D579" s="23">
        <v>115</v>
      </c>
      <c r="E579" s="3">
        <v>115</v>
      </c>
      <c r="F579" s="2" t="s">
        <v>10201</v>
      </c>
      <c r="G579" s="22" t="s">
        <v>19513</v>
      </c>
      <c r="H579" s="24" t="s">
        <v>16005</v>
      </c>
      <c r="I579" s="22" t="s">
        <v>14376</v>
      </c>
      <c r="J579" s="22" t="s">
        <v>19325</v>
      </c>
      <c r="K579" s="22" t="s">
        <v>10202</v>
      </c>
      <c r="L579" s="22"/>
      <c r="M579" s="22"/>
      <c r="N579" s="25"/>
    </row>
    <row r="580" spans="1:14" ht="24.75" x14ac:dyDescent="0.25">
      <c r="A580" s="21" t="s">
        <v>10203</v>
      </c>
      <c r="B580" s="22" t="s">
        <v>15024</v>
      </c>
      <c r="C580" s="2">
        <v>1</v>
      </c>
      <c r="D580" s="23">
        <v>55.99</v>
      </c>
      <c r="E580" s="3">
        <v>55.99</v>
      </c>
      <c r="F580" s="2" t="s">
        <v>10204</v>
      </c>
      <c r="G580" s="22" t="s">
        <v>19674</v>
      </c>
      <c r="H580" s="24" t="s">
        <v>19478</v>
      </c>
      <c r="I580" s="22" t="s">
        <v>19309</v>
      </c>
      <c r="J580" s="22" t="s">
        <v>19400</v>
      </c>
      <c r="K580" s="22" t="s">
        <v>19423</v>
      </c>
      <c r="L580" s="22"/>
      <c r="M580" s="22"/>
      <c r="N580" s="25"/>
    </row>
    <row r="581" spans="1:14" ht="24.75" x14ac:dyDescent="0.25">
      <c r="A581" s="21" t="s">
        <v>10205</v>
      </c>
      <c r="B581" s="22" t="s">
        <v>15030</v>
      </c>
      <c r="C581" s="2">
        <v>1</v>
      </c>
      <c r="D581" s="23">
        <v>52.81</v>
      </c>
      <c r="E581" s="3">
        <v>52.81</v>
      </c>
      <c r="F581" s="2" t="s">
        <v>15031</v>
      </c>
      <c r="G581" s="22" t="s">
        <v>15032</v>
      </c>
      <c r="H581" s="24" t="s">
        <v>19501</v>
      </c>
      <c r="I581" s="22" t="s">
        <v>19309</v>
      </c>
      <c r="J581" s="22" t="s">
        <v>19400</v>
      </c>
      <c r="K581" s="22" t="s">
        <v>19423</v>
      </c>
      <c r="L581" s="22"/>
      <c r="M581" s="22"/>
      <c r="N581" s="25"/>
    </row>
    <row r="582" spans="1:14" ht="24.75" x14ac:dyDescent="0.25">
      <c r="A582" s="21" t="s">
        <v>17322</v>
      </c>
      <c r="B582" s="22" t="s">
        <v>17323</v>
      </c>
      <c r="C582" s="2">
        <v>1</v>
      </c>
      <c r="D582" s="23">
        <v>33.99</v>
      </c>
      <c r="E582" s="3">
        <v>33.99</v>
      </c>
      <c r="F582" s="2" t="s">
        <v>17595</v>
      </c>
      <c r="G582" s="22" t="s">
        <v>19498</v>
      </c>
      <c r="H582" s="24" t="s">
        <v>19384</v>
      </c>
      <c r="I582" s="22" t="s">
        <v>19309</v>
      </c>
      <c r="J582" s="22" t="s">
        <v>19385</v>
      </c>
      <c r="K582" s="22" t="s">
        <v>19386</v>
      </c>
      <c r="L582" s="22"/>
      <c r="M582" s="22"/>
      <c r="N582" s="25"/>
    </row>
    <row r="583" spans="1:14" ht="24.75" x14ac:dyDescent="0.25">
      <c r="A583" s="21" t="s">
        <v>17320</v>
      </c>
      <c r="B583" s="22" t="s">
        <v>17321</v>
      </c>
      <c r="C583" s="2">
        <v>1</v>
      </c>
      <c r="D583" s="23">
        <v>33.99</v>
      </c>
      <c r="E583" s="3">
        <v>33.99</v>
      </c>
      <c r="F583" s="2" t="s">
        <v>17595</v>
      </c>
      <c r="G583" s="22" t="s">
        <v>19498</v>
      </c>
      <c r="H583" s="24" t="s">
        <v>19324</v>
      </c>
      <c r="I583" s="22" t="s">
        <v>19309</v>
      </c>
      <c r="J583" s="22" t="s">
        <v>19385</v>
      </c>
      <c r="K583" s="22" t="s">
        <v>19386</v>
      </c>
      <c r="L583" s="22"/>
      <c r="M583" s="22"/>
      <c r="N583" s="25"/>
    </row>
    <row r="584" spans="1:14" ht="24.75" x14ac:dyDescent="0.25">
      <c r="A584" s="21" t="s">
        <v>14362</v>
      </c>
      <c r="B584" s="22" t="s">
        <v>14363</v>
      </c>
      <c r="C584" s="2">
        <v>1</v>
      </c>
      <c r="D584" s="23">
        <v>33.99</v>
      </c>
      <c r="E584" s="3">
        <v>33.99</v>
      </c>
      <c r="F584" s="2" t="s">
        <v>17592</v>
      </c>
      <c r="G584" s="22" t="s">
        <v>19422</v>
      </c>
      <c r="H584" s="24" t="s">
        <v>19384</v>
      </c>
      <c r="I584" s="22" t="s">
        <v>19309</v>
      </c>
      <c r="J584" s="22" t="s">
        <v>19385</v>
      </c>
      <c r="K584" s="22" t="s">
        <v>19386</v>
      </c>
      <c r="L584" s="22"/>
      <c r="M584" s="22"/>
      <c r="N584" s="25"/>
    </row>
    <row r="585" spans="1:14" ht="24.75" x14ac:dyDescent="0.25">
      <c r="A585" s="21" t="s">
        <v>10206</v>
      </c>
      <c r="B585" s="22" t="s">
        <v>10207</v>
      </c>
      <c r="C585" s="2">
        <v>1</v>
      </c>
      <c r="D585" s="23">
        <v>34.99</v>
      </c>
      <c r="E585" s="3">
        <v>34.99</v>
      </c>
      <c r="F585" s="2" t="s">
        <v>10208</v>
      </c>
      <c r="G585" s="22" t="s">
        <v>11254</v>
      </c>
      <c r="H585" s="24" t="s">
        <v>19330</v>
      </c>
      <c r="I585" s="22" t="s">
        <v>19309</v>
      </c>
      <c r="J585" s="22" t="s">
        <v>19385</v>
      </c>
      <c r="K585" s="22" t="s">
        <v>19487</v>
      </c>
      <c r="L585" s="22"/>
      <c r="M585" s="22"/>
      <c r="N585" s="25"/>
    </row>
    <row r="586" spans="1:14" ht="24.75" x14ac:dyDescent="0.25">
      <c r="A586" s="21" t="s">
        <v>13548</v>
      </c>
      <c r="B586" s="22" t="s">
        <v>13549</v>
      </c>
      <c r="C586" s="2">
        <v>1</v>
      </c>
      <c r="D586" s="23">
        <v>34.99</v>
      </c>
      <c r="E586" s="3">
        <v>34.99</v>
      </c>
      <c r="F586" s="2" t="s">
        <v>17478</v>
      </c>
      <c r="G586" s="22" t="s">
        <v>19333</v>
      </c>
      <c r="H586" s="24" t="s">
        <v>19538</v>
      </c>
      <c r="I586" s="22" t="s">
        <v>19309</v>
      </c>
      <c r="J586" s="22" t="s">
        <v>19385</v>
      </c>
      <c r="K586" s="22" t="s">
        <v>19487</v>
      </c>
      <c r="L586" s="22"/>
      <c r="M586" s="22"/>
      <c r="N586" s="25"/>
    </row>
    <row r="587" spans="1:14" ht="24.75" x14ac:dyDescent="0.25">
      <c r="A587" s="21" t="s">
        <v>10209</v>
      </c>
      <c r="B587" s="22" t="s">
        <v>10210</v>
      </c>
      <c r="C587" s="2">
        <v>2</v>
      </c>
      <c r="D587" s="23">
        <v>34.99</v>
      </c>
      <c r="E587" s="3">
        <v>69.98</v>
      </c>
      <c r="F587" s="2" t="s">
        <v>10208</v>
      </c>
      <c r="G587" s="22" t="s">
        <v>11254</v>
      </c>
      <c r="H587" s="24" t="s">
        <v>19416</v>
      </c>
      <c r="I587" s="22" t="s">
        <v>19309</v>
      </c>
      <c r="J587" s="22" t="s">
        <v>19385</v>
      </c>
      <c r="K587" s="22" t="s">
        <v>19487</v>
      </c>
      <c r="L587" s="22"/>
      <c r="M587" s="22"/>
      <c r="N587" s="25"/>
    </row>
    <row r="588" spans="1:14" ht="24.75" x14ac:dyDescent="0.25">
      <c r="A588" s="21" t="s">
        <v>14367</v>
      </c>
      <c r="B588" s="22" t="s">
        <v>14368</v>
      </c>
      <c r="C588" s="2">
        <v>1</v>
      </c>
      <c r="D588" s="23">
        <v>28.99</v>
      </c>
      <c r="E588" s="3">
        <v>28.99</v>
      </c>
      <c r="F588" s="2" t="s">
        <v>14369</v>
      </c>
      <c r="G588" s="22" t="s">
        <v>19307</v>
      </c>
      <c r="H588" s="24" t="s">
        <v>19377</v>
      </c>
      <c r="I588" s="22" t="s">
        <v>19309</v>
      </c>
      <c r="J588" s="22" t="s">
        <v>19447</v>
      </c>
      <c r="K588" s="22" t="s">
        <v>19463</v>
      </c>
      <c r="L588" s="22"/>
      <c r="M588" s="22"/>
      <c r="N588" s="25"/>
    </row>
    <row r="589" spans="1:14" ht="24.75" x14ac:dyDescent="0.25">
      <c r="A589" s="21" t="s">
        <v>10211</v>
      </c>
      <c r="B589" s="22" t="s">
        <v>10212</v>
      </c>
      <c r="C589" s="2">
        <v>2</v>
      </c>
      <c r="D589" s="23">
        <v>29.99</v>
      </c>
      <c r="E589" s="3">
        <v>59.98</v>
      </c>
      <c r="F589" s="2" t="s">
        <v>10213</v>
      </c>
      <c r="G589" s="22" t="s">
        <v>19801</v>
      </c>
      <c r="H589" s="24" t="s">
        <v>19324</v>
      </c>
      <c r="I589" s="22" t="s">
        <v>19309</v>
      </c>
      <c r="J589" s="22" t="s">
        <v>19385</v>
      </c>
      <c r="K589" s="22" t="s">
        <v>19487</v>
      </c>
      <c r="L589" s="22"/>
      <c r="M589" s="22"/>
      <c r="N589" s="25"/>
    </row>
    <row r="590" spans="1:14" ht="24.75" x14ac:dyDescent="0.25">
      <c r="A590" s="21" t="s">
        <v>17493</v>
      </c>
      <c r="B590" s="22" t="s">
        <v>17494</v>
      </c>
      <c r="C590" s="2">
        <v>1</v>
      </c>
      <c r="D590" s="23">
        <v>26.99</v>
      </c>
      <c r="E590" s="3">
        <v>26.99</v>
      </c>
      <c r="F590" s="2" t="s">
        <v>17488</v>
      </c>
      <c r="G590" s="22" t="s">
        <v>19357</v>
      </c>
      <c r="H590" s="24" t="s">
        <v>19538</v>
      </c>
      <c r="I590" s="22" t="s">
        <v>19309</v>
      </c>
      <c r="J590" s="22" t="s">
        <v>19385</v>
      </c>
      <c r="K590" s="22" t="s">
        <v>19487</v>
      </c>
      <c r="L590" s="22"/>
      <c r="M590" s="22"/>
      <c r="N590" s="25"/>
    </row>
    <row r="591" spans="1:14" ht="24.75" x14ac:dyDescent="0.25">
      <c r="A591" s="21" t="s">
        <v>17501</v>
      </c>
      <c r="B591" s="22" t="s">
        <v>17502</v>
      </c>
      <c r="C591" s="2">
        <v>1</v>
      </c>
      <c r="D591" s="23">
        <v>7.5</v>
      </c>
      <c r="E591" s="3">
        <v>7.5</v>
      </c>
      <c r="F591" s="2" t="s">
        <v>17503</v>
      </c>
      <c r="G591" s="22" t="s">
        <v>17504</v>
      </c>
      <c r="H591" s="24" t="s">
        <v>17505</v>
      </c>
      <c r="I591" s="22" t="s">
        <v>19309</v>
      </c>
      <c r="J591" s="22" t="s">
        <v>19573</v>
      </c>
      <c r="K591" s="22" t="s">
        <v>19574</v>
      </c>
      <c r="L591" s="22"/>
      <c r="M591" s="22"/>
      <c r="N591" s="25"/>
    </row>
    <row r="592" spans="1:14" ht="24.75" x14ac:dyDescent="0.25">
      <c r="A592" s="21" t="s">
        <v>13568</v>
      </c>
      <c r="B592" s="22" t="s">
        <v>13569</v>
      </c>
      <c r="C592" s="2">
        <v>1</v>
      </c>
      <c r="D592" s="23">
        <v>18.61</v>
      </c>
      <c r="E592" s="3">
        <v>18.61</v>
      </c>
      <c r="F592" s="2" t="s">
        <v>15352</v>
      </c>
      <c r="G592" s="22"/>
      <c r="H592" s="24" t="s">
        <v>19392</v>
      </c>
      <c r="I592" s="22" t="s">
        <v>19309</v>
      </c>
      <c r="J592" s="22" t="s">
        <v>19602</v>
      </c>
      <c r="K592" s="22" t="s">
        <v>20041</v>
      </c>
      <c r="L592" s="22"/>
      <c r="M592" s="22"/>
      <c r="N592" s="25"/>
    </row>
    <row r="593" spans="1:14" ht="24.75" x14ac:dyDescent="0.25">
      <c r="A593" s="21" t="s">
        <v>10214</v>
      </c>
      <c r="B593" s="22" t="s">
        <v>10215</v>
      </c>
      <c r="C593" s="2">
        <v>2</v>
      </c>
      <c r="D593" s="23">
        <v>17.72</v>
      </c>
      <c r="E593" s="3">
        <v>35.44</v>
      </c>
      <c r="F593" s="2" t="s">
        <v>10216</v>
      </c>
      <c r="G593" s="22"/>
      <c r="H593" s="24" t="s">
        <v>19345</v>
      </c>
      <c r="I593" s="22" t="s">
        <v>19309</v>
      </c>
      <c r="J593" s="22" t="s">
        <v>19602</v>
      </c>
      <c r="K593" s="22" t="s">
        <v>19603</v>
      </c>
      <c r="L593" s="22"/>
      <c r="M593" s="22"/>
      <c r="N593" s="25"/>
    </row>
    <row r="594" spans="1:14" ht="24.75" x14ac:dyDescent="0.25">
      <c r="A594" s="21" t="s">
        <v>10217</v>
      </c>
      <c r="B594" s="22" t="s">
        <v>10218</v>
      </c>
      <c r="C594" s="2">
        <v>1</v>
      </c>
      <c r="D594" s="23">
        <v>12.99</v>
      </c>
      <c r="E594" s="3">
        <v>12.99</v>
      </c>
      <c r="F594" s="2" t="s">
        <v>10219</v>
      </c>
      <c r="G594" s="22" t="s">
        <v>19674</v>
      </c>
      <c r="H594" s="24" t="s">
        <v>19364</v>
      </c>
      <c r="I594" s="22" t="s">
        <v>19309</v>
      </c>
      <c r="J594" s="22" t="s">
        <v>19447</v>
      </c>
      <c r="K594" s="22" t="s">
        <v>19873</v>
      </c>
      <c r="L594" s="22"/>
      <c r="M594" s="22"/>
      <c r="N594" s="25"/>
    </row>
    <row r="595" spans="1:14" ht="24.75" x14ac:dyDescent="0.25">
      <c r="A595" s="21" t="s">
        <v>10220</v>
      </c>
      <c r="B595" s="22" t="s">
        <v>10221</v>
      </c>
      <c r="C595" s="2">
        <v>1</v>
      </c>
      <c r="D595" s="23">
        <v>16.82</v>
      </c>
      <c r="E595" s="3">
        <v>16.82</v>
      </c>
      <c r="F595" s="2" t="s">
        <v>10222</v>
      </c>
      <c r="G595" s="22"/>
      <c r="H595" s="24" t="s">
        <v>19345</v>
      </c>
      <c r="I595" s="22" t="s">
        <v>19309</v>
      </c>
      <c r="J595" s="22" t="s">
        <v>19602</v>
      </c>
      <c r="K595" s="22" t="s">
        <v>20041</v>
      </c>
      <c r="L595" s="22"/>
      <c r="M595" s="22"/>
      <c r="N595" s="25"/>
    </row>
    <row r="596" spans="1:14" x14ac:dyDescent="0.25">
      <c r="A596" s="21" t="s">
        <v>10223</v>
      </c>
      <c r="B596" s="22" t="s">
        <v>10224</v>
      </c>
      <c r="C596" s="2">
        <v>1</v>
      </c>
      <c r="D596" s="23">
        <v>19.989999999999998</v>
      </c>
      <c r="E596" s="3">
        <v>19.989999999999998</v>
      </c>
      <c r="F596" s="2" t="s">
        <v>10225</v>
      </c>
      <c r="G596" s="22" t="s">
        <v>19342</v>
      </c>
      <c r="H596" s="24" t="s">
        <v>19478</v>
      </c>
      <c r="I596" s="22" t="s">
        <v>19309</v>
      </c>
      <c r="J596" s="22" t="s">
        <v>19696</v>
      </c>
      <c r="K596" s="22" t="s">
        <v>19697</v>
      </c>
      <c r="L596" s="22"/>
      <c r="M596" s="22"/>
      <c r="N596" s="25"/>
    </row>
    <row r="597" spans="1:14" ht="24.75" x14ac:dyDescent="0.25">
      <c r="A597" s="21" t="s">
        <v>10226</v>
      </c>
      <c r="B597" s="22" t="s">
        <v>10227</v>
      </c>
      <c r="C597" s="2">
        <v>1</v>
      </c>
      <c r="D597" s="23">
        <v>14.73</v>
      </c>
      <c r="E597" s="3">
        <v>14.73</v>
      </c>
      <c r="F597" s="2" t="s">
        <v>10228</v>
      </c>
      <c r="G597" s="22" t="s">
        <v>19338</v>
      </c>
      <c r="H597" s="24" t="s">
        <v>19334</v>
      </c>
      <c r="I597" s="22" t="s">
        <v>19309</v>
      </c>
      <c r="J597" s="22" t="s">
        <v>19602</v>
      </c>
      <c r="K597" s="22" t="s">
        <v>20041</v>
      </c>
      <c r="L597" s="22"/>
      <c r="M597" s="22"/>
      <c r="N597" s="25"/>
    </row>
    <row r="598" spans="1:14" x14ac:dyDescent="0.25">
      <c r="A598" s="21" t="s">
        <v>10229</v>
      </c>
      <c r="B598" s="22" t="s">
        <v>10230</v>
      </c>
      <c r="C598" s="2">
        <v>1</v>
      </c>
      <c r="D598" s="23">
        <v>15.83</v>
      </c>
      <c r="E598" s="3">
        <v>15.83</v>
      </c>
      <c r="F598" s="2" t="s">
        <v>18272</v>
      </c>
      <c r="G598" s="22" t="s">
        <v>19351</v>
      </c>
      <c r="H598" s="24" t="s">
        <v>20152</v>
      </c>
      <c r="I598" s="22" t="s">
        <v>19309</v>
      </c>
      <c r="J598" s="22" t="s">
        <v>19708</v>
      </c>
      <c r="K598" s="22" t="s">
        <v>19709</v>
      </c>
      <c r="L598" s="22"/>
      <c r="M598" s="22"/>
      <c r="N598" s="25"/>
    </row>
    <row r="599" spans="1:14" x14ac:dyDescent="0.25">
      <c r="A599" s="21" t="s">
        <v>10231</v>
      </c>
      <c r="B599" s="22" t="s">
        <v>10232</v>
      </c>
      <c r="C599" s="2">
        <v>2</v>
      </c>
      <c r="D599" s="23">
        <v>15.83</v>
      </c>
      <c r="E599" s="3">
        <v>31.66</v>
      </c>
      <c r="F599" s="2" t="s">
        <v>18272</v>
      </c>
      <c r="G599" s="22" t="s">
        <v>19351</v>
      </c>
      <c r="H599" s="24" t="s">
        <v>20159</v>
      </c>
      <c r="I599" s="22" t="s">
        <v>19309</v>
      </c>
      <c r="J599" s="22" t="s">
        <v>19708</v>
      </c>
      <c r="K599" s="22" t="s">
        <v>19709</v>
      </c>
      <c r="L599" s="22"/>
      <c r="M599" s="22"/>
      <c r="N599" s="25"/>
    </row>
    <row r="600" spans="1:14" x14ac:dyDescent="0.25">
      <c r="A600" s="21" t="s">
        <v>10233</v>
      </c>
      <c r="B600" s="22" t="s">
        <v>10234</v>
      </c>
      <c r="C600" s="2">
        <v>1</v>
      </c>
      <c r="D600" s="23">
        <v>15.04</v>
      </c>
      <c r="E600" s="3">
        <v>15.04</v>
      </c>
      <c r="F600" s="2" t="s">
        <v>10235</v>
      </c>
      <c r="G600" s="22"/>
      <c r="H600" s="24" t="s">
        <v>20152</v>
      </c>
      <c r="I600" s="22" t="s">
        <v>19309</v>
      </c>
      <c r="J600" s="22" t="s">
        <v>19708</v>
      </c>
      <c r="K600" s="22" t="s">
        <v>19709</v>
      </c>
      <c r="L600" s="22"/>
      <c r="M600" s="22"/>
      <c r="N600" s="25"/>
    </row>
    <row r="601" spans="1:14" x14ac:dyDescent="0.25">
      <c r="A601" s="21" t="s">
        <v>10236</v>
      </c>
      <c r="B601" s="22" t="s">
        <v>10237</v>
      </c>
      <c r="C601" s="2">
        <v>1</v>
      </c>
      <c r="D601" s="23">
        <v>13.68</v>
      </c>
      <c r="E601" s="3">
        <v>13.68</v>
      </c>
      <c r="F601" s="2" t="s">
        <v>10238</v>
      </c>
      <c r="G601" s="22" t="s">
        <v>19594</v>
      </c>
      <c r="H601" s="24" t="s">
        <v>19324</v>
      </c>
      <c r="I601" s="22" t="s">
        <v>19309</v>
      </c>
      <c r="J601" s="22" t="s">
        <v>19708</v>
      </c>
      <c r="K601" s="22" t="s">
        <v>19709</v>
      </c>
      <c r="L601" s="22"/>
      <c r="M601" s="22"/>
      <c r="N601" s="25"/>
    </row>
    <row r="602" spans="1:14" x14ac:dyDescent="0.25">
      <c r="A602" s="21" t="s">
        <v>10239</v>
      </c>
      <c r="B602" s="22" t="s">
        <v>10240</v>
      </c>
      <c r="C602" s="2">
        <v>1</v>
      </c>
      <c r="D602" s="23">
        <v>12.4</v>
      </c>
      <c r="E602" s="3">
        <v>12.4</v>
      </c>
      <c r="F602" s="2" t="s">
        <v>9932</v>
      </c>
      <c r="G602" s="22" t="s">
        <v>19315</v>
      </c>
      <c r="H602" s="24" t="s">
        <v>19324</v>
      </c>
      <c r="I602" s="22" t="s">
        <v>19309</v>
      </c>
      <c r="J602" s="22" t="s">
        <v>19708</v>
      </c>
      <c r="K602" s="22" t="s">
        <v>19709</v>
      </c>
      <c r="L602" s="22"/>
      <c r="M602" s="22"/>
      <c r="N602" s="25"/>
    </row>
    <row r="603" spans="1:14" ht="24.75" x14ac:dyDescent="0.25">
      <c r="A603" s="21" t="s">
        <v>10241</v>
      </c>
      <c r="B603" s="22" t="s">
        <v>10242</v>
      </c>
      <c r="C603" s="2">
        <v>2</v>
      </c>
      <c r="D603" s="23">
        <v>7.99</v>
      </c>
      <c r="E603" s="3">
        <v>15.98</v>
      </c>
      <c r="F603" s="2" t="s">
        <v>16696</v>
      </c>
      <c r="G603" s="22" t="s">
        <v>20145</v>
      </c>
      <c r="H603" s="24" t="s">
        <v>19395</v>
      </c>
      <c r="I603" s="22" t="s">
        <v>19309</v>
      </c>
      <c r="J603" s="22" t="s">
        <v>19310</v>
      </c>
      <c r="K603" s="22" t="s">
        <v>19468</v>
      </c>
      <c r="L603" s="22"/>
      <c r="M603" s="22"/>
      <c r="N603" s="25"/>
    </row>
    <row r="604" spans="1:14" x14ac:dyDescent="0.25">
      <c r="A604" s="21" t="s">
        <v>10243</v>
      </c>
      <c r="B604" s="22" t="s">
        <v>10244</v>
      </c>
      <c r="C604" s="2">
        <v>1</v>
      </c>
      <c r="D604" s="23">
        <v>8.3000000000000007</v>
      </c>
      <c r="E604" s="3">
        <v>8.3000000000000007</v>
      </c>
      <c r="F604" s="2" t="s">
        <v>10245</v>
      </c>
      <c r="G604" s="22" t="s">
        <v>19670</v>
      </c>
      <c r="H604" s="24" t="s">
        <v>20152</v>
      </c>
      <c r="I604" s="22" t="s">
        <v>19309</v>
      </c>
      <c r="J604" s="22" t="s">
        <v>19708</v>
      </c>
      <c r="K604" s="22" t="s">
        <v>19709</v>
      </c>
      <c r="L604" s="22"/>
      <c r="M604" s="22"/>
      <c r="N604" s="25"/>
    </row>
  </sheetData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Summary</vt:lpstr>
      <vt:lpstr>14598175</vt:lpstr>
      <vt:lpstr>14598432</vt:lpstr>
      <vt:lpstr>14600445</vt:lpstr>
      <vt:lpstr>14602340</vt:lpstr>
      <vt:lpstr>14613228</vt:lpstr>
      <vt:lpstr>14615136</vt:lpstr>
      <vt:lpstr>14615865</vt:lpstr>
      <vt:lpstr>14620278</vt:lpstr>
      <vt:lpstr>14630010</vt:lpstr>
      <vt:lpstr>14633550</vt:lpstr>
      <vt:lpstr>14653360</vt:lpstr>
      <vt:lpstr>14653377</vt:lpstr>
      <vt:lpstr>14653382</vt:lpstr>
      <vt:lpstr>14657310</vt:lpstr>
      <vt:lpstr>14657315</vt:lpstr>
      <vt:lpstr>14658885</vt:lpstr>
      <vt:lpstr>14663014</vt:lpstr>
      <vt:lpstr>14664700</vt:lpstr>
      <vt:lpstr>14666103</vt:lpstr>
      <vt:lpstr>14666106</vt:lpstr>
      <vt:lpstr>14666142</vt:lpstr>
      <vt:lpstr>14674047</vt:lpstr>
      <vt:lpstr>14697972</vt:lpstr>
      <vt:lpstr>14703445</vt:lpstr>
      <vt:lpstr>14710469</vt:lpstr>
      <vt:lpstr>14712012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2023-06-09T12:38:10Z</dcterms:created>
  <dcterms:modified xsi:type="dcterms:W3CDTF">2023-07-06T08:21:08Z</dcterms:modified>
</cp:coreProperties>
</file>